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eter_000\Dropbox\Documents\Professional and business\Excelevate\Training\Videos\17 - PivotTables\"/>
    </mc:Choice>
  </mc:AlternateContent>
  <bookViews>
    <workbookView xWindow="0" yWindow="0" windowWidth="26955" windowHeight="10095" activeTab="2"/>
  </bookViews>
  <sheets>
    <sheet name="DataPivotChart Rank" sheetId="7" r:id="rId1"/>
    <sheet name="DataPivotChart Stack" sheetId="6" r:id="rId2"/>
    <sheet name="DataPivotTable" sheetId="4" r:id="rId3"/>
    <sheet name="Add_Routine_Pivot" sheetId="3" r:id="rId4"/>
    <sheet name="SourceData" sheetId="1" r:id="rId5"/>
    <sheet name="Modify_Fields" sheetId="2" r:id="rId6"/>
  </sheets>
  <definedNames>
    <definedName name="_xlnm._FilterDatabase" localSheetId="4" hidden="1">SourceData!$A$1:$M$9183</definedName>
    <definedName name="ARP_Default_File">Add_Routine_Pivot!$J$1</definedName>
    <definedName name="GL_SourceData">OFFSET(SourceData!$A$1,0,0,COUNTA(SourceData!$A$1:$A$9683),13)</definedName>
    <definedName name="MF_Default_File">Modify_Fields!$J$1</definedName>
  </definedNames>
  <calcPr calcId="171027"/>
  <pivotCaches>
    <pivotCache cacheId="6" r:id="rId7"/>
    <pivotCache cacheId="5" r:id="rId8"/>
  </pivotCaches>
</workbook>
</file>

<file path=xl/calcChain.xml><?xml version="1.0" encoding="utf-8"?>
<calcChain xmlns="http://schemas.openxmlformats.org/spreadsheetml/2006/main">
  <c r="M2" i="1" l="1"/>
  <c r="M3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75" i="1"/>
  <c r="M6576" i="1"/>
  <c r="M6577" i="1"/>
  <c r="M6578" i="1"/>
  <c r="M6579" i="1"/>
  <c r="M6580" i="1"/>
  <c r="M6581" i="1"/>
  <c r="M6582" i="1"/>
  <c r="M6583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6612" i="1"/>
  <c r="M6613" i="1"/>
  <c r="M6614" i="1"/>
  <c r="M6615" i="1"/>
  <c r="M6616" i="1"/>
  <c r="M6617" i="1"/>
  <c r="M6618" i="1"/>
  <c r="M6619" i="1"/>
  <c r="M6620" i="1"/>
  <c r="M6621" i="1"/>
  <c r="M6622" i="1"/>
  <c r="M6623" i="1"/>
  <c r="M6624" i="1"/>
  <c r="M6625" i="1"/>
  <c r="M6626" i="1"/>
  <c r="M6627" i="1"/>
  <c r="M6628" i="1"/>
  <c r="M6629" i="1"/>
  <c r="M6630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M6653" i="1"/>
  <c r="M6654" i="1"/>
  <c r="M6655" i="1"/>
  <c r="M6656" i="1"/>
  <c r="M6657" i="1"/>
  <c r="M6658" i="1"/>
  <c r="M6659" i="1"/>
  <c r="M6660" i="1"/>
  <c r="M6661" i="1"/>
  <c r="M6662" i="1"/>
  <c r="M6663" i="1"/>
  <c r="M6664" i="1"/>
  <c r="M6665" i="1"/>
  <c r="M6666" i="1"/>
  <c r="M6667" i="1"/>
  <c r="M6668" i="1"/>
  <c r="M6669" i="1"/>
  <c r="M6670" i="1"/>
  <c r="M6671" i="1"/>
  <c r="M6672" i="1"/>
  <c r="M6673" i="1"/>
  <c r="M6674" i="1"/>
  <c r="M6675" i="1"/>
  <c r="M6676" i="1"/>
  <c r="M6677" i="1"/>
  <c r="M6678" i="1"/>
  <c r="M6679" i="1"/>
  <c r="M6680" i="1"/>
  <c r="M6681" i="1"/>
  <c r="M6682" i="1"/>
  <c r="M6683" i="1"/>
  <c r="M6684" i="1"/>
  <c r="M6685" i="1"/>
  <c r="M6686" i="1"/>
  <c r="M6687" i="1"/>
  <c r="M6688" i="1"/>
  <c r="M6689" i="1"/>
  <c r="M6690" i="1"/>
  <c r="M6691" i="1"/>
  <c r="M6692" i="1"/>
  <c r="M6693" i="1"/>
  <c r="M6694" i="1"/>
  <c r="M6695" i="1"/>
  <c r="M6696" i="1"/>
  <c r="M6697" i="1"/>
  <c r="M6698" i="1"/>
  <c r="M6699" i="1"/>
  <c r="M6700" i="1"/>
  <c r="M6701" i="1"/>
  <c r="M6702" i="1"/>
  <c r="M6703" i="1"/>
  <c r="M6704" i="1"/>
  <c r="M6705" i="1"/>
  <c r="M6706" i="1"/>
  <c r="M6707" i="1"/>
  <c r="M6708" i="1"/>
  <c r="M6709" i="1"/>
  <c r="M6710" i="1"/>
  <c r="M6711" i="1"/>
  <c r="M6712" i="1"/>
  <c r="M6713" i="1"/>
  <c r="M6714" i="1"/>
  <c r="M6715" i="1"/>
  <c r="M6716" i="1"/>
  <c r="M6717" i="1"/>
  <c r="M6718" i="1"/>
  <c r="M6719" i="1"/>
  <c r="M6720" i="1"/>
  <c r="M6721" i="1"/>
  <c r="M6722" i="1"/>
  <c r="M6723" i="1"/>
  <c r="M6724" i="1"/>
  <c r="M6725" i="1"/>
  <c r="M6726" i="1"/>
  <c r="M6727" i="1"/>
  <c r="M6728" i="1"/>
  <c r="M6729" i="1"/>
  <c r="M6730" i="1"/>
  <c r="M6731" i="1"/>
  <c r="M6732" i="1"/>
  <c r="M6733" i="1"/>
  <c r="M6734" i="1"/>
  <c r="M6735" i="1"/>
  <c r="M6736" i="1"/>
  <c r="M6737" i="1"/>
  <c r="M6738" i="1"/>
  <c r="M6739" i="1"/>
  <c r="M6740" i="1"/>
  <c r="M6741" i="1"/>
  <c r="M6742" i="1"/>
  <c r="M6743" i="1"/>
  <c r="M6744" i="1"/>
  <c r="M6745" i="1"/>
  <c r="M6746" i="1"/>
  <c r="M6747" i="1"/>
  <c r="M6748" i="1"/>
  <c r="M6749" i="1"/>
  <c r="M6750" i="1"/>
  <c r="M6751" i="1"/>
  <c r="M6752" i="1"/>
  <c r="M6753" i="1"/>
  <c r="M6754" i="1"/>
  <c r="M6755" i="1"/>
  <c r="M6756" i="1"/>
  <c r="M6757" i="1"/>
  <c r="M6758" i="1"/>
  <c r="M6759" i="1"/>
  <c r="M6760" i="1"/>
  <c r="M6761" i="1"/>
  <c r="M6762" i="1"/>
  <c r="M6763" i="1"/>
  <c r="M6764" i="1"/>
  <c r="M6765" i="1"/>
  <c r="M6766" i="1"/>
  <c r="M6767" i="1"/>
  <c r="M6768" i="1"/>
  <c r="M6769" i="1"/>
  <c r="M6770" i="1"/>
  <c r="M6771" i="1"/>
  <c r="M6772" i="1"/>
  <c r="M6773" i="1"/>
  <c r="M6774" i="1"/>
  <c r="M6775" i="1"/>
  <c r="M6776" i="1"/>
  <c r="M6777" i="1"/>
  <c r="M6778" i="1"/>
  <c r="M6779" i="1"/>
  <c r="M6780" i="1"/>
  <c r="M6781" i="1"/>
  <c r="M6782" i="1"/>
  <c r="M6783" i="1"/>
  <c r="M6784" i="1"/>
  <c r="M6785" i="1"/>
  <c r="M6786" i="1"/>
  <c r="M6787" i="1"/>
  <c r="M6788" i="1"/>
  <c r="M6789" i="1"/>
  <c r="M6790" i="1"/>
  <c r="M6791" i="1"/>
  <c r="M6792" i="1"/>
  <c r="M6793" i="1"/>
  <c r="M6794" i="1"/>
  <c r="M6795" i="1"/>
  <c r="M6796" i="1"/>
  <c r="M6797" i="1"/>
  <c r="M6798" i="1"/>
  <c r="M6799" i="1"/>
  <c r="M6800" i="1"/>
  <c r="M6801" i="1"/>
  <c r="M6802" i="1"/>
  <c r="M6803" i="1"/>
  <c r="M6804" i="1"/>
  <c r="M6805" i="1"/>
  <c r="M6806" i="1"/>
  <c r="M6807" i="1"/>
  <c r="M6808" i="1"/>
  <c r="M6809" i="1"/>
  <c r="M6810" i="1"/>
  <c r="M6811" i="1"/>
  <c r="M6812" i="1"/>
  <c r="M6813" i="1"/>
  <c r="M6814" i="1"/>
  <c r="M6815" i="1"/>
  <c r="M6816" i="1"/>
  <c r="M6817" i="1"/>
  <c r="M6818" i="1"/>
  <c r="M6819" i="1"/>
  <c r="M6820" i="1"/>
  <c r="M6821" i="1"/>
  <c r="M6822" i="1"/>
  <c r="M6823" i="1"/>
  <c r="M6824" i="1"/>
  <c r="M6825" i="1"/>
  <c r="M6826" i="1"/>
  <c r="M6827" i="1"/>
  <c r="M6828" i="1"/>
  <c r="M6829" i="1"/>
  <c r="M6830" i="1"/>
  <c r="M6831" i="1"/>
  <c r="M6832" i="1"/>
  <c r="M6833" i="1"/>
  <c r="M6834" i="1"/>
  <c r="M6835" i="1"/>
  <c r="M6836" i="1"/>
  <c r="M6837" i="1"/>
  <c r="M6838" i="1"/>
  <c r="M6839" i="1"/>
  <c r="M6840" i="1"/>
  <c r="M6841" i="1"/>
  <c r="M6842" i="1"/>
  <c r="M6843" i="1"/>
  <c r="M6844" i="1"/>
  <c r="M6845" i="1"/>
  <c r="M6846" i="1"/>
  <c r="M6847" i="1"/>
  <c r="M6848" i="1"/>
  <c r="M6849" i="1"/>
  <c r="M6850" i="1"/>
  <c r="M6851" i="1"/>
  <c r="M6852" i="1"/>
  <c r="M6853" i="1"/>
  <c r="M6854" i="1"/>
  <c r="M6855" i="1"/>
  <c r="M6856" i="1"/>
  <c r="M6857" i="1"/>
  <c r="M6858" i="1"/>
  <c r="M6859" i="1"/>
  <c r="M6860" i="1"/>
  <c r="M6861" i="1"/>
  <c r="M6862" i="1"/>
  <c r="M6863" i="1"/>
  <c r="M6864" i="1"/>
  <c r="M6865" i="1"/>
  <c r="M6866" i="1"/>
  <c r="M6867" i="1"/>
  <c r="M6868" i="1"/>
  <c r="M6869" i="1"/>
  <c r="M6870" i="1"/>
  <c r="M6871" i="1"/>
  <c r="M6872" i="1"/>
  <c r="M6873" i="1"/>
  <c r="M6874" i="1"/>
  <c r="M6875" i="1"/>
  <c r="M6876" i="1"/>
  <c r="M6877" i="1"/>
  <c r="M6878" i="1"/>
  <c r="M6879" i="1"/>
  <c r="M6880" i="1"/>
  <c r="M6881" i="1"/>
  <c r="M6882" i="1"/>
  <c r="M6883" i="1"/>
  <c r="M6884" i="1"/>
  <c r="M6885" i="1"/>
  <c r="M6886" i="1"/>
  <c r="M6887" i="1"/>
  <c r="M6888" i="1"/>
  <c r="M6889" i="1"/>
  <c r="M6890" i="1"/>
  <c r="M6891" i="1"/>
  <c r="M6892" i="1"/>
  <c r="M6893" i="1"/>
  <c r="M6894" i="1"/>
  <c r="M6895" i="1"/>
  <c r="M6896" i="1"/>
  <c r="M6897" i="1"/>
  <c r="M6898" i="1"/>
  <c r="M6899" i="1"/>
  <c r="M6900" i="1"/>
  <c r="M6901" i="1"/>
  <c r="M6902" i="1"/>
  <c r="M6903" i="1"/>
  <c r="M6904" i="1"/>
  <c r="M6905" i="1"/>
  <c r="M6906" i="1"/>
  <c r="M6907" i="1"/>
  <c r="M6908" i="1"/>
  <c r="M6909" i="1"/>
  <c r="M6910" i="1"/>
  <c r="M6911" i="1"/>
  <c r="M6912" i="1"/>
  <c r="M6913" i="1"/>
  <c r="M6914" i="1"/>
  <c r="M6915" i="1"/>
  <c r="M6916" i="1"/>
  <c r="M6917" i="1"/>
  <c r="M6918" i="1"/>
  <c r="M6919" i="1"/>
  <c r="M6920" i="1"/>
  <c r="M6921" i="1"/>
  <c r="M6922" i="1"/>
  <c r="M6923" i="1"/>
  <c r="M6924" i="1"/>
  <c r="M6925" i="1"/>
  <c r="M6926" i="1"/>
  <c r="M6927" i="1"/>
  <c r="M6928" i="1"/>
  <c r="M6929" i="1"/>
  <c r="M6930" i="1"/>
  <c r="M6931" i="1"/>
  <c r="M6932" i="1"/>
  <c r="M6933" i="1"/>
  <c r="M6934" i="1"/>
  <c r="M6935" i="1"/>
  <c r="M6936" i="1"/>
  <c r="M6937" i="1"/>
  <c r="M6938" i="1"/>
  <c r="M6939" i="1"/>
  <c r="M6940" i="1"/>
  <c r="M6941" i="1"/>
  <c r="M6942" i="1"/>
  <c r="M6943" i="1"/>
  <c r="M6944" i="1"/>
  <c r="M6945" i="1"/>
  <c r="M6946" i="1"/>
  <c r="M6947" i="1"/>
  <c r="M6948" i="1"/>
  <c r="M6949" i="1"/>
  <c r="M6950" i="1"/>
  <c r="M6951" i="1"/>
  <c r="M6952" i="1"/>
  <c r="M6953" i="1"/>
  <c r="M6954" i="1"/>
  <c r="M6955" i="1"/>
  <c r="M6956" i="1"/>
  <c r="M6957" i="1"/>
  <c r="M6958" i="1"/>
  <c r="M6959" i="1"/>
  <c r="M6960" i="1"/>
  <c r="M6961" i="1"/>
  <c r="M6962" i="1"/>
  <c r="M6963" i="1"/>
  <c r="M6964" i="1"/>
  <c r="M6965" i="1"/>
  <c r="M6966" i="1"/>
  <c r="M6967" i="1"/>
  <c r="M6968" i="1"/>
  <c r="M6969" i="1"/>
  <c r="M6970" i="1"/>
  <c r="M6971" i="1"/>
  <c r="M6972" i="1"/>
  <c r="M6973" i="1"/>
  <c r="M6974" i="1"/>
  <c r="M6975" i="1"/>
  <c r="M6976" i="1"/>
  <c r="M6977" i="1"/>
  <c r="M6978" i="1"/>
  <c r="M6979" i="1"/>
  <c r="M6980" i="1"/>
  <c r="M6981" i="1"/>
  <c r="M6982" i="1"/>
  <c r="M6983" i="1"/>
  <c r="M6984" i="1"/>
  <c r="M6985" i="1"/>
  <c r="M6986" i="1"/>
  <c r="M6987" i="1"/>
  <c r="M6988" i="1"/>
  <c r="M6989" i="1"/>
  <c r="M6990" i="1"/>
  <c r="M6991" i="1"/>
  <c r="M6992" i="1"/>
  <c r="M6993" i="1"/>
  <c r="M6994" i="1"/>
  <c r="M6995" i="1"/>
  <c r="M6996" i="1"/>
  <c r="M6997" i="1"/>
  <c r="M6998" i="1"/>
  <c r="M6999" i="1"/>
  <c r="M7000" i="1"/>
  <c r="M7001" i="1"/>
  <c r="M7002" i="1"/>
  <c r="M7003" i="1"/>
  <c r="M7004" i="1"/>
  <c r="M7005" i="1"/>
  <c r="M7006" i="1"/>
  <c r="M7007" i="1"/>
  <c r="M7008" i="1"/>
  <c r="M7009" i="1"/>
  <c r="M7010" i="1"/>
  <c r="M7011" i="1"/>
  <c r="M7012" i="1"/>
  <c r="M7013" i="1"/>
  <c r="M7014" i="1"/>
  <c r="M7015" i="1"/>
  <c r="M7016" i="1"/>
  <c r="M7017" i="1"/>
  <c r="M7018" i="1"/>
  <c r="M7019" i="1"/>
  <c r="M7020" i="1"/>
  <c r="M7021" i="1"/>
  <c r="M7022" i="1"/>
  <c r="M7023" i="1"/>
  <c r="M7024" i="1"/>
  <c r="M7025" i="1"/>
  <c r="M7026" i="1"/>
  <c r="M7027" i="1"/>
  <c r="M7028" i="1"/>
  <c r="M7029" i="1"/>
  <c r="M7030" i="1"/>
  <c r="M7031" i="1"/>
  <c r="M7032" i="1"/>
  <c r="M7033" i="1"/>
  <c r="M7034" i="1"/>
  <c r="M7035" i="1"/>
  <c r="M7036" i="1"/>
  <c r="M7037" i="1"/>
  <c r="M7038" i="1"/>
  <c r="M7039" i="1"/>
  <c r="M7040" i="1"/>
  <c r="M7041" i="1"/>
  <c r="M7042" i="1"/>
  <c r="M7043" i="1"/>
  <c r="M7044" i="1"/>
  <c r="M7045" i="1"/>
  <c r="M7046" i="1"/>
  <c r="M7047" i="1"/>
  <c r="M7048" i="1"/>
  <c r="M7049" i="1"/>
  <c r="M7050" i="1"/>
  <c r="M7051" i="1"/>
  <c r="M7052" i="1"/>
  <c r="M7053" i="1"/>
  <c r="M7054" i="1"/>
  <c r="M7055" i="1"/>
  <c r="M7056" i="1"/>
  <c r="M7057" i="1"/>
  <c r="M7058" i="1"/>
  <c r="M7059" i="1"/>
  <c r="M7060" i="1"/>
  <c r="M7061" i="1"/>
  <c r="M7062" i="1"/>
  <c r="M7063" i="1"/>
  <c r="M7064" i="1"/>
  <c r="M7065" i="1"/>
  <c r="M7066" i="1"/>
  <c r="M7067" i="1"/>
  <c r="M7068" i="1"/>
  <c r="M7069" i="1"/>
  <c r="M7070" i="1"/>
  <c r="M7071" i="1"/>
  <c r="M7072" i="1"/>
  <c r="M7073" i="1"/>
  <c r="M7074" i="1"/>
  <c r="M7075" i="1"/>
  <c r="M7076" i="1"/>
  <c r="M7077" i="1"/>
  <c r="M7078" i="1"/>
  <c r="M7079" i="1"/>
  <c r="M7080" i="1"/>
  <c r="M7081" i="1"/>
  <c r="M7082" i="1"/>
  <c r="M7083" i="1"/>
  <c r="M7084" i="1"/>
  <c r="M7085" i="1"/>
  <c r="M7086" i="1"/>
  <c r="M7087" i="1"/>
  <c r="M7088" i="1"/>
  <c r="M7089" i="1"/>
  <c r="M7090" i="1"/>
  <c r="M7091" i="1"/>
  <c r="M7092" i="1"/>
  <c r="M7093" i="1"/>
  <c r="M7094" i="1"/>
  <c r="M7095" i="1"/>
  <c r="M7096" i="1"/>
  <c r="M7097" i="1"/>
  <c r="M7098" i="1"/>
  <c r="M7099" i="1"/>
  <c r="M7100" i="1"/>
  <c r="M7101" i="1"/>
  <c r="M7102" i="1"/>
  <c r="M7103" i="1"/>
  <c r="M7104" i="1"/>
  <c r="M7105" i="1"/>
  <c r="M7106" i="1"/>
  <c r="M7107" i="1"/>
  <c r="M7108" i="1"/>
  <c r="M7109" i="1"/>
  <c r="M7110" i="1"/>
  <c r="M7111" i="1"/>
  <c r="M7112" i="1"/>
  <c r="M7113" i="1"/>
  <c r="M7114" i="1"/>
  <c r="M7115" i="1"/>
  <c r="M7116" i="1"/>
  <c r="M7117" i="1"/>
  <c r="M7118" i="1"/>
  <c r="M7119" i="1"/>
  <c r="M7120" i="1"/>
  <c r="M7121" i="1"/>
  <c r="M7122" i="1"/>
  <c r="M7123" i="1"/>
  <c r="M7124" i="1"/>
  <c r="M7125" i="1"/>
  <c r="M7126" i="1"/>
  <c r="M7127" i="1"/>
  <c r="M7128" i="1"/>
  <c r="M7129" i="1"/>
  <c r="M7130" i="1"/>
  <c r="M7131" i="1"/>
  <c r="M7132" i="1"/>
  <c r="M7133" i="1"/>
  <c r="M7134" i="1"/>
  <c r="M7135" i="1"/>
  <c r="M7136" i="1"/>
  <c r="M7137" i="1"/>
  <c r="M7138" i="1"/>
  <c r="M7139" i="1"/>
  <c r="M7140" i="1"/>
  <c r="M7141" i="1"/>
  <c r="M7142" i="1"/>
  <c r="M7143" i="1"/>
  <c r="M7144" i="1"/>
  <c r="M7145" i="1"/>
  <c r="M7146" i="1"/>
  <c r="M7147" i="1"/>
  <c r="M7148" i="1"/>
  <c r="M7149" i="1"/>
  <c r="M7150" i="1"/>
  <c r="M7151" i="1"/>
  <c r="M7152" i="1"/>
  <c r="M7153" i="1"/>
  <c r="M7154" i="1"/>
  <c r="M7155" i="1"/>
  <c r="M7156" i="1"/>
  <c r="M7157" i="1"/>
  <c r="M7158" i="1"/>
  <c r="M7159" i="1"/>
  <c r="M7160" i="1"/>
  <c r="M7161" i="1"/>
  <c r="M7162" i="1"/>
  <c r="M7163" i="1"/>
  <c r="M7164" i="1"/>
  <c r="M7165" i="1"/>
  <c r="M7166" i="1"/>
  <c r="M7167" i="1"/>
  <c r="M7168" i="1"/>
  <c r="M7169" i="1"/>
  <c r="M7170" i="1"/>
  <c r="M7171" i="1"/>
  <c r="M7172" i="1"/>
  <c r="M7173" i="1"/>
  <c r="M7174" i="1"/>
  <c r="M7175" i="1"/>
  <c r="M7176" i="1"/>
  <c r="M7177" i="1"/>
  <c r="M7178" i="1"/>
  <c r="M7179" i="1"/>
  <c r="M7180" i="1"/>
  <c r="M7181" i="1"/>
  <c r="M7182" i="1"/>
  <c r="M7183" i="1"/>
  <c r="M7184" i="1"/>
  <c r="M7185" i="1"/>
  <c r="M7186" i="1"/>
  <c r="M7187" i="1"/>
  <c r="M7188" i="1"/>
  <c r="M7189" i="1"/>
  <c r="M7190" i="1"/>
  <c r="M7191" i="1"/>
  <c r="M7192" i="1"/>
  <c r="M7193" i="1"/>
  <c r="M7194" i="1"/>
  <c r="M7195" i="1"/>
  <c r="M7196" i="1"/>
  <c r="M7197" i="1"/>
  <c r="M7198" i="1"/>
  <c r="M7199" i="1"/>
  <c r="M7200" i="1"/>
  <c r="M7201" i="1"/>
  <c r="M7202" i="1"/>
  <c r="M7203" i="1"/>
  <c r="M7204" i="1"/>
  <c r="M7205" i="1"/>
  <c r="M7206" i="1"/>
  <c r="M7207" i="1"/>
  <c r="M7208" i="1"/>
  <c r="M7209" i="1"/>
  <c r="M7210" i="1"/>
  <c r="M7211" i="1"/>
  <c r="M7212" i="1"/>
  <c r="M7213" i="1"/>
  <c r="M7214" i="1"/>
  <c r="M7215" i="1"/>
  <c r="M7216" i="1"/>
  <c r="M7217" i="1"/>
  <c r="M7218" i="1"/>
  <c r="M7219" i="1"/>
  <c r="M7220" i="1"/>
  <c r="M7221" i="1"/>
  <c r="M7222" i="1"/>
  <c r="M7223" i="1"/>
  <c r="M7224" i="1"/>
  <c r="M7225" i="1"/>
  <c r="M7226" i="1"/>
  <c r="M7227" i="1"/>
  <c r="M7228" i="1"/>
  <c r="M7229" i="1"/>
  <c r="M7230" i="1"/>
  <c r="M7231" i="1"/>
  <c r="M7232" i="1"/>
  <c r="M7233" i="1"/>
  <c r="M7234" i="1"/>
  <c r="M7235" i="1"/>
  <c r="M7236" i="1"/>
  <c r="M7237" i="1"/>
  <c r="M7238" i="1"/>
  <c r="M7239" i="1"/>
  <c r="M7240" i="1"/>
  <c r="M7241" i="1"/>
  <c r="M7242" i="1"/>
  <c r="M7243" i="1"/>
  <c r="M7244" i="1"/>
  <c r="M7245" i="1"/>
  <c r="M7246" i="1"/>
  <c r="M7247" i="1"/>
  <c r="M7248" i="1"/>
  <c r="M7249" i="1"/>
  <c r="M7250" i="1"/>
  <c r="M7251" i="1"/>
  <c r="M7252" i="1"/>
  <c r="M7253" i="1"/>
  <c r="M7254" i="1"/>
  <c r="M7255" i="1"/>
  <c r="M7256" i="1"/>
  <c r="M7257" i="1"/>
  <c r="M7258" i="1"/>
  <c r="M7259" i="1"/>
  <c r="M7260" i="1"/>
  <c r="M7261" i="1"/>
  <c r="M7262" i="1"/>
  <c r="M7263" i="1"/>
  <c r="M7264" i="1"/>
  <c r="M7265" i="1"/>
  <c r="M7266" i="1"/>
  <c r="M7267" i="1"/>
  <c r="M7268" i="1"/>
  <c r="M7269" i="1"/>
  <c r="M7270" i="1"/>
  <c r="M7271" i="1"/>
  <c r="M7272" i="1"/>
  <c r="M7273" i="1"/>
  <c r="M7274" i="1"/>
  <c r="M7275" i="1"/>
  <c r="M7276" i="1"/>
  <c r="M7277" i="1"/>
  <c r="M7278" i="1"/>
  <c r="M7279" i="1"/>
  <c r="M7280" i="1"/>
  <c r="M7281" i="1"/>
  <c r="M7282" i="1"/>
  <c r="M7283" i="1"/>
  <c r="M7284" i="1"/>
  <c r="M7285" i="1"/>
  <c r="M7286" i="1"/>
  <c r="M7287" i="1"/>
  <c r="M7288" i="1"/>
  <c r="M7289" i="1"/>
  <c r="M7290" i="1"/>
  <c r="M7291" i="1"/>
  <c r="M7292" i="1"/>
  <c r="M7293" i="1"/>
  <c r="M7294" i="1"/>
  <c r="M7295" i="1"/>
  <c r="M7296" i="1"/>
  <c r="M7297" i="1"/>
  <c r="M7298" i="1"/>
  <c r="M7299" i="1"/>
  <c r="M7300" i="1"/>
  <c r="M7301" i="1"/>
  <c r="M7302" i="1"/>
  <c r="M7303" i="1"/>
  <c r="M7304" i="1"/>
  <c r="M7305" i="1"/>
  <c r="M7306" i="1"/>
  <c r="M7307" i="1"/>
  <c r="M7308" i="1"/>
  <c r="M7309" i="1"/>
  <c r="M7310" i="1"/>
  <c r="M7311" i="1"/>
  <c r="M7312" i="1"/>
  <c r="M7313" i="1"/>
  <c r="M7314" i="1"/>
  <c r="M7315" i="1"/>
  <c r="M7316" i="1"/>
  <c r="M7317" i="1"/>
  <c r="M7318" i="1"/>
  <c r="M7319" i="1"/>
  <c r="M7320" i="1"/>
  <c r="M7321" i="1"/>
  <c r="M7322" i="1"/>
  <c r="M7323" i="1"/>
  <c r="M7324" i="1"/>
  <c r="M7325" i="1"/>
  <c r="M7326" i="1"/>
  <c r="M7327" i="1"/>
  <c r="M7328" i="1"/>
  <c r="M7329" i="1"/>
  <c r="M7330" i="1"/>
  <c r="M7331" i="1"/>
  <c r="M7332" i="1"/>
  <c r="M7333" i="1"/>
  <c r="M7334" i="1"/>
  <c r="M7335" i="1"/>
  <c r="M7336" i="1"/>
  <c r="M7337" i="1"/>
  <c r="M7338" i="1"/>
  <c r="M7339" i="1"/>
  <c r="M7340" i="1"/>
  <c r="M7341" i="1"/>
  <c r="M7342" i="1"/>
  <c r="M7343" i="1"/>
  <c r="M7344" i="1"/>
  <c r="M7345" i="1"/>
  <c r="M7346" i="1"/>
  <c r="M7347" i="1"/>
  <c r="M7348" i="1"/>
  <c r="M7349" i="1"/>
  <c r="M7350" i="1"/>
  <c r="M7351" i="1"/>
  <c r="M7352" i="1"/>
  <c r="M7353" i="1"/>
  <c r="M7354" i="1"/>
  <c r="M7355" i="1"/>
  <c r="M7356" i="1"/>
  <c r="M7357" i="1"/>
  <c r="M7358" i="1"/>
  <c r="M7359" i="1"/>
  <c r="M7360" i="1"/>
  <c r="M7361" i="1"/>
  <c r="M7362" i="1"/>
  <c r="M7363" i="1"/>
  <c r="M7364" i="1"/>
  <c r="M7365" i="1"/>
  <c r="M7366" i="1"/>
  <c r="M7367" i="1"/>
  <c r="M7368" i="1"/>
  <c r="M7369" i="1"/>
  <c r="M7370" i="1"/>
  <c r="M7371" i="1"/>
  <c r="M7372" i="1"/>
  <c r="M7373" i="1"/>
  <c r="M7374" i="1"/>
  <c r="M7375" i="1"/>
  <c r="M7376" i="1"/>
  <c r="M7377" i="1"/>
  <c r="M7378" i="1"/>
  <c r="M7379" i="1"/>
  <c r="M7380" i="1"/>
  <c r="M7381" i="1"/>
  <c r="M7382" i="1"/>
  <c r="M7383" i="1"/>
  <c r="M7384" i="1"/>
  <c r="M7385" i="1"/>
  <c r="M7386" i="1"/>
  <c r="M7387" i="1"/>
  <c r="M7388" i="1"/>
  <c r="M7389" i="1"/>
  <c r="M7390" i="1"/>
  <c r="M7391" i="1"/>
  <c r="M7392" i="1"/>
  <c r="M7393" i="1"/>
  <c r="M7394" i="1"/>
  <c r="M7395" i="1"/>
  <c r="M7396" i="1"/>
  <c r="M7397" i="1"/>
  <c r="M7398" i="1"/>
  <c r="M7399" i="1"/>
  <c r="M7400" i="1"/>
  <c r="M7401" i="1"/>
  <c r="M7402" i="1"/>
  <c r="M7403" i="1"/>
  <c r="M7404" i="1"/>
  <c r="M7405" i="1"/>
  <c r="M7406" i="1"/>
  <c r="M7407" i="1"/>
  <c r="M7408" i="1"/>
  <c r="M7409" i="1"/>
  <c r="M7410" i="1"/>
  <c r="M7411" i="1"/>
  <c r="M7412" i="1"/>
  <c r="M7413" i="1"/>
  <c r="M7414" i="1"/>
  <c r="M7415" i="1"/>
  <c r="M7416" i="1"/>
  <c r="M7417" i="1"/>
  <c r="M7418" i="1"/>
  <c r="M7419" i="1"/>
  <c r="M7420" i="1"/>
  <c r="M7421" i="1"/>
  <c r="M7422" i="1"/>
  <c r="M7423" i="1"/>
  <c r="M7424" i="1"/>
  <c r="M7425" i="1"/>
  <c r="M7426" i="1"/>
  <c r="M7427" i="1"/>
  <c r="M7428" i="1"/>
  <c r="M7429" i="1"/>
  <c r="M7430" i="1"/>
  <c r="M7431" i="1"/>
  <c r="M7432" i="1"/>
  <c r="M7433" i="1"/>
  <c r="M7434" i="1"/>
  <c r="M7435" i="1"/>
  <c r="M7436" i="1"/>
  <c r="M7437" i="1"/>
  <c r="M7438" i="1"/>
  <c r="M7439" i="1"/>
  <c r="M7440" i="1"/>
  <c r="M7441" i="1"/>
  <c r="M7442" i="1"/>
  <c r="M7443" i="1"/>
  <c r="M7444" i="1"/>
  <c r="M7445" i="1"/>
  <c r="M7446" i="1"/>
  <c r="M7447" i="1"/>
  <c r="M7448" i="1"/>
  <c r="M7449" i="1"/>
  <c r="M7450" i="1"/>
  <c r="M7451" i="1"/>
  <c r="M7452" i="1"/>
  <c r="M7453" i="1"/>
  <c r="M7454" i="1"/>
  <c r="M7455" i="1"/>
  <c r="M7456" i="1"/>
  <c r="M7457" i="1"/>
  <c r="M7458" i="1"/>
  <c r="M7459" i="1"/>
  <c r="M7460" i="1"/>
  <c r="M7461" i="1"/>
  <c r="M7462" i="1"/>
  <c r="M7463" i="1"/>
  <c r="M7464" i="1"/>
  <c r="M7465" i="1"/>
  <c r="M7466" i="1"/>
  <c r="M7467" i="1"/>
  <c r="M7468" i="1"/>
  <c r="M7469" i="1"/>
  <c r="M7470" i="1"/>
  <c r="M7471" i="1"/>
  <c r="M7472" i="1"/>
  <c r="M7473" i="1"/>
  <c r="M7474" i="1"/>
  <c r="M7475" i="1"/>
  <c r="M7476" i="1"/>
  <c r="M7477" i="1"/>
  <c r="M7478" i="1"/>
  <c r="M7479" i="1"/>
  <c r="M7480" i="1"/>
  <c r="M7481" i="1"/>
  <c r="M7482" i="1"/>
  <c r="M7483" i="1"/>
  <c r="M7484" i="1"/>
  <c r="M7485" i="1"/>
  <c r="M7486" i="1"/>
  <c r="M7487" i="1"/>
  <c r="M7488" i="1"/>
  <c r="M7489" i="1"/>
  <c r="M7490" i="1"/>
  <c r="M7491" i="1"/>
  <c r="M7492" i="1"/>
  <c r="M7493" i="1"/>
  <c r="M7494" i="1"/>
  <c r="M7495" i="1"/>
  <c r="M7496" i="1"/>
  <c r="M7497" i="1"/>
  <c r="M7498" i="1"/>
  <c r="M7499" i="1"/>
  <c r="M7500" i="1"/>
  <c r="M7501" i="1"/>
  <c r="M7502" i="1"/>
  <c r="M7503" i="1"/>
  <c r="M7504" i="1"/>
  <c r="M7505" i="1"/>
  <c r="M7506" i="1"/>
  <c r="M7507" i="1"/>
  <c r="M7508" i="1"/>
  <c r="M7509" i="1"/>
  <c r="M7510" i="1"/>
  <c r="M7511" i="1"/>
  <c r="M7512" i="1"/>
  <c r="M7513" i="1"/>
  <c r="M7514" i="1"/>
  <c r="M7515" i="1"/>
  <c r="M7516" i="1"/>
  <c r="M7517" i="1"/>
  <c r="M7518" i="1"/>
  <c r="M7519" i="1"/>
  <c r="M7520" i="1"/>
  <c r="M7521" i="1"/>
  <c r="M7522" i="1"/>
  <c r="M7523" i="1"/>
  <c r="M7524" i="1"/>
  <c r="M7525" i="1"/>
  <c r="M7526" i="1"/>
  <c r="M7527" i="1"/>
  <c r="M7528" i="1"/>
  <c r="M7529" i="1"/>
  <c r="M7530" i="1"/>
  <c r="M7531" i="1"/>
  <c r="M7532" i="1"/>
  <c r="M7533" i="1"/>
  <c r="M7534" i="1"/>
  <c r="M7535" i="1"/>
  <c r="M7536" i="1"/>
  <c r="M7537" i="1"/>
  <c r="M7538" i="1"/>
  <c r="M7539" i="1"/>
  <c r="M7540" i="1"/>
  <c r="M7541" i="1"/>
  <c r="M7542" i="1"/>
  <c r="M7543" i="1"/>
  <c r="M7544" i="1"/>
  <c r="M7545" i="1"/>
  <c r="M7546" i="1"/>
  <c r="M7547" i="1"/>
  <c r="M7548" i="1"/>
  <c r="M7549" i="1"/>
  <c r="M7550" i="1"/>
  <c r="M7551" i="1"/>
  <c r="M7552" i="1"/>
  <c r="M7553" i="1"/>
  <c r="M7554" i="1"/>
  <c r="M7555" i="1"/>
  <c r="M7556" i="1"/>
  <c r="M7557" i="1"/>
  <c r="M7558" i="1"/>
  <c r="M7559" i="1"/>
  <c r="M7560" i="1"/>
  <c r="M7561" i="1"/>
  <c r="M7562" i="1"/>
  <c r="M7563" i="1"/>
  <c r="M7564" i="1"/>
  <c r="M7565" i="1"/>
  <c r="M7566" i="1"/>
  <c r="M7567" i="1"/>
  <c r="M7568" i="1"/>
  <c r="M7569" i="1"/>
  <c r="M7570" i="1"/>
  <c r="M7571" i="1"/>
  <c r="M7572" i="1"/>
  <c r="M7573" i="1"/>
  <c r="M7574" i="1"/>
  <c r="M7575" i="1"/>
  <c r="M7576" i="1"/>
  <c r="M7577" i="1"/>
  <c r="M7578" i="1"/>
  <c r="M7579" i="1"/>
  <c r="M7580" i="1"/>
  <c r="M7581" i="1"/>
  <c r="M7582" i="1"/>
  <c r="M7583" i="1"/>
  <c r="M7584" i="1"/>
  <c r="M7585" i="1"/>
  <c r="M7586" i="1"/>
  <c r="M7587" i="1"/>
  <c r="M7588" i="1"/>
  <c r="M7589" i="1"/>
  <c r="M7590" i="1"/>
  <c r="M7591" i="1"/>
  <c r="M7592" i="1"/>
  <c r="M7593" i="1"/>
  <c r="M7594" i="1"/>
  <c r="M7595" i="1"/>
  <c r="M7596" i="1"/>
  <c r="M7597" i="1"/>
  <c r="M7598" i="1"/>
  <c r="M7599" i="1"/>
  <c r="M7600" i="1"/>
  <c r="M7601" i="1"/>
  <c r="M7602" i="1"/>
  <c r="M7603" i="1"/>
  <c r="M7604" i="1"/>
  <c r="M7605" i="1"/>
  <c r="M7606" i="1"/>
  <c r="M7607" i="1"/>
  <c r="M7608" i="1"/>
  <c r="M7609" i="1"/>
  <c r="M7610" i="1"/>
  <c r="M7611" i="1"/>
  <c r="M7612" i="1"/>
  <c r="M7613" i="1"/>
  <c r="M7614" i="1"/>
  <c r="M7615" i="1"/>
  <c r="M7616" i="1"/>
  <c r="M7617" i="1"/>
  <c r="M7618" i="1"/>
  <c r="M7619" i="1"/>
  <c r="M7620" i="1"/>
  <c r="M7621" i="1"/>
  <c r="M7622" i="1"/>
  <c r="M7623" i="1"/>
  <c r="M7624" i="1"/>
  <c r="M7625" i="1"/>
  <c r="M7626" i="1"/>
  <c r="M7627" i="1"/>
  <c r="M7628" i="1"/>
  <c r="M7629" i="1"/>
  <c r="M7630" i="1"/>
  <c r="M7631" i="1"/>
  <c r="M7632" i="1"/>
  <c r="M7633" i="1"/>
  <c r="M7634" i="1"/>
  <c r="M7635" i="1"/>
  <c r="M7636" i="1"/>
  <c r="M7637" i="1"/>
  <c r="M7638" i="1"/>
  <c r="M7639" i="1"/>
  <c r="M7640" i="1"/>
  <c r="M7641" i="1"/>
  <c r="M7642" i="1"/>
  <c r="M7643" i="1"/>
  <c r="M7644" i="1"/>
  <c r="M7645" i="1"/>
  <c r="M7646" i="1"/>
  <c r="M7647" i="1"/>
  <c r="M7648" i="1"/>
  <c r="M7649" i="1"/>
  <c r="M7650" i="1"/>
  <c r="M7651" i="1"/>
  <c r="M7652" i="1"/>
  <c r="M7653" i="1"/>
  <c r="M7654" i="1"/>
  <c r="M7655" i="1"/>
  <c r="M7656" i="1"/>
  <c r="M7657" i="1"/>
  <c r="M7658" i="1"/>
  <c r="M7659" i="1"/>
  <c r="M7660" i="1"/>
  <c r="M7661" i="1"/>
  <c r="M7662" i="1"/>
  <c r="M7663" i="1"/>
  <c r="M7664" i="1"/>
  <c r="M7665" i="1"/>
  <c r="M7666" i="1"/>
  <c r="M7667" i="1"/>
  <c r="M7668" i="1"/>
  <c r="M7669" i="1"/>
  <c r="M7670" i="1"/>
  <c r="M7671" i="1"/>
  <c r="M7672" i="1"/>
  <c r="M7673" i="1"/>
  <c r="M7674" i="1"/>
  <c r="M7675" i="1"/>
  <c r="M7676" i="1"/>
  <c r="M7677" i="1"/>
  <c r="M7678" i="1"/>
  <c r="M7679" i="1"/>
  <c r="M7680" i="1"/>
  <c r="M7681" i="1"/>
  <c r="M7682" i="1"/>
  <c r="M7683" i="1"/>
  <c r="M7684" i="1"/>
  <c r="M7685" i="1"/>
  <c r="M7686" i="1"/>
  <c r="M7687" i="1"/>
  <c r="M7688" i="1"/>
  <c r="M7689" i="1"/>
  <c r="M7690" i="1"/>
  <c r="M7691" i="1"/>
  <c r="M7692" i="1"/>
  <c r="M7693" i="1"/>
  <c r="M7694" i="1"/>
  <c r="M7695" i="1"/>
  <c r="M7696" i="1"/>
  <c r="M7697" i="1"/>
  <c r="M7698" i="1"/>
  <c r="M7699" i="1"/>
  <c r="M7700" i="1"/>
  <c r="M7701" i="1"/>
  <c r="M7702" i="1"/>
  <c r="M7703" i="1"/>
  <c r="M7704" i="1"/>
  <c r="M7705" i="1"/>
  <c r="M7706" i="1"/>
  <c r="M7707" i="1"/>
  <c r="M7708" i="1"/>
  <c r="M7709" i="1"/>
  <c r="M7710" i="1"/>
  <c r="M7711" i="1"/>
  <c r="M7712" i="1"/>
  <c r="M7713" i="1"/>
  <c r="M7714" i="1"/>
  <c r="M7715" i="1"/>
  <c r="M7716" i="1"/>
  <c r="M7717" i="1"/>
  <c r="M7718" i="1"/>
  <c r="M7719" i="1"/>
  <c r="M7720" i="1"/>
  <c r="M7721" i="1"/>
  <c r="M7722" i="1"/>
  <c r="M7723" i="1"/>
  <c r="M7724" i="1"/>
  <c r="M7725" i="1"/>
  <c r="M7726" i="1"/>
  <c r="M7727" i="1"/>
  <c r="M7728" i="1"/>
  <c r="M7729" i="1"/>
  <c r="M7730" i="1"/>
  <c r="M7731" i="1"/>
  <c r="M7732" i="1"/>
  <c r="M7733" i="1"/>
  <c r="M7734" i="1"/>
  <c r="M7735" i="1"/>
  <c r="M7736" i="1"/>
  <c r="M7737" i="1"/>
  <c r="M7738" i="1"/>
  <c r="M7739" i="1"/>
  <c r="M7740" i="1"/>
  <c r="M7741" i="1"/>
  <c r="M7742" i="1"/>
  <c r="M7743" i="1"/>
  <c r="M7744" i="1"/>
  <c r="M7745" i="1"/>
  <c r="M7746" i="1"/>
  <c r="M7747" i="1"/>
  <c r="M7748" i="1"/>
  <c r="M7749" i="1"/>
  <c r="M7750" i="1"/>
  <c r="M7751" i="1"/>
  <c r="M7752" i="1"/>
  <c r="M7753" i="1"/>
  <c r="M7754" i="1"/>
  <c r="M7755" i="1"/>
  <c r="M7756" i="1"/>
  <c r="M7757" i="1"/>
  <c r="M7758" i="1"/>
  <c r="M7759" i="1"/>
  <c r="M7760" i="1"/>
  <c r="M7761" i="1"/>
  <c r="M7762" i="1"/>
  <c r="M7763" i="1"/>
  <c r="M7764" i="1"/>
  <c r="M7765" i="1"/>
  <c r="M7766" i="1"/>
  <c r="M7767" i="1"/>
  <c r="M7768" i="1"/>
  <c r="M7769" i="1"/>
  <c r="M7770" i="1"/>
  <c r="M7771" i="1"/>
  <c r="M7772" i="1"/>
  <c r="M7773" i="1"/>
  <c r="M7774" i="1"/>
  <c r="M7775" i="1"/>
  <c r="M7776" i="1"/>
  <c r="M7777" i="1"/>
  <c r="M7778" i="1"/>
  <c r="M7779" i="1"/>
  <c r="M7780" i="1"/>
  <c r="M7781" i="1"/>
  <c r="M7782" i="1"/>
  <c r="M7783" i="1"/>
  <c r="M7784" i="1"/>
  <c r="M7785" i="1"/>
  <c r="M7786" i="1"/>
  <c r="M7787" i="1"/>
  <c r="M7788" i="1"/>
  <c r="M7789" i="1"/>
  <c r="M7790" i="1"/>
  <c r="M7791" i="1"/>
  <c r="M7792" i="1"/>
  <c r="M7793" i="1"/>
  <c r="M7794" i="1"/>
  <c r="M7795" i="1"/>
  <c r="M7796" i="1"/>
  <c r="M7797" i="1"/>
  <c r="M7798" i="1"/>
  <c r="M7799" i="1"/>
  <c r="M7800" i="1"/>
  <c r="M7801" i="1"/>
  <c r="M7802" i="1"/>
  <c r="M7803" i="1"/>
  <c r="M7804" i="1"/>
  <c r="M7805" i="1"/>
  <c r="M7806" i="1"/>
  <c r="M7807" i="1"/>
  <c r="M7808" i="1"/>
  <c r="M7809" i="1"/>
  <c r="M7810" i="1"/>
  <c r="M7811" i="1"/>
  <c r="M7812" i="1"/>
  <c r="M7813" i="1"/>
  <c r="M7814" i="1"/>
  <c r="M7815" i="1"/>
  <c r="M7816" i="1"/>
  <c r="M7817" i="1"/>
  <c r="M7818" i="1"/>
  <c r="M7819" i="1"/>
  <c r="M7820" i="1"/>
  <c r="M7821" i="1"/>
  <c r="M7822" i="1"/>
  <c r="M7823" i="1"/>
  <c r="M7824" i="1"/>
  <c r="M7825" i="1"/>
  <c r="M7826" i="1"/>
  <c r="M7827" i="1"/>
  <c r="M7828" i="1"/>
  <c r="M7829" i="1"/>
  <c r="M7830" i="1"/>
  <c r="M7831" i="1"/>
  <c r="M7832" i="1"/>
  <c r="M7833" i="1"/>
  <c r="M7834" i="1"/>
  <c r="M7835" i="1"/>
  <c r="M7836" i="1"/>
  <c r="M7837" i="1"/>
  <c r="M7838" i="1"/>
  <c r="M7839" i="1"/>
  <c r="M7840" i="1"/>
  <c r="M7841" i="1"/>
  <c r="M7842" i="1"/>
  <c r="M7843" i="1"/>
  <c r="M7844" i="1"/>
  <c r="M7845" i="1"/>
  <c r="M7846" i="1"/>
  <c r="M7847" i="1"/>
  <c r="M7848" i="1"/>
  <c r="M7849" i="1"/>
  <c r="M7850" i="1"/>
  <c r="M7851" i="1"/>
  <c r="M7852" i="1"/>
  <c r="M7853" i="1"/>
  <c r="M7854" i="1"/>
  <c r="M7855" i="1"/>
  <c r="M7856" i="1"/>
  <c r="M7857" i="1"/>
  <c r="M7858" i="1"/>
  <c r="M7859" i="1"/>
  <c r="M7860" i="1"/>
  <c r="M7861" i="1"/>
  <c r="M7862" i="1"/>
  <c r="M7863" i="1"/>
  <c r="M7864" i="1"/>
  <c r="M7865" i="1"/>
  <c r="M7866" i="1"/>
  <c r="M7867" i="1"/>
  <c r="M7868" i="1"/>
  <c r="M7869" i="1"/>
  <c r="M7870" i="1"/>
  <c r="M7871" i="1"/>
  <c r="M7872" i="1"/>
  <c r="M7873" i="1"/>
  <c r="M7874" i="1"/>
  <c r="M7875" i="1"/>
  <c r="M7876" i="1"/>
  <c r="M7877" i="1"/>
  <c r="M7878" i="1"/>
  <c r="M7879" i="1"/>
  <c r="M7880" i="1"/>
  <c r="M7881" i="1"/>
  <c r="M7882" i="1"/>
  <c r="M7883" i="1"/>
  <c r="M7884" i="1"/>
  <c r="M7885" i="1"/>
  <c r="M7886" i="1"/>
  <c r="M7887" i="1"/>
  <c r="M7888" i="1"/>
  <c r="M7889" i="1"/>
  <c r="M7890" i="1"/>
  <c r="M7891" i="1"/>
  <c r="M7892" i="1"/>
  <c r="M7893" i="1"/>
  <c r="M7894" i="1"/>
  <c r="M7895" i="1"/>
  <c r="M7896" i="1"/>
  <c r="M7897" i="1"/>
  <c r="M7898" i="1"/>
  <c r="M7899" i="1"/>
  <c r="M7900" i="1"/>
  <c r="M7901" i="1"/>
  <c r="M7902" i="1"/>
  <c r="M7903" i="1"/>
  <c r="M7904" i="1"/>
  <c r="M7905" i="1"/>
  <c r="M7906" i="1"/>
  <c r="M7907" i="1"/>
  <c r="M7908" i="1"/>
  <c r="M7909" i="1"/>
  <c r="M7910" i="1"/>
  <c r="M7911" i="1"/>
  <c r="M7912" i="1"/>
  <c r="M7913" i="1"/>
  <c r="M7914" i="1"/>
  <c r="M7915" i="1"/>
  <c r="M7916" i="1"/>
  <c r="M7917" i="1"/>
  <c r="M7918" i="1"/>
  <c r="M7919" i="1"/>
  <c r="M7920" i="1"/>
  <c r="M7921" i="1"/>
  <c r="M7922" i="1"/>
  <c r="M7923" i="1"/>
  <c r="M7924" i="1"/>
  <c r="M7925" i="1"/>
  <c r="M7926" i="1"/>
  <c r="M7927" i="1"/>
  <c r="M7928" i="1"/>
  <c r="M7929" i="1"/>
  <c r="M7930" i="1"/>
  <c r="M7931" i="1"/>
  <c r="M7932" i="1"/>
  <c r="M7933" i="1"/>
  <c r="M7934" i="1"/>
  <c r="M7935" i="1"/>
  <c r="M7936" i="1"/>
  <c r="M7937" i="1"/>
  <c r="M7938" i="1"/>
  <c r="M7939" i="1"/>
  <c r="M7940" i="1"/>
  <c r="M7941" i="1"/>
  <c r="M7942" i="1"/>
  <c r="M7943" i="1"/>
  <c r="M7944" i="1"/>
  <c r="M7945" i="1"/>
  <c r="M7946" i="1"/>
  <c r="M7947" i="1"/>
  <c r="M7948" i="1"/>
  <c r="M7949" i="1"/>
  <c r="M7950" i="1"/>
  <c r="M7951" i="1"/>
  <c r="M7952" i="1"/>
  <c r="M7953" i="1"/>
  <c r="M7954" i="1"/>
  <c r="M7955" i="1"/>
  <c r="M7956" i="1"/>
  <c r="M7957" i="1"/>
  <c r="M7958" i="1"/>
  <c r="M7959" i="1"/>
  <c r="M7960" i="1"/>
  <c r="M7961" i="1"/>
  <c r="M7962" i="1"/>
  <c r="M7963" i="1"/>
  <c r="M7964" i="1"/>
  <c r="M7965" i="1"/>
  <c r="M7966" i="1"/>
  <c r="M7967" i="1"/>
  <c r="M7968" i="1"/>
  <c r="M7969" i="1"/>
  <c r="M7970" i="1"/>
  <c r="M7971" i="1"/>
  <c r="M7972" i="1"/>
  <c r="M7973" i="1"/>
  <c r="M7974" i="1"/>
  <c r="M7975" i="1"/>
  <c r="M7976" i="1"/>
  <c r="M7977" i="1"/>
  <c r="M7978" i="1"/>
  <c r="M7979" i="1"/>
  <c r="M7980" i="1"/>
  <c r="M7981" i="1"/>
  <c r="M7982" i="1"/>
  <c r="M7983" i="1"/>
  <c r="M7984" i="1"/>
  <c r="M7985" i="1"/>
  <c r="M7986" i="1"/>
  <c r="M7987" i="1"/>
  <c r="M7988" i="1"/>
  <c r="M7989" i="1"/>
  <c r="M7990" i="1"/>
  <c r="M7991" i="1"/>
  <c r="M7992" i="1"/>
  <c r="M7993" i="1"/>
  <c r="M7994" i="1"/>
  <c r="M7995" i="1"/>
  <c r="M7996" i="1"/>
  <c r="M7997" i="1"/>
  <c r="M7998" i="1"/>
  <c r="M7999" i="1"/>
  <c r="M8000" i="1"/>
  <c r="M8001" i="1"/>
  <c r="M8002" i="1"/>
  <c r="M8003" i="1"/>
  <c r="M8004" i="1"/>
  <c r="M8005" i="1"/>
  <c r="M8006" i="1"/>
  <c r="M8007" i="1"/>
  <c r="M8008" i="1"/>
  <c r="M8009" i="1"/>
  <c r="M8010" i="1"/>
  <c r="M8011" i="1"/>
  <c r="M8012" i="1"/>
  <c r="M8013" i="1"/>
  <c r="M8014" i="1"/>
  <c r="M8015" i="1"/>
  <c r="M8016" i="1"/>
  <c r="M8017" i="1"/>
  <c r="M8018" i="1"/>
  <c r="M8019" i="1"/>
  <c r="M8020" i="1"/>
  <c r="M8021" i="1"/>
  <c r="M8022" i="1"/>
  <c r="M8023" i="1"/>
  <c r="M8024" i="1"/>
  <c r="M8025" i="1"/>
  <c r="M8026" i="1"/>
  <c r="M8027" i="1"/>
  <c r="M8028" i="1"/>
  <c r="M8029" i="1"/>
  <c r="M8030" i="1"/>
  <c r="M8031" i="1"/>
  <c r="M8032" i="1"/>
  <c r="M8033" i="1"/>
  <c r="M8034" i="1"/>
  <c r="M8035" i="1"/>
  <c r="M8036" i="1"/>
  <c r="M8037" i="1"/>
  <c r="M8038" i="1"/>
  <c r="M8039" i="1"/>
  <c r="M8040" i="1"/>
  <c r="M8041" i="1"/>
  <c r="M8042" i="1"/>
  <c r="M8043" i="1"/>
  <c r="M8044" i="1"/>
  <c r="M8045" i="1"/>
  <c r="M8046" i="1"/>
  <c r="M8047" i="1"/>
  <c r="M8048" i="1"/>
  <c r="M8049" i="1"/>
  <c r="M8050" i="1"/>
  <c r="M8051" i="1"/>
  <c r="M8052" i="1"/>
  <c r="M8053" i="1"/>
  <c r="M8054" i="1"/>
  <c r="M8055" i="1"/>
  <c r="M8056" i="1"/>
  <c r="M8057" i="1"/>
  <c r="M8058" i="1"/>
  <c r="M8059" i="1"/>
  <c r="M8060" i="1"/>
  <c r="M8061" i="1"/>
  <c r="M8062" i="1"/>
  <c r="M8063" i="1"/>
  <c r="M8064" i="1"/>
  <c r="M8065" i="1"/>
  <c r="M8066" i="1"/>
  <c r="M8067" i="1"/>
  <c r="M8068" i="1"/>
  <c r="M8069" i="1"/>
  <c r="M8070" i="1"/>
  <c r="M8071" i="1"/>
  <c r="M8072" i="1"/>
  <c r="M8073" i="1"/>
  <c r="M8074" i="1"/>
  <c r="M8075" i="1"/>
  <c r="M8076" i="1"/>
  <c r="M8077" i="1"/>
  <c r="M8078" i="1"/>
  <c r="M8079" i="1"/>
  <c r="M8080" i="1"/>
  <c r="M8081" i="1"/>
  <c r="M8082" i="1"/>
  <c r="M8083" i="1"/>
  <c r="M8084" i="1"/>
  <c r="M8085" i="1"/>
  <c r="M8086" i="1"/>
  <c r="M8087" i="1"/>
  <c r="M8088" i="1"/>
  <c r="M8089" i="1"/>
  <c r="M8090" i="1"/>
  <c r="M8091" i="1"/>
  <c r="M8092" i="1"/>
  <c r="M8093" i="1"/>
  <c r="M8094" i="1"/>
  <c r="M8095" i="1"/>
  <c r="M8096" i="1"/>
  <c r="M8097" i="1"/>
  <c r="M8098" i="1"/>
  <c r="M8099" i="1"/>
  <c r="M8100" i="1"/>
  <c r="M8101" i="1"/>
  <c r="M8102" i="1"/>
  <c r="M8103" i="1"/>
  <c r="M8104" i="1"/>
  <c r="M8105" i="1"/>
  <c r="M8106" i="1"/>
  <c r="M8107" i="1"/>
  <c r="M8108" i="1"/>
  <c r="M8109" i="1"/>
  <c r="M8110" i="1"/>
  <c r="M8111" i="1"/>
  <c r="M8112" i="1"/>
  <c r="M8113" i="1"/>
  <c r="M8114" i="1"/>
  <c r="M8115" i="1"/>
  <c r="M8116" i="1"/>
  <c r="M8117" i="1"/>
  <c r="M8118" i="1"/>
  <c r="M8119" i="1"/>
  <c r="M8120" i="1"/>
  <c r="M8121" i="1"/>
  <c r="M8122" i="1"/>
  <c r="M8123" i="1"/>
  <c r="M8124" i="1"/>
  <c r="M8125" i="1"/>
  <c r="M8126" i="1"/>
  <c r="M8127" i="1"/>
  <c r="M8128" i="1"/>
  <c r="M8129" i="1"/>
  <c r="M8130" i="1"/>
  <c r="M8131" i="1"/>
  <c r="M8132" i="1"/>
  <c r="M8133" i="1"/>
  <c r="M8134" i="1"/>
  <c r="M8135" i="1"/>
  <c r="M8136" i="1"/>
  <c r="M8137" i="1"/>
  <c r="M8138" i="1"/>
  <c r="M8139" i="1"/>
  <c r="M8140" i="1"/>
  <c r="M8141" i="1"/>
  <c r="M8142" i="1"/>
  <c r="M8143" i="1"/>
  <c r="M8144" i="1"/>
  <c r="M8145" i="1"/>
  <c r="M8146" i="1"/>
  <c r="M8147" i="1"/>
  <c r="M8148" i="1"/>
  <c r="M8149" i="1"/>
  <c r="M8150" i="1"/>
  <c r="M8151" i="1"/>
  <c r="M8152" i="1"/>
  <c r="M8153" i="1"/>
  <c r="M8154" i="1"/>
  <c r="M8155" i="1"/>
  <c r="M8156" i="1"/>
  <c r="M8157" i="1"/>
  <c r="M8158" i="1"/>
  <c r="M8159" i="1"/>
  <c r="M8160" i="1"/>
  <c r="M8161" i="1"/>
  <c r="M8162" i="1"/>
  <c r="M8163" i="1"/>
  <c r="M8164" i="1"/>
  <c r="M8165" i="1"/>
  <c r="M8166" i="1"/>
  <c r="M8167" i="1"/>
  <c r="M8168" i="1"/>
  <c r="M8169" i="1"/>
  <c r="M8170" i="1"/>
  <c r="M8171" i="1"/>
  <c r="M8172" i="1"/>
  <c r="M8173" i="1"/>
  <c r="M8174" i="1"/>
  <c r="M8175" i="1"/>
  <c r="M8176" i="1"/>
  <c r="M8177" i="1"/>
  <c r="M8178" i="1"/>
  <c r="M8179" i="1"/>
  <c r="M8180" i="1"/>
  <c r="M8181" i="1"/>
  <c r="M8182" i="1"/>
  <c r="M8183" i="1"/>
  <c r="M8184" i="1"/>
  <c r="M8185" i="1"/>
  <c r="M8186" i="1"/>
  <c r="M8187" i="1"/>
  <c r="M8188" i="1"/>
  <c r="M8189" i="1"/>
  <c r="M8190" i="1"/>
  <c r="M8191" i="1"/>
  <c r="M8192" i="1"/>
  <c r="M8193" i="1"/>
  <c r="M8194" i="1"/>
  <c r="M8195" i="1"/>
  <c r="M8196" i="1"/>
  <c r="M8197" i="1"/>
  <c r="M8198" i="1"/>
  <c r="M8199" i="1"/>
  <c r="M8200" i="1"/>
  <c r="M8201" i="1"/>
  <c r="M8202" i="1"/>
  <c r="M8203" i="1"/>
  <c r="M8204" i="1"/>
  <c r="M8205" i="1"/>
  <c r="M8206" i="1"/>
  <c r="M8207" i="1"/>
  <c r="M8208" i="1"/>
  <c r="M8209" i="1"/>
  <c r="M8210" i="1"/>
  <c r="M8211" i="1"/>
  <c r="M8212" i="1"/>
  <c r="M8213" i="1"/>
  <c r="M8214" i="1"/>
  <c r="M8215" i="1"/>
  <c r="M8216" i="1"/>
  <c r="M8217" i="1"/>
  <c r="M8218" i="1"/>
  <c r="M8219" i="1"/>
  <c r="M8220" i="1"/>
  <c r="M8221" i="1"/>
  <c r="M8222" i="1"/>
  <c r="M8223" i="1"/>
  <c r="M8224" i="1"/>
  <c r="M8225" i="1"/>
  <c r="M8226" i="1"/>
  <c r="M8227" i="1"/>
  <c r="M8228" i="1"/>
  <c r="M8229" i="1"/>
  <c r="M8230" i="1"/>
  <c r="M8231" i="1"/>
  <c r="M8232" i="1"/>
  <c r="M8233" i="1"/>
  <c r="M8234" i="1"/>
  <c r="M8235" i="1"/>
  <c r="M8236" i="1"/>
  <c r="M8237" i="1"/>
  <c r="M8238" i="1"/>
  <c r="M8239" i="1"/>
  <c r="M8240" i="1"/>
  <c r="M8241" i="1"/>
  <c r="M8242" i="1"/>
  <c r="M8243" i="1"/>
  <c r="M8244" i="1"/>
  <c r="M8245" i="1"/>
  <c r="M8246" i="1"/>
  <c r="M8247" i="1"/>
  <c r="M8248" i="1"/>
  <c r="M8249" i="1"/>
  <c r="M8250" i="1"/>
  <c r="M8251" i="1"/>
  <c r="M8252" i="1"/>
  <c r="M8253" i="1"/>
  <c r="M8254" i="1"/>
  <c r="M8255" i="1"/>
  <c r="M8256" i="1"/>
  <c r="M8257" i="1"/>
  <c r="M8258" i="1"/>
  <c r="M8259" i="1"/>
  <c r="M8260" i="1"/>
  <c r="M8261" i="1"/>
  <c r="M8262" i="1"/>
  <c r="M8263" i="1"/>
  <c r="M8264" i="1"/>
  <c r="M8265" i="1"/>
  <c r="M8266" i="1"/>
  <c r="M8267" i="1"/>
  <c r="M8268" i="1"/>
  <c r="M8269" i="1"/>
  <c r="M8270" i="1"/>
  <c r="M8271" i="1"/>
  <c r="M8272" i="1"/>
  <c r="M8273" i="1"/>
  <c r="M8274" i="1"/>
  <c r="M8275" i="1"/>
  <c r="M8276" i="1"/>
  <c r="M8277" i="1"/>
  <c r="M8278" i="1"/>
  <c r="M8279" i="1"/>
  <c r="M8280" i="1"/>
  <c r="M8281" i="1"/>
  <c r="M8282" i="1"/>
  <c r="M8283" i="1"/>
  <c r="M8284" i="1"/>
  <c r="M8285" i="1"/>
  <c r="M8286" i="1"/>
  <c r="M8287" i="1"/>
  <c r="M8288" i="1"/>
  <c r="M8289" i="1"/>
  <c r="M8290" i="1"/>
  <c r="M8291" i="1"/>
  <c r="M8292" i="1"/>
  <c r="M8293" i="1"/>
  <c r="M8294" i="1"/>
  <c r="M8295" i="1"/>
  <c r="M8296" i="1"/>
  <c r="M8297" i="1"/>
  <c r="M8298" i="1"/>
  <c r="M8299" i="1"/>
  <c r="M8300" i="1"/>
  <c r="M8301" i="1"/>
  <c r="M8302" i="1"/>
  <c r="M8303" i="1"/>
  <c r="M8304" i="1"/>
  <c r="M8305" i="1"/>
  <c r="M8306" i="1"/>
  <c r="M8307" i="1"/>
  <c r="M8308" i="1"/>
  <c r="M8309" i="1"/>
  <c r="M8310" i="1"/>
  <c r="M8311" i="1"/>
  <c r="M8312" i="1"/>
  <c r="M8313" i="1"/>
  <c r="M8314" i="1"/>
  <c r="M8315" i="1"/>
  <c r="M8316" i="1"/>
  <c r="M8317" i="1"/>
  <c r="M8318" i="1"/>
  <c r="M8319" i="1"/>
  <c r="M8320" i="1"/>
  <c r="M8321" i="1"/>
  <c r="M8322" i="1"/>
  <c r="M8323" i="1"/>
  <c r="M8324" i="1"/>
  <c r="M8325" i="1"/>
  <c r="M8326" i="1"/>
  <c r="M8327" i="1"/>
  <c r="M8328" i="1"/>
  <c r="M8329" i="1"/>
  <c r="M8330" i="1"/>
  <c r="M8331" i="1"/>
  <c r="M8332" i="1"/>
  <c r="M8333" i="1"/>
  <c r="M8334" i="1"/>
  <c r="M8335" i="1"/>
  <c r="M8336" i="1"/>
  <c r="M8337" i="1"/>
  <c r="M8338" i="1"/>
  <c r="M8339" i="1"/>
  <c r="M8340" i="1"/>
  <c r="M8341" i="1"/>
  <c r="M8342" i="1"/>
  <c r="M8343" i="1"/>
  <c r="M8344" i="1"/>
  <c r="M8345" i="1"/>
  <c r="M8346" i="1"/>
  <c r="M8347" i="1"/>
  <c r="M8348" i="1"/>
  <c r="M8349" i="1"/>
  <c r="M8350" i="1"/>
  <c r="M8351" i="1"/>
  <c r="M8352" i="1"/>
  <c r="M8353" i="1"/>
  <c r="M8354" i="1"/>
  <c r="M8355" i="1"/>
  <c r="M8356" i="1"/>
  <c r="M8357" i="1"/>
  <c r="M8358" i="1"/>
  <c r="M8359" i="1"/>
  <c r="M8360" i="1"/>
  <c r="M8361" i="1"/>
  <c r="M8362" i="1"/>
  <c r="M8363" i="1"/>
  <c r="M8364" i="1"/>
  <c r="M8365" i="1"/>
  <c r="M8366" i="1"/>
  <c r="M8367" i="1"/>
  <c r="M8368" i="1"/>
  <c r="M8369" i="1"/>
  <c r="M8370" i="1"/>
  <c r="M8371" i="1"/>
  <c r="M8372" i="1"/>
  <c r="M8373" i="1"/>
  <c r="M8374" i="1"/>
  <c r="M8375" i="1"/>
  <c r="M8376" i="1"/>
  <c r="M8377" i="1"/>
  <c r="M8378" i="1"/>
  <c r="M8379" i="1"/>
  <c r="M8380" i="1"/>
  <c r="M8381" i="1"/>
  <c r="M8382" i="1"/>
  <c r="M8383" i="1"/>
  <c r="M8384" i="1"/>
  <c r="M8385" i="1"/>
  <c r="M8386" i="1"/>
  <c r="M8387" i="1"/>
  <c r="M8388" i="1"/>
  <c r="M8389" i="1"/>
  <c r="M8390" i="1"/>
  <c r="M8391" i="1"/>
  <c r="M8392" i="1"/>
  <c r="M8393" i="1"/>
  <c r="M8394" i="1"/>
  <c r="M8395" i="1"/>
  <c r="M8396" i="1"/>
  <c r="M8397" i="1"/>
  <c r="M8398" i="1"/>
  <c r="M8399" i="1"/>
  <c r="M8400" i="1"/>
  <c r="M8401" i="1"/>
  <c r="M8402" i="1"/>
  <c r="M8403" i="1"/>
  <c r="M8404" i="1"/>
  <c r="M8405" i="1"/>
  <c r="M8406" i="1"/>
  <c r="M8407" i="1"/>
  <c r="M8408" i="1"/>
  <c r="M8409" i="1"/>
  <c r="M8410" i="1"/>
  <c r="M8411" i="1"/>
  <c r="M8412" i="1"/>
  <c r="M8413" i="1"/>
  <c r="M8414" i="1"/>
  <c r="M8415" i="1"/>
  <c r="M8416" i="1"/>
  <c r="M8417" i="1"/>
  <c r="M8418" i="1"/>
  <c r="M8419" i="1"/>
  <c r="M8420" i="1"/>
  <c r="M8421" i="1"/>
  <c r="M8422" i="1"/>
  <c r="M8423" i="1"/>
  <c r="M8424" i="1"/>
  <c r="M8425" i="1"/>
  <c r="M8426" i="1"/>
  <c r="M8427" i="1"/>
  <c r="M8428" i="1"/>
  <c r="M8429" i="1"/>
  <c r="M8430" i="1"/>
  <c r="M8431" i="1"/>
  <c r="M8432" i="1"/>
  <c r="M8433" i="1"/>
  <c r="M8434" i="1"/>
  <c r="M8435" i="1"/>
  <c r="M8436" i="1"/>
  <c r="M8437" i="1"/>
  <c r="M8438" i="1"/>
  <c r="M8439" i="1"/>
  <c r="M8440" i="1"/>
  <c r="M8441" i="1"/>
  <c r="M8442" i="1"/>
  <c r="M8443" i="1"/>
  <c r="M8444" i="1"/>
  <c r="M8445" i="1"/>
  <c r="M8446" i="1"/>
  <c r="M8447" i="1"/>
  <c r="M8448" i="1"/>
  <c r="M8449" i="1"/>
  <c r="M8450" i="1"/>
  <c r="M8451" i="1"/>
  <c r="M8452" i="1"/>
  <c r="M8453" i="1"/>
  <c r="M8454" i="1"/>
  <c r="M8455" i="1"/>
  <c r="M8456" i="1"/>
  <c r="M8457" i="1"/>
  <c r="M8458" i="1"/>
  <c r="M8459" i="1"/>
  <c r="M8460" i="1"/>
  <c r="M8461" i="1"/>
  <c r="M8462" i="1"/>
  <c r="M8463" i="1"/>
  <c r="M8464" i="1"/>
  <c r="M8465" i="1"/>
  <c r="M8466" i="1"/>
  <c r="M8467" i="1"/>
  <c r="M8468" i="1"/>
  <c r="M8469" i="1"/>
  <c r="M8470" i="1"/>
  <c r="M8471" i="1"/>
  <c r="M8472" i="1"/>
  <c r="M8473" i="1"/>
  <c r="M8474" i="1"/>
  <c r="M8475" i="1"/>
  <c r="M8476" i="1"/>
  <c r="M8477" i="1"/>
  <c r="M8478" i="1"/>
  <c r="M8479" i="1"/>
  <c r="M8480" i="1"/>
  <c r="M8481" i="1"/>
  <c r="M8482" i="1"/>
  <c r="M8483" i="1"/>
  <c r="M8484" i="1"/>
  <c r="M8485" i="1"/>
  <c r="M8486" i="1"/>
  <c r="M8487" i="1"/>
  <c r="M8488" i="1"/>
  <c r="M8489" i="1"/>
  <c r="M8490" i="1"/>
  <c r="M8491" i="1"/>
  <c r="M8492" i="1"/>
  <c r="M8493" i="1"/>
  <c r="M8494" i="1"/>
  <c r="M8495" i="1"/>
  <c r="M8496" i="1"/>
  <c r="M8497" i="1"/>
  <c r="M8498" i="1"/>
  <c r="M8499" i="1"/>
  <c r="M8500" i="1"/>
  <c r="M8501" i="1"/>
  <c r="M8502" i="1"/>
  <c r="M8503" i="1"/>
  <c r="M8504" i="1"/>
  <c r="M8505" i="1"/>
  <c r="M8506" i="1"/>
  <c r="M8507" i="1"/>
  <c r="M8508" i="1"/>
  <c r="M8509" i="1"/>
  <c r="M8510" i="1"/>
  <c r="M8511" i="1"/>
  <c r="M8512" i="1"/>
  <c r="M8513" i="1"/>
  <c r="M8514" i="1"/>
  <c r="M8515" i="1"/>
  <c r="M8516" i="1"/>
  <c r="M8517" i="1"/>
  <c r="M8518" i="1"/>
  <c r="M8519" i="1"/>
  <c r="M8520" i="1"/>
  <c r="M8521" i="1"/>
  <c r="M8522" i="1"/>
  <c r="M8523" i="1"/>
  <c r="M8524" i="1"/>
  <c r="M8525" i="1"/>
  <c r="M8526" i="1"/>
  <c r="M8527" i="1"/>
  <c r="M8528" i="1"/>
  <c r="M8529" i="1"/>
  <c r="M8530" i="1"/>
  <c r="M8531" i="1"/>
  <c r="M8532" i="1"/>
  <c r="M8533" i="1"/>
  <c r="M8534" i="1"/>
  <c r="M8535" i="1"/>
  <c r="M8536" i="1"/>
  <c r="M8537" i="1"/>
  <c r="M8538" i="1"/>
  <c r="M8539" i="1"/>
  <c r="M8540" i="1"/>
  <c r="M8541" i="1"/>
  <c r="M8542" i="1"/>
  <c r="M8543" i="1"/>
  <c r="M8544" i="1"/>
  <c r="M8545" i="1"/>
  <c r="M8546" i="1"/>
  <c r="M8547" i="1"/>
  <c r="M8548" i="1"/>
  <c r="M8549" i="1"/>
  <c r="M8550" i="1"/>
  <c r="M8551" i="1"/>
  <c r="M8552" i="1"/>
  <c r="M8553" i="1"/>
  <c r="M8554" i="1"/>
  <c r="M8555" i="1"/>
  <c r="M8556" i="1"/>
  <c r="M8557" i="1"/>
  <c r="M8558" i="1"/>
  <c r="M8559" i="1"/>
  <c r="M8560" i="1"/>
  <c r="M8561" i="1"/>
  <c r="M8562" i="1"/>
  <c r="M8563" i="1"/>
  <c r="M8564" i="1"/>
  <c r="M8565" i="1"/>
  <c r="M8566" i="1"/>
  <c r="M8567" i="1"/>
  <c r="M8568" i="1"/>
  <c r="M8569" i="1"/>
  <c r="M8570" i="1"/>
  <c r="M8571" i="1"/>
  <c r="M8572" i="1"/>
  <c r="M8573" i="1"/>
  <c r="M8574" i="1"/>
  <c r="M8575" i="1"/>
  <c r="M8576" i="1"/>
  <c r="M8577" i="1"/>
  <c r="M8578" i="1"/>
  <c r="M8579" i="1"/>
  <c r="M8580" i="1"/>
  <c r="M8581" i="1"/>
  <c r="M8582" i="1"/>
  <c r="M8583" i="1"/>
  <c r="M8584" i="1"/>
  <c r="M8585" i="1"/>
  <c r="M8586" i="1"/>
  <c r="M8587" i="1"/>
  <c r="M8588" i="1"/>
  <c r="M8589" i="1"/>
  <c r="M8590" i="1"/>
  <c r="M8591" i="1"/>
  <c r="M8592" i="1"/>
  <c r="M8593" i="1"/>
  <c r="M8594" i="1"/>
  <c r="M8595" i="1"/>
  <c r="M8596" i="1"/>
  <c r="M8597" i="1"/>
  <c r="M8598" i="1"/>
  <c r="M8599" i="1"/>
  <c r="M8600" i="1"/>
  <c r="M8601" i="1"/>
  <c r="M8602" i="1"/>
  <c r="M8603" i="1"/>
  <c r="M8604" i="1"/>
  <c r="M8605" i="1"/>
  <c r="M8606" i="1"/>
  <c r="M8607" i="1"/>
  <c r="M8608" i="1"/>
  <c r="M8609" i="1"/>
  <c r="M8610" i="1"/>
  <c r="M8611" i="1"/>
  <c r="M8612" i="1"/>
  <c r="M8613" i="1"/>
  <c r="M8614" i="1"/>
  <c r="M8615" i="1"/>
  <c r="M8616" i="1"/>
  <c r="M8617" i="1"/>
  <c r="M8618" i="1"/>
  <c r="M8619" i="1"/>
  <c r="M8620" i="1"/>
  <c r="M8621" i="1"/>
  <c r="M8622" i="1"/>
  <c r="M8623" i="1"/>
  <c r="M8624" i="1"/>
  <c r="M8625" i="1"/>
  <c r="M8626" i="1"/>
  <c r="M8627" i="1"/>
  <c r="M8628" i="1"/>
  <c r="M8629" i="1"/>
  <c r="M8630" i="1"/>
  <c r="M8631" i="1"/>
  <c r="M8632" i="1"/>
  <c r="M8633" i="1"/>
  <c r="M8634" i="1"/>
  <c r="M8635" i="1"/>
  <c r="M8636" i="1"/>
  <c r="M8637" i="1"/>
  <c r="M8638" i="1"/>
  <c r="M8639" i="1"/>
  <c r="M8640" i="1"/>
  <c r="M8641" i="1"/>
  <c r="M8642" i="1"/>
  <c r="M8643" i="1"/>
  <c r="M8644" i="1"/>
  <c r="M8645" i="1"/>
  <c r="M8646" i="1"/>
  <c r="M8647" i="1"/>
  <c r="M8648" i="1"/>
  <c r="M8649" i="1"/>
  <c r="M8650" i="1"/>
  <c r="M8651" i="1"/>
  <c r="M8652" i="1"/>
  <c r="M8653" i="1"/>
  <c r="M8654" i="1"/>
  <c r="M8655" i="1"/>
  <c r="M8656" i="1"/>
  <c r="M8657" i="1"/>
  <c r="M8658" i="1"/>
  <c r="M8659" i="1"/>
  <c r="M8660" i="1"/>
  <c r="M8661" i="1"/>
  <c r="M8662" i="1"/>
  <c r="M8663" i="1"/>
  <c r="M8664" i="1"/>
  <c r="M8665" i="1"/>
  <c r="M8666" i="1"/>
  <c r="M8667" i="1"/>
  <c r="M8668" i="1"/>
  <c r="M8669" i="1"/>
  <c r="M8670" i="1"/>
  <c r="M8671" i="1"/>
  <c r="M8672" i="1"/>
  <c r="M8673" i="1"/>
  <c r="M8674" i="1"/>
  <c r="M8675" i="1"/>
  <c r="M8676" i="1"/>
  <c r="M8677" i="1"/>
  <c r="M8678" i="1"/>
  <c r="M8679" i="1"/>
  <c r="M8680" i="1"/>
  <c r="M8681" i="1"/>
  <c r="M8682" i="1"/>
  <c r="M8683" i="1"/>
  <c r="M8684" i="1"/>
  <c r="M8685" i="1"/>
  <c r="M8686" i="1"/>
  <c r="M8687" i="1"/>
  <c r="M8688" i="1"/>
  <c r="M8689" i="1"/>
  <c r="M8690" i="1"/>
  <c r="M8691" i="1"/>
  <c r="M8692" i="1"/>
  <c r="M8693" i="1"/>
  <c r="M8694" i="1"/>
  <c r="M8695" i="1"/>
  <c r="M8696" i="1"/>
  <c r="M8697" i="1"/>
  <c r="M8698" i="1"/>
  <c r="M8699" i="1"/>
  <c r="M8700" i="1"/>
  <c r="M8701" i="1"/>
  <c r="M8702" i="1"/>
  <c r="M8703" i="1"/>
  <c r="M8704" i="1"/>
  <c r="M8705" i="1"/>
  <c r="M8706" i="1"/>
  <c r="M8707" i="1"/>
  <c r="M8708" i="1"/>
  <c r="M8709" i="1"/>
  <c r="M8710" i="1"/>
  <c r="M8711" i="1"/>
  <c r="M8712" i="1"/>
  <c r="M8713" i="1"/>
  <c r="M8714" i="1"/>
  <c r="M8715" i="1"/>
  <c r="M8716" i="1"/>
  <c r="M8717" i="1"/>
  <c r="M8718" i="1"/>
  <c r="M8719" i="1"/>
  <c r="M8720" i="1"/>
  <c r="M8721" i="1"/>
  <c r="M8722" i="1"/>
  <c r="M8723" i="1"/>
  <c r="M8724" i="1"/>
  <c r="M8725" i="1"/>
  <c r="M8726" i="1"/>
  <c r="M8727" i="1"/>
  <c r="M8728" i="1"/>
  <c r="M8729" i="1"/>
  <c r="M8730" i="1"/>
  <c r="M8731" i="1"/>
  <c r="M8732" i="1"/>
  <c r="M8733" i="1"/>
  <c r="M8734" i="1"/>
  <c r="M8735" i="1"/>
  <c r="M8736" i="1"/>
  <c r="M8737" i="1"/>
  <c r="M8738" i="1"/>
  <c r="M8739" i="1"/>
  <c r="M8740" i="1"/>
  <c r="M8741" i="1"/>
  <c r="M8742" i="1"/>
  <c r="M8743" i="1"/>
  <c r="M8744" i="1"/>
  <c r="M8745" i="1"/>
  <c r="M8746" i="1"/>
  <c r="M8747" i="1"/>
  <c r="M8748" i="1"/>
  <c r="M8749" i="1"/>
  <c r="M8750" i="1"/>
  <c r="M8751" i="1"/>
  <c r="M8752" i="1"/>
  <c r="M8753" i="1"/>
  <c r="M8754" i="1"/>
  <c r="M8755" i="1"/>
  <c r="M8756" i="1"/>
  <c r="M8757" i="1"/>
  <c r="M8758" i="1"/>
  <c r="M8759" i="1"/>
  <c r="M8760" i="1"/>
  <c r="M8761" i="1"/>
  <c r="M8762" i="1"/>
  <c r="M8763" i="1"/>
  <c r="M8764" i="1"/>
  <c r="M8765" i="1"/>
  <c r="M8766" i="1"/>
  <c r="M8767" i="1"/>
  <c r="M8768" i="1"/>
  <c r="M8769" i="1"/>
  <c r="M8770" i="1"/>
  <c r="M8771" i="1"/>
  <c r="M8772" i="1"/>
  <c r="M8773" i="1"/>
  <c r="M8774" i="1"/>
  <c r="M8775" i="1"/>
  <c r="M8776" i="1"/>
  <c r="M8777" i="1"/>
  <c r="M8778" i="1"/>
  <c r="M8779" i="1"/>
  <c r="M8780" i="1"/>
  <c r="M8781" i="1"/>
  <c r="M8782" i="1"/>
  <c r="M8783" i="1"/>
  <c r="M8784" i="1"/>
  <c r="M8785" i="1"/>
  <c r="M8786" i="1"/>
  <c r="M8787" i="1"/>
  <c r="M8788" i="1"/>
  <c r="M8789" i="1"/>
  <c r="M8790" i="1"/>
  <c r="M8791" i="1"/>
  <c r="M8792" i="1"/>
  <c r="M8793" i="1"/>
  <c r="M8794" i="1"/>
  <c r="M8795" i="1"/>
  <c r="M8796" i="1"/>
  <c r="M8797" i="1"/>
  <c r="M8798" i="1"/>
  <c r="M8799" i="1"/>
  <c r="M8800" i="1"/>
  <c r="M8801" i="1"/>
  <c r="M8802" i="1"/>
  <c r="M8803" i="1"/>
  <c r="M8804" i="1"/>
  <c r="M8805" i="1"/>
  <c r="M8806" i="1"/>
  <c r="M8807" i="1"/>
  <c r="M8808" i="1"/>
  <c r="M8809" i="1"/>
  <c r="M8810" i="1"/>
  <c r="M8811" i="1"/>
  <c r="M8812" i="1"/>
  <c r="M8813" i="1"/>
  <c r="M8814" i="1"/>
  <c r="M8815" i="1"/>
  <c r="M8816" i="1"/>
  <c r="M8817" i="1"/>
  <c r="M8818" i="1"/>
  <c r="M8819" i="1"/>
  <c r="M8820" i="1"/>
  <c r="M8821" i="1"/>
  <c r="M8822" i="1"/>
  <c r="M8823" i="1"/>
  <c r="M8824" i="1"/>
  <c r="M8825" i="1"/>
  <c r="M8826" i="1"/>
  <c r="M8827" i="1"/>
  <c r="M8828" i="1"/>
  <c r="M8829" i="1"/>
  <c r="M8830" i="1"/>
  <c r="M8831" i="1"/>
  <c r="M8832" i="1"/>
  <c r="M8833" i="1"/>
  <c r="M8834" i="1"/>
  <c r="M8835" i="1"/>
  <c r="M8836" i="1"/>
  <c r="M8837" i="1"/>
  <c r="M8838" i="1"/>
  <c r="M8839" i="1"/>
  <c r="M8840" i="1"/>
  <c r="M8841" i="1"/>
  <c r="M8842" i="1"/>
  <c r="M8843" i="1"/>
  <c r="M8844" i="1"/>
  <c r="M8845" i="1"/>
  <c r="M8846" i="1"/>
  <c r="M8847" i="1"/>
  <c r="M8848" i="1"/>
  <c r="M8849" i="1"/>
  <c r="M8850" i="1"/>
  <c r="M8851" i="1"/>
  <c r="M8852" i="1"/>
  <c r="M8853" i="1"/>
  <c r="M8854" i="1"/>
  <c r="M8855" i="1"/>
  <c r="M8856" i="1"/>
  <c r="M8857" i="1"/>
  <c r="M8858" i="1"/>
  <c r="M8859" i="1"/>
  <c r="M8860" i="1"/>
  <c r="M8861" i="1"/>
  <c r="M8862" i="1"/>
  <c r="M8863" i="1"/>
  <c r="M8864" i="1"/>
  <c r="M8865" i="1"/>
  <c r="M8866" i="1"/>
  <c r="M8867" i="1"/>
  <c r="M8868" i="1"/>
  <c r="M8869" i="1"/>
  <c r="M8870" i="1"/>
  <c r="M8871" i="1"/>
  <c r="M8872" i="1"/>
  <c r="M8873" i="1"/>
  <c r="M8874" i="1"/>
  <c r="M8875" i="1"/>
  <c r="M8876" i="1"/>
  <c r="M8877" i="1"/>
  <c r="M8878" i="1"/>
  <c r="M8879" i="1"/>
  <c r="M8880" i="1"/>
  <c r="M8881" i="1"/>
  <c r="M8882" i="1"/>
  <c r="M8883" i="1"/>
  <c r="M8884" i="1"/>
  <c r="M8885" i="1"/>
  <c r="M8886" i="1"/>
  <c r="M8887" i="1"/>
  <c r="M8888" i="1"/>
  <c r="M8889" i="1"/>
  <c r="M8890" i="1"/>
  <c r="M8891" i="1"/>
  <c r="M8892" i="1"/>
  <c r="M8893" i="1"/>
  <c r="M8894" i="1"/>
  <c r="M8895" i="1"/>
  <c r="M8896" i="1"/>
  <c r="M8897" i="1"/>
  <c r="M8898" i="1"/>
  <c r="M8899" i="1"/>
  <c r="M8900" i="1"/>
  <c r="M8901" i="1"/>
  <c r="M8902" i="1"/>
  <c r="M8903" i="1"/>
  <c r="M8904" i="1"/>
  <c r="M8905" i="1"/>
  <c r="M8906" i="1"/>
  <c r="M8907" i="1"/>
  <c r="M8908" i="1"/>
  <c r="M8909" i="1"/>
  <c r="M8910" i="1"/>
  <c r="M8911" i="1"/>
  <c r="M8912" i="1"/>
  <c r="M8913" i="1"/>
  <c r="M8914" i="1"/>
  <c r="M8915" i="1"/>
  <c r="M8916" i="1"/>
  <c r="M8917" i="1"/>
  <c r="M8918" i="1"/>
  <c r="M8919" i="1"/>
  <c r="M8920" i="1"/>
  <c r="M8921" i="1"/>
  <c r="M8922" i="1"/>
  <c r="M8923" i="1"/>
  <c r="M8924" i="1"/>
  <c r="M8925" i="1"/>
  <c r="M8926" i="1"/>
  <c r="M8927" i="1"/>
  <c r="M8928" i="1"/>
  <c r="M8929" i="1"/>
  <c r="M8930" i="1"/>
  <c r="M8931" i="1"/>
  <c r="M8932" i="1"/>
  <c r="M8933" i="1"/>
  <c r="M8934" i="1"/>
  <c r="M8935" i="1"/>
  <c r="M8936" i="1"/>
  <c r="M8937" i="1"/>
  <c r="M8938" i="1"/>
  <c r="M8939" i="1"/>
  <c r="M8940" i="1"/>
  <c r="M8941" i="1"/>
  <c r="M8942" i="1"/>
  <c r="M8943" i="1"/>
  <c r="M8944" i="1"/>
  <c r="M8945" i="1"/>
  <c r="M8946" i="1"/>
  <c r="M8947" i="1"/>
  <c r="M8948" i="1"/>
  <c r="M8949" i="1"/>
  <c r="M8950" i="1"/>
  <c r="M8951" i="1"/>
  <c r="M8952" i="1"/>
  <c r="M8953" i="1"/>
  <c r="M8954" i="1"/>
  <c r="M8955" i="1"/>
  <c r="M8956" i="1"/>
  <c r="M8957" i="1"/>
  <c r="M8958" i="1"/>
  <c r="M8959" i="1"/>
  <c r="M8960" i="1"/>
  <c r="M8961" i="1"/>
  <c r="M8962" i="1"/>
  <c r="M8963" i="1"/>
  <c r="M8964" i="1"/>
  <c r="M8965" i="1"/>
  <c r="M8966" i="1"/>
  <c r="M8967" i="1"/>
  <c r="M8968" i="1"/>
  <c r="M8969" i="1"/>
  <c r="M8970" i="1"/>
  <c r="M8971" i="1"/>
  <c r="M8972" i="1"/>
  <c r="M8973" i="1"/>
  <c r="M8974" i="1"/>
  <c r="M8975" i="1"/>
  <c r="M8976" i="1"/>
  <c r="M8977" i="1"/>
  <c r="M8978" i="1"/>
  <c r="M8979" i="1"/>
  <c r="M8980" i="1"/>
  <c r="M8981" i="1"/>
  <c r="M8982" i="1"/>
  <c r="M8983" i="1"/>
  <c r="M8984" i="1"/>
  <c r="M8985" i="1"/>
  <c r="M8986" i="1"/>
  <c r="M8987" i="1"/>
  <c r="M8988" i="1"/>
  <c r="M8989" i="1"/>
  <c r="M8990" i="1"/>
  <c r="M8991" i="1"/>
  <c r="M8992" i="1"/>
  <c r="M8993" i="1"/>
  <c r="M8994" i="1"/>
  <c r="M8995" i="1"/>
  <c r="M8996" i="1"/>
  <c r="M8997" i="1"/>
  <c r="M8998" i="1"/>
  <c r="M8999" i="1"/>
  <c r="M9000" i="1"/>
  <c r="M9001" i="1"/>
  <c r="M9002" i="1"/>
  <c r="M9003" i="1"/>
  <c r="M9004" i="1"/>
  <c r="M9005" i="1"/>
  <c r="M9006" i="1"/>
  <c r="M9007" i="1"/>
  <c r="M9008" i="1"/>
  <c r="M9009" i="1"/>
  <c r="M9010" i="1"/>
  <c r="M9011" i="1"/>
  <c r="M9012" i="1"/>
  <c r="M9013" i="1"/>
  <c r="M9014" i="1"/>
  <c r="M9015" i="1"/>
  <c r="M9016" i="1"/>
  <c r="M9017" i="1"/>
  <c r="M9018" i="1"/>
  <c r="M9019" i="1"/>
  <c r="M9020" i="1"/>
  <c r="M9021" i="1"/>
  <c r="M9022" i="1"/>
  <c r="M9023" i="1"/>
  <c r="M9024" i="1"/>
  <c r="M9025" i="1"/>
  <c r="M9026" i="1"/>
  <c r="M9027" i="1"/>
  <c r="M9028" i="1"/>
  <c r="M9029" i="1"/>
  <c r="M9030" i="1"/>
  <c r="M9031" i="1"/>
  <c r="M9032" i="1"/>
  <c r="M9033" i="1"/>
  <c r="M9034" i="1"/>
  <c r="M9035" i="1"/>
  <c r="M9036" i="1"/>
  <c r="M9037" i="1"/>
  <c r="M9038" i="1"/>
  <c r="M9039" i="1"/>
  <c r="M9040" i="1"/>
  <c r="M9041" i="1"/>
  <c r="M9042" i="1"/>
  <c r="M9043" i="1"/>
  <c r="M9044" i="1"/>
  <c r="M9045" i="1"/>
  <c r="M9046" i="1"/>
  <c r="M9047" i="1"/>
  <c r="M9048" i="1"/>
  <c r="M9049" i="1"/>
  <c r="M9050" i="1"/>
  <c r="M9051" i="1"/>
  <c r="M9052" i="1"/>
  <c r="M9053" i="1"/>
  <c r="M9054" i="1"/>
  <c r="M9055" i="1"/>
  <c r="M9056" i="1"/>
  <c r="M9057" i="1"/>
  <c r="M9058" i="1"/>
  <c r="M9059" i="1"/>
  <c r="M9060" i="1"/>
  <c r="M9061" i="1"/>
  <c r="M9062" i="1"/>
  <c r="M9063" i="1"/>
  <c r="M9064" i="1"/>
  <c r="M9065" i="1"/>
  <c r="M9066" i="1"/>
  <c r="M9067" i="1"/>
  <c r="M9068" i="1"/>
  <c r="M9069" i="1"/>
  <c r="M9070" i="1"/>
  <c r="M9071" i="1"/>
  <c r="M9072" i="1"/>
  <c r="M9073" i="1"/>
  <c r="M9074" i="1"/>
  <c r="M9075" i="1"/>
  <c r="M9076" i="1"/>
  <c r="M9077" i="1"/>
  <c r="M9078" i="1"/>
  <c r="M9079" i="1"/>
  <c r="M9080" i="1"/>
  <c r="M9081" i="1"/>
  <c r="M9082" i="1"/>
  <c r="M9083" i="1"/>
  <c r="M9084" i="1"/>
  <c r="M9085" i="1"/>
  <c r="M9086" i="1"/>
  <c r="M9087" i="1"/>
  <c r="M9088" i="1"/>
  <c r="M9089" i="1"/>
  <c r="M9090" i="1"/>
  <c r="M9091" i="1"/>
  <c r="M9092" i="1"/>
  <c r="M9093" i="1"/>
  <c r="M9094" i="1"/>
  <c r="M9095" i="1"/>
  <c r="M9096" i="1"/>
  <c r="M9097" i="1"/>
  <c r="M9098" i="1"/>
  <c r="M9099" i="1"/>
  <c r="M9100" i="1"/>
  <c r="M9101" i="1"/>
  <c r="M9102" i="1"/>
  <c r="M9103" i="1"/>
  <c r="M9104" i="1"/>
  <c r="M9105" i="1"/>
  <c r="M9106" i="1"/>
  <c r="M9107" i="1"/>
  <c r="M9108" i="1"/>
  <c r="M9109" i="1"/>
  <c r="M9110" i="1"/>
  <c r="M9111" i="1"/>
  <c r="M9112" i="1"/>
  <c r="M9113" i="1"/>
  <c r="M9114" i="1"/>
  <c r="M9115" i="1"/>
  <c r="M9116" i="1"/>
  <c r="M9117" i="1"/>
  <c r="M9118" i="1"/>
  <c r="M9119" i="1"/>
  <c r="M9120" i="1"/>
  <c r="M9121" i="1"/>
  <c r="M9122" i="1"/>
  <c r="M9123" i="1"/>
  <c r="M9124" i="1"/>
  <c r="M9125" i="1"/>
  <c r="M9126" i="1"/>
  <c r="M9127" i="1"/>
  <c r="M9128" i="1"/>
  <c r="M9129" i="1"/>
  <c r="M9130" i="1"/>
  <c r="M9131" i="1"/>
  <c r="M9132" i="1"/>
  <c r="M9133" i="1"/>
  <c r="M9134" i="1"/>
  <c r="M9135" i="1"/>
  <c r="M9136" i="1"/>
  <c r="M9137" i="1"/>
  <c r="M9138" i="1"/>
  <c r="M9139" i="1"/>
  <c r="M9140" i="1"/>
  <c r="M9141" i="1"/>
  <c r="M9142" i="1"/>
  <c r="M9143" i="1"/>
  <c r="M9144" i="1"/>
  <c r="M9145" i="1"/>
  <c r="M9146" i="1"/>
  <c r="M9147" i="1"/>
  <c r="M9148" i="1"/>
  <c r="M9149" i="1"/>
  <c r="M9150" i="1"/>
  <c r="M9151" i="1"/>
  <c r="M9152" i="1"/>
  <c r="M9153" i="1"/>
  <c r="M9154" i="1"/>
  <c r="M9155" i="1"/>
  <c r="M9156" i="1"/>
  <c r="M9157" i="1"/>
  <c r="M9158" i="1"/>
  <c r="M9159" i="1"/>
  <c r="M9160" i="1"/>
  <c r="M9161" i="1"/>
  <c r="M9162" i="1"/>
  <c r="M9163" i="1"/>
  <c r="M9164" i="1"/>
  <c r="M9165" i="1"/>
  <c r="M9166" i="1"/>
  <c r="M9167" i="1"/>
  <c r="M9168" i="1"/>
  <c r="M9169" i="1"/>
  <c r="M9170" i="1"/>
  <c r="M9171" i="1"/>
  <c r="M9172" i="1"/>
  <c r="M9173" i="1"/>
  <c r="M9174" i="1"/>
  <c r="M9175" i="1"/>
  <c r="M9176" i="1"/>
  <c r="M9177" i="1"/>
  <c r="M9178" i="1"/>
  <c r="M9179" i="1"/>
  <c r="M9180" i="1"/>
  <c r="M9181" i="1"/>
  <c r="M9182" i="1"/>
  <c r="M9183" i="1"/>
  <c r="L2" i="1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5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3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0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3" i="1"/>
  <c r="L6314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7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1" i="1"/>
  <c r="L6342" i="1"/>
  <c r="L6343" i="1"/>
  <c r="L6344" i="1"/>
  <c r="L6345" i="1"/>
  <c r="L6346" i="1"/>
  <c r="L6347" i="1"/>
  <c r="L6348" i="1"/>
  <c r="L6349" i="1"/>
  <c r="L6350" i="1"/>
  <c r="L6351" i="1"/>
  <c r="L6352" i="1"/>
  <c r="L6353" i="1"/>
  <c r="L6354" i="1"/>
  <c r="L6355" i="1"/>
  <c r="L6356" i="1"/>
  <c r="L6357" i="1"/>
  <c r="L6358" i="1"/>
  <c r="L6359" i="1"/>
  <c r="L6360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392" i="1"/>
  <c r="L6393" i="1"/>
  <c r="L6394" i="1"/>
  <c r="L6395" i="1"/>
  <c r="L6396" i="1"/>
  <c r="L6397" i="1"/>
  <c r="L6398" i="1"/>
  <c r="L6399" i="1"/>
  <c r="L6400" i="1"/>
  <c r="L6401" i="1"/>
  <c r="L6402" i="1"/>
  <c r="L6403" i="1"/>
  <c r="L6404" i="1"/>
  <c r="L6405" i="1"/>
  <c r="L6406" i="1"/>
  <c r="L6407" i="1"/>
  <c r="L6408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6427" i="1"/>
  <c r="L6428" i="1"/>
  <c r="L6429" i="1"/>
  <c r="L6430" i="1"/>
  <c r="L6431" i="1"/>
  <c r="L6432" i="1"/>
  <c r="L6433" i="1"/>
  <c r="L6434" i="1"/>
  <c r="L6435" i="1"/>
  <c r="L6436" i="1"/>
  <c r="L6437" i="1"/>
  <c r="L6438" i="1"/>
  <c r="L6439" i="1"/>
  <c r="L6440" i="1"/>
  <c r="L6441" i="1"/>
  <c r="L6442" i="1"/>
  <c r="L6443" i="1"/>
  <c r="L6444" i="1"/>
  <c r="L6445" i="1"/>
  <c r="L6446" i="1"/>
  <c r="L6447" i="1"/>
  <c r="L6448" i="1"/>
  <c r="L6449" i="1"/>
  <c r="L6450" i="1"/>
  <c r="L6451" i="1"/>
  <c r="L6452" i="1"/>
  <c r="L6453" i="1"/>
  <c r="L6454" i="1"/>
  <c r="L6455" i="1"/>
  <c r="L6456" i="1"/>
  <c r="L6457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2" i="1"/>
  <c r="L6473" i="1"/>
  <c r="L6474" i="1"/>
  <c r="L6475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88" i="1"/>
  <c r="L6489" i="1"/>
  <c r="L6490" i="1"/>
  <c r="L6491" i="1"/>
  <c r="L6492" i="1"/>
  <c r="L6493" i="1"/>
  <c r="L6494" i="1"/>
  <c r="L6495" i="1"/>
  <c r="L6496" i="1"/>
  <c r="L6497" i="1"/>
  <c r="L6498" i="1"/>
  <c r="L6499" i="1"/>
  <c r="L6500" i="1"/>
  <c r="L6501" i="1"/>
  <c r="L6502" i="1"/>
  <c r="L6503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1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0" i="1"/>
  <c r="L6541" i="1"/>
  <c r="L6542" i="1"/>
  <c r="L6543" i="1"/>
  <c r="L6544" i="1"/>
  <c r="L6545" i="1"/>
  <c r="L6546" i="1"/>
  <c r="L6547" i="1"/>
  <c r="L6548" i="1"/>
  <c r="L6549" i="1"/>
  <c r="L6550" i="1"/>
  <c r="L6551" i="1"/>
  <c r="L6552" i="1"/>
  <c r="L6553" i="1"/>
  <c r="L6554" i="1"/>
  <c r="L6555" i="1"/>
  <c r="L6556" i="1"/>
  <c r="L6557" i="1"/>
  <c r="L6558" i="1"/>
  <c r="L6559" i="1"/>
  <c r="L6560" i="1"/>
  <c r="L6561" i="1"/>
  <c r="L6562" i="1"/>
  <c r="L6563" i="1"/>
  <c r="L6564" i="1"/>
  <c r="L6565" i="1"/>
  <c r="L6566" i="1"/>
  <c r="L6567" i="1"/>
  <c r="L6568" i="1"/>
  <c r="L6569" i="1"/>
  <c r="L6570" i="1"/>
  <c r="L6571" i="1"/>
  <c r="L6572" i="1"/>
  <c r="L6573" i="1"/>
  <c r="L6574" i="1"/>
  <c r="L6575" i="1"/>
  <c r="L6576" i="1"/>
  <c r="L6577" i="1"/>
  <c r="L6578" i="1"/>
  <c r="L6579" i="1"/>
  <c r="L6580" i="1"/>
  <c r="L6581" i="1"/>
  <c r="L6582" i="1"/>
  <c r="L6583" i="1"/>
  <c r="L6584" i="1"/>
  <c r="L6585" i="1"/>
  <c r="L6586" i="1"/>
  <c r="L6587" i="1"/>
  <c r="L6588" i="1"/>
  <c r="L6589" i="1"/>
  <c r="L6590" i="1"/>
  <c r="L6591" i="1"/>
  <c r="L6592" i="1"/>
  <c r="L6593" i="1"/>
  <c r="L6594" i="1"/>
  <c r="L6595" i="1"/>
  <c r="L6596" i="1"/>
  <c r="L6597" i="1"/>
  <c r="L6598" i="1"/>
  <c r="L6599" i="1"/>
  <c r="L6600" i="1"/>
  <c r="L6601" i="1"/>
  <c r="L6602" i="1"/>
  <c r="L6603" i="1"/>
  <c r="L6604" i="1"/>
  <c r="L6605" i="1"/>
  <c r="L6606" i="1"/>
  <c r="L6607" i="1"/>
  <c r="L6608" i="1"/>
  <c r="L6609" i="1"/>
  <c r="L6610" i="1"/>
  <c r="L6611" i="1"/>
  <c r="L6612" i="1"/>
  <c r="L6613" i="1"/>
  <c r="L6614" i="1"/>
  <c r="L6615" i="1"/>
  <c r="L6616" i="1"/>
  <c r="L6617" i="1"/>
  <c r="L6618" i="1"/>
  <c r="L6619" i="1"/>
  <c r="L6620" i="1"/>
  <c r="L6621" i="1"/>
  <c r="L6622" i="1"/>
  <c r="L6623" i="1"/>
  <c r="L6624" i="1"/>
  <c r="L6625" i="1"/>
  <c r="L6626" i="1"/>
  <c r="L6627" i="1"/>
  <c r="L6628" i="1"/>
  <c r="L6629" i="1"/>
  <c r="L6630" i="1"/>
  <c r="L6631" i="1"/>
  <c r="L6632" i="1"/>
  <c r="L6633" i="1"/>
  <c r="L6634" i="1"/>
  <c r="L6635" i="1"/>
  <c r="L6636" i="1"/>
  <c r="L6637" i="1"/>
  <c r="L6638" i="1"/>
  <c r="L6639" i="1"/>
  <c r="L6640" i="1"/>
  <c r="L6641" i="1"/>
  <c r="L6642" i="1"/>
  <c r="L6643" i="1"/>
  <c r="L6644" i="1"/>
  <c r="L6645" i="1"/>
  <c r="L6646" i="1"/>
  <c r="L6647" i="1"/>
  <c r="L6648" i="1"/>
  <c r="L6649" i="1"/>
  <c r="L6650" i="1"/>
  <c r="L6651" i="1"/>
  <c r="L6652" i="1"/>
  <c r="L6653" i="1"/>
  <c r="L6654" i="1"/>
  <c r="L6655" i="1"/>
  <c r="L6656" i="1"/>
  <c r="L6657" i="1"/>
  <c r="L6658" i="1"/>
  <c r="L6659" i="1"/>
  <c r="L6660" i="1"/>
  <c r="L6661" i="1"/>
  <c r="L6662" i="1"/>
  <c r="L6663" i="1"/>
  <c r="L6664" i="1"/>
  <c r="L6665" i="1"/>
  <c r="L6666" i="1"/>
  <c r="L6667" i="1"/>
  <c r="L6668" i="1"/>
  <c r="L6669" i="1"/>
  <c r="L6670" i="1"/>
  <c r="L6671" i="1"/>
  <c r="L6672" i="1"/>
  <c r="L6673" i="1"/>
  <c r="L6674" i="1"/>
  <c r="L6675" i="1"/>
  <c r="L6676" i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L6692" i="1"/>
  <c r="L6693" i="1"/>
  <c r="L6694" i="1"/>
  <c r="L6695" i="1"/>
  <c r="L6696" i="1"/>
  <c r="L6697" i="1"/>
  <c r="L6698" i="1"/>
  <c r="L6699" i="1"/>
  <c r="L6700" i="1"/>
  <c r="L6701" i="1"/>
  <c r="L6702" i="1"/>
  <c r="L6703" i="1"/>
  <c r="L6704" i="1"/>
  <c r="L6705" i="1"/>
  <c r="L6706" i="1"/>
  <c r="L6707" i="1"/>
  <c r="L6708" i="1"/>
  <c r="L6709" i="1"/>
  <c r="L6710" i="1"/>
  <c r="L6711" i="1"/>
  <c r="L6712" i="1"/>
  <c r="L6713" i="1"/>
  <c r="L6714" i="1"/>
  <c r="L6715" i="1"/>
  <c r="L6716" i="1"/>
  <c r="L6717" i="1"/>
  <c r="L6718" i="1"/>
  <c r="L6719" i="1"/>
  <c r="L6720" i="1"/>
  <c r="L6721" i="1"/>
  <c r="L6722" i="1"/>
  <c r="L6723" i="1"/>
  <c r="L6724" i="1"/>
  <c r="L6725" i="1"/>
  <c r="L6726" i="1"/>
  <c r="L6727" i="1"/>
  <c r="L6728" i="1"/>
  <c r="L6729" i="1"/>
  <c r="L6730" i="1"/>
  <c r="L6731" i="1"/>
  <c r="L6732" i="1"/>
  <c r="L6733" i="1"/>
  <c r="L6734" i="1"/>
  <c r="L6735" i="1"/>
  <c r="L6736" i="1"/>
  <c r="L6737" i="1"/>
  <c r="L6738" i="1"/>
  <c r="L6739" i="1"/>
  <c r="L6740" i="1"/>
  <c r="L6741" i="1"/>
  <c r="L6742" i="1"/>
  <c r="L6743" i="1"/>
  <c r="L6744" i="1"/>
  <c r="L6745" i="1"/>
  <c r="L6746" i="1"/>
  <c r="L6747" i="1"/>
  <c r="L6748" i="1"/>
  <c r="L6749" i="1"/>
  <c r="L6750" i="1"/>
  <c r="L6751" i="1"/>
  <c r="L6752" i="1"/>
  <c r="L6753" i="1"/>
  <c r="L6754" i="1"/>
  <c r="L6755" i="1"/>
  <c r="L6756" i="1"/>
  <c r="L6757" i="1"/>
  <c r="L6758" i="1"/>
  <c r="L6759" i="1"/>
  <c r="L6760" i="1"/>
  <c r="L6761" i="1"/>
  <c r="L6762" i="1"/>
  <c r="L6763" i="1"/>
  <c r="L6764" i="1"/>
  <c r="L6765" i="1"/>
  <c r="L6766" i="1"/>
  <c r="L6767" i="1"/>
  <c r="L6768" i="1"/>
  <c r="L6769" i="1"/>
  <c r="L6770" i="1"/>
  <c r="L6771" i="1"/>
  <c r="L6772" i="1"/>
  <c r="L6773" i="1"/>
  <c r="L6774" i="1"/>
  <c r="L6775" i="1"/>
  <c r="L6776" i="1"/>
  <c r="L6777" i="1"/>
  <c r="L6778" i="1"/>
  <c r="L6779" i="1"/>
  <c r="L6780" i="1"/>
  <c r="L6781" i="1"/>
  <c r="L6782" i="1"/>
  <c r="L6783" i="1"/>
  <c r="L6784" i="1"/>
  <c r="L6785" i="1"/>
  <c r="L6786" i="1"/>
  <c r="L6787" i="1"/>
  <c r="L6788" i="1"/>
  <c r="L6789" i="1"/>
  <c r="L6790" i="1"/>
  <c r="L6791" i="1"/>
  <c r="L6792" i="1"/>
  <c r="L6793" i="1"/>
  <c r="L6794" i="1"/>
  <c r="L6795" i="1"/>
  <c r="L6796" i="1"/>
  <c r="L6797" i="1"/>
  <c r="L6798" i="1"/>
  <c r="L6799" i="1"/>
  <c r="L6800" i="1"/>
  <c r="L6801" i="1"/>
  <c r="L6802" i="1"/>
  <c r="L6803" i="1"/>
  <c r="L6804" i="1"/>
  <c r="L6805" i="1"/>
  <c r="L6806" i="1"/>
  <c r="L6807" i="1"/>
  <c r="L6808" i="1"/>
  <c r="L6809" i="1"/>
  <c r="L6810" i="1"/>
  <c r="L6811" i="1"/>
  <c r="L6812" i="1"/>
  <c r="L6813" i="1"/>
  <c r="L6814" i="1"/>
  <c r="L6815" i="1"/>
  <c r="L6816" i="1"/>
  <c r="L6817" i="1"/>
  <c r="L6818" i="1"/>
  <c r="L6819" i="1"/>
  <c r="L6820" i="1"/>
  <c r="L6821" i="1"/>
  <c r="L6822" i="1"/>
  <c r="L6823" i="1"/>
  <c r="L6824" i="1"/>
  <c r="L6825" i="1"/>
  <c r="L6826" i="1"/>
  <c r="L6827" i="1"/>
  <c r="L6828" i="1"/>
  <c r="L6829" i="1"/>
  <c r="L6830" i="1"/>
  <c r="L6831" i="1"/>
  <c r="L6832" i="1"/>
  <c r="L6833" i="1"/>
  <c r="L6834" i="1"/>
  <c r="L6835" i="1"/>
  <c r="L6836" i="1"/>
  <c r="L6837" i="1"/>
  <c r="L6838" i="1"/>
  <c r="L6839" i="1"/>
  <c r="L6840" i="1"/>
  <c r="L6841" i="1"/>
  <c r="L6842" i="1"/>
  <c r="L6843" i="1"/>
  <c r="L6844" i="1"/>
  <c r="L6845" i="1"/>
  <c r="L6846" i="1"/>
  <c r="L6847" i="1"/>
  <c r="L6848" i="1"/>
  <c r="L6849" i="1"/>
  <c r="L6850" i="1"/>
  <c r="L6851" i="1"/>
  <c r="L6852" i="1"/>
  <c r="L6853" i="1"/>
  <c r="L6854" i="1"/>
  <c r="L6855" i="1"/>
  <c r="L6856" i="1"/>
  <c r="L6857" i="1"/>
  <c r="L6858" i="1"/>
  <c r="L6859" i="1"/>
  <c r="L6860" i="1"/>
  <c r="L6861" i="1"/>
  <c r="L6862" i="1"/>
  <c r="L6863" i="1"/>
  <c r="L6864" i="1"/>
  <c r="L6865" i="1"/>
  <c r="L6866" i="1"/>
  <c r="L6867" i="1"/>
  <c r="L6868" i="1"/>
  <c r="L6869" i="1"/>
  <c r="L6870" i="1"/>
  <c r="L6871" i="1"/>
  <c r="L6872" i="1"/>
  <c r="L6873" i="1"/>
  <c r="L6874" i="1"/>
  <c r="L6875" i="1"/>
  <c r="L6876" i="1"/>
  <c r="L6877" i="1"/>
  <c r="L6878" i="1"/>
  <c r="L6879" i="1"/>
  <c r="L6880" i="1"/>
  <c r="L6881" i="1"/>
  <c r="L6882" i="1"/>
  <c r="L6883" i="1"/>
  <c r="L6884" i="1"/>
  <c r="L6885" i="1"/>
  <c r="L6886" i="1"/>
  <c r="L6887" i="1"/>
  <c r="L6888" i="1"/>
  <c r="L6889" i="1"/>
  <c r="L6890" i="1"/>
  <c r="L6891" i="1"/>
  <c r="L6892" i="1"/>
  <c r="L6893" i="1"/>
  <c r="L6894" i="1"/>
  <c r="L6895" i="1"/>
  <c r="L6896" i="1"/>
  <c r="L6897" i="1"/>
  <c r="L6898" i="1"/>
  <c r="L6899" i="1"/>
  <c r="L6900" i="1"/>
  <c r="L6901" i="1"/>
  <c r="L6902" i="1"/>
  <c r="L6903" i="1"/>
  <c r="L6904" i="1"/>
  <c r="L6905" i="1"/>
  <c r="L6906" i="1"/>
  <c r="L6907" i="1"/>
  <c r="L6908" i="1"/>
  <c r="L6909" i="1"/>
  <c r="L6910" i="1"/>
  <c r="L6911" i="1"/>
  <c r="L6912" i="1"/>
  <c r="L6913" i="1"/>
  <c r="L6914" i="1"/>
  <c r="L6915" i="1"/>
  <c r="L6916" i="1"/>
  <c r="L6917" i="1"/>
  <c r="L6918" i="1"/>
  <c r="L6919" i="1"/>
  <c r="L6920" i="1"/>
  <c r="L6921" i="1"/>
  <c r="L6922" i="1"/>
  <c r="L6923" i="1"/>
  <c r="L6924" i="1"/>
  <c r="L6925" i="1"/>
  <c r="L6926" i="1"/>
  <c r="L6927" i="1"/>
  <c r="L6928" i="1"/>
  <c r="L6929" i="1"/>
  <c r="L6930" i="1"/>
  <c r="L6931" i="1"/>
  <c r="L6932" i="1"/>
  <c r="L6933" i="1"/>
  <c r="L6934" i="1"/>
  <c r="L6935" i="1"/>
  <c r="L6936" i="1"/>
  <c r="L6937" i="1"/>
  <c r="L6938" i="1"/>
  <c r="L6939" i="1"/>
  <c r="L6940" i="1"/>
  <c r="L6941" i="1"/>
  <c r="L6942" i="1"/>
  <c r="L6943" i="1"/>
  <c r="L6944" i="1"/>
  <c r="L6945" i="1"/>
  <c r="L6946" i="1"/>
  <c r="L6947" i="1"/>
  <c r="L6948" i="1"/>
  <c r="L6949" i="1"/>
  <c r="L6950" i="1"/>
  <c r="L6951" i="1"/>
  <c r="L6952" i="1"/>
  <c r="L6953" i="1"/>
  <c r="L6954" i="1"/>
  <c r="L6955" i="1"/>
  <c r="L6956" i="1"/>
  <c r="L6957" i="1"/>
  <c r="L6958" i="1"/>
  <c r="L6959" i="1"/>
  <c r="L6960" i="1"/>
  <c r="L6961" i="1"/>
  <c r="L6962" i="1"/>
  <c r="L6963" i="1"/>
  <c r="L6964" i="1"/>
  <c r="L6965" i="1"/>
  <c r="L6966" i="1"/>
  <c r="L6967" i="1"/>
  <c r="L6968" i="1"/>
  <c r="L6969" i="1"/>
  <c r="L6970" i="1"/>
  <c r="L6971" i="1"/>
  <c r="L6972" i="1"/>
  <c r="L6973" i="1"/>
  <c r="L6974" i="1"/>
  <c r="L6975" i="1"/>
  <c r="L6976" i="1"/>
  <c r="L6977" i="1"/>
  <c r="L6978" i="1"/>
  <c r="L6979" i="1"/>
  <c r="L6980" i="1"/>
  <c r="L6981" i="1"/>
  <c r="L6982" i="1"/>
  <c r="L6983" i="1"/>
  <c r="L6984" i="1"/>
  <c r="L6985" i="1"/>
  <c r="L6986" i="1"/>
  <c r="L6987" i="1"/>
  <c r="L6988" i="1"/>
  <c r="L6989" i="1"/>
  <c r="L6990" i="1"/>
  <c r="L6991" i="1"/>
  <c r="L6992" i="1"/>
  <c r="L6993" i="1"/>
  <c r="L6994" i="1"/>
  <c r="L6995" i="1"/>
  <c r="L6996" i="1"/>
  <c r="L6997" i="1"/>
  <c r="L6998" i="1"/>
  <c r="L6999" i="1"/>
  <c r="L7000" i="1"/>
  <c r="L7001" i="1"/>
  <c r="L7002" i="1"/>
  <c r="L7003" i="1"/>
  <c r="L7004" i="1"/>
  <c r="L7005" i="1"/>
  <c r="L7006" i="1"/>
  <c r="L7007" i="1"/>
  <c r="L7008" i="1"/>
  <c r="L7009" i="1"/>
  <c r="L7010" i="1"/>
  <c r="L7011" i="1"/>
  <c r="L7012" i="1"/>
  <c r="L7013" i="1"/>
  <c r="L7014" i="1"/>
  <c r="L7015" i="1"/>
  <c r="L7016" i="1"/>
  <c r="L7017" i="1"/>
  <c r="L7018" i="1"/>
  <c r="L7019" i="1"/>
  <c r="L7020" i="1"/>
  <c r="L7021" i="1"/>
  <c r="L7022" i="1"/>
  <c r="L7023" i="1"/>
  <c r="L7024" i="1"/>
  <c r="L7025" i="1"/>
  <c r="L7026" i="1"/>
  <c r="L7027" i="1"/>
  <c r="L7028" i="1"/>
  <c r="L7029" i="1"/>
  <c r="L7030" i="1"/>
  <c r="L7031" i="1"/>
  <c r="L7032" i="1"/>
  <c r="L7033" i="1"/>
  <c r="L7034" i="1"/>
  <c r="L7035" i="1"/>
  <c r="L7036" i="1"/>
  <c r="L7037" i="1"/>
  <c r="L7038" i="1"/>
  <c r="L7039" i="1"/>
  <c r="L7040" i="1"/>
  <c r="L7041" i="1"/>
  <c r="L7042" i="1"/>
  <c r="L7043" i="1"/>
  <c r="L7044" i="1"/>
  <c r="L7045" i="1"/>
  <c r="L7046" i="1"/>
  <c r="L7047" i="1"/>
  <c r="L7048" i="1"/>
  <c r="L7049" i="1"/>
  <c r="L7050" i="1"/>
  <c r="L7051" i="1"/>
  <c r="L7052" i="1"/>
  <c r="L7053" i="1"/>
  <c r="L7054" i="1"/>
  <c r="L7055" i="1"/>
  <c r="L7056" i="1"/>
  <c r="L7057" i="1"/>
  <c r="L7058" i="1"/>
  <c r="L7059" i="1"/>
  <c r="L7060" i="1"/>
  <c r="L7061" i="1"/>
  <c r="L7062" i="1"/>
  <c r="L7063" i="1"/>
  <c r="L7064" i="1"/>
  <c r="L7065" i="1"/>
  <c r="L7066" i="1"/>
  <c r="L7067" i="1"/>
  <c r="L7068" i="1"/>
  <c r="L7069" i="1"/>
  <c r="L7070" i="1"/>
  <c r="L7071" i="1"/>
  <c r="L7072" i="1"/>
  <c r="L7073" i="1"/>
  <c r="L7074" i="1"/>
  <c r="L7075" i="1"/>
  <c r="L7076" i="1"/>
  <c r="L7077" i="1"/>
  <c r="L7078" i="1"/>
  <c r="L7079" i="1"/>
  <c r="L7080" i="1"/>
  <c r="L7081" i="1"/>
  <c r="L7082" i="1"/>
  <c r="L7083" i="1"/>
  <c r="L7084" i="1"/>
  <c r="L7085" i="1"/>
  <c r="L7086" i="1"/>
  <c r="L7087" i="1"/>
  <c r="L7088" i="1"/>
  <c r="L7089" i="1"/>
  <c r="L7090" i="1"/>
  <c r="L7091" i="1"/>
  <c r="L7092" i="1"/>
  <c r="L7093" i="1"/>
  <c r="L7094" i="1"/>
  <c r="L7095" i="1"/>
  <c r="L7096" i="1"/>
  <c r="L7097" i="1"/>
  <c r="L7098" i="1"/>
  <c r="L7099" i="1"/>
  <c r="L7100" i="1"/>
  <c r="L7101" i="1"/>
  <c r="L7102" i="1"/>
  <c r="L7103" i="1"/>
  <c r="L7104" i="1"/>
  <c r="L7105" i="1"/>
  <c r="L7106" i="1"/>
  <c r="L7107" i="1"/>
  <c r="L7108" i="1"/>
  <c r="L7109" i="1"/>
  <c r="L7110" i="1"/>
  <c r="L7111" i="1"/>
  <c r="L7112" i="1"/>
  <c r="L7113" i="1"/>
  <c r="L7114" i="1"/>
  <c r="L7115" i="1"/>
  <c r="L7116" i="1"/>
  <c r="L7117" i="1"/>
  <c r="L7118" i="1"/>
  <c r="L7119" i="1"/>
  <c r="L7120" i="1"/>
  <c r="L7121" i="1"/>
  <c r="L7122" i="1"/>
  <c r="L7123" i="1"/>
  <c r="L7124" i="1"/>
  <c r="L7125" i="1"/>
  <c r="L7126" i="1"/>
  <c r="L7127" i="1"/>
  <c r="L7128" i="1"/>
  <c r="L7129" i="1"/>
  <c r="L7130" i="1"/>
  <c r="L7131" i="1"/>
  <c r="L7132" i="1"/>
  <c r="L7133" i="1"/>
  <c r="L7134" i="1"/>
  <c r="L7135" i="1"/>
  <c r="L7136" i="1"/>
  <c r="L7137" i="1"/>
  <c r="L7138" i="1"/>
  <c r="L7139" i="1"/>
  <c r="L7140" i="1"/>
  <c r="L7141" i="1"/>
  <c r="L7142" i="1"/>
  <c r="L7143" i="1"/>
  <c r="L7144" i="1"/>
  <c r="L7145" i="1"/>
  <c r="L7146" i="1"/>
  <c r="L7147" i="1"/>
  <c r="L7148" i="1"/>
  <c r="L7149" i="1"/>
  <c r="L7150" i="1"/>
  <c r="L7151" i="1"/>
  <c r="L7152" i="1"/>
  <c r="L7153" i="1"/>
  <c r="L7154" i="1"/>
  <c r="L7155" i="1"/>
  <c r="L7156" i="1"/>
  <c r="L7157" i="1"/>
  <c r="L7158" i="1"/>
  <c r="L7159" i="1"/>
  <c r="L7160" i="1"/>
  <c r="L7161" i="1"/>
  <c r="L7162" i="1"/>
  <c r="L7163" i="1"/>
  <c r="L7164" i="1"/>
  <c r="L7165" i="1"/>
  <c r="L7166" i="1"/>
  <c r="L7167" i="1"/>
  <c r="L7168" i="1"/>
  <c r="L7169" i="1"/>
  <c r="L7170" i="1"/>
  <c r="L7171" i="1"/>
  <c r="L7172" i="1"/>
  <c r="L7173" i="1"/>
  <c r="L7174" i="1"/>
  <c r="L7175" i="1"/>
  <c r="L7176" i="1"/>
  <c r="L7177" i="1"/>
  <c r="L7178" i="1"/>
  <c r="L7179" i="1"/>
  <c r="L7180" i="1"/>
  <c r="L7181" i="1"/>
  <c r="L7182" i="1"/>
  <c r="L7183" i="1"/>
  <c r="L7184" i="1"/>
  <c r="L7185" i="1"/>
  <c r="L7186" i="1"/>
  <c r="L7187" i="1"/>
  <c r="L7188" i="1"/>
  <c r="L7189" i="1"/>
  <c r="L7190" i="1"/>
  <c r="L7191" i="1"/>
  <c r="L7192" i="1"/>
  <c r="L7193" i="1"/>
  <c r="L7194" i="1"/>
  <c r="L7195" i="1"/>
  <c r="L7196" i="1"/>
  <c r="L7197" i="1"/>
  <c r="L7198" i="1"/>
  <c r="L7199" i="1"/>
  <c r="L7200" i="1"/>
  <c r="L7201" i="1"/>
  <c r="L7202" i="1"/>
  <c r="L7203" i="1"/>
  <c r="L7204" i="1"/>
  <c r="L7205" i="1"/>
  <c r="L7206" i="1"/>
  <c r="L7207" i="1"/>
  <c r="L7208" i="1"/>
  <c r="L7209" i="1"/>
  <c r="L7210" i="1"/>
  <c r="L7211" i="1"/>
  <c r="L7212" i="1"/>
  <c r="L7213" i="1"/>
  <c r="L7214" i="1"/>
  <c r="L7215" i="1"/>
  <c r="L7216" i="1"/>
  <c r="L7217" i="1"/>
  <c r="L7218" i="1"/>
  <c r="L7219" i="1"/>
  <c r="L7220" i="1"/>
  <c r="L7221" i="1"/>
  <c r="L7222" i="1"/>
  <c r="L7223" i="1"/>
  <c r="L7224" i="1"/>
  <c r="L7225" i="1"/>
  <c r="L7226" i="1"/>
  <c r="L7227" i="1"/>
  <c r="L7228" i="1"/>
  <c r="L7229" i="1"/>
  <c r="L7230" i="1"/>
  <c r="L7231" i="1"/>
  <c r="L7232" i="1"/>
  <c r="L7233" i="1"/>
  <c r="L7234" i="1"/>
  <c r="L7235" i="1"/>
  <c r="L7236" i="1"/>
  <c r="L7237" i="1"/>
  <c r="L7238" i="1"/>
  <c r="L7239" i="1"/>
  <c r="L7240" i="1"/>
  <c r="L7241" i="1"/>
  <c r="L7242" i="1"/>
  <c r="L7243" i="1"/>
  <c r="L7244" i="1"/>
  <c r="L7245" i="1"/>
  <c r="L7246" i="1"/>
  <c r="L7247" i="1"/>
  <c r="L7248" i="1"/>
  <c r="L7249" i="1"/>
  <c r="L7250" i="1"/>
  <c r="L7251" i="1"/>
  <c r="L7252" i="1"/>
  <c r="L7253" i="1"/>
  <c r="L7254" i="1"/>
  <c r="L7255" i="1"/>
  <c r="L7256" i="1"/>
  <c r="L7257" i="1"/>
  <c r="L7258" i="1"/>
  <c r="L7259" i="1"/>
  <c r="L7260" i="1"/>
  <c r="L7261" i="1"/>
  <c r="L7262" i="1"/>
  <c r="L7263" i="1"/>
  <c r="L7264" i="1"/>
  <c r="L7265" i="1"/>
  <c r="L7266" i="1"/>
  <c r="L7267" i="1"/>
  <c r="L7268" i="1"/>
  <c r="L7269" i="1"/>
  <c r="L7270" i="1"/>
  <c r="L7271" i="1"/>
  <c r="L7272" i="1"/>
  <c r="L7273" i="1"/>
  <c r="L7274" i="1"/>
  <c r="L7275" i="1"/>
  <c r="L7276" i="1"/>
  <c r="L7277" i="1"/>
  <c r="L7278" i="1"/>
  <c r="L7279" i="1"/>
  <c r="L7280" i="1"/>
  <c r="L7281" i="1"/>
  <c r="L7282" i="1"/>
  <c r="L7283" i="1"/>
  <c r="L7284" i="1"/>
  <c r="L7285" i="1"/>
  <c r="L7286" i="1"/>
  <c r="L7287" i="1"/>
  <c r="L7288" i="1"/>
  <c r="L7289" i="1"/>
  <c r="L7290" i="1"/>
  <c r="L7291" i="1"/>
  <c r="L7292" i="1"/>
  <c r="L7293" i="1"/>
  <c r="L7294" i="1"/>
  <c r="L7295" i="1"/>
  <c r="L7296" i="1"/>
  <c r="L7297" i="1"/>
  <c r="L7298" i="1"/>
  <c r="L7299" i="1"/>
  <c r="L7300" i="1"/>
  <c r="L7301" i="1"/>
  <c r="L7302" i="1"/>
  <c r="L7303" i="1"/>
  <c r="L7304" i="1"/>
  <c r="L7305" i="1"/>
  <c r="L7306" i="1"/>
  <c r="L7307" i="1"/>
  <c r="L7308" i="1"/>
  <c r="L7309" i="1"/>
  <c r="L7310" i="1"/>
  <c r="L7311" i="1"/>
  <c r="L7312" i="1"/>
  <c r="L7313" i="1"/>
  <c r="L7314" i="1"/>
  <c r="L7315" i="1"/>
  <c r="L7316" i="1"/>
  <c r="L7317" i="1"/>
  <c r="L7318" i="1"/>
  <c r="L7319" i="1"/>
  <c r="L7320" i="1"/>
  <c r="L7321" i="1"/>
  <c r="L7322" i="1"/>
  <c r="L7323" i="1"/>
  <c r="L7324" i="1"/>
  <c r="L7325" i="1"/>
  <c r="L7326" i="1"/>
  <c r="L7327" i="1"/>
  <c r="L7328" i="1"/>
  <c r="L7329" i="1"/>
  <c r="L7330" i="1"/>
  <c r="L7331" i="1"/>
  <c r="L7332" i="1"/>
  <c r="L7333" i="1"/>
  <c r="L7334" i="1"/>
  <c r="L7335" i="1"/>
  <c r="L7336" i="1"/>
  <c r="L7337" i="1"/>
  <c r="L7338" i="1"/>
  <c r="L7339" i="1"/>
  <c r="L7340" i="1"/>
  <c r="L7341" i="1"/>
  <c r="L7342" i="1"/>
  <c r="L7343" i="1"/>
  <c r="L7344" i="1"/>
  <c r="L7345" i="1"/>
  <c r="L7346" i="1"/>
  <c r="L7347" i="1"/>
  <c r="L7348" i="1"/>
  <c r="L7349" i="1"/>
  <c r="L7350" i="1"/>
  <c r="L7351" i="1"/>
  <c r="L7352" i="1"/>
  <c r="L7353" i="1"/>
  <c r="L7354" i="1"/>
  <c r="L7355" i="1"/>
  <c r="L7356" i="1"/>
  <c r="L7357" i="1"/>
  <c r="L7358" i="1"/>
  <c r="L7359" i="1"/>
  <c r="L7360" i="1"/>
  <c r="L7361" i="1"/>
  <c r="L7362" i="1"/>
  <c r="L7363" i="1"/>
  <c r="L7364" i="1"/>
  <c r="L7365" i="1"/>
  <c r="L7366" i="1"/>
  <c r="L7367" i="1"/>
  <c r="L7368" i="1"/>
  <c r="L7369" i="1"/>
  <c r="L7370" i="1"/>
  <c r="L7371" i="1"/>
  <c r="L7372" i="1"/>
  <c r="L7373" i="1"/>
  <c r="L7374" i="1"/>
  <c r="L7375" i="1"/>
  <c r="L7376" i="1"/>
  <c r="L7377" i="1"/>
  <c r="L7378" i="1"/>
  <c r="L7379" i="1"/>
  <c r="L7380" i="1"/>
  <c r="L7381" i="1"/>
  <c r="L7382" i="1"/>
  <c r="L7383" i="1"/>
  <c r="L7384" i="1"/>
  <c r="L7385" i="1"/>
  <c r="L7386" i="1"/>
  <c r="L7387" i="1"/>
  <c r="L7388" i="1"/>
  <c r="L7389" i="1"/>
  <c r="L7390" i="1"/>
  <c r="L7391" i="1"/>
  <c r="L7392" i="1"/>
  <c r="L7393" i="1"/>
  <c r="L7394" i="1"/>
  <c r="L7395" i="1"/>
  <c r="L7396" i="1"/>
  <c r="L7397" i="1"/>
  <c r="L7398" i="1"/>
  <c r="L7399" i="1"/>
  <c r="L7400" i="1"/>
  <c r="L7401" i="1"/>
  <c r="L7402" i="1"/>
  <c r="L7403" i="1"/>
  <c r="L7404" i="1"/>
  <c r="L7405" i="1"/>
  <c r="L7406" i="1"/>
  <c r="L7407" i="1"/>
  <c r="L7408" i="1"/>
  <c r="L7409" i="1"/>
  <c r="L7410" i="1"/>
  <c r="L7411" i="1"/>
  <c r="L7412" i="1"/>
  <c r="L7413" i="1"/>
  <c r="L7414" i="1"/>
  <c r="L7415" i="1"/>
  <c r="L7416" i="1"/>
  <c r="L7417" i="1"/>
  <c r="L7418" i="1"/>
  <c r="L7419" i="1"/>
  <c r="L7420" i="1"/>
  <c r="L7421" i="1"/>
  <c r="L7422" i="1"/>
  <c r="L7423" i="1"/>
  <c r="L7424" i="1"/>
  <c r="L7425" i="1"/>
  <c r="L7426" i="1"/>
  <c r="L7427" i="1"/>
  <c r="L7428" i="1"/>
  <c r="L7429" i="1"/>
  <c r="L7430" i="1"/>
  <c r="L7431" i="1"/>
  <c r="L7432" i="1"/>
  <c r="L7433" i="1"/>
  <c r="L7434" i="1"/>
  <c r="L7435" i="1"/>
  <c r="L7436" i="1"/>
  <c r="L7437" i="1"/>
  <c r="L7438" i="1"/>
  <c r="L7439" i="1"/>
  <c r="L7440" i="1"/>
  <c r="L7441" i="1"/>
  <c r="L7442" i="1"/>
  <c r="L7443" i="1"/>
  <c r="L7444" i="1"/>
  <c r="L7445" i="1"/>
  <c r="L7446" i="1"/>
  <c r="L7447" i="1"/>
  <c r="L7448" i="1"/>
  <c r="L7449" i="1"/>
  <c r="L7450" i="1"/>
  <c r="L7451" i="1"/>
  <c r="L7452" i="1"/>
  <c r="L7453" i="1"/>
  <c r="L7454" i="1"/>
  <c r="L7455" i="1"/>
  <c r="L7456" i="1"/>
  <c r="L7457" i="1"/>
  <c r="L7458" i="1"/>
  <c r="L7459" i="1"/>
  <c r="L7460" i="1"/>
  <c r="L7461" i="1"/>
  <c r="L7462" i="1"/>
  <c r="L7463" i="1"/>
  <c r="L7464" i="1"/>
  <c r="L7465" i="1"/>
  <c r="L7466" i="1"/>
  <c r="L7467" i="1"/>
  <c r="L7468" i="1"/>
  <c r="L7469" i="1"/>
  <c r="L7470" i="1"/>
  <c r="L7471" i="1"/>
  <c r="L7472" i="1"/>
  <c r="L7473" i="1"/>
  <c r="L7474" i="1"/>
  <c r="L7475" i="1"/>
  <c r="L7476" i="1"/>
  <c r="L7477" i="1"/>
  <c r="L7478" i="1"/>
  <c r="L7479" i="1"/>
  <c r="L7480" i="1"/>
  <c r="L7481" i="1"/>
  <c r="L7482" i="1"/>
  <c r="L7483" i="1"/>
  <c r="L7484" i="1"/>
  <c r="L7485" i="1"/>
  <c r="L7486" i="1"/>
  <c r="L7487" i="1"/>
  <c r="L7488" i="1"/>
  <c r="L7489" i="1"/>
  <c r="L7490" i="1"/>
  <c r="L7491" i="1"/>
  <c r="L7492" i="1"/>
  <c r="L7493" i="1"/>
  <c r="L7494" i="1"/>
  <c r="L7495" i="1"/>
  <c r="L7496" i="1"/>
  <c r="L7497" i="1"/>
  <c r="L7498" i="1"/>
  <c r="L7499" i="1"/>
  <c r="L7500" i="1"/>
  <c r="L7501" i="1"/>
  <c r="L7502" i="1"/>
  <c r="L7503" i="1"/>
  <c r="L7504" i="1"/>
  <c r="L7505" i="1"/>
  <c r="L7506" i="1"/>
  <c r="L7507" i="1"/>
  <c r="L7508" i="1"/>
  <c r="L7509" i="1"/>
  <c r="L7510" i="1"/>
  <c r="L7511" i="1"/>
  <c r="L7512" i="1"/>
  <c r="L7513" i="1"/>
  <c r="L7514" i="1"/>
  <c r="L7515" i="1"/>
  <c r="L7516" i="1"/>
  <c r="L7517" i="1"/>
  <c r="L7518" i="1"/>
  <c r="L7519" i="1"/>
  <c r="L7520" i="1"/>
  <c r="L7521" i="1"/>
  <c r="L7522" i="1"/>
  <c r="L7523" i="1"/>
  <c r="L7524" i="1"/>
  <c r="L7525" i="1"/>
  <c r="L7526" i="1"/>
  <c r="L7527" i="1"/>
  <c r="L7528" i="1"/>
  <c r="L7529" i="1"/>
  <c r="L7530" i="1"/>
  <c r="L7531" i="1"/>
  <c r="L7532" i="1"/>
  <c r="L7533" i="1"/>
  <c r="L7534" i="1"/>
  <c r="L7535" i="1"/>
  <c r="L7536" i="1"/>
  <c r="L7537" i="1"/>
  <c r="L7538" i="1"/>
  <c r="L7539" i="1"/>
  <c r="L7540" i="1"/>
  <c r="L7541" i="1"/>
  <c r="L7542" i="1"/>
  <c r="L7543" i="1"/>
  <c r="L7544" i="1"/>
  <c r="L7545" i="1"/>
  <c r="L7546" i="1"/>
  <c r="L7547" i="1"/>
  <c r="L7548" i="1"/>
  <c r="L7549" i="1"/>
  <c r="L7550" i="1"/>
  <c r="L7551" i="1"/>
  <c r="L7552" i="1"/>
  <c r="L7553" i="1"/>
  <c r="L7554" i="1"/>
  <c r="L7555" i="1"/>
  <c r="L7556" i="1"/>
  <c r="L7557" i="1"/>
  <c r="L7558" i="1"/>
  <c r="L7559" i="1"/>
  <c r="L7560" i="1"/>
  <c r="L7561" i="1"/>
  <c r="L7562" i="1"/>
  <c r="L7563" i="1"/>
  <c r="L7564" i="1"/>
  <c r="L7565" i="1"/>
  <c r="L7566" i="1"/>
  <c r="L7567" i="1"/>
  <c r="L7568" i="1"/>
  <c r="L7569" i="1"/>
  <c r="L7570" i="1"/>
  <c r="L7571" i="1"/>
  <c r="L7572" i="1"/>
  <c r="L7573" i="1"/>
  <c r="L7574" i="1"/>
  <c r="L7575" i="1"/>
  <c r="L7576" i="1"/>
  <c r="L7577" i="1"/>
  <c r="L7578" i="1"/>
  <c r="L7579" i="1"/>
  <c r="L7580" i="1"/>
  <c r="L7581" i="1"/>
  <c r="L7582" i="1"/>
  <c r="L7583" i="1"/>
  <c r="L7584" i="1"/>
  <c r="L7585" i="1"/>
  <c r="L7586" i="1"/>
  <c r="L7587" i="1"/>
  <c r="L7588" i="1"/>
  <c r="L7589" i="1"/>
  <c r="L7590" i="1"/>
  <c r="L7591" i="1"/>
  <c r="L7592" i="1"/>
  <c r="L7593" i="1"/>
  <c r="L7594" i="1"/>
  <c r="L7595" i="1"/>
  <c r="L7596" i="1"/>
  <c r="L7597" i="1"/>
  <c r="L7598" i="1"/>
  <c r="L7599" i="1"/>
  <c r="L7600" i="1"/>
  <c r="L7601" i="1"/>
  <c r="L7602" i="1"/>
  <c r="L7603" i="1"/>
  <c r="L7604" i="1"/>
  <c r="L7605" i="1"/>
  <c r="L7606" i="1"/>
  <c r="L7607" i="1"/>
  <c r="L7608" i="1"/>
  <c r="L7609" i="1"/>
  <c r="L7610" i="1"/>
  <c r="L7611" i="1"/>
  <c r="L7612" i="1"/>
  <c r="L7613" i="1"/>
  <c r="L7614" i="1"/>
  <c r="L7615" i="1"/>
  <c r="L7616" i="1"/>
  <c r="L7617" i="1"/>
  <c r="L7618" i="1"/>
  <c r="L7619" i="1"/>
  <c r="L7620" i="1"/>
  <c r="L7621" i="1"/>
  <c r="L7622" i="1"/>
  <c r="L7623" i="1"/>
  <c r="L7624" i="1"/>
  <c r="L7625" i="1"/>
  <c r="L7626" i="1"/>
  <c r="L7627" i="1"/>
  <c r="L7628" i="1"/>
  <c r="L7629" i="1"/>
  <c r="L7630" i="1"/>
  <c r="L7631" i="1"/>
  <c r="L7632" i="1"/>
  <c r="L7633" i="1"/>
  <c r="L7634" i="1"/>
  <c r="L7635" i="1"/>
  <c r="L7636" i="1"/>
  <c r="L7637" i="1"/>
  <c r="L7638" i="1"/>
  <c r="L7639" i="1"/>
  <c r="L7640" i="1"/>
  <c r="L7641" i="1"/>
  <c r="L7642" i="1"/>
  <c r="L7643" i="1"/>
  <c r="L7644" i="1"/>
  <c r="L7645" i="1"/>
  <c r="L7646" i="1"/>
  <c r="L7647" i="1"/>
  <c r="L7648" i="1"/>
  <c r="L7649" i="1"/>
  <c r="L7650" i="1"/>
  <c r="L7651" i="1"/>
  <c r="L7652" i="1"/>
  <c r="L7653" i="1"/>
  <c r="L7654" i="1"/>
  <c r="L7655" i="1"/>
  <c r="L7656" i="1"/>
  <c r="L7657" i="1"/>
  <c r="L7658" i="1"/>
  <c r="L7659" i="1"/>
  <c r="L7660" i="1"/>
  <c r="L7661" i="1"/>
  <c r="L7662" i="1"/>
  <c r="L7663" i="1"/>
  <c r="L7664" i="1"/>
  <c r="L7665" i="1"/>
  <c r="L7666" i="1"/>
  <c r="L7667" i="1"/>
  <c r="L7668" i="1"/>
  <c r="L7669" i="1"/>
  <c r="L7670" i="1"/>
  <c r="L7671" i="1"/>
  <c r="L7672" i="1"/>
  <c r="L7673" i="1"/>
  <c r="L7674" i="1"/>
  <c r="L7675" i="1"/>
  <c r="L7676" i="1"/>
  <c r="L7677" i="1"/>
  <c r="L7678" i="1"/>
  <c r="L7679" i="1"/>
  <c r="L7680" i="1"/>
  <c r="L7681" i="1"/>
  <c r="L7682" i="1"/>
  <c r="L7683" i="1"/>
  <c r="L7684" i="1"/>
  <c r="L7685" i="1"/>
  <c r="L7686" i="1"/>
  <c r="L7687" i="1"/>
  <c r="L7688" i="1"/>
  <c r="L7689" i="1"/>
  <c r="L7690" i="1"/>
  <c r="L7691" i="1"/>
  <c r="L7692" i="1"/>
  <c r="L7693" i="1"/>
  <c r="L7694" i="1"/>
  <c r="L7695" i="1"/>
  <c r="L7696" i="1"/>
  <c r="L7697" i="1"/>
  <c r="L7698" i="1"/>
  <c r="L7699" i="1"/>
  <c r="L7700" i="1"/>
  <c r="L7701" i="1"/>
  <c r="L7702" i="1"/>
  <c r="L7703" i="1"/>
  <c r="L7704" i="1"/>
  <c r="L7705" i="1"/>
  <c r="L7706" i="1"/>
  <c r="L7707" i="1"/>
  <c r="L7708" i="1"/>
  <c r="L7709" i="1"/>
  <c r="L7710" i="1"/>
  <c r="L7711" i="1"/>
  <c r="L7712" i="1"/>
  <c r="L7713" i="1"/>
  <c r="L7714" i="1"/>
  <c r="L7715" i="1"/>
  <c r="L7716" i="1"/>
  <c r="L7717" i="1"/>
  <c r="L7718" i="1"/>
  <c r="L7719" i="1"/>
  <c r="L7720" i="1"/>
  <c r="L7721" i="1"/>
  <c r="L7722" i="1"/>
  <c r="L7723" i="1"/>
  <c r="L7724" i="1"/>
  <c r="L7725" i="1"/>
  <c r="L7726" i="1"/>
  <c r="L7727" i="1"/>
  <c r="L7728" i="1"/>
  <c r="L7729" i="1"/>
  <c r="L7730" i="1"/>
  <c r="L7731" i="1"/>
  <c r="L7732" i="1"/>
  <c r="L7733" i="1"/>
  <c r="L7734" i="1"/>
  <c r="L7735" i="1"/>
  <c r="L7736" i="1"/>
  <c r="L7737" i="1"/>
  <c r="L7738" i="1"/>
  <c r="L7739" i="1"/>
  <c r="L7740" i="1"/>
  <c r="L7741" i="1"/>
  <c r="L7742" i="1"/>
  <c r="L7743" i="1"/>
  <c r="L7744" i="1"/>
  <c r="L7745" i="1"/>
  <c r="L7746" i="1"/>
  <c r="L7747" i="1"/>
  <c r="L7748" i="1"/>
  <c r="L7749" i="1"/>
  <c r="L7750" i="1"/>
  <c r="L7751" i="1"/>
  <c r="L7752" i="1"/>
  <c r="L7753" i="1"/>
  <c r="L7754" i="1"/>
  <c r="L7755" i="1"/>
  <c r="L7756" i="1"/>
  <c r="L7757" i="1"/>
  <c r="L7758" i="1"/>
  <c r="L7759" i="1"/>
  <c r="L7760" i="1"/>
  <c r="L7761" i="1"/>
  <c r="L7762" i="1"/>
  <c r="L7763" i="1"/>
  <c r="L7764" i="1"/>
  <c r="L7765" i="1"/>
  <c r="L7766" i="1"/>
  <c r="L7767" i="1"/>
  <c r="L7768" i="1"/>
  <c r="L7769" i="1"/>
  <c r="L7770" i="1"/>
  <c r="L7771" i="1"/>
  <c r="L7772" i="1"/>
  <c r="L7773" i="1"/>
  <c r="L7774" i="1"/>
  <c r="L7775" i="1"/>
  <c r="L7776" i="1"/>
  <c r="L7777" i="1"/>
  <c r="L7778" i="1"/>
  <c r="L7779" i="1"/>
  <c r="L7780" i="1"/>
  <c r="L7781" i="1"/>
  <c r="L7782" i="1"/>
  <c r="L7783" i="1"/>
  <c r="L7784" i="1"/>
  <c r="L7785" i="1"/>
  <c r="L7786" i="1"/>
  <c r="L7787" i="1"/>
  <c r="L7788" i="1"/>
  <c r="L7789" i="1"/>
  <c r="L7790" i="1"/>
  <c r="L7791" i="1"/>
  <c r="L7792" i="1"/>
  <c r="L7793" i="1"/>
  <c r="L7794" i="1"/>
  <c r="L7795" i="1"/>
  <c r="L7796" i="1"/>
  <c r="L7797" i="1"/>
  <c r="L7798" i="1"/>
  <c r="L7799" i="1"/>
  <c r="L7800" i="1"/>
  <c r="L7801" i="1"/>
  <c r="L7802" i="1"/>
  <c r="L7803" i="1"/>
  <c r="L7804" i="1"/>
  <c r="L7805" i="1"/>
  <c r="L7806" i="1"/>
  <c r="L7807" i="1"/>
  <c r="L7808" i="1"/>
  <c r="L7809" i="1"/>
  <c r="L7810" i="1"/>
  <c r="L7811" i="1"/>
  <c r="L7812" i="1"/>
  <c r="L7813" i="1"/>
  <c r="L7814" i="1"/>
  <c r="L7815" i="1"/>
  <c r="L7816" i="1"/>
  <c r="L7817" i="1"/>
  <c r="L7818" i="1"/>
  <c r="L7819" i="1"/>
  <c r="L7820" i="1"/>
  <c r="L7821" i="1"/>
  <c r="L7822" i="1"/>
  <c r="L7823" i="1"/>
  <c r="L7824" i="1"/>
  <c r="L7825" i="1"/>
  <c r="L7826" i="1"/>
  <c r="L7827" i="1"/>
  <c r="L7828" i="1"/>
  <c r="L7829" i="1"/>
  <c r="L7830" i="1"/>
  <c r="L7831" i="1"/>
  <c r="L7832" i="1"/>
  <c r="L7833" i="1"/>
  <c r="L7834" i="1"/>
  <c r="L7835" i="1"/>
  <c r="L7836" i="1"/>
  <c r="L7837" i="1"/>
  <c r="L7838" i="1"/>
  <c r="L7839" i="1"/>
  <c r="L7840" i="1"/>
  <c r="L7841" i="1"/>
  <c r="L7842" i="1"/>
  <c r="L7843" i="1"/>
  <c r="L7844" i="1"/>
  <c r="L7845" i="1"/>
  <c r="L7846" i="1"/>
  <c r="L7847" i="1"/>
  <c r="L7848" i="1"/>
  <c r="L7849" i="1"/>
  <c r="L7850" i="1"/>
  <c r="L7851" i="1"/>
  <c r="L7852" i="1"/>
  <c r="L7853" i="1"/>
  <c r="L7854" i="1"/>
  <c r="L7855" i="1"/>
  <c r="L7856" i="1"/>
  <c r="L7857" i="1"/>
  <c r="L7858" i="1"/>
  <c r="L7859" i="1"/>
  <c r="L7860" i="1"/>
  <c r="L7861" i="1"/>
  <c r="L7862" i="1"/>
  <c r="L7863" i="1"/>
  <c r="L7864" i="1"/>
  <c r="L7865" i="1"/>
  <c r="L7866" i="1"/>
  <c r="L7867" i="1"/>
  <c r="L7868" i="1"/>
  <c r="L7869" i="1"/>
  <c r="L7870" i="1"/>
  <c r="L7871" i="1"/>
  <c r="L7872" i="1"/>
  <c r="L7873" i="1"/>
  <c r="L7874" i="1"/>
  <c r="L7875" i="1"/>
  <c r="L7876" i="1"/>
  <c r="L7877" i="1"/>
  <c r="L7878" i="1"/>
  <c r="L7879" i="1"/>
  <c r="L7880" i="1"/>
  <c r="L7881" i="1"/>
  <c r="L7882" i="1"/>
  <c r="L7883" i="1"/>
  <c r="L7884" i="1"/>
  <c r="L7885" i="1"/>
  <c r="L7886" i="1"/>
  <c r="L7887" i="1"/>
  <c r="L7888" i="1"/>
  <c r="L7889" i="1"/>
  <c r="L7890" i="1"/>
  <c r="L7891" i="1"/>
  <c r="L7892" i="1"/>
  <c r="L7893" i="1"/>
  <c r="L7894" i="1"/>
  <c r="L7895" i="1"/>
  <c r="L7896" i="1"/>
  <c r="L7897" i="1"/>
  <c r="L7898" i="1"/>
  <c r="L7899" i="1"/>
  <c r="L7900" i="1"/>
  <c r="L7901" i="1"/>
  <c r="L7902" i="1"/>
  <c r="L7903" i="1"/>
  <c r="L7904" i="1"/>
  <c r="L7905" i="1"/>
  <c r="L7906" i="1"/>
  <c r="L7907" i="1"/>
  <c r="L7908" i="1"/>
  <c r="L7909" i="1"/>
  <c r="L7910" i="1"/>
  <c r="L7911" i="1"/>
  <c r="L7912" i="1"/>
  <c r="L7913" i="1"/>
  <c r="L7914" i="1"/>
  <c r="L7915" i="1"/>
  <c r="L7916" i="1"/>
  <c r="L7917" i="1"/>
  <c r="L7918" i="1"/>
  <c r="L7919" i="1"/>
  <c r="L7920" i="1"/>
  <c r="L7921" i="1"/>
  <c r="L7922" i="1"/>
  <c r="L7923" i="1"/>
  <c r="L7924" i="1"/>
  <c r="L7925" i="1"/>
  <c r="L7926" i="1"/>
  <c r="L7927" i="1"/>
  <c r="L7928" i="1"/>
  <c r="L7929" i="1"/>
  <c r="L7930" i="1"/>
  <c r="L7931" i="1"/>
  <c r="L7932" i="1"/>
  <c r="L7933" i="1"/>
  <c r="L7934" i="1"/>
  <c r="L7935" i="1"/>
  <c r="L7936" i="1"/>
  <c r="L7937" i="1"/>
  <c r="L7938" i="1"/>
  <c r="L7939" i="1"/>
  <c r="L7940" i="1"/>
  <c r="L7941" i="1"/>
  <c r="L7942" i="1"/>
  <c r="L7943" i="1"/>
  <c r="L7944" i="1"/>
  <c r="L7945" i="1"/>
  <c r="L7946" i="1"/>
  <c r="L7947" i="1"/>
  <c r="L7948" i="1"/>
  <c r="L7949" i="1"/>
  <c r="L7950" i="1"/>
  <c r="L7951" i="1"/>
  <c r="L7952" i="1"/>
  <c r="L7953" i="1"/>
  <c r="L7954" i="1"/>
  <c r="L7955" i="1"/>
  <c r="L7956" i="1"/>
  <c r="L7957" i="1"/>
  <c r="L7958" i="1"/>
  <c r="L7959" i="1"/>
  <c r="L7960" i="1"/>
  <c r="L7961" i="1"/>
  <c r="L7962" i="1"/>
  <c r="L7963" i="1"/>
  <c r="L7964" i="1"/>
  <c r="L7965" i="1"/>
  <c r="L7966" i="1"/>
  <c r="L7967" i="1"/>
  <c r="L7968" i="1"/>
  <c r="L7969" i="1"/>
  <c r="L7970" i="1"/>
  <c r="L7971" i="1"/>
  <c r="L7972" i="1"/>
  <c r="L7973" i="1"/>
  <c r="L7974" i="1"/>
  <c r="L7975" i="1"/>
  <c r="L7976" i="1"/>
  <c r="L7977" i="1"/>
  <c r="L7978" i="1"/>
  <c r="L7979" i="1"/>
  <c r="L7980" i="1"/>
  <c r="L7981" i="1"/>
  <c r="L7982" i="1"/>
  <c r="L7983" i="1"/>
  <c r="L7984" i="1"/>
  <c r="L7985" i="1"/>
  <c r="L7986" i="1"/>
  <c r="L7987" i="1"/>
  <c r="L7988" i="1"/>
  <c r="L7989" i="1"/>
  <c r="L7990" i="1"/>
  <c r="L7991" i="1"/>
  <c r="L7992" i="1"/>
  <c r="L7993" i="1"/>
  <c r="L7994" i="1"/>
  <c r="L7995" i="1"/>
  <c r="L7996" i="1"/>
  <c r="L7997" i="1"/>
  <c r="L7998" i="1"/>
  <c r="L7999" i="1"/>
  <c r="L8000" i="1"/>
  <c r="L8001" i="1"/>
  <c r="L8002" i="1"/>
  <c r="L8003" i="1"/>
  <c r="L8004" i="1"/>
  <c r="L8005" i="1"/>
  <c r="L8006" i="1"/>
  <c r="L8007" i="1"/>
  <c r="L8008" i="1"/>
  <c r="L8009" i="1"/>
  <c r="L8010" i="1"/>
  <c r="L8011" i="1"/>
  <c r="L8012" i="1"/>
  <c r="L8013" i="1"/>
  <c r="L8014" i="1"/>
  <c r="L8015" i="1"/>
  <c r="L8016" i="1"/>
  <c r="L8017" i="1"/>
  <c r="L8018" i="1"/>
  <c r="L8019" i="1"/>
  <c r="L8020" i="1"/>
  <c r="L8021" i="1"/>
  <c r="L8022" i="1"/>
  <c r="L8023" i="1"/>
  <c r="L8024" i="1"/>
  <c r="L8025" i="1"/>
  <c r="L8026" i="1"/>
  <c r="L8027" i="1"/>
  <c r="L8028" i="1"/>
  <c r="L8029" i="1"/>
  <c r="L8030" i="1"/>
  <c r="L8031" i="1"/>
  <c r="L8032" i="1"/>
  <c r="L8033" i="1"/>
  <c r="L8034" i="1"/>
  <c r="L8035" i="1"/>
  <c r="L8036" i="1"/>
  <c r="L8037" i="1"/>
  <c r="L8038" i="1"/>
  <c r="L8039" i="1"/>
  <c r="L8040" i="1"/>
  <c r="L8041" i="1"/>
  <c r="L8042" i="1"/>
  <c r="L8043" i="1"/>
  <c r="L8044" i="1"/>
  <c r="L8045" i="1"/>
  <c r="L8046" i="1"/>
  <c r="L8047" i="1"/>
  <c r="L8048" i="1"/>
  <c r="L8049" i="1"/>
  <c r="L8050" i="1"/>
  <c r="L8051" i="1"/>
  <c r="L8052" i="1"/>
  <c r="L8053" i="1"/>
  <c r="L8054" i="1"/>
  <c r="L8055" i="1"/>
  <c r="L8056" i="1"/>
  <c r="L8057" i="1"/>
  <c r="L8058" i="1"/>
  <c r="L8059" i="1"/>
  <c r="L8060" i="1"/>
  <c r="L8061" i="1"/>
  <c r="L8062" i="1"/>
  <c r="L8063" i="1"/>
  <c r="L8064" i="1"/>
  <c r="L8065" i="1"/>
  <c r="L8066" i="1"/>
  <c r="L8067" i="1"/>
  <c r="L8068" i="1"/>
  <c r="L8069" i="1"/>
  <c r="L8070" i="1"/>
  <c r="L8071" i="1"/>
  <c r="L8072" i="1"/>
  <c r="L8073" i="1"/>
  <c r="L8074" i="1"/>
  <c r="L8075" i="1"/>
  <c r="L8076" i="1"/>
  <c r="L8077" i="1"/>
  <c r="L8078" i="1"/>
  <c r="L8079" i="1"/>
  <c r="L8080" i="1"/>
  <c r="L8081" i="1"/>
  <c r="L8082" i="1"/>
  <c r="L8083" i="1"/>
  <c r="L8084" i="1"/>
  <c r="L8085" i="1"/>
  <c r="L8086" i="1"/>
  <c r="L8087" i="1"/>
  <c r="L8088" i="1"/>
  <c r="L8089" i="1"/>
  <c r="L8090" i="1"/>
  <c r="L8091" i="1"/>
  <c r="L8092" i="1"/>
  <c r="L8093" i="1"/>
  <c r="L8094" i="1"/>
  <c r="L8095" i="1"/>
  <c r="L8096" i="1"/>
  <c r="L8097" i="1"/>
  <c r="L8098" i="1"/>
  <c r="L8099" i="1"/>
  <c r="L8100" i="1"/>
  <c r="L8101" i="1"/>
  <c r="L8102" i="1"/>
  <c r="L8103" i="1"/>
  <c r="L8104" i="1"/>
  <c r="L8105" i="1"/>
  <c r="L8106" i="1"/>
  <c r="L8107" i="1"/>
  <c r="L8108" i="1"/>
  <c r="L8109" i="1"/>
  <c r="L8110" i="1"/>
  <c r="L8111" i="1"/>
  <c r="L8112" i="1"/>
  <c r="L8113" i="1"/>
  <c r="L8114" i="1"/>
  <c r="L8115" i="1"/>
  <c r="L8116" i="1"/>
  <c r="L8117" i="1"/>
  <c r="L8118" i="1"/>
  <c r="L8119" i="1"/>
  <c r="L8120" i="1"/>
  <c r="L8121" i="1"/>
  <c r="L8122" i="1"/>
  <c r="L8123" i="1"/>
  <c r="L8124" i="1"/>
  <c r="L8125" i="1"/>
  <c r="L8126" i="1"/>
  <c r="L8127" i="1"/>
  <c r="L8128" i="1"/>
  <c r="L8129" i="1"/>
  <c r="L8130" i="1"/>
  <c r="L8131" i="1"/>
  <c r="L8132" i="1"/>
  <c r="L8133" i="1"/>
  <c r="L8134" i="1"/>
  <c r="L8135" i="1"/>
  <c r="L8136" i="1"/>
  <c r="L8137" i="1"/>
  <c r="L8138" i="1"/>
  <c r="L8139" i="1"/>
  <c r="L8140" i="1"/>
  <c r="L8141" i="1"/>
  <c r="L8142" i="1"/>
  <c r="L8143" i="1"/>
  <c r="L8144" i="1"/>
  <c r="L8145" i="1"/>
  <c r="L8146" i="1"/>
  <c r="L8147" i="1"/>
  <c r="L8148" i="1"/>
  <c r="L8149" i="1"/>
  <c r="L8150" i="1"/>
  <c r="L8151" i="1"/>
  <c r="L8152" i="1"/>
  <c r="L8153" i="1"/>
  <c r="L8154" i="1"/>
  <c r="L8155" i="1"/>
  <c r="L8156" i="1"/>
  <c r="L8157" i="1"/>
  <c r="L8158" i="1"/>
  <c r="L8159" i="1"/>
  <c r="L8160" i="1"/>
  <c r="L8161" i="1"/>
  <c r="L8162" i="1"/>
  <c r="L8163" i="1"/>
  <c r="L8164" i="1"/>
  <c r="L8165" i="1"/>
  <c r="L8166" i="1"/>
  <c r="L8167" i="1"/>
  <c r="L8168" i="1"/>
  <c r="L8169" i="1"/>
  <c r="L8170" i="1"/>
  <c r="L8171" i="1"/>
  <c r="L8172" i="1"/>
  <c r="L8173" i="1"/>
  <c r="L8174" i="1"/>
  <c r="L8175" i="1"/>
  <c r="L8176" i="1"/>
  <c r="L8177" i="1"/>
  <c r="L8178" i="1"/>
  <c r="L8179" i="1"/>
  <c r="L8180" i="1"/>
  <c r="L8181" i="1"/>
  <c r="L8182" i="1"/>
  <c r="L8183" i="1"/>
  <c r="L8184" i="1"/>
  <c r="L8185" i="1"/>
  <c r="L8186" i="1"/>
  <c r="L8187" i="1"/>
  <c r="L8188" i="1"/>
  <c r="L8189" i="1"/>
  <c r="L8190" i="1"/>
  <c r="L8191" i="1"/>
  <c r="L8192" i="1"/>
  <c r="L8193" i="1"/>
  <c r="L8194" i="1"/>
  <c r="L8195" i="1"/>
  <c r="L8196" i="1"/>
  <c r="L8197" i="1"/>
  <c r="L8198" i="1"/>
  <c r="L8199" i="1"/>
  <c r="L8200" i="1"/>
  <c r="L8201" i="1"/>
  <c r="L8202" i="1"/>
  <c r="L8203" i="1"/>
  <c r="L8204" i="1"/>
  <c r="L8205" i="1"/>
  <c r="L8206" i="1"/>
  <c r="L8207" i="1"/>
  <c r="L8208" i="1"/>
  <c r="L8209" i="1"/>
  <c r="L8210" i="1"/>
  <c r="L8211" i="1"/>
  <c r="L8212" i="1"/>
  <c r="L8213" i="1"/>
  <c r="L8214" i="1"/>
  <c r="L8215" i="1"/>
  <c r="L8216" i="1"/>
  <c r="L8217" i="1"/>
  <c r="L8218" i="1"/>
  <c r="L8219" i="1"/>
  <c r="L8220" i="1"/>
  <c r="L8221" i="1"/>
  <c r="L8222" i="1"/>
  <c r="L8223" i="1"/>
  <c r="L8224" i="1"/>
  <c r="L8225" i="1"/>
  <c r="L8226" i="1"/>
  <c r="L8227" i="1"/>
  <c r="L8228" i="1"/>
  <c r="L8229" i="1"/>
  <c r="L8230" i="1"/>
  <c r="L8231" i="1"/>
  <c r="L8232" i="1"/>
  <c r="L8233" i="1"/>
  <c r="L8234" i="1"/>
  <c r="L8235" i="1"/>
  <c r="L8236" i="1"/>
  <c r="L8237" i="1"/>
  <c r="L8238" i="1"/>
  <c r="L8239" i="1"/>
  <c r="L8240" i="1"/>
  <c r="L8241" i="1"/>
  <c r="L8242" i="1"/>
  <c r="L8243" i="1"/>
  <c r="L8244" i="1"/>
  <c r="L8245" i="1"/>
  <c r="L8246" i="1"/>
  <c r="L8247" i="1"/>
  <c r="L8248" i="1"/>
  <c r="L8249" i="1"/>
  <c r="L8250" i="1"/>
  <c r="L8251" i="1"/>
  <c r="L8252" i="1"/>
  <c r="L8253" i="1"/>
  <c r="L8254" i="1"/>
  <c r="L8255" i="1"/>
  <c r="L8256" i="1"/>
  <c r="L8257" i="1"/>
  <c r="L8258" i="1"/>
  <c r="L8259" i="1"/>
  <c r="L8260" i="1"/>
  <c r="L8261" i="1"/>
  <c r="L8262" i="1"/>
  <c r="L8263" i="1"/>
  <c r="L8264" i="1"/>
  <c r="L8265" i="1"/>
  <c r="L8266" i="1"/>
  <c r="L8267" i="1"/>
  <c r="L8268" i="1"/>
  <c r="L8269" i="1"/>
  <c r="L8270" i="1"/>
  <c r="L8271" i="1"/>
  <c r="L8272" i="1"/>
  <c r="L8273" i="1"/>
  <c r="L8274" i="1"/>
  <c r="L8275" i="1"/>
  <c r="L8276" i="1"/>
  <c r="L8277" i="1"/>
  <c r="L8278" i="1"/>
  <c r="L8279" i="1"/>
  <c r="L8280" i="1"/>
  <c r="L8281" i="1"/>
  <c r="L8282" i="1"/>
  <c r="L8283" i="1"/>
  <c r="L8284" i="1"/>
  <c r="L8285" i="1"/>
  <c r="L8286" i="1"/>
  <c r="L8287" i="1"/>
  <c r="L8288" i="1"/>
  <c r="L8289" i="1"/>
  <c r="L8290" i="1"/>
  <c r="L8291" i="1"/>
  <c r="L8292" i="1"/>
  <c r="L8293" i="1"/>
  <c r="L8294" i="1"/>
  <c r="L8295" i="1"/>
  <c r="L8296" i="1"/>
  <c r="L8297" i="1"/>
  <c r="L8298" i="1"/>
  <c r="L8299" i="1"/>
  <c r="L8300" i="1"/>
  <c r="L8301" i="1"/>
  <c r="L8302" i="1"/>
  <c r="L8303" i="1"/>
  <c r="L8304" i="1"/>
  <c r="L8305" i="1"/>
  <c r="L8306" i="1"/>
  <c r="L8307" i="1"/>
  <c r="L8308" i="1"/>
  <c r="L8309" i="1"/>
  <c r="L8310" i="1"/>
  <c r="L8311" i="1"/>
  <c r="L8312" i="1"/>
  <c r="L8313" i="1"/>
  <c r="L8314" i="1"/>
  <c r="L8315" i="1"/>
  <c r="L8316" i="1"/>
  <c r="L8317" i="1"/>
  <c r="L8318" i="1"/>
  <c r="L8319" i="1"/>
  <c r="L8320" i="1"/>
  <c r="L8321" i="1"/>
  <c r="L8322" i="1"/>
  <c r="L8323" i="1"/>
  <c r="L8324" i="1"/>
  <c r="L8325" i="1"/>
  <c r="L8326" i="1"/>
  <c r="L8327" i="1"/>
  <c r="L8328" i="1"/>
  <c r="L8329" i="1"/>
  <c r="L8330" i="1"/>
  <c r="L8331" i="1"/>
  <c r="L8332" i="1"/>
  <c r="L8333" i="1"/>
  <c r="L8334" i="1"/>
  <c r="L8335" i="1"/>
  <c r="L8336" i="1"/>
  <c r="L8337" i="1"/>
  <c r="L8338" i="1"/>
  <c r="L8339" i="1"/>
  <c r="L8340" i="1"/>
  <c r="L8341" i="1"/>
  <c r="L8342" i="1"/>
  <c r="L8343" i="1"/>
  <c r="L8344" i="1"/>
  <c r="L8345" i="1"/>
  <c r="L8346" i="1"/>
  <c r="L8347" i="1"/>
  <c r="L8348" i="1"/>
  <c r="L8349" i="1"/>
  <c r="L8350" i="1"/>
  <c r="L8351" i="1"/>
  <c r="L8352" i="1"/>
  <c r="L8353" i="1"/>
  <c r="L8354" i="1"/>
  <c r="L8355" i="1"/>
  <c r="L8356" i="1"/>
  <c r="L8357" i="1"/>
  <c r="L8358" i="1"/>
  <c r="L8359" i="1"/>
  <c r="L8360" i="1"/>
  <c r="L8361" i="1"/>
  <c r="L8362" i="1"/>
  <c r="L8363" i="1"/>
  <c r="L8364" i="1"/>
  <c r="L8365" i="1"/>
  <c r="L8366" i="1"/>
  <c r="L8367" i="1"/>
  <c r="L8368" i="1"/>
  <c r="L8369" i="1"/>
  <c r="L8370" i="1"/>
  <c r="L8371" i="1"/>
  <c r="L8372" i="1"/>
  <c r="L8373" i="1"/>
  <c r="L8374" i="1"/>
  <c r="L8375" i="1"/>
  <c r="L8376" i="1"/>
  <c r="L8377" i="1"/>
  <c r="L8378" i="1"/>
  <c r="L8379" i="1"/>
  <c r="L8380" i="1"/>
  <c r="L8381" i="1"/>
  <c r="L8382" i="1"/>
  <c r="L8383" i="1"/>
  <c r="L8384" i="1"/>
  <c r="L8385" i="1"/>
  <c r="L8386" i="1"/>
  <c r="L8387" i="1"/>
  <c r="L8388" i="1"/>
  <c r="L8389" i="1"/>
  <c r="L8390" i="1"/>
  <c r="L8391" i="1"/>
  <c r="L8392" i="1"/>
  <c r="L8393" i="1"/>
  <c r="L8394" i="1"/>
  <c r="L8395" i="1"/>
  <c r="L8396" i="1"/>
  <c r="L8397" i="1"/>
  <c r="L8398" i="1"/>
  <c r="L8399" i="1"/>
  <c r="L8400" i="1"/>
  <c r="L8401" i="1"/>
  <c r="L8402" i="1"/>
  <c r="L8403" i="1"/>
  <c r="L8404" i="1"/>
  <c r="L8405" i="1"/>
  <c r="L8406" i="1"/>
  <c r="L8407" i="1"/>
  <c r="L8408" i="1"/>
  <c r="L8409" i="1"/>
  <c r="L8410" i="1"/>
  <c r="L8411" i="1"/>
  <c r="L8412" i="1"/>
  <c r="L8413" i="1"/>
  <c r="L8414" i="1"/>
  <c r="L8415" i="1"/>
  <c r="L8416" i="1"/>
  <c r="L8417" i="1"/>
  <c r="L8418" i="1"/>
  <c r="L8419" i="1"/>
  <c r="L8420" i="1"/>
  <c r="L8421" i="1"/>
  <c r="L8422" i="1"/>
  <c r="L8423" i="1"/>
  <c r="L8424" i="1"/>
  <c r="L8425" i="1"/>
  <c r="L8426" i="1"/>
  <c r="L8427" i="1"/>
  <c r="L8428" i="1"/>
  <c r="L8429" i="1"/>
  <c r="L8430" i="1"/>
  <c r="L8431" i="1"/>
  <c r="L8432" i="1"/>
  <c r="L8433" i="1"/>
  <c r="L8434" i="1"/>
  <c r="L8435" i="1"/>
  <c r="L8436" i="1"/>
  <c r="L8437" i="1"/>
  <c r="L8438" i="1"/>
  <c r="L8439" i="1"/>
  <c r="L8440" i="1"/>
  <c r="L8441" i="1"/>
  <c r="L8442" i="1"/>
  <c r="L8443" i="1"/>
  <c r="L8444" i="1"/>
  <c r="L8445" i="1"/>
  <c r="L8446" i="1"/>
  <c r="L8447" i="1"/>
  <c r="L8448" i="1"/>
  <c r="L8449" i="1"/>
  <c r="L8450" i="1"/>
  <c r="L8451" i="1"/>
  <c r="L8452" i="1"/>
  <c r="L8453" i="1"/>
  <c r="L8454" i="1"/>
  <c r="L8455" i="1"/>
  <c r="L8456" i="1"/>
  <c r="L8457" i="1"/>
  <c r="L8458" i="1"/>
  <c r="L8459" i="1"/>
  <c r="L8460" i="1"/>
  <c r="L8461" i="1"/>
  <c r="L8462" i="1"/>
  <c r="L8463" i="1"/>
  <c r="L8464" i="1"/>
  <c r="L8465" i="1"/>
  <c r="L8466" i="1"/>
  <c r="L8467" i="1"/>
  <c r="L8468" i="1"/>
  <c r="L8469" i="1"/>
  <c r="L8470" i="1"/>
  <c r="L8471" i="1"/>
  <c r="L8472" i="1"/>
  <c r="L8473" i="1"/>
  <c r="L8474" i="1"/>
  <c r="L8475" i="1"/>
  <c r="L8476" i="1"/>
  <c r="L8477" i="1"/>
  <c r="L8478" i="1"/>
  <c r="L8479" i="1"/>
  <c r="L8480" i="1"/>
  <c r="L8481" i="1"/>
  <c r="L8482" i="1"/>
  <c r="L8483" i="1"/>
  <c r="L8484" i="1"/>
  <c r="L8485" i="1"/>
  <c r="L8486" i="1"/>
  <c r="L8487" i="1"/>
  <c r="L8488" i="1"/>
  <c r="L8489" i="1"/>
  <c r="L8490" i="1"/>
  <c r="L8491" i="1"/>
  <c r="L8492" i="1"/>
  <c r="L8493" i="1"/>
  <c r="L8494" i="1"/>
  <c r="L8495" i="1"/>
  <c r="L8496" i="1"/>
  <c r="L8497" i="1"/>
  <c r="L8498" i="1"/>
  <c r="L8499" i="1"/>
  <c r="L8500" i="1"/>
  <c r="L8501" i="1"/>
  <c r="L8502" i="1"/>
  <c r="L8503" i="1"/>
  <c r="L8504" i="1"/>
  <c r="L8505" i="1"/>
  <c r="L8506" i="1"/>
  <c r="L8507" i="1"/>
  <c r="L8508" i="1"/>
  <c r="L8509" i="1"/>
  <c r="L8510" i="1"/>
  <c r="L8511" i="1"/>
  <c r="L8512" i="1"/>
  <c r="L8513" i="1"/>
  <c r="L8514" i="1"/>
  <c r="L8515" i="1"/>
  <c r="L8516" i="1"/>
  <c r="L8517" i="1"/>
  <c r="L8518" i="1"/>
  <c r="L8519" i="1"/>
  <c r="L8520" i="1"/>
  <c r="L8521" i="1"/>
  <c r="L8522" i="1"/>
  <c r="L8523" i="1"/>
  <c r="L8524" i="1"/>
  <c r="L8525" i="1"/>
  <c r="L8526" i="1"/>
  <c r="L8527" i="1"/>
  <c r="L8528" i="1"/>
  <c r="L8529" i="1"/>
  <c r="L8530" i="1"/>
  <c r="L8531" i="1"/>
  <c r="L8532" i="1"/>
  <c r="L8533" i="1"/>
  <c r="L8534" i="1"/>
  <c r="L8535" i="1"/>
  <c r="L8536" i="1"/>
  <c r="L8537" i="1"/>
  <c r="L8538" i="1"/>
  <c r="L8539" i="1"/>
  <c r="L8540" i="1"/>
  <c r="L8541" i="1"/>
  <c r="L8542" i="1"/>
  <c r="L8543" i="1"/>
  <c r="L8544" i="1"/>
  <c r="L8545" i="1"/>
  <c r="L8546" i="1"/>
  <c r="L8547" i="1"/>
  <c r="L8548" i="1"/>
  <c r="L8549" i="1"/>
  <c r="L8550" i="1"/>
  <c r="L8551" i="1"/>
  <c r="L8552" i="1"/>
  <c r="L8553" i="1"/>
  <c r="L8554" i="1"/>
  <c r="L8555" i="1"/>
  <c r="L8556" i="1"/>
  <c r="L8557" i="1"/>
  <c r="L8558" i="1"/>
  <c r="L8559" i="1"/>
  <c r="L8560" i="1"/>
  <c r="L8561" i="1"/>
  <c r="L8562" i="1"/>
  <c r="L8563" i="1"/>
  <c r="L8564" i="1"/>
  <c r="L8565" i="1"/>
  <c r="L8566" i="1"/>
  <c r="L8567" i="1"/>
  <c r="L8568" i="1"/>
  <c r="L8569" i="1"/>
  <c r="L8570" i="1"/>
  <c r="L8571" i="1"/>
  <c r="L8572" i="1"/>
  <c r="L8573" i="1"/>
  <c r="L8574" i="1"/>
  <c r="L8575" i="1"/>
  <c r="L8576" i="1"/>
  <c r="L8577" i="1"/>
  <c r="L8578" i="1"/>
  <c r="L8579" i="1"/>
  <c r="L8580" i="1"/>
  <c r="L8581" i="1"/>
  <c r="L8582" i="1"/>
  <c r="L8583" i="1"/>
  <c r="L8584" i="1"/>
  <c r="L8585" i="1"/>
  <c r="L8586" i="1"/>
  <c r="L8587" i="1"/>
  <c r="L8588" i="1"/>
  <c r="L8589" i="1"/>
  <c r="L8590" i="1"/>
  <c r="L8591" i="1"/>
  <c r="L8592" i="1"/>
  <c r="L8593" i="1"/>
  <c r="L8594" i="1"/>
  <c r="L8595" i="1"/>
  <c r="L8596" i="1"/>
  <c r="L8597" i="1"/>
  <c r="L8598" i="1"/>
  <c r="L8599" i="1"/>
  <c r="L8600" i="1"/>
  <c r="L8601" i="1"/>
  <c r="L8602" i="1"/>
  <c r="L8603" i="1"/>
  <c r="L8604" i="1"/>
  <c r="L8605" i="1"/>
  <c r="L8606" i="1"/>
  <c r="L8607" i="1"/>
  <c r="L8608" i="1"/>
  <c r="L8609" i="1"/>
  <c r="L8610" i="1"/>
  <c r="L8611" i="1"/>
  <c r="L8612" i="1"/>
  <c r="L8613" i="1"/>
  <c r="L8614" i="1"/>
  <c r="L8615" i="1"/>
  <c r="L8616" i="1"/>
  <c r="L8617" i="1"/>
  <c r="L8618" i="1"/>
  <c r="L8619" i="1"/>
  <c r="L8620" i="1"/>
  <c r="L8621" i="1"/>
  <c r="L8622" i="1"/>
  <c r="L8623" i="1"/>
  <c r="L8624" i="1"/>
  <c r="L8625" i="1"/>
  <c r="L8626" i="1"/>
  <c r="L8627" i="1"/>
  <c r="L8628" i="1"/>
  <c r="L8629" i="1"/>
  <c r="L8630" i="1"/>
  <c r="L8631" i="1"/>
  <c r="L8632" i="1"/>
  <c r="L8633" i="1"/>
  <c r="L8634" i="1"/>
  <c r="L8635" i="1"/>
  <c r="L8636" i="1"/>
  <c r="L8637" i="1"/>
  <c r="L8638" i="1"/>
  <c r="L8639" i="1"/>
  <c r="L8640" i="1"/>
  <c r="L8641" i="1"/>
  <c r="L8642" i="1"/>
  <c r="L8643" i="1"/>
  <c r="L8644" i="1"/>
  <c r="L8645" i="1"/>
  <c r="L8646" i="1"/>
  <c r="L8647" i="1"/>
  <c r="L8648" i="1"/>
  <c r="L8649" i="1"/>
  <c r="L8650" i="1"/>
  <c r="L8651" i="1"/>
  <c r="L8652" i="1"/>
  <c r="L8653" i="1"/>
  <c r="L8654" i="1"/>
  <c r="L8655" i="1"/>
  <c r="L8656" i="1"/>
  <c r="L8657" i="1"/>
  <c r="L8658" i="1"/>
  <c r="L8659" i="1"/>
  <c r="L8660" i="1"/>
  <c r="L8661" i="1"/>
  <c r="L8662" i="1"/>
  <c r="L8663" i="1"/>
  <c r="L8664" i="1"/>
  <c r="L8665" i="1"/>
  <c r="L8666" i="1"/>
  <c r="L8667" i="1"/>
  <c r="L8668" i="1"/>
  <c r="L8669" i="1"/>
  <c r="L8670" i="1"/>
  <c r="L8671" i="1"/>
  <c r="L8672" i="1"/>
  <c r="L8673" i="1"/>
  <c r="L8674" i="1"/>
  <c r="L8675" i="1"/>
  <c r="L8676" i="1"/>
  <c r="L8677" i="1"/>
  <c r="L8678" i="1"/>
  <c r="L8679" i="1"/>
  <c r="L8680" i="1"/>
  <c r="L8681" i="1"/>
  <c r="L8682" i="1"/>
  <c r="L8683" i="1"/>
  <c r="L8684" i="1"/>
  <c r="L8685" i="1"/>
  <c r="L8686" i="1"/>
  <c r="L8687" i="1"/>
  <c r="L8688" i="1"/>
  <c r="L8689" i="1"/>
  <c r="L8690" i="1"/>
  <c r="L8691" i="1"/>
  <c r="L8692" i="1"/>
  <c r="L8693" i="1"/>
  <c r="L8694" i="1"/>
  <c r="L8695" i="1"/>
  <c r="L8696" i="1"/>
  <c r="L8697" i="1"/>
  <c r="L8698" i="1"/>
  <c r="L8699" i="1"/>
  <c r="L8700" i="1"/>
  <c r="L8701" i="1"/>
  <c r="L8702" i="1"/>
  <c r="L8703" i="1"/>
  <c r="L8704" i="1"/>
  <c r="L8705" i="1"/>
  <c r="L8706" i="1"/>
  <c r="L8707" i="1"/>
  <c r="L8708" i="1"/>
  <c r="L8709" i="1"/>
  <c r="L8710" i="1"/>
  <c r="L8711" i="1"/>
  <c r="L8712" i="1"/>
  <c r="L8713" i="1"/>
  <c r="L8714" i="1"/>
  <c r="L8715" i="1"/>
  <c r="L8716" i="1"/>
  <c r="L8717" i="1"/>
  <c r="L8718" i="1"/>
  <c r="L8719" i="1"/>
  <c r="L8720" i="1"/>
  <c r="L8721" i="1"/>
  <c r="L8722" i="1"/>
  <c r="L8723" i="1"/>
  <c r="L8724" i="1"/>
  <c r="L8725" i="1"/>
  <c r="L8726" i="1"/>
  <c r="L8727" i="1"/>
  <c r="L8728" i="1"/>
  <c r="L8729" i="1"/>
  <c r="L8730" i="1"/>
  <c r="L8731" i="1"/>
  <c r="L8732" i="1"/>
  <c r="L8733" i="1"/>
  <c r="L8734" i="1"/>
  <c r="L8735" i="1"/>
  <c r="L8736" i="1"/>
  <c r="L8737" i="1"/>
  <c r="L8738" i="1"/>
  <c r="L8739" i="1"/>
  <c r="L8740" i="1"/>
  <c r="L8741" i="1"/>
  <c r="L8742" i="1"/>
  <c r="L8743" i="1"/>
  <c r="L8744" i="1"/>
  <c r="L8745" i="1"/>
  <c r="L8746" i="1"/>
  <c r="L8747" i="1"/>
  <c r="L8748" i="1"/>
  <c r="L8749" i="1"/>
  <c r="L8750" i="1"/>
  <c r="L8751" i="1"/>
  <c r="L8752" i="1"/>
  <c r="L8753" i="1"/>
  <c r="L8754" i="1"/>
  <c r="L8755" i="1"/>
  <c r="L8756" i="1"/>
  <c r="L8757" i="1"/>
  <c r="L8758" i="1"/>
  <c r="L8759" i="1"/>
  <c r="L8760" i="1"/>
  <c r="L8761" i="1"/>
  <c r="L8762" i="1"/>
  <c r="L8763" i="1"/>
  <c r="L8764" i="1"/>
  <c r="L8765" i="1"/>
  <c r="L8766" i="1"/>
  <c r="L8767" i="1"/>
  <c r="L8768" i="1"/>
  <c r="L8769" i="1"/>
  <c r="L8770" i="1"/>
  <c r="L8771" i="1"/>
  <c r="L8772" i="1"/>
  <c r="L8773" i="1"/>
  <c r="L8774" i="1"/>
  <c r="L8775" i="1"/>
  <c r="L8776" i="1"/>
  <c r="L8777" i="1"/>
  <c r="L8778" i="1"/>
  <c r="L8779" i="1"/>
  <c r="L8780" i="1"/>
  <c r="L8781" i="1"/>
  <c r="L8782" i="1"/>
  <c r="L8783" i="1"/>
  <c r="L8784" i="1"/>
  <c r="L8785" i="1"/>
  <c r="L8786" i="1"/>
  <c r="L8787" i="1"/>
  <c r="L8788" i="1"/>
  <c r="L8789" i="1"/>
  <c r="L8790" i="1"/>
  <c r="L8791" i="1"/>
  <c r="L8792" i="1"/>
  <c r="L8793" i="1"/>
  <c r="L8794" i="1"/>
  <c r="L8795" i="1"/>
  <c r="L8796" i="1"/>
  <c r="L8797" i="1"/>
  <c r="L8798" i="1"/>
  <c r="L8799" i="1"/>
  <c r="L8800" i="1"/>
  <c r="L8801" i="1"/>
  <c r="L8802" i="1"/>
  <c r="L8803" i="1"/>
  <c r="L8804" i="1"/>
  <c r="L8805" i="1"/>
  <c r="L8806" i="1"/>
  <c r="L8807" i="1"/>
  <c r="L8808" i="1"/>
  <c r="L8809" i="1"/>
  <c r="L8810" i="1"/>
  <c r="L8811" i="1"/>
  <c r="L8812" i="1"/>
  <c r="L8813" i="1"/>
  <c r="L8814" i="1"/>
  <c r="L8815" i="1"/>
  <c r="L8816" i="1"/>
  <c r="L8817" i="1"/>
  <c r="L8818" i="1"/>
  <c r="L8819" i="1"/>
  <c r="L8820" i="1"/>
  <c r="L8821" i="1"/>
  <c r="L8822" i="1"/>
  <c r="L8823" i="1"/>
  <c r="L8824" i="1"/>
  <c r="L8825" i="1"/>
  <c r="L8826" i="1"/>
  <c r="L8827" i="1"/>
  <c r="L8828" i="1"/>
  <c r="L8829" i="1"/>
  <c r="L8830" i="1"/>
  <c r="L8831" i="1"/>
  <c r="L8832" i="1"/>
  <c r="L8833" i="1"/>
  <c r="L8834" i="1"/>
  <c r="L8835" i="1"/>
  <c r="L8836" i="1"/>
  <c r="L8837" i="1"/>
  <c r="L8838" i="1"/>
  <c r="L8839" i="1"/>
  <c r="L8840" i="1"/>
  <c r="L8841" i="1"/>
  <c r="L8842" i="1"/>
  <c r="L8843" i="1"/>
  <c r="L8844" i="1"/>
  <c r="L8845" i="1"/>
  <c r="L8846" i="1"/>
  <c r="L8847" i="1"/>
  <c r="L8848" i="1"/>
  <c r="L8849" i="1"/>
  <c r="L8850" i="1"/>
  <c r="L8851" i="1"/>
  <c r="L8852" i="1"/>
  <c r="L8853" i="1"/>
  <c r="L8854" i="1"/>
  <c r="L8855" i="1"/>
  <c r="L8856" i="1"/>
  <c r="L8857" i="1"/>
  <c r="L8858" i="1"/>
  <c r="L8859" i="1"/>
  <c r="L8860" i="1"/>
  <c r="L8861" i="1"/>
  <c r="L8862" i="1"/>
  <c r="L8863" i="1"/>
  <c r="L8864" i="1"/>
  <c r="L8865" i="1"/>
  <c r="L8866" i="1"/>
  <c r="L8867" i="1"/>
  <c r="L8868" i="1"/>
  <c r="L8869" i="1"/>
  <c r="L8870" i="1"/>
  <c r="L8871" i="1"/>
  <c r="L8872" i="1"/>
  <c r="L8873" i="1"/>
  <c r="L8874" i="1"/>
  <c r="L8875" i="1"/>
  <c r="L8876" i="1"/>
  <c r="L8877" i="1"/>
  <c r="L8878" i="1"/>
  <c r="L8879" i="1"/>
  <c r="L8880" i="1"/>
  <c r="L8881" i="1"/>
  <c r="L8882" i="1"/>
  <c r="L8883" i="1"/>
  <c r="L8884" i="1"/>
  <c r="L8885" i="1"/>
  <c r="L8886" i="1"/>
  <c r="L8887" i="1"/>
  <c r="L8888" i="1"/>
  <c r="L8889" i="1"/>
  <c r="L8890" i="1"/>
  <c r="L8891" i="1"/>
  <c r="L8892" i="1"/>
  <c r="L8893" i="1"/>
  <c r="L8894" i="1"/>
  <c r="L8895" i="1"/>
  <c r="L8896" i="1"/>
  <c r="L8897" i="1"/>
  <c r="L8898" i="1"/>
  <c r="L8899" i="1"/>
  <c r="L8900" i="1"/>
  <c r="L8901" i="1"/>
  <c r="L8902" i="1"/>
  <c r="L8903" i="1"/>
  <c r="L8904" i="1"/>
  <c r="L8905" i="1"/>
  <c r="L8906" i="1"/>
  <c r="L8907" i="1"/>
  <c r="L8908" i="1"/>
  <c r="L8909" i="1"/>
  <c r="L8910" i="1"/>
  <c r="L8911" i="1"/>
  <c r="L8912" i="1"/>
  <c r="L8913" i="1"/>
  <c r="L8914" i="1"/>
  <c r="L8915" i="1"/>
  <c r="L8916" i="1"/>
  <c r="L8917" i="1"/>
  <c r="L8918" i="1"/>
  <c r="L8919" i="1"/>
  <c r="L8920" i="1"/>
  <c r="L8921" i="1"/>
  <c r="L8922" i="1"/>
  <c r="L8923" i="1"/>
  <c r="L8924" i="1"/>
  <c r="L8925" i="1"/>
  <c r="L8926" i="1"/>
  <c r="L8927" i="1"/>
  <c r="L8928" i="1"/>
  <c r="L8929" i="1"/>
  <c r="L8930" i="1"/>
  <c r="L8931" i="1"/>
  <c r="L8932" i="1"/>
  <c r="L8933" i="1"/>
  <c r="L8934" i="1"/>
  <c r="L8935" i="1"/>
  <c r="L8936" i="1"/>
  <c r="L8937" i="1"/>
  <c r="L8938" i="1"/>
  <c r="L8939" i="1"/>
  <c r="L8940" i="1"/>
  <c r="L8941" i="1"/>
  <c r="L8942" i="1"/>
  <c r="L8943" i="1"/>
  <c r="L8944" i="1"/>
  <c r="L8945" i="1"/>
  <c r="L8946" i="1"/>
  <c r="L8947" i="1"/>
  <c r="L8948" i="1"/>
  <c r="L8949" i="1"/>
  <c r="L8950" i="1"/>
  <c r="L8951" i="1"/>
  <c r="L8952" i="1"/>
  <c r="L8953" i="1"/>
  <c r="L8954" i="1"/>
  <c r="L8955" i="1"/>
  <c r="L8956" i="1"/>
  <c r="L8957" i="1"/>
  <c r="L8958" i="1"/>
  <c r="L8959" i="1"/>
  <c r="L8960" i="1"/>
  <c r="L8961" i="1"/>
  <c r="L8962" i="1"/>
  <c r="L8963" i="1"/>
  <c r="L8964" i="1"/>
  <c r="L8965" i="1"/>
  <c r="L8966" i="1"/>
  <c r="L8967" i="1"/>
  <c r="L8968" i="1"/>
  <c r="L8969" i="1"/>
  <c r="L8970" i="1"/>
  <c r="L8971" i="1"/>
  <c r="L8972" i="1"/>
  <c r="L8973" i="1"/>
  <c r="L8974" i="1"/>
  <c r="L8975" i="1"/>
  <c r="L8976" i="1"/>
  <c r="L8977" i="1"/>
  <c r="L8978" i="1"/>
  <c r="L8979" i="1"/>
  <c r="L8980" i="1"/>
  <c r="L8981" i="1"/>
  <c r="L8982" i="1"/>
  <c r="L8983" i="1"/>
  <c r="L8984" i="1"/>
  <c r="L8985" i="1"/>
  <c r="L8986" i="1"/>
  <c r="L8987" i="1"/>
  <c r="L8988" i="1"/>
  <c r="L8989" i="1"/>
  <c r="L8990" i="1"/>
  <c r="L8991" i="1"/>
  <c r="L8992" i="1"/>
  <c r="L8993" i="1"/>
  <c r="L8994" i="1"/>
  <c r="L8995" i="1"/>
  <c r="L8996" i="1"/>
  <c r="L8997" i="1"/>
  <c r="L8998" i="1"/>
  <c r="L8999" i="1"/>
  <c r="L9000" i="1"/>
  <c r="L9001" i="1"/>
  <c r="L9002" i="1"/>
  <c r="L9003" i="1"/>
  <c r="L9004" i="1"/>
  <c r="L9005" i="1"/>
  <c r="L9006" i="1"/>
  <c r="L9007" i="1"/>
  <c r="L9008" i="1"/>
  <c r="L9009" i="1"/>
  <c r="L9010" i="1"/>
  <c r="L9011" i="1"/>
  <c r="L9012" i="1"/>
  <c r="L9013" i="1"/>
  <c r="L9014" i="1"/>
  <c r="L9015" i="1"/>
  <c r="L9016" i="1"/>
  <c r="L9017" i="1"/>
  <c r="L9018" i="1"/>
  <c r="L9019" i="1"/>
  <c r="L9020" i="1"/>
  <c r="L9021" i="1"/>
  <c r="L9022" i="1"/>
  <c r="L9023" i="1"/>
  <c r="L9024" i="1"/>
  <c r="L9025" i="1"/>
  <c r="L9026" i="1"/>
  <c r="L9027" i="1"/>
  <c r="L9028" i="1"/>
  <c r="L9029" i="1"/>
  <c r="L9030" i="1"/>
  <c r="L9031" i="1"/>
  <c r="L9032" i="1"/>
  <c r="L9033" i="1"/>
  <c r="L9034" i="1"/>
  <c r="L9035" i="1"/>
  <c r="L9036" i="1"/>
  <c r="L9037" i="1"/>
  <c r="L9038" i="1"/>
  <c r="L9039" i="1"/>
  <c r="L9040" i="1"/>
  <c r="L9041" i="1"/>
  <c r="L9042" i="1"/>
  <c r="L9043" i="1"/>
  <c r="L9044" i="1"/>
  <c r="L9045" i="1"/>
  <c r="L9046" i="1"/>
  <c r="L9047" i="1"/>
  <c r="L9048" i="1"/>
  <c r="L9049" i="1"/>
  <c r="L9050" i="1"/>
  <c r="L9051" i="1"/>
  <c r="L9052" i="1"/>
  <c r="L9053" i="1"/>
  <c r="L9054" i="1"/>
  <c r="L9055" i="1"/>
  <c r="L9056" i="1"/>
  <c r="L9057" i="1"/>
  <c r="L9058" i="1"/>
  <c r="L9059" i="1"/>
  <c r="L9060" i="1"/>
  <c r="L9061" i="1"/>
  <c r="L9062" i="1"/>
  <c r="L9063" i="1"/>
  <c r="L9064" i="1"/>
  <c r="L9065" i="1"/>
  <c r="L9066" i="1"/>
  <c r="L9067" i="1"/>
  <c r="L9068" i="1"/>
  <c r="L9069" i="1"/>
  <c r="L9070" i="1"/>
  <c r="L9071" i="1"/>
  <c r="L9072" i="1"/>
  <c r="L9073" i="1"/>
  <c r="L9074" i="1"/>
  <c r="L9075" i="1"/>
  <c r="L9076" i="1"/>
  <c r="L9077" i="1"/>
  <c r="L9078" i="1"/>
  <c r="L9079" i="1"/>
  <c r="L9080" i="1"/>
  <c r="L9081" i="1"/>
  <c r="L9082" i="1"/>
  <c r="L9083" i="1"/>
  <c r="L9084" i="1"/>
  <c r="L9085" i="1"/>
  <c r="L9086" i="1"/>
  <c r="L9087" i="1"/>
  <c r="L9088" i="1"/>
  <c r="L9089" i="1"/>
  <c r="L9090" i="1"/>
  <c r="L9091" i="1"/>
  <c r="L9092" i="1"/>
  <c r="L9093" i="1"/>
  <c r="L9094" i="1"/>
  <c r="L9095" i="1"/>
  <c r="L9096" i="1"/>
  <c r="L9097" i="1"/>
  <c r="L9098" i="1"/>
  <c r="L9099" i="1"/>
  <c r="L9100" i="1"/>
  <c r="L9101" i="1"/>
  <c r="L9102" i="1"/>
  <c r="L9103" i="1"/>
  <c r="L9104" i="1"/>
  <c r="L9105" i="1"/>
  <c r="L9106" i="1"/>
  <c r="L9107" i="1"/>
  <c r="L9108" i="1"/>
  <c r="L9109" i="1"/>
  <c r="L9110" i="1"/>
  <c r="L9111" i="1"/>
  <c r="L9112" i="1"/>
  <c r="L9113" i="1"/>
  <c r="L9114" i="1"/>
  <c r="L9115" i="1"/>
  <c r="L9116" i="1"/>
  <c r="L9117" i="1"/>
  <c r="L9118" i="1"/>
  <c r="L9119" i="1"/>
  <c r="L9120" i="1"/>
  <c r="L9121" i="1"/>
  <c r="L9122" i="1"/>
  <c r="L9123" i="1"/>
  <c r="L9124" i="1"/>
  <c r="L9125" i="1"/>
  <c r="L9126" i="1"/>
  <c r="L9127" i="1"/>
  <c r="L9128" i="1"/>
  <c r="L9129" i="1"/>
  <c r="L9130" i="1"/>
  <c r="L9131" i="1"/>
  <c r="L9132" i="1"/>
  <c r="L9133" i="1"/>
  <c r="L9134" i="1"/>
  <c r="L9135" i="1"/>
  <c r="L9136" i="1"/>
  <c r="L9137" i="1"/>
  <c r="L9138" i="1"/>
  <c r="L9139" i="1"/>
  <c r="L9140" i="1"/>
  <c r="L9141" i="1"/>
  <c r="L9142" i="1"/>
  <c r="L9143" i="1"/>
  <c r="L9144" i="1"/>
  <c r="L9145" i="1"/>
  <c r="L9146" i="1"/>
  <c r="L9147" i="1"/>
  <c r="L9148" i="1"/>
  <c r="L9149" i="1"/>
  <c r="L9150" i="1"/>
  <c r="L9151" i="1"/>
  <c r="L9152" i="1"/>
  <c r="L9153" i="1"/>
  <c r="L9154" i="1"/>
  <c r="L9155" i="1"/>
  <c r="L9156" i="1"/>
  <c r="L9157" i="1"/>
  <c r="L9158" i="1"/>
  <c r="L9159" i="1"/>
  <c r="L9160" i="1"/>
  <c r="L9161" i="1"/>
  <c r="L9162" i="1"/>
  <c r="L9163" i="1"/>
  <c r="L9164" i="1"/>
  <c r="L9165" i="1"/>
  <c r="L9166" i="1"/>
  <c r="L9167" i="1"/>
  <c r="L9168" i="1"/>
  <c r="L9169" i="1"/>
  <c r="L9170" i="1"/>
  <c r="L9171" i="1"/>
  <c r="L9172" i="1"/>
  <c r="L9173" i="1"/>
  <c r="L9174" i="1"/>
  <c r="L9175" i="1"/>
  <c r="L9176" i="1"/>
  <c r="L9177" i="1"/>
  <c r="L9178" i="1"/>
  <c r="L9179" i="1"/>
  <c r="L9180" i="1"/>
  <c r="L9181" i="1"/>
  <c r="L9182" i="1"/>
  <c r="L9183" i="1"/>
  <c r="K2" i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I2" i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264" i="1"/>
  <c r="I8265" i="1"/>
  <c r="I8266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1" i="1"/>
  <c r="I8282" i="1"/>
  <c r="I8283" i="1"/>
  <c r="I8284" i="1"/>
  <c r="I8285" i="1"/>
  <c r="I8286" i="1"/>
  <c r="I8287" i="1"/>
  <c r="I8288" i="1"/>
  <c r="I8289" i="1"/>
  <c r="I8290" i="1"/>
  <c r="I8291" i="1"/>
  <c r="I8292" i="1"/>
  <c r="I8293" i="1"/>
  <c r="I8294" i="1"/>
  <c r="I8295" i="1"/>
  <c r="I8296" i="1"/>
  <c r="I8297" i="1"/>
  <c r="I8298" i="1"/>
  <c r="I8299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7" i="1"/>
  <c r="I8318" i="1"/>
  <c r="I8319" i="1"/>
  <c r="I8320" i="1"/>
  <c r="I8321" i="1"/>
  <c r="I8322" i="1"/>
  <c r="I8323" i="1"/>
  <c r="I8324" i="1"/>
  <c r="I8325" i="1"/>
  <c r="I8326" i="1"/>
  <c r="I8327" i="1"/>
  <c r="I8328" i="1"/>
  <c r="I8329" i="1"/>
  <c r="I8330" i="1"/>
  <c r="I8331" i="1"/>
  <c r="I8332" i="1"/>
  <c r="I8333" i="1"/>
  <c r="I8334" i="1"/>
  <c r="I8335" i="1"/>
  <c r="I8336" i="1"/>
  <c r="I8337" i="1"/>
  <c r="I8338" i="1"/>
  <c r="I8339" i="1"/>
  <c r="I8340" i="1"/>
  <c r="I8341" i="1"/>
  <c r="I8342" i="1"/>
  <c r="I8343" i="1"/>
  <c r="I8344" i="1"/>
  <c r="I8345" i="1"/>
  <c r="I8346" i="1"/>
  <c r="I8347" i="1"/>
  <c r="I8348" i="1"/>
  <c r="I8349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5" i="1"/>
  <c r="I8576" i="1"/>
  <c r="I8577" i="1"/>
  <c r="I8578" i="1"/>
  <c r="I8579" i="1"/>
  <c r="I8580" i="1"/>
  <c r="I8581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6" i="1"/>
  <c r="I8607" i="1"/>
  <c r="I8608" i="1"/>
  <c r="I8609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8624" i="1"/>
  <c r="I8625" i="1"/>
  <c r="I8626" i="1"/>
  <c r="I8627" i="1"/>
  <c r="I8628" i="1"/>
  <c r="I8629" i="1"/>
  <c r="I8630" i="1"/>
  <c r="I8631" i="1"/>
  <c r="I8632" i="1"/>
  <c r="I8633" i="1"/>
  <c r="I8634" i="1"/>
  <c r="I8635" i="1"/>
  <c r="I8636" i="1"/>
  <c r="I8637" i="1"/>
  <c r="I8638" i="1"/>
  <c r="I8639" i="1"/>
  <c r="I8640" i="1"/>
  <c r="I8641" i="1"/>
  <c r="I8642" i="1"/>
  <c r="I8643" i="1"/>
  <c r="I8644" i="1"/>
  <c r="I8645" i="1"/>
  <c r="I8646" i="1"/>
  <c r="I8647" i="1"/>
  <c r="I8648" i="1"/>
  <c r="I8649" i="1"/>
  <c r="I8650" i="1"/>
  <c r="I8651" i="1"/>
  <c r="I8652" i="1"/>
  <c r="I8653" i="1"/>
  <c r="I8654" i="1"/>
  <c r="I8655" i="1"/>
  <c r="I8656" i="1"/>
  <c r="I8657" i="1"/>
  <c r="I8658" i="1"/>
  <c r="I8659" i="1"/>
  <c r="I8660" i="1"/>
  <c r="I8661" i="1"/>
  <c r="I8662" i="1"/>
  <c r="I8663" i="1"/>
  <c r="I8664" i="1"/>
  <c r="I8665" i="1"/>
  <c r="I8666" i="1"/>
  <c r="I8667" i="1"/>
  <c r="I8668" i="1"/>
  <c r="I8669" i="1"/>
  <c r="I8670" i="1"/>
  <c r="I8671" i="1"/>
  <c r="I8672" i="1"/>
  <c r="I8673" i="1"/>
  <c r="I8674" i="1"/>
  <c r="I8675" i="1"/>
  <c r="I8676" i="1"/>
  <c r="I8677" i="1"/>
  <c r="I8678" i="1"/>
  <c r="I8679" i="1"/>
  <c r="I8680" i="1"/>
  <c r="I8681" i="1"/>
  <c r="I8682" i="1"/>
  <c r="I8683" i="1"/>
  <c r="I8684" i="1"/>
  <c r="I8685" i="1"/>
  <c r="I8686" i="1"/>
  <c r="I8687" i="1"/>
  <c r="I8688" i="1"/>
  <c r="I8689" i="1"/>
  <c r="I8690" i="1"/>
  <c r="I8691" i="1"/>
  <c r="I8692" i="1"/>
  <c r="I8693" i="1"/>
  <c r="I8694" i="1"/>
  <c r="I8695" i="1"/>
  <c r="I8696" i="1"/>
  <c r="I8697" i="1"/>
  <c r="I8698" i="1"/>
  <c r="I8699" i="1"/>
  <c r="I8700" i="1"/>
  <c r="I8701" i="1"/>
  <c r="I8702" i="1"/>
  <c r="I8703" i="1"/>
  <c r="I8704" i="1"/>
  <c r="I8705" i="1"/>
  <c r="I8706" i="1"/>
  <c r="I8707" i="1"/>
  <c r="I8708" i="1"/>
  <c r="I8709" i="1"/>
  <c r="I8710" i="1"/>
  <c r="I8711" i="1"/>
  <c r="I8712" i="1"/>
  <c r="I8713" i="1"/>
  <c r="I8714" i="1"/>
  <c r="I8715" i="1"/>
  <c r="I8716" i="1"/>
  <c r="I8717" i="1"/>
  <c r="I8718" i="1"/>
  <c r="I8719" i="1"/>
  <c r="I8720" i="1"/>
  <c r="I8721" i="1"/>
  <c r="I8722" i="1"/>
  <c r="I8723" i="1"/>
  <c r="I8724" i="1"/>
  <c r="I8725" i="1"/>
  <c r="I8726" i="1"/>
  <c r="I8727" i="1"/>
  <c r="I8728" i="1"/>
  <c r="I8729" i="1"/>
  <c r="I8730" i="1"/>
  <c r="I8731" i="1"/>
  <c r="I8732" i="1"/>
  <c r="I8733" i="1"/>
  <c r="I8734" i="1"/>
  <c r="I8735" i="1"/>
  <c r="I8736" i="1"/>
  <c r="I8737" i="1"/>
  <c r="I8738" i="1"/>
  <c r="I8739" i="1"/>
  <c r="I8740" i="1"/>
  <c r="I8741" i="1"/>
  <c r="I8742" i="1"/>
  <c r="I8743" i="1"/>
  <c r="I8744" i="1"/>
  <c r="I8745" i="1"/>
  <c r="I8746" i="1"/>
  <c r="I8747" i="1"/>
  <c r="I8748" i="1"/>
  <c r="I8749" i="1"/>
  <c r="I8750" i="1"/>
  <c r="I8751" i="1"/>
  <c r="I8752" i="1"/>
  <c r="I8753" i="1"/>
  <c r="I8754" i="1"/>
  <c r="I8755" i="1"/>
  <c r="I8756" i="1"/>
  <c r="I8757" i="1"/>
  <c r="I8758" i="1"/>
  <c r="I8759" i="1"/>
  <c r="I8760" i="1"/>
  <c r="I8761" i="1"/>
  <c r="I8762" i="1"/>
  <c r="I8763" i="1"/>
  <c r="I8764" i="1"/>
  <c r="I8765" i="1"/>
  <c r="I8766" i="1"/>
  <c r="I8767" i="1"/>
  <c r="I8768" i="1"/>
  <c r="I8769" i="1"/>
  <c r="I8770" i="1"/>
  <c r="I8771" i="1"/>
  <c r="I8772" i="1"/>
  <c r="I8773" i="1"/>
  <c r="I8774" i="1"/>
  <c r="I8775" i="1"/>
  <c r="I8776" i="1"/>
  <c r="I8777" i="1"/>
  <c r="I8778" i="1"/>
  <c r="I8779" i="1"/>
  <c r="I8780" i="1"/>
  <c r="I8781" i="1"/>
  <c r="I8782" i="1"/>
  <c r="I8783" i="1"/>
  <c r="I8784" i="1"/>
  <c r="I8785" i="1"/>
  <c r="I8786" i="1"/>
  <c r="I8787" i="1"/>
  <c r="I8788" i="1"/>
  <c r="I8789" i="1"/>
  <c r="I8790" i="1"/>
  <c r="I8791" i="1"/>
  <c r="I8792" i="1"/>
  <c r="I8793" i="1"/>
  <c r="I8794" i="1"/>
  <c r="I8795" i="1"/>
  <c r="I8796" i="1"/>
  <c r="I8797" i="1"/>
  <c r="I8798" i="1"/>
  <c r="I8799" i="1"/>
  <c r="I8800" i="1"/>
  <c r="I8801" i="1"/>
  <c r="I8802" i="1"/>
  <c r="I8803" i="1"/>
  <c r="I8804" i="1"/>
  <c r="I8805" i="1"/>
  <c r="I8806" i="1"/>
  <c r="I8807" i="1"/>
  <c r="I8808" i="1"/>
  <c r="I8809" i="1"/>
  <c r="I8810" i="1"/>
  <c r="I8811" i="1"/>
  <c r="I8812" i="1"/>
  <c r="I8813" i="1"/>
  <c r="I8814" i="1"/>
  <c r="I8815" i="1"/>
  <c r="I8816" i="1"/>
  <c r="I8817" i="1"/>
  <c r="I8818" i="1"/>
  <c r="I8819" i="1"/>
  <c r="I8820" i="1"/>
  <c r="I8821" i="1"/>
  <c r="I8822" i="1"/>
  <c r="I8823" i="1"/>
  <c r="I8824" i="1"/>
  <c r="I8825" i="1"/>
  <c r="I8826" i="1"/>
  <c r="I8827" i="1"/>
  <c r="I8828" i="1"/>
  <c r="I8829" i="1"/>
  <c r="I8830" i="1"/>
  <c r="I8831" i="1"/>
  <c r="I8832" i="1"/>
  <c r="I8833" i="1"/>
  <c r="I8834" i="1"/>
  <c r="I8835" i="1"/>
  <c r="I8836" i="1"/>
  <c r="I8837" i="1"/>
  <c r="I8838" i="1"/>
  <c r="I8839" i="1"/>
  <c r="I8840" i="1"/>
  <c r="I8841" i="1"/>
  <c r="I8842" i="1"/>
  <c r="I8843" i="1"/>
  <c r="I8844" i="1"/>
  <c r="I8845" i="1"/>
  <c r="I8846" i="1"/>
  <c r="I8847" i="1"/>
  <c r="I8848" i="1"/>
  <c r="I8849" i="1"/>
  <c r="I8850" i="1"/>
  <c r="I8851" i="1"/>
  <c r="I8852" i="1"/>
  <c r="I8853" i="1"/>
  <c r="I8854" i="1"/>
  <c r="I8855" i="1"/>
  <c r="I8856" i="1"/>
  <c r="I8857" i="1"/>
  <c r="I8858" i="1"/>
  <c r="I8859" i="1"/>
  <c r="I8860" i="1"/>
  <c r="I8861" i="1"/>
  <c r="I8862" i="1"/>
  <c r="I8863" i="1"/>
  <c r="I8864" i="1"/>
  <c r="I8865" i="1"/>
  <c r="I8866" i="1"/>
  <c r="I8867" i="1"/>
  <c r="I8868" i="1"/>
  <c r="I8869" i="1"/>
  <c r="I8870" i="1"/>
  <c r="I8871" i="1"/>
  <c r="I8872" i="1"/>
  <c r="I8873" i="1"/>
  <c r="I8874" i="1"/>
  <c r="I8875" i="1"/>
  <c r="I8876" i="1"/>
  <c r="I8877" i="1"/>
  <c r="I8878" i="1"/>
  <c r="I8879" i="1"/>
  <c r="I8880" i="1"/>
  <c r="I8881" i="1"/>
  <c r="I8882" i="1"/>
  <c r="I8883" i="1"/>
  <c r="I8884" i="1"/>
  <c r="I8885" i="1"/>
  <c r="I8886" i="1"/>
  <c r="I8887" i="1"/>
  <c r="I8888" i="1"/>
  <c r="I8889" i="1"/>
  <c r="I8890" i="1"/>
  <c r="I8891" i="1"/>
  <c r="I8892" i="1"/>
  <c r="I8893" i="1"/>
  <c r="I8894" i="1"/>
  <c r="I8895" i="1"/>
  <c r="I8896" i="1"/>
  <c r="I8897" i="1"/>
  <c r="I8898" i="1"/>
  <c r="I8899" i="1"/>
  <c r="I8900" i="1"/>
  <c r="I8901" i="1"/>
  <c r="I8902" i="1"/>
  <c r="I8903" i="1"/>
  <c r="I8904" i="1"/>
  <c r="I8905" i="1"/>
  <c r="I8906" i="1"/>
  <c r="I8907" i="1"/>
  <c r="I8908" i="1"/>
  <c r="I8909" i="1"/>
  <c r="I8910" i="1"/>
  <c r="I8911" i="1"/>
  <c r="I8912" i="1"/>
  <c r="I8913" i="1"/>
  <c r="I8914" i="1"/>
  <c r="I8915" i="1"/>
  <c r="I8916" i="1"/>
  <c r="I8917" i="1"/>
  <c r="I8918" i="1"/>
  <c r="I8919" i="1"/>
  <c r="I8920" i="1"/>
  <c r="I8921" i="1"/>
  <c r="I8922" i="1"/>
  <c r="I8923" i="1"/>
  <c r="I8924" i="1"/>
  <c r="I8925" i="1"/>
  <c r="I8926" i="1"/>
  <c r="I8927" i="1"/>
  <c r="I8928" i="1"/>
  <c r="I8929" i="1"/>
  <c r="I8930" i="1"/>
  <c r="I8931" i="1"/>
  <c r="I8932" i="1"/>
  <c r="I8933" i="1"/>
  <c r="I8934" i="1"/>
  <c r="I8935" i="1"/>
  <c r="I8936" i="1"/>
  <c r="I8937" i="1"/>
  <c r="I8938" i="1"/>
  <c r="I8939" i="1"/>
  <c r="I8940" i="1"/>
  <c r="I8941" i="1"/>
  <c r="I8942" i="1"/>
  <c r="I8943" i="1"/>
  <c r="I8944" i="1"/>
  <c r="I8945" i="1"/>
  <c r="I8946" i="1"/>
  <c r="I8947" i="1"/>
  <c r="I8948" i="1"/>
  <c r="I8949" i="1"/>
  <c r="I8950" i="1"/>
  <c r="I8951" i="1"/>
  <c r="I8952" i="1"/>
  <c r="I8953" i="1"/>
  <c r="I8954" i="1"/>
  <c r="I8955" i="1"/>
  <c r="I8956" i="1"/>
  <c r="I8957" i="1"/>
  <c r="I8958" i="1"/>
  <c r="I8959" i="1"/>
  <c r="I8960" i="1"/>
  <c r="I8961" i="1"/>
  <c r="I8962" i="1"/>
  <c r="I8963" i="1"/>
  <c r="I8964" i="1"/>
  <c r="I8965" i="1"/>
  <c r="I8966" i="1"/>
  <c r="I8967" i="1"/>
  <c r="I8968" i="1"/>
  <c r="I8969" i="1"/>
  <c r="I8970" i="1"/>
  <c r="I8971" i="1"/>
  <c r="I8972" i="1"/>
  <c r="I8973" i="1"/>
  <c r="I8974" i="1"/>
  <c r="I8975" i="1"/>
  <c r="I8976" i="1"/>
  <c r="I8977" i="1"/>
  <c r="I8978" i="1"/>
  <c r="I8979" i="1"/>
  <c r="I8980" i="1"/>
  <c r="I8981" i="1"/>
  <c r="I8982" i="1"/>
  <c r="I8983" i="1"/>
  <c r="I8984" i="1"/>
  <c r="I8985" i="1"/>
  <c r="I8986" i="1"/>
  <c r="I8987" i="1"/>
  <c r="I8988" i="1"/>
  <c r="I8989" i="1"/>
  <c r="I8990" i="1"/>
  <c r="I8991" i="1"/>
  <c r="I8992" i="1"/>
  <c r="I8993" i="1"/>
  <c r="I8994" i="1"/>
  <c r="I8995" i="1"/>
  <c r="I8996" i="1"/>
  <c r="I8997" i="1"/>
  <c r="I8998" i="1"/>
  <c r="I8999" i="1"/>
  <c r="I9000" i="1"/>
  <c r="I9001" i="1"/>
  <c r="I9002" i="1"/>
  <c r="I9003" i="1"/>
  <c r="I9004" i="1"/>
  <c r="I9005" i="1"/>
  <c r="I9006" i="1"/>
  <c r="I9007" i="1"/>
  <c r="I9008" i="1"/>
  <c r="I9009" i="1"/>
  <c r="I9010" i="1"/>
  <c r="I9011" i="1"/>
  <c r="I9012" i="1"/>
  <c r="I9013" i="1"/>
  <c r="I9014" i="1"/>
  <c r="I9015" i="1"/>
  <c r="I9016" i="1"/>
  <c r="I9017" i="1"/>
  <c r="I9018" i="1"/>
  <c r="I9019" i="1"/>
  <c r="I9020" i="1"/>
  <c r="I9021" i="1"/>
  <c r="I9022" i="1"/>
  <c r="I9023" i="1"/>
  <c r="I9024" i="1"/>
  <c r="I9025" i="1"/>
  <c r="I9026" i="1"/>
  <c r="I9027" i="1"/>
  <c r="I9028" i="1"/>
  <c r="I9029" i="1"/>
  <c r="I9030" i="1"/>
  <c r="I9031" i="1"/>
  <c r="I9032" i="1"/>
  <c r="I9033" i="1"/>
  <c r="I9034" i="1"/>
  <c r="I9035" i="1"/>
  <c r="I9036" i="1"/>
  <c r="I9037" i="1"/>
  <c r="I9038" i="1"/>
  <c r="I9039" i="1"/>
  <c r="I9040" i="1"/>
  <c r="I9041" i="1"/>
  <c r="I9042" i="1"/>
  <c r="I9043" i="1"/>
  <c r="I9044" i="1"/>
  <c r="I9045" i="1"/>
  <c r="I9046" i="1"/>
  <c r="I9047" i="1"/>
  <c r="I9048" i="1"/>
  <c r="I9049" i="1"/>
  <c r="I9050" i="1"/>
  <c r="I9051" i="1"/>
  <c r="I9052" i="1"/>
  <c r="I9053" i="1"/>
  <c r="I9054" i="1"/>
  <c r="I9055" i="1"/>
  <c r="I9056" i="1"/>
  <c r="I9057" i="1"/>
  <c r="I9058" i="1"/>
  <c r="I9059" i="1"/>
  <c r="I9060" i="1"/>
  <c r="I9061" i="1"/>
  <c r="I9062" i="1"/>
  <c r="I9063" i="1"/>
  <c r="I9064" i="1"/>
  <c r="I9065" i="1"/>
  <c r="I9066" i="1"/>
  <c r="I9067" i="1"/>
  <c r="I9068" i="1"/>
  <c r="I9069" i="1"/>
  <c r="I9070" i="1"/>
  <c r="I9071" i="1"/>
  <c r="I9072" i="1"/>
  <c r="I9073" i="1"/>
  <c r="I9074" i="1"/>
  <c r="I9075" i="1"/>
  <c r="I9076" i="1"/>
  <c r="I9077" i="1"/>
  <c r="I9078" i="1"/>
  <c r="I9079" i="1"/>
  <c r="I9080" i="1"/>
  <c r="I9081" i="1"/>
  <c r="I9082" i="1"/>
  <c r="I9083" i="1"/>
  <c r="I9084" i="1"/>
  <c r="I9085" i="1"/>
  <c r="I9086" i="1"/>
  <c r="I9087" i="1"/>
  <c r="I9088" i="1"/>
  <c r="I9089" i="1"/>
  <c r="I9090" i="1"/>
  <c r="I9091" i="1"/>
  <c r="I9092" i="1"/>
  <c r="I9093" i="1"/>
  <c r="I9094" i="1"/>
  <c r="I9095" i="1"/>
  <c r="I9096" i="1"/>
  <c r="I9097" i="1"/>
  <c r="I9098" i="1"/>
  <c r="I9099" i="1"/>
  <c r="I9100" i="1"/>
  <c r="I9101" i="1"/>
  <c r="I9102" i="1"/>
  <c r="I9103" i="1"/>
  <c r="I9104" i="1"/>
  <c r="I9105" i="1"/>
  <c r="I9106" i="1"/>
  <c r="I9107" i="1"/>
  <c r="I9108" i="1"/>
  <c r="I9109" i="1"/>
  <c r="I9110" i="1"/>
  <c r="I9111" i="1"/>
  <c r="I9112" i="1"/>
  <c r="I9113" i="1"/>
  <c r="I9114" i="1"/>
  <c r="I9115" i="1"/>
  <c r="I9116" i="1"/>
  <c r="I9117" i="1"/>
  <c r="I9118" i="1"/>
  <c r="I9119" i="1"/>
  <c r="I9120" i="1"/>
  <c r="I9121" i="1"/>
  <c r="I9122" i="1"/>
  <c r="I9123" i="1"/>
  <c r="I9124" i="1"/>
  <c r="I9125" i="1"/>
  <c r="I9126" i="1"/>
  <c r="I9127" i="1"/>
  <c r="I9128" i="1"/>
  <c r="I9129" i="1"/>
  <c r="I9130" i="1"/>
  <c r="I9131" i="1"/>
  <c r="I9132" i="1"/>
  <c r="I9133" i="1"/>
  <c r="I9134" i="1"/>
  <c r="I9135" i="1"/>
  <c r="I9136" i="1"/>
  <c r="I9137" i="1"/>
  <c r="I9138" i="1"/>
  <c r="I9139" i="1"/>
  <c r="I9140" i="1"/>
  <c r="I9141" i="1"/>
  <c r="I9142" i="1"/>
  <c r="I9143" i="1"/>
  <c r="I9144" i="1"/>
  <c r="I9145" i="1"/>
  <c r="I9146" i="1"/>
  <c r="I9147" i="1"/>
  <c r="I9148" i="1"/>
  <c r="I9149" i="1"/>
  <c r="I9150" i="1"/>
  <c r="I9151" i="1"/>
  <c r="I9152" i="1"/>
  <c r="I9153" i="1"/>
  <c r="I9154" i="1"/>
  <c r="I9155" i="1"/>
  <c r="I9156" i="1"/>
  <c r="I9157" i="1"/>
  <c r="I9158" i="1"/>
  <c r="I9159" i="1"/>
  <c r="I9160" i="1"/>
  <c r="I9161" i="1"/>
  <c r="I9162" i="1"/>
  <c r="I9163" i="1"/>
  <c r="I9164" i="1"/>
  <c r="I9165" i="1"/>
  <c r="I9166" i="1"/>
  <c r="I9167" i="1"/>
  <c r="I9168" i="1"/>
  <c r="I9169" i="1"/>
  <c r="I9170" i="1"/>
  <c r="I9171" i="1"/>
  <c r="I9172" i="1"/>
  <c r="I9173" i="1"/>
  <c r="I9174" i="1"/>
  <c r="I9175" i="1"/>
  <c r="I9176" i="1"/>
  <c r="I9177" i="1"/>
  <c r="I9178" i="1"/>
  <c r="I9179" i="1"/>
  <c r="I9180" i="1"/>
  <c r="I9181" i="1"/>
  <c r="I9182" i="1"/>
  <c r="I9183" i="1"/>
  <c r="H2" i="1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G2" i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A9183" i="1" l="1"/>
  <c r="A9182" i="1"/>
  <c r="A9181" i="1"/>
  <c r="A9180" i="1"/>
  <c r="A9179" i="1"/>
  <c r="A9178" i="1"/>
  <c r="A9177" i="1"/>
  <c r="A9176" i="1"/>
  <c r="A9175" i="1"/>
  <c r="A9174" i="1"/>
  <c r="A9173" i="1"/>
  <c r="A9172" i="1"/>
  <c r="A9171" i="1"/>
  <c r="A9170" i="1"/>
  <c r="A9169" i="1"/>
  <c r="A9168" i="1"/>
  <c r="A9167" i="1"/>
  <c r="A9166" i="1"/>
  <c r="A9165" i="1"/>
  <c r="A9164" i="1"/>
  <c r="A9163" i="1"/>
  <c r="A9162" i="1"/>
  <c r="A9161" i="1"/>
  <c r="A9160" i="1"/>
  <c r="A9159" i="1"/>
  <c r="A9158" i="1"/>
  <c r="A9157" i="1"/>
  <c r="A9156" i="1"/>
  <c r="A9155" i="1"/>
  <c r="A9154" i="1"/>
  <c r="A9153" i="1"/>
  <c r="A9152" i="1"/>
  <c r="A9151" i="1"/>
  <c r="A9150" i="1"/>
  <c r="A9149" i="1"/>
  <c r="A9148" i="1"/>
  <c r="A9147" i="1"/>
  <c r="A9146" i="1"/>
  <c r="A9145" i="1"/>
  <c r="A9144" i="1"/>
  <c r="A9143" i="1"/>
  <c r="A9142" i="1"/>
  <c r="A9141" i="1"/>
  <c r="A9140" i="1"/>
  <c r="A9139" i="1"/>
  <c r="A9138" i="1"/>
  <c r="A9137" i="1"/>
  <c r="A9136" i="1"/>
  <c r="A9135" i="1"/>
  <c r="A9134" i="1"/>
  <c r="A9133" i="1"/>
  <c r="A9132" i="1"/>
  <c r="A9131" i="1"/>
  <c r="A9130" i="1"/>
  <c r="A9129" i="1"/>
  <c r="A9128" i="1"/>
  <c r="A9127" i="1"/>
  <c r="A9126" i="1"/>
  <c r="A9125" i="1"/>
  <c r="A9124" i="1"/>
  <c r="A9123" i="1"/>
  <c r="A9122" i="1"/>
  <c r="A9121" i="1"/>
  <c r="A9120" i="1"/>
  <c r="A9119" i="1"/>
  <c r="A9118" i="1"/>
  <c r="A9117" i="1"/>
  <c r="A9116" i="1"/>
  <c r="A9115" i="1"/>
  <c r="A9114" i="1"/>
  <c r="A9113" i="1"/>
  <c r="A9112" i="1"/>
  <c r="A9111" i="1"/>
  <c r="A9110" i="1"/>
  <c r="A9109" i="1"/>
  <c r="A9108" i="1"/>
  <c r="A9107" i="1"/>
  <c r="A9106" i="1"/>
  <c r="A9105" i="1"/>
  <c r="A9104" i="1"/>
  <c r="A9103" i="1"/>
  <c r="A9102" i="1"/>
  <c r="A9101" i="1"/>
  <c r="A9100" i="1"/>
  <c r="A9099" i="1"/>
  <c r="A9098" i="1"/>
  <c r="A9097" i="1"/>
  <c r="A9096" i="1"/>
  <c r="A9095" i="1"/>
  <c r="A9094" i="1"/>
  <c r="A9093" i="1"/>
  <c r="A9092" i="1"/>
  <c r="A9091" i="1"/>
  <c r="A9090" i="1"/>
  <c r="A9089" i="1"/>
  <c r="A9088" i="1"/>
  <c r="A9087" i="1"/>
  <c r="A9086" i="1"/>
  <c r="A9085" i="1"/>
  <c r="A9084" i="1"/>
  <c r="A9083" i="1"/>
  <c r="A9082" i="1"/>
  <c r="A9081" i="1"/>
  <c r="A9080" i="1"/>
  <c r="A9079" i="1"/>
  <c r="A9078" i="1"/>
  <c r="A9077" i="1"/>
  <c r="A9076" i="1"/>
  <c r="A9075" i="1"/>
  <c r="A9074" i="1"/>
  <c r="A9073" i="1"/>
  <c r="A9072" i="1"/>
  <c r="A9071" i="1"/>
  <c r="A9070" i="1"/>
  <c r="A9069" i="1"/>
  <c r="A9068" i="1"/>
  <c r="A9067" i="1"/>
  <c r="A9066" i="1"/>
  <c r="A9065" i="1"/>
  <c r="A9064" i="1"/>
  <c r="A9063" i="1"/>
  <c r="A9062" i="1"/>
  <c r="A9061" i="1"/>
  <c r="A9060" i="1"/>
  <c r="A9059" i="1"/>
  <c r="A9058" i="1"/>
  <c r="A9057" i="1"/>
  <c r="A9056" i="1"/>
  <c r="A9055" i="1"/>
  <c r="A9054" i="1"/>
  <c r="A9053" i="1"/>
  <c r="A9052" i="1"/>
  <c r="A9051" i="1"/>
  <c r="A9050" i="1"/>
  <c r="A9049" i="1"/>
  <c r="A9048" i="1"/>
  <c r="A9047" i="1"/>
  <c r="A9046" i="1"/>
  <c r="A9045" i="1"/>
  <c r="A9044" i="1"/>
  <c r="A9043" i="1"/>
  <c r="A9042" i="1"/>
  <c r="A9041" i="1"/>
  <c r="A9040" i="1"/>
  <c r="A9039" i="1"/>
  <c r="A9038" i="1"/>
  <c r="A9037" i="1"/>
  <c r="A9036" i="1"/>
  <c r="A9035" i="1"/>
  <c r="A9034" i="1"/>
  <c r="A9033" i="1"/>
  <c r="A9032" i="1"/>
  <c r="A9031" i="1"/>
  <c r="A9030" i="1"/>
  <c r="A9029" i="1"/>
  <c r="A9028" i="1"/>
  <c r="A9027" i="1"/>
  <c r="A9026" i="1"/>
  <c r="A9025" i="1"/>
  <c r="A9024" i="1"/>
  <c r="A9023" i="1"/>
  <c r="A9022" i="1"/>
  <c r="A9021" i="1"/>
  <c r="A9020" i="1"/>
  <c r="A9019" i="1"/>
  <c r="A9018" i="1"/>
  <c r="A9017" i="1"/>
  <c r="A9016" i="1"/>
  <c r="A9015" i="1"/>
  <c r="A9014" i="1"/>
  <c r="A9013" i="1"/>
  <c r="A9012" i="1"/>
  <c r="A9011" i="1"/>
  <c r="A9010" i="1"/>
  <c r="A9009" i="1"/>
  <c r="A9008" i="1"/>
  <c r="A9007" i="1"/>
  <c r="A9006" i="1"/>
  <c r="A9005" i="1"/>
  <c r="A9004" i="1"/>
  <c r="A9003" i="1"/>
  <c r="A9002" i="1"/>
  <c r="A9001" i="1"/>
  <c r="A9000" i="1"/>
  <c r="A8999" i="1"/>
  <c r="A8998" i="1"/>
  <c r="A8997" i="1"/>
  <c r="A8996" i="1"/>
  <c r="A8995" i="1"/>
  <c r="A8994" i="1"/>
  <c r="A8993" i="1"/>
  <c r="A8992" i="1"/>
  <c r="A8991" i="1"/>
  <c r="A8990" i="1"/>
  <c r="A8989" i="1"/>
  <c r="A8988" i="1"/>
  <c r="A8987" i="1"/>
  <c r="A8986" i="1"/>
  <c r="A8985" i="1"/>
  <c r="A8984" i="1"/>
  <c r="A8983" i="1"/>
  <c r="A8982" i="1"/>
  <c r="A8981" i="1"/>
  <c r="A8980" i="1"/>
  <c r="A8979" i="1"/>
  <c r="A8978" i="1"/>
  <c r="A8977" i="1"/>
  <c r="A8976" i="1"/>
  <c r="A8975" i="1"/>
  <c r="A8974" i="1"/>
  <c r="A8973" i="1"/>
  <c r="A8972" i="1"/>
  <c r="A8971" i="1"/>
  <c r="A8970" i="1"/>
  <c r="A8969" i="1"/>
  <c r="A8968" i="1"/>
  <c r="A8967" i="1"/>
  <c r="A8966" i="1"/>
  <c r="A8965" i="1"/>
  <c r="A8964" i="1"/>
  <c r="A8963" i="1"/>
  <c r="A8962" i="1"/>
  <c r="A8961" i="1"/>
  <c r="A8960" i="1"/>
  <c r="A8959" i="1"/>
  <c r="A8958" i="1"/>
  <c r="A8957" i="1"/>
  <c r="A8956" i="1"/>
  <c r="A8955" i="1"/>
  <c r="A8954" i="1"/>
  <c r="A8953" i="1"/>
  <c r="A8952" i="1"/>
  <c r="A8951" i="1"/>
  <c r="A8950" i="1"/>
  <c r="A8949" i="1"/>
  <c r="A8948" i="1"/>
  <c r="A8947" i="1"/>
  <c r="A8946" i="1"/>
  <c r="A8945" i="1"/>
  <c r="A8944" i="1"/>
  <c r="A8943" i="1"/>
  <c r="A8942" i="1"/>
  <c r="A8941" i="1"/>
  <c r="A8940" i="1"/>
  <c r="A8939" i="1"/>
  <c r="A8938" i="1"/>
  <c r="A8937" i="1"/>
  <c r="A8936" i="1"/>
  <c r="A8935" i="1"/>
  <c r="A8934" i="1"/>
  <c r="A8933" i="1"/>
  <c r="A8932" i="1"/>
  <c r="A8931" i="1"/>
  <c r="A8930" i="1"/>
  <c r="A8929" i="1"/>
  <c r="A8928" i="1"/>
  <c r="A8927" i="1"/>
  <c r="A8926" i="1"/>
  <c r="A8925" i="1"/>
  <c r="A8924" i="1"/>
  <c r="A8923" i="1"/>
  <c r="A8922" i="1"/>
  <c r="A8921" i="1"/>
  <c r="A8920" i="1"/>
  <c r="A8919" i="1"/>
  <c r="A8918" i="1"/>
  <c r="A8917" i="1"/>
  <c r="A8916" i="1"/>
  <c r="A8915" i="1"/>
  <c r="A8914" i="1"/>
  <c r="A8913" i="1"/>
  <c r="A8912" i="1"/>
  <c r="A8911" i="1"/>
  <c r="A8910" i="1"/>
  <c r="A8909" i="1"/>
  <c r="A8908" i="1"/>
  <c r="A8907" i="1"/>
  <c r="A8906" i="1"/>
  <c r="A8905" i="1"/>
  <c r="A8904" i="1"/>
  <c r="A8903" i="1"/>
  <c r="A8902" i="1"/>
  <c r="A8901" i="1"/>
  <c r="A8900" i="1"/>
  <c r="A8899" i="1"/>
  <c r="A8898" i="1"/>
  <c r="A8897" i="1"/>
  <c r="A8896" i="1"/>
  <c r="A8895" i="1"/>
  <c r="A8894" i="1"/>
  <c r="A8893" i="1"/>
  <c r="A8892" i="1"/>
  <c r="A8891" i="1"/>
  <c r="A8890" i="1"/>
  <c r="A8889" i="1"/>
  <c r="A8888" i="1"/>
  <c r="A8887" i="1"/>
  <c r="A8886" i="1"/>
  <c r="A8885" i="1"/>
  <c r="A8884" i="1"/>
  <c r="A8883" i="1"/>
  <c r="A8882" i="1"/>
  <c r="A8881" i="1"/>
  <c r="A8880" i="1"/>
  <c r="A8879" i="1"/>
  <c r="A8878" i="1"/>
  <c r="A8877" i="1"/>
  <c r="A8876" i="1"/>
  <c r="A8875" i="1"/>
  <c r="A8874" i="1"/>
  <c r="A8873" i="1"/>
  <c r="A8872" i="1"/>
  <c r="A8871" i="1"/>
  <c r="A8870" i="1"/>
  <c r="A8869" i="1"/>
  <c r="A8868" i="1"/>
  <c r="A8867" i="1"/>
  <c r="A8866" i="1"/>
  <c r="A8865" i="1"/>
  <c r="A8864" i="1"/>
  <c r="A8863" i="1"/>
  <c r="A8862" i="1"/>
  <c r="A8861" i="1"/>
  <c r="A8860" i="1"/>
  <c r="A8859" i="1"/>
  <c r="A8858" i="1"/>
  <c r="A8857" i="1"/>
  <c r="A8856" i="1"/>
  <c r="A8855" i="1"/>
  <c r="A8854" i="1"/>
  <c r="A8853" i="1"/>
  <c r="A8852" i="1"/>
  <c r="A8851" i="1"/>
  <c r="A8850" i="1"/>
  <c r="A8849" i="1"/>
  <c r="A8848" i="1"/>
  <c r="A8847" i="1"/>
  <c r="A8846" i="1"/>
  <c r="A8845" i="1"/>
  <c r="A8844" i="1"/>
  <c r="A8843" i="1"/>
  <c r="A8842" i="1"/>
  <c r="A8841" i="1"/>
  <c r="A8840" i="1"/>
  <c r="A8839" i="1"/>
  <c r="A8838" i="1"/>
  <c r="A8837" i="1"/>
  <c r="A8836" i="1"/>
  <c r="A8835" i="1"/>
  <c r="A8834" i="1"/>
  <c r="A8833" i="1"/>
  <c r="A8832" i="1"/>
  <c r="A8831" i="1"/>
  <c r="A8830" i="1"/>
  <c r="A8829" i="1"/>
  <c r="A8828" i="1"/>
  <c r="A8827" i="1"/>
  <c r="A8826" i="1"/>
  <c r="A8825" i="1"/>
  <c r="A8824" i="1"/>
  <c r="A8823" i="1"/>
  <c r="A8822" i="1"/>
  <c r="A8821" i="1"/>
  <c r="A8820" i="1"/>
  <c r="A8819" i="1"/>
  <c r="A8818" i="1"/>
  <c r="A8817" i="1"/>
  <c r="A8816" i="1"/>
  <c r="A8815" i="1"/>
  <c r="A8814" i="1"/>
  <c r="A8813" i="1"/>
  <c r="A8812" i="1"/>
  <c r="A8811" i="1"/>
  <c r="A8810" i="1"/>
  <c r="A8809" i="1"/>
  <c r="A8808" i="1"/>
  <c r="A8807" i="1"/>
  <c r="A8806" i="1"/>
  <c r="A8805" i="1"/>
  <c r="A8804" i="1"/>
  <c r="A8803" i="1"/>
  <c r="A8802" i="1"/>
  <c r="A8801" i="1"/>
  <c r="A8800" i="1"/>
  <c r="A8799" i="1"/>
  <c r="A8798" i="1"/>
  <c r="A8797" i="1"/>
  <c r="A8796" i="1"/>
  <c r="A8795" i="1"/>
  <c r="A8794" i="1"/>
  <c r="A8793" i="1"/>
  <c r="A8792" i="1"/>
  <c r="A8791" i="1"/>
  <c r="A8790" i="1"/>
  <c r="A8789" i="1"/>
  <c r="A8788" i="1"/>
  <c r="A8787" i="1"/>
  <c r="A8786" i="1"/>
  <c r="A8785" i="1"/>
  <c r="A8784" i="1"/>
  <c r="A8783" i="1"/>
  <c r="A8782" i="1"/>
  <c r="A8781" i="1"/>
  <c r="A8780" i="1"/>
  <c r="A8779" i="1"/>
  <c r="A8778" i="1"/>
  <c r="A8777" i="1"/>
  <c r="A8776" i="1"/>
  <c r="A8775" i="1"/>
  <c r="A8774" i="1"/>
  <c r="A8773" i="1"/>
  <c r="A8772" i="1"/>
  <c r="A8771" i="1"/>
  <c r="A8770" i="1"/>
  <c r="A8769" i="1"/>
  <c r="A8768" i="1"/>
  <c r="A8767" i="1"/>
  <c r="A8766" i="1"/>
  <c r="A8765" i="1"/>
  <c r="A8764" i="1"/>
  <c r="A8763" i="1"/>
  <c r="A8762" i="1"/>
  <c r="A8761" i="1"/>
  <c r="A8760" i="1"/>
  <c r="A8759" i="1"/>
  <c r="A8758" i="1"/>
  <c r="A8757" i="1"/>
  <c r="A8756" i="1"/>
  <c r="A8755" i="1"/>
  <c r="A8754" i="1"/>
  <c r="A8753" i="1"/>
  <c r="A8752" i="1"/>
  <c r="A8751" i="1"/>
  <c r="A8750" i="1"/>
  <c r="A8749" i="1"/>
  <c r="A8748" i="1"/>
  <c r="A8747" i="1"/>
  <c r="A8746" i="1"/>
  <c r="A8745" i="1"/>
  <c r="A8744" i="1"/>
  <c r="A8743" i="1"/>
  <c r="A8742" i="1"/>
  <c r="A8741" i="1"/>
  <c r="A8740" i="1"/>
  <c r="A8739" i="1"/>
  <c r="A8738" i="1"/>
  <c r="A8737" i="1"/>
  <c r="A8736" i="1"/>
  <c r="A8735" i="1"/>
  <c r="A8734" i="1"/>
  <c r="A8733" i="1"/>
  <c r="A8732" i="1"/>
  <c r="A8731" i="1"/>
  <c r="A8730" i="1"/>
  <c r="A8729" i="1"/>
  <c r="A8728" i="1"/>
  <c r="A8727" i="1"/>
  <c r="A8726" i="1"/>
  <c r="A8725" i="1"/>
  <c r="A8724" i="1"/>
  <c r="A8723" i="1"/>
  <c r="A8722" i="1"/>
  <c r="A8721" i="1"/>
  <c r="A8720" i="1"/>
  <c r="A8719" i="1"/>
  <c r="A8718" i="1"/>
  <c r="A8717" i="1"/>
  <c r="A8716" i="1"/>
  <c r="A8715" i="1"/>
  <c r="A8714" i="1"/>
  <c r="A8713" i="1"/>
  <c r="A8712" i="1"/>
  <c r="A8711" i="1"/>
  <c r="A8710" i="1"/>
  <c r="A8709" i="1"/>
  <c r="A8708" i="1"/>
  <c r="A8707" i="1"/>
  <c r="A8706" i="1"/>
  <c r="A8705" i="1"/>
  <c r="A8704" i="1"/>
  <c r="A8703" i="1"/>
  <c r="A8702" i="1"/>
  <c r="A8701" i="1"/>
  <c r="A8700" i="1"/>
  <c r="A8699" i="1"/>
  <c r="A8698" i="1"/>
  <c r="A8697" i="1"/>
  <c r="A8696" i="1"/>
  <c r="A8695" i="1"/>
  <c r="A8694" i="1"/>
  <c r="A8693" i="1"/>
  <c r="A8692" i="1"/>
  <c r="A8691" i="1"/>
  <c r="A8690" i="1"/>
  <c r="A8689" i="1"/>
  <c r="A8688" i="1"/>
  <c r="A8687" i="1"/>
  <c r="A8686" i="1"/>
  <c r="A8685" i="1"/>
  <c r="A8684" i="1"/>
  <c r="A8683" i="1"/>
  <c r="A8682" i="1"/>
  <c r="A8681" i="1"/>
  <c r="A8680" i="1"/>
  <c r="A8679" i="1"/>
  <c r="A8678" i="1"/>
  <c r="A8677" i="1"/>
  <c r="A8676" i="1"/>
  <c r="A8675" i="1"/>
  <c r="A8674" i="1"/>
  <c r="A8673" i="1"/>
  <c r="A8672" i="1"/>
  <c r="A8671" i="1"/>
  <c r="A8670" i="1"/>
  <c r="A8669" i="1"/>
  <c r="A8668" i="1"/>
  <c r="A8667" i="1"/>
  <c r="A8666" i="1"/>
  <c r="A8665" i="1"/>
  <c r="A8664" i="1"/>
  <c r="A8663" i="1"/>
  <c r="A8662" i="1"/>
  <c r="A8661" i="1"/>
  <c r="A8660" i="1"/>
  <c r="A8659" i="1"/>
  <c r="A8658" i="1"/>
  <c r="A8657" i="1"/>
  <c r="A8656" i="1"/>
  <c r="A8655" i="1"/>
  <c r="A8654" i="1"/>
  <c r="A8653" i="1"/>
  <c r="A8652" i="1"/>
  <c r="A8651" i="1"/>
  <c r="A8650" i="1"/>
  <c r="A8649" i="1"/>
  <c r="A8648" i="1"/>
  <c r="A8647" i="1"/>
  <c r="A8646" i="1"/>
  <c r="A8645" i="1"/>
  <c r="A8644" i="1"/>
  <c r="A8643" i="1"/>
  <c r="A8642" i="1"/>
  <c r="A8641" i="1"/>
  <c r="A8640" i="1"/>
  <c r="A8639" i="1"/>
  <c r="A8638" i="1"/>
  <c r="A8637" i="1"/>
  <c r="A8636" i="1"/>
  <c r="A8635" i="1"/>
  <c r="A8634" i="1"/>
  <c r="A8633" i="1"/>
  <c r="A8632" i="1"/>
  <c r="A8631" i="1"/>
  <c r="A8630" i="1"/>
  <c r="A8629" i="1"/>
  <c r="A8628" i="1"/>
  <c r="A8627" i="1"/>
  <c r="A8626" i="1"/>
  <c r="A8625" i="1"/>
  <c r="A8624" i="1"/>
  <c r="A8623" i="1"/>
  <c r="A8622" i="1"/>
  <c r="A8621" i="1"/>
  <c r="A8620" i="1"/>
  <c r="A8619" i="1"/>
  <c r="A8618" i="1"/>
  <c r="A8617" i="1"/>
  <c r="A8616" i="1"/>
  <c r="A8615" i="1"/>
  <c r="A8614" i="1"/>
  <c r="A8613" i="1"/>
  <c r="A8612" i="1"/>
  <c r="A8611" i="1"/>
  <c r="A8610" i="1"/>
  <c r="A8609" i="1"/>
  <c r="A8608" i="1"/>
  <c r="A8607" i="1"/>
  <c r="A8606" i="1"/>
  <c r="A8605" i="1"/>
  <c r="A8604" i="1"/>
  <c r="A8603" i="1"/>
  <c r="A8602" i="1"/>
  <c r="A8601" i="1"/>
  <c r="A8600" i="1"/>
  <c r="A8599" i="1"/>
  <c r="A8598" i="1"/>
  <c r="A8597" i="1"/>
  <c r="A8596" i="1"/>
  <c r="A8595" i="1"/>
  <c r="A8594" i="1"/>
  <c r="A8593" i="1"/>
  <c r="A8592" i="1"/>
  <c r="A8591" i="1"/>
  <c r="A8590" i="1"/>
  <c r="A8589" i="1"/>
  <c r="A8588" i="1"/>
  <c r="A8587" i="1"/>
  <c r="A8586" i="1"/>
  <c r="A8585" i="1"/>
  <c r="A8584" i="1"/>
  <c r="A8583" i="1"/>
  <c r="A8582" i="1"/>
  <c r="A8581" i="1"/>
  <c r="A8580" i="1"/>
  <c r="A8579" i="1"/>
  <c r="A8578" i="1"/>
  <c r="A8577" i="1"/>
  <c r="A8576" i="1"/>
  <c r="A8575" i="1"/>
  <c r="A8574" i="1"/>
  <c r="A8573" i="1"/>
  <c r="A8572" i="1"/>
  <c r="A8571" i="1"/>
  <c r="A8570" i="1"/>
  <c r="A8569" i="1"/>
  <c r="A8568" i="1"/>
  <c r="A8567" i="1"/>
  <c r="A8566" i="1"/>
  <c r="A8565" i="1"/>
  <c r="A8564" i="1"/>
  <c r="A8563" i="1"/>
  <c r="A8562" i="1"/>
  <c r="A8561" i="1"/>
  <c r="A8560" i="1"/>
  <c r="A8559" i="1"/>
  <c r="A8558" i="1"/>
  <c r="A8557" i="1"/>
  <c r="A8556" i="1"/>
  <c r="A8555" i="1"/>
  <c r="A8554" i="1"/>
  <c r="A8553" i="1"/>
  <c r="A8552" i="1"/>
  <c r="A8551" i="1"/>
  <c r="A8550" i="1"/>
  <c r="A8549" i="1"/>
  <c r="A8548" i="1"/>
  <c r="A8547" i="1"/>
  <c r="A8546" i="1"/>
  <c r="A8545" i="1"/>
  <c r="A8544" i="1"/>
  <c r="A8543" i="1"/>
  <c r="A8542" i="1"/>
  <c r="A8541" i="1"/>
  <c r="A8540" i="1"/>
  <c r="A8539" i="1"/>
  <c r="A8538" i="1"/>
  <c r="A8537" i="1"/>
  <c r="A8536" i="1"/>
  <c r="A8535" i="1"/>
  <c r="A8534" i="1"/>
  <c r="A8533" i="1"/>
  <c r="A8532" i="1"/>
  <c r="A8531" i="1"/>
  <c r="A8530" i="1"/>
  <c r="A8529" i="1"/>
  <c r="A8528" i="1"/>
  <c r="A8527" i="1"/>
  <c r="A8526" i="1"/>
  <c r="A8525" i="1"/>
  <c r="A8524" i="1"/>
  <c r="A8523" i="1"/>
  <c r="A8522" i="1"/>
  <c r="A8521" i="1"/>
  <c r="A8520" i="1"/>
  <c r="A8519" i="1"/>
  <c r="A8518" i="1"/>
  <c r="A8517" i="1"/>
  <c r="A8516" i="1"/>
  <c r="A8515" i="1"/>
  <c r="A8514" i="1"/>
  <c r="A8513" i="1"/>
  <c r="A8512" i="1"/>
  <c r="A8511" i="1"/>
  <c r="A8510" i="1"/>
  <c r="A8509" i="1"/>
  <c r="A8508" i="1"/>
  <c r="A8507" i="1"/>
  <c r="A8506" i="1"/>
  <c r="A8505" i="1"/>
  <c r="A8504" i="1"/>
  <c r="A8503" i="1"/>
  <c r="A8502" i="1"/>
  <c r="A8501" i="1"/>
  <c r="A8500" i="1"/>
  <c r="A8499" i="1"/>
  <c r="A8498" i="1"/>
  <c r="A8497" i="1"/>
  <c r="A8496" i="1"/>
  <c r="A8495" i="1"/>
  <c r="A8494" i="1"/>
  <c r="A8493" i="1"/>
  <c r="A8492" i="1"/>
  <c r="A8491" i="1"/>
  <c r="A8490" i="1"/>
  <c r="A8489" i="1"/>
  <c r="A8488" i="1"/>
  <c r="A8487" i="1"/>
  <c r="A8486" i="1"/>
  <c r="A8485" i="1"/>
  <c r="A8484" i="1"/>
  <c r="A8483" i="1"/>
  <c r="A8482" i="1"/>
  <c r="A8481" i="1"/>
  <c r="A8480" i="1"/>
  <c r="A8479" i="1"/>
  <c r="A8478" i="1"/>
  <c r="A8477" i="1"/>
  <c r="A8476" i="1"/>
  <c r="A8475" i="1"/>
  <c r="A8474" i="1"/>
  <c r="A8473" i="1"/>
  <c r="A8472" i="1"/>
  <c r="A8471" i="1"/>
  <c r="A8470" i="1"/>
  <c r="A8469" i="1"/>
  <c r="A8468" i="1"/>
  <c r="A8467" i="1"/>
  <c r="A8466" i="1"/>
  <c r="A8465" i="1"/>
  <c r="A8464" i="1"/>
  <c r="A8463" i="1"/>
  <c r="A8462" i="1"/>
  <c r="A8461" i="1"/>
  <c r="A8460" i="1"/>
  <c r="A8459" i="1"/>
  <c r="A8458" i="1"/>
  <c r="A8457" i="1"/>
  <c r="A8456" i="1"/>
  <c r="A8455" i="1"/>
  <c r="A8454" i="1"/>
  <c r="A8453" i="1"/>
  <c r="A8452" i="1"/>
  <c r="A8451" i="1"/>
  <c r="A8450" i="1"/>
  <c r="A8449" i="1"/>
  <c r="A8448" i="1"/>
  <c r="A8447" i="1"/>
  <c r="A8446" i="1"/>
  <c r="A8445" i="1"/>
  <c r="A8444" i="1"/>
  <c r="A8443" i="1"/>
  <c r="A8442" i="1"/>
  <c r="A8441" i="1"/>
  <c r="A8440" i="1"/>
  <c r="A8439" i="1"/>
  <c r="A8438" i="1"/>
  <c r="A8437" i="1"/>
  <c r="A8436" i="1"/>
  <c r="A8435" i="1"/>
  <c r="A8434" i="1"/>
  <c r="A8433" i="1"/>
  <c r="A8432" i="1"/>
  <c r="A8431" i="1"/>
  <c r="A8430" i="1"/>
  <c r="A8429" i="1"/>
  <c r="A8428" i="1"/>
  <c r="A8427" i="1"/>
  <c r="A8426" i="1"/>
  <c r="A8425" i="1"/>
  <c r="A8424" i="1"/>
  <c r="A8423" i="1"/>
  <c r="A8422" i="1"/>
  <c r="A8421" i="1"/>
  <c r="A8420" i="1"/>
  <c r="A8419" i="1"/>
  <c r="A8418" i="1"/>
  <c r="A8417" i="1"/>
  <c r="A8416" i="1"/>
  <c r="A8415" i="1"/>
  <c r="A8414" i="1"/>
  <c r="A8413" i="1"/>
  <c r="A8412" i="1"/>
  <c r="A8411" i="1"/>
  <c r="A8410" i="1"/>
  <c r="A8409" i="1"/>
  <c r="A8408" i="1"/>
  <c r="A8407" i="1"/>
  <c r="A8406" i="1"/>
  <c r="A8405" i="1"/>
  <c r="A8404" i="1"/>
  <c r="A8403" i="1"/>
  <c r="A8402" i="1"/>
  <c r="A8401" i="1"/>
  <c r="A8400" i="1"/>
  <c r="A8399" i="1"/>
  <c r="A8398" i="1"/>
  <c r="A8397" i="1"/>
  <c r="A8396" i="1"/>
  <c r="A8395" i="1"/>
  <c r="A8394" i="1"/>
  <c r="A8393" i="1"/>
  <c r="A8392" i="1"/>
  <c r="A8391" i="1"/>
  <c r="A8390" i="1"/>
  <c r="A8389" i="1"/>
  <c r="A8388" i="1"/>
  <c r="A8387" i="1"/>
  <c r="A8386" i="1"/>
  <c r="A8385" i="1"/>
  <c r="A8384" i="1"/>
  <c r="A8383" i="1"/>
  <c r="A8382" i="1"/>
  <c r="A8381" i="1"/>
  <c r="A8380" i="1"/>
  <c r="A8379" i="1"/>
  <c r="A8378" i="1"/>
  <c r="A8377" i="1"/>
  <c r="A8376" i="1"/>
  <c r="A8375" i="1"/>
  <c r="A8374" i="1"/>
  <c r="A8373" i="1"/>
  <c r="A8372" i="1"/>
  <c r="A8371" i="1"/>
  <c r="A8370" i="1"/>
  <c r="A8369" i="1"/>
  <c r="A8368" i="1"/>
  <c r="A8367" i="1"/>
  <c r="A8366" i="1"/>
  <c r="A8365" i="1"/>
  <c r="A8364" i="1"/>
  <c r="A8363" i="1"/>
  <c r="A8362" i="1"/>
  <c r="A8361" i="1"/>
  <c r="A8360" i="1"/>
  <c r="A8359" i="1"/>
  <c r="A8358" i="1"/>
  <c r="A8357" i="1"/>
  <c r="A8356" i="1"/>
  <c r="A8355" i="1"/>
  <c r="A8354" i="1"/>
  <c r="A8353" i="1"/>
  <c r="A8352" i="1"/>
  <c r="A8351" i="1"/>
  <c r="A8350" i="1"/>
  <c r="A8349" i="1"/>
  <c r="A8348" i="1"/>
  <c r="A8347" i="1"/>
  <c r="A8346" i="1"/>
  <c r="A8345" i="1"/>
  <c r="A8344" i="1"/>
  <c r="A8343" i="1"/>
  <c r="A8342" i="1"/>
  <c r="A8341" i="1"/>
  <c r="A8340" i="1"/>
  <c r="A8339" i="1"/>
  <c r="A8338" i="1"/>
  <c r="A8337" i="1"/>
  <c r="A8336" i="1"/>
  <c r="A8335" i="1"/>
  <c r="A8334" i="1"/>
  <c r="A8333" i="1"/>
  <c r="A8332" i="1"/>
  <c r="A8331" i="1"/>
  <c r="A8330" i="1"/>
  <c r="A8329" i="1"/>
  <c r="A8328" i="1"/>
  <c r="A8327" i="1"/>
  <c r="A8326" i="1"/>
  <c r="A8325" i="1"/>
  <c r="A8324" i="1"/>
  <c r="A8323" i="1"/>
  <c r="A8322" i="1"/>
  <c r="A8321" i="1"/>
  <c r="A8320" i="1"/>
  <c r="A8319" i="1"/>
  <c r="A8318" i="1"/>
  <c r="A8317" i="1"/>
  <c r="A8316" i="1"/>
  <c r="A8315" i="1"/>
  <c r="A8314" i="1"/>
  <c r="A8313" i="1"/>
  <c r="A8312" i="1"/>
  <c r="A8311" i="1"/>
  <c r="A8310" i="1"/>
  <c r="A8309" i="1"/>
  <c r="A8308" i="1"/>
  <c r="A8307" i="1"/>
  <c r="A8306" i="1"/>
  <c r="A8305" i="1"/>
  <c r="A8304" i="1"/>
  <c r="A8303" i="1"/>
  <c r="A8302" i="1"/>
  <c r="A8301" i="1"/>
  <c r="A8300" i="1"/>
  <c r="A8299" i="1"/>
  <c r="A8298" i="1"/>
  <c r="A8297" i="1"/>
  <c r="A8296" i="1"/>
  <c r="A8295" i="1"/>
  <c r="A8294" i="1"/>
  <c r="A8293" i="1"/>
  <c r="A8292" i="1"/>
  <c r="A8291" i="1"/>
  <c r="A8290" i="1"/>
  <c r="A8289" i="1"/>
  <c r="A8288" i="1"/>
  <c r="A8287" i="1"/>
  <c r="A8286" i="1"/>
  <c r="A8285" i="1"/>
  <c r="A8284" i="1"/>
  <c r="A8283" i="1"/>
  <c r="A8282" i="1"/>
  <c r="A8281" i="1"/>
  <c r="A8280" i="1"/>
  <c r="A8279" i="1"/>
  <c r="A8278" i="1"/>
  <c r="A8277" i="1"/>
  <c r="A8276" i="1"/>
  <c r="A8275" i="1"/>
  <c r="A8274" i="1"/>
  <c r="A8273" i="1"/>
  <c r="A8272" i="1"/>
  <c r="A8271" i="1"/>
  <c r="A8270" i="1"/>
  <c r="A8269" i="1"/>
  <c r="A8268" i="1"/>
  <c r="A8267" i="1"/>
  <c r="A8266" i="1"/>
  <c r="A8265" i="1"/>
  <c r="A8264" i="1"/>
  <c r="A8263" i="1"/>
  <c r="A8262" i="1"/>
  <c r="A8261" i="1"/>
  <c r="A8260" i="1"/>
  <c r="A8259" i="1"/>
  <c r="A8258" i="1"/>
  <c r="A8257" i="1"/>
  <c r="A8256" i="1"/>
  <c r="A8255" i="1"/>
  <c r="A8254" i="1"/>
  <c r="A8253" i="1"/>
  <c r="A8252" i="1"/>
  <c r="A8251" i="1"/>
  <c r="A8250" i="1"/>
  <c r="A8249" i="1"/>
  <c r="A8248" i="1"/>
  <c r="A8247" i="1"/>
  <c r="A8246" i="1"/>
  <c r="A8245" i="1"/>
  <c r="A8244" i="1"/>
  <c r="A8243" i="1"/>
  <c r="A8242" i="1"/>
  <c r="A8241" i="1"/>
  <c r="A8240" i="1"/>
  <c r="A8239" i="1"/>
  <c r="A8238" i="1"/>
  <c r="A8237" i="1"/>
  <c r="A8236" i="1"/>
  <c r="A8235" i="1"/>
  <c r="A8234" i="1"/>
  <c r="A8233" i="1"/>
  <c r="A8232" i="1"/>
  <c r="A8231" i="1"/>
  <c r="A8230" i="1"/>
  <c r="A8229" i="1"/>
  <c r="A8228" i="1"/>
  <c r="A8227" i="1"/>
  <c r="A8226" i="1"/>
  <c r="A8225" i="1"/>
  <c r="A8224" i="1"/>
  <c r="A8223" i="1"/>
  <c r="A8222" i="1"/>
  <c r="A8221" i="1"/>
  <c r="A8220" i="1"/>
  <c r="A8219" i="1"/>
  <c r="A8218" i="1"/>
  <c r="A8217" i="1"/>
  <c r="A8216" i="1"/>
  <c r="A8215" i="1"/>
  <c r="A8214" i="1"/>
  <c r="A8213" i="1"/>
  <c r="A8212" i="1"/>
  <c r="A8211" i="1"/>
  <c r="A8210" i="1"/>
  <c r="A8209" i="1"/>
  <c r="A8208" i="1"/>
  <c r="A8207" i="1"/>
  <c r="A8206" i="1"/>
  <c r="A8205" i="1"/>
  <c r="A8204" i="1"/>
  <c r="A8203" i="1"/>
  <c r="A8202" i="1"/>
  <c r="A8201" i="1"/>
  <c r="A8200" i="1"/>
  <c r="A8199" i="1"/>
  <c r="A8198" i="1"/>
  <c r="A8197" i="1"/>
  <c r="A8196" i="1"/>
  <c r="A8195" i="1"/>
  <c r="A8194" i="1"/>
  <c r="A8193" i="1"/>
  <c r="A8192" i="1"/>
  <c r="A8191" i="1"/>
  <c r="A8190" i="1"/>
  <c r="A8189" i="1"/>
  <c r="A8188" i="1"/>
  <c r="A8187" i="1"/>
  <c r="A8186" i="1"/>
  <c r="A8185" i="1"/>
  <c r="A8184" i="1"/>
  <c r="A8183" i="1"/>
  <c r="A8182" i="1"/>
  <c r="A8181" i="1"/>
  <c r="A8180" i="1"/>
  <c r="A8179" i="1"/>
  <c r="A8178" i="1"/>
  <c r="A8177" i="1"/>
  <c r="A8176" i="1"/>
  <c r="A8175" i="1"/>
  <c r="A8174" i="1"/>
  <c r="A8173" i="1"/>
  <c r="A8172" i="1"/>
  <c r="A8171" i="1"/>
  <c r="A8170" i="1"/>
  <c r="A8169" i="1"/>
  <c r="A8168" i="1"/>
  <c r="A8167" i="1"/>
  <c r="A8166" i="1"/>
  <c r="A8165" i="1"/>
  <c r="A8164" i="1"/>
  <c r="A8163" i="1"/>
  <c r="A8162" i="1"/>
  <c r="A8161" i="1"/>
  <c r="A8160" i="1"/>
  <c r="A8159" i="1"/>
  <c r="A8158" i="1"/>
  <c r="A8157" i="1"/>
  <c r="A8156" i="1"/>
  <c r="A8155" i="1"/>
  <c r="A8154" i="1"/>
  <c r="A8153" i="1"/>
  <c r="A8152" i="1"/>
  <c r="A8151" i="1"/>
  <c r="A8150" i="1"/>
  <c r="A8149" i="1"/>
  <c r="A8148" i="1"/>
  <c r="A8147" i="1"/>
  <c r="A8146" i="1"/>
  <c r="A8145" i="1"/>
  <c r="A8144" i="1"/>
  <c r="A8143" i="1"/>
  <c r="A8142" i="1"/>
  <c r="A8141" i="1"/>
  <c r="A8140" i="1"/>
  <c r="A8139" i="1"/>
  <c r="A8138" i="1"/>
  <c r="A8137" i="1"/>
  <c r="A8136" i="1"/>
  <c r="A8135" i="1"/>
  <c r="A8134" i="1"/>
  <c r="A8133" i="1"/>
  <c r="A8132" i="1"/>
  <c r="A8131" i="1"/>
  <c r="A8130" i="1"/>
  <c r="A8129" i="1"/>
  <c r="A8128" i="1"/>
  <c r="A8127" i="1"/>
  <c r="A8126" i="1"/>
  <c r="A8125" i="1"/>
  <c r="A8124" i="1"/>
  <c r="A8123" i="1"/>
  <c r="A8122" i="1"/>
  <c r="A8121" i="1"/>
  <c r="A8120" i="1"/>
  <c r="A8119" i="1"/>
  <c r="A8118" i="1"/>
  <c r="A8117" i="1"/>
  <c r="A8116" i="1"/>
  <c r="A8115" i="1"/>
  <c r="A8114" i="1"/>
  <c r="A8113" i="1"/>
  <c r="A8112" i="1"/>
  <c r="A8111" i="1"/>
  <c r="A8110" i="1"/>
  <c r="A8109" i="1"/>
  <c r="A8108" i="1"/>
  <c r="A8107" i="1"/>
  <c r="A8106" i="1"/>
  <c r="A8105" i="1"/>
  <c r="A8104" i="1"/>
  <c r="A8103" i="1"/>
  <c r="A8102" i="1"/>
  <c r="A8101" i="1"/>
  <c r="A8100" i="1"/>
  <c r="A8099" i="1"/>
  <c r="A8098" i="1"/>
  <c r="A8097" i="1"/>
  <c r="A8096" i="1"/>
  <c r="A8095" i="1"/>
  <c r="A8094" i="1"/>
  <c r="A8093" i="1"/>
  <c r="A8092" i="1"/>
  <c r="A8091" i="1"/>
  <c r="A8090" i="1"/>
  <c r="A8089" i="1"/>
  <c r="A8088" i="1"/>
  <c r="A8087" i="1"/>
  <c r="A8086" i="1"/>
  <c r="A8085" i="1"/>
  <c r="A8084" i="1"/>
  <c r="A8083" i="1"/>
  <c r="A8082" i="1"/>
  <c r="A8081" i="1"/>
  <c r="A8080" i="1"/>
  <c r="A8079" i="1"/>
  <c r="A8078" i="1"/>
  <c r="A8077" i="1"/>
  <c r="A8076" i="1"/>
  <c r="A8075" i="1"/>
  <c r="A8074" i="1"/>
  <c r="A8073" i="1"/>
  <c r="A8072" i="1"/>
  <c r="A8071" i="1"/>
  <c r="A8070" i="1"/>
  <c r="A8069" i="1"/>
  <c r="A8068" i="1"/>
  <c r="A8067" i="1"/>
  <c r="A8066" i="1"/>
  <c r="A8065" i="1"/>
  <c r="A8064" i="1"/>
  <c r="A8063" i="1"/>
  <c r="A8062" i="1"/>
  <c r="A8061" i="1"/>
  <c r="A8060" i="1"/>
  <c r="A8059" i="1"/>
  <c r="A8058" i="1"/>
  <c r="A8057" i="1"/>
  <c r="A8056" i="1"/>
  <c r="A8055" i="1"/>
  <c r="A8054" i="1"/>
  <c r="A8053" i="1"/>
  <c r="A8052" i="1"/>
  <c r="A8051" i="1"/>
  <c r="A8050" i="1"/>
  <c r="A8049" i="1"/>
  <c r="A8048" i="1"/>
  <c r="A8047" i="1"/>
  <c r="A8046" i="1"/>
  <c r="A8045" i="1"/>
  <c r="A8044" i="1"/>
  <c r="A8043" i="1"/>
  <c r="A8042" i="1"/>
  <c r="A8041" i="1"/>
  <c r="A8040" i="1"/>
  <c r="A8039" i="1"/>
  <c r="A8038" i="1"/>
  <c r="A8037" i="1"/>
  <c r="A8036" i="1"/>
  <c r="A8035" i="1"/>
  <c r="A8034" i="1"/>
  <c r="A8033" i="1"/>
  <c r="A8032" i="1"/>
  <c r="A8031" i="1"/>
  <c r="A8030" i="1"/>
  <c r="A8029" i="1"/>
  <c r="A8028" i="1"/>
  <c r="A8027" i="1"/>
  <c r="A8026" i="1"/>
  <c r="A8025" i="1"/>
  <c r="A8024" i="1"/>
  <c r="A8023" i="1"/>
  <c r="A8022" i="1"/>
  <c r="A8021" i="1"/>
  <c r="A8020" i="1"/>
  <c r="A8019" i="1"/>
  <c r="A8018" i="1"/>
  <c r="A8017" i="1"/>
  <c r="A8016" i="1"/>
  <c r="A8015" i="1"/>
  <c r="A8014" i="1"/>
  <c r="A8013" i="1"/>
  <c r="A8012" i="1"/>
  <c r="A8011" i="1"/>
  <c r="A8010" i="1"/>
  <c r="A8009" i="1"/>
  <c r="A8008" i="1"/>
  <c r="A8007" i="1"/>
  <c r="A8006" i="1"/>
  <c r="A8005" i="1"/>
  <c r="A8004" i="1"/>
  <c r="A8003" i="1"/>
  <c r="A8002" i="1"/>
  <c r="A8001" i="1"/>
  <c r="A8000" i="1"/>
  <c r="A7999" i="1"/>
  <c r="A7998" i="1"/>
  <c r="A7997" i="1"/>
  <c r="A7996" i="1"/>
  <c r="A7995" i="1"/>
  <c r="A7994" i="1"/>
  <c r="A7993" i="1"/>
  <c r="A7992" i="1"/>
  <c r="A7991" i="1"/>
  <c r="A7990" i="1"/>
  <c r="A7989" i="1"/>
  <c r="A7988" i="1"/>
  <c r="A7987" i="1"/>
  <c r="A7986" i="1"/>
  <c r="A7985" i="1"/>
  <c r="A7984" i="1"/>
  <c r="A7983" i="1"/>
  <c r="A7982" i="1"/>
  <c r="A7981" i="1"/>
  <c r="A7980" i="1"/>
  <c r="A7979" i="1"/>
  <c r="A7978" i="1"/>
  <c r="A7977" i="1"/>
  <c r="A7976" i="1"/>
  <c r="A7975" i="1"/>
  <c r="A7974" i="1"/>
  <c r="A7973" i="1"/>
  <c r="A7972" i="1"/>
  <c r="A7971" i="1"/>
  <c r="A7970" i="1"/>
  <c r="A7969" i="1"/>
  <c r="A7968" i="1"/>
  <c r="A7967" i="1"/>
  <c r="A7966" i="1"/>
  <c r="A7965" i="1"/>
  <c r="A7964" i="1"/>
  <c r="A7963" i="1"/>
  <c r="A7962" i="1"/>
  <c r="A7961" i="1"/>
  <c r="A7960" i="1"/>
  <c r="A7959" i="1"/>
  <c r="A7958" i="1"/>
  <c r="A7957" i="1"/>
  <c r="A7956" i="1"/>
  <c r="A7955" i="1"/>
  <c r="A7954" i="1"/>
  <c r="A7953" i="1"/>
  <c r="A7952" i="1"/>
  <c r="A7951" i="1"/>
  <c r="A7950" i="1"/>
  <c r="A7949" i="1"/>
  <c r="A7948" i="1"/>
  <c r="A7947" i="1"/>
  <c r="A7946" i="1"/>
  <c r="A7945" i="1"/>
  <c r="A7944" i="1"/>
  <c r="A7943" i="1"/>
  <c r="A7942" i="1"/>
  <c r="A7941" i="1"/>
  <c r="A7940" i="1"/>
  <c r="A7939" i="1"/>
  <c r="A7938" i="1"/>
  <c r="A7937" i="1"/>
  <c r="A7936" i="1"/>
  <c r="A7935" i="1"/>
  <c r="A7934" i="1"/>
  <c r="A7933" i="1"/>
  <c r="A7932" i="1"/>
  <c r="A7931" i="1"/>
  <c r="A7930" i="1"/>
  <c r="A7929" i="1"/>
  <c r="A7928" i="1"/>
  <c r="A7927" i="1"/>
  <c r="A7926" i="1"/>
  <c r="A7925" i="1"/>
  <c r="A7924" i="1"/>
  <c r="A7923" i="1"/>
  <c r="A7922" i="1"/>
  <c r="A7921" i="1"/>
  <c r="A7920" i="1"/>
  <c r="A7919" i="1"/>
  <c r="A7918" i="1"/>
  <c r="A7917" i="1"/>
  <c r="A7916" i="1"/>
  <c r="A7915" i="1"/>
  <c r="A7914" i="1"/>
  <c r="A7913" i="1"/>
  <c r="A7912" i="1"/>
  <c r="A7911" i="1"/>
  <c r="A7910" i="1"/>
  <c r="A7909" i="1"/>
  <c r="A7908" i="1"/>
  <c r="A7907" i="1"/>
  <c r="A7906" i="1"/>
  <c r="A7905" i="1"/>
  <c r="A7904" i="1"/>
  <c r="A7903" i="1"/>
  <c r="A7902" i="1"/>
  <c r="A7901" i="1"/>
  <c r="A7900" i="1"/>
  <c r="A7899" i="1"/>
  <c r="A7898" i="1"/>
  <c r="A7897" i="1"/>
  <c r="A7896" i="1"/>
  <c r="A7895" i="1"/>
  <c r="A7894" i="1"/>
  <c r="A7893" i="1"/>
  <c r="A7892" i="1"/>
  <c r="A7891" i="1"/>
  <c r="A7890" i="1"/>
  <c r="A7889" i="1"/>
  <c r="A7888" i="1"/>
  <c r="A7887" i="1"/>
  <c r="A7886" i="1"/>
  <c r="A7885" i="1"/>
  <c r="A7884" i="1"/>
  <c r="A7883" i="1"/>
  <c r="A7882" i="1"/>
  <c r="A7881" i="1"/>
  <c r="A7880" i="1"/>
  <c r="A7879" i="1"/>
  <c r="A7878" i="1"/>
  <c r="A7877" i="1"/>
  <c r="A7876" i="1"/>
  <c r="A7875" i="1"/>
  <c r="A7874" i="1"/>
  <c r="A7873" i="1"/>
  <c r="A7872" i="1"/>
  <c r="A7871" i="1"/>
  <c r="A7870" i="1"/>
  <c r="A7869" i="1"/>
  <c r="A7868" i="1"/>
  <c r="A7867" i="1"/>
  <c r="A7866" i="1"/>
  <c r="A7865" i="1"/>
  <c r="A7864" i="1"/>
  <c r="A7863" i="1"/>
  <c r="A7862" i="1"/>
  <c r="A7861" i="1"/>
  <c r="A7860" i="1"/>
  <c r="A7859" i="1"/>
  <c r="A7858" i="1"/>
  <c r="A7857" i="1"/>
  <c r="A7856" i="1"/>
  <c r="A7855" i="1"/>
  <c r="A7854" i="1"/>
  <c r="A7853" i="1"/>
  <c r="A7852" i="1"/>
  <c r="A7851" i="1"/>
  <c r="A7850" i="1"/>
  <c r="A7849" i="1"/>
  <c r="A7848" i="1"/>
  <c r="A7847" i="1"/>
  <c r="A7846" i="1"/>
  <c r="A7845" i="1"/>
  <c r="A7844" i="1"/>
  <c r="A7843" i="1"/>
  <c r="A7842" i="1"/>
  <c r="A7841" i="1"/>
  <c r="A7840" i="1"/>
  <c r="A7839" i="1"/>
  <c r="A7838" i="1"/>
  <c r="A7837" i="1"/>
  <c r="A7836" i="1"/>
  <c r="A7835" i="1"/>
  <c r="A7834" i="1"/>
  <c r="A7833" i="1"/>
  <c r="A7832" i="1"/>
  <c r="A7831" i="1"/>
  <c r="A7830" i="1"/>
  <c r="A7829" i="1"/>
  <c r="A7828" i="1"/>
  <c r="A7827" i="1"/>
  <c r="A7826" i="1"/>
  <c r="A7825" i="1"/>
  <c r="A7824" i="1"/>
  <c r="A7823" i="1"/>
  <c r="A7822" i="1"/>
  <c r="A7821" i="1"/>
  <c r="A7820" i="1"/>
  <c r="A7819" i="1"/>
  <c r="A7818" i="1"/>
  <c r="A7817" i="1"/>
  <c r="A7816" i="1"/>
  <c r="A7815" i="1"/>
  <c r="A7814" i="1"/>
  <c r="A7813" i="1"/>
  <c r="A7812" i="1"/>
  <c r="A7811" i="1"/>
  <c r="A7810" i="1"/>
  <c r="A7809" i="1"/>
  <c r="A7808" i="1"/>
  <c r="A7807" i="1"/>
  <c r="A7806" i="1"/>
  <c r="A7805" i="1"/>
  <c r="A7804" i="1"/>
  <c r="A7803" i="1"/>
  <c r="A7802" i="1"/>
  <c r="A7801" i="1"/>
  <c r="A7800" i="1"/>
  <c r="A7799" i="1"/>
  <c r="A7798" i="1"/>
  <c r="A7797" i="1"/>
  <c r="A7796" i="1"/>
  <c r="A7795" i="1"/>
  <c r="A7794" i="1"/>
  <c r="A7793" i="1"/>
  <c r="A7792" i="1"/>
  <c r="A7791" i="1"/>
  <c r="A7790" i="1"/>
  <c r="A7789" i="1"/>
  <c r="A7788" i="1"/>
  <c r="A7787" i="1"/>
  <c r="A7786" i="1"/>
  <c r="A7785" i="1"/>
  <c r="A7784" i="1"/>
  <c r="A7783" i="1"/>
  <c r="A7782" i="1"/>
  <c r="A7781" i="1"/>
  <c r="A7780" i="1"/>
  <c r="A7779" i="1"/>
  <c r="A7778" i="1"/>
  <c r="A7777" i="1"/>
  <c r="A7776" i="1"/>
  <c r="A7775" i="1"/>
  <c r="A7774" i="1"/>
  <c r="A7773" i="1"/>
  <c r="A7772" i="1"/>
  <c r="A7771" i="1"/>
  <c r="A7770" i="1"/>
  <c r="A7769" i="1"/>
  <c r="A7768" i="1"/>
  <c r="A7767" i="1"/>
  <c r="A7766" i="1"/>
  <c r="A7765" i="1"/>
  <c r="A7764" i="1"/>
  <c r="A7763" i="1"/>
  <c r="A7762" i="1"/>
  <c r="A7761" i="1"/>
  <c r="A7760" i="1"/>
  <c r="A7759" i="1"/>
  <c r="A7758" i="1"/>
  <c r="A7757" i="1"/>
  <c r="A7756" i="1"/>
  <c r="A7755" i="1"/>
  <c r="A7754" i="1"/>
  <c r="A7753" i="1"/>
  <c r="A7752" i="1"/>
  <c r="A7751" i="1"/>
  <c r="A7750" i="1"/>
  <c r="A7749" i="1"/>
  <c r="A7748" i="1"/>
  <c r="A7747" i="1"/>
  <c r="A7746" i="1"/>
  <c r="A7745" i="1"/>
  <c r="A7744" i="1"/>
  <c r="A7743" i="1"/>
  <c r="A7742" i="1"/>
  <c r="A7741" i="1"/>
  <c r="A7740" i="1"/>
  <c r="A7739" i="1"/>
  <c r="A7738" i="1"/>
  <c r="A7737" i="1"/>
  <c r="A7736" i="1"/>
  <c r="A7735" i="1"/>
  <c r="A7734" i="1"/>
  <c r="A7733" i="1"/>
  <c r="A7732" i="1"/>
  <c r="A7731" i="1"/>
  <c r="A7730" i="1"/>
  <c r="A7729" i="1"/>
  <c r="A7728" i="1"/>
  <c r="A7727" i="1"/>
  <c r="A7726" i="1"/>
  <c r="A7725" i="1"/>
  <c r="A7724" i="1"/>
  <c r="A7723" i="1"/>
  <c r="A7722" i="1"/>
  <c r="A7721" i="1"/>
  <c r="A7720" i="1"/>
  <c r="A7719" i="1"/>
  <c r="A7718" i="1"/>
  <c r="A7717" i="1"/>
  <c r="A7716" i="1"/>
  <c r="A7715" i="1"/>
  <c r="A7714" i="1"/>
  <c r="A7713" i="1"/>
  <c r="A7712" i="1"/>
  <c r="A7711" i="1"/>
  <c r="A7710" i="1"/>
  <c r="A7709" i="1"/>
  <c r="A7708" i="1"/>
  <c r="A7707" i="1"/>
  <c r="A7706" i="1"/>
  <c r="A7705" i="1"/>
  <c r="A7704" i="1"/>
  <c r="A7703" i="1"/>
  <c r="A7702" i="1"/>
  <c r="A7701" i="1"/>
  <c r="A7700" i="1"/>
  <c r="A7699" i="1"/>
  <c r="A7698" i="1"/>
  <c r="A7697" i="1"/>
  <c r="A7696" i="1"/>
  <c r="A7695" i="1"/>
  <c r="A7694" i="1"/>
  <c r="A7693" i="1"/>
  <c r="A7692" i="1"/>
  <c r="A7691" i="1"/>
  <c r="A7690" i="1"/>
  <c r="A7689" i="1"/>
  <c r="A7688" i="1"/>
  <c r="A7687" i="1"/>
  <c r="A7686" i="1"/>
  <c r="A7685" i="1"/>
  <c r="A7684" i="1"/>
  <c r="A7683" i="1"/>
  <c r="A7682" i="1"/>
  <c r="A7681" i="1"/>
  <c r="A7680" i="1"/>
  <c r="A7679" i="1"/>
  <c r="A7678" i="1"/>
  <c r="A7677" i="1"/>
  <c r="A7676" i="1"/>
  <c r="A7675" i="1"/>
  <c r="A7674" i="1"/>
  <c r="A7673" i="1"/>
  <c r="A7672" i="1"/>
  <c r="A7671" i="1"/>
  <c r="A7670" i="1"/>
  <c r="A7669" i="1"/>
  <c r="A7668" i="1"/>
  <c r="A7667" i="1"/>
  <c r="A7666" i="1"/>
  <c r="A7665" i="1"/>
  <c r="A7664" i="1"/>
  <c r="A7663" i="1"/>
  <c r="A7662" i="1"/>
  <c r="A7661" i="1"/>
  <c r="A7660" i="1"/>
  <c r="A7659" i="1"/>
  <c r="A7658" i="1"/>
  <c r="A7657" i="1"/>
  <c r="A7656" i="1"/>
  <c r="A7655" i="1"/>
  <c r="A7654" i="1"/>
  <c r="A7653" i="1"/>
  <c r="A7652" i="1"/>
  <c r="A7651" i="1"/>
  <c r="A7650" i="1"/>
  <c r="A7649" i="1"/>
  <c r="A7648" i="1"/>
  <c r="A7647" i="1"/>
  <c r="A7646" i="1"/>
  <c r="A7645" i="1"/>
  <c r="A7644" i="1"/>
  <c r="A7643" i="1"/>
  <c r="A7642" i="1"/>
  <c r="A7641" i="1"/>
  <c r="A7640" i="1"/>
  <c r="A7639" i="1"/>
  <c r="A7638" i="1"/>
  <c r="A7637" i="1"/>
  <c r="A7636" i="1"/>
  <c r="A7635" i="1"/>
  <c r="A7634" i="1"/>
  <c r="A7633" i="1"/>
  <c r="A7632" i="1"/>
  <c r="A7631" i="1"/>
  <c r="A7630" i="1"/>
  <c r="A7629" i="1"/>
  <c r="A7628" i="1"/>
  <c r="A7627" i="1"/>
  <c r="A7626" i="1"/>
  <c r="A7625" i="1"/>
  <c r="A7624" i="1"/>
  <c r="A7623" i="1"/>
  <c r="A7622" i="1"/>
  <c r="A7621" i="1"/>
  <c r="A7620" i="1"/>
  <c r="A7619" i="1"/>
  <c r="A7618" i="1"/>
  <c r="A7617" i="1"/>
  <c r="A7616" i="1"/>
  <c r="A7615" i="1"/>
  <c r="A7614" i="1"/>
  <c r="A7613" i="1"/>
  <c r="A7612" i="1"/>
  <c r="A7611" i="1"/>
  <c r="A7610" i="1"/>
  <c r="A7609" i="1"/>
  <c r="A7608" i="1"/>
  <c r="A7607" i="1"/>
  <c r="A7606" i="1"/>
  <c r="A7605" i="1"/>
  <c r="A7604" i="1"/>
  <c r="A7603" i="1"/>
  <c r="A7602" i="1"/>
  <c r="A7601" i="1"/>
  <c r="A7600" i="1"/>
  <c r="A7599" i="1"/>
  <c r="A7598" i="1"/>
  <c r="A7597" i="1"/>
  <c r="A7596" i="1"/>
  <c r="A7595" i="1"/>
  <c r="A7594" i="1"/>
  <c r="A7593" i="1"/>
  <c r="A7592" i="1"/>
  <c r="A7591" i="1"/>
  <c r="A7590" i="1"/>
  <c r="A7589" i="1"/>
  <c r="A7588" i="1"/>
  <c r="A7587" i="1"/>
  <c r="A7586" i="1"/>
  <c r="A7585" i="1"/>
  <c r="A7584" i="1"/>
  <c r="A7583" i="1"/>
  <c r="A7582" i="1"/>
  <c r="A7581" i="1"/>
  <c r="A7580" i="1"/>
  <c r="A7579" i="1"/>
  <c r="A7578" i="1"/>
  <c r="A7577" i="1"/>
  <c r="A7576" i="1"/>
  <c r="A7575" i="1"/>
  <c r="A7574" i="1"/>
  <c r="A7573" i="1"/>
  <c r="A7572" i="1"/>
  <c r="A7571" i="1"/>
  <c r="A7570" i="1"/>
  <c r="A7569" i="1"/>
  <c r="A7568" i="1"/>
  <c r="A7567" i="1"/>
  <c r="A7566" i="1"/>
  <c r="A7565" i="1"/>
  <c r="A7564" i="1"/>
  <c r="A7563" i="1"/>
  <c r="A7562" i="1"/>
  <c r="A7561" i="1"/>
  <c r="A7560" i="1"/>
  <c r="A7559" i="1"/>
  <c r="A7558" i="1"/>
  <c r="A7557" i="1"/>
  <c r="A7556" i="1"/>
  <c r="A7555" i="1"/>
  <c r="A7554" i="1"/>
  <c r="A7553" i="1"/>
  <c r="A7552" i="1"/>
  <c r="A7551" i="1"/>
  <c r="A7550" i="1"/>
  <c r="A7549" i="1"/>
  <c r="A7548" i="1"/>
  <c r="A7547" i="1"/>
  <c r="A7546" i="1"/>
  <c r="A7545" i="1"/>
  <c r="A7544" i="1"/>
  <c r="A7543" i="1"/>
  <c r="A7542" i="1"/>
  <c r="A7541" i="1"/>
  <c r="A7540" i="1"/>
  <c r="A7539" i="1"/>
  <c r="A7538" i="1"/>
  <c r="A7537" i="1"/>
  <c r="A7536" i="1"/>
  <c r="A7535" i="1"/>
  <c r="A7534" i="1"/>
  <c r="A7533" i="1"/>
  <c r="A7532" i="1"/>
  <c r="A7531" i="1"/>
  <c r="A7530" i="1"/>
  <c r="A7529" i="1"/>
  <c r="A7528" i="1"/>
  <c r="A7527" i="1"/>
  <c r="A7526" i="1"/>
  <c r="A7525" i="1"/>
  <c r="A7524" i="1"/>
  <c r="A7523" i="1"/>
  <c r="A7522" i="1"/>
  <c r="A7521" i="1"/>
  <c r="A7520" i="1"/>
  <c r="A7519" i="1"/>
  <c r="A7518" i="1"/>
  <c r="A7517" i="1"/>
  <c r="A7516" i="1"/>
  <c r="A7515" i="1"/>
  <c r="A7514" i="1"/>
  <c r="A7513" i="1"/>
  <c r="A7512" i="1"/>
  <c r="A7511" i="1"/>
  <c r="A7510" i="1"/>
  <c r="A7509" i="1"/>
  <c r="A7508" i="1"/>
  <c r="A7507" i="1"/>
  <c r="A7506" i="1"/>
  <c r="A7505" i="1"/>
  <c r="A7504" i="1"/>
  <c r="A7503" i="1"/>
  <c r="A7502" i="1"/>
  <c r="A7501" i="1"/>
  <c r="A7500" i="1"/>
  <c r="A7499" i="1"/>
  <c r="A7498" i="1"/>
  <c r="A7497" i="1"/>
  <c r="A7496" i="1"/>
  <c r="A7495" i="1"/>
  <c r="A7494" i="1"/>
  <c r="A7493" i="1"/>
  <c r="A7492" i="1"/>
  <c r="A7491" i="1"/>
  <c r="A7490" i="1"/>
  <c r="A7489" i="1"/>
  <c r="A7488" i="1"/>
  <c r="A7487" i="1"/>
  <c r="A7486" i="1"/>
  <c r="A7485" i="1"/>
  <c r="A7484" i="1"/>
  <c r="A7483" i="1"/>
  <c r="A7482" i="1"/>
  <c r="A7481" i="1"/>
  <c r="A7480" i="1"/>
  <c r="A7479" i="1"/>
  <c r="A7478" i="1"/>
  <c r="A7477" i="1"/>
  <c r="A7476" i="1"/>
  <c r="A7475" i="1"/>
  <c r="A7474" i="1"/>
  <c r="A7473" i="1"/>
  <c r="A7472" i="1"/>
  <c r="A7471" i="1"/>
  <c r="A7470" i="1"/>
  <c r="A7469" i="1"/>
  <c r="A7468" i="1"/>
  <c r="A7467" i="1"/>
  <c r="A7466" i="1"/>
  <c r="A7465" i="1"/>
  <c r="A7464" i="1"/>
  <c r="A7463" i="1"/>
  <c r="A7462" i="1"/>
  <c r="A7461" i="1"/>
  <c r="A7460" i="1"/>
  <c r="A7459" i="1"/>
  <c r="A7458" i="1"/>
  <c r="A7457" i="1"/>
  <c r="A7456" i="1"/>
  <c r="A7455" i="1"/>
  <c r="A7454" i="1"/>
  <c r="A7453" i="1"/>
  <c r="A7452" i="1"/>
  <c r="A7451" i="1"/>
  <c r="A7450" i="1"/>
  <c r="A7449" i="1"/>
  <c r="A7448" i="1"/>
  <c r="A7447" i="1"/>
  <c r="A7446" i="1"/>
  <c r="A7445" i="1"/>
  <c r="A7444" i="1"/>
  <c r="A7443" i="1"/>
  <c r="A7442" i="1"/>
  <c r="A7441" i="1"/>
  <c r="A7440" i="1"/>
  <c r="A7439" i="1"/>
  <c r="A7438" i="1"/>
  <c r="A7437" i="1"/>
  <c r="A7436" i="1"/>
  <c r="A7435" i="1"/>
  <c r="A7434" i="1"/>
  <c r="A7433" i="1"/>
  <c r="A7432" i="1"/>
  <c r="A7431" i="1"/>
  <c r="A7430" i="1"/>
  <c r="A7429" i="1"/>
  <c r="A7428" i="1"/>
  <c r="A7427" i="1"/>
  <c r="A7426" i="1"/>
  <c r="A7425" i="1"/>
  <c r="A7424" i="1"/>
  <c r="A7423" i="1"/>
  <c r="A7422" i="1"/>
  <c r="A7421" i="1"/>
  <c r="A7420" i="1"/>
  <c r="A7419" i="1"/>
  <c r="A7418" i="1"/>
  <c r="A7417" i="1"/>
  <c r="A7416" i="1"/>
  <c r="A7415" i="1"/>
  <c r="A7414" i="1"/>
  <c r="A7413" i="1"/>
  <c r="A7412" i="1"/>
  <c r="A7411" i="1"/>
  <c r="A7410" i="1"/>
  <c r="A7409" i="1"/>
  <c r="A7408" i="1"/>
  <c r="A7407" i="1"/>
  <c r="A7406" i="1"/>
  <c r="A7405" i="1"/>
  <c r="A7404" i="1"/>
  <c r="A7403" i="1"/>
  <c r="A7402" i="1"/>
  <c r="A7401" i="1"/>
  <c r="A7400" i="1"/>
  <c r="A7399" i="1"/>
  <c r="A7398" i="1"/>
  <c r="A7397" i="1"/>
  <c r="A7396" i="1"/>
  <c r="A7395" i="1"/>
  <c r="A7394" i="1"/>
  <c r="A7393" i="1"/>
  <c r="A7392" i="1"/>
  <c r="A7391" i="1"/>
  <c r="A7390" i="1"/>
  <c r="A7389" i="1"/>
  <c r="A7388" i="1"/>
  <c r="A7387" i="1"/>
  <c r="A7386" i="1"/>
  <c r="A7385" i="1"/>
  <c r="A7384" i="1"/>
  <c r="A7383" i="1"/>
  <c r="A7382" i="1"/>
  <c r="A7381" i="1"/>
  <c r="A7380" i="1"/>
  <c r="A7379" i="1"/>
  <c r="A7378" i="1"/>
  <c r="A7377" i="1"/>
  <c r="A7376" i="1"/>
  <c r="A7375" i="1"/>
  <c r="A7374" i="1"/>
  <c r="A7373" i="1"/>
  <c r="A7372" i="1"/>
  <c r="A7371" i="1"/>
  <c r="A7370" i="1"/>
  <c r="A7369" i="1"/>
  <c r="A7368" i="1"/>
  <c r="A7367" i="1"/>
  <c r="A7366" i="1"/>
  <c r="A7365" i="1"/>
  <c r="A7364" i="1"/>
  <c r="A7363" i="1"/>
  <c r="A7362" i="1"/>
  <c r="A7361" i="1"/>
  <c r="A7360" i="1"/>
  <c r="A7359" i="1"/>
  <c r="A7358" i="1"/>
  <c r="A7357" i="1"/>
  <c r="A7356" i="1"/>
  <c r="A7355" i="1"/>
  <c r="A7354" i="1"/>
  <c r="A7353" i="1"/>
  <c r="A7352" i="1"/>
  <c r="A7351" i="1"/>
  <c r="A7350" i="1"/>
  <c r="A7349" i="1"/>
  <c r="A7348" i="1"/>
  <c r="A7347" i="1"/>
  <c r="A7346" i="1"/>
  <c r="A7345" i="1"/>
  <c r="A7344" i="1"/>
  <c r="A7343" i="1"/>
  <c r="A7342" i="1"/>
  <c r="A7341" i="1"/>
  <c r="A7340" i="1"/>
  <c r="A7339" i="1"/>
  <c r="A7338" i="1"/>
  <c r="A7337" i="1"/>
  <c r="A7336" i="1"/>
  <c r="A7335" i="1"/>
  <c r="A7334" i="1"/>
  <c r="A7333" i="1"/>
  <c r="A7332" i="1"/>
  <c r="A7331" i="1"/>
  <c r="A7330" i="1"/>
  <c r="A7329" i="1"/>
  <c r="A7328" i="1"/>
  <c r="A7327" i="1"/>
  <c r="A7326" i="1"/>
  <c r="A7325" i="1"/>
  <c r="A7324" i="1"/>
  <c r="A7323" i="1"/>
  <c r="A7322" i="1"/>
  <c r="A7321" i="1"/>
  <c r="A7320" i="1"/>
  <c r="A7319" i="1"/>
  <c r="A7318" i="1"/>
  <c r="A7317" i="1"/>
  <c r="A7316" i="1"/>
  <c r="A7315" i="1"/>
  <c r="A7314" i="1"/>
  <c r="A7313" i="1"/>
  <c r="A7312" i="1"/>
  <c r="A7311" i="1"/>
  <c r="A7310" i="1"/>
  <c r="A7309" i="1"/>
  <c r="A7308" i="1"/>
  <c r="A7307" i="1"/>
  <c r="A7306" i="1"/>
  <c r="A7305" i="1"/>
  <c r="A7304" i="1"/>
  <c r="A7303" i="1"/>
  <c r="A7302" i="1"/>
  <c r="A7301" i="1"/>
  <c r="A7300" i="1"/>
  <c r="A7299" i="1"/>
  <c r="A7298" i="1"/>
  <c r="A7297" i="1"/>
  <c r="A7296" i="1"/>
  <c r="A7295" i="1"/>
  <c r="A7294" i="1"/>
  <c r="A7293" i="1"/>
  <c r="A7292" i="1"/>
  <c r="A7291" i="1"/>
  <c r="A7290" i="1"/>
  <c r="A7289" i="1"/>
  <c r="A7288" i="1"/>
  <c r="A7287" i="1"/>
  <c r="A7286" i="1"/>
  <c r="A7285" i="1"/>
  <c r="A7284" i="1"/>
  <c r="A7283" i="1"/>
  <c r="A7282" i="1"/>
  <c r="A7281" i="1"/>
  <c r="A7280" i="1"/>
  <c r="A7279" i="1"/>
  <c r="A7278" i="1"/>
  <c r="A7277" i="1"/>
  <c r="A7276" i="1"/>
  <c r="A7275" i="1"/>
  <c r="A7274" i="1"/>
  <c r="A7273" i="1"/>
  <c r="A7272" i="1"/>
  <c r="A7271" i="1"/>
  <c r="A7270" i="1"/>
  <c r="A7269" i="1"/>
  <c r="A7268" i="1"/>
  <c r="A7267" i="1"/>
  <c r="A7266" i="1"/>
  <c r="A7265" i="1"/>
  <c r="A7264" i="1"/>
  <c r="A7263" i="1"/>
  <c r="A7262" i="1"/>
  <c r="A7261" i="1"/>
  <c r="A7260" i="1"/>
  <c r="A7259" i="1"/>
  <c r="A7258" i="1"/>
  <c r="A7257" i="1"/>
  <c r="A7256" i="1"/>
  <c r="A7255" i="1"/>
  <c r="A7254" i="1"/>
  <c r="A7253" i="1"/>
  <c r="A7252" i="1"/>
  <c r="A7251" i="1"/>
  <c r="A7250" i="1"/>
  <c r="A7249" i="1"/>
  <c r="A7248" i="1"/>
  <c r="A7247" i="1"/>
  <c r="A7246" i="1"/>
  <c r="A7245" i="1"/>
  <c r="A7244" i="1"/>
  <c r="A7243" i="1"/>
  <c r="A7242" i="1"/>
  <c r="A7241" i="1"/>
  <c r="A7240" i="1"/>
  <c r="A7239" i="1"/>
  <c r="A7238" i="1"/>
  <c r="A7237" i="1"/>
  <c r="A7236" i="1"/>
  <c r="A7235" i="1"/>
  <c r="A7234" i="1"/>
  <c r="A7233" i="1"/>
  <c r="A7232" i="1"/>
  <c r="A7231" i="1"/>
  <c r="A7230" i="1"/>
  <c r="A7229" i="1"/>
  <c r="A7228" i="1"/>
  <c r="A7227" i="1"/>
  <c r="A7226" i="1"/>
  <c r="A7225" i="1"/>
  <c r="A7224" i="1"/>
  <c r="A7223" i="1"/>
  <c r="A7222" i="1"/>
  <c r="A7221" i="1"/>
  <c r="A7220" i="1"/>
  <c r="A7219" i="1"/>
  <c r="A7218" i="1"/>
  <c r="A7217" i="1"/>
  <c r="A7216" i="1"/>
  <c r="A7215" i="1"/>
  <c r="A7214" i="1"/>
  <c r="A7213" i="1"/>
  <c r="A7212" i="1"/>
  <c r="A7211" i="1"/>
  <c r="A7210" i="1"/>
  <c r="A7209" i="1"/>
  <c r="A7208" i="1"/>
  <c r="A7207" i="1"/>
  <c r="A7206" i="1"/>
  <c r="A7205" i="1"/>
  <c r="A7204" i="1"/>
  <c r="A7203" i="1"/>
  <c r="A7202" i="1"/>
  <c r="A7201" i="1"/>
  <c r="A7200" i="1"/>
  <c r="A7199" i="1"/>
  <c r="A7198" i="1"/>
  <c r="A7197" i="1"/>
  <c r="A7196" i="1"/>
  <c r="A7195" i="1"/>
  <c r="A7194" i="1"/>
  <c r="A7193" i="1"/>
  <c r="A7192" i="1"/>
  <c r="A7191" i="1"/>
  <c r="A7190" i="1"/>
  <c r="A7189" i="1"/>
  <c r="A7188" i="1"/>
  <c r="A7187" i="1"/>
  <c r="A7186" i="1"/>
  <c r="A7185" i="1"/>
  <c r="A7184" i="1"/>
  <c r="A7183" i="1"/>
  <c r="A7182" i="1"/>
  <c r="A7181" i="1"/>
  <c r="A7180" i="1"/>
  <c r="A7179" i="1"/>
  <c r="A7178" i="1"/>
  <c r="A7177" i="1"/>
  <c r="A7176" i="1"/>
  <c r="A7175" i="1"/>
  <c r="A7174" i="1"/>
  <c r="A7173" i="1"/>
  <c r="A7172" i="1"/>
  <c r="A7171" i="1"/>
  <c r="A7170" i="1"/>
  <c r="A7169" i="1"/>
  <c r="A7168" i="1"/>
  <c r="A7167" i="1"/>
  <c r="A7166" i="1"/>
  <c r="A7165" i="1"/>
  <c r="A7164" i="1"/>
  <c r="A7163" i="1"/>
  <c r="A7162" i="1"/>
  <c r="A7161" i="1"/>
  <c r="A7160" i="1"/>
  <c r="A7159" i="1"/>
  <c r="A7158" i="1"/>
  <c r="A7157" i="1"/>
  <c r="A7156" i="1"/>
  <c r="A7155" i="1"/>
  <c r="A7154" i="1"/>
  <c r="A7153" i="1"/>
  <c r="A7152" i="1"/>
  <c r="A7151" i="1"/>
  <c r="A7150" i="1"/>
  <c r="A7149" i="1"/>
  <c r="A7148" i="1"/>
  <c r="A7147" i="1"/>
  <c r="A7146" i="1"/>
  <c r="A7145" i="1"/>
  <c r="A7144" i="1"/>
  <c r="A7143" i="1"/>
  <c r="A7142" i="1"/>
  <c r="A7141" i="1"/>
  <c r="A7140" i="1"/>
  <c r="A7139" i="1"/>
  <c r="A7138" i="1"/>
  <c r="A7137" i="1"/>
  <c r="A7136" i="1"/>
  <c r="A7135" i="1"/>
  <c r="A7134" i="1"/>
  <c r="A7133" i="1"/>
  <c r="A7132" i="1"/>
  <c r="A7131" i="1"/>
  <c r="A7130" i="1"/>
  <c r="A7129" i="1"/>
  <c r="A7128" i="1"/>
  <c r="A7127" i="1"/>
  <c r="A7126" i="1"/>
  <c r="A7125" i="1"/>
  <c r="A7124" i="1"/>
  <c r="A7123" i="1"/>
  <c r="A7122" i="1"/>
  <c r="A7121" i="1"/>
  <c r="A7120" i="1"/>
  <c r="A7119" i="1"/>
  <c r="A7118" i="1"/>
  <c r="A7117" i="1"/>
  <c r="A7116" i="1"/>
  <c r="A7115" i="1"/>
  <c r="A7114" i="1"/>
  <c r="A7113" i="1"/>
  <c r="A7112" i="1"/>
  <c r="A7111" i="1"/>
  <c r="A7110" i="1"/>
  <c r="A7109" i="1"/>
  <c r="A7108" i="1"/>
  <c r="A7107" i="1"/>
  <c r="A7106" i="1"/>
  <c r="A7105" i="1"/>
  <c r="A7104" i="1"/>
  <c r="A7103" i="1"/>
  <c r="A7102" i="1"/>
  <c r="A7101" i="1"/>
  <c r="A7100" i="1"/>
  <c r="A7099" i="1"/>
  <c r="A7098" i="1"/>
  <c r="A7097" i="1"/>
  <c r="A7096" i="1"/>
  <c r="A7095" i="1"/>
  <c r="A7094" i="1"/>
  <c r="A7093" i="1"/>
  <c r="A7092" i="1"/>
  <c r="A7091" i="1"/>
  <c r="A7090" i="1"/>
  <c r="A7089" i="1"/>
  <c r="A7088" i="1"/>
  <c r="A7087" i="1"/>
  <c r="A7086" i="1"/>
  <c r="A7085" i="1"/>
  <c r="A7084" i="1"/>
  <c r="A7083" i="1"/>
  <c r="A7082" i="1"/>
  <c r="A7081" i="1"/>
  <c r="A7080" i="1"/>
  <c r="A7079" i="1"/>
  <c r="A7078" i="1"/>
  <c r="A7077" i="1"/>
  <c r="A7076" i="1"/>
  <c r="A7075" i="1"/>
  <c r="A7074" i="1"/>
  <c r="A7073" i="1"/>
  <c r="A7072" i="1"/>
  <c r="A7071" i="1"/>
  <c r="A7070" i="1"/>
  <c r="A7069" i="1"/>
  <c r="A7068" i="1"/>
  <c r="A7067" i="1"/>
  <c r="A7066" i="1"/>
  <c r="A7065" i="1"/>
  <c r="A7064" i="1"/>
  <c r="A7063" i="1"/>
  <c r="A7062" i="1"/>
  <c r="A7061" i="1"/>
  <c r="A7060" i="1"/>
  <c r="A7059" i="1"/>
  <c r="A7058" i="1"/>
  <c r="A7057" i="1"/>
  <c r="A7056" i="1"/>
  <c r="A7055" i="1"/>
  <c r="A7054" i="1"/>
  <c r="A7053" i="1"/>
  <c r="A7052" i="1"/>
  <c r="A7051" i="1"/>
  <c r="A7050" i="1"/>
  <c r="A7049" i="1"/>
  <c r="A7048" i="1"/>
  <c r="A7047" i="1"/>
  <c r="A7046" i="1"/>
  <c r="A7045" i="1"/>
  <c r="A7044" i="1"/>
  <c r="A7043" i="1"/>
  <c r="A7042" i="1"/>
  <c r="A7041" i="1"/>
  <c r="A7040" i="1"/>
  <c r="A7039" i="1"/>
  <c r="A7038" i="1"/>
  <c r="A7037" i="1"/>
  <c r="A7036" i="1"/>
  <c r="A7035" i="1"/>
  <c r="A7034" i="1"/>
  <c r="A7033" i="1"/>
  <c r="A7032" i="1"/>
  <c r="A7031" i="1"/>
  <c r="A7030" i="1"/>
  <c r="A7029" i="1"/>
  <c r="A7028" i="1"/>
  <c r="A7027" i="1"/>
  <c r="A7026" i="1"/>
  <c r="A7025" i="1"/>
  <c r="A7024" i="1"/>
  <c r="A7023" i="1"/>
  <c r="A7022" i="1"/>
  <c r="A7021" i="1"/>
  <c r="A7020" i="1"/>
  <c r="A7019" i="1"/>
  <c r="A7018" i="1"/>
  <c r="A7017" i="1"/>
  <c r="A7016" i="1"/>
  <c r="A7015" i="1"/>
  <c r="A7014" i="1"/>
  <c r="A7013" i="1"/>
  <c r="A7012" i="1"/>
  <c r="A7011" i="1"/>
  <c r="A7010" i="1"/>
  <c r="A7009" i="1"/>
  <c r="A7008" i="1"/>
  <c r="A7007" i="1"/>
  <c r="A7006" i="1"/>
  <c r="A7005" i="1"/>
  <c r="A7004" i="1"/>
  <c r="A7003" i="1"/>
  <c r="A7002" i="1"/>
  <c r="A7001" i="1"/>
  <c r="A7000" i="1"/>
  <c r="A6999" i="1"/>
  <c r="A6998" i="1"/>
  <c r="A6997" i="1"/>
  <c r="A6996" i="1"/>
  <c r="A6995" i="1"/>
  <c r="A6994" i="1"/>
  <c r="A6993" i="1"/>
  <c r="A6992" i="1"/>
  <c r="A6991" i="1"/>
  <c r="A6990" i="1"/>
  <c r="A6989" i="1"/>
  <c r="A6988" i="1"/>
  <c r="A6987" i="1"/>
  <c r="A6986" i="1"/>
  <c r="A6985" i="1"/>
  <c r="A6984" i="1"/>
  <c r="A6983" i="1"/>
  <c r="A6982" i="1"/>
  <c r="A6981" i="1"/>
  <c r="A6980" i="1"/>
  <c r="A6979" i="1"/>
  <c r="A6978" i="1"/>
  <c r="A6977" i="1"/>
  <c r="A6976" i="1"/>
  <c r="A6975" i="1"/>
  <c r="A6974" i="1"/>
  <c r="A6973" i="1"/>
  <c r="A6972" i="1"/>
  <c r="A6971" i="1"/>
  <c r="A6970" i="1"/>
  <c r="A6969" i="1"/>
  <c r="A6968" i="1"/>
  <c r="A6967" i="1"/>
  <c r="A6966" i="1"/>
  <c r="A6965" i="1"/>
  <c r="A6964" i="1"/>
  <c r="A6963" i="1"/>
  <c r="A6962" i="1"/>
  <c r="A6961" i="1"/>
  <c r="A6960" i="1"/>
  <c r="A6959" i="1"/>
  <c r="A6958" i="1"/>
  <c r="A6957" i="1"/>
  <c r="A6956" i="1"/>
  <c r="A6955" i="1"/>
  <c r="A6954" i="1"/>
  <c r="A6953" i="1"/>
  <c r="A6952" i="1"/>
  <c r="A6951" i="1"/>
  <c r="A6950" i="1"/>
  <c r="A6949" i="1"/>
  <c r="A6948" i="1"/>
  <c r="A6947" i="1"/>
  <c r="A6946" i="1"/>
  <c r="A6945" i="1"/>
  <c r="A6944" i="1"/>
  <c r="A6943" i="1"/>
  <c r="A6942" i="1"/>
  <c r="A6941" i="1"/>
  <c r="A6940" i="1"/>
  <c r="A6939" i="1"/>
  <c r="A6938" i="1"/>
  <c r="A6937" i="1"/>
  <c r="A6936" i="1"/>
  <c r="A6935" i="1"/>
  <c r="A6934" i="1"/>
  <c r="A6933" i="1"/>
  <c r="A6932" i="1"/>
  <c r="A6931" i="1"/>
  <c r="A6930" i="1"/>
  <c r="A6929" i="1"/>
  <c r="A6928" i="1"/>
  <c r="A6927" i="1"/>
  <c r="A6926" i="1"/>
  <c r="A6925" i="1"/>
  <c r="A6924" i="1"/>
  <c r="A6923" i="1"/>
  <c r="A6922" i="1"/>
  <c r="A6921" i="1"/>
  <c r="A6920" i="1"/>
  <c r="A6919" i="1"/>
  <c r="A6918" i="1"/>
  <c r="A6917" i="1"/>
  <c r="A6916" i="1"/>
  <c r="A6915" i="1"/>
  <c r="A6914" i="1"/>
  <c r="A6913" i="1"/>
  <c r="A6912" i="1"/>
  <c r="A6911" i="1"/>
  <c r="A6910" i="1"/>
  <c r="A6909" i="1"/>
  <c r="A6908" i="1"/>
  <c r="A6907" i="1"/>
  <c r="A6906" i="1"/>
  <c r="A6905" i="1"/>
  <c r="A6904" i="1"/>
  <c r="A6903" i="1"/>
  <c r="A6902" i="1"/>
  <c r="A6901" i="1"/>
  <c r="A6900" i="1"/>
  <c r="A6899" i="1"/>
  <c r="A6898" i="1"/>
  <c r="A6897" i="1"/>
  <c r="A6896" i="1"/>
  <c r="A6895" i="1"/>
  <c r="A6894" i="1"/>
  <c r="A6893" i="1"/>
  <c r="A6892" i="1"/>
  <c r="A6891" i="1"/>
  <c r="A6890" i="1"/>
  <c r="A6889" i="1"/>
  <c r="A6888" i="1"/>
  <c r="A6887" i="1"/>
  <c r="A6886" i="1"/>
  <c r="A6885" i="1"/>
  <c r="A6884" i="1"/>
  <c r="A6883" i="1"/>
  <c r="A6882" i="1"/>
  <c r="A6881" i="1"/>
  <c r="A6880" i="1"/>
  <c r="A6879" i="1"/>
  <c r="A6878" i="1"/>
  <c r="A6877" i="1"/>
  <c r="A6876" i="1"/>
  <c r="A6875" i="1"/>
  <c r="A6874" i="1"/>
  <c r="A6873" i="1"/>
  <c r="A6872" i="1"/>
  <c r="A6871" i="1"/>
  <c r="A6870" i="1"/>
  <c r="A6869" i="1"/>
  <c r="A6868" i="1"/>
  <c r="A6867" i="1"/>
  <c r="A6866" i="1"/>
  <c r="A6865" i="1"/>
  <c r="A6864" i="1"/>
  <c r="A6863" i="1"/>
  <c r="A6862" i="1"/>
  <c r="A6861" i="1"/>
  <c r="A6860" i="1"/>
  <c r="A6859" i="1"/>
  <c r="A6858" i="1"/>
  <c r="A6857" i="1"/>
  <c r="A6856" i="1"/>
  <c r="A6855" i="1"/>
  <c r="A6854" i="1"/>
  <c r="A6853" i="1"/>
  <c r="A6852" i="1"/>
  <c r="A6851" i="1"/>
  <c r="A6850" i="1"/>
  <c r="A6849" i="1"/>
  <c r="A6848" i="1"/>
  <c r="A6847" i="1"/>
  <c r="A6846" i="1"/>
  <c r="A6845" i="1"/>
  <c r="A6844" i="1"/>
  <c r="A6843" i="1"/>
  <c r="A6842" i="1"/>
  <c r="A6841" i="1"/>
  <c r="A6840" i="1"/>
  <c r="A6839" i="1"/>
  <c r="A6838" i="1"/>
  <c r="A6837" i="1"/>
  <c r="A6836" i="1"/>
  <c r="A6835" i="1"/>
  <c r="A6834" i="1"/>
  <c r="A6833" i="1"/>
  <c r="A6832" i="1"/>
  <c r="A6831" i="1"/>
  <c r="A6830" i="1"/>
  <c r="A6829" i="1"/>
  <c r="A6828" i="1"/>
  <c r="A6827" i="1"/>
  <c r="A6826" i="1"/>
  <c r="A6825" i="1"/>
  <c r="A6824" i="1"/>
  <c r="A6823" i="1"/>
  <c r="A6822" i="1"/>
  <c r="A6821" i="1"/>
  <c r="A6820" i="1"/>
  <c r="A6819" i="1"/>
  <c r="A6818" i="1"/>
  <c r="A6817" i="1"/>
  <c r="A6816" i="1"/>
  <c r="A6815" i="1"/>
  <c r="A6814" i="1"/>
  <c r="A6813" i="1"/>
  <c r="A6812" i="1"/>
  <c r="A6811" i="1"/>
  <c r="A6810" i="1"/>
  <c r="A6809" i="1"/>
  <c r="A6808" i="1"/>
  <c r="A6807" i="1"/>
  <c r="A6806" i="1"/>
  <c r="A6805" i="1"/>
  <c r="A6804" i="1"/>
  <c r="A6803" i="1"/>
  <c r="A6802" i="1"/>
  <c r="A6801" i="1"/>
  <c r="A6800" i="1"/>
  <c r="A6799" i="1"/>
  <c r="A6798" i="1"/>
  <c r="A6797" i="1"/>
  <c r="A6796" i="1"/>
  <c r="A6795" i="1"/>
  <c r="A6794" i="1"/>
  <c r="A6793" i="1"/>
  <c r="A6792" i="1"/>
  <c r="A6791" i="1"/>
  <c r="A6790" i="1"/>
  <c r="A6789" i="1"/>
  <c r="A6788" i="1"/>
  <c r="A6787" i="1"/>
  <c r="A6786" i="1"/>
  <c r="A6785" i="1"/>
  <c r="A6784" i="1"/>
  <c r="A6783" i="1"/>
  <c r="A6782" i="1"/>
  <c r="A6781" i="1"/>
  <c r="A6780" i="1"/>
  <c r="A6779" i="1"/>
  <c r="A6778" i="1"/>
  <c r="A6777" i="1"/>
  <c r="A6776" i="1"/>
  <c r="A6775" i="1"/>
  <c r="A6774" i="1"/>
  <c r="A6773" i="1"/>
  <c r="A6772" i="1"/>
  <c r="A6771" i="1"/>
  <c r="A6770" i="1"/>
  <c r="A6769" i="1"/>
  <c r="A6768" i="1"/>
  <c r="A6767" i="1"/>
  <c r="A6766" i="1"/>
  <c r="A6765" i="1"/>
  <c r="A6764" i="1"/>
  <c r="A6763" i="1"/>
  <c r="A6762" i="1"/>
  <c r="A6761" i="1"/>
  <c r="A6760" i="1"/>
  <c r="A6759" i="1"/>
  <c r="A6758" i="1"/>
  <c r="A6757" i="1"/>
  <c r="A6756" i="1"/>
  <c r="A6755" i="1"/>
  <c r="A6754" i="1"/>
  <c r="A6753" i="1"/>
  <c r="A6752" i="1"/>
  <c r="A6751" i="1"/>
  <c r="A6750" i="1"/>
  <c r="A6749" i="1"/>
  <c r="A6748" i="1"/>
  <c r="A6747" i="1"/>
  <c r="A6746" i="1"/>
  <c r="A6745" i="1"/>
  <c r="A6744" i="1"/>
  <c r="A6743" i="1"/>
  <c r="A6742" i="1"/>
  <c r="A6741" i="1"/>
  <c r="A6740" i="1"/>
  <c r="A6739" i="1"/>
  <c r="A6738" i="1"/>
  <c r="A6737" i="1"/>
  <c r="A6736" i="1"/>
  <c r="A6735" i="1"/>
  <c r="A6734" i="1"/>
  <c r="A6733" i="1"/>
  <c r="A6732" i="1"/>
  <c r="A6731" i="1"/>
  <c r="A6730" i="1"/>
  <c r="A6729" i="1"/>
  <c r="A6728" i="1"/>
  <c r="A6727" i="1"/>
  <c r="A6726" i="1"/>
  <c r="A6725" i="1"/>
  <c r="A6724" i="1"/>
  <c r="A6723" i="1"/>
  <c r="A6722" i="1"/>
  <c r="A6721" i="1"/>
  <c r="A6720" i="1"/>
  <c r="A6719" i="1"/>
  <c r="A6718" i="1"/>
  <c r="A6717" i="1"/>
  <c r="A6716" i="1"/>
  <c r="A6715" i="1"/>
  <c r="A6714" i="1"/>
  <c r="A6713" i="1"/>
  <c r="A6712" i="1"/>
  <c r="A6711" i="1"/>
  <c r="A6710" i="1"/>
  <c r="A6709" i="1"/>
  <c r="A6708" i="1"/>
  <c r="A6707" i="1"/>
  <c r="A6706" i="1"/>
  <c r="A6705" i="1"/>
  <c r="A6704" i="1"/>
  <c r="A6703" i="1"/>
  <c r="A6702" i="1"/>
  <c r="A6701" i="1"/>
  <c r="A6700" i="1"/>
  <c r="A6699" i="1"/>
  <c r="A6698" i="1"/>
  <c r="A6697" i="1"/>
  <c r="A6696" i="1"/>
  <c r="A6695" i="1"/>
  <c r="A6694" i="1"/>
  <c r="A6693" i="1"/>
  <c r="A6692" i="1"/>
  <c r="A6691" i="1"/>
  <c r="A6690" i="1"/>
  <c r="A6689" i="1"/>
  <c r="A6688" i="1"/>
  <c r="A6687" i="1"/>
  <c r="A6686" i="1"/>
  <c r="A6685" i="1"/>
  <c r="A6684" i="1"/>
  <c r="A6683" i="1"/>
  <c r="A6682" i="1"/>
  <c r="A6681" i="1"/>
  <c r="A6680" i="1"/>
  <c r="A6679" i="1"/>
  <c r="A6678" i="1"/>
  <c r="A6677" i="1"/>
  <c r="A6676" i="1"/>
  <c r="A6675" i="1"/>
  <c r="A6674" i="1"/>
  <c r="A6673" i="1"/>
  <c r="A6672" i="1"/>
  <c r="A6671" i="1"/>
  <c r="A6670" i="1"/>
  <c r="A6669" i="1"/>
  <c r="A6668" i="1"/>
  <c r="A6667" i="1"/>
  <c r="A6666" i="1"/>
  <c r="A6665" i="1"/>
  <c r="A6664" i="1"/>
  <c r="A6663" i="1"/>
  <c r="A6662" i="1"/>
  <c r="A6661" i="1"/>
  <c r="A6660" i="1"/>
  <c r="A6659" i="1"/>
  <c r="A6658" i="1"/>
  <c r="A6657" i="1"/>
  <c r="A6656" i="1"/>
  <c r="A6655" i="1"/>
  <c r="A6654" i="1"/>
  <c r="A6653" i="1"/>
  <c r="A6652" i="1"/>
  <c r="A6651" i="1"/>
  <c r="A6650" i="1"/>
  <c r="A6649" i="1"/>
  <c r="A6648" i="1"/>
  <c r="A6647" i="1"/>
  <c r="A6646" i="1"/>
  <c r="A6645" i="1"/>
  <c r="A6644" i="1"/>
  <c r="A6643" i="1"/>
  <c r="A6642" i="1"/>
  <c r="A6641" i="1"/>
  <c r="A6640" i="1"/>
  <c r="A6639" i="1"/>
  <c r="A6638" i="1"/>
  <c r="A6637" i="1"/>
  <c r="A6636" i="1"/>
  <c r="A6635" i="1"/>
  <c r="A6634" i="1"/>
  <c r="A6633" i="1"/>
  <c r="A6632" i="1"/>
  <c r="A6631" i="1"/>
  <c r="A6630" i="1"/>
  <c r="A6629" i="1"/>
  <c r="A6628" i="1"/>
  <c r="A6627" i="1"/>
  <c r="A6626" i="1"/>
  <c r="A6625" i="1"/>
  <c r="A6624" i="1"/>
  <c r="A6623" i="1"/>
  <c r="A6622" i="1"/>
  <c r="A6621" i="1"/>
  <c r="A6620" i="1"/>
  <c r="A6619" i="1"/>
  <c r="A6618" i="1"/>
  <c r="A6617" i="1"/>
  <c r="A6616" i="1"/>
  <c r="A6615" i="1"/>
  <c r="A6614" i="1"/>
  <c r="A6613" i="1"/>
  <c r="A6612" i="1"/>
  <c r="A6611" i="1"/>
  <c r="A6610" i="1"/>
  <c r="A6609" i="1"/>
  <c r="A6608" i="1"/>
  <c r="A6607" i="1"/>
  <c r="A6606" i="1"/>
  <c r="A6605" i="1"/>
  <c r="A6604" i="1"/>
  <c r="A6603" i="1"/>
  <c r="A6602" i="1"/>
  <c r="A6601" i="1"/>
  <c r="A6600" i="1"/>
  <c r="A6599" i="1"/>
  <c r="A6598" i="1"/>
  <c r="A6597" i="1"/>
  <c r="A6596" i="1"/>
  <c r="A6595" i="1"/>
  <c r="A6594" i="1"/>
  <c r="A6593" i="1"/>
  <c r="A6592" i="1"/>
  <c r="A6591" i="1"/>
  <c r="A6590" i="1"/>
  <c r="A6589" i="1"/>
  <c r="A6588" i="1"/>
  <c r="A6587" i="1"/>
  <c r="A6586" i="1"/>
  <c r="A6585" i="1"/>
  <c r="A6584" i="1"/>
  <c r="A6583" i="1"/>
  <c r="A6582" i="1"/>
  <c r="A6581" i="1"/>
  <c r="A6580" i="1"/>
  <c r="A6579" i="1"/>
  <c r="A6578" i="1"/>
  <c r="A6577" i="1"/>
  <c r="A6576" i="1"/>
  <c r="A6575" i="1"/>
  <c r="A6574" i="1"/>
  <c r="A6573" i="1"/>
  <c r="A6572" i="1"/>
  <c r="A6571" i="1"/>
  <c r="A6570" i="1"/>
  <c r="A6569" i="1"/>
  <c r="A6568" i="1"/>
  <c r="A6567" i="1"/>
  <c r="A6566" i="1"/>
  <c r="A6565" i="1"/>
  <c r="A6564" i="1"/>
  <c r="A6563" i="1"/>
  <c r="A6562" i="1"/>
  <c r="A6561" i="1"/>
  <c r="A6560" i="1"/>
  <c r="A6559" i="1"/>
  <c r="A6558" i="1"/>
  <c r="A6557" i="1"/>
  <c r="A6556" i="1"/>
  <c r="A6555" i="1"/>
  <c r="A6554" i="1"/>
  <c r="A6553" i="1"/>
  <c r="A6552" i="1"/>
  <c r="A6551" i="1"/>
  <c r="A6550" i="1"/>
  <c r="A6549" i="1"/>
  <c r="A6548" i="1"/>
  <c r="A6547" i="1"/>
  <c r="A6546" i="1"/>
  <c r="A6545" i="1"/>
  <c r="A6544" i="1"/>
  <c r="A6543" i="1"/>
  <c r="A6542" i="1"/>
  <c r="A6541" i="1"/>
  <c r="A6540" i="1"/>
  <c r="A6539" i="1"/>
  <c r="A6538" i="1"/>
  <c r="A6537" i="1"/>
  <c r="A6536" i="1"/>
  <c r="A6535" i="1"/>
  <c r="A6534" i="1"/>
  <c r="A6533" i="1"/>
  <c r="A6532" i="1"/>
  <c r="A6531" i="1"/>
  <c r="A6530" i="1"/>
  <c r="A6529" i="1"/>
  <c r="A6528" i="1"/>
  <c r="A6527" i="1"/>
  <c r="A6526" i="1"/>
  <c r="A6525" i="1"/>
  <c r="A6524" i="1"/>
  <c r="A6523" i="1"/>
  <c r="A6522" i="1"/>
  <c r="A6521" i="1"/>
  <c r="A6520" i="1"/>
  <c r="A6519" i="1"/>
  <c r="A6518" i="1"/>
  <c r="A6517" i="1"/>
  <c r="A6516" i="1"/>
  <c r="A6515" i="1"/>
  <c r="A6514" i="1"/>
  <c r="A6513" i="1"/>
  <c r="A6512" i="1"/>
  <c r="A6511" i="1"/>
  <c r="A6510" i="1"/>
  <c r="A6509" i="1"/>
  <c r="A6508" i="1"/>
  <c r="A6507" i="1"/>
  <c r="A6506" i="1"/>
  <c r="A6505" i="1"/>
  <c r="A6504" i="1"/>
  <c r="A6503" i="1"/>
  <c r="A6502" i="1"/>
  <c r="A6501" i="1"/>
  <c r="A6500" i="1"/>
  <c r="A6499" i="1"/>
  <c r="A6498" i="1"/>
  <c r="A6497" i="1"/>
  <c r="A6496" i="1"/>
  <c r="A6495" i="1"/>
  <c r="A6494" i="1"/>
  <c r="A6493" i="1"/>
  <c r="A6492" i="1"/>
  <c r="A6491" i="1"/>
  <c r="A6490" i="1"/>
  <c r="A6489" i="1"/>
  <c r="A6488" i="1"/>
  <c r="A6487" i="1"/>
  <c r="A6486" i="1"/>
  <c r="A6485" i="1"/>
  <c r="A6484" i="1"/>
  <c r="A6483" i="1"/>
  <c r="A6482" i="1"/>
  <c r="A6481" i="1"/>
  <c r="A6480" i="1"/>
  <c r="A6479" i="1"/>
  <c r="A6478" i="1"/>
  <c r="A6477" i="1"/>
  <c r="A6476" i="1"/>
  <c r="A6475" i="1"/>
  <c r="A6474" i="1"/>
  <c r="A6473" i="1"/>
  <c r="A6472" i="1"/>
  <c r="A6471" i="1"/>
  <c r="A6470" i="1"/>
  <c r="A6469" i="1"/>
  <c r="A6468" i="1"/>
  <c r="A6467" i="1"/>
  <c r="A6466" i="1"/>
  <c r="A6465" i="1"/>
  <c r="A6464" i="1"/>
  <c r="A6463" i="1"/>
  <c r="A6462" i="1"/>
  <c r="A6461" i="1"/>
  <c r="A6460" i="1"/>
  <c r="A6459" i="1"/>
  <c r="A6458" i="1"/>
  <c r="A6457" i="1"/>
  <c r="A6456" i="1"/>
  <c r="A6455" i="1"/>
  <c r="A6454" i="1"/>
  <c r="A6453" i="1"/>
  <c r="A6452" i="1"/>
  <c r="A6451" i="1"/>
  <c r="A6450" i="1"/>
  <c r="A6449" i="1"/>
  <c r="A6448" i="1"/>
  <c r="A6447" i="1"/>
  <c r="A6446" i="1"/>
  <c r="A6445" i="1"/>
  <c r="A6444" i="1"/>
  <c r="A6443" i="1"/>
  <c r="A6442" i="1"/>
  <c r="A6441" i="1"/>
  <c r="A6440" i="1"/>
  <c r="A6439" i="1"/>
  <c r="A6438" i="1"/>
  <c r="A6437" i="1"/>
  <c r="A6436" i="1"/>
  <c r="A6435" i="1"/>
  <c r="A6434" i="1"/>
  <c r="A6433" i="1"/>
  <c r="A6432" i="1"/>
  <c r="A6431" i="1"/>
  <c r="A6430" i="1"/>
  <c r="A6429" i="1"/>
  <c r="A6428" i="1"/>
  <c r="A6427" i="1"/>
  <c r="A6426" i="1"/>
  <c r="A6425" i="1"/>
  <c r="A6424" i="1"/>
  <c r="A6423" i="1"/>
  <c r="A6422" i="1"/>
  <c r="A6421" i="1"/>
  <c r="A6420" i="1"/>
  <c r="A6419" i="1"/>
  <c r="A6418" i="1"/>
  <c r="A6417" i="1"/>
  <c r="A6416" i="1"/>
  <c r="A6415" i="1"/>
  <c r="A6414" i="1"/>
  <c r="A6413" i="1"/>
  <c r="A6412" i="1"/>
  <c r="A6411" i="1"/>
  <c r="A6410" i="1"/>
  <c r="A6409" i="1"/>
  <c r="A6408" i="1"/>
  <c r="A6407" i="1"/>
  <c r="A6406" i="1"/>
  <c r="A6405" i="1"/>
  <c r="A6404" i="1"/>
  <c r="A6403" i="1"/>
  <c r="A6402" i="1"/>
  <c r="A6401" i="1"/>
  <c r="A6400" i="1"/>
  <c r="A6399" i="1"/>
  <c r="A6398" i="1"/>
  <c r="A6397" i="1"/>
  <c r="A6396" i="1"/>
  <c r="A6395" i="1"/>
  <c r="A6394" i="1"/>
  <c r="A6393" i="1"/>
  <c r="A6392" i="1"/>
  <c r="A6391" i="1"/>
  <c r="A6390" i="1"/>
  <c r="A6389" i="1"/>
  <c r="A6388" i="1"/>
  <c r="A6387" i="1"/>
  <c r="A6386" i="1"/>
  <c r="A6385" i="1"/>
  <c r="A6384" i="1"/>
  <c r="A6383" i="1"/>
  <c r="A6382" i="1"/>
  <c r="A6381" i="1"/>
  <c r="A6380" i="1"/>
  <c r="A6379" i="1"/>
  <c r="A6378" i="1"/>
  <c r="A6377" i="1"/>
  <c r="A6376" i="1"/>
  <c r="A6375" i="1"/>
  <c r="A6374" i="1"/>
  <c r="A6373" i="1"/>
  <c r="A6372" i="1"/>
  <c r="A6371" i="1"/>
  <c r="A6370" i="1"/>
  <c r="A6369" i="1"/>
  <c r="A6368" i="1"/>
  <c r="A6367" i="1"/>
  <c r="A6366" i="1"/>
  <c r="A6365" i="1"/>
  <c r="A6364" i="1"/>
  <c r="A6363" i="1"/>
  <c r="A6362" i="1"/>
  <c r="A6361" i="1"/>
  <c r="A6360" i="1"/>
  <c r="A6359" i="1"/>
  <c r="A6358" i="1"/>
  <c r="A6357" i="1"/>
  <c r="A6356" i="1"/>
  <c r="A6355" i="1"/>
  <c r="A6354" i="1"/>
  <c r="A6353" i="1"/>
  <c r="A6352" i="1"/>
  <c r="A6351" i="1"/>
  <c r="A6350" i="1"/>
  <c r="A6349" i="1"/>
  <c r="A6348" i="1"/>
  <c r="A6347" i="1"/>
  <c r="A6346" i="1"/>
  <c r="A6345" i="1"/>
  <c r="A6344" i="1"/>
  <c r="A6343" i="1"/>
  <c r="A6342" i="1"/>
  <c r="A6341" i="1"/>
  <c r="A6340" i="1"/>
  <c r="A6339" i="1"/>
  <c r="A6338" i="1"/>
  <c r="A6337" i="1"/>
  <c r="A6336" i="1"/>
  <c r="A6335" i="1"/>
  <c r="A6334" i="1"/>
  <c r="A6333" i="1"/>
  <c r="A6332" i="1"/>
  <c r="A6331" i="1"/>
  <c r="A6330" i="1"/>
  <c r="A6329" i="1"/>
  <c r="A6328" i="1"/>
  <c r="A6327" i="1"/>
  <c r="A6326" i="1"/>
  <c r="A6325" i="1"/>
  <c r="A6324" i="1"/>
  <c r="A6323" i="1"/>
  <c r="A6322" i="1"/>
  <c r="A6321" i="1"/>
  <c r="A6320" i="1"/>
  <c r="A6319" i="1"/>
  <c r="A6318" i="1"/>
  <c r="A6317" i="1"/>
  <c r="A6316" i="1"/>
  <c r="A6315" i="1"/>
  <c r="A6314" i="1"/>
  <c r="A6313" i="1"/>
  <c r="A6312" i="1"/>
  <c r="A6311" i="1"/>
  <c r="A6310" i="1"/>
  <c r="A6309" i="1"/>
  <c r="A6308" i="1"/>
  <c r="A6307" i="1"/>
  <c r="A6306" i="1"/>
  <c r="A6305" i="1"/>
  <c r="A6304" i="1"/>
  <c r="A6303" i="1"/>
  <c r="A6302" i="1"/>
  <c r="A6301" i="1"/>
  <c r="A6300" i="1"/>
  <c r="A6299" i="1"/>
  <c r="A6298" i="1"/>
  <c r="A6297" i="1"/>
  <c r="A6296" i="1"/>
  <c r="A6295" i="1"/>
  <c r="A6294" i="1"/>
  <c r="A6293" i="1"/>
  <c r="A6292" i="1"/>
  <c r="A6291" i="1"/>
  <c r="A6290" i="1"/>
  <c r="A6289" i="1"/>
  <c r="A6288" i="1"/>
  <c r="A6287" i="1"/>
  <c r="A6286" i="1"/>
  <c r="A6285" i="1"/>
  <c r="A6284" i="1"/>
  <c r="A6283" i="1"/>
  <c r="A6282" i="1"/>
  <c r="A6281" i="1"/>
  <c r="A6280" i="1"/>
  <c r="A6279" i="1"/>
  <c r="A6278" i="1"/>
  <c r="A6277" i="1"/>
  <c r="A6276" i="1"/>
  <c r="A6275" i="1"/>
  <c r="A6274" i="1"/>
  <c r="A6273" i="1"/>
  <c r="A6272" i="1"/>
  <c r="A6271" i="1"/>
  <c r="A6270" i="1"/>
  <c r="A6269" i="1"/>
  <c r="A6268" i="1"/>
  <c r="A6267" i="1"/>
  <c r="A6266" i="1"/>
  <c r="A6265" i="1"/>
  <c r="A6264" i="1"/>
  <c r="A6263" i="1"/>
  <c r="A6262" i="1"/>
  <c r="A6261" i="1"/>
  <c r="A6260" i="1"/>
  <c r="A6259" i="1"/>
  <c r="A6258" i="1"/>
  <c r="A6257" i="1"/>
  <c r="A6256" i="1"/>
  <c r="A6255" i="1"/>
  <c r="A6254" i="1"/>
  <c r="A6253" i="1"/>
  <c r="A6252" i="1"/>
  <c r="A6251" i="1"/>
  <c r="A6250" i="1"/>
  <c r="A6249" i="1"/>
  <c r="A6248" i="1"/>
  <c r="A6247" i="1"/>
  <c r="A6246" i="1"/>
  <c r="A6245" i="1"/>
  <c r="A6244" i="1"/>
  <c r="A6243" i="1"/>
  <c r="A6242" i="1"/>
  <c r="A6241" i="1"/>
  <c r="A6240" i="1"/>
  <c r="A6239" i="1"/>
  <c r="A6238" i="1"/>
  <c r="A6237" i="1"/>
  <c r="A6236" i="1"/>
  <c r="A6235" i="1"/>
  <c r="A6234" i="1"/>
  <c r="A6233" i="1"/>
  <c r="A6232" i="1"/>
  <c r="A6231" i="1"/>
  <c r="A6230" i="1"/>
  <c r="A6229" i="1"/>
  <c r="A6228" i="1"/>
  <c r="A6227" i="1"/>
  <c r="A6226" i="1"/>
  <c r="A6225" i="1"/>
  <c r="A6224" i="1"/>
  <c r="A6223" i="1"/>
  <c r="A6222" i="1"/>
  <c r="A6221" i="1"/>
  <c r="A6220" i="1"/>
  <c r="A6219" i="1"/>
  <c r="A6218" i="1"/>
  <c r="A6217" i="1"/>
  <c r="A6216" i="1"/>
  <c r="A6215" i="1"/>
  <c r="A6214" i="1"/>
  <c r="A6213" i="1"/>
  <c r="A6212" i="1"/>
  <c r="A6211" i="1"/>
  <c r="A6210" i="1"/>
  <c r="A6209" i="1"/>
  <c r="A6208" i="1"/>
  <c r="A6207" i="1"/>
  <c r="A6206" i="1"/>
  <c r="A6205" i="1"/>
  <c r="A6204" i="1"/>
  <c r="A6203" i="1"/>
  <c r="A6202" i="1"/>
  <c r="A6201" i="1"/>
  <c r="A6200" i="1"/>
  <c r="A6199" i="1"/>
  <c r="A6198" i="1"/>
  <c r="A6197" i="1"/>
  <c r="A6196" i="1"/>
  <c r="A6195" i="1"/>
  <c r="A6194" i="1"/>
  <c r="A6193" i="1"/>
  <c r="A6192" i="1"/>
  <c r="A6191" i="1"/>
  <c r="A6190" i="1"/>
  <c r="A6189" i="1"/>
  <c r="A6188" i="1"/>
  <c r="A6187" i="1"/>
  <c r="A6186" i="1"/>
  <c r="A6185" i="1"/>
  <c r="A6184" i="1"/>
  <c r="A6183" i="1"/>
  <c r="A6182" i="1"/>
  <c r="A6181" i="1"/>
  <c r="A6180" i="1"/>
  <c r="A6179" i="1"/>
  <c r="A6178" i="1"/>
  <c r="A6177" i="1"/>
  <c r="A6176" i="1"/>
  <c r="A6175" i="1"/>
  <c r="A6174" i="1"/>
  <c r="A6173" i="1"/>
  <c r="A6172" i="1"/>
  <c r="A6171" i="1"/>
  <c r="A6170" i="1"/>
  <c r="A6169" i="1"/>
  <c r="A6168" i="1"/>
  <c r="A6167" i="1"/>
  <c r="A6166" i="1"/>
  <c r="A6165" i="1"/>
  <c r="A6164" i="1"/>
  <c r="A6163" i="1"/>
  <c r="A6162" i="1"/>
  <c r="A6161" i="1"/>
  <c r="A6160" i="1"/>
  <c r="A6159" i="1"/>
  <c r="A6158" i="1"/>
  <c r="A6157" i="1"/>
  <c r="A6156" i="1"/>
  <c r="A6155" i="1"/>
  <c r="A6154" i="1"/>
  <c r="A6153" i="1"/>
  <c r="A6152" i="1"/>
  <c r="A6151" i="1"/>
  <c r="A6150" i="1"/>
  <c r="A6149" i="1"/>
  <c r="A6148" i="1"/>
  <c r="A6147" i="1"/>
  <c r="A6146" i="1"/>
  <c r="A6145" i="1"/>
  <c r="A6144" i="1"/>
  <c r="A6143" i="1"/>
  <c r="A6142" i="1"/>
  <c r="A6141" i="1"/>
  <c r="A6140" i="1"/>
  <c r="A6139" i="1"/>
  <c r="A6138" i="1"/>
  <c r="A6137" i="1"/>
  <c r="A6136" i="1"/>
  <c r="A6135" i="1"/>
  <c r="A6134" i="1"/>
  <c r="A6133" i="1"/>
  <c r="A6132" i="1"/>
  <c r="A6131" i="1"/>
  <c r="A6130" i="1"/>
  <c r="A6129" i="1"/>
  <c r="A6128" i="1"/>
  <c r="A6127" i="1"/>
  <c r="A6126" i="1"/>
  <c r="A6125" i="1"/>
  <c r="A6124" i="1"/>
  <c r="A6123" i="1"/>
  <c r="A6122" i="1"/>
  <c r="A6121" i="1"/>
  <c r="A6120" i="1"/>
  <c r="A6119" i="1"/>
  <c r="A6118" i="1"/>
  <c r="A6117" i="1"/>
  <c r="A6116" i="1"/>
  <c r="A6115" i="1"/>
  <c r="A6114" i="1"/>
  <c r="A6113" i="1"/>
  <c r="A6112" i="1"/>
  <c r="A6111" i="1"/>
  <c r="A6110" i="1"/>
  <c r="A6109" i="1"/>
  <c r="A6108" i="1"/>
  <c r="A6107" i="1"/>
  <c r="A6106" i="1"/>
  <c r="A6105" i="1"/>
  <c r="A6104" i="1"/>
  <c r="A6103" i="1"/>
  <c r="A6102" i="1"/>
  <c r="A6101" i="1"/>
  <c r="A6100" i="1"/>
  <c r="A6099" i="1"/>
  <c r="A6098" i="1"/>
  <c r="A6097" i="1"/>
  <c r="A6096" i="1"/>
  <c r="A6095" i="1"/>
  <c r="A6094" i="1"/>
  <c r="A6093" i="1"/>
  <c r="A6092" i="1"/>
  <c r="A6091" i="1"/>
  <c r="A6090" i="1"/>
  <c r="A6089" i="1"/>
  <c r="A6088" i="1"/>
  <c r="A6087" i="1"/>
  <c r="A6086" i="1"/>
  <c r="A6085" i="1"/>
  <c r="A6084" i="1"/>
  <c r="A6083" i="1"/>
  <c r="A6082" i="1"/>
  <c r="A6081" i="1"/>
  <c r="A6080" i="1"/>
  <c r="A6079" i="1"/>
  <c r="A6078" i="1"/>
  <c r="A6077" i="1"/>
  <c r="A6076" i="1"/>
  <c r="A6075" i="1"/>
  <c r="A6074" i="1"/>
  <c r="A6073" i="1"/>
  <c r="A6072" i="1"/>
  <c r="A6071" i="1"/>
  <c r="A6070" i="1"/>
  <c r="A6069" i="1"/>
  <c r="A6068" i="1"/>
  <c r="A6067" i="1"/>
  <c r="A6066" i="1"/>
  <c r="A6065" i="1"/>
  <c r="A6064" i="1"/>
  <c r="A6063" i="1"/>
  <c r="A6062" i="1"/>
  <c r="A6061" i="1"/>
  <c r="A6060" i="1"/>
  <c r="A6059" i="1"/>
  <c r="A6058" i="1"/>
  <c r="A6057" i="1"/>
  <c r="A6056" i="1"/>
  <c r="A6055" i="1"/>
  <c r="A6054" i="1"/>
  <c r="A6053" i="1"/>
  <c r="A6052" i="1"/>
  <c r="A6051" i="1"/>
  <c r="A6050" i="1"/>
  <c r="A6049" i="1"/>
  <c r="A6048" i="1"/>
  <c r="A6047" i="1"/>
  <c r="A6046" i="1"/>
  <c r="A6045" i="1"/>
  <c r="A6044" i="1"/>
  <c r="A6043" i="1"/>
  <c r="A6042" i="1"/>
  <c r="A6041" i="1"/>
  <c r="A6040" i="1"/>
  <c r="A6039" i="1"/>
  <c r="A6038" i="1"/>
  <c r="A6037" i="1"/>
  <c r="A6036" i="1"/>
  <c r="A6035" i="1"/>
  <c r="A6034" i="1"/>
  <c r="A6033" i="1"/>
  <c r="A6032" i="1"/>
  <c r="A6031" i="1"/>
  <c r="A6030" i="1"/>
  <c r="A6029" i="1"/>
  <c r="A6028" i="1"/>
  <c r="A6027" i="1"/>
  <c r="A6026" i="1"/>
  <c r="A6025" i="1"/>
  <c r="A6024" i="1"/>
  <c r="A6023" i="1"/>
  <c r="A6022" i="1"/>
  <c r="A6021" i="1"/>
  <c r="A6020" i="1"/>
  <c r="A6019" i="1"/>
  <c r="A6018" i="1"/>
  <c r="A6017" i="1"/>
  <c r="A6016" i="1"/>
  <c r="A6015" i="1"/>
  <c r="A6014" i="1"/>
  <c r="A6013" i="1"/>
  <c r="A6012" i="1"/>
  <c r="A6011" i="1"/>
  <c r="A6010" i="1"/>
  <c r="A6009" i="1"/>
  <c r="A6008" i="1"/>
  <c r="A6007" i="1"/>
  <c r="A6006" i="1"/>
  <c r="A6005" i="1"/>
  <c r="A6004" i="1"/>
  <c r="A6003" i="1"/>
  <c r="A6002" i="1"/>
  <c r="A6001" i="1"/>
  <c r="A6000" i="1"/>
  <c r="A5999" i="1"/>
  <c r="A5998" i="1"/>
  <c r="A5997" i="1"/>
  <c r="A5996" i="1"/>
  <c r="A5995" i="1"/>
  <c r="A5994" i="1"/>
  <c r="A5993" i="1"/>
  <c r="A5992" i="1"/>
  <c r="A5991" i="1"/>
  <c r="A5990" i="1"/>
  <c r="A5989" i="1"/>
  <c r="A5988" i="1"/>
  <c r="A5987" i="1"/>
  <c r="A5986" i="1"/>
  <c r="A5985" i="1"/>
  <c r="A5984" i="1"/>
  <c r="A5983" i="1"/>
  <c r="A5982" i="1"/>
  <c r="A5981" i="1"/>
  <c r="A5980" i="1"/>
  <c r="A5979" i="1"/>
  <c r="A5978" i="1"/>
  <c r="A5977" i="1"/>
  <c r="A5976" i="1"/>
  <c r="A5975" i="1"/>
  <c r="A5974" i="1"/>
  <c r="A5973" i="1"/>
  <c r="A5972" i="1"/>
  <c r="A5971" i="1"/>
  <c r="A5970" i="1"/>
  <c r="A5969" i="1"/>
  <c r="A5968" i="1"/>
  <c r="A5967" i="1"/>
  <c r="A5966" i="1"/>
  <c r="A5965" i="1"/>
  <c r="A5964" i="1"/>
  <c r="A5963" i="1"/>
  <c r="A5962" i="1"/>
  <c r="A5961" i="1"/>
  <c r="A5960" i="1"/>
  <c r="A5959" i="1"/>
  <c r="A5958" i="1"/>
  <c r="A5957" i="1"/>
  <c r="A5956" i="1"/>
  <c r="A5955" i="1"/>
  <c r="A5954" i="1"/>
  <c r="A5953" i="1"/>
  <c r="A5952" i="1"/>
  <c r="A5951" i="1"/>
  <c r="A5950" i="1"/>
  <c r="A5949" i="1"/>
  <c r="A5948" i="1"/>
  <c r="A5947" i="1"/>
  <c r="A5946" i="1"/>
  <c r="A5945" i="1"/>
  <c r="A5944" i="1"/>
  <c r="A5943" i="1"/>
  <c r="A5942" i="1"/>
  <c r="A5941" i="1"/>
  <c r="A5940" i="1"/>
  <c r="A5939" i="1"/>
  <c r="A5938" i="1"/>
  <c r="A5937" i="1"/>
  <c r="A5936" i="1"/>
  <c r="A5935" i="1"/>
  <c r="A5934" i="1"/>
  <c r="A5933" i="1"/>
  <c r="A5932" i="1"/>
  <c r="A5931" i="1"/>
  <c r="A5930" i="1"/>
  <c r="A5929" i="1"/>
  <c r="A5928" i="1"/>
  <c r="A5927" i="1"/>
  <c r="A5926" i="1"/>
  <c r="A5925" i="1"/>
  <c r="A5924" i="1"/>
  <c r="A5923" i="1"/>
  <c r="A5922" i="1"/>
  <c r="A5921" i="1"/>
  <c r="A5920" i="1"/>
  <c r="A5919" i="1"/>
  <c r="A5918" i="1"/>
  <c r="A5917" i="1"/>
  <c r="A5916" i="1"/>
  <c r="A5915" i="1"/>
  <c r="A5914" i="1"/>
  <c r="A5913" i="1"/>
  <c r="A5912" i="1"/>
  <c r="A5911" i="1"/>
  <c r="A5910" i="1"/>
  <c r="A5909" i="1"/>
  <c r="A5908" i="1"/>
  <c r="A5907" i="1"/>
  <c r="A5906" i="1"/>
  <c r="A5905" i="1"/>
  <c r="A5904" i="1"/>
  <c r="A5903" i="1"/>
  <c r="A5902" i="1"/>
  <c r="A5901" i="1"/>
  <c r="A5900" i="1"/>
  <c r="A5899" i="1"/>
  <c r="A5898" i="1"/>
  <c r="A5897" i="1"/>
  <c r="A5896" i="1"/>
  <c r="A5895" i="1"/>
  <c r="A5894" i="1"/>
  <c r="A5893" i="1"/>
  <c r="A5892" i="1"/>
  <c r="A5891" i="1"/>
  <c r="A5890" i="1"/>
  <c r="A5889" i="1"/>
  <c r="A5888" i="1"/>
  <c r="A5887" i="1"/>
  <c r="A5886" i="1"/>
  <c r="A5885" i="1"/>
  <c r="A5884" i="1"/>
  <c r="A5883" i="1"/>
  <c r="A5882" i="1"/>
  <c r="A5881" i="1"/>
  <c r="A5880" i="1"/>
  <c r="A5879" i="1"/>
  <c r="A5878" i="1"/>
  <c r="A5877" i="1"/>
  <c r="A5876" i="1"/>
  <c r="A5875" i="1"/>
  <c r="A5874" i="1"/>
  <c r="A5873" i="1"/>
  <c r="A5872" i="1"/>
  <c r="A5871" i="1"/>
  <c r="A5870" i="1"/>
  <c r="A5869" i="1"/>
  <c r="A5868" i="1"/>
  <c r="A5867" i="1"/>
  <c r="A5866" i="1"/>
  <c r="A5865" i="1"/>
  <c r="A5864" i="1"/>
  <c r="A5863" i="1"/>
  <c r="A5862" i="1"/>
  <c r="A5861" i="1"/>
  <c r="A5860" i="1"/>
  <c r="A5859" i="1"/>
  <c r="A5858" i="1"/>
  <c r="A5857" i="1"/>
  <c r="A5856" i="1"/>
  <c r="A5855" i="1"/>
  <c r="A5854" i="1"/>
  <c r="A5853" i="1"/>
  <c r="A5852" i="1"/>
  <c r="A5851" i="1"/>
  <c r="A5850" i="1"/>
  <c r="A5849" i="1"/>
  <c r="A5848" i="1"/>
  <c r="A5847" i="1"/>
  <c r="A5846" i="1"/>
  <c r="A5845" i="1"/>
  <c r="A5844" i="1"/>
  <c r="A5843" i="1"/>
  <c r="A5842" i="1"/>
  <c r="A5841" i="1"/>
  <c r="A5840" i="1"/>
  <c r="A5839" i="1"/>
  <c r="A5838" i="1"/>
  <c r="A5837" i="1"/>
  <c r="A5836" i="1"/>
  <c r="A5835" i="1"/>
  <c r="A5834" i="1"/>
  <c r="A5833" i="1"/>
  <c r="A5832" i="1"/>
  <c r="A5831" i="1"/>
  <c r="A5830" i="1"/>
  <c r="A5829" i="1"/>
  <c r="A5828" i="1"/>
  <c r="A5827" i="1"/>
  <c r="A5826" i="1"/>
  <c r="A5825" i="1"/>
  <c r="A5824" i="1"/>
  <c r="A5823" i="1"/>
  <c r="A5822" i="1"/>
  <c r="A5821" i="1"/>
  <c r="A5820" i="1"/>
  <c r="A5819" i="1"/>
  <c r="A5818" i="1"/>
  <c r="A5817" i="1"/>
  <c r="A5816" i="1"/>
  <c r="A5815" i="1"/>
  <c r="A5814" i="1"/>
  <c r="A5813" i="1"/>
  <c r="A5812" i="1"/>
  <c r="A5811" i="1"/>
  <c r="A5810" i="1"/>
  <c r="A5809" i="1"/>
  <c r="A5808" i="1"/>
  <c r="A5807" i="1"/>
  <c r="A5806" i="1"/>
  <c r="A5805" i="1"/>
  <c r="A5804" i="1"/>
  <c r="A5803" i="1"/>
  <c r="A5802" i="1"/>
  <c r="A5801" i="1"/>
  <c r="A5800" i="1"/>
  <c r="A5799" i="1"/>
  <c r="A5798" i="1"/>
  <c r="A5797" i="1"/>
  <c r="A5796" i="1"/>
  <c r="A5795" i="1"/>
  <c r="A5794" i="1"/>
  <c r="A5793" i="1"/>
  <c r="A5792" i="1"/>
  <c r="A5791" i="1"/>
  <c r="A5790" i="1"/>
  <c r="A5789" i="1"/>
  <c r="A5788" i="1"/>
  <c r="A5787" i="1"/>
  <c r="A5786" i="1"/>
  <c r="A5785" i="1"/>
  <c r="A5784" i="1"/>
  <c r="A5783" i="1"/>
  <c r="A5782" i="1"/>
  <c r="A5781" i="1"/>
  <c r="A5780" i="1"/>
  <c r="A5779" i="1"/>
  <c r="A5778" i="1"/>
  <c r="A5777" i="1"/>
  <c r="A5776" i="1"/>
  <c r="A5775" i="1"/>
  <c r="A5774" i="1"/>
  <c r="A5773" i="1"/>
  <c r="A5772" i="1"/>
  <c r="A5771" i="1"/>
  <c r="A5770" i="1"/>
  <c r="A5769" i="1"/>
  <c r="A5768" i="1"/>
  <c r="A5767" i="1"/>
  <c r="A5766" i="1"/>
  <c r="A5765" i="1"/>
  <c r="A5764" i="1"/>
  <c r="A5763" i="1"/>
  <c r="A5762" i="1"/>
  <c r="A5761" i="1"/>
  <c r="A5760" i="1"/>
  <c r="A5759" i="1"/>
  <c r="A5758" i="1"/>
  <c r="A5757" i="1"/>
  <c r="A5756" i="1"/>
  <c r="A5755" i="1"/>
  <c r="A5754" i="1"/>
  <c r="A5753" i="1"/>
  <c r="A5752" i="1"/>
  <c r="A5751" i="1"/>
  <c r="A5750" i="1"/>
  <c r="A5749" i="1"/>
  <c r="A5748" i="1"/>
  <c r="A5747" i="1"/>
  <c r="A5746" i="1"/>
  <c r="A5745" i="1"/>
  <c r="A5744" i="1"/>
  <c r="A5743" i="1"/>
  <c r="A5742" i="1"/>
  <c r="A5741" i="1"/>
  <c r="A5740" i="1"/>
  <c r="A5739" i="1"/>
  <c r="A5738" i="1"/>
  <c r="A5737" i="1"/>
  <c r="A5736" i="1"/>
  <c r="A5735" i="1"/>
  <c r="A5734" i="1"/>
  <c r="A5733" i="1"/>
  <c r="A5732" i="1"/>
  <c r="A5731" i="1"/>
  <c r="A5730" i="1"/>
  <c r="A5729" i="1"/>
  <c r="A5728" i="1"/>
  <c r="A5727" i="1"/>
  <c r="A5726" i="1"/>
  <c r="A5725" i="1"/>
  <c r="A5724" i="1"/>
  <c r="A5723" i="1"/>
  <c r="A5722" i="1"/>
  <c r="A5721" i="1"/>
  <c r="A5720" i="1"/>
  <c r="A5719" i="1"/>
  <c r="A5718" i="1"/>
  <c r="A5717" i="1"/>
  <c r="A5716" i="1"/>
  <c r="A5715" i="1"/>
  <c r="A5714" i="1"/>
  <c r="A5713" i="1"/>
  <c r="A5712" i="1"/>
  <c r="A5711" i="1"/>
  <c r="A5710" i="1"/>
  <c r="A5709" i="1"/>
  <c r="A5708" i="1"/>
  <c r="A5707" i="1"/>
  <c r="A5706" i="1"/>
  <c r="A5705" i="1"/>
  <c r="A5704" i="1"/>
  <c r="A5703" i="1"/>
  <c r="A5702" i="1"/>
  <c r="A5701" i="1"/>
  <c r="A5700" i="1"/>
  <c r="A5699" i="1"/>
  <c r="A5698" i="1"/>
  <c r="A5697" i="1"/>
  <c r="A5696" i="1"/>
  <c r="A5695" i="1"/>
  <c r="A5694" i="1"/>
  <c r="A5693" i="1"/>
  <c r="A5692" i="1"/>
  <c r="A5691" i="1"/>
  <c r="A5690" i="1"/>
  <c r="A5689" i="1"/>
  <c r="A5688" i="1"/>
  <c r="A5687" i="1"/>
  <c r="A5686" i="1"/>
  <c r="A5685" i="1"/>
  <c r="A5684" i="1"/>
  <c r="A5683" i="1"/>
  <c r="A5682" i="1"/>
  <c r="A5681" i="1"/>
  <c r="A5680" i="1"/>
  <c r="A5679" i="1"/>
  <c r="A5678" i="1"/>
  <c r="A5677" i="1"/>
  <c r="A5676" i="1"/>
  <c r="A5675" i="1"/>
  <c r="A5674" i="1"/>
  <c r="A5673" i="1"/>
  <c r="A5672" i="1"/>
  <c r="A5671" i="1"/>
  <c r="A5670" i="1"/>
  <c r="A5669" i="1"/>
  <c r="A5668" i="1"/>
  <c r="A5667" i="1"/>
  <c r="A5666" i="1"/>
  <c r="A5665" i="1"/>
  <c r="A5664" i="1"/>
  <c r="A5663" i="1"/>
  <c r="A5662" i="1"/>
  <c r="A5661" i="1"/>
  <c r="A5660" i="1"/>
  <c r="A5659" i="1"/>
  <c r="A5658" i="1"/>
  <c r="A5657" i="1"/>
  <c r="A5656" i="1"/>
  <c r="A5655" i="1"/>
  <c r="A5654" i="1"/>
  <c r="A5653" i="1"/>
  <c r="A5652" i="1"/>
  <c r="A5651" i="1"/>
  <c r="A5650" i="1"/>
  <c r="A5649" i="1"/>
  <c r="A5648" i="1"/>
  <c r="A5647" i="1"/>
  <c r="A5646" i="1"/>
  <c r="A5645" i="1"/>
  <c r="A5644" i="1"/>
  <c r="A5643" i="1"/>
  <c r="A5642" i="1"/>
  <c r="A5641" i="1"/>
  <c r="A5640" i="1"/>
  <c r="A5639" i="1"/>
  <c r="A5638" i="1"/>
  <c r="A5637" i="1"/>
  <c r="A5636" i="1"/>
  <c r="A5635" i="1"/>
  <c r="A5634" i="1"/>
  <c r="A5633" i="1"/>
  <c r="A5632" i="1"/>
  <c r="A5631" i="1"/>
  <c r="A5630" i="1"/>
  <c r="A5629" i="1"/>
  <c r="A5628" i="1"/>
  <c r="A5627" i="1"/>
  <c r="A5626" i="1"/>
  <c r="A5625" i="1"/>
  <c r="A5624" i="1"/>
  <c r="A5623" i="1"/>
  <c r="A5622" i="1"/>
  <c r="A5621" i="1"/>
  <c r="A5620" i="1"/>
  <c r="A5619" i="1"/>
  <c r="A5618" i="1"/>
  <c r="A5617" i="1"/>
  <c r="A5616" i="1"/>
  <c r="A5615" i="1"/>
  <c r="A5614" i="1"/>
  <c r="A5613" i="1"/>
  <c r="A5612" i="1"/>
  <c r="A5611" i="1"/>
  <c r="A5610" i="1"/>
  <c r="A5609" i="1"/>
  <c r="A5608" i="1"/>
  <c r="A5607" i="1"/>
  <c r="A5606" i="1"/>
  <c r="A5605" i="1"/>
  <c r="A5604" i="1"/>
  <c r="A5603" i="1"/>
  <c r="A5602" i="1"/>
  <c r="A5601" i="1"/>
  <c r="A5600" i="1"/>
  <c r="A5599" i="1"/>
  <c r="A5598" i="1"/>
  <c r="A5597" i="1"/>
  <c r="A5596" i="1"/>
  <c r="A5595" i="1"/>
  <c r="A5594" i="1"/>
  <c r="A5593" i="1"/>
  <c r="A5592" i="1"/>
  <c r="A5591" i="1"/>
  <c r="A5590" i="1"/>
  <c r="A5589" i="1"/>
  <c r="A5588" i="1"/>
  <c r="A5587" i="1"/>
  <c r="A5586" i="1"/>
  <c r="A5585" i="1"/>
  <c r="A5584" i="1"/>
  <c r="A5583" i="1"/>
  <c r="A5582" i="1"/>
  <c r="A5581" i="1"/>
  <c r="A5580" i="1"/>
  <c r="A5579" i="1"/>
  <c r="A5578" i="1"/>
  <c r="A5577" i="1"/>
  <c r="A5576" i="1"/>
  <c r="A5575" i="1"/>
  <c r="A5574" i="1"/>
  <c r="A5573" i="1"/>
  <c r="A5572" i="1"/>
  <c r="A5571" i="1"/>
  <c r="A5570" i="1"/>
  <c r="A5569" i="1"/>
  <c r="A5568" i="1"/>
  <c r="A5567" i="1"/>
  <c r="A5566" i="1"/>
  <c r="A5565" i="1"/>
  <c r="A5564" i="1"/>
  <c r="A5563" i="1"/>
  <c r="A5562" i="1"/>
  <c r="A5561" i="1"/>
  <c r="A5560" i="1"/>
  <c r="A5559" i="1"/>
  <c r="A5558" i="1"/>
  <c r="A5557" i="1"/>
  <c r="A5556" i="1"/>
  <c r="A5555" i="1"/>
  <c r="A5554" i="1"/>
  <c r="A5553" i="1"/>
  <c r="A5552" i="1"/>
  <c r="A5551" i="1"/>
  <c r="A5550" i="1"/>
  <c r="A5549" i="1"/>
  <c r="A5548" i="1"/>
  <c r="A5547" i="1"/>
  <c r="A5546" i="1"/>
  <c r="A5545" i="1"/>
  <c r="A5544" i="1"/>
  <c r="A5543" i="1"/>
  <c r="A5542" i="1"/>
  <c r="A5541" i="1"/>
  <c r="A5540" i="1"/>
  <c r="A5539" i="1"/>
  <c r="A5538" i="1"/>
  <c r="A5537" i="1"/>
  <c r="A5536" i="1"/>
  <c r="A5535" i="1"/>
  <c r="A5534" i="1"/>
  <c r="A5533" i="1"/>
  <c r="A5532" i="1"/>
  <c r="A5531" i="1"/>
  <c r="A5530" i="1"/>
  <c r="A5529" i="1"/>
  <c r="A5528" i="1"/>
  <c r="A5527" i="1"/>
  <c r="A5526" i="1"/>
  <c r="A5525" i="1"/>
  <c r="A5524" i="1"/>
  <c r="A5523" i="1"/>
  <c r="A5522" i="1"/>
  <c r="A5521" i="1"/>
  <c r="A5520" i="1"/>
  <c r="A5519" i="1"/>
  <c r="A5518" i="1"/>
  <c r="A5517" i="1"/>
  <c r="A5516" i="1"/>
  <c r="A5515" i="1"/>
  <c r="A5514" i="1"/>
  <c r="A5513" i="1"/>
  <c r="A5512" i="1"/>
  <c r="A5511" i="1"/>
  <c r="A5510" i="1"/>
  <c r="A5509" i="1"/>
  <c r="A5508" i="1"/>
  <c r="A5507" i="1"/>
  <c r="A5506" i="1"/>
  <c r="A5505" i="1"/>
  <c r="A5504" i="1"/>
  <c r="A5503" i="1"/>
  <c r="A5502" i="1"/>
  <c r="A5501" i="1"/>
  <c r="A5500" i="1"/>
  <c r="A5499" i="1"/>
  <c r="A5498" i="1"/>
  <c r="A5497" i="1"/>
  <c r="A5496" i="1"/>
  <c r="A5495" i="1"/>
  <c r="A5494" i="1"/>
  <c r="A5493" i="1"/>
  <c r="A5492" i="1"/>
  <c r="A5491" i="1"/>
  <c r="A5490" i="1"/>
  <c r="A5489" i="1"/>
  <c r="A5488" i="1"/>
  <c r="A5487" i="1"/>
  <c r="A5486" i="1"/>
  <c r="A5485" i="1"/>
  <c r="A5484" i="1"/>
  <c r="A5483" i="1"/>
  <c r="A5482" i="1"/>
  <c r="A5481" i="1"/>
  <c r="A5480" i="1"/>
  <c r="A5479" i="1"/>
  <c r="A5478" i="1"/>
  <c r="A5477" i="1"/>
  <c r="A5476" i="1"/>
  <c r="A5475" i="1"/>
  <c r="A5474" i="1"/>
  <c r="A5473" i="1"/>
  <c r="A5472" i="1"/>
  <c r="A5471" i="1"/>
  <c r="A5470" i="1"/>
  <c r="A5469" i="1"/>
  <c r="A5468" i="1"/>
  <c r="A5467" i="1"/>
  <c r="A5466" i="1"/>
  <c r="A5465" i="1"/>
  <c r="A5464" i="1"/>
  <c r="A5463" i="1"/>
  <c r="A5462" i="1"/>
  <c r="A5461" i="1"/>
  <c r="A5460" i="1"/>
  <c r="A5459" i="1"/>
  <c r="A5458" i="1"/>
  <c r="A5457" i="1"/>
  <c r="A5456" i="1"/>
  <c r="A5455" i="1"/>
  <c r="A5454" i="1"/>
  <c r="A5453" i="1"/>
  <c r="A5452" i="1"/>
  <c r="A5451" i="1"/>
  <c r="A5450" i="1"/>
  <c r="A5449" i="1"/>
  <c r="A5448" i="1"/>
  <c r="A5447" i="1"/>
  <c r="A5446" i="1"/>
  <c r="A5445" i="1"/>
  <c r="A5444" i="1"/>
  <c r="A5443" i="1"/>
  <c r="A5442" i="1"/>
  <c r="A5441" i="1"/>
  <c r="A5440" i="1"/>
  <c r="A5439" i="1"/>
  <c r="A5438" i="1"/>
  <c r="A5437" i="1"/>
  <c r="A5436" i="1"/>
  <c r="A5435" i="1"/>
  <c r="A5434" i="1"/>
  <c r="A5433" i="1"/>
  <c r="A5432" i="1"/>
  <c r="A5431" i="1"/>
  <c r="A5430" i="1"/>
  <c r="A5429" i="1"/>
  <c r="A5428" i="1"/>
  <c r="A5427" i="1"/>
  <c r="A5426" i="1"/>
  <c r="A5425" i="1"/>
  <c r="A5424" i="1"/>
  <c r="A5423" i="1"/>
  <c r="A5422" i="1"/>
  <c r="A5421" i="1"/>
  <c r="A5420" i="1"/>
  <c r="A5419" i="1"/>
  <c r="A5418" i="1"/>
  <c r="A5417" i="1"/>
  <c r="A5416" i="1"/>
  <c r="A5415" i="1"/>
  <c r="A5414" i="1"/>
  <c r="A5413" i="1"/>
  <c r="A5412" i="1"/>
  <c r="A5411" i="1"/>
  <c r="A5410" i="1"/>
  <c r="A5409" i="1"/>
  <c r="A5408" i="1"/>
  <c r="A5407" i="1"/>
  <c r="A5406" i="1"/>
  <c r="A5405" i="1"/>
  <c r="A5404" i="1"/>
  <c r="A5403" i="1"/>
  <c r="A5402" i="1"/>
  <c r="A5401" i="1"/>
  <c r="A5400" i="1"/>
  <c r="A5399" i="1"/>
  <c r="A5398" i="1"/>
  <c r="A5397" i="1"/>
  <c r="A5396" i="1"/>
  <c r="A5395" i="1"/>
  <c r="A5394" i="1"/>
  <c r="A5393" i="1"/>
  <c r="A5392" i="1"/>
  <c r="A5391" i="1"/>
  <c r="A5390" i="1"/>
  <c r="A5389" i="1"/>
  <c r="A5388" i="1"/>
  <c r="A5387" i="1"/>
  <c r="A5386" i="1"/>
  <c r="A5385" i="1"/>
  <c r="A5384" i="1"/>
  <c r="A5383" i="1"/>
  <c r="A5382" i="1"/>
  <c r="A5381" i="1"/>
  <c r="A5380" i="1"/>
  <c r="A5379" i="1"/>
  <c r="A5378" i="1"/>
  <c r="A5377" i="1"/>
  <c r="A5376" i="1"/>
  <c r="A5375" i="1"/>
  <c r="A5374" i="1"/>
  <c r="A5373" i="1"/>
  <c r="A5372" i="1"/>
  <c r="A5371" i="1"/>
  <c r="A5370" i="1"/>
  <c r="A5369" i="1"/>
  <c r="A5368" i="1"/>
  <c r="A5367" i="1"/>
  <c r="A5366" i="1"/>
  <c r="A5365" i="1"/>
  <c r="A5364" i="1"/>
  <c r="A5363" i="1"/>
  <c r="A5362" i="1"/>
  <c r="A5361" i="1"/>
  <c r="A5360" i="1"/>
  <c r="A5359" i="1"/>
  <c r="A5358" i="1"/>
  <c r="A5357" i="1"/>
  <c r="A5356" i="1"/>
  <c r="A5355" i="1"/>
  <c r="A5354" i="1"/>
  <c r="A5353" i="1"/>
  <c r="A5352" i="1"/>
  <c r="A5351" i="1"/>
  <c r="A5350" i="1"/>
  <c r="A5349" i="1"/>
  <c r="A5348" i="1"/>
  <c r="A5347" i="1"/>
  <c r="A5346" i="1"/>
  <c r="A5345" i="1"/>
  <c r="A5344" i="1"/>
  <c r="A5343" i="1"/>
  <c r="A5342" i="1"/>
  <c r="A5341" i="1"/>
  <c r="A5340" i="1"/>
  <c r="A5339" i="1"/>
  <c r="A5338" i="1"/>
  <c r="A5337" i="1"/>
  <c r="A5336" i="1"/>
  <c r="A5335" i="1"/>
  <c r="A5334" i="1"/>
  <c r="A5333" i="1"/>
  <c r="A5332" i="1"/>
  <c r="A5331" i="1"/>
  <c r="A5330" i="1"/>
  <c r="A5329" i="1"/>
  <c r="A5328" i="1"/>
  <c r="A5327" i="1"/>
  <c r="A5326" i="1"/>
  <c r="A5325" i="1"/>
  <c r="A5324" i="1"/>
  <c r="A5323" i="1"/>
  <c r="A5322" i="1"/>
  <c r="A5321" i="1"/>
  <c r="A5320" i="1"/>
  <c r="A5319" i="1"/>
  <c r="A5318" i="1"/>
  <c r="A5317" i="1"/>
  <c r="A5316" i="1"/>
  <c r="A5315" i="1"/>
  <c r="A5314" i="1"/>
  <c r="A5313" i="1"/>
  <c r="A5312" i="1"/>
  <c r="A5311" i="1"/>
  <c r="A5310" i="1"/>
  <c r="A5309" i="1"/>
  <c r="A5308" i="1"/>
  <c r="A5307" i="1"/>
  <c r="A5306" i="1"/>
  <c r="A5305" i="1"/>
  <c r="A5304" i="1"/>
  <c r="A5303" i="1"/>
  <c r="A5302" i="1"/>
  <c r="A5301" i="1"/>
  <c r="A5300" i="1"/>
  <c r="A5299" i="1"/>
  <c r="A5298" i="1"/>
  <c r="A5297" i="1"/>
  <c r="A5296" i="1"/>
  <c r="A5295" i="1"/>
  <c r="A5294" i="1"/>
  <c r="A5293" i="1"/>
  <c r="A5292" i="1"/>
  <c r="A5291" i="1"/>
  <c r="A5290" i="1"/>
  <c r="A5289" i="1"/>
  <c r="A5288" i="1"/>
  <c r="A5287" i="1"/>
  <c r="A5286" i="1"/>
  <c r="A5285" i="1"/>
  <c r="A5284" i="1"/>
  <c r="A5283" i="1"/>
  <c r="A5282" i="1"/>
  <c r="A5281" i="1"/>
  <c r="A5280" i="1"/>
  <c r="A5279" i="1"/>
  <c r="A5278" i="1"/>
  <c r="A5277" i="1"/>
  <c r="A5276" i="1"/>
  <c r="A5275" i="1"/>
  <c r="A5274" i="1"/>
  <c r="A5273" i="1"/>
  <c r="A5272" i="1"/>
  <c r="A5271" i="1"/>
  <c r="A5270" i="1"/>
  <c r="A5269" i="1"/>
  <c r="A5268" i="1"/>
  <c r="A5267" i="1"/>
  <c r="A5266" i="1"/>
  <c r="A5265" i="1"/>
  <c r="A5264" i="1"/>
  <c r="A5263" i="1"/>
  <c r="A5262" i="1"/>
  <c r="A5261" i="1"/>
  <c r="A5260" i="1"/>
  <c r="A5259" i="1"/>
  <c r="A5258" i="1"/>
  <c r="A5257" i="1"/>
  <c r="A5256" i="1"/>
  <c r="A5255" i="1"/>
  <c r="A5254" i="1"/>
  <c r="A5253" i="1"/>
  <c r="A5252" i="1"/>
  <c r="A5251" i="1"/>
  <c r="A5250" i="1"/>
  <c r="A5249" i="1"/>
  <c r="A5248" i="1"/>
  <c r="A5247" i="1"/>
  <c r="A5246" i="1"/>
  <c r="A5245" i="1"/>
  <c r="A5244" i="1"/>
  <c r="A5243" i="1"/>
  <c r="A5242" i="1"/>
  <c r="A5241" i="1"/>
  <c r="A5240" i="1"/>
  <c r="A5239" i="1"/>
  <c r="A5238" i="1"/>
  <c r="A5237" i="1"/>
  <c r="A5236" i="1"/>
  <c r="A5235" i="1"/>
  <c r="A5234" i="1"/>
  <c r="A5233" i="1"/>
  <c r="A5232" i="1"/>
  <c r="A5231" i="1"/>
  <c r="A5230" i="1"/>
  <c r="A5229" i="1"/>
  <c r="A5228" i="1"/>
  <c r="A5227" i="1"/>
  <c r="A5226" i="1"/>
  <c r="A5225" i="1"/>
  <c r="A5224" i="1"/>
  <c r="A5223" i="1"/>
  <c r="A5222" i="1"/>
  <c r="A5221" i="1"/>
  <c r="A5220" i="1"/>
  <c r="A5219" i="1"/>
  <c r="A5218" i="1"/>
  <c r="A5217" i="1"/>
  <c r="A5216" i="1"/>
  <c r="A5215" i="1"/>
  <c r="A5214" i="1"/>
  <c r="A5213" i="1"/>
  <c r="A5212" i="1"/>
  <c r="A5211" i="1"/>
  <c r="A5210" i="1"/>
  <c r="A5209" i="1"/>
  <c r="A5208" i="1"/>
  <c r="A5207" i="1"/>
  <c r="A5206" i="1"/>
  <c r="A5205" i="1"/>
  <c r="A5204" i="1"/>
  <c r="A5203" i="1"/>
  <c r="A5202" i="1"/>
  <c r="A5201" i="1"/>
  <c r="A5200" i="1"/>
  <c r="A5199" i="1"/>
  <c r="A5198" i="1"/>
  <c r="A5197" i="1"/>
  <c r="A5196" i="1"/>
  <c r="A5195" i="1"/>
  <c r="A5194" i="1"/>
  <c r="A5193" i="1"/>
  <c r="A5192" i="1"/>
  <c r="A5191" i="1"/>
  <c r="A5190" i="1"/>
  <c r="A5189" i="1"/>
  <c r="A5188" i="1"/>
  <c r="A5187" i="1"/>
  <c r="A5186" i="1"/>
  <c r="A5185" i="1"/>
  <c r="A5184" i="1"/>
  <c r="A5183" i="1"/>
  <c r="A5182" i="1"/>
  <c r="A5181" i="1"/>
  <c r="A5180" i="1"/>
  <c r="A5179" i="1"/>
  <c r="A5178" i="1"/>
  <c r="A5177" i="1"/>
  <c r="A5176" i="1"/>
  <c r="A5175" i="1"/>
  <c r="A5174" i="1"/>
  <c r="A5173" i="1"/>
  <c r="A5172" i="1"/>
  <c r="A5171" i="1"/>
  <c r="A5170" i="1"/>
  <c r="A5169" i="1"/>
  <c r="A5168" i="1"/>
  <c r="A5167" i="1"/>
  <c r="A5166" i="1"/>
  <c r="A5165" i="1"/>
  <c r="A5164" i="1"/>
  <c r="A5163" i="1"/>
  <c r="A5162" i="1"/>
  <c r="A5161" i="1"/>
  <c r="A5160" i="1"/>
  <c r="A5159" i="1"/>
  <c r="A5158" i="1"/>
  <c r="A5157" i="1"/>
  <c r="A5156" i="1"/>
  <c r="A5155" i="1"/>
  <c r="A5154" i="1"/>
  <c r="A5153" i="1"/>
  <c r="A5152" i="1"/>
  <c r="A5151" i="1"/>
  <c r="A5150" i="1"/>
  <c r="A5149" i="1"/>
  <c r="A5148" i="1"/>
  <c r="A5147" i="1"/>
  <c r="A5146" i="1"/>
  <c r="A5145" i="1"/>
  <c r="A5144" i="1"/>
  <c r="A5143" i="1"/>
  <c r="A5142" i="1"/>
  <c r="A5141" i="1"/>
  <c r="A5140" i="1"/>
  <c r="A5139" i="1"/>
  <c r="A5138" i="1"/>
  <c r="A5137" i="1"/>
  <c r="A5136" i="1"/>
  <c r="A5135" i="1"/>
  <c r="A5134" i="1"/>
  <c r="A5133" i="1"/>
  <c r="A5132" i="1"/>
  <c r="A5131" i="1"/>
  <c r="A5130" i="1"/>
  <c r="A5129" i="1"/>
  <c r="A5128" i="1"/>
  <c r="A5127" i="1"/>
  <c r="A5126" i="1"/>
  <c r="A5125" i="1"/>
  <c r="A5124" i="1"/>
  <c r="A5123" i="1"/>
  <c r="A5122" i="1"/>
  <c r="A5121" i="1"/>
  <c r="A5120" i="1"/>
  <c r="A5119" i="1"/>
  <c r="A5118" i="1"/>
  <c r="A5117" i="1"/>
  <c r="A5116" i="1"/>
  <c r="A5115" i="1"/>
  <c r="A5114" i="1"/>
  <c r="A5113" i="1"/>
  <c r="A5112" i="1"/>
  <c r="A5111" i="1"/>
  <c r="A5110" i="1"/>
  <c r="A5109" i="1"/>
  <c r="A5108" i="1"/>
  <c r="A5107" i="1"/>
  <c r="A5106" i="1"/>
  <c r="A5105" i="1"/>
  <c r="A5104" i="1"/>
  <c r="A5103" i="1"/>
  <c r="A5102" i="1"/>
  <c r="A5101" i="1"/>
  <c r="A5100" i="1"/>
  <c r="A5099" i="1"/>
  <c r="A5098" i="1"/>
  <c r="A5097" i="1"/>
  <c r="A5096" i="1"/>
  <c r="A5095" i="1"/>
  <c r="A5094" i="1"/>
  <c r="A5093" i="1"/>
  <c r="A5092" i="1"/>
  <c r="A5091" i="1"/>
  <c r="A5090" i="1"/>
  <c r="A5089" i="1"/>
  <c r="A5088" i="1"/>
  <c r="A5087" i="1"/>
  <c r="A5086" i="1"/>
  <c r="A5085" i="1"/>
  <c r="A5084" i="1"/>
  <c r="A5083" i="1"/>
  <c r="A5082" i="1"/>
  <c r="A5081" i="1"/>
  <c r="A5080" i="1"/>
  <c r="A5079" i="1"/>
  <c r="A5078" i="1"/>
  <c r="A5077" i="1"/>
  <c r="A5076" i="1"/>
  <c r="A5075" i="1"/>
  <c r="A5074" i="1"/>
  <c r="A5073" i="1"/>
  <c r="A5072" i="1"/>
  <c r="A5071" i="1"/>
  <c r="A5070" i="1"/>
  <c r="A5069" i="1"/>
  <c r="A5068" i="1"/>
  <c r="A5067" i="1"/>
  <c r="A5066" i="1"/>
  <c r="A5065" i="1"/>
  <c r="A5064" i="1"/>
  <c r="A5063" i="1"/>
  <c r="A5062" i="1"/>
  <c r="A5061" i="1"/>
  <c r="A5060" i="1"/>
  <c r="A5059" i="1"/>
  <c r="A5058" i="1"/>
  <c r="A5057" i="1"/>
  <c r="A5056" i="1"/>
  <c r="A5055" i="1"/>
  <c r="A5054" i="1"/>
  <c r="A5053" i="1"/>
  <c r="A5052" i="1"/>
  <c r="A5051" i="1"/>
  <c r="A5050" i="1"/>
  <c r="A5049" i="1"/>
  <c r="A5048" i="1"/>
  <c r="A5047" i="1"/>
  <c r="A5046" i="1"/>
  <c r="A5045" i="1"/>
  <c r="A5044" i="1"/>
  <c r="A5043" i="1"/>
  <c r="A5042" i="1"/>
  <c r="A5041" i="1"/>
  <c r="A5040" i="1"/>
  <c r="A5039" i="1"/>
  <c r="A5038" i="1"/>
  <c r="A5037" i="1"/>
  <c r="A5036" i="1"/>
  <c r="A5035" i="1"/>
  <c r="A5034" i="1"/>
  <c r="A5033" i="1"/>
  <c r="A5032" i="1"/>
  <c r="A5031" i="1"/>
  <c r="A5030" i="1"/>
  <c r="A5029" i="1"/>
  <c r="A5028" i="1"/>
  <c r="A5027" i="1"/>
  <c r="A5026" i="1"/>
  <c r="A5025" i="1"/>
  <c r="A5024" i="1"/>
  <c r="A5023" i="1"/>
  <c r="A5022" i="1"/>
  <c r="A5021" i="1"/>
  <c r="A5020" i="1"/>
  <c r="A5019" i="1"/>
  <c r="A5018" i="1"/>
  <c r="A5017" i="1"/>
  <c r="A5016" i="1"/>
  <c r="A5015" i="1"/>
  <c r="A5014" i="1"/>
  <c r="A5013" i="1"/>
  <c r="A5012" i="1"/>
  <c r="A5011" i="1"/>
  <c r="A5010" i="1"/>
  <c r="A5009" i="1"/>
  <c r="A5008" i="1"/>
  <c r="A5007" i="1"/>
  <c r="A5006" i="1"/>
  <c r="A5005" i="1"/>
  <c r="A5004" i="1"/>
  <c r="A5003" i="1"/>
  <c r="A5002" i="1"/>
  <c r="A5001" i="1"/>
  <c r="A5000" i="1"/>
  <c r="A4999" i="1"/>
  <c r="A4998" i="1"/>
  <c r="A4997" i="1"/>
  <c r="A4996" i="1"/>
  <c r="A4995" i="1"/>
  <c r="A4994" i="1"/>
  <c r="A4993" i="1"/>
  <c r="A4992" i="1"/>
  <c r="A4991" i="1"/>
  <c r="A4990" i="1"/>
  <c r="A4989" i="1"/>
  <c r="A4988" i="1"/>
  <c r="A4987" i="1"/>
  <c r="A4986" i="1"/>
  <c r="A4985" i="1"/>
  <c r="A4984" i="1"/>
  <c r="A4983" i="1"/>
  <c r="A4982" i="1"/>
  <c r="A4981" i="1"/>
  <c r="A4980" i="1"/>
  <c r="A4979" i="1"/>
  <c r="A4978" i="1"/>
  <c r="A4977" i="1"/>
  <c r="A4976" i="1"/>
  <c r="A4975" i="1"/>
  <c r="A4974" i="1"/>
  <c r="A4973" i="1"/>
  <c r="A4972" i="1"/>
  <c r="A4971" i="1"/>
  <c r="A4970" i="1"/>
  <c r="A4969" i="1"/>
  <c r="A4968" i="1"/>
  <c r="A4967" i="1"/>
  <c r="A4966" i="1"/>
  <c r="A4965" i="1"/>
  <c r="A4964" i="1"/>
  <c r="A4963" i="1"/>
  <c r="A4962" i="1"/>
  <c r="A4961" i="1"/>
  <c r="A4960" i="1"/>
  <c r="A4959" i="1"/>
  <c r="A4958" i="1"/>
  <c r="A4957" i="1"/>
  <c r="A4956" i="1"/>
  <c r="A4955" i="1"/>
  <c r="A4954" i="1"/>
  <c r="A4953" i="1"/>
  <c r="A4952" i="1"/>
  <c r="A4951" i="1"/>
  <c r="A4950" i="1"/>
  <c r="A4949" i="1"/>
  <c r="A4948" i="1"/>
  <c r="A4947" i="1"/>
  <c r="A4946" i="1"/>
  <c r="A4945" i="1"/>
  <c r="A4944" i="1"/>
  <c r="A4943" i="1"/>
  <c r="A4942" i="1"/>
  <c r="A4941" i="1"/>
  <c r="A4940" i="1"/>
  <c r="A4939" i="1"/>
  <c r="A4938" i="1"/>
  <c r="A4937" i="1"/>
  <c r="A4936" i="1"/>
  <c r="A4935" i="1"/>
  <c r="A4934" i="1"/>
  <c r="A4933" i="1"/>
  <c r="A4932" i="1"/>
  <c r="A4931" i="1"/>
  <c r="A4930" i="1"/>
  <c r="A4929" i="1"/>
  <c r="A4928" i="1"/>
  <c r="A4927" i="1"/>
  <c r="A4926" i="1"/>
  <c r="A4925" i="1"/>
  <c r="A4924" i="1"/>
  <c r="A4923" i="1"/>
  <c r="A4922" i="1"/>
  <c r="A4921" i="1"/>
  <c r="A4920" i="1"/>
  <c r="A4919" i="1"/>
  <c r="A4918" i="1"/>
  <c r="A4917" i="1"/>
  <c r="A4916" i="1"/>
  <c r="A4915" i="1"/>
  <c r="A4914" i="1"/>
  <c r="A4913" i="1"/>
  <c r="A4912" i="1"/>
  <c r="A4911" i="1"/>
  <c r="A4910" i="1"/>
  <c r="A4909" i="1"/>
  <c r="A4908" i="1"/>
  <c r="A4907" i="1"/>
  <c r="A4906" i="1"/>
  <c r="A4905" i="1"/>
  <c r="A4904" i="1"/>
  <c r="A4903" i="1"/>
  <c r="A4902" i="1"/>
  <c r="A4901" i="1"/>
  <c r="A4900" i="1"/>
  <c r="A4899" i="1"/>
  <c r="A4898" i="1"/>
  <c r="A4897" i="1"/>
  <c r="A4896" i="1"/>
  <c r="A4895" i="1"/>
  <c r="A4894" i="1"/>
  <c r="A4893" i="1"/>
  <c r="A4892" i="1"/>
  <c r="A4891" i="1"/>
  <c r="A4890" i="1"/>
  <c r="A4889" i="1"/>
  <c r="A4888" i="1"/>
  <c r="A4887" i="1"/>
  <c r="A4886" i="1"/>
  <c r="A4885" i="1"/>
  <c r="A4884" i="1"/>
  <c r="A4883" i="1"/>
  <c r="A4882" i="1"/>
  <c r="A4881" i="1"/>
  <c r="A4880" i="1"/>
  <c r="A4879" i="1"/>
  <c r="A4878" i="1"/>
  <c r="A4877" i="1"/>
  <c r="A4876" i="1"/>
  <c r="A4875" i="1"/>
  <c r="A4874" i="1"/>
  <c r="A4873" i="1"/>
  <c r="A4872" i="1"/>
  <c r="A4871" i="1"/>
  <c r="A4870" i="1"/>
  <c r="A4869" i="1"/>
  <c r="A4868" i="1"/>
  <c r="A4867" i="1"/>
  <c r="A4866" i="1"/>
  <c r="A4865" i="1"/>
  <c r="A4864" i="1"/>
  <c r="A4863" i="1"/>
  <c r="A4862" i="1"/>
  <c r="A4861" i="1"/>
  <c r="A4860" i="1"/>
  <c r="A4859" i="1"/>
  <c r="A4858" i="1"/>
  <c r="A4857" i="1"/>
  <c r="A4856" i="1"/>
  <c r="A4855" i="1"/>
  <c r="A4854" i="1"/>
  <c r="A4853" i="1"/>
  <c r="A4852" i="1"/>
  <c r="A4851" i="1"/>
  <c r="A4850" i="1"/>
  <c r="A4849" i="1"/>
  <c r="A4848" i="1"/>
  <c r="A4847" i="1"/>
  <c r="A4846" i="1"/>
  <c r="A4845" i="1"/>
  <c r="A4844" i="1"/>
  <c r="A4843" i="1"/>
  <c r="A4842" i="1"/>
  <c r="A4841" i="1"/>
  <c r="A4840" i="1"/>
  <c r="A4839" i="1"/>
  <c r="A4838" i="1"/>
  <c r="A4837" i="1"/>
  <c r="A4836" i="1"/>
  <c r="A4835" i="1"/>
  <c r="A4834" i="1"/>
  <c r="A4833" i="1"/>
  <c r="A4832" i="1"/>
  <c r="A4831" i="1"/>
  <c r="A4830" i="1"/>
  <c r="A4829" i="1"/>
  <c r="A4828" i="1"/>
  <c r="A4827" i="1"/>
  <c r="A4826" i="1"/>
  <c r="A4825" i="1"/>
  <c r="A4824" i="1"/>
  <c r="A4823" i="1"/>
  <c r="A4822" i="1"/>
  <c r="A4821" i="1"/>
  <c r="A4820" i="1"/>
  <c r="A4819" i="1"/>
  <c r="A4818" i="1"/>
  <c r="A4817" i="1"/>
  <c r="A4816" i="1"/>
  <c r="A4815" i="1"/>
  <c r="A4814" i="1"/>
  <c r="A4813" i="1"/>
  <c r="A4812" i="1"/>
  <c r="A4811" i="1"/>
  <c r="A4810" i="1"/>
  <c r="A4809" i="1"/>
  <c r="A4808" i="1"/>
  <c r="A4807" i="1"/>
  <c r="A4806" i="1"/>
  <c r="A4805" i="1"/>
  <c r="A4804" i="1"/>
  <c r="A4803" i="1"/>
  <c r="A4802" i="1"/>
  <c r="A4801" i="1"/>
  <c r="A4800" i="1"/>
  <c r="A4799" i="1"/>
  <c r="A4798" i="1"/>
  <c r="A4797" i="1"/>
  <c r="A4796" i="1"/>
  <c r="A4795" i="1"/>
  <c r="A4794" i="1"/>
  <c r="A4793" i="1"/>
  <c r="A4792" i="1"/>
  <c r="A4791" i="1"/>
  <c r="A4790" i="1"/>
  <c r="A4789" i="1"/>
  <c r="A4788" i="1"/>
  <c r="A4787" i="1"/>
  <c r="A4786" i="1"/>
  <c r="A4785" i="1"/>
  <c r="A4784" i="1"/>
  <c r="A4783" i="1"/>
  <c r="A4782" i="1"/>
  <c r="A4781" i="1"/>
  <c r="A4780" i="1"/>
  <c r="A4779" i="1"/>
  <c r="A4778" i="1"/>
  <c r="A4777" i="1"/>
  <c r="A4776" i="1"/>
  <c r="A4775" i="1"/>
  <c r="A4774" i="1"/>
  <c r="A4773" i="1"/>
  <c r="A4772" i="1"/>
  <c r="A4771" i="1"/>
  <c r="A4770" i="1"/>
  <c r="A4769" i="1"/>
  <c r="A4768" i="1"/>
  <c r="A4767" i="1"/>
  <c r="A4766" i="1"/>
  <c r="A4765" i="1"/>
  <c r="A4764" i="1"/>
  <c r="A4763" i="1"/>
  <c r="A4762" i="1"/>
  <c r="A4761" i="1"/>
  <c r="A4760" i="1"/>
  <c r="A4759" i="1"/>
  <c r="A4758" i="1"/>
  <c r="A4757" i="1"/>
  <c r="A4756" i="1"/>
  <c r="A4755" i="1"/>
  <c r="A4754" i="1"/>
  <c r="A4753" i="1"/>
  <c r="A4752" i="1"/>
  <c r="A4751" i="1"/>
  <c r="A4750" i="1"/>
  <c r="A4749" i="1"/>
  <c r="A4748" i="1"/>
  <c r="A4747" i="1"/>
  <c r="A4746" i="1"/>
  <c r="A4745" i="1"/>
  <c r="A4744" i="1"/>
  <c r="A4743" i="1"/>
  <c r="A4742" i="1"/>
  <c r="A4741" i="1"/>
  <c r="A4740" i="1"/>
  <c r="A4739" i="1"/>
  <c r="A4738" i="1"/>
  <c r="A4737" i="1"/>
  <c r="A4736" i="1"/>
  <c r="A4735" i="1"/>
  <c r="A4734" i="1"/>
  <c r="A4733" i="1"/>
  <c r="A4732" i="1"/>
  <c r="A4731" i="1"/>
  <c r="A4730" i="1"/>
  <c r="A4729" i="1"/>
  <c r="A4728" i="1"/>
  <c r="A4727" i="1"/>
  <c r="A4726" i="1"/>
  <c r="A4725" i="1"/>
  <c r="A4724" i="1"/>
  <c r="A4723" i="1"/>
  <c r="A4722" i="1"/>
  <c r="A4721" i="1"/>
  <c r="A4720" i="1"/>
  <c r="A4719" i="1"/>
  <c r="A4718" i="1"/>
  <c r="A4717" i="1"/>
  <c r="A4716" i="1"/>
  <c r="A4715" i="1"/>
  <c r="A4714" i="1"/>
  <c r="A4713" i="1"/>
  <c r="A4712" i="1"/>
  <c r="A4711" i="1"/>
  <c r="A4710" i="1"/>
  <c r="A4709" i="1"/>
  <c r="A4708" i="1"/>
  <c r="A4707" i="1"/>
  <c r="A4706" i="1"/>
  <c r="A4705" i="1"/>
  <c r="A4704" i="1"/>
  <c r="A4703" i="1"/>
  <c r="A4702" i="1"/>
  <c r="A4701" i="1"/>
  <c r="A4700" i="1"/>
  <c r="A4699" i="1"/>
  <c r="A4698" i="1"/>
  <c r="A4697" i="1"/>
  <c r="A4696" i="1"/>
  <c r="A4695" i="1"/>
  <c r="A4694" i="1"/>
  <c r="A4693" i="1"/>
  <c r="A4692" i="1"/>
  <c r="A4691" i="1"/>
  <c r="A4690" i="1"/>
  <c r="A4689" i="1"/>
  <c r="A4688" i="1"/>
  <c r="A4687" i="1"/>
  <c r="A4686" i="1"/>
  <c r="A4685" i="1"/>
  <c r="A4684" i="1"/>
  <c r="A4683" i="1"/>
  <c r="A4682" i="1"/>
  <c r="A4681" i="1"/>
  <c r="A4680" i="1"/>
  <c r="A4679" i="1"/>
  <c r="A4678" i="1"/>
  <c r="A4677" i="1"/>
  <c r="A4676" i="1"/>
  <c r="A4675" i="1"/>
  <c r="A4674" i="1"/>
  <c r="A4673" i="1"/>
  <c r="A4672" i="1"/>
  <c r="A4671" i="1"/>
  <c r="A4670" i="1"/>
  <c r="A4669" i="1"/>
  <c r="A4668" i="1"/>
  <c r="A4667" i="1"/>
  <c r="A4666" i="1"/>
  <c r="A4665" i="1"/>
  <c r="A4664" i="1"/>
  <c r="A4663" i="1"/>
  <c r="A4662" i="1"/>
  <c r="A4661" i="1"/>
  <c r="A4660" i="1"/>
  <c r="A4659" i="1"/>
  <c r="A4658" i="1"/>
  <c r="A4657" i="1"/>
  <c r="A4656" i="1"/>
  <c r="A4655" i="1"/>
  <c r="A4654" i="1"/>
  <c r="A4653" i="1"/>
  <c r="A4652" i="1"/>
  <c r="A4651" i="1"/>
  <c r="A4650" i="1"/>
  <c r="A4649" i="1"/>
  <c r="A4648" i="1"/>
  <c r="A4647" i="1"/>
  <c r="A4646" i="1"/>
  <c r="A4645" i="1"/>
  <c r="A4644" i="1"/>
  <c r="A4643" i="1"/>
  <c r="A4642" i="1"/>
  <c r="A4641" i="1"/>
  <c r="A4640" i="1"/>
  <c r="A4639" i="1"/>
  <c r="A4638" i="1"/>
  <c r="A4637" i="1"/>
  <c r="A4636" i="1"/>
  <c r="A4635" i="1"/>
  <c r="A4634" i="1"/>
  <c r="A4633" i="1"/>
  <c r="A4632" i="1"/>
  <c r="A4631" i="1"/>
  <c r="A4630" i="1"/>
  <c r="A4629" i="1"/>
  <c r="A4628" i="1"/>
  <c r="A4627" i="1"/>
  <c r="A4626" i="1"/>
  <c r="A4625" i="1"/>
  <c r="A4624" i="1"/>
  <c r="A4623" i="1"/>
  <c r="A4622" i="1"/>
  <c r="A4621" i="1"/>
  <c r="A4620" i="1"/>
  <c r="A4619" i="1"/>
  <c r="A4618" i="1"/>
  <c r="A4617" i="1"/>
  <c r="A4616" i="1"/>
  <c r="A4615" i="1"/>
  <c r="A4614" i="1"/>
  <c r="A4613" i="1"/>
  <c r="A4612" i="1"/>
  <c r="A4611" i="1"/>
  <c r="A4610" i="1"/>
  <c r="A4609" i="1"/>
  <c r="A4608" i="1"/>
  <c r="A4607" i="1"/>
  <c r="A4606" i="1"/>
  <c r="A4605" i="1"/>
  <c r="A4604" i="1"/>
  <c r="A4603" i="1"/>
  <c r="A4602" i="1"/>
  <c r="A4601" i="1"/>
  <c r="A4600" i="1"/>
  <c r="A4599" i="1"/>
  <c r="A4598" i="1"/>
  <c r="A4597" i="1"/>
  <c r="A4596" i="1"/>
  <c r="A4595" i="1"/>
  <c r="A4594" i="1"/>
  <c r="A4593" i="1"/>
  <c r="A4592" i="1"/>
  <c r="A4591" i="1"/>
  <c r="A4590" i="1"/>
  <c r="A4589" i="1"/>
  <c r="A4588" i="1"/>
  <c r="A4587" i="1"/>
  <c r="A4586" i="1"/>
  <c r="A4585" i="1"/>
  <c r="A4584" i="1"/>
  <c r="A4583" i="1"/>
  <c r="A4582" i="1"/>
  <c r="A4581" i="1"/>
  <c r="A4580" i="1"/>
  <c r="A4579" i="1"/>
  <c r="A4578" i="1"/>
  <c r="A4577" i="1"/>
  <c r="A4576" i="1"/>
  <c r="A4575" i="1"/>
  <c r="A4574" i="1"/>
  <c r="A4573" i="1"/>
  <c r="A4572" i="1"/>
  <c r="A4571" i="1"/>
  <c r="A4570" i="1"/>
  <c r="A4569" i="1"/>
  <c r="A4568" i="1"/>
  <c r="A4567" i="1"/>
  <c r="A4566" i="1"/>
  <c r="A4565" i="1"/>
  <c r="A4564" i="1"/>
  <c r="A4563" i="1"/>
  <c r="A4562" i="1"/>
  <c r="A4561" i="1"/>
  <c r="A4560" i="1"/>
  <c r="A4559" i="1"/>
  <c r="A4558" i="1"/>
  <c r="A4557" i="1"/>
  <c r="A4556" i="1"/>
  <c r="A4555" i="1"/>
  <c r="A4554" i="1"/>
  <c r="A4553" i="1"/>
  <c r="A4552" i="1"/>
  <c r="A4551" i="1"/>
  <c r="A4550" i="1"/>
  <c r="A4549" i="1"/>
  <c r="A4548" i="1"/>
  <c r="A4547" i="1"/>
  <c r="A4546" i="1"/>
  <c r="A4545" i="1"/>
  <c r="A4544" i="1"/>
  <c r="A4543" i="1"/>
  <c r="A4542" i="1"/>
  <c r="A4541" i="1"/>
  <c r="A4540" i="1"/>
  <c r="A4539" i="1"/>
  <c r="A4538" i="1"/>
  <c r="A4537" i="1"/>
  <c r="A4536" i="1"/>
  <c r="A4535" i="1"/>
  <c r="A4534" i="1"/>
  <c r="A4533" i="1"/>
  <c r="A4532" i="1"/>
  <c r="A4531" i="1"/>
  <c r="A4530" i="1"/>
  <c r="A4529" i="1"/>
  <c r="A4528" i="1"/>
  <c r="A4527" i="1"/>
  <c r="A4526" i="1"/>
  <c r="A4525" i="1"/>
  <c r="A4524" i="1"/>
  <c r="A4523" i="1"/>
  <c r="A4522" i="1"/>
  <c r="A4521" i="1"/>
  <c r="A4520" i="1"/>
  <c r="A4519" i="1"/>
  <c r="A4518" i="1"/>
  <c r="A4517" i="1"/>
  <c r="A4516" i="1"/>
  <c r="A4515" i="1"/>
  <c r="A4514" i="1"/>
  <c r="A4513" i="1"/>
  <c r="A4512" i="1"/>
  <c r="A4511" i="1"/>
  <c r="A4510" i="1"/>
  <c r="A4509" i="1"/>
  <c r="A4508" i="1"/>
  <c r="A4507" i="1"/>
  <c r="A4506" i="1"/>
  <c r="A4505" i="1"/>
  <c r="A4504" i="1"/>
  <c r="A4503" i="1"/>
  <c r="A4502" i="1"/>
  <c r="A4501" i="1"/>
  <c r="A4500" i="1"/>
  <c r="A4499" i="1"/>
  <c r="A4498" i="1"/>
  <c r="A4497" i="1"/>
  <c r="A4496" i="1"/>
  <c r="A4495" i="1"/>
  <c r="A4494" i="1"/>
  <c r="A4493" i="1"/>
  <c r="A4492" i="1"/>
  <c r="A4491" i="1"/>
  <c r="A4490" i="1"/>
  <c r="A4489" i="1"/>
  <c r="A4488" i="1"/>
  <c r="A4487" i="1"/>
  <c r="A4486" i="1"/>
  <c r="A4485" i="1"/>
  <c r="A4484" i="1"/>
  <c r="A4483" i="1"/>
  <c r="A4482" i="1"/>
  <c r="A4481" i="1"/>
  <c r="A4480" i="1"/>
  <c r="A4479" i="1"/>
  <c r="A4478" i="1"/>
  <c r="A4477" i="1"/>
  <c r="A4476" i="1"/>
  <c r="A4475" i="1"/>
  <c r="A4474" i="1"/>
  <c r="A4473" i="1"/>
  <c r="A4472" i="1"/>
  <c r="A4471" i="1"/>
  <c r="A4470" i="1"/>
  <c r="A4469" i="1"/>
  <c r="A4468" i="1"/>
  <c r="A4467" i="1"/>
  <c r="A4466" i="1"/>
  <c r="A4465" i="1"/>
  <c r="A4464" i="1"/>
  <c r="A4463" i="1"/>
  <c r="A4462" i="1"/>
  <c r="A4461" i="1"/>
  <c r="A4460" i="1"/>
  <c r="A4459" i="1"/>
  <c r="A4458" i="1"/>
  <c r="A4457" i="1"/>
  <c r="A4456" i="1"/>
  <c r="A4455" i="1"/>
  <c r="A4454" i="1"/>
  <c r="A4453" i="1"/>
  <c r="A4452" i="1"/>
  <c r="A4451" i="1"/>
  <c r="A4450" i="1"/>
  <c r="A4449" i="1"/>
  <c r="A4448" i="1"/>
  <c r="A4447" i="1"/>
  <c r="A4446" i="1"/>
  <c r="A4445" i="1"/>
  <c r="A4444" i="1"/>
  <c r="A4443" i="1"/>
  <c r="A4442" i="1"/>
  <c r="A4441" i="1"/>
  <c r="A4440" i="1"/>
  <c r="A4439" i="1"/>
  <c r="A4438" i="1"/>
  <c r="A4437" i="1"/>
  <c r="A4436" i="1"/>
  <c r="A4435" i="1"/>
  <c r="A4434" i="1"/>
  <c r="A4433" i="1"/>
  <c r="A4432" i="1"/>
  <c r="A4431" i="1"/>
  <c r="A4430" i="1"/>
  <c r="A4429" i="1"/>
  <c r="A4428" i="1"/>
  <c r="A4427" i="1"/>
  <c r="A4426" i="1"/>
  <c r="A4425" i="1"/>
  <c r="A4424" i="1"/>
  <c r="A4423" i="1"/>
  <c r="A4422" i="1"/>
  <c r="A4421" i="1"/>
  <c r="A4420" i="1"/>
  <c r="A4419" i="1"/>
  <c r="A4418" i="1"/>
  <c r="A4417" i="1"/>
  <c r="A4416" i="1"/>
  <c r="A4415" i="1"/>
  <c r="A4414" i="1"/>
  <c r="A4413" i="1"/>
  <c r="A4412" i="1"/>
  <c r="A4411" i="1"/>
  <c r="A4410" i="1"/>
  <c r="A4409" i="1"/>
  <c r="A4408" i="1"/>
  <c r="A4407" i="1"/>
  <c r="A4406" i="1"/>
  <c r="A4405" i="1"/>
  <c r="A4404" i="1"/>
  <c r="A4403" i="1"/>
  <c r="A4402" i="1"/>
  <c r="A4401" i="1"/>
  <c r="A4400" i="1"/>
  <c r="A4399" i="1"/>
  <c r="A4398" i="1"/>
  <c r="A4397" i="1"/>
  <c r="A4396" i="1"/>
  <c r="A4395" i="1"/>
  <c r="A4394" i="1"/>
  <c r="A4393" i="1"/>
  <c r="A4392" i="1"/>
  <c r="A4391" i="1"/>
  <c r="A4390" i="1"/>
  <c r="A4389" i="1"/>
  <c r="A4388" i="1"/>
  <c r="A4387" i="1"/>
  <c r="A4386" i="1"/>
  <c r="A4385" i="1"/>
  <c r="A4384" i="1"/>
  <c r="A4383" i="1"/>
  <c r="A4382" i="1"/>
  <c r="A4381" i="1"/>
  <c r="A4380" i="1"/>
  <c r="A4379" i="1"/>
  <c r="A4378" i="1"/>
  <c r="A4377" i="1"/>
  <c r="A4376" i="1"/>
  <c r="A4375" i="1"/>
  <c r="A4374" i="1"/>
  <c r="A4373" i="1"/>
  <c r="A4372" i="1"/>
  <c r="A4371" i="1"/>
  <c r="A4370" i="1"/>
  <c r="A4369" i="1"/>
  <c r="A4368" i="1"/>
  <c r="A4367" i="1"/>
  <c r="A4366" i="1"/>
  <c r="A4365" i="1"/>
  <c r="A4364" i="1"/>
  <c r="A4363" i="1"/>
  <c r="A4362" i="1"/>
  <c r="A4361" i="1"/>
  <c r="A4360" i="1"/>
  <c r="A4359" i="1"/>
  <c r="A4358" i="1"/>
  <c r="A4357" i="1"/>
  <c r="A4356" i="1"/>
  <c r="A4355" i="1"/>
  <c r="A4354" i="1"/>
  <c r="A4353" i="1"/>
  <c r="A4352" i="1"/>
  <c r="A4351" i="1"/>
  <c r="A4350" i="1"/>
  <c r="A4349" i="1"/>
  <c r="A4348" i="1"/>
  <c r="A4347" i="1"/>
  <c r="A4346" i="1"/>
  <c r="A4345" i="1"/>
  <c r="A4344" i="1"/>
  <c r="A4343" i="1"/>
  <c r="A4342" i="1"/>
  <c r="A4341" i="1"/>
  <c r="A4340" i="1"/>
  <c r="A4339" i="1"/>
  <c r="A4338" i="1"/>
  <c r="A4337" i="1"/>
  <c r="A4336" i="1"/>
  <c r="A4335" i="1"/>
  <c r="A4334" i="1"/>
  <c r="A4333" i="1"/>
  <c r="A4332" i="1"/>
  <c r="A4331" i="1"/>
  <c r="A4330" i="1"/>
  <c r="A4329" i="1"/>
  <c r="A4328" i="1"/>
  <c r="A4327" i="1"/>
  <c r="A4326" i="1"/>
  <c r="A4325" i="1"/>
  <c r="A4324" i="1"/>
  <c r="A4323" i="1"/>
  <c r="A4322" i="1"/>
  <c r="A4321" i="1"/>
  <c r="A4320" i="1"/>
  <c r="A4319" i="1"/>
  <c r="A4318" i="1"/>
  <c r="A4317" i="1"/>
  <c r="A4316" i="1"/>
  <c r="A4315" i="1"/>
  <c r="A4314" i="1"/>
  <c r="A4313" i="1"/>
  <c r="A4312" i="1"/>
  <c r="A4311" i="1"/>
  <c r="A4310" i="1"/>
  <c r="A4309" i="1"/>
  <c r="A4308" i="1"/>
  <c r="A4307" i="1"/>
  <c r="A4306" i="1"/>
  <c r="A4305" i="1"/>
  <c r="A4304" i="1"/>
  <c r="A4303" i="1"/>
  <c r="A4302" i="1"/>
  <c r="A4301" i="1"/>
  <c r="A4300" i="1"/>
  <c r="A4299" i="1"/>
  <c r="A4298" i="1"/>
  <c r="A4297" i="1"/>
  <c r="A4296" i="1"/>
  <c r="A4295" i="1"/>
  <c r="A4294" i="1"/>
  <c r="A4293" i="1"/>
  <c r="A4292" i="1"/>
  <c r="A4291" i="1"/>
  <c r="A4290" i="1"/>
  <c r="A4289" i="1"/>
  <c r="A4288" i="1"/>
  <c r="A4287" i="1"/>
  <c r="A4286" i="1"/>
  <c r="A4285" i="1"/>
  <c r="A4284" i="1"/>
  <c r="A4283" i="1"/>
  <c r="A4282" i="1"/>
  <c r="A4281" i="1"/>
  <c r="A4280" i="1"/>
  <c r="A4279" i="1"/>
  <c r="A4278" i="1"/>
  <c r="A4277" i="1"/>
  <c r="A4276" i="1"/>
  <c r="A4275" i="1"/>
  <c r="A4274" i="1"/>
  <c r="A4273" i="1"/>
  <c r="A4272" i="1"/>
  <c r="A4271" i="1"/>
  <c r="A4270" i="1"/>
  <c r="A4269" i="1"/>
  <c r="A4268" i="1"/>
  <c r="A4267" i="1"/>
  <c r="A4266" i="1"/>
  <c r="A4265" i="1"/>
  <c r="A4264" i="1"/>
  <c r="A4263" i="1"/>
  <c r="A4262" i="1"/>
  <c r="A4261" i="1"/>
  <c r="A4260" i="1"/>
  <c r="A4259" i="1"/>
  <c r="A4258" i="1"/>
  <c r="A4257" i="1"/>
  <c r="A4256" i="1"/>
  <c r="A4255" i="1"/>
  <c r="A4254" i="1"/>
  <c r="A4253" i="1"/>
  <c r="A4252" i="1"/>
  <c r="A4251" i="1"/>
  <c r="A4250" i="1"/>
  <c r="A4249" i="1"/>
  <c r="A4248" i="1"/>
  <c r="A4247" i="1"/>
  <c r="A4246" i="1"/>
  <c r="A4245" i="1"/>
  <c r="A4244" i="1"/>
  <c r="A4243" i="1"/>
  <c r="A4242" i="1"/>
  <c r="A4241" i="1"/>
  <c r="A4240" i="1"/>
  <c r="A4239" i="1"/>
  <c r="A4238" i="1"/>
  <c r="A4237" i="1"/>
  <c r="A4236" i="1"/>
  <c r="A4235" i="1"/>
  <c r="A4234" i="1"/>
  <c r="A4233" i="1"/>
  <c r="A4232" i="1"/>
  <c r="A4231" i="1"/>
  <c r="A4230" i="1"/>
  <c r="A4229" i="1"/>
  <c r="A4228" i="1"/>
  <c r="A4227" i="1"/>
  <c r="A4226" i="1"/>
  <c r="A4225" i="1"/>
  <c r="A4224" i="1"/>
  <c r="A4223" i="1"/>
  <c r="A4222" i="1"/>
  <c r="A4221" i="1"/>
  <c r="A4220" i="1"/>
  <c r="A4219" i="1"/>
  <c r="A4218" i="1"/>
  <c r="A4217" i="1"/>
  <c r="A4216" i="1"/>
  <c r="A4215" i="1"/>
  <c r="A4214" i="1"/>
  <c r="A4213" i="1"/>
  <c r="A4212" i="1"/>
  <c r="A4211" i="1"/>
  <c r="A4210" i="1"/>
  <c r="A4209" i="1"/>
  <c r="A4208" i="1"/>
  <c r="A4207" i="1"/>
  <c r="A4206" i="1"/>
  <c r="A4205" i="1"/>
  <c r="A4204" i="1"/>
  <c r="A4203" i="1"/>
  <c r="A4202" i="1"/>
  <c r="A4201" i="1"/>
  <c r="A4200" i="1"/>
  <c r="A4199" i="1"/>
  <c r="A4198" i="1"/>
  <c r="A4197" i="1"/>
  <c r="A4196" i="1"/>
  <c r="A4195" i="1"/>
  <c r="A4194" i="1"/>
  <c r="A4193" i="1"/>
  <c r="A4192" i="1"/>
  <c r="A4191" i="1"/>
  <c r="A4190" i="1"/>
  <c r="A4189" i="1"/>
  <c r="A4188" i="1"/>
  <c r="A4187" i="1"/>
  <c r="A4186" i="1"/>
  <c r="A4185" i="1"/>
  <c r="A4184" i="1"/>
  <c r="A4183" i="1"/>
  <c r="A4182" i="1"/>
  <c r="A4181" i="1"/>
  <c r="A4180" i="1"/>
  <c r="A4179" i="1"/>
  <c r="A4178" i="1"/>
  <c r="A4177" i="1"/>
  <c r="A4176" i="1"/>
  <c r="A4175" i="1"/>
  <c r="A4174" i="1"/>
  <c r="A4173" i="1"/>
  <c r="A4172" i="1"/>
  <c r="A4171" i="1"/>
  <c r="A4170" i="1"/>
  <c r="A4169" i="1"/>
  <c r="A4168" i="1"/>
  <c r="A4167" i="1"/>
  <c r="A4166" i="1"/>
  <c r="A4165" i="1"/>
  <c r="A4164" i="1"/>
  <c r="A4163" i="1"/>
  <c r="A4162" i="1"/>
  <c r="A4161" i="1"/>
  <c r="A4160" i="1"/>
  <c r="A4159" i="1"/>
  <c r="A4158" i="1"/>
  <c r="A4157" i="1"/>
  <c r="A4156" i="1"/>
  <c r="A4155" i="1"/>
  <c r="A4154" i="1"/>
  <c r="A4153" i="1"/>
  <c r="A4152" i="1"/>
  <c r="A4151" i="1"/>
  <c r="A4150" i="1"/>
  <c r="A4149" i="1"/>
  <c r="A4148" i="1"/>
  <c r="A4147" i="1"/>
  <c r="A4146" i="1"/>
  <c r="A4145" i="1"/>
  <c r="A4144" i="1"/>
  <c r="A4143" i="1"/>
  <c r="A4142" i="1"/>
  <c r="A4141" i="1"/>
  <c r="A4140" i="1"/>
  <c r="A4139" i="1"/>
  <c r="A4138" i="1"/>
  <c r="A4137" i="1"/>
  <c r="A4136" i="1"/>
  <c r="A4135" i="1"/>
  <c r="A4134" i="1"/>
  <c r="A4133" i="1"/>
  <c r="A4132" i="1"/>
  <c r="A4131" i="1"/>
  <c r="A4130" i="1"/>
  <c r="A4129" i="1"/>
  <c r="A4128" i="1"/>
  <c r="A4127" i="1"/>
  <c r="A4126" i="1"/>
  <c r="A4125" i="1"/>
  <c r="A4124" i="1"/>
  <c r="A4123" i="1"/>
  <c r="A4122" i="1"/>
  <c r="A4121" i="1"/>
  <c r="A4120" i="1"/>
  <c r="A4119" i="1"/>
  <c r="A4118" i="1"/>
  <c r="A4117" i="1"/>
  <c r="A4116" i="1"/>
  <c r="A4115" i="1"/>
  <c r="A4114" i="1"/>
  <c r="A4113" i="1"/>
  <c r="A4112" i="1"/>
  <c r="A4111" i="1"/>
  <c r="A4110" i="1"/>
  <c r="A4109" i="1"/>
  <c r="A4108" i="1"/>
  <c r="A4107" i="1"/>
  <c r="A4106" i="1"/>
  <c r="A4105" i="1"/>
  <c r="A4104" i="1"/>
  <c r="A4103" i="1"/>
  <c r="A4102" i="1"/>
  <c r="A4101" i="1"/>
  <c r="A4100" i="1"/>
  <c r="A4099" i="1"/>
  <c r="A4098" i="1"/>
  <c r="A4097" i="1"/>
  <c r="A4096" i="1"/>
  <c r="A4095" i="1"/>
  <c r="A4094" i="1"/>
  <c r="A4093" i="1"/>
  <c r="A4092" i="1"/>
  <c r="A4091" i="1"/>
  <c r="A4090" i="1"/>
  <c r="A4089" i="1"/>
  <c r="A4088" i="1"/>
  <c r="A4087" i="1"/>
  <c r="A4086" i="1"/>
  <c r="A4085" i="1"/>
  <c r="A4084" i="1"/>
  <c r="A4083" i="1"/>
  <c r="A4082" i="1"/>
  <c r="A4081" i="1"/>
  <c r="A4080" i="1"/>
  <c r="A4079" i="1"/>
  <c r="A4078" i="1"/>
  <c r="A4077" i="1"/>
  <c r="A4076" i="1"/>
  <c r="A4075" i="1"/>
  <c r="A4074" i="1"/>
  <c r="A4073" i="1"/>
  <c r="A4072" i="1"/>
  <c r="A4071" i="1"/>
  <c r="A4070" i="1"/>
  <c r="A4069" i="1"/>
  <c r="A4068" i="1"/>
  <c r="A4067" i="1"/>
  <c r="A4066" i="1"/>
  <c r="A4065" i="1"/>
  <c r="A4064" i="1"/>
  <c r="A4063" i="1"/>
  <c r="A4062" i="1"/>
  <c r="A4061" i="1"/>
  <c r="A4060" i="1"/>
  <c r="A4059" i="1"/>
  <c r="A4058" i="1"/>
  <c r="A4057" i="1"/>
  <c r="A4056" i="1"/>
  <c r="A4055" i="1"/>
  <c r="A4054" i="1"/>
  <c r="A4053" i="1"/>
  <c r="A4052" i="1"/>
  <c r="A4051" i="1"/>
  <c r="A4050" i="1"/>
  <c r="A4049" i="1"/>
  <c r="A4048" i="1"/>
  <c r="A4047" i="1"/>
  <c r="A4046" i="1"/>
  <c r="A4045" i="1"/>
  <c r="A4044" i="1"/>
  <c r="A4043" i="1"/>
  <c r="A4042" i="1"/>
  <c r="A4041" i="1"/>
  <c r="A4040" i="1"/>
  <c r="A4039" i="1"/>
  <c r="A4038" i="1"/>
  <c r="A4037" i="1"/>
  <c r="A4036" i="1"/>
  <c r="A4035" i="1"/>
  <c r="A4034" i="1"/>
  <c r="A4033" i="1"/>
  <c r="A4032" i="1"/>
  <c r="A4031" i="1"/>
  <c r="A4030" i="1"/>
  <c r="A4029" i="1"/>
  <c r="A4028" i="1"/>
  <c r="A4027" i="1"/>
  <c r="A4026" i="1"/>
  <c r="A4025" i="1"/>
  <c r="A4024" i="1"/>
  <c r="A4023" i="1"/>
  <c r="A4022" i="1"/>
  <c r="A4021" i="1"/>
  <c r="A4020" i="1"/>
  <c r="A4019" i="1"/>
  <c r="A4018" i="1"/>
  <c r="A4017" i="1"/>
  <c r="A4016" i="1"/>
  <c r="A4015" i="1"/>
  <c r="A4014" i="1"/>
  <c r="A4013" i="1"/>
  <c r="A4012" i="1"/>
  <c r="A4011" i="1"/>
  <c r="A4010" i="1"/>
  <c r="A4009" i="1"/>
  <c r="A4008" i="1"/>
  <c r="A4007" i="1"/>
  <c r="A4006" i="1"/>
  <c r="A4005" i="1"/>
  <c r="A4004" i="1"/>
  <c r="A4003" i="1"/>
  <c r="A4002" i="1"/>
  <c r="A4001" i="1"/>
  <c r="A4000" i="1"/>
  <c r="A3999" i="1"/>
  <c r="A3998" i="1"/>
  <c r="A3997" i="1"/>
  <c r="A3996" i="1"/>
  <c r="A3995" i="1"/>
  <c r="A3994" i="1"/>
  <c r="A3993" i="1"/>
  <c r="A3992" i="1"/>
  <c r="A3991" i="1"/>
  <c r="A3990" i="1"/>
  <c r="A3989" i="1"/>
  <c r="A3988" i="1"/>
  <c r="A3987" i="1"/>
  <c r="A3986" i="1"/>
  <c r="A3985" i="1"/>
  <c r="A3984" i="1"/>
  <c r="A3983" i="1"/>
  <c r="A3982" i="1"/>
  <c r="A3981" i="1"/>
  <c r="A3980" i="1"/>
  <c r="A3979" i="1"/>
  <c r="A3978" i="1"/>
  <c r="A3977" i="1"/>
  <c r="A3976" i="1"/>
  <c r="A3975" i="1"/>
  <c r="A3974" i="1"/>
  <c r="A3973" i="1"/>
  <c r="A3972" i="1"/>
  <c r="A3971" i="1"/>
  <c r="A3970" i="1"/>
  <c r="A3969" i="1"/>
  <c r="A3968" i="1"/>
  <c r="A3967" i="1"/>
  <c r="A3966" i="1"/>
  <c r="A3965" i="1"/>
  <c r="A3964" i="1"/>
  <c r="A3963" i="1"/>
  <c r="A3962" i="1"/>
  <c r="A3961" i="1"/>
  <c r="A3960" i="1"/>
  <c r="A3959" i="1"/>
  <c r="A3958" i="1"/>
  <c r="A3957" i="1"/>
  <c r="A3956" i="1"/>
  <c r="A3955" i="1"/>
  <c r="A3954" i="1"/>
  <c r="A3953" i="1"/>
  <c r="A3952" i="1"/>
  <c r="A3951" i="1"/>
  <c r="A3950" i="1"/>
  <c r="A3949" i="1"/>
  <c r="A3948" i="1"/>
  <c r="A3947" i="1"/>
  <c r="A3946" i="1"/>
  <c r="A3945" i="1"/>
  <c r="A3944" i="1"/>
  <c r="A3943" i="1"/>
  <c r="A3942" i="1"/>
  <c r="A3941" i="1"/>
  <c r="A3940" i="1"/>
  <c r="A3939" i="1"/>
  <c r="A3938" i="1"/>
  <c r="A3937" i="1"/>
  <c r="A3936" i="1"/>
  <c r="A3935" i="1"/>
  <c r="A3934" i="1"/>
  <c r="A3933" i="1"/>
  <c r="A3932" i="1"/>
  <c r="A3931" i="1"/>
  <c r="A3930" i="1"/>
  <c r="A3929" i="1"/>
  <c r="A3928" i="1"/>
  <c r="A3927" i="1"/>
  <c r="A3926" i="1"/>
  <c r="A3925" i="1"/>
  <c r="A3924" i="1"/>
  <c r="A3923" i="1"/>
  <c r="A3922" i="1"/>
  <c r="A3921" i="1"/>
  <c r="A3920" i="1"/>
  <c r="A3919" i="1"/>
  <c r="A3918" i="1"/>
  <c r="A3917" i="1"/>
  <c r="A3916" i="1"/>
  <c r="A3915" i="1"/>
  <c r="A3914" i="1"/>
  <c r="A3913" i="1"/>
  <c r="A3912" i="1"/>
  <c r="A3911" i="1"/>
  <c r="A3910" i="1"/>
  <c r="A3909" i="1"/>
  <c r="A3908" i="1"/>
  <c r="A3907" i="1"/>
  <c r="A3906" i="1"/>
  <c r="A3905" i="1"/>
  <c r="A3904" i="1"/>
  <c r="A3903" i="1"/>
  <c r="A3902" i="1"/>
  <c r="A3901" i="1"/>
  <c r="A3900" i="1"/>
  <c r="A3899" i="1"/>
  <c r="A3898" i="1"/>
  <c r="A3897" i="1"/>
  <c r="A3896" i="1"/>
  <c r="A3895" i="1"/>
  <c r="A3894" i="1"/>
  <c r="A3893" i="1"/>
  <c r="A3892" i="1"/>
  <c r="A3891" i="1"/>
  <c r="A3890" i="1"/>
  <c r="A3889" i="1"/>
  <c r="A3888" i="1"/>
  <c r="A3887" i="1"/>
  <c r="A3886" i="1"/>
  <c r="A3885" i="1"/>
  <c r="A3884" i="1"/>
  <c r="A3883" i="1"/>
  <c r="A3882" i="1"/>
  <c r="A3881" i="1"/>
  <c r="A3880" i="1"/>
  <c r="A3879" i="1"/>
  <c r="A3878" i="1"/>
  <c r="A3877" i="1"/>
  <c r="A3876" i="1"/>
  <c r="A3875" i="1"/>
  <c r="A3874" i="1"/>
  <c r="A3873" i="1"/>
  <c r="A3872" i="1"/>
  <c r="A3871" i="1"/>
  <c r="A3870" i="1"/>
  <c r="A3869" i="1"/>
  <c r="A3868" i="1"/>
  <c r="A3867" i="1"/>
  <c r="A3866" i="1"/>
  <c r="A3865" i="1"/>
  <c r="A3864" i="1"/>
  <c r="A3863" i="1"/>
  <c r="A3862" i="1"/>
  <c r="A3861" i="1"/>
  <c r="A3860" i="1"/>
  <c r="A3859" i="1"/>
  <c r="A3858" i="1"/>
  <c r="A3857" i="1"/>
  <c r="A3856" i="1"/>
  <c r="A3855" i="1"/>
  <c r="A3854" i="1"/>
  <c r="A3853" i="1"/>
  <c r="A3852" i="1"/>
  <c r="A3851" i="1"/>
  <c r="A3850" i="1"/>
  <c r="A3849" i="1"/>
  <c r="A3848" i="1"/>
  <c r="A3847" i="1"/>
  <c r="A3846" i="1"/>
  <c r="A3845" i="1"/>
  <c r="A3844" i="1"/>
  <c r="A3843" i="1"/>
  <c r="A3842" i="1"/>
  <c r="A3841" i="1"/>
  <c r="A3840" i="1"/>
  <c r="A3839" i="1"/>
  <c r="A3838" i="1"/>
  <c r="A3837" i="1"/>
  <c r="A3836" i="1"/>
  <c r="A3835" i="1"/>
  <c r="A3834" i="1"/>
  <c r="A3833" i="1"/>
  <c r="A3832" i="1"/>
  <c r="A3831" i="1"/>
  <c r="A3830" i="1"/>
  <c r="A3829" i="1"/>
  <c r="A3828" i="1"/>
  <c r="A3827" i="1"/>
  <c r="A3826" i="1"/>
  <c r="A3825" i="1"/>
  <c r="A3824" i="1"/>
  <c r="A3823" i="1"/>
  <c r="A3822" i="1"/>
  <c r="A3821" i="1"/>
  <c r="A3820" i="1"/>
  <c r="A3819" i="1"/>
  <c r="A3818" i="1"/>
  <c r="A3817" i="1"/>
  <c r="A3816" i="1"/>
  <c r="A3815" i="1"/>
  <c r="A3814" i="1"/>
  <c r="A3813" i="1"/>
  <c r="A3812" i="1"/>
  <c r="A3811" i="1"/>
  <c r="A3810" i="1"/>
  <c r="A3809" i="1"/>
  <c r="A3808" i="1"/>
  <c r="A3807" i="1"/>
  <c r="A3806" i="1"/>
  <c r="A3805" i="1"/>
  <c r="A3804" i="1"/>
  <c r="A3803" i="1"/>
  <c r="A3802" i="1"/>
  <c r="A3801" i="1"/>
  <c r="A3800" i="1"/>
  <c r="A3799" i="1"/>
  <c r="A3798" i="1"/>
  <c r="A3797" i="1"/>
  <c r="A3796" i="1"/>
  <c r="A3795" i="1"/>
  <c r="A3794" i="1"/>
  <c r="A3793" i="1"/>
  <c r="A3792" i="1"/>
  <c r="A3791" i="1"/>
  <c r="A3790" i="1"/>
  <c r="A3789" i="1"/>
  <c r="A3788" i="1"/>
  <c r="A3787" i="1"/>
  <c r="A3786" i="1"/>
  <c r="A3785" i="1"/>
  <c r="A3784" i="1"/>
  <c r="A3783" i="1"/>
  <c r="A3782" i="1"/>
  <c r="A3781" i="1"/>
  <c r="A3780" i="1"/>
  <c r="A3779" i="1"/>
  <c r="A3778" i="1"/>
  <c r="A3777" i="1"/>
  <c r="A3776" i="1"/>
  <c r="A3775" i="1"/>
  <c r="A3774" i="1"/>
  <c r="A3773" i="1"/>
  <c r="A3772" i="1"/>
  <c r="A3771" i="1"/>
  <c r="A3770" i="1"/>
  <c r="A3769" i="1"/>
  <c r="A3768" i="1"/>
  <c r="A3767" i="1"/>
  <c r="A3766" i="1"/>
  <c r="A3765" i="1"/>
  <c r="A3764" i="1"/>
  <c r="A3763" i="1"/>
  <c r="A3762" i="1"/>
  <c r="A3761" i="1"/>
  <c r="A3760" i="1"/>
  <c r="A3759" i="1"/>
  <c r="A3758" i="1"/>
  <c r="A3757" i="1"/>
  <c r="A3756" i="1"/>
  <c r="A3755" i="1"/>
  <c r="A3754" i="1"/>
  <c r="A3753" i="1"/>
  <c r="A3752" i="1"/>
  <c r="A3751" i="1"/>
  <c r="A3750" i="1"/>
  <c r="A3749" i="1"/>
  <c r="A3748" i="1"/>
  <c r="A3747" i="1"/>
  <c r="A3746" i="1"/>
  <c r="A3745" i="1"/>
  <c r="A3744" i="1"/>
  <c r="A3743" i="1"/>
  <c r="A3742" i="1"/>
  <c r="A3741" i="1"/>
  <c r="A3740" i="1"/>
  <c r="A3739" i="1"/>
  <c r="A3738" i="1"/>
  <c r="A3737" i="1"/>
  <c r="A3736" i="1"/>
  <c r="A3735" i="1"/>
  <c r="A3734" i="1"/>
  <c r="A3733" i="1"/>
  <c r="A3732" i="1"/>
  <c r="A3731" i="1"/>
  <c r="A3730" i="1"/>
  <c r="A3729" i="1"/>
  <c r="A3728" i="1"/>
  <c r="A3727" i="1"/>
  <c r="A3726" i="1"/>
  <c r="A3725" i="1"/>
  <c r="A3724" i="1"/>
  <c r="A3723" i="1"/>
  <c r="A3722" i="1"/>
  <c r="A3721" i="1"/>
  <c r="A3720" i="1"/>
  <c r="A3719" i="1"/>
  <c r="A3718" i="1"/>
  <c r="A3717" i="1"/>
  <c r="A3716" i="1"/>
  <c r="A3715" i="1"/>
  <c r="A3714" i="1"/>
  <c r="A3713" i="1"/>
  <c r="A3712" i="1"/>
  <c r="A3711" i="1"/>
  <c r="A3710" i="1"/>
  <c r="A3709" i="1"/>
  <c r="A3708" i="1"/>
  <c r="A3707" i="1"/>
  <c r="A3706" i="1"/>
  <c r="A3705" i="1"/>
  <c r="A3704" i="1"/>
  <c r="A3703" i="1"/>
  <c r="A3702" i="1"/>
  <c r="A3701" i="1"/>
  <c r="A3700" i="1"/>
  <c r="A3699" i="1"/>
  <c r="A3698" i="1"/>
  <c r="A3697" i="1"/>
  <c r="A3696" i="1"/>
  <c r="A3695" i="1"/>
  <c r="A3694" i="1"/>
  <c r="A3693" i="1"/>
  <c r="A3692" i="1"/>
  <c r="A3691" i="1"/>
  <c r="A3690" i="1"/>
  <c r="A3689" i="1"/>
  <c r="A3688" i="1"/>
  <c r="A3687" i="1"/>
  <c r="A3686" i="1"/>
  <c r="A3685" i="1"/>
  <c r="A3684" i="1"/>
  <c r="A3683" i="1"/>
  <c r="A3682" i="1"/>
  <c r="A3681" i="1"/>
  <c r="A3680" i="1"/>
  <c r="A3679" i="1"/>
  <c r="A3678" i="1"/>
  <c r="A3677" i="1"/>
  <c r="A3676" i="1"/>
  <c r="A3675" i="1"/>
  <c r="A3674" i="1"/>
  <c r="A3673" i="1"/>
  <c r="A3672" i="1"/>
  <c r="A3671" i="1"/>
  <c r="A3670" i="1"/>
  <c r="A3669" i="1"/>
  <c r="A3668" i="1"/>
  <c r="A3667" i="1"/>
  <c r="A3666" i="1"/>
  <c r="A3665" i="1"/>
  <c r="A3664" i="1"/>
  <c r="A3663" i="1"/>
  <c r="A3662" i="1"/>
  <c r="A3661" i="1"/>
  <c r="A3660" i="1"/>
  <c r="A3659" i="1"/>
  <c r="A3658" i="1"/>
  <c r="A3657" i="1"/>
  <c r="A3656" i="1"/>
  <c r="A3655" i="1"/>
  <c r="A3654" i="1"/>
  <c r="A3653" i="1"/>
  <c r="A3652" i="1"/>
  <c r="A3651" i="1"/>
  <c r="A3650" i="1"/>
  <c r="A3649" i="1"/>
  <c r="A3648" i="1"/>
  <c r="A3647" i="1"/>
  <c r="A3646" i="1"/>
  <c r="A3645" i="1"/>
  <c r="A3644" i="1"/>
  <c r="A3643" i="1"/>
  <c r="A3642" i="1"/>
  <c r="A3641" i="1"/>
  <c r="A3640" i="1"/>
  <c r="A3639" i="1"/>
  <c r="A3638" i="1"/>
  <c r="A3637" i="1"/>
  <c r="A3636" i="1"/>
  <c r="A3635" i="1"/>
  <c r="A3634" i="1"/>
  <c r="A3633" i="1"/>
  <c r="A3632" i="1"/>
  <c r="A3631" i="1"/>
  <c r="A3630" i="1"/>
  <c r="A3629" i="1"/>
  <c r="A3628" i="1"/>
  <c r="A3627" i="1"/>
  <c r="A3626" i="1"/>
  <c r="A3625" i="1"/>
  <c r="A3624" i="1"/>
  <c r="A3623" i="1"/>
  <c r="A3622" i="1"/>
  <c r="A3621" i="1"/>
  <c r="A3620" i="1"/>
  <c r="A3619" i="1"/>
  <c r="A3618" i="1"/>
  <c r="A3617" i="1"/>
  <c r="A3616" i="1"/>
  <c r="A3615" i="1"/>
  <c r="A3614" i="1"/>
  <c r="A3613" i="1"/>
  <c r="A3612" i="1"/>
  <c r="A3611" i="1"/>
  <c r="A3610" i="1"/>
  <c r="A3609" i="1"/>
  <c r="A3608" i="1"/>
  <c r="A3607" i="1"/>
  <c r="A3606" i="1"/>
  <c r="A3605" i="1"/>
  <c r="A3604" i="1"/>
  <c r="A3603" i="1"/>
  <c r="A3602" i="1"/>
  <c r="A3601" i="1"/>
  <c r="A3600" i="1"/>
  <c r="A3599" i="1"/>
  <c r="A3598" i="1"/>
  <c r="A3597" i="1"/>
  <c r="A3596" i="1"/>
  <c r="A3595" i="1"/>
  <c r="A3594" i="1"/>
  <c r="A3593" i="1"/>
  <c r="A3592" i="1"/>
  <c r="A3591" i="1"/>
  <c r="A3590" i="1"/>
  <c r="A3589" i="1"/>
  <c r="A3588" i="1"/>
  <c r="A3587" i="1"/>
  <c r="A3586" i="1"/>
  <c r="A3585" i="1"/>
  <c r="A3584" i="1"/>
  <c r="A3583" i="1"/>
  <c r="A3582" i="1"/>
  <c r="A3581" i="1"/>
  <c r="A3580" i="1"/>
  <c r="A3579" i="1"/>
  <c r="A3578" i="1"/>
  <c r="A3577" i="1"/>
  <c r="A3576" i="1"/>
  <c r="A3575" i="1"/>
  <c r="A3574" i="1"/>
  <c r="A3573" i="1"/>
  <c r="A3572" i="1"/>
  <c r="A3571" i="1"/>
  <c r="A3570" i="1"/>
  <c r="A3569" i="1"/>
  <c r="A3568" i="1"/>
  <c r="A3567" i="1"/>
  <c r="A3566" i="1"/>
  <c r="A3565" i="1"/>
  <c r="A3564" i="1"/>
  <c r="A3563" i="1"/>
  <c r="A3562" i="1"/>
  <c r="A3561" i="1"/>
  <c r="A3560" i="1"/>
  <c r="A3559" i="1"/>
  <c r="A3558" i="1"/>
  <c r="A3557" i="1"/>
  <c r="A3556" i="1"/>
  <c r="A3555" i="1"/>
  <c r="A3554" i="1"/>
  <c r="A3553" i="1"/>
  <c r="A3552" i="1"/>
  <c r="A3551" i="1"/>
  <c r="A3550" i="1"/>
  <c r="A3549" i="1"/>
  <c r="A3548" i="1"/>
  <c r="A3547" i="1"/>
  <c r="A3546" i="1"/>
  <c r="A3545" i="1"/>
  <c r="A3544" i="1"/>
  <c r="A3543" i="1"/>
  <c r="A3542" i="1"/>
  <c r="A3541" i="1"/>
  <c r="A3540" i="1"/>
  <c r="A3539" i="1"/>
  <c r="A3538" i="1"/>
  <c r="A3537" i="1"/>
  <c r="A3536" i="1"/>
  <c r="A3535" i="1"/>
  <c r="A3534" i="1"/>
  <c r="A3533" i="1"/>
  <c r="A3532" i="1"/>
  <c r="A3531" i="1"/>
  <c r="A3530" i="1"/>
  <c r="A3529" i="1"/>
  <c r="A3528" i="1"/>
  <c r="A3527" i="1"/>
  <c r="A3526" i="1"/>
  <c r="A3525" i="1"/>
  <c r="A3524" i="1"/>
  <c r="A3523" i="1"/>
  <c r="A3522" i="1"/>
  <c r="A3521" i="1"/>
  <c r="A3520" i="1"/>
  <c r="A3519" i="1"/>
  <c r="A3518" i="1"/>
  <c r="A3517" i="1"/>
  <c r="A3516" i="1"/>
  <c r="A3515" i="1"/>
  <c r="A3514" i="1"/>
  <c r="A3513" i="1"/>
  <c r="A3512" i="1"/>
  <c r="A3511" i="1"/>
  <c r="A3510" i="1"/>
  <c r="A3509" i="1"/>
  <c r="A3508" i="1"/>
  <c r="A3507" i="1"/>
  <c r="A3506" i="1"/>
  <c r="A3505" i="1"/>
  <c r="A3504" i="1"/>
  <c r="A3503" i="1"/>
  <c r="A3502" i="1"/>
  <c r="A3501" i="1"/>
  <c r="A3500" i="1"/>
  <c r="A3499" i="1"/>
  <c r="A3498" i="1"/>
  <c r="A3497" i="1"/>
  <c r="A3496" i="1"/>
  <c r="A3495" i="1"/>
  <c r="A3494" i="1"/>
  <c r="A3493" i="1"/>
  <c r="A3492" i="1"/>
  <c r="A3491" i="1"/>
  <c r="A3490" i="1"/>
  <c r="A3489" i="1"/>
  <c r="A3488" i="1"/>
  <c r="A3487" i="1"/>
  <c r="A3486" i="1"/>
  <c r="A3485" i="1"/>
  <c r="A3484" i="1"/>
  <c r="A3483" i="1"/>
  <c r="A3482" i="1"/>
  <c r="A3481" i="1"/>
  <c r="A3480" i="1"/>
  <c r="A3479" i="1"/>
  <c r="A3478" i="1"/>
  <c r="A3477" i="1"/>
  <c r="A3476" i="1"/>
  <c r="A3475" i="1"/>
  <c r="A3474" i="1"/>
  <c r="A3473" i="1"/>
  <c r="A3472" i="1"/>
  <c r="A3471" i="1"/>
  <c r="A3470" i="1"/>
  <c r="A3469" i="1"/>
  <c r="A3468" i="1"/>
  <c r="A3467" i="1"/>
  <c r="A3466" i="1"/>
  <c r="A3465" i="1"/>
  <c r="A3464" i="1"/>
  <c r="A3463" i="1"/>
  <c r="A3462" i="1"/>
  <c r="A3461" i="1"/>
  <c r="A3460" i="1"/>
  <c r="A3459" i="1"/>
  <c r="A3458" i="1"/>
  <c r="A3457" i="1"/>
  <c r="A3456" i="1"/>
  <c r="A3455" i="1"/>
  <c r="A3454" i="1"/>
  <c r="A3453" i="1"/>
  <c r="A3452" i="1"/>
  <c r="A3451" i="1"/>
  <c r="A3450" i="1"/>
  <c r="A3449" i="1"/>
  <c r="A3448" i="1"/>
  <c r="A3447" i="1"/>
  <c r="A3446" i="1"/>
  <c r="A3445" i="1"/>
  <c r="A3444" i="1"/>
  <c r="A3443" i="1"/>
  <c r="A3442" i="1"/>
  <c r="A3441" i="1"/>
  <c r="A3440" i="1"/>
  <c r="A3439" i="1"/>
  <c r="A3438" i="1"/>
  <c r="A3437" i="1"/>
  <c r="A3436" i="1"/>
  <c r="A3435" i="1"/>
  <c r="A3434" i="1"/>
  <c r="A3433" i="1"/>
  <c r="A3432" i="1"/>
  <c r="A3431" i="1"/>
  <c r="A3430" i="1"/>
  <c r="A3429" i="1"/>
  <c r="A3428" i="1"/>
  <c r="A3427" i="1"/>
  <c r="A3426" i="1"/>
  <c r="A3425" i="1"/>
  <c r="A3424" i="1"/>
  <c r="A3423" i="1"/>
  <c r="A3422" i="1"/>
  <c r="A3421" i="1"/>
  <c r="A3420" i="1"/>
  <c r="A3419" i="1"/>
  <c r="A3418" i="1"/>
  <c r="A3417" i="1"/>
  <c r="A3416" i="1"/>
  <c r="A3415" i="1"/>
  <c r="A3414" i="1"/>
  <c r="A3413" i="1"/>
  <c r="A3412" i="1"/>
  <c r="A3411" i="1"/>
  <c r="A3410" i="1"/>
  <c r="A3409" i="1"/>
  <c r="A3408" i="1"/>
  <c r="A3407" i="1"/>
  <c r="A3406" i="1"/>
  <c r="A3405" i="1"/>
  <c r="A3404" i="1"/>
  <c r="A3403" i="1"/>
  <c r="A3402" i="1"/>
  <c r="A3401" i="1"/>
  <c r="A3400" i="1"/>
  <c r="A3399" i="1"/>
  <c r="A3398" i="1"/>
  <c r="A3397" i="1"/>
  <c r="A3396" i="1"/>
  <c r="A3395" i="1"/>
  <c r="A3394" i="1"/>
  <c r="A3393" i="1"/>
  <c r="A3392" i="1"/>
  <c r="A3391" i="1"/>
  <c r="A3390" i="1"/>
  <c r="A3389" i="1"/>
  <c r="A3388" i="1"/>
  <c r="A3387" i="1"/>
  <c r="A3386" i="1"/>
  <c r="A3385" i="1"/>
  <c r="A3384" i="1"/>
  <c r="A3383" i="1"/>
  <c r="A3382" i="1"/>
  <c r="A3381" i="1"/>
  <c r="A3380" i="1"/>
  <c r="A3379" i="1"/>
  <c r="A3378" i="1"/>
  <c r="A3377" i="1"/>
  <c r="A3376" i="1"/>
  <c r="A3375" i="1"/>
  <c r="A3374" i="1"/>
  <c r="A3373" i="1"/>
  <c r="A3372" i="1"/>
  <c r="A3371" i="1"/>
  <c r="A3370" i="1"/>
  <c r="A3369" i="1"/>
  <c r="A3368" i="1"/>
  <c r="A3367" i="1"/>
  <c r="A3366" i="1"/>
  <c r="A3365" i="1"/>
  <c r="A3364" i="1"/>
  <c r="A3363" i="1"/>
  <c r="A3362" i="1"/>
  <c r="A3361" i="1"/>
  <c r="A3360" i="1"/>
  <c r="A3359" i="1"/>
  <c r="A3358" i="1"/>
  <c r="A3357" i="1"/>
  <c r="A3356" i="1"/>
  <c r="A3355" i="1"/>
  <c r="A3354" i="1"/>
  <c r="A3353" i="1"/>
  <c r="A3352" i="1"/>
  <c r="A3351" i="1"/>
  <c r="A3350" i="1"/>
  <c r="A3349" i="1"/>
  <c r="A3348" i="1"/>
  <c r="A3347" i="1"/>
  <c r="A3346" i="1"/>
  <c r="A3345" i="1"/>
  <c r="A3344" i="1"/>
  <c r="A3343" i="1"/>
  <c r="A3342" i="1"/>
  <c r="A3341" i="1"/>
  <c r="A3340" i="1"/>
  <c r="A3339" i="1"/>
  <c r="A3338" i="1"/>
  <c r="A3337" i="1"/>
  <c r="A3336" i="1"/>
  <c r="A3335" i="1"/>
  <c r="A3334" i="1"/>
  <c r="A3333" i="1"/>
  <c r="A3332" i="1"/>
  <c r="A3331" i="1"/>
  <c r="A3330" i="1"/>
  <c r="A3329" i="1"/>
  <c r="A3328" i="1"/>
  <c r="A3327" i="1"/>
  <c r="A3326" i="1"/>
  <c r="A3325" i="1"/>
  <c r="A3324" i="1"/>
  <c r="A3323" i="1"/>
  <c r="A3322" i="1"/>
  <c r="A3321" i="1"/>
  <c r="A3320" i="1"/>
  <c r="A3319" i="1"/>
  <c r="A3318" i="1"/>
  <c r="A3317" i="1"/>
  <c r="A3316" i="1"/>
  <c r="A3315" i="1"/>
  <c r="A3314" i="1"/>
  <c r="A3313" i="1"/>
  <c r="A3312" i="1"/>
  <c r="A3311" i="1"/>
  <c r="A3310" i="1"/>
  <c r="A3309" i="1"/>
  <c r="A3308" i="1"/>
  <c r="A3307" i="1"/>
  <c r="A3306" i="1"/>
  <c r="A3305" i="1"/>
  <c r="A3304" i="1"/>
  <c r="A3303" i="1"/>
  <c r="A3302" i="1"/>
  <c r="A3301" i="1"/>
  <c r="A3300" i="1"/>
  <c r="A3299" i="1"/>
  <c r="A3298" i="1"/>
  <c r="A3297" i="1"/>
  <c r="A3296" i="1"/>
  <c r="A3295" i="1"/>
  <c r="A3294" i="1"/>
  <c r="A3293" i="1"/>
  <c r="A3292" i="1"/>
  <c r="A3291" i="1"/>
  <c r="A3290" i="1"/>
  <c r="A3289" i="1"/>
  <c r="A3288" i="1"/>
  <c r="A3287" i="1"/>
  <c r="A3286" i="1"/>
  <c r="A3285" i="1"/>
  <c r="A3284" i="1"/>
  <c r="A3283" i="1"/>
  <c r="A3282" i="1"/>
  <c r="A3281" i="1"/>
  <c r="A3280" i="1"/>
  <c r="A3279" i="1"/>
  <c r="A3278" i="1"/>
  <c r="A3277" i="1"/>
  <c r="A3276" i="1"/>
  <c r="A3275" i="1"/>
  <c r="A3274" i="1"/>
  <c r="A3273" i="1"/>
  <c r="A3272" i="1"/>
  <c r="A3271" i="1"/>
  <c r="A3270" i="1"/>
  <c r="A3269" i="1"/>
  <c r="A3268" i="1"/>
  <c r="A3267" i="1"/>
  <c r="A3266" i="1"/>
  <c r="A3265" i="1"/>
  <c r="A3264" i="1"/>
  <c r="A3263" i="1"/>
  <c r="A3262" i="1"/>
  <c r="A3261" i="1"/>
  <c r="A3260" i="1"/>
  <c r="A3259" i="1"/>
  <c r="A3258" i="1"/>
  <c r="A3257" i="1"/>
  <c r="A3256" i="1"/>
  <c r="A3255" i="1"/>
  <c r="A3254" i="1"/>
  <c r="A3253" i="1"/>
  <c r="A3252" i="1"/>
  <c r="A3251" i="1"/>
  <c r="A3250" i="1"/>
  <c r="A3249" i="1"/>
  <c r="A3248" i="1"/>
  <c r="A3247" i="1"/>
  <c r="A3246" i="1"/>
  <c r="A3245" i="1"/>
  <c r="A3244" i="1"/>
  <c r="A3243" i="1"/>
  <c r="A3242" i="1"/>
  <c r="A3241" i="1"/>
  <c r="A3240" i="1"/>
  <c r="A3239" i="1"/>
  <c r="A3238" i="1"/>
  <c r="A3237" i="1"/>
  <c r="A3236" i="1"/>
  <c r="A3235" i="1"/>
  <c r="A3234" i="1"/>
  <c r="A3233" i="1"/>
  <c r="A3232" i="1"/>
  <c r="A3231" i="1"/>
  <c r="A3230" i="1"/>
  <c r="A3229" i="1"/>
  <c r="A3228" i="1"/>
  <c r="A3227" i="1"/>
  <c r="A3226" i="1"/>
  <c r="A3225" i="1"/>
  <c r="A3224" i="1"/>
  <c r="A3223" i="1"/>
  <c r="A3222" i="1"/>
  <c r="A3221" i="1"/>
  <c r="A3220" i="1"/>
  <c r="A3219" i="1"/>
  <c r="A3218" i="1"/>
  <c r="A3217" i="1"/>
  <c r="A3216" i="1"/>
  <c r="A3215" i="1"/>
  <c r="A3214" i="1"/>
  <c r="A3213" i="1"/>
  <c r="A3212" i="1"/>
  <c r="A3211" i="1"/>
  <c r="A3210" i="1"/>
  <c r="A3209" i="1"/>
  <c r="A3208" i="1"/>
  <c r="A3207" i="1"/>
  <c r="A3206" i="1"/>
  <c r="A3205" i="1"/>
  <c r="A3204" i="1"/>
  <c r="A3203" i="1"/>
  <c r="A3202" i="1"/>
  <c r="A3201" i="1"/>
  <c r="A3200" i="1"/>
  <c r="A3199" i="1"/>
  <c r="A3198" i="1"/>
  <c r="A3197" i="1"/>
  <c r="A3196" i="1"/>
  <c r="A3195" i="1"/>
  <c r="A3194" i="1"/>
  <c r="A3193" i="1"/>
  <c r="A3192" i="1"/>
  <c r="A3191" i="1"/>
  <c r="A3190" i="1"/>
  <c r="A3189" i="1"/>
  <c r="A3188" i="1"/>
  <c r="A3187" i="1"/>
  <c r="A3186" i="1"/>
  <c r="A3185" i="1"/>
  <c r="A3184" i="1"/>
  <c r="A3183" i="1"/>
  <c r="A3182" i="1"/>
  <c r="A3181" i="1"/>
  <c r="A3180" i="1"/>
  <c r="A3179" i="1"/>
  <c r="A3178" i="1"/>
  <c r="A3177" i="1"/>
  <c r="A3176" i="1"/>
  <c r="A3175" i="1"/>
  <c r="A3174" i="1"/>
  <c r="A3173" i="1"/>
  <c r="A3172" i="1"/>
  <c r="A3171" i="1"/>
  <c r="A3170" i="1"/>
  <c r="A3169" i="1"/>
  <c r="A3168" i="1"/>
  <c r="A3167" i="1"/>
  <c r="A3166" i="1"/>
  <c r="A3165" i="1"/>
  <c r="A3164" i="1"/>
  <c r="A3163" i="1"/>
  <c r="A3162" i="1"/>
  <c r="A3161" i="1"/>
  <c r="A3160" i="1"/>
  <c r="A3159" i="1"/>
  <c r="A3158" i="1"/>
  <c r="A3157" i="1"/>
  <c r="A3156" i="1"/>
  <c r="A3155" i="1"/>
  <c r="A3154" i="1"/>
  <c r="A3153" i="1"/>
  <c r="A3152" i="1"/>
  <c r="A3151" i="1"/>
  <c r="A3150" i="1"/>
  <c r="A3149" i="1"/>
  <c r="A3148" i="1"/>
  <c r="A3147" i="1"/>
  <c r="A3146" i="1"/>
  <c r="A3145" i="1"/>
  <c r="A3144" i="1"/>
  <c r="A3143" i="1"/>
  <c r="A3142" i="1"/>
  <c r="A3141" i="1"/>
  <c r="A3140" i="1"/>
  <c r="A3139" i="1"/>
  <c r="A3138" i="1"/>
  <c r="A3137" i="1"/>
  <c r="A3136" i="1"/>
  <c r="A3135" i="1"/>
  <c r="A3134" i="1"/>
  <c r="A3133" i="1"/>
  <c r="A3132" i="1"/>
  <c r="A3131" i="1"/>
  <c r="A3130" i="1"/>
  <c r="A3129" i="1"/>
  <c r="A3128" i="1"/>
  <c r="A3127" i="1"/>
  <c r="A3126" i="1"/>
  <c r="A3125" i="1"/>
  <c r="A3124" i="1"/>
  <c r="A3123" i="1"/>
  <c r="A3122" i="1"/>
  <c r="A3121" i="1"/>
  <c r="A3120" i="1"/>
  <c r="A3119" i="1"/>
  <c r="A3118" i="1"/>
  <c r="A3117" i="1"/>
  <c r="A3116" i="1"/>
  <c r="A3115" i="1"/>
  <c r="A3114" i="1"/>
  <c r="A3113" i="1"/>
  <c r="A3112" i="1"/>
  <c r="A3111" i="1"/>
  <c r="A3110" i="1"/>
  <c r="A3109" i="1"/>
  <c r="A3108" i="1"/>
  <c r="A3107" i="1"/>
  <c r="A3106" i="1"/>
  <c r="A3105" i="1"/>
  <c r="A3104" i="1"/>
  <c r="A3103" i="1"/>
  <c r="A3102" i="1"/>
  <c r="A3101" i="1"/>
  <c r="A3100" i="1"/>
  <c r="A3099" i="1"/>
  <c r="A3098" i="1"/>
  <c r="A3097" i="1"/>
  <c r="A3096" i="1"/>
  <c r="A3095" i="1"/>
  <c r="A3094" i="1"/>
  <c r="A3093" i="1"/>
  <c r="A3092" i="1"/>
  <c r="A3091" i="1"/>
  <c r="A3090" i="1"/>
  <c r="A3089" i="1"/>
  <c r="A3088" i="1"/>
  <c r="A3087" i="1"/>
  <c r="A3086" i="1"/>
  <c r="A3085" i="1"/>
  <c r="A3084" i="1"/>
  <c r="A3083" i="1"/>
  <c r="A3082" i="1"/>
  <c r="A3081" i="1"/>
  <c r="A3080" i="1"/>
  <c r="A3079" i="1"/>
  <c r="A3078" i="1"/>
  <c r="A3077" i="1"/>
  <c r="A3076" i="1"/>
  <c r="A3075" i="1"/>
  <c r="A3074" i="1"/>
  <c r="A3073" i="1"/>
  <c r="A3072" i="1"/>
  <c r="A3071" i="1"/>
  <c r="A3070" i="1"/>
  <c r="A3069" i="1"/>
  <c r="A3068" i="1"/>
  <c r="A3067" i="1"/>
  <c r="A3066" i="1"/>
  <c r="A3065" i="1"/>
  <c r="A3064" i="1"/>
  <c r="A3063" i="1"/>
  <c r="A3062" i="1"/>
  <c r="A3061" i="1"/>
  <c r="A3060" i="1"/>
  <c r="A3059" i="1"/>
  <c r="A3058" i="1"/>
  <c r="A3057" i="1"/>
  <c r="A3056" i="1"/>
  <c r="A3055" i="1"/>
  <c r="A3054" i="1"/>
  <c r="A3053" i="1"/>
  <c r="A3052" i="1"/>
  <c r="A3051" i="1"/>
  <c r="A3050" i="1"/>
  <c r="A3049" i="1"/>
  <c r="A3048" i="1"/>
  <c r="A3047" i="1"/>
  <c r="A3046" i="1"/>
  <c r="A3045" i="1"/>
  <c r="A3044" i="1"/>
  <c r="A3043" i="1"/>
  <c r="A3042" i="1"/>
  <c r="A3041" i="1"/>
  <c r="A3040" i="1"/>
  <c r="A3039" i="1"/>
  <c r="A3038" i="1"/>
  <c r="A3037" i="1"/>
  <c r="A3036" i="1"/>
  <c r="A3035" i="1"/>
  <c r="A3034" i="1"/>
  <c r="A3033" i="1"/>
  <c r="A3032" i="1"/>
  <c r="A3031" i="1"/>
  <c r="A3030" i="1"/>
  <c r="A3029" i="1"/>
  <c r="A3028" i="1"/>
  <c r="A3027" i="1"/>
  <c r="A3026" i="1"/>
  <c r="A3025" i="1"/>
  <c r="A3024" i="1"/>
  <c r="A3023" i="1"/>
  <c r="A3022" i="1"/>
  <c r="A3021" i="1"/>
  <c r="A3020" i="1"/>
  <c r="A3019" i="1"/>
  <c r="A3018" i="1"/>
  <c r="A3017" i="1"/>
  <c r="A3016" i="1"/>
  <c r="A3015" i="1"/>
  <c r="A3014" i="1"/>
  <c r="A3013" i="1"/>
  <c r="A3012" i="1"/>
  <c r="A3011" i="1"/>
  <c r="A3010" i="1"/>
  <c r="A3009" i="1"/>
  <c r="A3008" i="1"/>
  <c r="A3007" i="1"/>
  <c r="A3006" i="1"/>
  <c r="A3005" i="1"/>
  <c r="A3004" i="1"/>
  <c r="A3003" i="1"/>
  <c r="A3002" i="1"/>
  <c r="A3001" i="1"/>
  <c r="A3000" i="1"/>
  <c r="A2999" i="1"/>
  <c r="A2998" i="1"/>
  <c r="A2997" i="1"/>
  <c r="A2996" i="1"/>
  <c r="A2995" i="1"/>
  <c r="A2994" i="1"/>
  <c r="A2993" i="1"/>
  <c r="A2992" i="1"/>
  <c r="A2991" i="1"/>
  <c r="A2990" i="1"/>
  <c r="A2989" i="1"/>
  <c r="A2988" i="1"/>
  <c r="A2987" i="1"/>
  <c r="A2986" i="1"/>
  <c r="A2985" i="1"/>
  <c r="A2984" i="1"/>
  <c r="A2983" i="1"/>
  <c r="A2982" i="1"/>
  <c r="A2981" i="1"/>
  <c r="A2980" i="1"/>
  <c r="A2979" i="1"/>
  <c r="A2978" i="1"/>
  <c r="A2977" i="1"/>
  <c r="A2976" i="1"/>
  <c r="A2975" i="1"/>
  <c r="A2974" i="1"/>
  <c r="A2973" i="1"/>
  <c r="A2972" i="1"/>
  <c r="A2971" i="1"/>
  <c r="A2970" i="1"/>
  <c r="A2969" i="1"/>
  <c r="A2968" i="1"/>
  <c r="A2967" i="1"/>
  <c r="A2966" i="1"/>
  <c r="A2965" i="1"/>
  <c r="A2964" i="1"/>
  <c r="A2963" i="1"/>
  <c r="A2962" i="1"/>
  <c r="A2961" i="1"/>
  <c r="A2960" i="1"/>
  <c r="A2959" i="1"/>
  <c r="A2958" i="1"/>
  <c r="A2957" i="1"/>
  <c r="A2956" i="1"/>
  <c r="A2955" i="1"/>
  <c r="A2954" i="1"/>
  <c r="A2953" i="1"/>
  <c r="A2952" i="1"/>
  <c r="A2951" i="1"/>
  <c r="A2950" i="1"/>
  <c r="A2949" i="1"/>
  <c r="A2948" i="1"/>
  <c r="A2947" i="1"/>
  <c r="A2946" i="1"/>
  <c r="A2945" i="1"/>
  <c r="A2944" i="1"/>
  <c r="A2943" i="1"/>
  <c r="A2942" i="1"/>
  <c r="A2941" i="1"/>
  <c r="A2940" i="1"/>
  <c r="A2939" i="1"/>
  <c r="A2938" i="1"/>
  <c r="A2937" i="1"/>
  <c r="A2936" i="1"/>
  <c r="A2935" i="1"/>
  <c r="A2934" i="1"/>
  <c r="A2933" i="1"/>
  <c r="A2932" i="1"/>
  <c r="A2931" i="1"/>
  <c r="A2930" i="1"/>
  <c r="A2929" i="1"/>
  <c r="A2928" i="1"/>
  <c r="A2927" i="1"/>
  <c r="A2926" i="1"/>
  <c r="A2925" i="1"/>
  <c r="A2924" i="1"/>
  <c r="A2923" i="1"/>
  <c r="A2922" i="1"/>
  <c r="A2921" i="1"/>
  <c r="A2920" i="1"/>
  <c r="A2919" i="1"/>
  <c r="A2918" i="1"/>
  <c r="A2917" i="1"/>
  <c r="A2916" i="1"/>
  <c r="A2915" i="1"/>
  <c r="A2914" i="1"/>
  <c r="A2913" i="1"/>
  <c r="A2912" i="1"/>
  <c r="A2911" i="1"/>
  <c r="A2910" i="1"/>
  <c r="A2909" i="1"/>
  <c r="A2908" i="1"/>
  <c r="A2907" i="1"/>
  <c r="A2906" i="1"/>
  <c r="A2905" i="1"/>
  <c r="A2904" i="1"/>
  <c r="A2903" i="1"/>
  <c r="A2902" i="1"/>
  <c r="A2901" i="1"/>
  <c r="A2900" i="1"/>
  <c r="A2899" i="1"/>
  <c r="A2898" i="1"/>
  <c r="A2897" i="1"/>
  <c r="A2896" i="1"/>
  <c r="A2895" i="1"/>
  <c r="A2894" i="1"/>
  <c r="A2893" i="1"/>
  <c r="A2892" i="1"/>
  <c r="A2891" i="1"/>
  <c r="A2890" i="1"/>
  <c r="A2889" i="1"/>
  <c r="A2888" i="1"/>
  <c r="A2887" i="1"/>
  <c r="A2886" i="1"/>
  <c r="A2885" i="1"/>
  <c r="A2884" i="1"/>
  <c r="A2883" i="1"/>
  <c r="A2882" i="1"/>
  <c r="A2881" i="1"/>
  <c r="A2880" i="1"/>
  <c r="A2879" i="1"/>
  <c r="A2878" i="1"/>
  <c r="A2877" i="1"/>
  <c r="A2876" i="1"/>
  <c r="A2875" i="1"/>
  <c r="A2874" i="1"/>
  <c r="A2873" i="1"/>
  <c r="A2872" i="1"/>
  <c r="A2871" i="1"/>
  <c r="A2870" i="1"/>
  <c r="A2869" i="1"/>
  <c r="A2868" i="1"/>
  <c r="A2867" i="1"/>
  <c r="A2866" i="1"/>
  <c r="A2865" i="1"/>
  <c r="A2864" i="1"/>
  <c r="A2863" i="1"/>
  <c r="A2862" i="1"/>
  <c r="A2861" i="1"/>
  <c r="A2860" i="1"/>
  <c r="A2859" i="1"/>
  <c r="A2858" i="1"/>
  <c r="A2857" i="1"/>
  <c r="A2856" i="1"/>
  <c r="A2855" i="1"/>
  <c r="A2854" i="1"/>
  <c r="A2853" i="1"/>
  <c r="A2852" i="1"/>
  <c r="A2851" i="1"/>
  <c r="A2850" i="1"/>
  <c r="A2849" i="1"/>
  <c r="A2848" i="1"/>
  <c r="A2847" i="1"/>
  <c r="A2846" i="1"/>
  <c r="A2845" i="1"/>
  <c r="A2844" i="1"/>
  <c r="A2843" i="1"/>
  <c r="A2842" i="1"/>
  <c r="A2841" i="1"/>
  <c r="A2840" i="1"/>
  <c r="A2839" i="1"/>
  <c r="A2838" i="1"/>
  <c r="A2837" i="1"/>
  <c r="A2836" i="1"/>
  <c r="A2835" i="1"/>
  <c r="A2834" i="1"/>
  <c r="A2833" i="1"/>
  <c r="A2832" i="1"/>
  <c r="A2831" i="1"/>
  <c r="A2830" i="1"/>
  <c r="A2829" i="1"/>
  <c r="A2828" i="1"/>
  <c r="A2827" i="1"/>
  <c r="A2826" i="1"/>
  <c r="A2825" i="1"/>
  <c r="A2824" i="1"/>
  <c r="A2823" i="1"/>
  <c r="A2822" i="1"/>
  <c r="A2821" i="1"/>
  <c r="A2820" i="1"/>
  <c r="A2819" i="1"/>
  <c r="A2818" i="1"/>
  <c r="A2817" i="1"/>
  <c r="A2816" i="1"/>
  <c r="A2815" i="1"/>
  <c r="A2814" i="1"/>
  <c r="A2813" i="1"/>
  <c r="A2812" i="1"/>
  <c r="A2811" i="1"/>
  <c r="A2810" i="1"/>
  <c r="A2809" i="1"/>
  <c r="A2808" i="1"/>
  <c r="A2807" i="1"/>
  <c r="A2806" i="1"/>
  <c r="A2805" i="1"/>
  <c r="A2804" i="1"/>
  <c r="A2803" i="1"/>
  <c r="A2802" i="1"/>
  <c r="A2801" i="1"/>
  <c r="A2800" i="1"/>
  <c r="A2799" i="1"/>
  <c r="A2798" i="1"/>
  <c r="A2797" i="1"/>
  <c r="A2796" i="1"/>
  <c r="A2795" i="1"/>
  <c r="A2794" i="1"/>
  <c r="A2793" i="1"/>
  <c r="A2792" i="1"/>
  <c r="A2791" i="1"/>
  <c r="A2790" i="1"/>
  <c r="A2789" i="1"/>
  <c r="A2788" i="1"/>
  <c r="A2787" i="1"/>
  <c r="A2786" i="1"/>
  <c r="A2785" i="1"/>
  <c r="A2784" i="1"/>
  <c r="A2783" i="1"/>
  <c r="A2782" i="1"/>
  <c r="A2781" i="1"/>
  <c r="A2780" i="1"/>
  <c r="A2779" i="1"/>
  <c r="A2778" i="1"/>
  <c r="A2777" i="1"/>
  <c r="A2776" i="1"/>
  <c r="A2775" i="1"/>
  <c r="A2774" i="1"/>
  <c r="A2773" i="1"/>
  <c r="A2772" i="1"/>
  <c r="A2771" i="1"/>
  <c r="A2770" i="1"/>
  <c r="A2769" i="1"/>
  <c r="A2768" i="1"/>
  <c r="A2767" i="1"/>
  <c r="A2766" i="1"/>
  <c r="A2765" i="1"/>
  <c r="A2764" i="1"/>
  <c r="A2763" i="1"/>
  <c r="A2762" i="1"/>
  <c r="A2761" i="1"/>
  <c r="A2760" i="1"/>
  <c r="A2759" i="1"/>
  <c r="A2758" i="1"/>
  <c r="A2757" i="1"/>
  <c r="A2756" i="1"/>
  <c r="A2755" i="1"/>
  <c r="A2754" i="1"/>
  <c r="A2753" i="1"/>
  <c r="A2752" i="1"/>
  <c r="A2751" i="1"/>
  <c r="A2750" i="1"/>
  <c r="A2749" i="1"/>
  <c r="A2748" i="1"/>
  <c r="A2747" i="1"/>
  <c r="A2746" i="1"/>
  <c r="A2745" i="1"/>
  <c r="A2744" i="1"/>
  <c r="A2743" i="1"/>
  <c r="A2742" i="1"/>
  <c r="A2741" i="1"/>
  <c r="A2740" i="1"/>
  <c r="A2739" i="1"/>
  <c r="A2738" i="1"/>
  <c r="A2737" i="1"/>
  <c r="A2736" i="1"/>
  <c r="A2735" i="1"/>
  <c r="A2734" i="1"/>
  <c r="A2733" i="1"/>
  <c r="A2732" i="1"/>
  <c r="A2731" i="1"/>
  <c r="A2730" i="1"/>
  <c r="A2729" i="1"/>
  <c r="A2728" i="1"/>
  <c r="A2727" i="1"/>
  <c r="A2726" i="1"/>
  <c r="A2725" i="1"/>
  <c r="A2724" i="1"/>
  <c r="A2723" i="1"/>
  <c r="A2722" i="1"/>
  <c r="A2721" i="1"/>
  <c r="A2720" i="1"/>
  <c r="A2719" i="1"/>
  <c r="A2718" i="1"/>
  <c r="A2717" i="1"/>
  <c r="A2716" i="1"/>
  <c r="A2715" i="1"/>
  <c r="A2714" i="1"/>
  <c r="A2713" i="1"/>
  <c r="A2712" i="1"/>
  <c r="A2711" i="1"/>
  <c r="A2710" i="1"/>
  <c r="A2709" i="1"/>
  <c r="A2708" i="1"/>
  <c r="A2707" i="1"/>
  <c r="A2706" i="1"/>
  <c r="A2705" i="1"/>
  <c r="A2704" i="1"/>
  <c r="A2703" i="1"/>
  <c r="A2702" i="1"/>
  <c r="A2701" i="1"/>
  <c r="A2700" i="1"/>
  <c r="A2699" i="1"/>
  <c r="A2698" i="1"/>
  <c r="A2697" i="1"/>
  <c r="A2696" i="1"/>
  <c r="A2695" i="1"/>
  <c r="A2694" i="1"/>
  <c r="A2693" i="1"/>
  <c r="A2692" i="1"/>
  <c r="A2691" i="1"/>
  <c r="A2690" i="1"/>
  <c r="A2689" i="1"/>
  <c r="A2688" i="1"/>
  <c r="A2687" i="1"/>
  <c r="A2686" i="1"/>
  <c r="A2685" i="1"/>
  <c r="A2684" i="1"/>
  <c r="A2683" i="1"/>
  <c r="A2682" i="1"/>
  <c r="A2681" i="1"/>
  <c r="A2680" i="1"/>
  <c r="A2679" i="1"/>
  <c r="A2678" i="1"/>
  <c r="A2677" i="1"/>
  <c r="A2676" i="1"/>
  <c r="A2675" i="1"/>
  <c r="A2674" i="1"/>
  <c r="A2673" i="1"/>
  <c r="A2672" i="1"/>
  <c r="A2671" i="1"/>
  <c r="A2670" i="1"/>
  <c r="A2669" i="1"/>
  <c r="A2668" i="1"/>
  <c r="A2667" i="1"/>
  <c r="A2666" i="1"/>
  <c r="A2665" i="1"/>
  <c r="A2664" i="1"/>
  <c r="A2663" i="1"/>
  <c r="A2662" i="1"/>
  <c r="A2661" i="1"/>
  <c r="A2660" i="1"/>
  <c r="A2659" i="1"/>
  <c r="A2658" i="1"/>
  <c r="A2657" i="1"/>
  <c r="A2656" i="1"/>
  <c r="A2655" i="1"/>
  <c r="A2654" i="1"/>
  <c r="A2653" i="1"/>
  <c r="A2652" i="1"/>
  <c r="A2651" i="1"/>
  <c r="A2650" i="1"/>
  <c r="A2649" i="1"/>
  <c r="A2648" i="1"/>
  <c r="A2647" i="1"/>
  <c r="A2646" i="1"/>
  <c r="A2645" i="1"/>
  <c r="A2644" i="1"/>
  <c r="A2643" i="1"/>
  <c r="A2642" i="1"/>
  <c r="A2641" i="1"/>
  <c r="A2640" i="1"/>
  <c r="A2639" i="1"/>
  <c r="A2638" i="1"/>
  <c r="A2637" i="1"/>
  <c r="A2636" i="1"/>
  <c r="A2635" i="1"/>
  <c r="A2634" i="1"/>
  <c r="A2633" i="1"/>
  <c r="A2632" i="1"/>
  <c r="A2631" i="1"/>
  <c r="A2630" i="1"/>
  <c r="A2629" i="1"/>
  <c r="A2628" i="1"/>
  <c r="A2627" i="1"/>
  <c r="A2626" i="1"/>
  <c r="A2625" i="1"/>
  <c r="A2624" i="1"/>
  <c r="A2623" i="1"/>
  <c r="A2622" i="1"/>
  <c r="A2621" i="1"/>
  <c r="A2620" i="1"/>
  <c r="A2619" i="1"/>
  <c r="A2618" i="1"/>
  <c r="A2617" i="1"/>
  <c r="A2616" i="1"/>
  <c r="A2615" i="1"/>
  <c r="A2614" i="1"/>
  <c r="A2613" i="1"/>
  <c r="A2612" i="1"/>
  <c r="A2611" i="1"/>
  <c r="A2610" i="1"/>
  <c r="A2609" i="1"/>
  <c r="A2608" i="1"/>
  <c r="A2607" i="1"/>
  <c r="A2606" i="1"/>
  <c r="A2605" i="1"/>
  <c r="A2604" i="1"/>
  <c r="A2603" i="1"/>
  <c r="A2602" i="1"/>
  <c r="A2601" i="1"/>
  <c r="A2600" i="1"/>
  <c r="A2599" i="1"/>
  <c r="A2598" i="1"/>
  <c r="A2597" i="1"/>
  <c r="A2596" i="1"/>
  <c r="A2595" i="1"/>
  <c r="A2594" i="1"/>
  <c r="A2593" i="1"/>
  <c r="A2592" i="1"/>
  <c r="A2591" i="1"/>
  <c r="A2590" i="1"/>
  <c r="A2589" i="1"/>
  <c r="A2588" i="1"/>
  <c r="A2587" i="1"/>
  <c r="A2586" i="1"/>
  <c r="A2585" i="1"/>
  <c r="A2584" i="1"/>
  <c r="A2583" i="1"/>
  <c r="A2582" i="1"/>
  <c r="A2581" i="1"/>
  <c r="A2580" i="1"/>
  <c r="A2579" i="1"/>
  <c r="A2578" i="1"/>
  <c r="A2577" i="1"/>
  <c r="A2576" i="1"/>
  <c r="A2575" i="1"/>
  <c r="A2574" i="1"/>
  <c r="A2573" i="1"/>
  <c r="A2572" i="1"/>
  <c r="A2571" i="1"/>
  <c r="A2570" i="1"/>
  <c r="A2569" i="1"/>
  <c r="A2568" i="1"/>
  <c r="A2567" i="1"/>
  <c r="A2566" i="1"/>
  <c r="A2565" i="1"/>
  <c r="A2564" i="1"/>
  <c r="A2563" i="1"/>
  <c r="A2562" i="1"/>
  <c r="A2561" i="1"/>
  <c r="A2560" i="1"/>
  <c r="A2559" i="1"/>
  <c r="A2558" i="1"/>
  <c r="A2557" i="1"/>
  <c r="A2556" i="1"/>
  <c r="A2555" i="1"/>
  <c r="A2554" i="1"/>
  <c r="A2553" i="1"/>
  <c r="A2552" i="1"/>
  <c r="A2551" i="1"/>
  <c r="A2550" i="1"/>
  <c r="A2549" i="1"/>
  <c r="A2548" i="1"/>
  <c r="A2547" i="1"/>
  <c r="A2546" i="1"/>
  <c r="A2545" i="1"/>
  <c r="A2544" i="1"/>
  <c r="A2543" i="1"/>
  <c r="A2542" i="1"/>
  <c r="A2541" i="1"/>
  <c r="A2540" i="1"/>
  <c r="A2539" i="1"/>
  <c r="A2538" i="1"/>
  <c r="A2537" i="1"/>
  <c r="A2536" i="1"/>
  <c r="A2535" i="1"/>
  <c r="A2534" i="1"/>
  <c r="A2533" i="1"/>
  <c r="A2532" i="1"/>
  <c r="A2531" i="1"/>
  <c r="A2530" i="1"/>
  <c r="A2529" i="1"/>
  <c r="A2528" i="1"/>
  <c r="A2527" i="1"/>
  <c r="A2526" i="1"/>
  <c r="A2525" i="1"/>
  <c r="A2524" i="1"/>
  <c r="A2523" i="1"/>
  <c r="A2522" i="1"/>
  <c r="A2521" i="1"/>
  <c r="A2520" i="1"/>
  <c r="A2519" i="1"/>
  <c r="A2518" i="1"/>
  <c r="A2517" i="1"/>
  <c r="A2516" i="1"/>
  <c r="A2515" i="1"/>
  <c r="A2514" i="1"/>
  <c r="A2513" i="1"/>
  <c r="A2512" i="1"/>
  <c r="A2511" i="1"/>
  <c r="A2510" i="1"/>
  <c r="A2509" i="1"/>
  <c r="A2508" i="1"/>
  <c r="A2507" i="1"/>
  <c r="A2506" i="1"/>
  <c r="A2505" i="1"/>
  <c r="A2504" i="1"/>
  <c r="A2503" i="1"/>
  <c r="A2502" i="1"/>
  <c r="A2501" i="1"/>
  <c r="A2500" i="1"/>
  <c r="A2499" i="1"/>
  <c r="A2498" i="1"/>
  <c r="A2497" i="1"/>
  <c r="A2496" i="1"/>
  <c r="A2495" i="1"/>
  <c r="A2494" i="1"/>
  <c r="A2493" i="1"/>
  <c r="A2492" i="1"/>
  <c r="A2491" i="1"/>
  <c r="A2490" i="1"/>
  <c r="A2489" i="1"/>
  <c r="A2488" i="1"/>
  <c r="A2487" i="1"/>
  <c r="A2486" i="1"/>
  <c r="A2485" i="1"/>
  <c r="A2484" i="1"/>
  <c r="A2483" i="1"/>
  <c r="A2482" i="1"/>
  <c r="A2481" i="1"/>
  <c r="A2480" i="1"/>
  <c r="A2479" i="1"/>
  <c r="A2478" i="1"/>
  <c r="A2477" i="1"/>
  <c r="A2476" i="1"/>
  <c r="A2475" i="1"/>
  <c r="A2474" i="1"/>
  <c r="A2473" i="1"/>
  <c r="A2472" i="1"/>
  <c r="A2471" i="1"/>
  <c r="A2470" i="1"/>
  <c r="A2469" i="1"/>
  <c r="A2468" i="1"/>
  <c r="A2467" i="1"/>
  <c r="A2466" i="1"/>
  <c r="A2465" i="1"/>
  <c r="A2464" i="1"/>
  <c r="A2463" i="1"/>
  <c r="A2462" i="1"/>
  <c r="A2461" i="1"/>
  <c r="A2460" i="1"/>
  <c r="A2459" i="1"/>
  <c r="A2458" i="1"/>
  <c r="A2457" i="1"/>
  <c r="A2456" i="1"/>
  <c r="A2455" i="1"/>
  <c r="A2454" i="1"/>
  <c r="A2453" i="1"/>
  <c r="A2452" i="1"/>
  <c r="A2451" i="1"/>
  <c r="A2450" i="1"/>
  <c r="A2449" i="1"/>
  <c r="A2448" i="1"/>
  <c r="A2447" i="1"/>
  <c r="A2446" i="1"/>
  <c r="A2445" i="1"/>
  <c r="A2444" i="1"/>
  <c r="A2443" i="1"/>
  <c r="A2442" i="1"/>
  <c r="A2441" i="1"/>
  <c r="A2440" i="1"/>
  <c r="A2439" i="1"/>
  <c r="A2438" i="1"/>
  <c r="A2437" i="1"/>
  <c r="A2436" i="1"/>
  <c r="A2435" i="1"/>
  <c r="A2434" i="1"/>
  <c r="A2433" i="1"/>
  <c r="A2432" i="1"/>
  <c r="A2431" i="1"/>
  <c r="A2430" i="1"/>
  <c r="A2429" i="1"/>
  <c r="A2428" i="1"/>
  <c r="A2427" i="1"/>
  <c r="A2426" i="1"/>
  <c r="A2425" i="1"/>
  <c r="A2424" i="1"/>
  <c r="A2423" i="1"/>
  <c r="A2422" i="1"/>
  <c r="A2421" i="1"/>
  <c r="A2420" i="1"/>
  <c r="A2419" i="1"/>
  <c r="A2418" i="1"/>
  <c r="A2417" i="1"/>
  <c r="A2416" i="1"/>
  <c r="A2415" i="1"/>
  <c r="A2414" i="1"/>
  <c r="A2413" i="1"/>
  <c r="A2412" i="1"/>
  <c r="A2411" i="1"/>
  <c r="A2410" i="1"/>
  <c r="A2409" i="1"/>
  <c r="A2408" i="1"/>
  <c r="A2407" i="1"/>
  <c r="A2406" i="1"/>
  <c r="A2405" i="1"/>
  <c r="A2404" i="1"/>
  <c r="A2403" i="1"/>
  <c r="A2402" i="1"/>
  <c r="A2401" i="1"/>
  <c r="A2400" i="1"/>
  <c r="A2399" i="1"/>
  <c r="A2398" i="1"/>
  <c r="A2397" i="1"/>
  <c r="A2396" i="1"/>
  <c r="A2395" i="1"/>
  <c r="A2394" i="1"/>
  <c r="A2393" i="1"/>
  <c r="A2392" i="1"/>
  <c r="A2391" i="1"/>
  <c r="A2390" i="1"/>
  <c r="A2389" i="1"/>
  <c r="A2388" i="1"/>
  <c r="A2387" i="1"/>
  <c r="A2386" i="1"/>
  <c r="A2385" i="1"/>
  <c r="A2384" i="1"/>
  <c r="A2383" i="1"/>
  <c r="A2382" i="1"/>
  <c r="A2381" i="1"/>
  <c r="A2380" i="1"/>
  <c r="A2379" i="1"/>
  <c r="A2378" i="1"/>
  <c r="A2377" i="1"/>
  <c r="A2376" i="1"/>
  <c r="A2375" i="1"/>
  <c r="A2374" i="1"/>
  <c r="A2373" i="1"/>
  <c r="A2372" i="1"/>
  <c r="A2371" i="1"/>
  <c r="A2370" i="1"/>
  <c r="A2369" i="1"/>
  <c r="A2368" i="1"/>
  <c r="A2367" i="1"/>
  <c r="A2366" i="1"/>
  <c r="A2365" i="1"/>
  <c r="A2364" i="1"/>
  <c r="A2363" i="1"/>
  <c r="A2362" i="1"/>
  <c r="A2361" i="1"/>
  <c r="A2360" i="1"/>
  <c r="A2359" i="1"/>
  <c r="A2358" i="1"/>
  <c r="A2357" i="1"/>
  <c r="A2356" i="1"/>
  <c r="A2355" i="1"/>
  <c r="A2354" i="1"/>
  <c r="A2353" i="1"/>
  <c r="A2352" i="1"/>
  <c r="A2351" i="1"/>
  <c r="A2350" i="1"/>
  <c r="A2349" i="1"/>
  <c r="A2348" i="1"/>
  <c r="A2347" i="1"/>
  <c r="A2346" i="1"/>
  <c r="A2345" i="1"/>
  <c r="A2344" i="1"/>
  <c r="A2343" i="1"/>
  <c r="A2342" i="1"/>
  <c r="A2341" i="1"/>
  <c r="A2340" i="1"/>
  <c r="A2339" i="1"/>
  <c r="A2338" i="1"/>
  <c r="A2337" i="1"/>
  <c r="A2336" i="1"/>
  <c r="A2335" i="1"/>
  <c r="A2334" i="1"/>
  <c r="A2333" i="1"/>
  <c r="A2332" i="1"/>
  <c r="A2331" i="1"/>
  <c r="A2330" i="1"/>
  <c r="A2329" i="1"/>
  <c r="A2328" i="1"/>
  <c r="A2327" i="1"/>
  <c r="A2326" i="1"/>
  <c r="A2325" i="1"/>
  <c r="A2324" i="1"/>
  <c r="A2323" i="1"/>
  <c r="A2322" i="1"/>
  <c r="A2321" i="1"/>
  <c r="A2320" i="1"/>
  <c r="A2319" i="1"/>
  <c r="A2318" i="1"/>
  <c r="A2317" i="1"/>
  <c r="A2316" i="1"/>
  <c r="A2315" i="1"/>
  <c r="A2314" i="1"/>
  <c r="A2313" i="1"/>
  <c r="A2312" i="1"/>
  <c r="A2311" i="1"/>
  <c r="A2310" i="1"/>
  <c r="A2309" i="1"/>
  <c r="A2308" i="1"/>
  <c r="A2307" i="1"/>
  <c r="A2306" i="1"/>
  <c r="A2305" i="1"/>
  <c r="A2304" i="1"/>
  <c r="A2303" i="1"/>
  <c r="A2302" i="1"/>
  <c r="A2301" i="1"/>
  <c r="A2300" i="1"/>
  <c r="A2299" i="1"/>
  <c r="A2298" i="1"/>
  <c r="A2297" i="1"/>
  <c r="A2296" i="1"/>
  <c r="A2295" i="1"/>
  <c r="A2294" i="1"/>
  <c r="A2293" i="1"/>
  <c r="A2292" i="1"/>
  <c r="A2291" i="1"/>
  <c r="A2290" i="1"/>
  <c r="A2289" i="1"/>
  <c r="A2288" i="1"/>
  <c r="A2287" i="1"/>
  <c r="A2286" i="1"/>
  <c r="A2285" i="1"/>
  <c r="A2284" i="1"/>
  <c r="A2283" i="1"/>
  <c r="A2282" i="1"/>
  <c r="A2281" i="1"/>
  <c r="A2280" i="1"/>
  <c r="A2279" i="1"/>
  <c r="A2278" i="1"/>
  <c r="A2277" i="1"/>
  <c r="A2276" i="1"/>
  <c r="A2275" i="1"/>
  <c r="A2274" i="1"/>
  <c r="A2273" i="1"/>
  <c r="A2272" i="1"/>
  <c r="A2271" i="1"/>
  <c r="A2270" i="1"/>
  <c r="A2269" i="1"/>
  <c r="A2268" i="1"/>
  <c r="A2267" i="1"/>
  <c r="A2266" i="1"/>
  <c r="A2265" i="1"/>
  <c r="A2264" i="1"/>
  <c r="A2263" i="1"/>
  <c r="A2262" i="1"/>
  <c r="A2261" i="1"/>
  <c r="A2260" i="1"/>
  <c r="A2259" i="1"/>
  <c r="A2258" i="1"/>
  <c r="A2257" i="1"/>
  <c r="A2256" i="1"/>
  <c r="A2255" i="1"/>
  <c r="A2254" i="1"/>
  <c r="A2253" i="1"/>
  <c r="A2252" i="1"/>
  <c r="A2251" i="1"/>
  <c r="A2250" i="1"/>
  <c r="A2249" i="1"/>
  <c r="A2248" i="1"/>
  <c r="A2247" i="1"/>
  <c r="A2246" i="1"/>
  <c r="A2245" i="1"/>
  <c r="A2244" i="1"/>
  <c r="A2243" i="1"/>
  <c r="A2242" i="1"/>
  <c r="A2241" i="1"/>
  <c r="A2240" i="1"/>
  <c r="A2239" i="1"/>
  <c r="A2238" i="1"/>
  <c r="A2237" i="1"/>
  <c r="A2236" i="1"/>
  <c r="A2235" i="1"/>
  <c r="A2234" i="1"/>
  <c r="A2233" i="1"/>
  <c r="A2232" i="1"/>
  <c r="A2231" i="1"/>
  <c r="A2230" i="1"/>
  <c r="A2229" i="1"/>
  <c r="A2228" i="1"/>
  <c r="A2227" i="1"/>
  <c r="A2226" i="1"/>
  <c r="A2225" i="1"/>
  <c r="A2224" i="1"/>
  <c r="A2223" i="1"/>
  <c r="A2222" i="1"/>
  <c r="A2221" i="1"/>
  <c r="A2220" i="1"/>
  <c r="A2219" i="1"/>
  <c r="A2218" i="1"/>
  <c r="A2217" i="1"/>
  <c r="A2216" i="1"/>
  <c r="A2215" i="1"/>
  <c r="A2214" i="1"/>
  <c r="A2213" i="1"/>
  <c r="A2212" i="1"/>
  <c r="A2211" i="1"/>
  <c r="A2210" i="1"/>
  <c r="A2209" i="1"/>
  <c r="A2208" i="1"/>
  <c r="A2207" i="1"/>
  <c r="A2206" i="1"/>
  <c r="A2205" i="1"/>
  <c r="A2204" i="1"/>
  <c r="A2203" i="1"/>
  <c r="A2202" i="1"/>
  <c r="A2201" i="1"/>
  <c r="A2200" i="1"/>
  <c r="A2199" i="1"/>
  <c r="A2198" i="1"/>
  <c r="A2197" i="1"/>
  <c r="A2196" i="1"/>
  <c r="A2195" i="1"/>
  <c r="A2194" i="1"/>
  <c r="A2193" i="1"/>
  <c r="A2192" i="1"/>
  <c r="A2191" i="1"/>
  <c r="A2190" i="1"/>
  <c r="A2189" i="1"/>
  <c r="A2188" i="1"/>
  <c r="A2187" i="1"/>
  <c r="A2186" i="1"/>
  <c r="A2185" i="1"/>
  <c r="A2184" i="1"/>
  <c r="A2183" i="1"/>
  <c r="A2182" i="1"/>
  <c r="A2181" i="1"/>
  <c r="A2180" i="1"/>
  <c r="A2179" i="1"/>
  <c r="A2178" i="1"/>
  <c r="A2177" i="1"/>
  <c r="A2176" i="1"/>
  <c r="A2175" i="1"/>
  <c r="A2174" i="1"/>
  <c r="A2173" i="1"/>
  <c r="A2172" i="1"/>
  <c r="A2171" i="1"/>
  <c r="A2170" i="1"/>
  <c r="A2169" i="1"/>
  <c r="A2168" i="1"/>
  <c r="A2167" i="1"/>
  <c r="A2166" i="1"/>
  <c r="A2165" i="1"/>
  <c r="A2164" i="1"/>
  <c r="A2163" i="1"/>
  <c r="A2162" i="1"/>
  <c r="A2161" i="1"/>
  <c r="A2160" i="1"/>
  <c r="A2159" i="1"/>
  <c r="A2158" i="1"/>
  <c r="A2157" i="1"/>
  <c r="A2156" i="1"/>
  <c r="A2155" i="1"/>
  <c r="A2154" i="1"/>
  <c r="A2153" i="1"/>
  <c r="A2152" i="1"/>
  <c r="A2151" i="1"/>
  <c r="A2150" i="1"/>
  <c r="A2149" i="1"/>
  <c r="A2148" i="1"/>
  <c r="A2147" i="1"/>
  <c r="A2146" i="1"/>
  <c r="A2145" i="1"/>
  <c r="A2144" i="1"/>
  <c r="A2143" i="1"/>
  <c r="A2142" i="1"/>
  <c r="A2141" i="1"/>
  <c r="A2140" i="1"/>
  <c r="A2139" i="1"/>
  <c r="A2138" i="1"/>
  <c r="A2137" i="1"/>
  <c r="A2136" i="1"/>
  <c r="A2135" i="1"/>
  <c r="A2134" i="1"/>
  <c r="A2133" i="1"/>
  <c r="A2132" i="1"/>
  <c r="A2131" i="1"/>
  <c r="A2130" i="1"/>
  <c r="A2129" i="1"/>
  <c r="A2128" i="1"/>
  <c r="A2127" i="1"/>
  <c r="A2126" i="1"/>
  <c r="A2125" i="1"/>
  <c r="A2124" i="1"/>
  <c r="A2123" i="1"/>
  <c r="A2122" i="1"/>
  <c r="A2121" i="1"/>
  <c r="A2120" i="1"/>
  <c r="A2119" i="1"/>
  <c r="A2118" i="1"/>
  <c r="A2117" i="1"/>
  <c r="A2116" i="1"/>
  <c r="A2115" i="1"/>
  <c r="A2114" i="1"/>
  <c r="A2113" i="1"/>
  <c r="A2112" i="1"/>
  <c r="A2111" i="1"/>
  <c r="A2110" i="1"/>
  <c r="A2109" i="1"/>
  <c r="A2108" i="1"/>
  <c r="A2107" i="1"/>
  <c r="A2106" i="1"/>
  <c r="A2105" i="1"/>
  <c r="A2104" i="1"/>
  <c r="A2103" i="1"/>
  <c r="A2102" i="1"/>
  <c r="A2101" i="1"/>
  <c r="A2100" i="1"/>
  <c r="A2099" i="1"/>
  <c r="A2098" i="1"/>
  <c r="A2097" i="1"/>
  <c r="A2096" i="1"/>
  <c r="A2095" i="1"/>
  <c r="A2094" i="1"/>
  <c r="A2093" i="1"/>
  <c r="A2092" i="1"/>
  <c r="A2091" i="1"/>
  <c r="A2090" i="1"/>
  <c r="A2089" i="1"/>
  <c r="A2088" i="1"/>
  <c r="A2087" i="1"/>
  <c r="A2086" i="1"/>
  <c r="A2085" i="1"/>
  <c r="A2084" i="1"/>
  <c r="A2083" i="1"/>
  <c r="A2082" i="1"/>
  <c r="A2081" i="1"/>
  <c r="A2080" i="1"/>
  <c r="A2079" i="1"/>
  <c r="A2078" i="1"/>
  <c r="A2077" i="1"/>
  <c r="A2076" i="1"/>
  <c r="A2075" i="1"/>
  <c r="A2074" i="1"/>
  <c r="A2073" i="1"/>
  <c r="A2072" i="1"/>
  <c r="A2071" i="1"/>
  <c r="A2070" i="1"/>
  <c r="A2069" i="1"/>
  <c r="A2068" i="1"/>
  <c r="A2067" i="1"/>
  <c r="A2066" i="1"/>
  <c r="A2065" i="1"/>
  <c r="A2064" i="1"/>
  <c r="A2063" i="1"/>
  <c r="A2062" i="1"/>
  <c r="A2061" i="1"/>
  <c r="A2060" i="1"/>
  <c r="A2059" i="1"/>
  <c r="A2058" i="1"/>
  <c r="A2057" i="1"/>
  <c r="A2056" i="1"/>
  <c r="A2055" i="1"/>
  <c r="A2054" i="1"/>
  <c r="A2053" i="1"/>
  <c r="A2052" i="1"/>
  <c r="A2051" i="1"/>
  <c r="A2050" i="1"/>
  <c r="A2049" i="1"/>
  <c r="A2048" i="1"/>
  <c r="A2047" i="1"/>
  <c r="A2046" i="1"/>
  <c r="A2045" i="1"/>
  <c r="A2044" i="1"/>
  <c r="A2043" i="1"/>
  <c r="A2042" i="1"/>
  <c r="A2041" i="1"/>
  <c r="A2040" i="1"/>
  <c r="A2039" i="1"/>
  <c r="A2038" i="1"/>
  <c r="A2037" i="1"/>
  <c r="A2036" i="1"/>
  <c r="A2035" i="1"/>
  <c r="A2034" i="1"/>
  <c r="A2033" i="1"/>
  <c r="A2032" i="1"/>
  <c r="A2031" i="1"/>
  <c r="A2030" i="1"/>
  <c r="A2029" i="1"/>
  <c r="A2028" i="1"/>
  <c r="A2027" i="1"/>
  <c r="A2026" i="1"/>
  <c r="A2025" i="1"/>
  <c r="A2024" i="1"/>
  <c r="A2023" i="1"/>
  <c r="A2022" i="1"/>
  <c r="A2021" i="1"/>
  <c r="A2020" i="1"/>
  <c r="A2019" i="1"/>
  <c r="A2018" i="1"/>
  <c r="A2017" i="1"/>
  <c r="A2016" i="1"/>
  <c r="A2015" i="1"/>
  <c r="A2014" i="1"/>
  <c r="A2013" i="1"/>
  <c r="A2012" i="1"/>
  <c r="A2011" i="1"/>
  <c r="A2010" i="1"/>
  <c r="A2009" i="1"/>
  <c r="A2008" i="1"/>
  <c r="A2007" i="1"/>
  <c r="A2006" i="1"/>
  <c r="A2005" i="1"/>
  <c r="A2004" i="1"/>
  <c r="A2003" i="1"/>
  <c r="A2002" i="1"/>
  <c r="A2001" i="1"/>
  <c r="A2000" i="1"/>
  <c r="A1999" i="1"/>
  <c r="A1998" i="1"/>
  <c r="A1997" i="1"/>
  <c r="A1996" i="1"/>
  <c r="A1995" i="1"/>
  <c r="A1994" i="1"/>
  <c r="A1993" i="1"/>
  <c r="A1992" i="1"/>
  <c r="A1991" i="1"/>
  <c r="A1990" i="1"/>
  <c r="A1989" i="1"/>
  <c r="A1988" i="1"/>
  <c r="A1987" i="1"/>
  <c r="A1986" i="1"/>
  <c r="A1985" i="1"/>
  <c r="A1984" i="1"/>
  <c r="A1983" i="1"/>
  <c r="A1982" i="1"/>
  <c r="A1981" i="1"/>
  <c r="A1980" i="1"/>
  <c r="A1979" i="1"/>
  <c r="A1978" i="1"/>
  <c r="A1977" i="1"/>
  <c r="A1976" i="1"/>
  <c r="A1975" i="1"/>
  <c r="A1974" i="1"/>
  <c r="A1973" i="1"/>
  <c r="A1972" i="1"/>
  <c r="A1971" i="1"/>
  <c r="A1970" i="1"/>
  <c r="A1969" i="1"/>
  <c r="A1968" i="1"/>
  <c r="A1967" i="1"/>
  <c r="A1966" i="1"/>
  <c r="A1965" i="1"/>
  <c r="A1964" i="1"/>
  <c r="A1963" i="1"/>
  <c r="A1962" i="1"/>
  <c r="A1961" i="1"/>
  <c r="A1960" i="1"/>
  <c r="A1959" i="1"/>
  <c r="A1958" i="1"/>
  <c r="A1957" i="1"/>
  <c r="A1956" i="1"/>
  <c r="A1955" i="1"/>
  <c r="A1954" i="1"/>
  <c r="A1953" i="1"/>
  <c r="A1952" i="1"/>
  <c r="A1951" i="1"/>
  <c r="A1950" i="1"/>
  <c r="A1949" i="1"/>
  <c r="A1948" i="1"/>
  <c r="A1947" i="1"/>
  <c r="A1946" i="1"/>
  <c r="A1945" i="1"/>
  <c r="A1944" i="1"/>
  <c r="A1943" i="1"/>
  <c r="A1942" i="1"/>
  <c r="A1941" i="1"/>
  <c r="A1940" i="1"/>
  <c r="A1939" i="1"/>
  <c r="A1938" i="1"/>
  <c r="A1937" i="1"/>
  <c r="A1936" i="1"/>
  <c r="A1935" i="1"/>
  <c r="A1934" i="1"/>
  <c r="A1933" i="1"/>
  <c r="A1932" i="1"/>
  <c r="A1931" i="1"/>
  <c r="A1930" i="1"/>
  <c r="A1929" i="1"/>
  <c r="A1928" i="1"/>
  <c r="A1927" i="1"/>
  <c r="A1926" i="1"/>
  <c r="A1925" i="1"/>
  <c r="A1924" i="1"/>
  <c r="A1923" i="1"/>
  <c r="A1922" i="1"/>
  <c r="A1921" i="1"/>
  <c r="A1920" i="1"/>
  <c r="A1919" i="1"/>
  <c r="A1918" i="1"/>
  <c r="A1917" i="1"/>
  <c r="A1916" i="1"/>
  <c r="A1915" i="1"/>
  <c r="A1914" i="1"/>
  <c r="A1913" i="1"/>
  <c r="A1912" i="1"/>
  <c r="A1911" i="1"/>
  <c r="A1910" i="1"/>
  <c r="A1909" i="1"/>
  <c r="A1908" i="1"/>
  <c r="A1907" i="1"/>
  <c r="A1906" i="1"/>
  <c r="A1905" i="1"/>
  <c r="A1904" i="1"/>
  <c r="A1903" i="1"/>
  <c r="A1902" i="1"/>
  <c r="A1901" i="1"/>
  <c r="A1900" i="1"/>
  <c r="A1899" i="1"/>
  <c r="A1898" i="1"/>
  <c r="A1897" i="1"/>
  <c r="A1896" i="1"/>
  <c r="A1895" i="1"/>
  <c r="A1894" i="1"/>
  <c r="A1893" i="1"/>
  <c r="A1892" i="1"/>
  <c r="A1891" i="1"/>
  <c r="A1890" i="1"/>
  <c r="A1889" i="1"/>
  <c r="A1888" i="1"/>
  <c r="A1887" i="1"/>
  <c r="A1886" i="1"/>
  <c r="A1885" i="1"/>
  <c r="A1884" i="1"/>
  <c r="A1883" i="1"/>
  <c r="A1882" i="1"/>
  <c r="A1881" i="1"/>
  <c r="A1880" i="1"/>
  <c r="A1879" i="1"/>
  <c r="A1878" i="1"/>
  <c r="A1877" i="1"/>
  <c r="A1876" i="1"/>
  <c r="A1875" i="1"/>
  <c r="A1874" i="1"/>
  <c r="A1873" i="1"/>
  <c r="A1872" i="1"/>
  <c r="A1871" i="1"/>
  <c r="A1870" i="1"/>
  <c r="A1869" i="1"/>
  <c r="A1868" i="1"/>
  <c r="A1867" i="1"/>
  <c r="A1866" i="1"/>
  <c r="A1865" i="1"/>
  <c r="A1864" i="1"/>
  <c r="A1863" i="1"/>
  <c r="A1862" i="1"/>
  <c r="A1861" i="1"/>
  <c r="A1860" i="1"/>
  <c r="A1859" i="1"/>
  <c r="A1858" i="1"/>
  <c r="A1857" i="1"/>
  <c r="A1856" i="1"/>
  <c r="A1855" i="1"/>
  <c r="A1854" i="1"/>
  <c r="A1853" i="1"/>
  <c r="A1852" i="1"/>
  <c r="A1851" i="1"/>
  <c r="A1850" i="1"/>
  <c r="A1849" i="1"/>
  <c r="A1848" i="1"/>
  <c r="A1847" i="1"/>
  <c r="A1846" i="1"/>
  <c r="A1845" i="1"/>
  <c r="A1844" i="1"/>
  <c r="A1843" i="1"/>
  <c r="A1842" i="1"/>
  <c r="A1841" i="1"/>
  <c r="A1840" i="1"/>
  <c r="A1839" i="1"/>
  <c r="A1838" i="1"/>
  <c r="A1837" i="1"/>
  <c r="A1836" i="1"/>
  <c r="A1835" i="1"/>
  <c r="A1834" i="1"/>
  <c r="A1833" i="1"/>
  <c r="A1832" i="1"/>
  <c r="A1831" i="1"/>
  <c r="A1830" i="1"/>
  <c r="A1829" i="1"/>
  <c r="A1828" i="1"/>
  <c r="A1827" i="1"/>
  <c r="A1826" i="1"/>
  <c r="A1825" i="1"/>
  <c r="A1824" i="1"/>
  <c r="A1823" i="1"/>
  <c r="A1822" i="1"/>
  <c r="A1821" i="1"/>
  <c r="A1820" i="1"/>
  <c r="A1819" i="1"/>
  <c r="A1818" i="1"/>
  <c r="A1817" i="1"/>
  <c r="A1816" i="1"/>
  <c r="A1815" i="1"/>
  <c r="A1814" i="1"/>
  <c r="A1813" i="1"/>
  <c r="A1812" i="1"/>
  <c r="A1811" i="1"/>
  <c r="A1810" i="1"/>
  <c r="A1809" i="1"/>
  <c r="A1808" i="1"/>
  <c r="A1807" i="1"/>
  <c r="A1806" i="1"/>
  <c r="A1805" i="1"/>
  <c r="A1804" i="1"/>
  <c r="A1803" i="1"/>
  <c r="A1802" i="1"/>
  <c r="A1801" i="1"/>
  <c r="A1800" i="1"/>
  <c r="A1799" i="1"/>
  <c r="A1798" i="1"/>
  <c r="A1797" i="1"/>
  <c r="A1796" i="1"/>
  <c r="A1795" i="1"/>
  <c r="A1794" i="1"/>
  <c r="A1793" i="1"/>
  <c r="A1792" i="1"/>
  <c r="A1791" i="1"/>
  <c r="A1790" i="1"/>
  <c r="A1789" i="1"/>
  <c r="A1788" i="1"/>
  <c r="A1787" i="1"/>
  <c r="A1786" i="1"/>
  <c r="A1785" i="1"/>
  <c r="A1784" i="1"/>
  <c r="A1783" i="1"/>
  <c r="A1782" i="1"/>
  <c r="A1781" i="1"/>
  <c r="A1780" i="1"/>
  <c r="A1779" i="1"/>
  <c r="A1778" i="1"/>
  <c r="A1777" i="1"/>
  <c r="A1776" i="1"/>
  <c r="A1775" i="1"/>
  <c r="A1774" i="1"/>
  <c r="A1773" i="1"/>
  <c r="A1772" i="1"/>
  <c r="A1771" i="1"/>
  <c r="A1770" i="1"/>
  <c r="A1769" i="1"/>
  <c r="A1768" i="1"/>
  <c r="A1767" i="1"/>
  <c r="A1766" i="1"/>
  <c r="A1765" i="1"/>
  <c r="A1764" i="1"/>
  <c r="A1763" i="1"/>
  <c r="A1762" i="1"/>
  <c r="A1761" i="1"/>
  <c r="A1760" i="1"/>
  <c r="A1759" i="1"/>
  <c r="A1758" i="1"/>
  <c r="A1757" i="1"/>
  <c r="A1756" i="1"/>
  <c r="A1755" i="1"/>
  <c r="A1754" i="1"/>
  <c r="A1753" i="1"/>
  <c r="A1752" i="1"/>
  <c r="A1751" i="1"/>
  <c r="A1750" i="1"/>
  <c r="A1749" i="1"/>
  <c r="A1748" i="1"/>
  <c r="A1747" i="1"/>
  <c r="A1746" i="1"/>
  <c r="A1745" i="1"/>
  <c r="A1744" i="1"/>
  <c r="A1743" i="1"/>
  <c r="A1742" i="1"/>
  <c r="A1741" i="1"/>
  <c r="A1740" i="1"/>
  <c r="A1739" i="1"/>
  <c r="A1738" i="1"/>
  <c r="A1737" i="1"/>
  <c r="A1736" i="1"/>
  <c r="A1735" i="1"/>
  <c r="A1734" i="1"/>
  <c r="A1733" i="1"/>
  <c r="A1732" i="1"/>
  <c r="A1731" i="1"/>
  <c r="A1730" i="1"/>
  <c r="A1729" i="1"/>
  <c r="A1728" i="1"/>
  <c r="A1727" i="1"/>
  <c r="A1726" i="1"/>
  <c r="A1725" i="1"/>
  <c r="A1724" i="1"/>
  <c r="A1723" i="1"/>
  <c r="A1722" i="1"/>
  <c r="A1721" i="1"/>
  <c r="A1720" i="1"/>
  <c r="A1719" i="1"/>
  <c r="A1718" i="1"/>
  <c r="A1717" i="1"/>
  <c r="A1716" i="1"/>
  <c r="A1715" i="1"/>
  <c r="A1714" i="1"/>
  <c r="A1713" i="1"/>
  <c r="A1712" i="1"/>
  <c r="A1711" i="1"/>
  <c r="A1710" i="1"/>
  <c r="A1709" i="1"/>
  <c r="A1708" i="1"/>
  <c r="A1707" i="1"/>
  <c r="A1706" i="1"/>
  <c r="A1705" i="1"/>
  <c r="A1704" i="1"/>
  <c r="A1703" i="1"/>
  <c r="A1702" i="1"/>
  <c r="A1701" i="1"/>
  <c r="A1700" i="1"/>
  <c r="A1699" i="1"/>
  <c r="A1698" i="1"/>
  <c r="A1697" i="1"/>
  <c r="A1696" i="1"/>
  <c r="A1695" i="1"/>
  <c r="A1694" i="1"/>
  <c r="A1693" i="1"/>
  <c r="A1692" i="1"/>
  <c r="A1691" i="1"/>
  <c r="A1690" i="1"/>
  <c r="A1689" i="1"/>
  <c r="A1688" i="1"/>
  <c r="A1687" i="1"/>
  <c r="A1686" i="1"/>
  <c r="A1685" i="1"/>
  <c r="A1684" i="1"/>
  <c r="A1683" i="1"/>
  <c r="A1682" i="1"/>
  <c r="A1681" i="1"/>
  <c r="A1680" i="1"/>
  <c r="A1679" i="1"/>
  <c r="A1678" i="1"/>
  <c r="A1677" i="1"/>
  <c r="A1676" i="1"/>
  <c r="A1675" i="1"/>
  <c r="A1674" i="1"/>
  <c r="A1673" i="1"/>
  <c r="A1672" i="1"/>
  <c r="A1671" i="1"/>
  <c r="A1670" i="1"/>
  <c r="A1669" i="1"/>
  <c r="A1668" i="1"/>
  <c r="A1667" i="1"/>
  <c r="A1666" i="1"/>
  <c r="A1665" i="1"/>
  <c r="A1664" i="1"/>
  <c r="A1663" i="1"/>
  <c r="A1662" i="1"/>
  <c r="A1661" i="1"/>
  <c r="A1660" i="1"/>
  <c r="A1659" i="1"/>
  <c r="A1658" i="1"/>
  <c r="A1657" i="1"/>
  <c r="A1656" i="1"/>
  <c r="A1655" i="1"/>
  <c r="A1654" i="1"/>
  <c r="A1653" i="1"/>
  <c r="A1652" i="1"/>
  <c r="A1651" i="1"/>
  <c r="A1650" i="1"/>
  <c r="A1649" i="1"/>
  <c r="A1648" i="1"/>
  <c r="A1647" i="1"/>
  <c r="A1646" i="1"/>
  <c r="A1645" i="1"/>
  <c r="A1644" i="1"/>
  <c r="A1643" i="1"/>
  <c r="A1642" i="1"/>
  <c r="A1641" i="1"/>
  <c r="A1640" i="1"/>
  <c r="A1639" i="1"/>
  <c r="A1638" i="1"/>
  <c r="A1637" i="1"/>
  <c r="A1636" i="1"/>
  <c r="A1635" i="1"/>
  <c r="A1634" i="1"/>
  <c r="A1633" i="1"/>
  <c r="A1632" i="1"/>
  <c r="A1631" i="1"/>
  <c r="A1630" i="1"/>
  <c r="A1629" i="1"/>
  <c r="A1628" i="1"/>
  <c r="A1627" i="1"/>
  <c r="A1626" i="1"/>
  <c r="A1625" i="1"/>
  <c r="A1624" i="1"/>
  <c r="A1623" i="1"/>
  <c r="A1622" i="1"/>
  <c r="A1621" i="1"/>
  <c r="A1620" i="1"/>
  <c r="A1619" i="1"/>
  <c r="A1618" i="1"/>
  <c r="A1617" i="1"/>
  <c r="A1616" i="1"/>
  <c r="A1615" i="1"/>
  <c r="A1614" i="1"/>
  <c r="A1613" i="1"/>
  <c r="A1612" i="1"/>
  <c r="A1611" i="1"/>
  <c r="A1610" i="1"/>
  <c r="A1609" i="1"/>
  <c r="A1608" i="1"/>
  <c r="A1607" i="1"/>
  <c r="A1606" i="1"/>
  <c r="A1605" i="1"/>
  <c r="A1604" i="1"/>
  <c r="A1603" i="1"/>
  <c r="A1602" i="1"/>
  <c r="A1601" i="1"/>
  <c r="A1600" i="1"/>
  <c r="A1599" i="1"/>
  <c r="A1598" i="1"/>
  <c r="A1597" i="1"/>
  <c r="A1596" i="1"/>
  <c r="A1595" i="1"/>
  <c r="A1594" i="1"/>
  <c r="A1593" i="1"/>
  <c r="A1592" i="1"/>
  <c r="A1591" i="1"/>
  <c r="A1590" i="1"/>
  <c r="A1589" i="1"/>
  <c r="A1588" i="1"/>
  <c r="A1587" i="1"/>
  <c r="A1586" i="1"/>
  <c r="A1585" i="1"/>
  <c r="A1584" i="1"/>
  <c r="A1583" i="1"/>
  <c r="A1582" i="1"/>
  <c r="A1581" i="1"/>
  <c r="A1580" i="1"/>
  <c r="A1579" i="1"/>
  <c r="A1578" i="1"/>
  <c r="A1577" i="1"/>
  <c r="A1576" i="1"/>
  <c r="A1575" i="1"/>
  <c r="A1574" i="1"/>
  <c r="A1573" i="1"/>
  <c r="A1572" i="1"/>
  <c r="A1571" i="1"/>
  <c r="A1570" i="1"/>
  <c r="A1569" i="1"/>
  <c r="A1568" i="1"/>
  <c r="A1567" i="1"/>
  <c r="A1566" i="1"/>
  <c r="A1565" i="1"/>
  <c r="A1564" i="1"/>
  <c r="A1563" i="1"/>
  <c r="A1562" i="1"/>
  <c r="A1561" i="1"/>
  <c r="A1560" i="1"/>
  <c r="A1559" i="1"/>
  <c r="A1558" i="1"/>
  <c r="A1557" i="1"/>
  <c r="A1556" i="1"/>
  <c r="A1555" i="1"/>
  <c r="A1554" i="1"/>
  <c r="A1553" i="1"/>
  <c r="A1552" i="1"/>
  <c r="A1551" i="1"/>
  <c r="A1550" i="1"/>
  <c r="A1549" i="1"/>
  <c r="A1548" i="1"/>
  <c r="A1547" i="1"/>
  <c r="A1546" i="1"/>
  <c r="A1545" i="1"/>
  <c r="A1544" i="1"/>
  <c r="A1543" i="1"/>
  <c r="A1542" i="1"/>
  <c r="A1541" i="1"/>
  <c r="A1540" i="1"/>
  <c r="A1539" i="1"/>
  <c r="A1538" i="1"/>
  <c r="A1537" i="1"/>
  <c r="A1536" i="1"/>
  <c r="A1535" i="1"/>
  <c r="A1534" i="1"/>
  <c r="A1533" i="1"/>
  <c r="A1532" i="1"/>
  <c r="A1531" i="1"/>
  <c r="A1530" i="1"/>
  <c r="A1529" i="1"/>
  <c r="A1528" i="1"/>
  <c r="A1527" i="1"/>
  <c r="A1526" i="1"/>
  <c r="A1525" i="1"/>
  <c r="A1524" i="1"/>
  <c r="A1523" i="1"/>
  <c r="A1522" i="1"/>
  <c r="A1521" i="1"/>
  <c r="A1520" i="1"/>
  <c r="A1519" i="1"/>
  <c r="A1518" i="1"/>
  <c r="A1517" i="1"/>
  <c r="A1516" i="1"/>
  <c r="A1515" i="1"/>
  <c r="A1514" i="1"/>
  <c r="A1513" i="1"/>
  <c r="A1512" i="1"/>
  <c r="A1511" i="1"/>
  <c r="A1510" i="1"/>
  <c r="A1509" i="1"/>
  <c r="A1508" i="1"/>
  <c r="A1507" i="1"/>
  <c r="A1506" i="1"/>
  <c r="A1505" i="1"/>
  <c r="A1504" i="1"/>
  <c r="A1503" i="1"/>
  <c r="A1502" i="1"/>
  <c r="A1501" i="1"/>
  <c r="A1500" i="1"/>
  <c r="A1499" i="1"/>
  <c r="A1498" i="1"/>
  <c r="A1497" i="1"/>
  <c r="A1496" i="1"/>
  <c r="A1495" i="1"/>
  <c r="A1494" i="1"/>
  <c r="A1493" i="1"/>
  <c r="A1492" i="1"/>
  <c r="A1491" i="1"/>
  <c r="A1490" i="1"/>
  <c r="A1489" i="1"/>
  <c r="A1488" i="1"/>
  <c r="A1487" i="1"/>
  <c r="A1486" i="1"/>
  <c r="A1485" i="1"/>
  <c r="A1484" i="1"/>
  <c r="A1483" i="1"/>
  <c r="A1482" i="1"/>
  <c r="A1481" i="1"/>
  <c r="A1480" i="1"/>
  <c r="A1479" i="1"/>
  <c r="A1478" i="1"/>
  <c r="A1477" i="1"/>
  <c r="A1476" i="1"/>
  <c r="A1475" i="1"/>
  <c r="A1474" i="1"/>
  <c r="A1473" i="1"/>
  <c r="A1472" i="1"/>
  <c r="A1471" i="1"/>
  <c r="A1470" i="1"/>
  <c r="A1469" i="1"/>
  <c r="A1468" i="1"/>
  <c r="A1467" i="1"/>
  <c r="A1466" i="1"/>
  <c r="A1465" i="1"/>
  <c r="A1464" i="1"/>
  <c r="A1463" i="1"/>
  <c r="A1462" i="1"/>
  <c r="A1461" i="1"/>
  <c r="A1460" i="1"/>
  <c r="A1459" i="1"/>
  <c r="A1458" i="1"/>
  <c r="A1457" i="1"/>
  <c r="A1456" i="1"/>
  <c r="A1455" i="1"/>
  <c r="A1454" i="1"/>
  <c r="A1453" i="1"/>
  <c r="A1452" i="1"/>
  <c r="A1451" i="1"/>
  <c r="A1450" i="1"/>
  <c r="A1449" i="1"/>
  <c r="A1448" i="1"/>
  <c r="A1447" i="1"/>
  <c r="A1446" i="1"/>
  <c r="A1445" i="1"/>
  <c r="A1444" i="1"/>
  <c r="A1443" i="1"/>
  <c r="A1442" i="1"/>
  <c r="A1441" i="1"/>
  <c r="A1440" i="1"/>
  <c r="A1439" i="1"/>
  <c r="A1438" i="1"/>
  <c r="A1437" i="1"/>
  <c r="A1436" i="1"/>
  <c r="A1435" i="1"/>
  <c r="A1434" i="1"/>
  <c r="A1433" i="1"/>
  <c r="A1432" i="1"/>
  <c r="A1431" i="1"/>
  <c r="A1430" i="1"/>
  <c r="A1429" i="1"/>
  <c r="A1428" i="1"/>
  <c r="A1427" i="1"/>
  <c r="A1426" i="1"/>
  <c r="A1425" i="1"/>
  <c r="A1424" i="1"/>
  <c r="A1423" i="1"/>
  <c r="A1422" i="1"/>
  <c r="A1421" i="1"/>
  <c r="A1420" i="1"/>
  <c r="A1419" i="1"/>
  <c r="A1418" i="1"/>
  <c r="A1417" i="1"/>
  <c r="A1416" i="1"/>
  <c r="A1415" i="1"/>
  <c r="A1414" i="1"/>
  <c r="A1413" i="1"/>
  <c r="A1412" i="1"/>
  <c r="A1411" i="1"/>
  <c r="A1410" i="1"/>
  <c r="A1409" i="1"/>
  <c r="A1408" i="1"/>
  <c r="A1407" i="1"/>
  <c r="A1406" i="1"/>
  <c r="A1405" i="1"/>
  <c r="A1404" i="1"/>
  <c r="A1403" i="1"/>
  <c r="A1402" i="1"/>
  <c r="A1401" i="1"/>
  <c r="A1400" i="1"/>
  <c r="A1399" i="1"/>
  <c r="A1398" i="1"/>
  <c r="A1397" i="1"/>
  <c r="A1396" i="1"/>
  <c r="A1395" i="1"/>
  <c r="A1394" i="1"/>
  <c r="A1393" i="1"/>
  <c r="A1392" i="1"/>
  <c r="A1391" i="1"/>
  <c r="A1390" i="1"/>
  <c r="A1389" i="1"/>
  <c r="A1388" i="1"/>
  <c r="A1387" i="1"/>
  <c r="A1386" i="1"/>
  <c r="A1385" i="1"/>
  <c r="A1384" i="1"/>
  <c r="A1383" i="1"/>
  <c r="A1382" i="1"/>
  <c r="A1381" i="1"/>
  <c r="A1380" i="1"/>
  <c r="A1379" i="1"/>
  <c r="A1378" i="1"/>
  <c r="A1377" i="1"/>
  <c r="A1376" i="1"/>
  <c r="A1375" i="1"/>
  <c r="A1374" i="1"/>
  <c r="A1373" i="1"/>
  <c r="A1372" i="1"/>
  <c r="A1371" i="1"/>
  <c r="A1370" i="1"/>
  <c r="A1369" i="1"/>
  <c r="A1368" i="1"/>
  <c r="A1367" i="1"/>
  <c r="A1366" i="1"/>
  <c r="A1365" i="1"/>
  <c r="A1364" i="1"/>
  <c r="A1363" i="1"/>
  <c r="A1362" i="1"/>
  <c r="A1361" i="1"/>
  <c r="A1360" i="1"/>
  <c r="A1359" i="1"/>
  <c r="A1358" i="1"/>
  <c r="A1357" i="1"/>
  <c r="A1356" i="1"/>
  <c r="A1355" i="1"/>
  <c r="A1354" i="1"/>
  <c r="A1353" i="1"/>
  <c r="A1352" i="1"/>
  <c r="A1351" i="1"/>
  <c r="A1350" i="1"/>
  <c r="A1349" i="1"/>
  <c r="A1348" i="1"/>
  <c r="A1347" i="1"/>
  <c r="A1346" i="1"/>
  <c r="A1345" i="1"/>
  <c r="A1344" i="1"/>
  <c r="A1343" i="1"/>
  <c r="A1342" i="1"/>
  <c r="A1341" i="1"/>
  <c r="A1340" i="1"/>
  <c r="A1339" i="1"/>
  <c r="A1338" i="1"/>
  <c r="A1337" i="1"/>
  <c r="A1336" i="1"/>
  <c r="A1335" i="1"/>
  <c r="A1334" i="1"/>
  <c r="A1333" i="1"/>
  <c r="A1332" i="1"/>
  <c r="A1331" i="1"/>
  <c r="A1330" i="1"/>
  <c r="A1329" i="1"/>
  <c r="A1328" i="1"/>
  <c r="A1327" i="1"/>
  <c r="A1326" i="1"/>
  <c r="A1325" i="1"/>
  <c r="A1324" i="1"/>
  <c r="A1323" i="1"/>
  <c r="A1322" i="1"/>
  <c r="A1321" i="1"/>
  <c r="A1320" i="1"/>
  <c r="A1319" i="1"/>
  <c r="A1318" i="1"/>
  <c r="A1317" i="1"/>
  <c r="A1316" i="1"/>
  <c r="A1315" i="1"/>
  <c r="A1314" i="1"/>
  <c r="A1313" i="1"/>
  <c r="A1312" i="1"/>
  <c r="A1311" i="1"/>
  <c r="A1310" i="1"/>
  <c r="A1309" i="1"/>
  <c r="A1308" i="1"/>
  <c r="A1307" i="1"/>
  <c r="A1306" i="1"/>
  <c r="A1305" i="1"/>
  <c r="A1304" i="1"/>
  <c r="A1303" i="1"/>
  <c r="A1302" i="1"/>
  <c r="A1301" i="1"/>
  <c r="A1300" i="1"/>
  <c r="A1299" i="1"/>
  <c r="A1298" i="1"/>
  <c r="A1297" i="1"/>
  <c r="A1296" i="1"/>
  <c r="A1295" i="1"/>
  <c r="A1294" i="1"/>
  <c r="A1293" i="1"/>
  <c r="A1292" i="1"/>
  <c r="A1291" i="1"/>
  <c r="A1290" i="1"/>
  <c r="A1289" i="1"/>
  <c r="A1288" i="1"/>
  <c r="A1287" i="1"/>
  <c r="A1286" i="1"/>
  <c r="A1285" i="1"/>
  <c r="A1284" i="1"/>
  <c r="A1283" i="1"/>
  <c r="A1282" i="1"/>
  <c r="A1281" i="1"/>
  <c r="A1280" i="1"/>
  <c r="A1279" i="1"/>
  <c r="A1278" i="1"/>
  <c r="A1277" i="1"/>
  <c r="A1276" i="1"/>
  <c r="A1275" i="1"/>
  <c r="A1274" i="1"/>
  <c r="A1273" i="1"/>
  <c r="A1272" i="1"/>
  <c r="A1271" i="1"/>
  <c r="A1270" i="1"/>
  <c r="A1269" i="1"/>
  <c r="A1268" i="1"/>
  <c r="A1267" i="1"/>
  <c r="A1266" i="1"/>
  <c r="A1265" i="1"/>
  <c r="A1264" i="1"/>
  <c r="A1263" i="1"/>
  <c r="A1262" i="1"/>
  <c r="A1261" i="1"/>
  <c r="A1260" i="1"/>
  <c r="A1259" i="1"/>
  <c r="A1258" i="1"/>
  <c r="A1257" i="1"/>
  <c r="A1256" i="1"/>
  <c r="A1255" i="1"/>
  <c r="A1254" i="1"/>
  <c r="A1253" i="1"/>
  <c r="A1252" i="1"/>
  <c r="A1251" i="1"/>
  <c r="A1250" i="1"/>
  <c r="A1249" i="1"/>
  <c r="A1248" i="1"/>
  <c r="A1247" i="1"/>
  <c r="A1246" i="1"/>
  <c r="A1245" i="1"/>
  <c r="A1244" i="1"/>
  <c r="A1243" i="1"/>
  <c r="A1242" i="1"/>
  <c r="A1241" i="1"/>
  <c r="A1240" i="1"/>
  <c r="A1239" i="1"/>
  <c r="A1238" i="1"/>
  <c r="A1237" i="1"/>
  <c r="A1236" i="1"/>
  <c r="A1235" i="1"/>
  <c r="A1234" i="1"/>
  <c r="A1233" i="1"/>
  <c r="A1232" i="1"/>
  <c r="A1231" i="1"/>
  <c r="A1230" i="1"/>
  <c r="A1229" i="1"/>
  <c r="A1228" i="1"/>
  <c r="A1227" i="1"/>
  <c r="A1226" i="1"/>
  <c r="A1225" i="1"/>
  <c r="A1224" i="1"/>
  <c r="A1223" i="1"/>
  <c r="A1222" i="1"/>
  <c r="A1221" i="1"/>
  <c r="A1220" i="1"/>
  <c r="A1219" i="1"/>
  <c r="A1218" i="1"/>
  <c r="A1217" i="1"/>
  <c r="A1216" i="1"/>
  <c r="A1215" i="1"/>
  <c r="A1214" i="1"/>
  <c r="A1213" i="1"/>
  <c r="A1212" i="1"/>
  <c r="A1211" i="1"/>
  <c r="A1210" i="1"/>
  <c r="A1209" i="1"/>
  <c r="A1208" i="1"/>
  <c r="A1207" i="1"/>
  <c r="A1206" i="1"/>
  <c r="A1205" i="1"/>
  <c r="A1204" i="1"/>
  <c r="A1203" i="1"/>
  <c r="A1202" i="1"/>
  <c r="A1201" i="1"/>
  <c r="A1200" i="1"/>
  <c r="A1199" i="1"/>
  <c r="A1198" i="1"/>
  <c r="A1197" i="1"/>
  <c r="A1196" i="1"/>
  <c r="A1195" i="1"/>
  <c r="A1194" i="1"/>
  <c r="A1193" i="1"/>
  <c r="A1192" i="1"/>
  <c r="A1191" i="1"/>
  <c r="A1190" i="1"/>
  <c r="A1189" i="1"/>
  <c r="A1188" i="1"/>
  <c r="A1187" i="1"/>
  <c r="A1186" i="1"/>
  <c r="A1185" i="1"/>
  <c r="A1184" i="1"/>
  <c r="A1183" i="1"/>
  <c r="A1182" i="1"/>
  <c r="A1181" i="1"/>
  <c r="A1180" i="1"/>
  <c r="A1179" i="1"/>
  <c r="A1178" i="1"/>
  <c r="A1177" i="1"/>
  <c r="A1176" i="1"/>
  <c r="A1175" i="1"/>
  <c r="A1174" i="1"/>
  <c r="A1173" i="1"/>
  <c r="A1172" i="1"/>
  <c r="A1171" i="1"/>
  <c r="A1170" i="1"/>
  <c r="A1169" i="1"/>
  <c r="A1168" i="1"/>
  <c r="A1167" i="1"/>
  <c r="A1166" i="1"/>
  <c r="A1165" i="1"/>
  <c r="A1164" i="1"/>
  <c r="A1163" i="1"/>
  <c r="A1162" i="1"/>
  <c r="A1161" i="1"/>
  <c r="A1160" i="1"/>
  <c r="A1159" i="1"/>
  <c r="A1158" i="1"/>
  <c r="A1157" i="1"/>
  <c r="A1156" i="1"/>
  <c r="A1155" i="1"/>
  <c r="A1154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41" i="1"/>
  <c r="A1140" i="1"/>
  <c r="A1139" i="1"/>
  <c r="A1138" i="1"/>
  <c r="A1137" i="1"/>
  <c r="A1136" i="1"/>
  <c r="A1135" i="1"/>
  <c r="A1134" i="1"/>
  <c r="A1133" i="1"/>
  <c r="A1132" i="1"/>
  <c r="A1131" i="1"/>
  <c r="A1130" i="1"/>
  <c r="A1129" i="1"/>
  <c r="A1128" i="1"/>
  <c r="A1127" i="1"/>
  <c r="A1126" i="1"/>
  <c r="A1125" i="1"/>
  <c r="A1124" i="1"/>
  <c r="A1123" i="1"/>
  <c r="A1122" i="1"/>
  <c r="A1121" i="1"/>
  <c r="A1120" i="1"/>
  <c r="A1119" i="1"/>
  <c r="A1118" i="1"/>
  <c r="A1117" i="1"/>
  <c r="A1116" i="1"/>
  <c r="A1115" i="1"/>
  <c r="A1114" i="1"/>
  <c r="A1113" i="1"/>
  <c r="A1112" i="1"/>
  <c r="A1111" i="1"/>
  <c r="A1110" i="1"/>
  <c r="A1109" i="1"/>
  <c r="A1108" i="1"/>
  <c r="A1107" i="1"/>
  <c r="A1106" i="1"/>
  <c r="A1105" i="1"/>
  <c r="A1104" i="1"/>
  <c r="A1103" i="1"/>
  <c r="A1102" i="1"/>
  <c r="A110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</calcChain>
</file>

<file path=xl/comments1.xml><?xml version="1.0" encoding="utf-8"?>
<comments xmlns="http://schemas.openxmlformats.org/spreadsheetml/2006/main">
  <authors>
    <author>Derek Henry</author>
  </authors>
  <commentList>
    <comment ref="J1" authorId="0" shapeId="0">
      <text>
        <r>
          <rPr>
            <sz val="9"/>
            <color indexed="81"/>
            <rFont val="Tahoma"/>
            <family val="2"/>
          </rPr>
          <t>Optional - Set this file as a default to quickly run the Add Routine Pivot macro - enter the value DEFAULT# where # is 1-5 (i.e. "DEFAULT1").
Existing defaualt files are:
1. &lt;BLANK&gt;
2. &lt;BLANK&gt;
3. &lt;BLANK&gt;
4. &lt;BLANK&gt;
5. &lt;BLANK&gt;
The path to this workbook is: 
C:\Users\Derek.henry\Documents\References\Personal\PivotTable Example.xlsx</t>
        </r>
      </text>
    </comment>
    <comment ref="A2" authorId="0" shapeId="0">
      <text>
        <r>
          <rPr>
            <sz val="9"/>
            <color indexed="81"/>
            <rFont val="Tahoma"/>
            <family val="2"/>
          </rPr>
          <t>Enter the sheet name that contains the source data.</t>
        </r>
      </text>
    </comment>
    <comment ref="A3" authorId="0" shapeId="0">
      <text>
        <r>
          <rPr>
            <sz val="9"/>
            <color indexed="81"/>
            <rFont val="Tahoma"/>
            <family val="2"/>
          </rPr>
          <t>The source named range is optional - use EITHER the source named range or source top-left, top-right, and bottom-left cell addresses.  If the source data range name is entered, the top-left, top-right, and bottom-left cell addresses will be ignored.</t>
        </r>
      </text>
    </comment>
    <comment ref="A4" authorId="0" shapeId="0">
      <text>
        <r>
          <rPr>
            <sz val="9"/>
            <color indexed="81"/>
            <rFont val="Tahoma"/>
            <family val="2"/>
          </rPr>
          <t>The top-left and top-right cell addresses should include the header row (generally in row 1).</t>
        </r>
      </text>
    </comment>
    <comment ref="A5" authorId="0" shapeId="0">
      <text>
        <r>
          <rPr>
            <sz val="9"/>
            <color indexed="81"/>
            <rFont val="Tahoma"/>
            <family val="2"/>
          </rPr>
          <t>The top-left and top-right cell addresses should include the header row (generally in row 1).</t>
        </r>
      </text>
    </comment>
    <comment ref="A6" authorId="0" shapeId="0">
      <text>
        <r>
          <rPr>
            <sz val="9"/>
            <color indexed="81"/>
            <rFont val="Tahoma"/>
            <family val="2"/>
          </rPr>
          <t>Bottom-left cell address (optional): Leave blank for the macro to automatically set based on the bottom row of data in the data source sheet.  For a fixed data set last row, enter the cell address of the last row.</t>
        </r>
      </text>
    </comment>
    <comment ref="A10" authorId="0" shapeId="0">
      <text>
        <r>
          <rPr>
            <sz val="9"/>
            <color indexed="81"/>
            <rFont val="Tahoma"/>
            <family val="2"/>
          </rPr>
          <t>Enter the name for the sheet containing the PivotTable / PivotChart.</t>
        </r>
      </text>
    </comment>
    <comment ref="A11" authorId="0" shapeId="0">
      <text>
        <r>
          <rPr>
            <sz val="9"/>
            <color indexed="81"/>
            <rFont val="Tahoma"/>
            <family val="2"/>
          </rPr>
          <t>Enter the cell address where the PivotTable / PivotChart should be inserted (the default is A3).</t>
        </r>
      </text>
    </comment>
    <comment ref="A12" authorId="0" shapeId="0">
      <text>
        <r>
          <rPr>
            <sz val="9"/>
            <color indexed="81"/>
            <rFont val="Tahoma"/>
            <family val="2"/>
          </rPr>
          <t>Number format (optional): Accounting, Currency, Percentage, General, Custom (define in cell to the right)</t>
        </r>
      </text>
    </comment>
    <comment ref="A15" authorId="0" shapeId="0">
      <text>
        <r>
          <rPr>
            <sz val="9"/>
            <color indexed="81"/>
            <rFont val="Tahoma"/>
            <family val="2"/>
          </rPr>
          <t>Pivot field name: the field to pivot - the header name.</t>
        </r>
      </text>
    </comment>
    <comment ref="B15" authorId="0" shapeId="0">
      <text>
        <r>
          <rPr>
            <sz val="9"/>
            <color indexed="81"/>
            <rFont val="Tahoma"/>
            <family val="2"/>
          </rPr>
          <t>Pivot field name: the field to pivot - the header name.</t>
        </r>
      </text>
    </comment>
    <comment ref="C15" authorId="0" shapeId="0">
      <text>
        <r>
          <rPr>
            <sz val="9"/>
            <color indexed="81"/>
            <rFont val="Tahoma"/>
            <family val="2"/>
          </rPr>
          <t>Pivot field sort (optional): Blank, Ascending, or Descending</t>
        </r>
      </text>
    </comment>
    <comment ref="D15" authorId="0" shapeId="0">
      <text>
        <r>
          <rPr>
            <sz val="9"/>
            <color indexed="81"/>
            <rFont val="Tahoma"/>
            <family val="2"/>
          </rPr>
          <t>Pivot field label (optional): Use to assign a different label to the pivot fields instead of the default labels.</t>
        </r>
      </text>
    </comment>
    <comment ref="E15" authorId="0" shapeId="0">
      <text>
        <r>
          <rPr>
            <sz val="9"/>
            <color indexed="81"/>
            <rFont val="Tahoma"/>
            <family val="2"/>
          </rPr>
          <t>Pivot math type: For "Value" field positions only - optionally enter the type of math to perform on the values: Sum, Count, Average, Min, or Max.  For other lesser-used value types, adjust these manually.</t>
        </r>
      </text>
    </comment>
  </commentList>
</comments>
</file>

<file path=xl/comments2.xml><?xml version="1.0" encoding="utf-8"?>
<comments xmlns="http://schemas.openxmlformats.org/spreadsheetml/2006/main">
  <authors>
    <author>Derek Henry</author>
  </authors>
  <commentList>
    <comment ref="A1" authorId="0" shapeId="0">
      <text>
        <r>
          <rPr>
            <sz val="9"/>
            <color indexed="81"/>
            <rFont val="Tahoma"/>
            <family val="2"/>
          </rPr>
          <t>Required - Enter the sheet name that contains the fields to add/modify.</t>
        </r>
      </text>
    </comment>
    <comment ref="B1" authorId="0" shapeId="0">
      <text>
        <r>
          <rPr>
            <sz val="9"/>
            <color indexed="81"/>
            <rFont val="Tahoma"/>
            <family val="2"/>
          </rPr>
          <t>Required - Enter the column to add/modify.  NOTE: if the column already contains data, the existing data will be overwritten!</t>
        </r>
      </text>
    </comment>
    <comment ref="C1" authorId="0" shapeId="0">
      <text>
        <r>
          <rPr>
            <sz val="9"/>
            <color indexed="81"/>
            <rFont val="Tahoma"/>
            <family val="2"/>
          </rPr>
          <t>Required - Enter the row containing field headings.  Source data is expected to start in the next row.</t>
        </r>
      </text>
    </comment>
    <comment ref="D1" authorId="0" shapeId="0">
      <text>
        <r>
          <rPr>
            <sz val="9"/>
            <color indexed="81"/>
            <rFont val="Tahoma"/>
            <family val="2"/>
          </rPr>
          <t>Required - Enter a brief, descriptive header label for the column.</t>
        </r>
      </text>
    </comment>
    <comment ref="E1" authorId="0" shapeId="0">
      <text>
        <r>
          <rPr>
            <sz val="9"/>
            <color indexed="81"/>
            <rFont val="Tahoma"/>
            <family val="2"/>
          </rPr>
          <t>Optional - Enter the full formula to apply to the data set, using the appropriate absolute/relative references as if you enter the formula manually for the first row of data below the column header labels.
Example:
=MID(A2,1,5)</t>
        </r>
      </text>
    </comment>
    <comment ref="F1" authorId="0" shapeId="0">
      <text>
        <r>
          <rPr>
            <sz val="9"/>
            <color indexed="81"/>
            <rFont val="Tahoma"/>
            <family val="2"/>
          </rPr>
          <t>Optional - Change any formatting in the cells below to apply to all source data in the column.  To NOT apply formatting, enter "N/A" for each row used in this column.</t>
        </r>
      </text>
    </comment>
    <comment ref="J1" authorId="0" shapeId="0">
      <text>
        <r>
          <rPr>
            <sz val="9"/>
            <color indexed="81"/>
            <rFont val="Tahoma"/>
            <family val="2"/>
          </rPr>
          <t>Optional - Set this file as a default to quickly run the Modify Fields macro - enter the value DEFAULT# where # is 1-5 (i.e. "DEFAULT1").
Existing defaualt files are:
1. C:\Users\derek.henry\Documents\References\Excel\Modify_Fields_GLD_2017-12-27.xlsx
2. &lt;BLANK&gt;
3. &lt;BLANK&gt;
4. &lt;BLANK&gt;
5. &lt;BLANK&gt;
The path to this workbook is: 
Book1</t>
        </r>
      </text>
    </comment>
  </commentList>
</comments>
</file>

<file path=xl/sharedStrings.xml><?xml version="1.0" encoding="utf-8"?>
<sst xmlns="http://schemas.openxmlformats.org/spreadsheetml/2006/main" count="27668" uniqueCount="100">
  <si>
    <t>TRX Date</t>
  </si>
  <si>
    <t>Account Number</t>
  </si>
  <si>
    <t>Account Description</t>
  </si>
  <si>
    <t>Credit Amount</t>
  </si>
  <si>
    <t>Debit Amount</t>
  </si>
  <si>
    <t>Description</t>
  </si>
  <si>
    <t>Food Sales</t>
  </si>
  <si>
    <t/>
  </si>
  <si>
    <t>Liquor Sales</t>
  </si>
  <si>
    <t>Beer Sales</t>
  </si>
  <si>
    <t>Wine Sales</t>
  </si>
  <si>
    <t>016-2100-000</t>
  </si>
  <si>
    <t>016-2210-000</t>
  </si>
  <si>
    <t>016-2220-000</t>
  </si>
  <si>
    <t>016-2230-000</t>
  </si>
  <si>
    <t>017-2100-000</t>
  </si>
  <si>
    <t>017-2210-000</t>
  </si>
  <si>
    <t>017-2220-000</t>
  </si>
  <si>
    <t>017-2230-000</t>
  </si>
  <si>
    <t>018-2100-000</t>
  </si>
  <si>
    <t>018-2210-000</t>
  </si>
  <si>
    <t>018-2220-000</t>
  </si>
  <si>
    <t>018-2230-000</t>
  </si>
  <si>
    <t>019-2100-000</t>
  </si>
  <si>
    <t>019-2210-000</t>
  </si>
  <si>
    <t>019-2220-000</t>
  </si>
  <si>
    <t>019-2230-000</t>
  </si>
  <si>
    <t>020-2100-000</t>
  </si>
  <si>
    <t>020-2210-000</t>
  </si>
  <si>
    <t>020-2220-000</t>
  </si>
  <si>
    <t>020-2230-000</t>
  </si>
  <si>
    <t>Sheet name</t>
  </si>
  <si>
    <t>Column</t>
  </si>
  <si>
    <t>Header row</t>
  </si>
  <si>
    <t>Header Label</t>
  </si>
  <si>
    <t>Formula</t>
  </si>
  <si>
    <t>Formatting</t>
  </si>
  <si>
    <t>Default:</t>
  </si>
  <si>
    <t>Account Transactions - GL Detai</t>
  </si>
  <si>
    <t>G</t>
  </si>
  <si>
    <t>Net</t>
  </si>
  <si>
    <t>Location</t>
  </si>
  <si>
    <t>Main</t>
  </si>
  <si>
    <t>Subaccount</t>
  </si>
  <si>
    <t>Year</t>
  </si>
  <si>
    <t>Daily Sales Import</t>
  </si>
  <si>
    <t>Absolute</t>
  </si>
  <si>
    <t>Month</t>
  </si>
  <si>
    <t>D</t>
  </si>
  <si>
    <t>E</t>
  </si>
  <si>
    <t>H</t>
  </si>
  <si>
    <t>I</t>
  </si>
  <si>
    <t>J</t>
  </si>
  <si>
    <t>K</t>
  </si>
  <si>
    <t>L</t>
  </si>
  <si>
    <t>M</t>
  </si>
  <si>
    <t>=E2-D2</t>
  </si>
  <si>
    <t>=ABS(G2)</t>
  </si>
  <si>
    <t>=mid(B2,1,3)</t>
  </si>
  <si>
    <t>=mid(B2,5,4)</t>
  </si>
  <si>
    <t>=mid(B2,10,3)</t>
  </si>
  <si>
    <t>=Month(A2)</t>
  </si>
  <si>
    <t>=Year(A2)</t>
  </si>
  <si>
    <t>Source data settings</t>
  </si>
  <si>
    <t>Source data sheet name</t>
  </si>
  <si>
    <t>Source data named range (optional)</t>
  </si>
  <si>
    <t>Source data top-left cell address</t>
  </si>
  <si>
    <t>Source data top-right cell address</t>
  </si>
  <si>
    <t>Source data bottom-left cell address (optional)</t>
  </si>
  <si>
    <t>PivotTable / PivotChart settings</t>
  </si>
  <si>
    <t>Type</t>
  </si>
  <si>
    <t>Pivot sheet name</t>
  </si>
  <si>
    <t>Pivot cell range</t>
  </si>
  <si>
    <t>A3</t>
  </si>
  <si>
    <t>Number format (optional)</t>
  </si>
  <si>
    <t>PivotTable / PivotChart field settings</t>
  </si>
  <si>
    <t>Pivot field name</t>
  </si>
  <si>
    <t>Pivot field position</t>
  </si>
  <si>
    <t>Pivot field sort (optional)</t>
  </si>
  <si>
    <t>Pivot field label (optional)</t>
  </si>
  <si>
    <t>Pivot math type</t>
  </si>
  <si>
    <t>SourceData</t>
  </si>
  <si>
    <t>GL_SourceData</t>
  </si>
  <si>
    <t>PivotTable</t>
  </si>
  <si>
    <t>Accounting</t>
  </si>
  <si>
    <t>Values</t>
  </si>
  <si>
    <t>Sum</t>
  </si>
  <si>
    <t>Row</t>
  </si>
  <si>
    <t>Filter</t>
  </si>
  <si>
    <t>Sum of Absolute</t>
  </si>
  <si>
    <t>Row Labels</t>
  </si>
  <si>
    <t>016</t>
  </si>
  <si>
    <t>017</t>
  </si>
  <si>
    <t>018</t>
  </si>
  <si>
    <t>019</t>
  </si>
  <si>
    <t>020</t>
  </si>
  <si>
    <t>Grand Total</t>
  </si>
  <si>
    <t>Column Labels</t>
  </si>
  <si>
    <t>DataPivotTable</t>
  </si>
  <si>
    <t>Group1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</si>
</sst>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00"/>
  </numFmts>
  <fonts count="7" x14ac:knownFonts="1">
    <font>
      <sz val="9"/>
      <name val="Segoe U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name val="Segoe UI"/>
      <family val="2"/>
    </font>
    <font>
      <sz val="9"/>
      <name val="Segoe UI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>
      <alignment vertical="center"/>
    </xf>
    <xf numFmtId="43" fontId="2" fillId="0" borderId="0" applyFont="0" applyFill="0" applyBorder="0" applyAlignment="0" applyProtection="0"/>
    <xf numFmtId="0" fontId="2" fillId="0" borderId="0"/>
  </cellStyleXfs>
  <cellXfs count="22">
    <xf numFmtId="0" fontId="0" fillId="0" borderId="0" xfId="0">
      <alignment vertical="center"/>
    </xf>
    <xf numFmtId="1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43" fontId="0" fillId="0" borderId="0" xfId="1" applyFont="1"/>
    <xf numFmtId="0" fontId="3" fillId="0" borderId="0" xfId="2" applyFont="1"/>
    <xf numFmtId="0" fontId="2" fillId="0" borderId="0" xfId="2"/>
    <xf numFmtId="49" fontId="2" fillId="0" borderId="0" xfId="2" applyNumberFormat="1"/>
    <xf numFmtId="0" fontId="2" fillId="0" borderId="0" xfId="2" applyFill="1"/>
    <xf numFmtId="49" fontId="2" fillId="0" borderId="0" xfId="2" applyNumberFormat="1" applyFill="1"/>
    <xf numFmtId="0" fontId="5" fillId="0" borderId="0" xfId="0" applyFont="1">
      <alignment vertical="center"/>
    </xf>
    <xf numFmtId="0" fontId="1" fillId="0" borderId="0" xfId="2" applyFont="1" applyFill="1"/>
    <xf numFmtId="49" fontId="1" fillId="0" borderId="0" xfId="2" quotePrefix="1" applyNumberFormat="1" applyFont="1" applyFill="1"/>
    <xf numFmtId="49" fontId="1" fillId="0" borderId="0" xfId="2" applyNumberFormat="1" applyFont="1" applyFill="1"/>
    <xf numFmtId="0" fontId="0" fillId="0" borderId="1" xfId="0" applyBorder="1">
      <alignment vertical="center"/>
    </xf>
    <xf numFmtId="0" fontId="5" fillId="0" borderId="1" xfId="0" applyFont="1" applyBorder="1">
      <alignment vertical="center"/>
    </xf>
    <xf numFmtId="0" fontId="6" fillId="0" borderId="0" xfId="0" applyFont="1" applyFill="1">
      <alignment vertical="center"/>
    </xf>
    <xf numFmtId="0" fontId="0" fillId="0" borderId="0" xfId="0" applyFill="1">
      <alignment vertical="center"/>
    </xf>
    <xf numFmtId="0" fontId="0" fillId="0" borderId="1" xfId="0" applyFill="1" applyBorder="1">
      <alignment vertical="center"/>
    </xf>
    <xf numFmtId="44" fontId="0" fillId="0" borderId="0" xfId="0" applyNumberFormat="1">
      <alignment vertical="center"/>
    </xf>
    <xf numFmtId="0" fontId="0" fillId="0" borderId="0" xfId="0" pivotButton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indent="1"/>
    </xf>
  </cellXfs>
  <cellStyles count="3">
    <cellStyle name="Comma 2" xfId="1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[PivotTable Example_After.xlsx]DataPivotChart Rank!PivotTable_ARP</c:name>
    <c:fmtId val="1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'DataPivotChart Rank'!$B$4:$B$5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'DataPivotChart Rank'!$A$6:$A$11</c:f>
              <c:strCache>
                <c:ptCount val="5"/>
                <c:pt idx="0">
                  <c:v>018</c:v>
                </c:pt>
                <c:pt idx="1">
                  <c:v>017</c:v>
                </c:pt>
                <c:pt idx="2">
                  <c:v>016</c:v>
                </c:pt>
                <c:pt idx="3">
                  <c:v>019</c:v>
                </c:pt>
                <c:pt idx="4">
                  <c:v>020</c:v>
                </c:pt>
              </c:strCache>
            </c:strRef>
          </c:cat>
          <c:val>
            <c:numRef>
              <c:f>'DataPivotChart Rank'!$B$6:$B$11</c:f>
              <c:numCache>
                <c:formatCode>_("$"* #,##0.00_);_("$"* \(#,##0.00\);_("$"* "-"??_);_(@_)</c:formatCode>
                <c:ptCount val="5"/>
                <c:pt idx="0">
                  <c:v>424032.02569999965</c:v>
                </c:pt>
                <c:pt idx="1">
                  <c:v>450096.06110000005</c:v>
                </c:pt>
                <c:pt idx="2">
                  <c:v>415319.47630000015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2A0-4723-BEBB-FA71BD9CFF89}"/>
            </c:ext>
          </c:extLst>
        </c:ser>
        <c:ser>
          <c:idx val="1"/>
          <c:order val="1"/>
          <c:tx>
            <c:strRef>
              <c:f>'DataPivotChart Rank'!$C$4:$C$5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'DataPivotChart Rank'!$A$6:$A$11</c:f>
              <c:strCache>
                <c:ptCount val="5"/>
                <c:pt idx="0">
                  <c:v>018</c:v>
                </c:pt>
                <c:pt idx="1">
                  <c:v>017</c:v>
                </c:pt>
                <c:pt idx="2">
                  <c:v>016</c:v>
                </c:pt>
                <c:pt idx="3">
                  <c:v>019</c:v>
                </c:pt>
                <c:pt idx="4">
                  <c:v>020</c:v>
                </c:pt>
              </c:strCache>
            </c:strRef>
          </c:cat>
          <c:val>
            <c:numRef>
              <c:f>'DataPivotChart Rank'!$C$6:$C$11</c:f>
              <c:numCache>
                <c:formatCode>_("$"* #,##0.00_);_("$"* \(#,##0.00\);_("$"* "-"??_);_(@_)</c:formatCode>
                <c:ptCount val="5"/>
                <c:pt idx="0">
                  <c:v>3330920.6367000029</c:v>
                </c:pt>
                <c:pt idx="1">
                  <c:v>2934458.0708000027</c:v>
                </c:pt>
                <c:pt idx="2">
                  <c:v>2477691.9161000038</c:v>
                </c:pt>
              </c:numCache>
            </c:numRef>
          </c:val>
        </c:ser>
        <c:ser>
          <c:idx val="2"/>
          <c:order val="2"/>
          <c:tx>
            <c:strRef>
              <c:f>'DataPivotChart Rank'!$D$4:$D$5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'DataPivotChart Rank'!$A$6:$A$11</c:f>
              <c:strCache>
                <c:ptCount val="5"/>
                <c:pt idx="0">
                  <c:v>018</c:v>
                </c:pt>
                <c:pt idx="1">
                  <c:v>017</c:v>
                </c:pt>
                <c:pt idx="2">
                  <c:v>016</c:v>
                </c:pt>
                <c:pt idx="3">
                  <c:v>019</c:v>
                </c:pt>
                <c:pt idx="4">
                  <c:v>020</c:v>
                </c:pt>
              </c:strCache>
            </c:strRef>
          </c:cat>
          <c:val>
            <c:numRef>
              <c:f>'DataPivotChart Rank'!$D$6:$D$11</c:f>
              <c:numCache>
                <c:formatCode>_("$"* #,##0.00_);_("$"* \(#,##0.00\);_("$"* "-"??_);_(@_)</c:formatCode>
                <c:ptCount val="5"/>
                <c:pt idx="0">
                  <c:v>2827994.8680000012</c:v>
                </c:pt>
                <c:pt idx="1">
                  <c:v>2490001.4122000029</c:v>
                </c:pt>
                <c:pt idx="2">
                  <c:v>2073089.0392999989</c:v>
                </c:pt>
                <c:pt idx="3">
                  <c:v>655983.37979999965</c:v>
                </c:pt>
                <c:pt idx="4">
                  <c:v>462733.12329999986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24357928"/>
        <c:axId val="724349696"/>
      </c:barChart>
      <c:catAx>
        <c:axId val="724357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4349696"/>
        <c:crosses val="autoZero"/>
        <c:auto val="1"/>
        <c:lblAlgn val="ctr"/>
        <c:lblOffset val="100"/>
        <c:noMultiLvlLbl val="0"/>
      </c:catAx>
      <c:valAx>
        <c:axId val="724349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.00_);_(&quot;$&quot;* \(#,##0.0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4357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[PivotTable Example_After.xlsx]DataPivotChart Stack!PivotTable_ARP</c:name>
    <c:fmtId val="0"/>
  </c:pivotSource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'DataPivotChart Stack'!$B$3:$B$4</c:f>
              <c:strCache>
                <c:ptCount val="1"/>
                <c:pt idx="0">
                  <c:v>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'DataPivotChart Stack'!$A$5:$A$17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'DataPivotChart Stack'!$B$5:$B$17</c:f>
              <c:numCache>
                <c:formatCode>_("$"* #,##0.00_);_("$"* \(#,##0.00\);_("$"* "-"??_);_(@_)</c:formatCode>
                <c:ptCount val="12"/>
                <c:pt idx="0">
                  <c:v>427909.47280000045</c:v>
                </c:pt>
                <c:pt idx="1">
                  <c:v>406681.53889999981</c:v>
                </c:pt>
                <c:pt idx="2">
                  <c:v>501767.15929999965</c:v>
                </c:pt>
                <c:pt idx="3">
                  <c:v>429770.67780000018</c:v>
                </c:pt>
                <c:pt idx="4">
                  <c:v>476694.06720000028</c:v>
                </c:pt>
                <c:pt idx="5">
                  <c:v>390092.6318999998</c:v>
                </c:pt>
                <c:pt idx="6">
                  <c:v>413433.78840000002</c:v>
                </c:pt>
                <c:pt idx="7">
                  <c:v>386414.37859999994</c:v>
                </c:pt>
                <c:pt idx="8">
                  <c:v>348391.49459999992</c:v>
                </c:pt>
                <c:pt idx="9">
                  <c:v>346792.44390000013</c:v>
                </c:pt>
                <c:pt idx="10">
                  <c:v>394336.48200000002</c:v>
                </c:pt>
                <c:pt idx="11">
                  <c:v>443816.2963000001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458-46A0-8D60-F32D6335B868}"/>
            </c:ext>
          </c:extLst>
        </c:ser>
        <c:ser>
          <c:idx val="1"/>
          <c:order val="1"/>
          <c:tx>
            <c:strRef>
              <c:f>'DataPivotChart Stack'!$C$3:$C$4</c:f>
              <c:strCache>
                <c:ptCount val="1"/>
                <c:pt idx="0">
                  <c:v>017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'DataPivotChart Stack'!$A$5:$A$17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'DataPivotChart Stack'!$C$5:$C$17</c:f>
              <c:numCache>
                <c:formatCode>_("$"* #,##0.00_);_("$"* \(#,##0.00\);_("$"* "-"??_);_(@_)</c:formatCode>
                <c:ptCount val="12"/>
                <c:pt idx="0">
                  <c:v>444885.88919999998</c:v>
                </c:pt>
                <c:pt idx="1">
                  <c:v>432229.52159999986</c:v>
                </c:pt>
                <c:pt idx="2">
                  <c:v>540391.93689999997</c:v>
                </c:pt>
                <c:pt idx="3">
                  <c:v>512803.55989999999</c:v>
                </c:pt>
                <c:pt idx="4">
                  <c:v>585854.79530000023</c:v>
                </c:pt>
                <c:pt idx="5">
                  <c:v>528036.12259999977</c:v>
                </c:pt>
                <c:pt idx="6">
                  <c:v>520714.30919999973</c:v>
                </c:pt>
                <c:pt idx="7">
                  <c:v>509793.20100000012</c:v>
                </c:pt>
                <c:pt idx="8">
                  <c:v>447560.76870000031</c:v>
                </c:pt>
                <c:pt idx="9">
                  <c:v>443481.36479999992</c:v>
                </c:pt>
                <c:pt idx="10">
                  <c:v>425245.15999999974</c:v>
                </c:pt>
                <c:pt idx="11">
                  <c:v>483558.9148999998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458-46A0-8D60-F32D6335B868}"/>
            </c:ext>
          </c:extLst>
        </c:ser>
        <c:ser>
          <c:idx val="2"/>
          <c:order val="2"/>
          <c:tx>
            <c:strRef>
              <c:f>'DataPivotChart Stack'!$D$3:$D$4</c:f>
              <c:strCache>
                <c:ptCount val="1"/>
                <c:pt idx="0">
                  <c:v>018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'DataPivotChart Stack'!$A$5:$A$17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'DataPivotChart Stack'!$D$5:$D$17</c:f>
              <c:numCache>
                <c:formatCode>_("$"* #,##0.00_);_("$"* \(#,##0.00\);_("$"* "-"??_);_(@_)</c:formatCode>
                <c:ptCount val="12"/>
                <c:pt idx="0">
                  <c:v>441448.27579999994</c:v>
                </c:pt>
                <c:pt idx="1">
                  <c:v>473104.33360000007</c:v>
                </c:pt>
                <c:pt idx="2">
                  <c:v>599383.91859999951</c:v>
                </c:pt>
                <c:pt idx="3">
                  <c:v>551381.02759999968</c:v>
                </c:pt>
                <c:pt idx="4">
                  <c:v>652411.66260000039</c:v>
                </c:pt>
                <c:pt idx="5">
                  <c:v>630902.80429999961</c:v>
                </c:pt>
                <c:pt idx="6">
                  <c:v>574680.79129999969</c:v>
                </c:pt>
                <c:pt idx="7">
                  <c:v>573669.29770000023</c:v>
                </c:pt>
                <c:pt idx="8">
                  <c:v>558141.41610000015</c:v>
                </c:pt>
                <c:pt idx="9">
                  <c:v>554133.1869999998</c:v>
                </c:pt>
                <c:pt idx="10">
                  <c:v>471680.04339999997</c:v>
                </c:pt>
                <c:pt idx="11">
                  <c:v>502010.77239999967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458-46A0-8D60-F32D6335B868}"/>
            </c:ext>
          </c:extLst>
        </c:ser>
        <c:ser>
          <c:idx val="3"/>
          <c:order val="3"/>
          <c:tx>
            <c:strRef>
              <c:f>'DataPivotChart Stack'!$E$3:$E$4</c:f>
              <c:strCache>
                <c:ptCount val="1"/>
                <c:pt idx="0">
                  <c:v>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'DataPivotChart Stack'!$A$5:$A$17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'DataPivotChart Stack'!$E$5:$E$17</c:f>
              <c:numCache>
                <c:formatCode>_("$"* #,##0.00_);_("$"* \(#,##0.00\);_("$"* "-"??_);_(@_)</c:formatCode>
                <c:ptCount val="12"/>
                <c:pt idx="6">
                  <c:v>117532.87019999999</c:v>
                </c:pt>
                <c:pt idx="7">
                  <c:v>197649.03179999994</c:v>
                </c:pt>
                <c:pt idx="8">
                  <c:v>174478.68229999996</c:v>
                </c:pt>
                <c:pt idx="9">
                  <c:v>166322.79550000004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458-46A0-8D60-F32D6335B868}"/>
            </c:ext>
          </c:extLst>
        </c:ser>
        <c:ser>
          <c:idx val="4"/>
          <c:order val="4"/>
          <c:tx>
            <c:strRef>
              <c:f>'DataPivotChart Stack'!$F$3:$F$4</c:f>
              <c:strCache>
                <c:ptCount val="1"/>
                <c:pt idx="0">
                  <c:v>020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'DataPivotChart Stack'!$A$5:$A$17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'DataPivotChart Stack'!$F$5:$F$17</c:f>
              <c:numCache>
                <c:formatCode>_("$"* #,##0.00_);_("$"* \(#,##0.00\);_("$"* "-"??_);_(@_)</c:formatCode>
                <c:ptCount val="12"/>
                <c:pt idx="9">
                  <c:v>462733.12329999986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458-46A0-8D60-F32D6335B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724355968"/>
        <c:axId val="724356752"/>
      </c:barChart>
      <c:catAx>
        <c:axId val="72435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4356752"/>
        <c:crosses val="autoZero"/>
        <c:auto val="1"/>
        <c:lblAlgn val="ctr"/>
        <c:lblOffset val="100"/>
        <c:noMultiLvlLbl val="0"/>
      </c:catAx>
      <c:valAx>
        <c:axId val="724356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.00_);_(&quot;$&quot;* \(#,##0.0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4355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33336</xdr:colOff>
      <xdr:row>19</xdr:row>
      <xdr:rowOff>14287</xdr:rowOff>
    </xdr:from>
    <xdr:to>
      <xdr:col>6</xdr:col>
      <xdr:colOff>962024</xdr:colOff>
      <xdr:row>43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9B254D12-7001-46BB-8343-3E25DB7213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33336</xdr:colOff>
      <xdr:row>19</xdr:row>
      <xdr:rowOff>14287</xdr:rowOff>
    </xdr:from>
    <xdr:to>
      <xdr:col>6</xdr:col>
      <xdr:colOff>962024</xdr:colOff>
      <xdr:row>43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D62BB3BF-8A2B-4FA0-B441-6E849F4B7D2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erek Henry" refreshedDate="43179.369110069441" createdVersion="5" refreshedVersion="6" minRefreshableVersion="3" recordCount="9182">
  <cacheSource type="worksheet">
    <worksheetSource ref="A1:M9183" sheet="SourceData"/>
  </cacheSource>
  <cacheFields count="14">
    <cacheField name="TRX Date" numFmtId="14">
      <sharedItems containsSemiMixedTypes="0" containsNonDate="0" containsDate="1" containsString="0" minDate="2011-10-31T00:00:00" maxDate="2013-10-28T00:00:00"/>
    </cacheField>
    <cacheField name="Account Number" numFmtId="0">
      <sharedItems/>
    </cacheField>
    <cacheField name="Account Description" numFmtId="0">
      <sharedItems/>
    </cacheField>
    <cacheField name="Credit Amount" numFmtId="43">
      <sharedItems containsSemiMixedTypes="0" containsString="0" containsNumber="1" minValue="0" maxValue="25928.766500000002"/>
    </cacheField>
    <cacheField name="Debit Amount" numFmtId="43">
      <sharedItems containsSemiMixedTypes="0" containsString="0" containsNumber="1" minValue="0" maxValue="10.130000000000001"/>
    </cacheField>
    <cacheField name="Description" numFmtId="0">
      <sharedItems/>
    </cacheField>
    <cacheField name="Net" numFmtId="43">
      <sharedItems containsSemiMixedTypes="0" containsString="0" containsNumber="1" minValue="-25928.766500000002" maxValue="10.130000000000001"/>
    </cacheField>
    <cacheField name="Absolute" numFmtId="43">
      <sharedItems containsSemiMixedTypes="0" containsString="0" containsNumber="1" minValue="4.41" maxValue="25928.766500000002"/>
    </cacheField>
    <cacheField name="Location" numFmtId="0">
      <sharedItems count="5">
        <s v="016"/>
        <s v="017"/>
        <s v="018"/>
        <s v="019"/>
        <s v="020"/>
      </sharedItems>
      <fieldGroup par="13"/>
    </cacheField>
    <cacheField name="Main" numFmtId="0">
      <sharedItems/>
    </cacheField>
    <cacheField name="Subaccount" numFmtId="0">
      <sharedItems/>
    </cacheField>
    <cacheField name="Month" numFmtId="0">
      <sharedItems containsSemiMixedTypes="0" containsString="0" containsNumber="1" containsInteger="1" minValue="1" maxValue="12" count="12">
        <n v="10"/>
        <n v="11"/>
        <n v="12"/>
        <n v="1"/>
        <n v="2"/>
        <n v="3"/>
        <n v="4"/>
        <n v="5"/>
        <n v="6"/>
        <n v="7"/>
        <n v="8"/>
        <n v="9"/>
      </sharedItems>
    </cacheField>
    <cacheField name="Year" numFmtId="0">
      <sharedItems containsSemiMixedTypes="0" containsString="0" containsNumber="1" containsInteger="1" minValue="2011" maxValue="2013" count="3">
        <n v="2011"/>
        <n v="2012"/>
        <n v="2013"/>
      </sharedItems>
    </cacheField>
    <cacheField name="Location2" numFmtId="0" databaseField="0">
      <fieldGroup base="8">
        <discretePr count="5">
          <x v="0"/>
          <x v="2"/>
          <x v="2"/>
          <x v="2"/>
          <x v="1"/>
        </discretePr>
        <groupItems count="3">
          <s v="016"/>
          <s v="020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erek Henry" refreshedDate="43179.372074421299" createdVersion="5" refreshedVersion="6" minRefreshableVersion="3" recordCount="9182">
  <cacheSource type="worksheet">
    <worksheetSource ref="A1:M9183" sheet="SourceData"/>
  </cacheSource>
  <cacheFields count="13">
    <cacheField name="TRX Date" numFmtId="14">
      <sharedItems containsSemiMixedTypes="0" containsNonDate="0" containsDate="1" containsString="0" minDate="2011-10-31T00:00:00" maxDate="2013-10-28T00:00:00"/>
    </cacheField>
    <cacheField name="Account Number" numFmtId="0">
      <sharedItems/>
    </cacheField>
    <cacheField name="Account Description" numFmtId="0">
      <sharedItems/>
    </cacheField>
    <cacheField name="Credit Amount" numFmtId="43">
      <sharedItems containsSemiMixedTypes="0" containsString="0" containsNumber="1" minValue="0" maxValue="25928.766500000002"/>
    </cacheField>
    <cacheField name="Debit Amount" numFmtId="43">
      <sharedItems containsSemiMixedTypes="0" containsString="0" containsNumber="1" minValue="0" maxValue="10.130000000000001"/>
    </cacheField>
    <cacheField name="Description" numFmtId="0">
      <sharedItems/>
    </cacheField>
    <cacheField name="Net" numFmtId="43">
      <sharedItems containsSemiMixedTypes="0" containsString="0" containsNumber="1" minValue="-25928.766500000002" maxValue="10.130000000000001"/>
    </cacheField>
    <cacheField name="Absolute" numFmtId="43">
      <sharedItems containsSemiMixedTypes="0" containsString="0" containsNumber="1" minValue="4.41" maxValue="25928.766500000002"/>
    </cacheField>
    <cacheField name="Location" numFmtId="0">
      <sharedItems count="5">
        <s v="016"/>
        <s v="017"/>
        <s v="018"/>
        <s v="019"/>
        <s v="020"/>
      </sharedItems>
    </cacheField>
    <cacheField name="Main" numFmtId="0">
      <sharedItems/>
    </cacheField>
    <cacheField name="Subaccount" numFmtId="0">
      <sharedItems/>
    </cacheField>
    <cacheField name="Month" numFmtId="0">
      <sharedItems containsSemiMixedTypes="0" containsString="0" containsNumber="1" containsInteger="1" minValue="1" maxValue="12" count="12">
        <n v="10"/>
        <n v="11"/>
        <n v="12"/>
        <n v="1"/>
        <n v="2"/>
        <n v="3"/>
        <n v="4"/>
        <n v="5"/>
        <n v="6"/>
        <n v="7"/>
        <n v="8"/>
        <n v="9"/>
      </sharedItems>
    </cacheField>
    <cacheField name="Year" numFmtId="0">
      <sharedItems containsSemiMixedTypes="0" containsString="0" containsNumber="1" containsInteger="1" minValue="2011" maxValue="2013" count="3">
        <n v="2011"/>
        <n v="2012"/>
        <n v="201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182">
  <r>
    <d v="2011-10-31T00:00:00"/>
    <s v="016-2100-000"/>
    <s v="Food Sales"/>
    <n v="2084.0463999999997"/>
    <n v="0"/>
    <s v="Daily Sales Import"/>
    <n v="-2084.0463999999997"/>
    <n v="2084.0463999999997"/>
    <x v="0"/>
    <s v="2100"/>
    <s v="000"/>
    <x v="0"/>
    <x v="0"/>
  </r>
  <r>
    <d v="2011-10-31T00:00:00"/>
    <s v="016-2210-000"/>
    <s v="Liquor Sales"/>
    <n v="451.22350000000006"/>
    <n v="0"/>
    <s v="Daily Sales Import"/>
    <n v="-451.22350000000006"/>
    <n v="451.22350000000006"/>
    <x v="0"/>
    <s v="2210"/>
    <s v="000"/>
    <x v="0"/>
    <x v="0"/>
  </r>
  <r>
    <d v="2011-10-31T00:00:00"/>
    <s v="016-2220-000"/>
    <s v="Beer Sales"/>
    <n v="83.314499999999995"/>
    <n v="0"/>
    <s v="Daily Sales Import"/>
    <n v="-83.314499999999995"/>
    <n v="83.314499999999995"/>
    <x v="0"/>
    <s v="2220"/>
    <s v="000"/>
    <x v="0"/>
    <x v="0"/>
  </r>
  <r>
    <d v="2011-10-31T00:00:00"/>
    <s v="016-2230-000"/>
    <s v="Wine Sales"/>
    <n v="76.959999999999994"/>
    <n v="0"/>
    <s v="Daily Sales Import"/>
    <n v="-76.959999999999994"/>
    <n v="76.959999999999994"/>
    <x v="0"/>
    <s v="2230"/>
    <s v="000"/>
    <x v="0"/>
    <x v="0"/>
  </r>
  <r>
    <d v="2011-11-01T00:00:00"/>
    <s v="016-2100-000"/>
    <s v="Food Sales"/>
    <n v="2539.6424999999999"/>
    <n v="0"/>
    <s v="Daily Sales Import"/>
    <n v="-2539.6424999999999"/>
    <n v="2539.6424999999999"/>
    <x v="0"/>
    <s v="2100"/>
    <s v="000"/>
    <x v="1"/>
    <x v="0"/>
  </r>
  <r>
    <d v="2011-11-01T00:00:00"/>
    <s v="016-2210-000"/>
    <s v="Liquor Sales"/>
    <n v="447.46999999999997"/>
    <n v="0"/>
    <s v="Daily Sales Import"/>
    <n v="-447.46999999999997"/>
    <n v="447.46999999999997"/>
    <x v="0"/>
    <s v="2210"/>
    <s v="000"/>
    <x v="1"/>
    <x v="0"/>
  </r>
  <r>
    <d v="2011-11-01T00:00:00"/>
    <s v="016-2220-000"/>
    <s v="Beer Sales"/>
    <n v="145.72699999999998"/>
    <n v="0"/>
    <s v="Daily Sales Import"/>
    <n v="-145.72699999999998"/>
    <n v="145.72699999999998"/>
    <x v="0"/>
    <s v="2220"/>
    <s v="000"/>
    <x v="1"/>
    <x v="0"/>
  </r>
  <r>
    <d v="2011-11-01T00:00:00"/>
    <s v="016-2230-000"/>
    <s v="Wine Sales"/>
    <n v="84.364999999999995"/>
    <n v="0"/>
    <s v="Daily Sales Import"/>
    <n v="-84.364999999999995"/>
    <n v="84.364999999999995"/>
    <x v="0"/>
    <s v="2230"/>
    <s v="000"/>
    <x v="1"/>
    <x v="0"/>
  </r>
  <r>
    <d v="2011-11-02T00:00:00"/>
    <s v="016-2100-000"/>
    <s v="Food Sales"/>
    <n v="2563.9284000000002"/>
    <n v="0"/>
    <s v="Daily Sales Import"/>
    <n v="-2563.9284000000002"/>
    <n v="2563.9284000000002"/>
    <x v="0"/>
    <s v="2100"/>
    <s v="000"/>
    <x v="1"/>
    <x v="0"/>
  </r>
  <r>
    <d v="2011-11-02T00:00:00"/>
    <s v="016-2210-000"/>
    <s v="Liquor Sales"/>
    <n v="622.13900000000001"/>
    <n v="0"/>
    <s v="Daily Sales Import"/>
    <n v="-622.13900000000001"/>
    <n v="622.13900000000001"/>
    <x v="0"/>
    <s v="2210"/>
    <s v="000"/>
    <x v="1"/>
    <x v="0"/>
  </r>
  <r>
    <d v="2011-11-02T00:00:00"/>
    <s v="016-2220-000"/>
    <s v="Beer Sales"/>
    <n v="137.8125"/>
    <n v="0"/>
    <s v="Daily Sales Import"/>
    <n v="-137.8125"/>
    <n v="137.8125"/>
    <x v="0"/>
    <s v="2220"/>
    <s v="000"/>
    <x v="1"/>
    <x v="0"/>
  </r>
  <r>
    <d v="2011-11-02T00:00:00"/>
    <s v="016-2230-000"/>
    <s v="Wine Sales"/>
    <n v="127.82000000000001"/>
    <n v="0"/>
    <s v="Daily Sales Import"/>
    <n v="-127.82000000000001"/>
    <n v="127.82000000000001"/>
    <x v="0"/>
    <s v="2230"/>
    <s v="000"/>
    <x v="1"/>
    <x v="0"/>
  </r>
  <r>
    <d v="2011-11-03T00:00:00"/>
    <s v="016-2100-000"/>
    <s v="Food Sales"/>
    <n v="3444.7592"/>
    <n v="0"/>
    <s v="Daily Sales Import"/>
    <n v="-3444.7592"/>
    <n v="3444.7592"/>
    <x v="0"/>
    <s v="2100"/>
    <s v="000"/>
    <x v="1"/>
    <x v="0"/>
  </r>
  <r>
    <d v="2011-11-03T00:00:00"/>
    <s v="016-2210-000"/>
    <s v="Liquor Sales"/>
    <n v="1368.905"/>
    <n v="0"/>
    <s v="Daily Sales Import"/>
    <n v="-1368.905"/>
    <n v="1368.905"/>
    <x v="0"/>
    <s v="2210"/>
    <s v="000"/>
    <x v="1"/>
    <x v="0"/>
  </r>
  <r>
    <d v="2011-11-03T00:00:00"/>
    <s v="016-2220-000"/>
    <s v="Beer Sales"/>
    <n v="290.59800000000001"/>
    <n v="0"/>
    <s v="Daily Sales Import"/>
    <n v="-290.59800000000001"/>
    <n v="290.59800000000001"/>
    <x v="0"/>
    <s v="2220"/>
    <s v="000"/>
    <x v="1"/>
    <x v="0"/>
  </r>
  <r>
    <d v="2011-11-03T00:00:00"/>
    <s v="016-2230-000"/>
    <s v="Wine Sales"/>
    <n v="244.244"/>
    <n v="0"/>
    <s v="Daily Sales Import"/>
    <n v="-244.244"/>
    <n v="244.244"/>
    <x v="0"/>
    <s v="2230"/>
    <s v="000"/>
    <x v="1"/>
    <x v="0"/>
  </r>
  <r>
    <d v="2011-11-04T00:00:00"/>
    <s v="016-2100-000"/>
    <s v="Food Sales"/>
    <n v="7719.5523999999996"/>
    <n v="0"/>
    <s v="Daily Sales Import"/>
    <n v="-7719.5523999999996"/>
    <n v="7719.5523999999996"/>
    <x v="0"/>
    <s v="2100"/>
    <s v="000"/>
    <x v="1"/>
    <x v="0"/>
  </r>
  <r>
    <d v="2011-11-04T00:00:00"/>
    <s v="016-2210-000"/>
    <s v="Liquor Sales"/>
    <n v="4986.9120000000003"/>
    <n v="0"/>
    <s v="Daily Sales Import"/>
    <n v="-4986.9120000000003"/>
    <n v="4986.9120000000003"/>
    <x v="0"/>
    <s v="2210"/>
    <s v="000"/>
    <x v="1"/>
    <x v="0"/>
  </r>
  <r>
    <d v="2011-11-04T00:00:00"/>
    <s v="016-2220-000"/>
    <s v="Beer Sales"/>
    <n v="1212.3300000000002"/>
    <n v="0"/>
    <s v="Daily Sales Import"/>
    <n v="-1212.3300000000002"/>
    <n v="1212.3300000000002"/>
    <x v="0"/>
    <s v="2220"/>
    <s v="000"/>
    <x v="1"/>
    <x v="0"/>
  </r>
  <r>
    <d v="2011-11-04T00:00:00"/>
    <s v="016-2230-000"/>
    <s v="Wine Sales"/>
    <n v="538.2405"/>
    <n v="0"/>
    <s v="Daily Sales Import"/>
    <n v="-538.2405"/>
    <n v="538.2405"/>
    <x v="0"/>
    <s v="2230"/>
    <s v="000"/>
    <x v="1"/>
    <x v="0"/>
  </r>
  <r>
    <d v="2011-11-05T00:00:00"/>
    <s v="016-2100-000"/>
    <s v="Food Sales"/>
    <n v="8827.8895000000011"/>
    <n v="0"/>
    <s v="Daily Sales Import"/>
    <n v="-8827.8895000000011"/>
    <n v="8827.8895000000011"/>
    <x v="0"/>
    <s v="2100"/>
    <s v="000"/>
    <x v="1"/>
    <x v="0"/>
  </r>
  <r>
    <d v="2011-11-05T00:00:00"/>
    <s v="016-2210-000"/>
    <s v="Liquor Sales"/>
    <n v="4691.0355"/>
    <n v="0"/>
    <s v="Daily Sales Import"/>
    <n v="-4691.0355"/>
    <n v="4691.0355"/>
    <x v="0"/>
    <s v="2210"/>
    <s v="000"/>
    <x v="1"/>
    <x v="0"/>
  </r>
  <r>
    <d v="2011-11-05T00:00:00"/>
    <s v="016-2220-000"/>
    <s v="Beer Sales"/>
    <n v="624.1049999999999"/>
    <n v="0"/>
    <s v="Daily Sales Import"/>
    <n v="-624.1049999999999"/>
    <n v="624.1049999999999"/>
    <x v="0"/>
    <s v="2220"/>
    <s v="000"/>
    <x v="1"/>
    <x v="0"/>
  </r>
  <r>
    <d v="2011-11-05T00:00:00"/>
    <s v="016-2230-000"/>
    <s v="Wine Sales"/>
    <n v="373.23"/>
    <n v="0"/>
    <s v="Daily Sales Import"/>
    <n v="-373.23"/>
    <n v="373.23"/>
    <x v="0"/>
    <s v="2230"/>
    <s v="000"/>
    <x v="1"/>
    <x v="0"/>
  </r>
  <r>
    <d v="2011-11-06T00:00:00"/>
    <s v="016-2100-000"/>
    <s v="Food Sales"/>
    <n v="4647.7550000000001"/>
    <n v="0"/>
    <s v="Daily Sales Import"/>
    <n v="-4647.7550000000001"/>
    <n v="4647.7550000000001"/>
    <x v="0"/>
    <s v="2100"/>
    <s v="000"/>
    <x v="1"/>
    <x v="0"/>
  </r>
  <r>
    <d v="2011-11-06T00:00:00"/>
    <s v="016-2210-000"/>
    <s v="Liquor Sales"/>
    <n v="1190.0249999999999"/>
    <n v="0"/>
    <s v="Daily Sales Import"/>
    <n v="-1190.0249999999999"/>
    <n v="1190.0249999999999"/>
    <x v="0"/>
    <s v="2210"/>
    <s v="000"/>
    <x v="1"/>
    <x v="0"/>
  </r>
  <r>
    <d v="2011-11-06T00:00:00"/>
    <s v="016-2220-000"/>
    <s v="Beer Sales"/>
    <n v="269.24399999999997"/>
    <n v="0"/>
    <s v="Daily Sales Import"/>
    <n v="-269.24399999999997"/>
    <n v="269.24399999999997"/>
    <x v="0"/>
    <s v="2220"/>
    <s v="000"/>
    <x v="1"/>
    <x v="0"/>
  </r>
  <r>
    <d v="2011-11-06T00:00:00"/>
    <s v="016-2230-000"/>
    <s v="Wine Sales"/>
    <n v="155.75600000000003"/>
    <n v="0"/>
    <s v="Daily Sales Import"/>
    <n v="-155.75600000000003"/>
    <n v="155.75600000000003"/>
    <x v="0"/>
    <s v="2230"/>
    <s v="000"/>
    <x v="1"/>
    <x v="0"/>
  </r>
  <r>
    <d v="2011-10-31T00:00:00"/>
    <s v="017-2100-000"/>
    <s v="Food Sales"/>
    <n v="2504.5964999999997"/>
    <n v="0"/>
    <s v="Daily Sales Import"/>
    <n v="-2504.5964999999997"/>
    <n v="2504.5964999999997"/>
    <x v="1"/>
    <s v="2100"/>
    <s v="000"/>
    <x v="0"/>
    <x v="0"/>
  </r>
  <r>
    <d v="2011-10-31T00:00:00"/>
    <s v="017-2210-000"/>
    <s v="Liquor Sales"/>
    <n v="634.26"/>
    <n v="0"/>
    <s v="Daily Sales Import"/>
    <n v="-634.26"/>
    <n v="634.26"/>
    <x v="1"/>
    <s v="2210"/>
    <s v="000"/>
    <x v="0"/>
    <x v="0"/>
  </r>
  <r>
    <d v="2011-10-31T00:00:00"/>
    <s v="017-2220-000"/>
    <s v="Beer Sales"/>
    <n v="157.32"/>
    <n v="0"/>
    <s v="Daily Sales Import"/>
    <n v="-157.32"/>
    <n v="157.32"/>
    <x v="1"/>
    <s v="2220"/>
    <s v="000"/>
    <x v="0"/>
    <x v="0"/>
  </r>
  <r>
    <d v="2011-10-31T00:00:00"/>
    <s v="017-2230-000"/>
    <s v="Wine Sales"/>
    <n v="7.6000000000000005"/>
    <n v="0"/>
    <s v="Daily Sales Import"/>
    <n v="-7.6000000000000005"/>
    <n v="7.6000000000000005"/>
    <x v="1"/>
    <s v="2230"/>
    <s v="000"/>
    <x v="0"/>
    <x v="0"/>
  </r>
  <r>
    <d v="2011-11-01T00:00:00"/>
    <s v="017-2100-000"/>
    <s v="Food Sales"/>
    <n v="4047.8297999999995"/>
    <n v="0"/>
    <s v="Daily Sales Import"/>
    <n v="-4047.8297999999995"/>
    <n v="4047.8297999999995"/>
    <x v="1"/>
    <s v="2100"/>
    <s v="000"/>
    <x v="1"/>
    <x v="0"/>
  </r>
  <r>
    <d v="2011-11-01T00:00:00"/>
    <s v="017-2210-000"/>
    <s v="Liquor Sales"/>
    <n v="774.90599999999995"/>
    <n v="0"/>
    <s v="Daily Sales Import"/>
    <n v="-774.90599999999995"/>
    <n v="774.90599999999995"/>
    <x v="1"/>
    <s v="2210"/>
    <s v="000"/>
    <x v="1"/>
    <x v="0"/>
  </r>
  <r>
    <d v="2011-11-01T00:00:00"/>
    <s v="017-2220-000"/>
    <s v="Beer Sales"/>
    <n v="290.55749999999995"/>
    <n v="0"/>
    <s v="Daily Sales Import"/>
    <n v="-290.55749999999995"/>
    <n v="290.55749999999995"/>
    <x v="1"/>
    <s v="2220"/>
    <s v="000"/>
    <x v="1"/>
    <x v="0"/>
  </r>
  <r>
    <d v="2011-11-01T00:00:00"/>
    <s v="017-2230-000"/>
    <s v="Wine Sales"/>
    <n v="175.15200000000002"/>
    <n v="0"/>
    <s v="Daily Sales Import"/>
    <n v="-175.15200000000002"/>
    <n v="175.15200000000002"/>
    <x v="1"/>
    <s v="2230"/>
    <s v="000"/>
    <x v="1"/>
    <x v="0"/>
  </r>
  <r>
    <d v="2011-11-02T00:00:00"/>
    <s v="017-2100-000"/>
    <s v="Food Sales"/>
    <n v="6730.2560000000003"/>
    <n v="0"/>
    <s v="Daily Sales Import"/>
    <n v="-6730.2560000000003"/>
    <n v="6730.2560000000003"/>
    <x v="1"/>
    <s v="2100"/>
    <s v="000"/>
    <x v="1"/>
    <x v="0"/>
  </r>
  <r>
    <d v="2011-11-02T00:00:00"/>
    <s v="017-2210-000"/>
    <s v="Liquor Sales"/>
    <n v="1416.4469999999999"/>
    <n v="0"/>
    <s v="Daily Sales Import"/>
    <n v="-1416.4469999999999"/>
    <n v="1416.4469999999999"/>
    <x v="1"/>
    <s v="2210"/>
    <s v="000"/>
    <x v="1"/>
    <x v="0"/>
  </r>
  <r>
    <d v="2011-11-02T00:00:00"/>
    <s v="017-2220-000"/>
    <s v="Beer Sales"/>
    <n v="625.625"/>
    <n v="0"/>
    <s v="Daily Sales Import"/>
    <n v="-625.625"/>
    <n v="625.625"/>
    <x v="1"/>
    <s v="2220"/>
    <s v="000"/>
    <x v="1"/>
    <x v="0"/>
  </r>
  <r>
    <d v="2011-11-02T00:00:00"/>
    <s v="017-2230-000"/>
    <s v="Wine Sales"/>
    <n v="255.42000000000002"/>
    <n v="0"/>
    <s v="Daily Sales Import"/>
    <n v="-255.42000000000002"/>
    <n v="255.42000000000002"/>
    <x v="1"/>
    <s v="2230"/>
    <s v="000"/>
    <x v="1"/>
    <x v="0"/>
  </r>
  <r>
    <d v="2011-11-03T00:00:00"/>
    <s v="017-2100-000"/>
    <s v="Food Sales"/>
    <n v="4880.3250000000007"/>
    <n v="0"/>
    <s v="Daily Sales Import"/>
    <n v="-4880.3250000000007"/>
    <n v="4880.3250000000007"/>
    <x v="1"/>
    <s v="2100"/>
    <s v="000"/>
    <x v="1"/>
    <x v="0"/>
  </r>
  <r>
    <d v="2011-11-03T00:00:00"/>
    <s v="017-2210-000"/>
    <s v="Liquor Sales"/>
    <n v="899.42399999999998"/>
    <n v="0"/>
    <s v="Daily Sales Import"/>
    <n v="-899.42399999999998"/>
    <n v="899.42399999999998"/>
    <x v="1"/>
    <s v="2210"/>
    <s v="000"/>
    <x v="1"/>
    <x v="0"/>
  </r>
  <r>
    <d v="2011-11-03T00:00:00"/>
    <s v="017-2220-000"/>
    <s v="Beer Sales"/>
    <n v="375.0575"/>
    <n v="0"/>
    <s v="Daily Sales Import"/>
    <n v="-375.0575"/>
    <n v="375.0575"/>
    <x v="1"/>
    <s v="2220"/>
    <s v="000"/>
    <x v="1"/>
    <x v="0"/>
  </r>
  <r>
    <d v="2011-11-03T00:00:00"/>
    <s v="017-2230-000"/>
    <s v="Wine Sales"/>
    <n v="41.419000000000004"/>
    <n v="0"/>
    <s v="Daily Sales Import"/>
    <n v="-41.419000000000004"/>
    <n v="41.419000000000004"/>
    <x v="1"/>
    <s v="2230"/>
    <s v="000"/>
    <x v="1"/>
    <x v="0"/>
  </r>
  <r>
    <d v="2011-11-04T00:00:00"/>
    <s v="017-2100-000"/>
    <s v="Food Sales"/>
    <n v="10551.688"/>
    <n v="0"/>
    <s v="Daily Sales Import"/>
    <n v="-10551.688"/>
    <n v="10551.688"/>
    <x v="1"/>
    <s v="2100"/>
    <s v="000"/>
    <x v="1"/>
    <x v="0"/>
  </r>
  <r>
    <d v="2011-11-04T00:00:00"/>
    <s v="017-2210-000"/>
    <s v="Liquor Sales"/>
    <n v="1829.175"/>
    <n v="0"/>
    <s v="Daily Sales Import"/>
    <n v="-1829.175"/>
    <n v="1829.175"/>
    <x v="1"/>
    <s v="2210"/>
    <s v="000"/>
    <x v="1"/>
    <x v="0"/>
  </r>
  <r>
    <d v="2011-11-04T00:00:00"/>
    <s v="017-2220-000"/>
    <s v="Beer Sales"/>
    <n v="598.4"/>
    <n v="0"/>
    <s v="Daily Sales Import"/>
    <n v="-598.4"/>
    <n v="598.4"/>
    <x v="1"/>
    <s v="2220"/>
    <s v="000"/>
    <x v="1"/>
    <x v="0"/>
  </r>
  <r>
    <d v="2011-11-04T00:00:00"/>
    <s v="017-2230-000"/>
    <s v="Wine Sales"/>
    <n v="223.1985"/>
    <n v="0"/>
    <s v="Daily Sales Import"/>
    <n v="-223.1985"/>
    <n v="223.1985"/>
    <x v="1"/>
    <s v="2230"/>
    <s v="000"/>
    <x v="1"/>
    <x v="0"/>
  </r>
  <r>
    <d v="2011-11-05T00:00:00"/>
    <s v="017-2100-000"/>
    <s v="Food Sales"/>
    <n v="7257.6456000000007"/>
    <n v="0"/>
    <s v="Daily Sales Import"/>
    <n v="-7257.6456000000007"/>
    <n v="7257.6456000000007"/>
    <x v="1"/>
    <s v="2100"/>
    <s v="000"/>
    <x v="1"/>
    <x v="0"/>
  </r>
  <r>
    <d v="2011-11-05T00:00:00"/>
    <s v="017-2210-000"/>
    <s v="Liquor Sales"/>
    <n v="1206.3449999999998"/>
    <n v="0"/>
    <s v="Daily Sales Import"/>
    <n v="-1206.3449999999998"/>
    <n v="1206.3449999999998"/>
    <x v="1"/>
    <s v="2210"/>
    <s v="000"/>
    <x v="1"/>
    <x v="0"/>
  </r>
  <r>
    <d v="2011-11-05T00:00:00"/>
    <s v="017-2220-000"/>
    <s v="Beer Sales"/>
    <n v="305.11250000000001"/>
    <n v="0"/>
    <s v="Daily Sales Import"/>
    <n v="-305.11250000000001"/>
    <n v="305.11250000000001"/>
    <x v="1"/>
    <s v="2220"/>
    <s v="000"/>
    <x v="1"/>
    <x v="0"/>
  </r>
  <r>
    <d v="2011-11-05T00:00:00"/>
    <s v="017-2230-000"/>
    <s v="Wine Sales"/>
    <n v="37.28"/>
    <n v="0"/>
    <s v="Daily Sales Import"/>
    <n v="-37.28"/>
    <n v="37.28"/>
    <x v="1"/>
    <s v="2230"/>
    <s v="000"/>
    <x v="1"/>
    <x v="0"/>
  </r>
  <r>
    <d v="2011-11-06T00:00:00"/>
    <s v="017-2100-000"/>
    <s v="Food Sales"/>
    <n v="5277.5837999999994"/>
    <n v="0"/>
    <s v="Daily Sales Import"/>
    <n v="-5277.5837999999994"/>
    <n v="5277.5837999999994"/>
    <x v="1"/>
    <s v="2100"/>
    <s v="000"/>
    <x v="1"/>
    <x v="0"/>
  </r>
  <r>
    <d v="2011-11-06T00:00:00"/>
    <s v="017-2210-000"/>
    <s v="Liquor Sales"/>
    <n v="1038.8275000000001"/>
    <n v="0"/>
    <s v="Daily Sales Import"/>
    <n v="-1038.8275000000001"/>
    <n v="1038.8275000000001"/>
    <x v="1"/>
    <s v="2210"/>
    <s v="000"/>
    <x v="1"/>
    <x v="0"/>
  </r>
  <r>
    <d v="2011-11-06T00:00:00"/>
    <s v="017-2220-000"/>
    <s v="Beer Sales"/>
    <n v="232.26"/>
    <n v="0"/>
    <s v="Daily Sales Import"/>
    <n v="-232.26"/>
    <n v="232.26"/>
    <x v="1"/>
    <s v="2220"/>
    <s v="000"/>
    <x v="1"/>
    <x v="0"/>
  </r>
  <r>
    <d v="2011-11-06T00:00:00"/>
    <s v="017-2230-000"/>
    <s v="Wine Sales"/>
    <n v="99.187499999999986"/>
    <n v="0"/>
    <s v="Daily Sales Import"/>
    <n v="-99.187499999999986"/>
    <n v="99.187499999999986"/>
    <x v="1"/>
    <s v="2230"/>
    <s v="000"/>
    <x v="1"/>
    <x v="0"/>
  </r>
  <r>
    <d v="2011-10-31T00:00:00"/>
    <s v="018-2100-000"/>
    <s v="Food Sales"/>
    <n v="2541.5625"/>
    <n v="0"/>
    <s v="Daily Sales Import"/>
    <n v="-2541.5625"/>
    <n v="2541.5625"/>
    <x v="2"/>
    <s v="2100"/>
    <s v="000"/>
    <x v="0"/>
    <x v="0"/>
  </r>
  <r>
    <d v="2011-10-31T00:00:00"/>
    <s v="018-2210-000"/>
    <s v="Liquor Sales"/>
    <n v="296.98199999999997"/>
    <n v="0"/>
    <s v="Daily Sales Import"/>
    <n v="-296.98199999999997"/>
    <n v="296.98199999999997"/>
    <x v="2"/>
    <s v="2210"/>
    <s v="000"/>
    <x v="0"/>
    <x v="0"/>
  </r>
  <r>
    <d v="2011-10-31T00:00:00"/>
    <s v="018-2220-000"/>
    <s v="Beer Sales"/>
    <n v="107.27549999999999"/>
    <n v="0"/>
    <s v="Daily Sales Import"/>
    <n v="-107.27549999999999"/>
    <n v="107.27549999999999"/>
    <x v="2"/>
    <s v="2220"/>
    <s v="000"/>
    <x v="0"/>
    <x v="0"/>
  </r>
  <r>
    <d v="2011-10-31T00:00:00"/>
    <s v="018-2230-000"/>
    <s v="Wine Sales"/>
    <n v="22.657499999999999"/>
    <n v="0"/>
    <s v="Daily Sales Import"/>
    <n v="-22.657499999999999"/>
    <n v="22.657499999999999"/>
    <x v="2"/>
    <s v="2230"/>
    <s v="000"/>
    <x v="0"/>
    <x v="0"/>
  </r>
  <r>
    <d v="2011-11-01T00:00:00"/>
    <s v="018-2100-000"/>
    <s v="Food Sales"/>
    <n v="2674.6304"/>
    <n v="0"/>
    <s v="Daily Sales Import"/>
    <n v="-2674.6304"/>
    <n v="2674.6304"/>
    <x v="2"/>
    <s v="2100"/>
    <s v="000"/>
    <x v="1"/>
    <x v="0"/>
  </r>
  <r>
    <d v="2011-11-01T00:00:00"/>
    <s v="018-2210-000"/>
    <s v="Liquor Sales"/>
    <n v="424.64800000000002"/>
    <n v="0"/>
    <s v="Daily Sales Import"/>
    <n v="-424.64800000000002"/>
    <n v="424.64800000000002"/>
    <x v="2"/>
    <s v="2210"/>
    <s v="000"/>
    <x v="1"/>
    <x v="0"/>
  </r>
  <r>
    <d v="2011-11-01T00:00:00"/>
    <s v="018-2220-000"/>
    <s v="Beer Sales"/>
    <n v="177.566"/>
    <n v="0"/>
    <s v="Daily Sales Import"/>
    <n v="-177.566"/>
    <n v="177.566"/>
    <x v="2"/>
    <s v="2220"/>
    <s v="000"/>
    <x v="1"/>
    <x v="0"/>
  </r>
  <r>
    <d v="2011-11-01T00:00:00"/>
    <s v="018-2230-000"/>
    <s v="Wine Sales"/>
    <n v="13.689"/>
    <n v="0"/>
    <s v="Daily Sales Import"/>
    <n v="-13.689"/>
    <n v="13.689"/>
    <x v="2"/>
    <s v="2230"/>
    <s v="000"/>
    <x v="1"/>
    <x v="0"/>
  </r>
  <r>
    <d v="2011-11-02T00:00:00"/>
    <s v="018-2100-000"/>
    <s v="Food Sales"/>
    <n v="2621.3042"/>
    <n v="0"/>
    <s v="Daily Sales Import"/>
    <n v="-2621.3042"/>
    <n v="2621.3042"/>
    <x v="2"/>
    <s v="2100"/>
    <s v="000"/>
    <x v="1"/>
    <x v="0"/>
  </r>
  <r>
    <d v="2011-11-02T00:00:00"/>
    <s v="018-2210-000"/>
    <s v="Liquor Sales"/>
    <n v="527.10750000000007"/>
    <n v="0"/>
    <s v="Daily Sales Import"/>
    <n v="-527.10750000000007"/>
    <n v="527.10750000000007"/>
    <x v="2"/>
    <s v="2210"/>
    <s v="000"/>
    <x v="1"/>
    <x v="0"/>
  </r>
  <r>
    <d v="2011-11-02T00:00:00"/>
    <s v="018-2220-000"/>
    <s v="Beer Sales"/>
    <n v="53.956000000000003"/>
    <n v="0"/>
    <s v="Daily Sales Import"/>
    <n v="-53.956000000000003"/>
    <n v="53.956000000000003"/>
    <x v="2"/>
    <s v="2220"/>
    <s v="000"/>
    <x v="1"/>
    <x v="0"/>
  </r>
  <r>
    <d v="2011-11-02T00:00:00"/>
    <s v="018-2230-000"/>
    <s v="Wine Sales"/>
    <n v="78.171500000000009"/>
    <n v="0"/>
    <s v="Daily Sales Import"/>
    <n v="-78.171500000000009"/>
    <n v="78.171500000000009"/>
    <x v="2"/>
    <s v="2230"/>
    <s v="000"/>
    <x v="1"/>
    <x v="0"/>
  </r>
  <r>
    <d v="2011-11-03T00:00:00"/>
    <s v="018-2100-000"/>
    <s v="Food Sales"/>
    <n v="4837.866"/>
    <n v="0"/>
    <s v="Daily Sales Import"/>
    <n v="-4837.866"/>
    <n v="4837.866"/>
    <x v="2"/>
    <s v="2100"/>
    <s v="000"/>
    <x v="1"/>
    <x v="0"/>
  </r>
  <r>
    <d v="2011-11-03T00:00:00"/>
    <s v="018-2210-000"/>
    <s v="Liquor Sales"/>
    <n v="738.9425"/>
    <n v="0"/>
    <s v="Daily Sales Import"/>
    <n v="-738.9425"/>
    <n v="738.9425"/>
    <x v="2"/>
    <s v="2210"/>
    <s v="000"/>
    <x v="1"/>
    <x v="0"/>
  </r>
  <r>
    <d v="2011-11-03T00:00:00"/>
    <s v="018-2220-000"/>
    <s v="Beer Sales"/>
    <n v="223.76399999999998"/>
    <n v="0"/>
    <s v="Daily Sales Import"/>
    <n v="-223.76399999999998"/>
    <n v="223.76399999999998"/>
    <x v="2"/>
    <s v="2220"/>
    <s v="000"/>
    <x v="1"/>
    <x v="0"/>
  </r>
  <r>
    <d v="2011-11-03T00:00:00"/>
    <s v="018-2230-000"/>
    <s v="Wine Sales"/>
    <n v="12.354999999999999"/>
    <n v="0"/>
    <s v="Daily Sales Import"/>
    <n v="-12.354999999999999"/>
    <n v="12.354999999999999"/>
    <x v="2"/>
    <s v="2230"/>
    <s v="000"/>
    <x v="1"/>
    <x v="0"/>
  </r>
  <r>
    <d v="2011-11-04T00:00:00"/>
    <s v="018-2100-000"/>
    <s v="Food Sales"/>
    <n v="8130.3166000000001"/>
    <n v="0"/>
    <s v="Daily Sales Import"/>
    <n v="-8130.3166000000001"/>
    <n v="8130.3166000000001"/>
    <x v="2"/>
    <s v="2100"/>
    <s v="000"/>
    <x v="1"/>
    <x v="0"/>
  </r>
  <r>
    <d v="2011-11-04T00:00:00"/>
    <s v="018-2210-000"/>
    <s v="Liquor Sales"/>
    <n v="1672.0320000000002"/>
    <n v="0"/>
    <s v="Daily Sales Import"/>
    <n v="-1672.0320000000002"/>
    <n v="1672.0320000000002"/>
    <x v="2"/>
    <s v="2210"/>
    <s v="000"/>
    <x v="1"/>
    <x v="0"/>
  </r>
  <r>
    <d v="2011-11-04T00:00:00"/>
    <s v="018-2220-000"/>
    <s v="Beer Sales"/>
    <n v="439.07800000000003"/>
    <n v="0"/>
    <s v="Daily Sales Import"/>
    <n v="-439.07800000000003"/>
    <n v="439.07800000000003"/>
    <x v="2"/>
    <s v="2220"/>
    <s v="000"/>
    <x v="1"/>
    <x v="0"/>
  </r>
  <r>
    <d v="2011-11-04T00:00:00"/>
    <s v="018-2230-000"/>
    <s v="Wine Sales"/>
    <n v="208.66749999999999"/>
    <n v="0"/>
    <s v="Daily Sales Import"/>
    <n v="-208.66749999999999"/>
    <n v="208.66749999999999"/>
    <x v="2"/>
    <s v="2230"/>
    <s v="000"/>
    <x v="1"/>
    <x v="0"/>
  </r>
  <r>
    <d v="2011-11-05T00:00:00"/>
    <s v="018-2100-000"/>
    <s v="Food Sales"/>
    <n v="13025.044"/>
    <n v="0"/>
    <s v="Daily Sales Import"/>
    <n v="-13025.044"/>
    <n v="13025.044"/>
    <x v="2"/>
    <s v="2100"/>
    <s v="000"/>
    <x v="1"/>
    <x v="0"/>
  </r>
  <r>
    <d v="2011-11-05T00:00:00"/>
    <s v="018-2210-000"/>
    <s v="Liquor Sales"/>
    <n v="1826.3040000000001"/>
    <n v="0"/>
    <s v="Daily Sales Import"/>
    <n v="-1826.3040000000001"/>
    <n v="1826.3040000000001"/>
    <x v="2"/>
    <s v="2210"/>
    <s v="000"/>
    <x v="1"/>
    <x v="0"/>
  </r>
  <r>
    <d v="2011-11-05T00:00:00"/>
    <s v="018-2220-000"/>
    <s v="Beer Sales"/>
    <n v="602.37"/>
    <n v="0"/>
    <s v="Daily Sales Import"/>
    <n v="-602.37"/>
    <n v="602.37"/>
    <x v="2"/>
    <s v="2220"/>
    <s v="000"/>
    <x v="1"/>
    <x v="0"/>
  </r>
  <r>
    <d v="2011-11-05T00:00:00"/>
    <s v="018-2230-000"/>
    <s v="Wine Sales"/>
    <n v="53.040999999999997"/>
    <n v="0"/>
    <s v="Daily Sales Import"/>
    <n v="-53.040999999999997"/>
    <n v="53.040999999999997"/>
    <x v="2"/>
    <s v="2230"/>
    <s v="000"/>
    <x v="1"/>
    <x v="0"/>
  </r>
  <r>
    <d v="2011-11-06T00:00:00"/>
    <s v="018-2100-000"/>
    <s v="Food Sales"/>
    <n v="5432.5769999999993"/>
    <n v="0"/>
    <s v="Daily Sales Import"/>
    <n v="-5432.5769999999993"/>
    <n v="5432.5769999999993"/>
    <x v="2"/>
    <s v="2100"/>
    <s v="000"/>
    <x v="1"/>
    <x v="0"/>
  </r>
  <r>
    <d v="2011-11-06T00:00:00"/>
    <s v="018-2210-000"/>
    <s v="Liquor Sales"/>
    <n v="576.02299999999991"/>
    <n v="0"/>
    <s v="Daily Sales Import"/>
    <n v="-576.02299999999991"/>
    <n v="576.02299999999991"/>
    <x v="2"/>
    <s v="2210"/>
    <s v="000"/>
    <x v="1"/>
    <x v="0"/>
  </r>
  <r>
    <d v="2011-11-06T00:00:00"/>
    <s v="018-2220-000"/>
    <s v="Beer Sales"/>
    <n v="207.35999999999999"/>
    <n v="0"/>
    <s v="Daily Sales Import"/>
    <n v="-207.35999999999999"/>
    <n v="207.35999999999999"/>
    <x v="2"/>
    <s v="2220"/>
    <s v="000"/>
    <x v="1"/>
    <x v="0"/>
  </r>
  <r>
    <d v="2011-11-06T00:00:00"/>
    <s v="018-2230-000"/>
    <s v="Wine Sales"/>
    <n v="60.247999999999998"/>
    <n v="0"/>
    <s v="Daily Sales Import"/>
    <n v="-60.247999999999998"/>
    <n v="60.247999999999998"/>
    <x v="2"/>
    <s v="2230"/>
    <s v="000"/>
    <x v="1"/>
    <x v="0"/>
  </r>
  <r>
    <d v="2011-11-07T00:00:00"/>
    <s v="016-2100-000"/>
    <s v="Food Sales"/>
    <n v="2523.4036000000001"/>
    <n v="0"/>
    <s v="Daily Sales Import"/>
    <n v="-2523.4036000000001"/>
    <n v="2523.4036000000001"/>
    <x v="0"/>
    <s v="2100"/>
    <s v="000"/>
    <x v="1"/>
    <x v="0"/>
  </r>
  <r>
    <d v="2011-11-07T00:00:00"/>
    <s v="016-2210-000"/>
    <s v="Liquor Sales"/>
    <n v="818.21249999999998"/>
    <n v="0"/>
    <s v="Daily Sales Import"/>
    <n v="-818.21249999999998"/>
    <n v="818.21249999999998"/>
    <x v="0"/>
    <s v="2210"/>
    <s v="000"/>
    <x v="1"/>
    <x v="0"/>
  </r>
  <r>
    <d v="2011-11-07T00:00:00"/>
    <s v="016-2220-000"/>
    <s v="Beer Sales"/>
    <n v="139.49100000000001"/>
    <n v="0"/>
    <s v="Daily Sales Import"/>
    <n v="-139.49100000000001"/>
    <n v="139.49100000000001"/>
    <x v="0"/>
    <s v="2220"/>
    <s v="000"/>
    <x v="1"/>
    <x v="0"/>
  </r>
  <r>
    <d v="2011-11-07T00:00:00"/>
    <s v="016-2230-000"/>
    <s v="Wine Sales"/>
    <n v="202.92"/>
    <n v="0"/>
    <s v="Daily Sales Import"/>
    <n v="-202.92"/>
    <n v="202.92"/>
    <x v="0"/>
    <s v="2230"/>
    <s v="000"/>
    <x v="1"/>
    <x v="0"/>
  </r>
  <r>
    <d v="2011-11-08T00:00:00"/>
    <s v="016-2100-000"/>
    <s v="Food Sales"/>
    <n v="2994.0104999999999"/>
    <n v="0"/>
    <s v="Daily Sales Import"/>
    <n v="-2994.0104999999999"/>
    <n v="2994.0104999999999"/>
    <x v="0"/>
    <s v="2100"/>
    <s v="000"/>
    <x v="1"/>
    <x v="0"/>
  </r>
  <r>
    <d v="2011-11-08T00:00:00"/>
    <s v="016-2210-000"/>
    <s v="Liquor Sales"/>
    <n v="496.71350000000001"/>
    <n v="0"/>
    <s v="Daily Sales Import"/>
    <n v="-496.71350000000001"/>
    <n v="496.71350000000001"/>
    <x v="0"/>
    <s v="2210"/>
    <s v="000"/>
    <x v="1"/>
    <x v="0"/>
  </r>
  <r>
    <d v="2011-11-08T00:00:00"/>
    <s v="016-2220-000"/>
    <s v="Beer Sales"/>
    <n v="131.31300000000002"/>
    <n v="0"/>
    <s v="Daily Sales Import"/>
    <n v="-131.31300000000002"/>
    <n v="131.31300000000002"/>
    <x v="0"/>
    <s v="2220"/>
    <s v="000"/>
    <x v="1"/>
    <x v="0"/>
  </r>
  <r>
    <d v="2011-11-08T00:00:00"/>
    <s v="016-2230-000"/>
    <s v="Wine Sales"/>
    <n v="100.33"/>
    <n v="0"/>
    <s v="Daily Sales Import"/>
    <n v="-100.33"/>
    <n v="100.33"/>
    <x v="0"/>
    <s v="2230"/>
    <s v="000"/>
    <x v="1"/>
    <x v="0"/>
  </r>
  <r>
    <d v="2011-11-09T00:00:00"/>
    <s v="016-2100-000"/>
    <s v="Food Sales"/>
    <n v="2809.3884000000003"/>
    <n v="0"/>
    <s v="Daily Sales Import"/>
    <n v="-2809.3884000000003"/>
    <n v="2809.3884000000003"/>
    <x v="0"/>
    <s v="2100"/>
    <s v="000"/>
    <x v="1"/>
    <x v="0"/>
  </r>
  <r>
    <d v="2011-11-09T00:00:00"/>
    <s v="016-2210-000"/>
    <s v="Liquor Sales"/>
    <n v="705.28000000000009"/>
    <n v="0"/>
    <s v="Daily Sales Import"/>
    <n v="-705.28000000000009"/>
    <n v="705.28000000000009"/>
    <x v="0"/>
    <s v="2210"/>
    <s v="000"/>
    <x v="1"/>
    <x v="0"/>
  </r>
  <r>
    <d v="2011-11-09T00:00:00"/>
    <s v="016-2220-000"/>
    <s v="Beer Sales"/>
    <n v="129.84699999999998"/>
    <n v="0"/>
    <s v="Daily Sales Import"/>
    <n v="-129.84699999999998"/>
    <n v="129.84699999999998"/>
    <x v="0"/>
    <s v="2220"/>
    <s v="000"/>
    <x v="1"/>
    <x v="0"/>
  </r>
  <r>
    <d v="2011-11-09T00:00:00"/>
    <s v="016-2230-000"/>
    <s v="Wine Sales"/>
    <n v="96.874499999999998"/>
    <n v="0"/>
    <s v="Daily Sales Import"/>
    <n v="-96.874499999999998"/>
    <n v="96.874499999999998"/>
    <x v="0"/>
    <s v="2230"/>
    <s v="000"/>
    <x v="1"/>
    <x v="0"/>
  </r>
  <r>
    <d v="2011-11-10T00:00:00"/>
    <s v="016-2100-000"/>
    <s v="Food Sales"/>
    <n v="4966.4297999999999"/>
    <n v="0"/>
    <s v="Daily Sales Import"/>
    <n v="-4966.4297999999999"/>
    <n v="4966.4297999999999"/>
    <x v="0"/>
    <s v="2100"/>
    <s v="000"/>
    <x v="1"/>
    <x v="0"/>
  </r>
  <r>
    <d v="2011-11-10T00:00:00"/>
    <s v="016-2210-000"/>
    <s v="Liquor Sales"/>
    <n v="1715.85"/>
    <n v="0"/>
    <s v="Daily Sales Import"/>
    <n v="-1715.85"/>
    <n v="1715.85"/>
    <x v="0"/>
    <s v="2210"/>
    <s v="000"/>
    <x v="1"/>
    <x v="0"/>
  </r>
  <r>
    <d v="2011-11-10T00:00:00"/>
    <s v="016-2220-000"/>
    <s v="Beer Sales"/>
    <n v="540.38850000000002"/>
    <n v="0"/>
    <s v="Daily Sales Import"/>
    <n v="-540.38850000000002"/>
    <n v="540.38850000000002"/>
    <x v="0"/>
    <s v="2220"/>
    <s v="000"/>
    <x v="1"/>
    <x v="0"/>
  </r>
  <r>
    <d v="2011-11-10T00:00:00"/>
    <s v="016-2230-000"/>
    <s v="Wine Sales"/>
    <n v="195.66"/>
    <n v="0"/>
    <s v="Daily Sales Import"/>
    <n v="-195.66"/>
    <n v="195.66"/>
    <x v="0"/>
    <s v="2230"/>
    <s v="000"/>
    <x v="1"/>
    <x v="0"/>
  </r>
  <r>
    <d v="2011-11-11T00:00:00"/>
    <s v="016-2100-000"/>
    <s v="Food Sales"/>
    <n v="7373.1041999999998"/>
    <n v="0"/>
    <s v="Daily Sales Import"/>
    <n v="-7373.1041999999998"/>
    <n v="7373.1041999999998"/>
    <x v="0"/>
    <s v="2100"/>
    <s v="000"/>
    <x v="1"/>
    <x v="0"/>
  </r>
  <r>
    <d v="2011-11-11T00:00:00"/>
    <s v="016-2210-000"/>
    <s v="Liquor Sales"/>
    <n v="2793.8679999999999"/>
    <n v="0"/>
    <s v="Daily Sales Import"/>
    <n v="-2793.8679999999999"/>
    <n v="2793.8679999999999"/>
    <x v="0"/>
    <s v="2210"/>
    <s v="000"/>
    <x v="1"/>
    <x v="0"/>
  </r>
  <r>
    <d v="2011-11-11T00:00:00"/>
    <s v="016-2220-000"/>
    <s v="Beer Sales"/>
    <n v="585.20249999999999"/>
    <n v="0"/>
    <s v="Daily Sales Import"/>
    <n v="-585.20249999999999"/>
    <n v="585.20249999999999"/>
    <x v="0"/>
    <s v="2220"/>
    <s v="000"/>
    <x v="1"/>
    <x v="0"/>
  </r>
  <r>
    <d v="2011-11-11T00:00:00"/>
    <s v="016-2230-000"/>
    <s v="Wine Sales"/>
    <n v="204.20399999999998"/>
    <n v="0"/>
    <s v="Daily Sales Import"/>
    <n v="-204.20399999999998"/>
    <n v="204.20399999999998"/>
    <x v="0"/>
    <s v="2230"/>
    <s v="000"/>
    <x v="1"/>
    <x v="0"/>
  </r>
  <r>
    <d v="2011-11-12T00:00:00"/>
    <s v="016-2100-000"/>
    <s v="Food Sales"/>
    <n v="9421.0505000000012"/>
    <n v="0"/>
    <s v="Daily Sales Import"/>
    <n v="-9421.0505000000012"/>
    <n v="9421.0505000000012"/>
    <x v="0"/>
    <s v="2100"/>
    <s v="000"/>
    <x v="1"/>
    <x v="0"/>
  </r>
  <r>
    <d v="2011-11-12T00:00:00"/>
    <s v="016-2210-000"/>
    <s v="Liquor Sales"/>
    <n v="1809.864"/>
    <n v="0"/>
    <s v="Daily Sales Import"/>
    <n v="-1809.864"/>
    <n v="1809.864"/>
    <x v="0"/>
    <s v="2210"/>
    <s v="000"/>
    <x v="1"/>
    <x v="0"/>
  </r>
  <r>
    <d v="2011-11-12T00:00:00"/>
    <s v="016-2220-000"/>
    <s v="Beer Sales"/>
    <n v="283.46099999999996"/>
    <n v="0"/>
    <s v="Daily Sales Import"/>
    <n v="-283.46099999999996"/>
    <n v="283.46099999999996"/>
    <x v="0"/>
    <s v="2220"/>
    <s v="000"/>
    <x v="1"/>
    <x v="0"/>
  </r>
  <r>
    <d v="2011-11-12T00:00:00"/>
    <s v="016-2230-000"/>
    <s v="Wine Sales"/>
    <n v="236.50200000000001"/>
    <n v="0"/>
    <s v="Daily Sales Import"/>
    <n v="-236.50200000000001"/>
    <n v="236.50200000000001"/>
    <x v="0"/>
    <s v="2230"/>
    <s v="000"/>
    <x v="1"/>
    <x v="0"/>
  </r>
  <r>
    <d v="2011-11-13T00:00:00"/>
    <s v="016-2100-000"/>
    <s v="Food Sales"/>
    <n v="6601.6860000000006"/>
    <n v="0"/>
    <s v="Daily Sales Import"/>
    <n v="-6601.6860000000006"/>
    <n v="6601.6860000000006"/>
    <x v="0"/>
    <s v="2100"/>
    <s v="000"/>
    <x v="1"/>
    <x v="0"/>
  </r>
  <r>
    <d v="2011-11-13T00:00:00"/>
    <s v="016-2210-000"/>
    <s v="Liquor Sales"/>
    <n v="980.798"/>
    <n v="0"/>
    <s v="Daily Sales Import"/>
    <n v="-980.798"/>
    <n v="980.798"/>
    <x v="0"/>
    <s v="2210"/>
    <s v="000"/>
    <x v="1"/>
    <x v="0"/>
  </r>
  <r>
    <d v="2011-11-13T00:00:00"/>
    <s v="016-2220-000"/>
    <s v="Beer Sales"/>
    <n v="147.70349999999999"/>
    <n v="0"/>
    <s v="Daily Sales Import"/>
    <n v="-147.70349999999999"/>
    <n v="147.70349999999999"/>
    <x v="0"/>
    <s v="2220"/>
    <s v="000"/>
    <x v="1"/>
    <x v="0"/>
  </r>
  <r>
    <d v="2011-11-13T00:00:00"/>
    <s v="016-2230-000"/>
    <s v="Wine Sales"/>
    <n v="123.721"/>
    <n v="0"/>
    <s v="Daily Sales Import"/>
    <n v="-123.721"/>
    <n v="123.721"/>
    <x v="0"/>
    <s v="2230"/>
    <s v="000"/>
    <x v="1"/>
    <x v="0"/>
  </r>
  <r>
    <d v="2011-11-07T00:00:00"/>
    <s v="017-2100-000"/>
    <s v="Food Sales"/>
    <n v="3297.71"/>
    <n v="0"/>
    <s v="Daily Sales Import"/>
    <n v="-3297.71"/>
    <n v="3297.71"/>
    <x v="1"/>
    <s v="2100"/>
    <s v="000"/>
    <x v="1"/>
    <x v="0"/>
  </r>
  <r>
    <d v="2011-11-07T00:00:00"/>
    <s v="017-2210-000"/>
    <s v="Liquor Sales"/>
    <n v="691.00850000000003"/>
    <n v="0"/>
    <s v="Daily Sales Import"/>
    <n v="-691.00850000000003"/>
    <n v="691.00850000000003"/>
    <x v="1"/>
    <s v="2210"/>
    <s v="000"/>
    <x v="1"/>
    <x v="0"/>
  </r>
  <r>
    <d v="2011-11-07T00:00:00"/>
    <s v="017-2220-000"/>
    <s v="Beer Sales"/>
    <n v="253.32750000000001"/>
    <n v="0"/>
    <s v="Daily Sales Import"/>
    <n v="-253.32750000000001"/>
    <n v="253.32750000000001"/>
    <x v="1"/>
    <s v="2220"/>
    <s v="000"/>
    <x v="1"/>
    <x v="0"/>
  </r>
  <r>
    <d v="2011-11-07T00:00:00"/>
    <s v="017-2230-000"/>
    <s v="Wine Sales"/>
    <n v="79.829499999999996"/>
    <n v="0"/>
    <s v="Daily Sales Import"/>
    <n v="-79.829499999999996"/>
    <n v="79.829499999999996"/>
    <x v="1"/>
    <s v="2230"/>
    <s v="000"/>
    <x v="1"/>
    <x v="0"/>
  </r>
  <r>
    <d v="2011-11-08T00:00:00"/>
    <s v="017-2100-000"/>
    <s v="Food Sales"/>
    <n v="6984.0119999999988"/>
    <n v="0"/>
    <s v="Daily Sales Import"/>
    <n v="-6984.0119999999988"/>
    <n v="6984.0119999999988"/>
    <x v="1"/>
    <s v="2100"/>
    <s v="000"/>
    <x v="1"/>
    <x v="0"/>
  </r>
  <r>
    <d v="2011-11-08T00:00:00"/>
    <s v="017-2210-000"/>
    <s v="Liquor Sales"/>
    <n v="1769.105"/>
    <n v="0"/>
    <s v="Daily Sales Import"/>
    <n v="-1769.105"/>
    <n v="1769.105"/>
    <x v="1"/>
    <s v="2210"/>
    <s v="000"/>
    <x v="1"/>
    <x v="0"/>
  </r>
  <r>
    <d v="2011-11-08T00:00:00"/>
    <s v="017-2220-000"/>
    <s v="Beer Sales"/>
    <n v="623.29499999999996"/>
    <n v="0"/>
    <s v="Daily Sales Import"/>
    <n v="-623.29499999999996"/>
    <n v="623.29499999999996"/>
    <x v="1"/>
    <s v="2220"/>
    <s v="000"/>
    <x v="1"/>
    <x v="0"/>
  </r>
  <r>
    <d v="2011-11-08T00:00:00"/>
    <s v="017-2230-000"/>
    <s v="Wine Sales"/>
    <n v="173.786"/>
    <n v="0"/>
    <s v="Daily Sales Import"/>
    <n v="-173.786"/>
    <n v="173.786"/>
    <x v="1"/>
    <s v="2230"/>
    <s v="000"/>
    <x v="1"/>
    <x v="0"/>
  </r>
  <r>
    <d v="2011-11-09T00:00:00"/>
    <s v="017-2100-000"/>
    <s v="Food Sales"/>
    <n v="5551.4690000000001"/>
    <n v="0"/>
    <s v="Daily Sales Import"/>
    <n v="-5551.4690000000001"/>
    <n v="5551.4690000000001"/>
    <x v="1"/>
    <s v="2100"/>
    <s v="000"/>
    <x v="1"/>
    <x v="0"/>
  </r>
  <r>
    <d v="2011-11-09T00:00:00"/>
    <s v="017-2210-000"/>
    <s v="Liquor Sales"/>
    <n v="851.95"/>
    <n v="0"/>
    <s v="Daily Sales Import"/>
    <n v="-851.95"/>
    <n v="851.95"/>
    <x v="1"/>
    <s v="2210"/>
    <s v="000"/>
    <x v="1"/>
    <x v="0"/>
  </r>
  <r>
    <d v="2011-11-09T00:00:00"/>
    <s v="017-2220-000"/>
    <s v="Beer Sales"/>
    <n v="317.2"/>
    <n v="0"/>
    <s v="Daily Sales Import"/>
    <n v="-317.2"/>
    <n v="317.2"/>
    <x v="1"/>
    <s v="2220"/>
    <s v="000"/>
    <x v="1"/>
    <x v="0"/>
  </r>
  <r>
    <d v="2011-11-09T00:00:00"/>
    <s v="017-2230-000"/>
    <s v="Wine Sales"/>
    <n v="111.54899999999998"/>
    <n v="0"/>
    <s v="Daily Sales Import"/>
    <n v="-111.54899999999998"/>
    <n v="111.54899999999998"/>
    <x v="1"/>
    <s v="2230"/>
    <s v="000"/>
    <x v="1"/>
    <x v="0"/>
  </r>
  <r>
    <d v="2011-11-10T00:00:00"/>
    <s v="017-2100-000"/>
    <s v="Food Sales"/>
    <n v="4984.0998"/>
    <n v="0"/>
    <s v="Daily Sales Import"/>
    <n v="-4984.0998"/>
    <n v="4984.0998"/>
    <x v="1"/>
    <s v="2100"/>
    <s v="000"/>
    <x v="1"/>
    <x v="0"/>
  </r>
  <r>
    <d v="2011-11-10T00:00:00"/>
    <s v="017-2210-000"/>
    <s v="Liquor Sales"/>
    <n v="1298.3879999999999"/>
    <n v="0"/>
    <s v="Daily Sales Import"/>
    <n v="-1298.3879999999999"/>
    <n v="1298.3879999999999"/>
    <x v="1"/>
    <s v="2210"/>
    <s v="000"/>
    <x v="1"/>
    <x v="0"/>
  </r>
  <r>
    <d v="2011-11-10T00:00:00"/>
    <s v="017-2220-000"/>
    <s v="Beer Sales"/>
    <n v="579.5625"/>
    <n v="0"/>
    <s v="Daily Sales Import"/>
    <n v="-579.5625"/>
    <n v="579.5625"/>
    <x v="1"/>
    <s v="2220"/>
    <s v="000"/>
    <x v="1"/>
    <x v="0"/>
  </r>
  <r>
    <d v="2011-11-10T00:00:00"/>
    <s v="017-2230-000"/>
    <s v="Wine Sales"/>
    <n v="168.87899999999999"/>
    <n v="0"/>
    <s v="Daily Sales Import"/>
    <n v="-168.87899999999999"/>
    <n v="168.87899999999999"/>
    <x v="1"/>
    <s v="2230"/>
    <s v="000"/>
    <x v="1"/>
    <x v="0"/>
  </r>
  <r>
    <d v="2011-11-11T00:00:00"/>
    <s v="017-2100-000"/>
    <s v="Food Sales"/>
    <n v="8132.7220000000007"/>
    <n v="0"/>
    <s v="Daily Sales Import"/>
    <n v="-8132.7220000000007"/>
    <n v="8132.7220000000007"/>
    <x v="1"/>
    <s v="2100"/>
    <s v="000"/>
    <x v="1"/>
    <x v="0"/>
  </r>
  <r>
    <d v="2011-11-11T00:00:00"/>
    <s v="017-2210-000"/>
    <s v="Liquor Sales"/>
    <n v="1807.7349999999999"/>
    <n v="0"/>
    <s v="Daily Sales Import"/>
    <n v="-1807.7349999999999"/>
    <n v="1807.7349999999999"/>
    <x v="1"/>
    <s v="2210"/>
    <s v="000"/>
    <x v="1"/>
    <x v="0"/>
  </r>
  <r>
    <d v="2011-11-11T00:00:00"/>
    <s v="017-2220-000"/>
    <s v="Beer Sales"/>
    <n v="734.45"/>
    <n v="0"/>
    <s v="Daily Sales Import"/>
    <n v="-734.45"/>
    <n v="734.45"/>
    <x v="1"/>
    <s v="2220"/>
    <s v="000"/>
    <x v="1"/>
    <x v="0"/>
  </r>
  <r>
    <d v="2011-11-11T00:00:00"/>
    <s v="017-2230-000"/>
    <s v="Wine Sales"/>
    <n v="329.98500000000001"/>
    <n v="0"/>
    <s v="Daily Sales Import"/>
    <n v="-329.98500000000001"/>
    <n v="329.98500000000001"/>
    <x v="1"/>
    <s v="2230"/>
    <s v="000"/>
    <x v="1"/>
    <x v="0"/>
  </r>
  <r>
    <d v="2011-11-12T00:00:00"/>
    <s v="017-2100-000"/>
    <s v="Food Sales"/>
    <n v="5026.05"/>
    <n v="0"/>
    <s v="Daily Sales Import"/>
    <n v="-5026.05"/>
    <n v="5026.05"/>
    <x v="1"/>
    <s v="2100"/>
    <s v="000"/>
    <x v="1"/>
    <x v="0"/>
  </r>
  <r>
    <d v="2011-11-12T00:00:00"/>
    <s v="017-2210-000"/>
    <s v="Liquor Sales"/>
    <n v="1481.92"/>
    <n v="0"/>
    <s v="Daily Sales Import"/>
    <n v="-1481.92"/>
    <n v="1481.92"/>
    <x v="1"/>
    <s v="2210"/>
    <s v="000"/>
    <x v="1"/>
    <x v="0"/>
  </r>
  <r>
    <d v="2011-11-12T00:00:00"/>
    <s v="017-2220-000"/>
    <s v="Beer Sales"/>
    <n v="323.69499999999999"/>
    <n v="0"/>
    <s v="Daily Sales Import"/>
    <n v="-323.69499999999999"/>
    <n v="323.69499999999999"/>
    <x v="1"/>
    <s v="2220"/>
    <s v="000"/>
    <x v="1"/>
    <x v="0"/>
  </r>
  <r>
    <d v="2011-11-12T00:00:00"/>
    <s v="017-2230-000"/>
    <s v="Wine Sales"/>
    <n v="101.029"/>
    <n v="0"/>
    <s v="Daily Sales Import"/>
    <n v="-101.029"/>
    <n v="101.029"/>
    <x v="1"/>
    <s v="2230"/>
    <s v="000"/>
    <x v="1"/>
    <x v="0"/>
  </r>
  <r>
    <d v="2011-11-13T00:00:00"/>
    <s v="017-2100-000"/>
    <s v="Food Sales"/>
    <n v="4054.0679999999998"/>
    <n v="0"/>
    <s v="Daily Sales Import"/>
    <n v="-4054.0679999999998"/>
    <n v="4054.0679999999998"/>
    <x v="1"/>
    <s v="2100"/>
    <s v="000"/>
    <x v="1"/>
    <x v="0"/>
  </r>
  <r>
    <d v="2011-11-13T00:00:00"/>
    <s v="017-2210-000"/>
    <s v="Liquor Sales"/>
    <n v="825.04399999999998"/>
    <n v="0"/>
    <s v="Daily Sales Import"/>
    <n v="-825.04399999999998"/>
    <n v="825.04399999999998"/>
    <x v="1"/>
    <s v="2210"/>
    <s v="000"/>
    <x v="1"/>
    <x v="0"/>
  </r>
  <r>
    <d v="2011-11-13T00:00:00"/>
    <s v="017-2220-000"/>
    <s v="Beer Sales"/>
    <n v="134.28"/>
    <n v="0"/>
    <s v="Daily Sales Import"/>
    <n v="-134.28"/>
    <n v="134.28"/>
    <x v="1"/>
    <s v="2220"/>
    <s v="000"/>
    <x v="1"/>
    <x v="0"/>
  </r>
  <r>
    <d v="2011-11-13T00:00:00"/>
    <s v="017-2230-000"/>
    <s v="Wine Sales"/>
    <n v="79.591499999999996"/>
    <n v="0"/>
    <s v="Daily Sales Import"/>
    <n v="-79.591499999999996"/>
    <n v="79.591499999999996"/>
    <x v="1"/>
    <s v="2230"/>
    <s v="000"/>
    <x v="1"/>
    <x v="0"/>
  </r>
  <r>
    <d v="2011-11-07T00:00:00"/>
    <s v="018-2100-000"/>
    <s v="Food Sales"/>
    <n v="3538.6428000000001"/>
    <n v="0"/>
    <s v="Daily Sales Import"/>
    <n v="-3538.6428000000001"/>
    <n v="3538.6428000000001"/>
    <x v="2"/>
    <s v="2100"/>
    <s v="000"/>
    <x v="1"/>
    <x v="0"/>
  </r>
  <r>
    <d v="2011-11-07T00:00:00"/>
    <s v="018-2210-000"/>
    <s v="Liquor Sales"/>
    <n v="520.79"/>
    <n v="0"/>
    <s v="Daily Sales Import"/>
    <n v="-520.79"/>
    <n v="520.79"/>
    <x v="2"/>
    <s v="2210"/>
    <s v="000"/>
    <x v="1"/>
    <x v="0"/>
  </r>
  <r>
    <d v="2011-11-07T00:00:00"/>
    <s v="018-2220-000"/>
    <s v="Beer Sales"/>
    <n v="182.77650000000003"/>
    <n v="0"/>
    <s v="Daily Sales Import"/>
    <n v="-182.77650000000003"/>
    <n v="182.77650000000003"/>
    <x v="2"/>
    <s v="2220"/>
    <s v="000"/>
    <x v="1"/>
    <x v="0"/>
  </r>
  <r>
    <d v="2011-11-07T00:00:00"/>
    <s v="018-2230-000"/>
    <s v="Wine Sales"/>
    <n v="29.183"/>
    <n v="0"/>
    <s v="Daily Sales Import"/>
    <n v="-29.183"/>
    <n v="29.183"/>
    <x v="2"/>
    <s v="2230"/>
    <s v="000"/>
    <x v="1"/>
    <x v="0"/>
  </r>
  <r>
    <d v="2011-11-08T00:00:00"/>
    <s v="018-2100-000"/>
    <s v="Food Sales"/>
    <n v="4436.8188"/>
    <n v="0"/>
    <s v="Daily Sales Import"/>
    <n v="-4436.8188"/>
    <n v="4436.8188"/>
    <x v="2"/>
    <s v="2100"/>
    <s v="000"/>
    <x v="1"/>
    <x v="0"/>
  </r>
  <r>
    <d v="2011-11-08T00:00:00"/>
    <s v="018-2210-000"/>
    <s v="Liquor Sales"/>
    <n v="614.56000000000006"/>
    <n v="0"/>
    <s v="Daily Sales Import"/>
    <n v="-614.56000000000006"/>
    <n v="614.56000000000006"/>
    <x v="2"/>
    <s v="2210"/>
    <s v="000"/>
    <x v="1"/>
    <x v="0"/>
  </r>
  <r>
    <d v="2011-11-08T00:00:00"/>
    <s v="018-2220-000"/>
    <s v="Beer Sales"/>
    <n v="115.449"/>
    <n v="0"/>
    <s v="Daily Sales Import"/>
    <n v="-115.449"/>
    <n v="115.449"/>
    <x v="2"/>
    <s v="2220"/>
    <s v="000"/>
    <x v="1"/>
    <x v="0"/>
  </r>
  <r>
    <d v="2011-11-08T00:00:00"/>
    <s v="018-2230-000"/>
    <s v="Wine Sales"/>
    <n v="24.885000000000002"/>
    <n v="0"/>
    <s v="Daily Sales Import"/>
    <n v="-24.885000000000002"/>
    <n v="24.885000000000002"/>
    <x v="2"/>
    <s v="2230"/>
    <s v="000"/>
    <x v="1"/>
    <x v="0"/>
  </r>
  <r>
    <d v="2011-11-09T00:00:00"/>
    <s v="018-2100-000"/>
    <s v="Food Sales"/>
    <n v="3531.6749999999997"/>
    <n v="0"/>
    <s v="Daily Sales Import"/>
    <n v="-3531.6749999999997"/>
    <n v="3531.6749999999997"/>
    <x v="2"/>
    <s v="2100"/>
    <s v="000"/>
    <x v="1"/>
    <x v="0"/>
  </r>
  <r>
    <d v="2011-11-09T00:00:00"/>
    <s v="018-2210-000"/>
    <s v="Liquor Sales"/>
    <n v="563.61200000000008"/>
    <n v="0"/>
    <s v="Daily Sales Import"/>
    <n v="-563.61200000000008"/>
    <n v="563.61200000000008"/>
    <x v="2"/>
    <s v="2210"/>
    <s v="000"/>
    <x v="1"/>
    <x v="0"/>
  </r>
  <r>
    <d v="2011-11-09T00:00:00"/>
    <s v="018-2220-000"/>
    <s v="Beer Sales"/>
    <n v="179.13200000000001"/>
    <n v="0"/>
    <s v="Daily Sales Import"/>
    <n v="-179.13200000000001"/>
    <n v="179.13200000000001"/>
    <x v="2"/>
    <s v="2220"/>
    <s v="000"/>
    <x v="1"/>
    <x v="0"/>
  </r>
  <r>
    <d v="2011-11-09T00:00:00"/>
    <s v="018-2230-000"/>
    <s v="Wine Sales"/>
    <n v="37.499000000000002"/>
    <n v="0"/>
    <s v="Daily Sales Import"/>
    <n v="-37.499000000000002"/>
    <n v="37.499000000000002"/>
    <x v="2"/>
    <s v="2230"/>
    <s v="000"/>
    <x v="1"/>
    <x v="0"/>
  </r>
  <r>
    <d v="2011-11-10T00:00:00"/>
    <s v="018-2100-000"/>
    <s v="Food Sales"/>
    <n v="4681.4250000000002"/>
    <n v="0"/>
    <s v="Daily Sales Import"/>
    <n v="-4681.4250000000002"/>
    <n v="4681.4250000000002"/>
    <x v="2"/>
    <s v="2100"/>
    <s v="000"/>
    <x v="1"/>
    <x v="0"/>
  </r>
  <r>
    <d v="2011-11-10T00:00:00"/>
    <s v="018-2210-000"/>
    <s v="Liquor Sales"/>
    <n v="841.87400000000002"/>
    <n v="0"/>
    <s v="Daily Sales Import"/>
    <n v="-841.87400000000002"/>
    <n v="841.87400000000002"/>
    <x v="2"/>
    <s v="2210"/>
    <s v="000"/>
    <x v="1"/>
    <x v="0"/>
  </r>
  <r>
    <d v="2011-11-10T00:00:00"/>
    <s v="018-2220-000"/>
    <s v="Beer Sales"/>
    <n v="348.23250000000002"/>
    <n v="0"/>
    <s v="Daily Sales Import"/>
    <n v="-348.23250000000002"/>
    <n v="348.23250000000002"/>
    <x v="2"/>
    <s v="2220"/>
    <s v="000"/>
    <x v="1"/>
    <x v="0"/>
  </r>
  <r>
    <d v="2011-11-10T00:00:00"/>
    <s v="018-2230-000"/>
    <s v="Wine Sales"/>
    <n v="132"/>
    <n v="0"/>
    <s v="Daily Sales Import"/>
    <n v="-132"/>
    <n v="132"/>
    <x v="2"/>
    <s v="2230"/>
    <s v="000"/>
    <x v="1"/>
    <x v="0"/>
  </r>
  <r>
    <d v="2011-11-11T00:00:00"/>
    <s v="018-2100-000"/>
    <s v="Food Sales"/>
    <n v="11936.6065"/>
    <n v="0"/>
    <s v="Daily Sales Import"/>
    <n v="-11936.6065"/>
    <n v="11936.6065"/>
    <x v="2"/>
    <s v="2100"/>
    <s v="000"/>
    <x v="1"/>
    <x v="0"/>
  </r>
  <r>
    <d v="2011-11-11T00:00:00"/>
    <s v="018-2210-000"/>
    <s v="Liquor Sales"/>
    <n v="2340.5220000000004"/>
    <n v="0"/>
    <s v="Daily Sales Import"/>
    <n v="-2340.5220000000004"/>
    <n v="2340.5220000000004"/>
    <x v="2"/>
    <s v="2210"/>
    <s v="000"/>
    <x v="1"/>
    <x v="0"/>
  </r>
  <r>
    <d v="2011-11-11T00:00:00"/>
    <s v="018-2220-000"/>
    <s v="Beer Sales"/>
    <n v="303.73199999999997"/>
    <n v="0"/>
    <s v="Daily Sales Import"/>
    <n v="-303.73199999999997"/>
    <n v="303.73199999999997"/>
    <x v="2"/>
    <s v="2220"/>
    <s v="000"/>
    <x v="1"/>
    <x v="0"/>
  </r>
  <r>
    <d v="2011-11-11T00:00:00"/>
    <s v="018-2230-000"/>
    <s v="Wine Sales"/>
    <n v="142.24"/>
    <n v="0"/>
    <s v="Daily Sales Import"/>
    <n v="-142.24"/>
    <n v="142.24"/>
    <x v="2"/>
    <s v="2230"/>
    <s v="000"/>
    <x v="1"/>
    <x v="0"/>
  </r>
  <r>
    <d v="2011-11-12T00:00:00"/>
    <s v="018-2100-000"/>
    <s v="Food Sales"/>
    <n v="7824.0429999999997"/>
    <n v="0"/>
    <s v="Daily Sales Import"/>
    <n v="-7824.0429999999997"/>
    <n v="7824.0429999999997"/>
    <x v="2"/>
    <s v="2100"/>
    <s v="000"/>
    <x v="1"/>
    <x v="0"/>
  </r>
  <r>
    <d v="2011-11-12T00:00:00"/>
    <s v="018-2210-000"/>
    <s v="Liquor Sales"/>
    <n v="2102.1519999999996"/>
    <n v="0"/>
    <s v="Daily Sales Import"/>
    <n v="-2102.1519999999996"/>
    <n v="2102.1519999999996"/>
    <x v="2"/>
    <s v="2210"/>
    <s v="000"/>
    <x v="1"/>
    <x v="0"/>
  </r>
  <r>
    <d v="2011-11-12T00:00:00"/>
    <s v="018-2220-000"/>
    <s v="Beer Sales"/>
    <n v="368.92799999999994"/>
    <n v="0"/>
    <s v="Daily Sales Import"/>
    <n v="-368.92799999999994"/>
    <n v="368.92799999999994"/>
    <x v="2"/>
    <s v="2220"/>
    <s v="000"/>
    <x v="1"/>
    <x v="0"/>
  </r>
  <r>
    <d v="2011-11-12T00:00:00"/>
    <s v="018-2230-000"/>
    <s v="Wine Sales"/>
    <n v="69.31049999999999"/>
    <n v="0"/>
    <s v="Daily Sales Import"/>
    <n v="-69.31049999999999"/>
    <n v="69.31049999999999"/>
    <x v="2"/>
    <s v="2230"/>
    <s v="000"/>
    <x v="1"/>
    <x v="0"/>
  </r>
  <r>
    <d v="2011-11-13T00:00:00"/>
    <s v="018-2100-000"/>
    <s v="Food Sales"/>
    <n v="7700.1509999999989"/>
    <n v="0"/>
    <s v="Daily Sales Import"/>
    <n v="-7700.1509999999989"/>
    <n v="7700.1509999999989"/>
    <x v="2"/>
    <s v="2100"/>
    <s v="000"/>
    <x v="1"/>
    <x v="0"/>
  </r>
  <r>
    <d v="2011-11-13T00:00:00"/>
    <s v="018-2210-000"/>
    <s v="Liquor Sales"/>
    <n v="649.98"/>
    <n v="0"/>
    <s v="Daily Sales Import"/>
    <n v="-649.98"/>
    <n v="649.98"/>
    <x v="2"/>
    <s v="2210"/>
    <s v="000"/>
    <x v="1"/>
    <x v="0"/>
  </r>
  <r>
    <d v="2011-11-13T00:00:00"/>
    <s v="018-2220-000"/>
    <s v="Beer Sales"/>
    <n v="195.84450000000001"/>
    <n v="0"/>
    <s v="Daily Sales Import"/>
    <n v="-195.84450000000001"/>
    <n v="195.84450000000001"/>
    <x v="2"/>
    <s v="2220"/>
    <s v="000"/>
    <x v="1"/>
    <x v="0"/>
  </r>
  <r>
    <d v="2011-11-13T00:00:00"/>
    <s v="018-2230-000"/>
    <s v="Wine Sales"/>
    <n v="57.381"/>
    <n v="0"/>
    <s v="Daily Sales Import"/>
    <n v="-57.381"/>
    <n v="57.381"/>
    <x v="2"/>
    <s v="2230"/>
    <s v="000"/>
    <x v="1"/>
    <x v="0"/>
  </r>
  <r>
    <d v="2011-11-14T00:00:00"/>
    <s v="016-2100-000"/>
    <s v="Food Sales"/>
    <n v="1328.7959999999998"/>
    <n v="0"/>
    <s v="Daily Sales Import"/>
    <n v="-1328.7959999999998"/>
    <n v="1328.7959999999998"/>
    <x v="0"/>
    <s v="2100"/>
    <s v="000"/>
    <x v="1"/>
    <x v="0"/>
  </r>
  <r>
    <d v="2011-11-14T00:00:00"/>
    <s v="016-2210-000"/>
    <s v="Liquor Sales"/>
    <n v="418.65100000000001"/>
    <n v="0"/>
    <s v="Daily Sales Import"/>
    <n v="-418.65100000000001"/>
    <n v="418.65100000000001"/>
    <x v="0"/>
    <s v="2210"/>
    <s v="000"/>
    <x v="1"/>
    <x v="0"/>
  </r>
  <r>
    <d v="2011-11-14T00:00:00"/>
    <s v="016-2220-000"/>
    <s v="Beer Sales"/>
    <n v="55.35"/>
    <n v="0"/>
    <s v="Daily Sales Import"/>
    <n v="-55.35"/>
    <n v="55.35"/>
    <x v="0"/>
    <s v="2220"/>
    <s v="000"/>
    <x v="1"/>
    <x v="0"/>
  </r>
  <r>
    <d v="2011-11-14T00:00:00"/>
    <s v="016-2230-000"/>
    <s v="Wine Sales"/>
    <n v="96.278000000000006"/>
    <n v="0"/>
    <s v="Daily Sales Import"/>
    <n v="-96.278000000000006"/>
    <n v="96.278000000000006"/>
    <x v="0"/>
    <s v="2230"/>
    <s v="000"/>
    <x v="1"/>
    <x v="0"/>
  </r>
  <r>
    <d v="2011-11-15T00:00:00"/>
    <s v="016-2100-000"/>
    <s v="Food Sales"/>
    <n v="2059.9733000000001"/>
    <n v="0"/>
    <s v="Daily Sales Import"/>
    <n v="-2059.9733000000001"/>
    <n v="2059.9733000000001"/>
    <x v="0"/>
    <s v="2100"/>
    <s v="000"/>
    <x v="1"/>
    <x v="0"/>
  </r>
  <r>
    <d v="2011-11-15T00:00:00"/>
    <s v="016-2210-000"/>
    <s v="Liquor Sales"/>
    <n v="335.23750000000001"/>
    <n v="0"/>
    <s v="Daily Sales Import"/>
    <n v="-335.23750000000001"/>
    <n v="335.23750000000001"/>
    <x v="0"/>
    <s v="2210"/>
    <s v="000"/>
    <x v="1"/>
    <x v="0"/>
  </r>
  <r>
    <d v="2011-11-15T00:00:00"/>
    <s v="016-2220-000"/>
    <s v="Beer Sales"/>
    <n v="88"/>
    <n v="0"/>
    <s v="Daily Sales Import"/>
    <n v="-88"/>
    <n v="88"/>
    <x v="0"/>
    <s v="2220"/>
    <s v="000"/>
    <x v="1"/>
    <x v="0"/>
  </r>
  <r>
    <d v="2011-11-15T00:00:00"/>
    <s v="016-2230-000"/>
    <s v="Wine Sales"/>
    <n v="59.940000000000005"/>
    <n v="0"/>
    <s v="Daily Sales Import"/>
    <n v="-59.940000000000005"/>
    <n v="59.940000000000005"/>
    <x v="0"/>
    <s v="2230"/>
    <s v="000"/>
    <x v="1"/>
    <x v="0"/>
  </r>
  <r>
    <d v="2011-11-16T00:00:00"/>
    <s v="016-2100-000"/>
    <s v="Food Sales"/>
    <n v="2997.1739999999995"/>
    <n v="0"/>
    <s v="Daily Sales Import"/>
    <n v="-2997.1739999999995"/>
    <n v="2997.1739999999995"/>
    <x v="0"/>
    <s v="2100"/>
    <s v="000"/>
    <x v="1"/>
    <x v="0"/>
  </r>
  <r>
    <d v="2011-11-16T00:00:00"/>
    <s v="016-2210-000"/>
    <s v="Liquor Sales"/>
    <n v="1801.9124999999999"/>
    <n v="0"/>
    <s v="Daily Sales Import"/>
    <n v="-1801.9124999999999"/>
    <n v="1801.9124999999999"/>
    <x v="0"/>
    <s v="2210"/>
    <s v="000"/>
    <x v="1"/>
    <x v="0"/>
  </r>
  <r>
    <d v="2011-11-16T00:00:00"/>
    <s v="016-2220-000"/>
    <s v="Beer Sales"/>
    <n v="255.47399999999996"/>
    <n v="0"/>
    <s v="Daily Sales Import"/>
    <n v="-255.47399999999996"/>
    <n v="255.47399999999996"/>
    <x v="0"/>
    <s v="2220"/>
    <s v="000"/>
    <x v="1"/>
    <x v="0"/>
  </r>
  <r>
    <d v="2011-11-16T00:00:00"/>
    <s v="016-2230-000"/>
    <s v="Wine Sales"/>
    <n v="228.45899999999997"/>
    <n v="0"/>
    <s v="Daily Sales Import"/>
    <n v="-228.45899999999997"/>
    <n v="228.45899999999997"/>
    <x v="0"/>
    <s v="2230"/>
    <s v="000"/>
    <x v="1"/>
    <x v="0"/>
  </r>
  <r>
    <d v="2011-11-17T00:00:00"/>
    <s v="016-2100-000"/>
    <s v="Food Sales"/>
    <n v="2401.7802999999999"/>
    <n v="0"/>
    <s v="Daily Sales Import"/>
    <n v="-2401.7802999999999"/>
    <n v="2401.7802999999999"/>
    <x v="0"/>
    <s v="2100"/>
    <s v="000"/>
    <x v="1"/>
    <x v="0"/>
  </r>
  <r>
    <d v="2011-11-17T00:00:00"/>
    <s v="016-2210-000"/>
    <s v="Liquor Sales"/>
    <n v="540.88250000000005"/>
    <n v="0"/>
    <s v="Daily Sales Import"/>
    <n v="-540.88250000000005"/>
    <n v="540.88250000000005"/>
    <x v="0"/>
    <s v="2210"/>
    <s v="000"/>
    <x v="1"/>
    <x v="0"/>
  </r>
  <r>
    <d v="2011-11-17T00:00:00"/>
    <s v="016-2220-000"/>
    <s v="Beer Sales"/>
    <n v="225.29250000000002"/>
    <n v="0"/>
    <s v="Daily Sales Import"/>
    <n v="-225.29250000000002"/>
    <n v="225.29250000000002"/>
    <x v="0"/>
    <s v="2220"/>
    <s v="000"/>
    <x v="1"/>
    <x v="0"/>
  </r>
  <r>
    <d v="2011-11-17T00:00:00"/>
    <s v="016-2230-000"/>
    <s v="Wine Sales"/>
    <n v="51.051000000000002"/>
    <n v="0"/>
    <s v="Daily Sales Import"/>
    <n v="-51.051000000000002"/>
    <n v="51.051000000000002"/>
    <x v="0"/>
    <s v="2230"/>
    <s v="000"/>
    <x v="1"/>
    <x v="0"/>
  </r>
  <r>
    <d v="2011-11-18T00:00:00"/>
    <s v="016-2100-000"/>
    <s v="Food Sales"/>
    <n v="7170.4767000000002"/>
    <n v="0"/>
    <s v="Daily Sales Import"/>
    <n v="-7170.4767000000002"/>
    <n v="7170.4767000000002"/>
    <x v="0"/>
    <s v="2100"/>
    <s v="000"/>
    <x v="1"/>
    <x v="0"/>
  </r>
  <r>
    <d v="2011-11-18T00:00:00"/>
    <s v="016-2210-000"/>
    <s v="Liquor Sales"/>
    <n v="2862.4935"/>
    <n v="0"/>
    <s v="Daily Sales Import"/>
    <n v="-2862.4935"/>
    <n v="2862.4935"/>
    <x v="0"/>
    <s v="2210"/>
    <s v="000"/>
    <x v="1"/>
    <x v="0"/>
  </r>
  <r>
    <d v="2011-11-18T00:00:00"/>
    <s v="016-2220-000"/>
    <s v="Beer Sales"/>
    <n v="463.8075"/>
    <n v="0"/>
    <s v="Daily Sales Import"/>
    <n v="-463.8075"/>
    <n v="463.8075"/>
    <x v="0"/>
    <s v="2220"/>
    <s v="000"/>
    <x v="1"/>
    <x v="0"/>
  </r>
  <r>
    <d v="2011-11-18T00:00:00"/>
    <s v="016-2230-000"/>
    <s v="Wine Sales"/>
    <n v="174.72549999999998"/>
    <n v="0"/>
    <s v="Daily Sales Import"/>
    <n v="-174.72549999999998"/>
    <n v="174.72549999999998"/>
    <x v="0"/>
    <s v="2230"/>
    <s v="000"/>
    <x v="1"/>
    <x v="0"/>
  </r>
  <r>
    <d v="2011-11-19T00:00:00"/>
    <s v="016-2100-000"/>
    <s v="Food Sales"/>
    <n v="8952.8075000000008"/>
    <n v="0"/>
    <s v="Daily Sales Import"/>
    <n v="-8952.8075000000008"/>
    <n v="8952.8075000000008"/>
    <x v="0"/>
    <s v="2100"/>
    <s v="000"/>
    <x v="1"/>
    <x v="0"/>
  </r>
  <r>
    <d v="2011-11-19T00:00:00"/>
    <s v="016-2210-000"/>
    <s v="Liquor Sales"/>
    <n v="1845.3500000000001"/>
    <n v="0"/>
    <s v="Daily Sales Import"/>
    <n v="-1845.3500000000001"/>
    <n v="1845.3500000000001"/>
    <x v="0"/>
    <s v="2210"/>
    <s v="000"/>
    <x v="1"/>
    <x v="0"/>
  </r>
  <r>
    <d v="2011-11-19T00:00:00"/>
    <s v="016-2220-000"/>
    <s v="Beer Sales"/>
    <n v="315.40049999999997"/>
    <n v="0"/>
    <s v="Daily Sales Import"/>
    <n v="-315.40049999999997"/>
    <n v="315.40049999999997"/>
    <x v="0"/>
    <s v="2220"/>
    <s v="000"/>
    <x v="1"/>
    <x v="0"/>
  </r>
  <r>
    <d v="2011-11-19T00:00:00"/>
    <s v="016-2230-000"/>
    <s v="Wine Sales"/>
    <n v="260.59100000000001"/>
    <n v="0"/>
    <s v="Daily Sales Import"/>
    <n v="-260.59100000000001"/>
    <n v="260.59100000000001"/>
    <x v="0"/>
    <s v="2230"/>
    <s v="000"/>
    <x v="1"/>
    <x v="0"/>
  </r>
  <r>
    <d v="2011-11-20T00:00:00"/>
    <s v="016-2100-000"/>
    <s v="Food Sales"/>
    <n v="5052.6360999999997"/>
    <n v="0"/>
    <s v="Daily Sales Import"/>
    <n v="-5052.6360999999997"/>
    <n v="5052.6360999999997"/>
    <x v="0"/>
    <s v="2100"/>
    <s v="000"/>
    <x v="1"/>
    <x v="0"/>
  </r>
  <r>
    <d v="2011-11-20T00:00:00"/>
    <s v="016-2210-000"/>
    <s v="Liquor Sales"/>
    <n v="1410.13"/>
    <n v="0"/>
    <s v="Daily Sales Import"/>
    <n v="-1410.13"/>
    <n v="1410.13"/>
    <x v="0"/>
    <s v="2210"/>
    <s v="000"/>
    <x v="1"/>
    <x v="0"/>
  </r>
  <r>
    <d v="2011-11-20T00:00:00"/>
    <s v="016-2220-000"/>
    <s v="Beer Sales"/>
    <n v="573.84"/>
    <n v="0"/>
    <s v="Daily Sales Import"/>
    <n v="-573.84"/>
    <n v="573.84"/>
    <x v="0"/>
    <s v="2220"/>
    <s v="000"/>
    <x v="1"/>
    <x v="0"/>
  </r>
  <r>
    <d v="2011-11-20T00:00:00"/>
    <s v="016-2230-000"/>
    <s v="Wine Sales"/>
    <n v="494.73000000000008"/>
    <n v="0"/>
    <s v="Daily Sales Import"/>
    <n v="-494.73000000000008"/>
    <n v="494.73000000000008"/>
    <x v="0"/>
    <s v="2230"/>
    <s v="000"/>
    <x v="1"/>
    <x v="0"/>
  </r>
  <r>
    <d v="2011-11-14T00:00:00"/>
    <s v="017-2100-000"/>
    <s v="Food Sales"/>
    <n v="4416.9920000000002"/>
    <n v="0"/>
    <s v="Daily Sales Import"/>
    <n v="-4416.9920000000002"/>
    <n v="4416.9920000000002"/>
    <x v="1"/>
    <s v="2100"/>
    <s v="000"/>
    <x v="1"/>
    <x v="0"/>
  </r>
  <r>
    <d v="2011-11-14T00:00:00"/>
    <s v="017-2210-000"/>
    <s v="Liquor Sales"/>
    <n v="825.19199999999989"/>
    <n v="0"/>
    <s v="Daily Sales Import"/>
    <n v="-825.19199999999989"/>
    <n v="825.19199999999989"/>
    <x v="1"/>
    <s v="2210"/>
    <s v="000"/>
    <x v="1"/>
    <x v="0"/>
  </r>
  <r>
    <d v="2011-11-14T00:00:00"/>
    <s v="017-2220-000"/>
    <s v="Beer Sales"/>
    <n v="518.52"/>
    <n v="0"/>
    <s v="Daily Sales Import"/>
    <n v="-518.52"/>
    <n v="518.52"/>
    <x v="1"/>
    <s v="2220"/>
    <s v="000"/>
    <x v="1"/>
    <x v="0"/>
  </r>
  <r>
    <d v="2011-11-14T00:00:00"/>
    <s v="017-2230-000"/>
    <s v="Wine Sales"/>
    <n v="93.738"/>
    <n v="0"/>
    <s v="Daily Sales Import"/>
    <n v="-93.738"/>
    <n v="93.738"/>
    <x v="1"/>
    <s v="2230"/>
    <s v="000"/>
    <x v="1"/>
    <x v="0"/>
  </r>
  <r>
    <d v="2011-11-15T00:00:00"/>
    <s v="017-2100-000"/>
    <s v="Food Sales"/>
    <n v="4137.3860000000004"/>
    <n v="0"/>
    <s v="Daily Sales Import"/>
    <n v="-4137.3860000000004"/>
    <n v="4137.3860000000004"/>
    <x v="1"/>
    <s v="2100"/>
    <s v="000"/>
    <x v="1"/>
    <x v="0"/>
  </r>
  <r>
    <d v="2011-11-15T00:00:00"/>
    <s v="017-2210-000"/>
    <s v="Liquor Sales"/>
    <n v="1324.664"/>
    <n v="0"/>
    <s v="Daily Sales Import"/>
    <n v="-1324.664"/>
    <n v="1324.664"/>
    <x v="1"/>
    <s v="2210"/>
    <s v="000"/>
    <x v="1"/>
    <x v="0"/>
  </r>
  <r>
    <d v="2011-11-15T00:00:00"/>
    <s v="017-2220-000"/>
    <s v="Beer Sales"/>
    <n v="339.72750000000002"/>
    <n v="0"/>
    <s v="Daily Sales Import"/>
    <n v="-339.72750000000002"/>
    <n v="339.72750000000002"/>
    <x v="1"/>
    <s v="2220"/>
    <s v="000"/>
    <x v="1"/>
    <x v="0"/>
  </r>
  <r>
    <d v="2011-11-15T00:00:00"/>
    <s v="017-2230-000"/>
    <s v="Wine Sales"/>
    <n v="166.083"/>
    <n v="0"/>
    <s v="Daily Sales Import"/>
    <n v="-166.083"/>
    <n v="166.083"/>
    <x v="1"/>
    <s v="2230"/>
    <s v="000"/>
    <x v="1"/>
    <x v="0"/>
  </r>
  <r>
    <d v="2011-11-16T00:00:00"/>
    <s v="017-2100-000"/>
    <s v="Food Sales"/>
    <n v="8066.3850000000002"/>
    <n v="0"/>
    <s v="Daily Sales Import"/>
    <n v="-8066.3850000000002"/>
    <n v="8066.3850000000002"/>
    <x v="1"/>
    <s v="2100"/>
    <s v="000"/>
    <x v="1"/>
    <x v="0"/>
  </r>
  <r>
    <d v="2011-11-16T00:00:00"/>
    <s v="017-2210-000"/>
    <s v="Liquor Sales"/>
    <n v="2152.2059999999997"/>
    <n v="0"/>
    <s v="Daily Sales Import"/>
    <n v="-2152.2059999999997"/>
    <n v="2152.2059999999997"/>
    <x v="1"/>
    <s v="2210"/>
    <s v="000"/>
    <x v="1"/>
    <x v="0"/>
  </r>
  <r>
    <d v="2011-11-16T00:00:00"/>
    <s v="017-2220-000"/>
    <s v="Beer Sales"/>
    <n v="1131.29"/>
    <n v="0"/>
    <s v="Daily Sales Import"/>
    <n v="-1131.29"/>
    <n v="1131.29"/>
    <x v="1"/>
    <s v="2220"/>
    <s v="000"/>
    <x v="1"/>
    <x v="0"/>
  </r>
  <r>
    <d v="2011-11-16T00:00:00"/>
    <s v="017-2230-000"/>
    <s v="Wine Sales"/>
    <n v="342.06300000000005"/>
    <n v="0"/>
    <s v="Daily Sales Import"/>
    <n v="-342.06300000000005"/>
    <n v="342.06300000000005"/>
    <x v="1"/>
    <s v="2230"/>
    <s v="000"/>
    <x v="1"/>
    <x v="0"/>
  </r>
  <r>
    <d v="2011-11-17T00:00:00"/>
    <s v="017-2100-000"/>
    <s v="Food Sales"/>
    <n v="3662.1145000000006"/>
    <n v="0"/>
    <s v="Daily Sales Import"/>
    <n v="-3662.1145000000006"/>
    <n v="3662.1145000000006"/>
    <x v="1"/>
    <s v="2100"/>
    <s v="000"/>
    <x v="1"/>
    <x v="0"/>
  </r>
  <r>
    <d v="2011-11-17T00:00:00"/>
    <s v="017-2210-000"/>
    <s v="Liquor Sales"/>
    <n v="873.54000000000008"/>
    <n v="0"/>
    <s v="Daily Sales Import"/>
    <n v="-873.54000000000008"/>
    <n v="873.54000000000008"/>
    <x v="1"/>
    <s v="2210"/>
    <s v="000"/>
    <x v="1"/>
    <x v="0"/>
  </r>
  <r>
    <d v="2011-11-17T00:00:00"/>
    <s v="017-2220-000"/>
    <s v="Beer Sales"/>
    <n v="432.63"/>
    <n v="0"/>
    <s v="Daily Sales Import"/>
    <n v="-432.63"/>
    <n v="432.63"/>
    <x v="1"/>
    <s v="2220"/>
    <s v="000"/>
    <x v="1"/>
    <x v="0"/>
  </r>
  <r>
    <d v="2011-11-17T00:00:00"/>
    <s v="017-2230-000"/>
    <s v="Wine Sales"/>
    <n v="59.864999999999995"/>
    <n v="0"/>
    <s v="Daily Sales Import"/>
    <n v="-59.864999999999995"/>
    <n v="59.864999999999995"/>
    <x v="1"/>
    <s v="2230"/>
    <s v="000"/>
    <x v="1"/>
    <x v="0"/>
  </r>
  <r>
    <d v="2011-11-18T00:00:00"/>
    <s v="017-2100-000"/>
    <s v="Food Sales"/>
    <n v="8797.4109999999982"/>
    <n v="0"/>
    <s v="Daily Sales Import"/>
    <n v="-8797.4109999999982"/>
    <n v="8797.4109999999982"/>
    <x v="1"/>
    <s v="2100"/>
    <s v="000"/>
    <x v="1"/>
    <x v="0"/>
  </r>
  <r>
    <d v="2011-11-18T00:00:00"/>
    <s v="017-2210-000"/>
    <s v="Liquor Sales"/>
    <n v="1965.0930000000001"/>
    <n v="0"/>
    <s v="Daily Sales Import"/>
    <n v="-1965.0930000000001"/>
    <n v="1965.0930000000001"/>
    <x v="1"/>
    <s v="2210"/>
    <s v="000"/>
    <x v="1"/>
    <x v="0"/>
  </r>
  <r>
    <d v="2011-11-18T00:00:00"/>
    <s v="017-2220-000"/>
    <s v="Beer Sales"/>
    <n v="549.54"/>
    <n v="0"/>
    <s v="Daily Sales Import"/>
    <n v="-549.54"/>
    <n v="549.54"/>
    <x v="1"/>
    <s v="2220"/>
    <s v="000"/>
    <x v="1"/>
    <x v="0"/>
  </r>
  <r>
    <d v="2011-11-18T00:00:00"/>
    <s v="017-2230-000"/>
    <s v="Wine Sales"/>
    <n v="120.83500000000001"/>
    <n v="0"/>
    <s v="Daily Sales Import"/>
    <n v="-120.83500000000001"/>
    <n v="120.83500000000001"/>
    <x v="1"/>
    <s v="2230"/>
    <s v="000"/>
    <x v="1"/>
    <x v="0"/>
  </r>
  <r>
    <d v="2011-11-19T00:00:00"/>
    <s v="017-2100-000"/>
    <s v="Food Sales"/>
    <n v="5106.0625"/>
    <n v="0"/>
    <s v="Daily Sales Import"/>
    <n v="-5106.0625"/>
    <n v="5106.0625"/>
    <x v="1"/>
    <s v="2100"/>
    <s v="000"/>
    <x v="1"/>
    <x v="0"/>
  </r>
  <r>
    <d v="2011-11-19T00:00:00"/>
    <s v="017-2210-000"/>
    <s v="Liquor Sales"/>
    <n v="1351.336"/>
    <n v="0"/>
    <s v="Daily Sales Import"/>
    <n v="-1351.336"/>
    <n v="1351.336"/>
    <x v="1"/>
    <s v="2210"/>
    <s v="000"/>
    <x v="1"/>
    <x v="0"/>
  </r>
  <r>
    <d v="2011-11-19T00:00:00"/>
    <s v="017-2220-000"/>
    <s v="Beer Sales"/>
    <n v="250.08750000000001"/>
    <n v="0"/>
    <s v="Daily Sales Import"/>
    <n v="-250.08750000000001"/>
    <n v="250.08750000000001"/>
    <x v="1"/>
    <s v="2220"/>
    <s v="000"/>
    <x v="1"/>
    <x v="0"/>
  </r>
  <r>
    <d v="2011-11-19T00:00:00"/>
    <s v="017-2230-000"/>
    <s v="Wine Sales"/>
    <n v="97.825000000000003"/>
    <n v="0"/>
    <s v="Daily Sales Import"/>
    <n v="-97.825000000000003"/>
    <n v="97.825000000000003"/>
    <x v="1"/>
    <s v="2230"/>
    <s v="000"/>
    <x v="1"/>
    <x v="0"/>
  </r>
  <r>
    <d v="2011-11-20T00:00:00"/>
    <s v="017-2100-000"/>
    <s v="Food Sales"/>
    <n v="4524.5275000000001"/>
    <n v="0"/>
    <s v="Daily Sales Import"/>
    <n v="-4524.5275000000001"/>
    <n v="4524.5275000000001"/>
    <x v="1"/>
    <s v="2100"/>
    <s v="000"/>
    <x v="1"/>
    <x v="0"/>
  </r>
  <r>
    <d v="2011-11-20T00:00:00"/>
    <s v="017-2210-000"/>
    <s v="Liquor Sales"/>
    <n v="467.41200000000003"/>
    <n v="0"/>
    <s v="Daily Sales Import"/>
    <n v="-467.41200000000003"/>
    <n v="467.41200000000003"/>
    <x v="1"/>
    <s v="2210"/>
    <s v="000"/>
    <x v="1"/>
    <x v="0"/>
  </r>
  <r>
    <d v="2011-11-20T00:00:00"/>
    <s v="017-2220-000"/>
    <s v="Beer Sales"/>
    <n v="208.67999999999998"/>
    <n v="0"/>
    <s v="Daily Sales Import"/>
    <n v="-208.67999999999998"/>
    <n v="208.67999999999998"/>
    <x v="1"/>
    <s v="2220"/>
    <s v="000"/>
    <x v="1"/>
    <x v="0"/>
  </r>
  <r>
    <d v="2011-11-20T00:00:00"/>
    <s v="017-2230-000"/>
    <s v="Wine Sales"/>
    <n v="159.80799999999999"/>
    <n v="0"/>
    <s v="Daily Sales Import"/>
    <n v="-159.80799999999999"/>
    <n v="159.80799999999999"/>
    <x v="1"/>
    <s v="2230"/>
    <s v="000"/>
    <x v="1"/>
    <x v="0"/>
  </r>
  <r>
    <d v="2011-11-14T00:00:00"/>
    <s v="018-2100-000"/>
    <s v="Food Sales"/>
    <n v="2377.38"/>
    <n v="0"/>
    <s v="Daily Sales Import"/>
    <n v="-2377.38"/>
    <n v="2377.38"/>
    <x v="2"/>
    <s v="2100"/>
    <s v="000"/>
    <x v="1"/>
    <x v="0"/>
  </r>
  <r>
    <d v="2011-11-14T00:00:00"/>
    <s v="018-2210-000"/>
    <s v="Liquor Sales"/>
    <n v="692.17200000000003"/>
    <n v="0"/>
    <s v="Daily Sales Import"/>
    <n v="-692.17200000000003"/>
    <n v="692.17200000000003"/>
    <x v="2"/>
    <s v="2210"/>
    <s v="000"/>
    <x v="1"/>
    <x v="0"/>
  </r>
  <r>
    <d v="2011-11-14T00:00:00"/>
    <s v="018-2220-000"/>
    <s v="Beer Sales"/>
    <n v="162.4975"/>
    <n v="0"/>
    <s v="Daily Sales Import"/>
    <n v="-162.4975"/>
    <n v="162.4975"/>
    <x v="2"/>
    <s v="2220"/>
    <s v="000"/>
    <x v="1"/>
    <x v="0"/>
  </r>
  <r>
    <d v="2011-11-14T00:00:00"/>
    <s v="018-2230-000"/>
    <s v="Wine Sales"/>
    <n v="30.7135"/>
    <n v="0"/>
    <s v="Daily Sales Import"/>
    <n v="-30.7135"/>
    <n v="30.7135"/>
    <x v="2"/>
    <s v="2230"/>
    <s v="000"/>
    <x v="1"/>
    <x v="0"/>
  </r>
  <r>
    <d v="2011-11-15T00:00:00"/>
    <s v="018-2100-000"/>
    <s v="Food Sales"/>
    <n v="2757.7728000000002"/>
    <n v="0"/>
    <s v="Daily Sales Import"/>
    <n v="-2757.7728000000002"/>
    <n v="2757.7728000000002"/>
    <x v="2"/>
    <s v="2100"/>
    <s v="000"/>
    <x v="1"/>
    <x v="0"/>
  </r>
  <r>
    <d v="2011-11-15T00:00:00"/>
    <s v="018-2210-000"/>
    <s v="Liquor Sales"/>
    <n v="430.416"/>
    <n v="0"/>
    <s v="Daily Sales Import"/>
    <n v="-430.416"/>
    <n v="430.416"/>
    <x v="2"/>
    <s v="2210"/>
    <s v="000"/>
    <x v="1"/>
    <x v="0"/>
  </r>
  <r>
    <d v="2011-11-15T00:00:00"/>
    <s v="018-2220-000"/>
    <s v="Beer Sales"/>
    <n v="196.07499999999999"/>
    <n v="0"/>
    <s v="Daily Sales Import"/>
    <n v="-196.07499999999999"/>
    <n v="196.07499999999999"/>
    <x v="2"/>
    <s v="2220"/>
    <s v="000"/>
    <x v="1"/>
    <x v="0"/>
  </r>
  <r>
    <d v="2011-11-15T00:00:00"/>
    <s v="018-2230-000"/>
    <s v="Wine Sales"/>
    <n v="37.4"/>
    <n v="0"/>
    <s v="Daily Sales Import"/>
    <n v="-37.4"/>
    <n v="37.4"/>
    <x v="2"/>
    <s v="2230"/>
    <s v="000"/>
    <x v="1"/>
    <x v="0"/>
  </r>
  <r>
    <d v="2011-11-16T00:00:00"/>
    <s v="018-2100-000"/>
    <s v="Food Sales"/>
    <n v="2670.5844000000002"/>
    <n v="0"/>
    <s v="Daily Sales Import"/>
    <n v="-2670.5844000000002"/>
    <n v="2670.5844000000002"/>
    <x v="2"/>
    <s v="2100"/>
    <s v="000"/>
    <x v="1"/>
    <x v="0"/>
  </r>
  <r>
    <d v="2011-11-16T00:00:00"/>
    <s v="018-2210-000"/>
    <s v="Liquor Sales"/>
    <n v="569.73349999999994"/>
    <n v="0"/>
    <s v="Daily Sales Import"/>
    <n v="-569.73349999999994"/>
    <n v="569.73349999999994"/>
    <x v="2"/>
    <s v="2210"/>
    <s v="000"/>
    <x v="1"/>
    <x v="0"/>
  </r>
  <r>
    <d v="2011-11-16T00:00:00"/>
    <s v="018-2220-000"/>
    <s v="Beer Sales"/>
    <n v="175.02800000000002"/>
    <n v="0"/>
    <s v="Daily Sales Import"/>
    <n v="-175.02800000000002"/>
    <n v="175.02800000000002"/>
    <x v="2"/>
    <s v="2220"/>
    <s v="000"/>
    <x v="1"/>
    <x v="0"/>
  </r>
  <r>
    <d v="2011-11-16T00:00:00"/>
    <s v="018-2230-000"/>
    <s v="Wine Sales"/>
    <n v="24.165000000000003"/>
    <n v="0"/>
    <s v="Daily Sales Import"/>
    <n v="-24.165000000000003"/>
    <n v="24.165000000000003"/>
    <x v="2"/>
    <s v="2230"/>
    <s v="000"/>
    <x v="1"/>
    <x v="0"/>
  </r>
  <r>
    <d v="2011-11-17T00:00:00"/>
    <s v="018-2100-000"/>
    <s v="Food Sales"/>
    <n v="3062.5281999999997"/>
    <n v="0"/>
    <s v="Daily Sales Import"/>
    <n v="-3062.5281999999997"/>
    <n v="3062.5281999999997"/>
    <x v="2"/>
    <s v="2100"/>
    <s v="000"/>
    <x v="1"/>
    <x v="0"/>
  </r>
  <r>
    <d v="2011-11-17T00:00:00"/>
    <s v="018-2210-000"/>
    <s v="Liquor Sales"/>
    <n v="668.553"/>
    <n v="0"/>
    <s v="Daily Sales Import"/>
    <n v="-668.553"/>
    <n v="668.553"/>
    <x v="2"/>
    <s v="2210"/>
    <s v="000"/>
    <x v="1"/>
    <x v="0"/>
  </r>
  <r>
    <d v="2011-11-17T00:00:00"/>
    <s v="018-2220-000"/>
    <s v="Beer Sales"/>
    <n v="210.41899999999998"/>
    <n v="0"/>
    <s v="Daily Sales Import"/>
    <n v="-210.41899999999998"/>
    <n v="210.41899999999998"/>
    <x v="2"/>
    <s v="2220"/>
    <s v="000"/>
    <x v="1"/>
    <x v="0"/>
  </r>
  <r>
    <d v="2011-11-17T00:00:00"/>
    <s v="018-2230-000"/>
    <s v="Wine Sales"/>
    <n v="45.972000000000001"/>
    <n v="0"/>
    <s v="Daily Sales Import"/>
    <n v="-45.972000000000001"/>
    <n v="45.972000000000001"/>
    <x v="2"/>
    <s v="2230"/>
    <s v="000"/>
    <x v="1"/>
    <x v="0"/>
  </r>
  <r>
    <d v="2011-11-18T00:00:00"/>
    <s v="018-2100-000"/>
    <s v="Food Sales"/>
    <n v="6692.9228999999987"/>
    <n v="0"/>
    <s v="Daily Sales Import"/>
    <n v="-6692.9228999999987"/>
    <n v="6692.9228999999987"/>
    <x v="2"/>
    <s v="2100"/>
    <s v="000"/>
    <x v="1"/>
    <x v="0"/>
  </r>
  <r>
    <d v="2011-11-18T00:00:00"/>
    <s v="018-2210-000"/>
    <s v="Liquor Sales"/>
    <n v="2569.9490000000001"/>
    <n v="0"/>
    <s v="Daily Sales Import"/>
    <n v="-2569.9490000000001"/>
    <n v="2569.9490000000001"/>
    <x v="2"/>
    <s v="2210"/>
    <s v="000"/>
    <x v="1"/>
    <x v="0"/>
  </r>
  <r>
    <d v="2011-11-18T00:00:00"/>
    <s v="018-2220-000"/>
    <s v="Beer Sales"/>
    <n v="446.33700000000005"/>
    <n v="0"/>
    <s v="Daily Sales Import"/>
    <n v="-446.33700000000005"/>
    <n v="446.33700000000005"/>
    <x v="2"/>
    <s v="2220"/>
    <s v="000"/>
    <x v="1"/>
    <x v="0"/>
  </r>
  <r>
    <d v="2011-11-18T00:00:00"/>
    <s v="018-2230-000"/>
    <s v="Wine Sales"/>
    <n v="110.59200000000001"/>
    <n v="0"/>
    <s v="Daily Sales Import"/>
    <n v="-110.59200000000001"/>
    <n v="110.59200000000001"/>
    <x v="2"/>
    <s v="2230"/>
    <s v="000"/>
    <x v="1"/>
    <x v="0"/>
  </r>
  <r>
    <d v="2011-11-19T00:00:00"/>
    <s v="018-2100-000"/>
    <s v="Food Sales"/>
    <n v="8944.8950000000004"/>
    <n v="0"/>
    <s v="Daily Sales Import"/>
    <n v="-8944.8950000000004"/>
    <n v="8944.8950000000004"/>
    <x v="2"/>
    <s v="2100"/>
    <s v="000"/>
    <x v="1"/>
    <x v="0"/>
  </r>
  <r>
    <d v="2011-11-19T00:00:00"/>
    <s v="018-2210-000"/>
    <s v="Liquor Sales"/>
    <n v="1836.4355"/>
    <n v="0"/>
    <s v="Daily Sales Import"/>
    <n v="-1836.4355"/>
    <n v="1836.4355"/>
    <x v="2"/>
    <s v="2210"/>
    <s v="000"/>
    <x v="1"/>
    <x v="0"/>
  </r>
  <r>
    <d v="2011-11-19T00:00:00"/>
    <s v="018-2220-000"/>
    <s v="Beer Sales"/>
    <n v="563.94000000000005"/>
    <n v="0"/>
    <s v="Daily Sales Import"/>
    <n v="-563.94000000000005"/>
    <n v="563.94000000000005"/>
    <x v="2"/>
    <s v="2220"/>
    <s v="000"/>
    <x v="1"/>
    <x v="0"/>
  </r>
  <r>
    <d v="2011-11-19T00:00:00"/>
    <s v="018-2230-000"/>
    <s v="Wine Sales"/>
    <n v="87.266999999999996"/>
    <n v="0"/>
    <s v="Daily Sales Import"/>
    <n v="-87.266999999999996"/>
    <n v="87.266999999999996"/>
    <x v="2"/>
    <s v="2230"/>
    <s v="000"/>
    <x v="1"/>
    <x v="0"/>
  </r>
  <r>
    <d v="2011-11-20T00:00:00"/>
    <s v="018-2100-000"/>
    <s v="Food Sales"/>
    <n v="7151.1923999999999"/>
    <n v="0"/>
    <s v="Daily Sales Import"/>
    <n v="-7151.1923999999999"/>
    <n v="7151.1923999999999"/>
    <x v="2"/>
    <s v="2100"/>
    <s v="000"/>
    <x v="1"/>
    <x v="0"/>
  </r>
  <r>
    <d v="2011-11-20T00:00:00"/>
    <s v="018-2210-000"/>
    <s v="Liquor Sales"/>
    <n v="818.55"/>
    <n v="0"/>
    <s v="Daily Sales Import"/>
    <n v="-818.55"/>
    <n v="818.55"/>
    <x v="2"/>
    <s v="2210"/>
    <s v="000"/>
    <x v="1"/>
    <x v="0"/>
  </r>
  <r>
    <d v="2011-11-20T00:00:00"/>
    <s v="018-2220-000"/>
    <s v="Beer Sales"/>
    <n v="327.49199999999996"/>
    <n v="0"/>
    <s v="Daily Sales Import"/>
    <n v="-327.49199999999996"/>
    <n v="327.49199999999996"/>
    <x v="2"/>
    <s v="2220"/>
    <s v="000"/>
    <x v="1"/>
    <x v="0"/>
  </r>
  <r>
    <d v="2011-11-20T00:00:00"/>
    <s v="018-2230-000"/>
    <s v="Wine Sales"/>
    <n v="44.308999999999997"/>
    <n v="0"/>
    <s v="Daily Sales Import"/>
    <n v="-44.308999999999997"/>
    <n v="44.308999999999997"/>
    <x v="2"/>
    <s v="2230"/>
    <s v="000"/>
    <x v="1"/>
    <x v="0"/>
  </r>
  <r>
    <d v="2011-11-21T00:00:00"/>
    <s v="016-2100-000"/>
    <s v="Food Sales"/>
    <n v="1792.8263999999999"/>
    <n v="0"/>
    <s v="Daily Sales Import"/>
    <n v="-1792.8263999999999"/>
    <n v="1792.8263999999999"/>
    <x v="0"/>
    <s v="2100"/>
    <s v="000"/>
    <x v="1"/>
    <x v="0"/>
  </r>
  <r>
    <d v="2011-11-21T00:00:00"/>
    <s v="016-2210-000"/>
    <s v="Liquor Sales"/>
    <n v="417.76399999999995"/>
    <n v="0"/>
    <s v="Daily Sales Import"/>
    <n v="-417.76399999999995"/>
    <n v="417.76399999999995"/>
    <x v="0"/>
    <s v="2210"/>
    <s v="000"/>
    <x v="1"/>
    <x v="0"/>
  </r>
  <r>
    <d v="2011-11-21T00:00:00"/>
    <s v="016-2220-000"/>
    <s v="Beer Sales"/>
    <n v="43.604999999999997"/>
    <n v="0"/>
    <s v="Daily Sales Import"/>
    <n v="-43.604999999999997"/>
    <n v="43.604999999999997"/>
    <x v="0"/>
    <s v="2220"/>
    <s v="000"/>
    <x v="1"/>
    <x v="0"/>
  </r>
  <r>
    <d v="2011-11-21T00:00:00"/>
    <s v="016-2230-000"/>
    <s v="Wine Sales"/>
    <n v="99.080500000000001"/>
    <n v="0"/>
    <s v="Daily Sales Import"/>
    <n v="-99.080500000000001"/>
    <n v="99.080500000000001"/>
    <x v="0"/>
    <s v="2230"/>
    <s v="000"/>
    <x v="1"/>
    <x v="0"/>
  </r>
  <r>
    <d v="2011-11-22T00:00:00"/>
    <s v="016-2100-000"/>
    <s v="Food Sales"/>
    <n v="4370.7663999999995"/>
    <n v="0"/>
    <s v="Daily Sales Import"/>
    <n v="-4370.7663999999995"/>
    <n v="4370.7663999999995"/>
    <x v="0"/>
    <s v="2100"/>
    <s v="000"/>
    <x v="1"/>
    <x v="0"/>
  </r>
  <r>
    <d v="2011-11-22T00:00:00"/>
    <s v="016-2210-000"/>
    <s v="Liquor Sales"/>
    <n v="933.97750000000008"/>
    <n v="0"/>
    <s v="Daily Sales Import"/>
    <n v="-933.97750000000008"/>
    <n v="933.97750000000008"/>
    <x v="0"/>
    <s v="2210"/>
    <s v="000"/>
    <x v="1"/>
    <x v="0"/>
  </r>
  <r>
    <d v="2011-11-22T00:00:00"/>
    <s v="016-2220-000"/>
    <s v="Beer Sales"/>
    <n v="145.91400000000002"/>
    <n v="0"/>
    <s v="Daily Sales Import"/>
    <n v="-145.91400000000002"/>
    <n v="145.91400000000002"/>
    <x v="0"/>
    <s v="2220"/>
    <s v="000"/>
    <x v="1"/>
    <x v="0"/>
  </r>
  <r>
    <d v="2011-11-22T00:00:00"/>
    <s v="016-2230-000"/>
    <s v="Wine Sales"/>
    <n v="107.16"/>
    <n v="0"/>
    <s v="Daily Sales Import"/>
    <n v="-107.16"/>
    <n v="107.16"/>
    <x v="0"/>
    <s v="2230"/>
    <s v="000"/>
    <x v="1"/>
    <x v="0"/>
  </r>
  <r>
    <d v="2011-11-23T00:00:00"/>
    <s v="016-2100-000"/>
    <s v="Food Sales"/>
    <n v="5349.9984999999997"/>
    <n v="0"/>
    <s v="Daily Sales Import"/>
    <n v="-5349.9984999999997"/>
    <n v="5349.9984999999997"/>
    <x v="0"/>
    <s v="2100"/>
    <s v="000"/>
    <x v="1"/>
    <x v="0"/>
  </r>
  <r>
    <d v="2011-11-23T00:00:00"/>
    <s v="016-2210-000"/>
    <s v="Liquor Sales"/>
    <n v="1691.0039999999997"/>
    <n v="0"/>
    <s v="Daily Sales Import"/>
    <n v="-1691.0039999999997"/>
    <n v="1691.0039999999997"/>
    <x v="0"/>
    <s v="2210"/>
    <s v="000"/>
    <x v="1"/>
    <x v="0"/>
  </r>
  <r>
    <d v="2011-11-23T00:00:00"/>
    <s v="016-2220-000"/>
    <s v="Beer Sales"/>
    <n v="254.47500000000002"/>
    <n v="0"/>
    <s v="Daily Sales Import"/>
    <n v="-254.47500000000002"/>
    <n v="254.47500000000002"/>
    <x v="0"/>
    <s v="2220"/>
    <s v="000"/>
    <x v="1"/>
    <x v="0"/>
  </r>
  <r>
    <d v="2011-11-23T00:00:00"/>
    <s v="016-2230-000"/>
    <s v="Wine Sales"/>
    <n v="158.185"/>
    <n v="0"/>
    <s v="Daily Sales Import"/>
    <n v="-158.185"/>
    <n v="158.185"/>
    <x v="0"/>
    <s v="2230"/>
    <s v="000"/>
    <x v="1"/>
    <x v="0"/>
  </r>
  <r>
    <d v="2011-11-25T00:00:00"/>
    <s v="016-2100-000"/>
    <s v="Food Sales"/>
    <n v="7937.2709999999997"/>
    <n v="0"/>
    <s v="Daily Sales Import"/>
    <n v="-7937.2709999999997"/>
    <n v="7937.2709999999997"/>
    <x v="0"/>
    <s v="2100"/>
    <s v="000"/>
    <x v="1"/>
    <x v="0"/>
  </r>
  <r>
    <d v="2011-11-25T00:00:00"/>
    <s v="016-2210-000"/>
    <s v="Liquor Sales"/>
    <n v="4052.3664999999996"/>
    <n v="0"/>
    <s v="Daily Sales Import"/>
    <n v="-4052.3664999999996"/>
    <n v="4052.3664999999996"/>
    <x v="0"/>
    <s v="2210"/>
    <s v="000"/>
    <x v="1"/>
    <x v="0"/>
  </r>
  <r>
    <d v="2011-11-25T00:00:00"/>
    <s v="016-2220-000"/>
    <s v="Beer Sales"/>
    <n v="710.53500000000008"/>
    <n v="0"/>
    <s v="Daily Sales Import"/>
    <n v="-710.53500000000008"/>
    <n v="710.53500000000008"/>
    <x v="0"/>
    <s v="2220"/>
    <s v="000"/>
    <x v="1"/>
    <x v="0"/>
  </r>
  <r>
    <d v="2011-11-25T00:00:00"/>
    <s v="016-2230-000"/>
    <s v="Wine Sales"/>
    <n v="268.33600000000001"/>
    <n v="0"/>
    <s v="Daily Sales Import"/>
    <n v="-268.33600000000001"/>
    <n v="268.33600000000001"/>
    <x v="0"/>
    <s v="2230"/>
    <s v="000"/>
    <x v="1"/>
    <x v="0"/>
  </r>
  <r>
    <d v="2011-11-26T00:00:00"/>
    <s v="016-2100-000"/>
    <s v="Food Sales"/>
    <n v="10580.800000000001"/>
    <n v="0"/>
    <s v="Daily Sales Import"/>
    <n v="-10580.800000000001"/>
    <n v="10580.800000000001"/>
    <x v="0"/>
    <s v="2100"/>
    <s v="000"/>
    <x v="1"/>
    <x v="0"/>
  </r>
  <r>
    <d v="2011-11-26T00:00:00"/>
    <s v="016-2210-000"/>
    <s v="Liquor Sales"/>
    <n v="4429.2920000000004"/>
    <n v="0"/>
    <s v="Daily Sales Import"/>
    <n v="-4429.2920000000004"/>
    <n v="4429.2920000000004"/>
    <x v="0"/>
    <s v="2210"/>
    <s v="000"/>
    <x v="1"/>
    <x v="0"/>
  </r>
  <r>
    <d v="2011-11-26T00:00:00"/>
    <s v="016-2220-000"/>
    <s v="Beer Sales"/>
    <n v="1641.0239999999999"/>
    <n v="0"/>
    <s v="Daily Sales Import"/>
    <n v="-1641.0239999999999"/>
    <n v="1641.0239999999999"/>
    <x v="0"/>
    <s v="2220"/>
    <s v="000"/>
    <x v="1"/>
    <x v="0"/>
  </r>
  <r>
    <d v="2011-11-26T00:00:00"/>
    <s v="016-2230-000"/>
    <s v="Wine Sales"/>
    <n v="397.34800000000001"/>
    <n v="0"/>
    <s v="Daily Sales Import"/>
    <n v="-397.34800000000001"/>
    <n v="397.34800000000001"/>
    <x v="0"/>
    <s v="2230"/>
    <s v="000"/>
    <x v="1"/>
    <x v="0"/>
  </r>
  <r>
    <d v="2011-11-27T00:00:00"/>
    <s v="016-2100-000"/>
    <s v="Food Sales"/>
    <n v="4090.866"/>
    <n v="0"/>
    <s v="Daily Sales Import"/>
    <n v="-4090.866"/>
    <n v="4090.866"/>
    <x v="0"/>
    <s v="2100"/>
    <s v="000"/>
    <x v="1"/>
    <x v="0"/>
  </r>
  <r>
    <d v="2011-11-27T00:00:00"/>
    <s v="016-2210-000"/>
    <s v="Liquor Sales"/>
    <n v="1121.2565000000002"/>
    <n v="0"/>
    <s v="Daily Sales Import"/>
    <n v="-1121.2565000000002"/>
    <n v="1121.2565000000002"/>
    <x v="0"/>
    <s v="2210"/>
    <s v="000"/>
    <x v="1"/>
    <x v="0"/>
  </r>
  <r>
    <d v="2011-11-27T00:00:00"/>
    <s v="016-2220-000"/>
    <s v="Beer Sales"/>
    <n v="127.36800000000001"/>
    <n v="0"/>
    <s v="Daily Sales Import"/>
    <n v="-127.36800000000001"/>
    <n v="127.36800000000001"/>
    <x v="0"/>
    <s v="2220"/>
    <s v="000"/>
    <x v="1"/>
    <x v="0"/>
  </r>
  <r>
    <d v="2011-11-27T00:00:00"/>
    <s v="016-2230-000"/>
    <s v="Wine Sales"/>
    <n v="130.7475"/>
    <n v="0"/>
    <s v="Daily Sales Import"/>
    <n v="-130.7475"/>
    <n v="130.7475"/>
    <x v="0"/>
    <s v="2230"/>
    <s v="000"/>
    <x v="1"/>
    <x v="0"/>
  </r>
  <r>
    <d v="2011-11-21T00:00:00"/>
    <s v="017-2100-000"/>
    <s v="Food Sales"/>
    <n v="5389.0709999999999"/>
    <n v="0"/>
    <s v="Daily Sales Import"/>
    <n v="-5389.0709999999999"/>
    <n v="5389.0709999999999"/>
    <x v="1"/>
    <s v="2100"/>
    <s v="000"/>
    <x v="1"/>
    <x v="0"/>
  </r>
  <r>
    <d v="2011-11-21T00:00:00"/>
    <s v="017-2210-000"/>
    <s v="Liquor Sales"/>
    <n v="780.41250000000002"/>
    <n v="0"/>
    <s v="Daily Sales Import"/>
    <n v="-780.41250000000002"/>
    <n v="780.41250000000002"/>
    <x v="1"/>
    <s v="2210"/>
    <s v="000"/>
    <x v="1"/>
    <x v="0"/>
  </r>
  <r>
    <d v="2011-11-21T00:00:00"/>
    <s v="017-2220-000"/>
    <s v="Beer Sales"/>
    <n v="247.97499999999999"/>
    <n v="0"/>
    <s v="Daily Sales Import"/>
    <n v="-247.97499999999999"/>
    <n v="247.97499999999999"/>
    <x v="1"/>
    <s v="2220"/>
    <s v="000"/>
    <x v="1"/>
    <x v="0"/>
  </r>
  <r>
    <d v="2011-11-21T00:00:00"/>
    <s v="017-2230-000"/>
    <s v="Wine Sales"/>
    <n v="179.50249999999997"/>
    <n v="0"/>
    <s v="Daily Sales Import"/>
    <n v="-179.50249999999997"/>
    <n v="179.50249999999997"/>
    <x v="1"/>
    <s v="2230"/>
    <s v="000"/>
    <x v="1"/>
    <x v="0"/>
  </r>
  <r>
    <d v="2011-11-22T00:00:00"/>
    <s v="017-2100-000"/>
    <s v="Food Sales"/>
    <n v="5568.4034999999994"/>
    <n v="0"/>
    <s v="Daily Sales Import"/>
    <n v="-5568.4034999999994"/>
    <n v="5568.4034999999994"/>
    <x v="1"/>
    <s v="2100"/>
    <s v="000"/>
    <x v="1"/>
    <x v="0"/>
  </r>
  <r>
    <d v="2011-11-22T00:00:00"/>
    <s v="017-2210-000"/>
    <s v="Liquor Sales"/>
    <n v="1157.002"/>
    <n v="0"/>
    <s v="Daily Sales Import"/>
    <n v="-1157.002"/>
    <n v="1157.002"/>
    <x v="1"/>
    <s v="2210"/>
    <s v="000"/>
    <x v="1"/>
    <x v="0"/>
  </r>
  <r>
    <d v="2011-11-22T00:00:00"/>
    <s v="017-2220-000"/>
    <s v="Beer Sales"/>
    <n v="314.78999999999996"/>
    <n v="0"/>
    <s v="Daily Sales Import"/>
    <n v="-314.78999999999996"/>
    <n v="314.78999999999996"/>
    <x v="1"/>
    <s v="2220"/>
    <s v="000"/>
    <x v="1"/>
    <x v="0"/>
  </r>
  <r>
    <d v="2011-11-22T00:00:00"/>
    <s v="017-2230-000"/>
    <s v="Wine Sales"/>
    <n v="36.463999999999999"/>
    <n v="0"/>
    <s v="Daily Sales Import"/>
    <n v="-36.463999999999999"/>
    <n v="36.463999999999999"/>
    <x v="1"/>
    <s v="2230"/>
    <s v="000"/>
    <x v="1"/>
    <x v="0"/>
  </r>
  <r>
    <d v="2011-11-23T00:00:00"/>
    <s v="017-2100-000"/>
    <s v="Food Sales"/>
    <n v="5042.2094999999999"/>
    <n v="0"/>
    <s v="Daily Sales Import"/>
    <n v="-5042.2094999999999"/>
    <n v="5042.2094999999999"/>
    <x v="1"/>
    <s v="2100"/>
    <s v="000"/>
    <x v="1"/>
    <x v="0"/>
  </r>
  <r>
    <d v="2011-11-23T00:00:00"/>
    <s v="017-2210-000"/>
    <s v="Liquor Sales"/>
    <n v="1487.2440000000001"/>
    <n v="0"/>
    <s v="Daily Sales Import"/>
    <n v="-1487.2440000000001"/>
    <n v="1487.2440000000001"/>
    <x v="1"/>
    <s v="2210"/>
    <s v="000"/>
    <x v="1"/>
    <x v="0"/>
  </r>
  <r>
    <d v="2011-11-23T00:00:00"/>
    <s v="017-2220-000"/>
    <s v="Beer Sales"/>
    <n v="247.95"/>
    <n v="0"/>
    <s v="Daily Sales Import"/>
    <n v="-247.95"/>
    <n v="247.95"/>
    <x v="1"/>
    <s v="2220"/>
    <s v="000"/>
    <x v="1"/>
    <x v="0"/>
  </r>
  <r>
    <d v="2011-11-23T00:00:00"/>
    <s v="017-2230-000"/>
    <s v="Wine Sales"/>
    <n v="104.253"/>
    <n v="0"/>
    <s v="Daily Sales Import"/>
    <n v="-104.253"/>
    <n v="104.253"/>
    <x v="1"/>
    <s v="2230"/>
    <s v="000"/>
    <x v="1"/>
    <x v="0"/>
  </r>
  <r>
    <d v="2011-11-25T00:00:00"/>
    <s v="017-2100-000"/>
    <s v="Food Sales"/>
    <n v="5491.0380999999998"/>
    <n v="0"/>
    <s v="Daily Sales Import"/>
    <n v="-5491.0380999999998"/>
    <n v="5491.0380999999998"/>
    <x v="1"/>
    <s v="2100"/>
    <s v="000"/>
    <x v="1"/>
    <x v="0"/>
  </r>
  <r>
    <d v="2011-11-25T00:00:00"/>
    <s v="017-2210-000"/>
    <s v="Liquor Sales"/>
    <n v="1392.6374999999998"/>
    <n v="0"/>
    <s v="Daily Sales Import"/>
    <n v="-1392.6374999999998"/>
    <n v="1392.6374999999998"/>
    <x v="1"/>
    <s v="2210"/>
    <s v="000"/>
    <x v="1"/>
    <x v="0"/>
  </r>
  <r>
    <d v="2011-11-25T00:00:00"/>
    <s v="017-2220-000"/>
    <s v="Beer Sales"/>
    <n v="277.3125"/>
    <n v="0"/>
    <s v="Daily Sales Import"/>
    <n v="-277.3125"/>
    <n v="277.3125"/>
    <x v="1"/>
    <s v="2220"/>
    <s v="000"/>
    <x v="1"/>
    <x v="0"/>
  </r>
  <r>
    <d v="2011-11-25T00:00:00"/>
    <s v="017-2230-000"/>
    <s v="Wine Sales"/>
    <n v="46.905999999999999"/>
    <n v="0"/>
    <s v="Daily Sales Import"/>
    <n v="-46.905999999999999"/>
    <n v="46.905999999999999"/>
    <x v="1"/>
    <s v="2230"/>
    <s v="000"/>
    <x v="1"/>
    <x v="0"/>
  </r>
  <r>
    <d v="2011-11-26T00:00:00"/>
    <s v="017-2100-000"/>
    <s v="Food Sales"/>
    <n v="3970.3675000000007"/>
    <n v="0"/>
    <s v="Daily Sales Import"/>
    <n v="-3970.3675000000007"/>
    <n v="3970.3675000000007"/>
    <x v="1"/>
    <s v="2100"/>
    <s v="000"/>
    <x v="1"/>
    <x v="0"/>
  </r>
  <r>
    <d v="2011-11-26T00:00:00"/>
    <s v="017-2210-000"/>
    <s v="Liquor Sales"/>
    <n v="982.32550000000003"/>
    <n v="0"/>
    <s v="Daily Sales Import"/>
    <n v="-982.32550000000003"/>
    <n v="982.32550000000003"/>
    <x v="1"/>
    <s v="2210"/>
    <s v="000"/>
    <x v="1"/>
    <x v="0"/>
  </r>
  <r>
    <d v="2011-11-26T00:00:00"/>
    <s v="017-2220-000"/>
    <s v="Beer Sales"/>
    <n v="258.16249999999997"/>
    <n v="0"/>
    <s v="Daily Sales Import"/>
    <n v="-258.16249999999997"/>
    <n v="258.16249999999997"/>
    <x v="1"/>
    <s v="2220"/>
    <s v="000"/>
    <x v="1"/>
    <x v="0"/>
  </r>
  <r>
    <d v="2011-11-26T00:00:00"/>
    <s v="017-2230-000"/>
    <s v="Wine Sales"/>
    <n v="64.185000000000002"/>
    <n v="0"/>
    <s v="Daily Sales Import"/>
    <n v="-64.185000000000002"/>
    <n v="64.185000000000002"/>
    <x v="1"/>
    <s v="2230"/>
    <s v="000"/>
    <x v="1"/>
    <x v="0"/>
  </r>
  <r>
    <d v="2011-11-27T00:00:00"/>
    <s v="017-2100-000"/>
    <s v="Food Sales"/>
    <n v="2706.2745"/>
    <n v="0"/>
    <s v="Daily Sales Import"/>
    <n v="-2706.2745"/>
    <n v="2706.2745"/>
    <x v="1"/>
    <s v="2100"/>
    <s v="000"/>
    <x v="1"/>
    <x v="0"/>
  </r>
  <r>
    <d v="2011-11-27T00:00:00"/>
    <s v="017-2210-000"/>
    <s v="Liquor Sales"/>
    <n v="653.99400000000003"/>
    <n v="0"/>
    <s v="Daily Sales Import"/>
    <n v="-653.99400000000003"/>
    <n v="653.99400000000003"/>
    <x v="1"/>
    <s v="2210"/>
    <s v="000"/>
    <x v="1"/>
    <x v="0"/>
  </r>
  <r>
    <d v="2011-11-27T00:00:00"/>
    <s v="017-2220-000"/>
    <s v="Beer Sales"/>
    <n v="242.10499999999999"/>
    <n v="0"/>
    <s v="Daily Sales Import"/>
    <n v="-242.10499999999999"/>
    <n v="242.10499999999999"/>
    <x v="1"/>
    <s v="2220"/>
    <s v="000"/>
    <x v="1"/>
    <x v="0"/>
  </r>
  <r>
    <d v="2011-11-27T00:00:00"/>
    <s v="017-2230-000"/>
    <s v="Wine Sales"/>
    <n v="46.447500000000005"/>
    <n v="0"/>
    <s v="Daily Sales Import"/>
    <n v="-46.447500000000005"/>
    <n v="46.447500000000005"/>
    <x v="1"/>
    <s v="2230"/>
    <s v="000"/>
    <x v="1"/>
    <x v="0"/>
  </r>
  <r>
    <d v="2011-11-21T00:00:00"/>
    <s v="018-2100-000"/>
    <s v="Food Sales"/>
    <n v="2878.97"/>
    <n v="0"/>
    <s v="Daily Sales Import"/>
    <n v="-2878.97"/>
    <n v="2878.97"/>
    <x v="2"/>
    <s v="2100"/>
    <s v="000"/>
    <x v="1"/>
    <x v="0"/>
  </r>
  <r>
    <d v="2011-11-21T00:00:00"/>
    <s v="018-2210-000"/>
    <s v="Liquor Sales"/>
    <n v="386.74799999999999"/>
    <n v="0"/>
    <s v="Daily Sales Import"/>
    <n v="-386.74799999999999"/>
    <n v="386.74799999999999"/>
    <x v="2"/>
    <s v="2210"/>
    <s v="000"/>
    <x v="1"/>
    <x v="0"/>
  </r>
  <r>
    <d v="2011-11-21T00:00:00"/>
    <s v="018-2220-000"/>
    <s v="Beer Sales"/>
    <n v="33.305500000000002"/>
    <n v="0"/>
    <s v="Daily Sales Import"/>
    <n v="-33.305500000000002"/>
    <n v="33.305500000000002"/>
    <x v="2"/>
    <s v="2220"/>
    <s v="000"/>
    <x v="1"/>
    <x v="0"/>
  </r>
  <r>
    <d v="2011-11-21T00:00:00"/>
    <s v="018-2230-000"/>
    <s v="Wine Sales"/>
    <n v="60.487500000000004"/>
    <n v="0"/>
    <s v="Daily Sales Import"/>
    <n v="-60.487500000000004"/>
    <n v="60.487500000000004"/>
    <x v="2"/>
    <s v="2230"/>
    <s v="000"/>
    <x v="1"/>
    <x v="0"/>
  </r>
  <r>
    <d v="2011-11-22T00:00:00"/>
    <s v="018-2100-000"/>
    <s v="Food Sales"/>
    <n v="3664.9359999999997"/>
    <n v="0"/>
    <s v="Daily Sales Import"/>
    <n v="-3664.9359999999997"/>
    <n v="3664.9359999999997"/>
    <x v="2"/>
    <s v="2100"/>
    <s v="000"/>
    <x v="1"/>
    <x v="0"/>
  </r>
  <r>
    <d v="2011-11-22T00:00:00"/>
    <s v="018-2210-000"/>
    <s v="Liquor Sales"/>
    <n v="829.65300000000002"/>
    <n v="0"/>
    <s v="Daily Sales Import"/>
    <n v="-829.65300000000002"/>
    <n v="829.65300000000002"/>
    <x v="2"/>
    <s v="2210"/>
    <s v="000"/>
    <x v="1"/>
    <x v="0"/>
  </r>
  <r>
    <d v="2011-11-22T00:00:00"/>
    <s v="018-2220-000"/>
    <s v="Beer Sales"/>
    <n v="120.544"/>
    <n v="0"/>
    <s v="Daily Sales Import"/>
    <n v="-120.544"/>
    <n v="120.544"/>
    <x v="2"/>
    <s v="2220"/>
    <s v="000"/>
    <x v="1"/>
    <x v="0"/>
  </r>
  <r>
    <d v="2011-11-22T00:00:00"/>
    <s v="018-2230-000"/>
    <s v="Wine Sales"/>
    <n v="15.105"/>
    <n v="0"/>
    <s v="Daily Sales Import"/>
    <n v="-15.105"/>
    <n v="15.105"/>
    <x v="2"/>
    <s v="2230"/>
    <s v="000"/>
    <x v="1"/>
    <x v="0"/>
  </r>
  <r>
    <d v="2011-11-23T00:00:00"/>
    <s v="018-2100-000"/>
    <s v="Food Sales"/>
    <n v="7553.6560000000009"/>
    <n v="0"/>
    <s v="Daily Sales Import"/>
    <n v="-7553.6560000000009"/>
    <n v="7553.6560000000009"/>
    <x v="2"/>
    <s v="2100"/>
    <s v="000"/>
    <x v="1"/>
    <x v="0"/>
  </r>
  <r>
    <d v="2011-11-23T00:00:00"/>
    <s v="018-2210-000"/>
    <s v="Liquor Sales"/>
    <n v="1320.1384999999998"/>
    <n v="0"/>
    <s v="Daily Sales Import"/>
    <n v="-1320.1384999999998"/>
    <n v="1320.1384999999998"/>
    <x v="2"/>
    <s v="2210"/>
    <s v="000"/>
    <x v="1"/>
    <x v="0"/>
  </r>
  <r>
    <d v="2011-11-23T00:00:00"/>
    <s v="018-2220-000"/>
    <s v="Beer Sales"/>
    <n v="226.3415"/>
    <n v="0"/>
    <s v="Daily Sales Import"/>
    <n v="-226.3415"/>
    <n v="226.3415"/>
    <x v="2"/>
    <s v="2220"/>
    <s v="000"/>
    <x v="1"/>
    <x v="0"/>
  </r>
  <r>
    <d v="2011-11-23T00:00:00"/>
    <s v="018-2230-000"/>
    <s v="Wine Sales"/>
    <n v="89.383499999999998"/>
    <n v="0"/>
    <s v="Daily Sales Import"/>
    <n v="-89.383499999999998"/>
    <n v="89.383499999999998"/>
    <x v="2"/>
    <s v="2230"/>
    <s v="000"/>
    <x v="1"/>
    <x v="0"/>
  </r>
  <r>
    <d v="2011-11-25T00:00:00"/>
    <s v="018-2100-000"/>
    <s v="Food Sales"/>
    <n v="8387.4284000000007"/>
    <n v="0"/>
    <s v="Daily Sales Import"/>
    <n v="-8387.4284000000007"/>
    <n v="8387.4284000000007"/>
    <x v="2"/>
    <s v="2100"/>
    <s v="000"/>
    <x v="1"/>
    <x v="0"/>
  </r>
  <r>
    <d v="2011-11-25T00:00:00"/>
    <s v="018-2210-000"/>
    <s v="Liquor Sales"/>
    <n v="1049.1690000000001"/>
    <n v="0"/>
    <s v="Daily Sales Import"/>
    <n v="-1049.1690000000001"/>
    <n v="1049.1690000000001"/>
    <x v="2"/>
    <s v="2210"/>
    <s v="000"/>
    <x v="1"/>
    <x v="0"/>
  </r>
  <r>
    <d v="2011-11-25T00:00:00"/>
    <s v="018-2220-000"/>
    <s v="Beer Sales"/>
    <n v="448.78"/>
    <n v="0"/>
    <s v="Daily Sales Import"/>
    <n v="-448.78"/>
    <n v="448.78"/>
    <x v="2"/>
    <s v="2220"/>
    <s v="000"/>
    <x v="1"/>
    <x v="0"/>
  </r>
  <r>
    <d v="2011-11-25T00:00:00"/>
    <s v="018-2230-000"/>
    <s v="Wine Sales"/>
    <n v="58.866500000000002"/>
    <n v="0"/>
    <s v="Daily Sales Import"/>
    <n v="-58.866500000000002"/>
    <n v="58.866500000000002"/>
    <x v="2"/>
    <s v="2230"/>
    <s v="000"/>
    <x v="1"/>
    <x v="0"/>
  </r>
  <r>
    <d v="2011-11-26T00:00:00"/>
    <s v="018-2100-000"/>
    <s v="Food Sales"/>
    <n v="7238.5855999999994"/>
    <n v="0"/>
    <s v="Daily Sales Import"/>
    <n v="-7238.5855999999994"/>
    <n v="7238.5855999999994"/>
    <x v="2"/>
    <s v="2100"/>
    <s v="000"/>
    <x v="1"/>
    <x v="0"/>
  </r>
  <r>
    <d v="2011-11-26T00:00:00"/>
    <s v="018-2210-000"/>
    <s v="Liquor Sales"/>
    <n v="1996.3949999999998"/>
    <n v="0"/>
    <s v="Daily Sales Import"/>
    <n v="-1996.3949999999998"/>
    <n v="1996.3949999999998"/>
    <x v="2"/>
    <s v="2210"/>
    <s v="000"/>
    <x v="1"/>
    <x v="0"/>
  </r>
  <r>
    <d v="2011-11-26T00:00:00"/>
    <s v="018-2220-000"/>
    <s v="Beer Sales"/>
    <n v="657.34199999999987"/>
    <n v="0"/>
    <s v="Daily Sales Import"/>
    <n v="-657.34199999999987"/>
    <n v="657.34199999999987"/>
    <x v="2"/>
    <s v="2220"/>
    <s v="000"/>
    <x v="1"/>
    <x v="0"/>
  </r>
  <r>
    <d v="2011-11-26T00:00:00"/>
    <s v="018-2230-000"/>
    <s v="Wine Sales"/>
    <n v="77.210999999999999"/>
    <n v="0"/>
    <s v="Daily Sales Import"/>
    <n v="-77.210999999999999"/>
    <n v="77.210999999999999"/>
    <x v="2"/>
    <s v="2230"/>
    <s v="000"/>
    <x v="1"/>
    <x v="0"/>
  </r>
  <r>
    <d v="2011-11-27T00:00:00"/>
    <s v="018-2100-000"/>
    <s v="Food Sales"/>
    <n v="4928.2374"/>
    <n v="0"/>
    <s v="Daily Sales Import"/>
    <n v="-4928.2374"/>
    <n v="4928.2374"/>
    <x v="2"/>
    <s v="2100"/>
    <s v="000"/>
    <x v="1"/>
    <x v="0"/>
  </r>
  <r>
    <d v="2011-11-27T00:00:00"/>
    <s v="018-2210-000"/>
    <s v="Liquor Sales"/>
    <n v="575.46"/>
    <n v="0"/>
    <s v="Daily Sales Import"/>
    <n v="-575.46"/>
    <n v="575.46"/>
    <x v="2"/>
    <s v="2210"/>
    <s v="000"/>
    <x v="1"/>
    <x v="0"/>
  </r>
  <r>
    <d v="2011-11-27T00:00:00"/>
    <s v="018-2220-000"/>
    <s v="Beer Sales"/>
    <n v="191.565"/>
    <n v="0"/>
    <s v="Daily Sales Import"/>
    <n v="-191.565"/>
    <n v="191.565"/>
    <x v="2"/>
    <s v="2220"/>
    <s v="000"/>
    <x v="1"/>
    <x v="0"/>
  </r>
  <r>
    <d v="2011-11-27T00:00:00"/>
    <s v="018-2230-000"/>
    <s v="Wine Sales"/>
    <n v="57.353999999999999"/>
    <n v="0"/>
    <s v="Daily Sales Import"/>
    <n v="-57.353999999999999"/>
    <n v="57.353999999999999"/>
    <x v="2"/>
    <s v="2230"/>
    <s v="000"/>
    <x v="1"/>
    <x v="0"/>
  </r>
  <r>
    <d v="2011-11-28T00:00:00"/>
    <s v="016-2100-000"/>
    <s v="Food Sales"/>
    <n v="2824.3424"/>
    <n v="0"/>
    <s v="Daily Sales Import"/>
    <n v="-2824.3424"/>
    <n v="2824.3424"/>
    <x v="0"/>
    <s v="2100"/>
    <s v="000"/>
    <x v="1"/>
    <x v="0"/>
  </r>
  <r>
    <d v="2011-11-28T00:00:00"/>
    <s v="016-2210-000"/>
    <s v="Liquor Sales"/>
    <n v="521.77800000000002"/>
    <n v="0"/>
    <s v="Daily Sales Import"/>
    <n v="-521.77800000000002"/>
    <n v="521.77800000000002"/>
    <x v="0"/>
    <s v="2210"/>
    <s v="000"/>
    <x v="1"/>
    <x v="0"/>
  </r>
  <r>
    <d v="2011-11-28T00:00:00"/>
    <s v="016-2220-000"/>
    <s v="Beer Sales"/>
    <n v="39.974999999999994"/>
    <n v="0"/>
    <s v="Daily Sales Import"/>
    <n v="-39.974999999999994"/>
    <n v="39.974999999999994"/>
    <x v="0"/>
    <s v="2220"/>
    <s v="000"/>
    <x v="1"/>
    <x v="0"/>
  </r>
  <r>
    <d v="2011-11-28T00:00:00"/>
    <s v="016-2230-000"/>
    <s v="Wine Sales"/>
    <n v="99.417500000000004"/>
    <n v="0"/>
    <s v="Daily Sales Import"/>
    <n v="-99.417500000000004"/>
    <n v="99.417500000000004"/>
    <x v="0"/>
    <s v="2230"/>
    <s v="000"/>
    <x v="1"/>
    <x v="0"/>
  </r>
  <r>
    <d v="2011-11-29T00:00:00"/>
    <s v="016-2100-000"/>
    <s v="Food Sales"/>
    <n v="2489.2764000000002"/>
    <n v="0"/>
    <s v="Daily Sales Import"/>
    <n v="-2489.2764000000002"/>
    <n v="2489.2764000000002"/>
    <x v="0"/>
    <s v="2100"/>
    <s v="000"/>
    <x v="1"/>
    <x v="0"/>
  </r>
  <r>
    <d v="2011-11-29T00:00:00"/>
    <s v="016-2210-000"/>
    <s v="Liquor Sales"/>
    <n v="855.32999999999993"/>
    <n v="0"/>
    <s v="Daily Sales Import"/>
    <n v="-855.32999999999993"/>
    <n v="855.32999999999993"/>
    <x v="0"/>
    <s v="2210"/>
    <s v="000"/>
    <x v="1"/>
    <x v="0"/>
  </r>
  <r>
    <d v="2011-11-29T00:00:00"/>
    <s v="016-2220-000"/>
    <s v="Beer Sales"/>
    <n v="127.92600000000002"/>
    <n v="0"/>
    <s v="Daily Sales Import"/>
    <n v="-127.92600000000002"/>
    <n v="127.92600000000002"/>
    <x v="0"/>
    <s v="2220"/>
    <s v="000"/>
    <x v="1"/>
    <x v="0"/>
  </r>
  <r>
    <d v="2011-11-29T00:00:00"/>
    <s v="016-2230-000"/>
    <s v="Wine Sales"/>
    <n v="38.335500000000003"/>
    <n v="0"/>
    <s v="Daily Sales Import"/>
    <n v="-38.335500000000003"/>
    <n v="38.335500000000003"/>
    <x v="0"/>
    <s v="2230"/>
    <s v="000"/>
    <x v="1"/>
    <x v="0"/>
  </r>
  <r>
    <d v="2011-11-30T00:00:00"/>
    <s v="016-2100-000"/>
    <s v="Food Sales"/>
    <n v="2662.2673"/>
    <n v="0"/>
    <s v="Daily Sales Import"/>
    <n v="-2662.2673"/>
    <n v="2662.2673"/>
    <x v="0"/>
    <s v="2100"/>
    <s v="000"/>
    <x v="1"/>
    <x v="0"/>
  </r>
  <r>
    <d v="2011-11-30T00:00:00"/>
    <s v="016-2210-000"/>
    <s v="Liquor Sales"/>
    <n v="666.66599999999994"/>
    <n v="0"/>
    <s v="Daily Sales Import"/>
    <n v="-666.66599999999994"/>
    <n v="666.66599999999994"/>
    <x v="0"/>
    <s v="2210"/>
    <s v="000"/>
    <x v="1"/>
    <x v="0"/>
  </r>
  <r>
    <d v="2011-11-30T00:00:00"/>
    <s v="016-2220-000"/>
    <s v="Beer Sales"/>
    <n v="104.39999999999999"/>
    <n v="0"/>
    <s v="Daily Sales Import"/>
    <n v="-104.39999999999999"/>
    <n v="104.39999999999999"/>
    <x v="0"/>
    <s v="2220"/>
    <s v="000"/>
    <x v="1"/>
    <x v="0"/>
  </r>
  <r>
    <d v="2011-11-30T00:00:00"/>
    <s v="016-2230-000"/>
    <s v="Wine Sales"/>
    <n v="113.23800000000001"/>
    <n v="0"/>
    <s v="Daily Sales Import"/>
    <n v="-113.23800000000001"/>
    <n v="113.23800000000001"/>
    <x v="0"/>
    <s v="2230"/>
    <s v="000"/>
    <x v="1"/>
    <x v="0"/>
  </r>
  <r>
    <d v="2011-12-01T00:00:00"/>
    <s v="016-2100-000"/>
    <s v="Food Sales"/>
    <n v="2985.1889999999999"/>
    <n v="0"/>
    <s v="Daily Sales Import"/>
    <n v="-2985.1889999999999"/>
    <n v="2985.1889999999999"/>
    <x v="0"/>
    <s v="2100"/>
    <s v="000"/>
    <x v="2"/>
    <x v="0"/>
  </r>
  <r>
    <d v="2011-12-01T00:00:00"/>
    <s v="016-2210-000"/>
    <s v="Liquor Sales"/>
    <n v="840.87199999999996"/>
    <n v="0"/>
    <s v="Daily Sales Import"/>
    <n v="-840.87199999999996"/>
    <n v="840.87199999999996"/>
    <x v="0"/>
    <s v="2210"/>
    <s v="000"/>
    <x v="2"/>
    <x v="0"/>
  </r>
  <r>
    <d v="2011-12-01T00:00:00"/>
    <s v="016-2220-000"/>
    <s v="Beer Sales"/>
    <n v="114.36749999999999"/>
    <n v="0"/>
    <s v="Daily Sales Import"/>
    <n v="-114.36749999999999"/>
    <n v="114.36749999999999"/>
    <x v="0"/>
    <s v="2220"/>
    <s v="000"/>
    <x v="2"/>
    <x v="0"/>
  </r>
  <r>
    <d v="2011-12-01T00:00:00"/>
    <s v="016-2230-000"/>
    <s v="Wine Sales"/>
    <n v="61.489999999999995"/>
    <n v="0"/>
    <s v="Daily Sales Import"/>
    <n v="-61.489999999999995"/>
    <n v="61.489999999999995"/>
    <x v="0"/>
    <s v="2230"/>
    <s v="000"/>
    <x v="2"/>
    <x v="0"/>
  </r>
  <r>
    <d v="2011-12-02T00:00:00"/>
    <s v="016-2100-000"/>
    <s v="Food Sales"/>
    <n v="4610.9187999999995"/>
    <n v="0"/>
    <s v="Daily Sales Import"/>
    <n v="-4610.9187999999995"/>
    <n v="4610.9187999999995"/>
    <x v="0"/>
    <s v="2100"/>
    <s v="000"/>
    <x v="2"/>
    <x v="0"/>
  </r>
  <r>
    <d v="2011-12-02T00:00:00"/>
    <s v="016-2210-000"/>
    <s v="Liquor Sales"/>
    <n v="2540.0319999999997"/>
    <n v="0"/>
    <s v="Daily Sales Import"/>
    <n v="-2540.0319999999997"/>
    <n v="2540.0319999999997"/>
    <x v="0"/>
    <s v="2210"/>
    <s v="000"/>
    <x v="2"/>
    <x v="0"/>
  </r>
  <r>
    <d v="2011-12-02T00:00:00"/>
    <s v="016-2220-000"/>
    <s v="Beer Sales"/>
    <n v="310.55399999999997"/>
    <n v="0"/>
    <s v="Daily Sales Import"/>
    <n v="-310.55399999999997"/>
    <n v="310.55399999999997"/>
    <x v="0"/>
    <s v="2220"/>
    <s v="000"/>
    <x v="2"/>
    <x v="0"/>
  </r>
  <r>
    <d v="2011-12-02T00:00:00"/>
    <s v="016-2230-000"/>
    <s v="Wine Sales"/>
    <n v="305.5"/>
    <n v="0"/>
    <s v="Daily Sales Import"/>
    <n v="-305.5"/>
    <n v="305.5"/>
    <x v="0"/>
    <s v="2230"/>
    <s v="000"/>
    <x v="2"/>
    <x v="0"/>
  </r>
  <r>
    <d v="2011-12-03T00:00:00"/>
    <s v="016-2100-000"/>
    <s v="Food Sales"/>
    <n v="7146.1079999999993"/>
    <n v="0"/>
    <s v="Daily Sales Import"/>
    <n v="-7146.1079999999993"/>
    <n v="7146.1079999999993"/>
    <x v="0"/>
    <s v="2100"/>
    <s v="000"/>
    <x v="2"/>
    <x v="0"/>
  </r>
  <r>
    <d v="2011-12-03T00:00:00"/>
    <s v="016-2210-000"/>
    <s v="Liquor Sales"/>
    <n v="2654.6765"/>
    <n v="0"/>
    <s v="Daily Sales Import"/>
    <n v="-2654.6765"/>
    <n v="2654.6765"/>
    <x v="0"/>
    <s v="2210"/>
    <s v="000"/>
    <x v="2"/>
    <x v="0"/>
  </r>
  <r>
    <d v="2011-12-03T00:00:00"/>
    <s v="016-2220-000"/>
    <s v="Beer Sales"/>
    <n v="396.74250000000006"/>
    <n v="0"/>
    <s v="Daily Sales Import"/>
    <n v="-396.74250000000006"/>
    <n v="396.74250000000006"/>
    <x v="0"/>
    <s v="2220"/>
    <s v="000"/>
    <x v="2"/>
    <x v="0"/>
  </r>
  <r>
    <d v="2011-12-03T00:00:00"/>
    <s v="016-2230-000"/>
    <s v="Wine Sales"/>
    <n v="325.24799999999999"/>
    <n v="0"/>
    <s v="Daily Sales Import"/>
    <n v="-325.24799999999999"/>
    <n v="325.24799999999999"/>
    <x v="0"/>
    <s v="2230"/>
    <s v="000"/>
    <x v="2"/>
    <x v="0"/>
  </r>
  <r>
    <d v="2011-12-04T00:00:00"/>
    <s v="016-2100-000"/>
    <s v="Food Sales"/>
    <n v="3266.835"/>
    <n v="0"/>
    <s v="Daily Sales Import"/>
    <n v="-3266.835"/>
    <n v="3266.835"/>
    <x v="0"/>
    <s v="2100"/>
    <s v="000"/>
    <x v="2"/>
    <x v="0"/>
  </r>
  <r>
    <d v="2011-12-04T00:00:00"/>
    <s v="016-2210-000"/>
    <s v="Liquor Sales"/>
    <n v="641.71800000000007"/>
    <n v="0"/>
    <s v="Daily Sales Import"/>
    <n v="-641.71800000000007"/>
    <n v="641.71800000000007"/>
    <x v="0"/>
    <s v="2210"/>
    <s v="000"/>
    <x v="2"/>
    <x v="0"/>
  </r>
  <r>
    <d v="2011-12-04T00:00:00"/>
    <s v="016-2220-000"/>
    <s v="Beer Sales"/>
    <n v="230.89500000000001"/>
    <n v="0"/>
    <s v="Daily Sales Import"/>
    <n v="-230.89500000000001"/>
    <n v="230.89500000000001"/>
    <x v="0"/>
    <s v="2220"/>
    <s v="000"/>
    <x v="2"/>
    <x v="0"/>
  </r>
  <r>
    <d v="2011-12-04T00:00:00"/>
    <s v="016-2230-000"/>
    <s v="Wine Sales"/>
    <n v="78.027499999999989"/>
    <n v="0"/>
    <s v="Daily Sales Import"/>
    <n v="-78.027499999999989"/>
    <n v="78.027499999999989"/>
    <x v="0"/>
    <s v="2230"/>
    <s v="000"/>
    <x v="2"/>
    <x v="0"/>
  </r>
  <r>
    <d v="2011-11-28T00:00:00"/>
    <s v="017-2100-000"/>
    <s v="Food Sales"/>
    <n v="3724.1010000000001"/>
    <n v="0"/>
    <s v="Daily Sales Import"/>
    <n v="-3724.1010000000001"/>
    <n v="3724.1010000000001"/>
    <x v="1"/>
    <s v="2100"/>
    <s v="000"/>
    <x v="1"/>
    <x v="0"/>
  </r>
  <r>
    <d v="2011-11-28T00:00:00"/>
    <s v="017-2210-000"/>
    <s v="Liquor Sales"/>
    <n v="713.62099999999998"/>
    <n v="0"/>
    <s v="Daily Sales Import"/>
    <n v="-713.62099999999998"/>
    <n v="713.62099999999998"/>
    <x v="1"/>
    <s v="2210"/>
    <s v="000"/>
    <x v="1"/>
    <x v="0"/>
  </r>
  <r>
    <d v="2011-11-28T00:00:00"/>
    <s v="017-2220-000"/>
    <s v="Beer Sales"/>
    <n v="256.89999999999998"/>
    <n v="0"/>
    <s v="Daily Sales Import"/>
    <n v="-256.89999999999998"/>
    <n v="256.89999999999998"/>
    <x v="1"/>
    <s v="2220"/>
    <s v="000"/>
    <x v="1"/>
    <x v="0"/>
  </r>
  <r>
    <d v="2011-11-28T00:00:00"/>
    <s v="017-2230-000"/>
    <s v="Wine Sales"/>
    <n v="22.308"/>
    <n v="0"/>
    <s v="Daily Sales Import"/>
    <n v="-22.308"/>
    <n v="22.308"/>
    <x v="1"/>
    <s v="2230"/>
    <s v="000"/>
    <x v="1"/>
    <x v="0"/>
  </r>
  <r>
    <d v="2011-11-29T00:00:00"/>
    <s v="017-2100-000"/>
    <s v="Food Sales"/>
    <n v="4314.7424999999994"/>
    <n v="0"/>
    <s v="Daily Sales Import"/>
    <n v="-4314.7424999999994"/>
    <n v="4314.7424999999994"/>
    <x v="1"/>
    <s v="2100"/>
    <s v="000"/>
    <x v="1"/>
    <x v="0"/>
  </r>
  <r>
    <d v="2011-11-29T00:00:00"/>
    <s v="017-2210-000"/>
    <s v="Liquor Sales"/>
    <n v="1224.2239999999999"/>
    <n v="0"/>
    <s v="Daily Sales Import"/>
    <n v="-1224.2239999999999"/>
    <n v="1224.2239999999999"/>
    <x v="1"/>
    <s v="2210"/>
    <s v="000"/>
    <x v="1"/>
    <x v="0"/>
  </r>
  <r>
    <d v="2011-11-29T00:00:00"/>
    <s v="017-2220-000"/>
    <s v="Beer Sales"/>
    <n v="338.86500000000001"/>
    <n v="0"/>
    <s v="Daily Sales Import"/>
    <n v="-338.86500000000001"/>
    <n v="338.86500000000001"/>
    <x v="1"/>
    <s v="2220"/>
    <s v="000"/>
    <x v="1"/>
    <x v="0"/>
  </r>
  <r>
    <d v="2011-11-29T00:00:00"/>
    <s v="017-2230-000"/>
    <s v="Wine Sales"/>
    <n v="97.845000000000013"/>
    <n v="0"/>
    <s v="Daily Sales Import"/>
    <n v="-97.845000000000013"/>
    <n v="97.845000000000013"/>
    <x v="1"/>
    <s v="2230"/>
    <s v="000"/>
    <x v="1"/>
    <x v="0"/>
  </r>
  <r>
    <d v="2011-11-30T00:00:00"/>
    <s v="017-2100-000"/>
    <s v="Food Sales"/>
    <n v="6092.4031999999997"/>
    <n v="0"/>
    <s v="Daily Sales Import"/>
    <n v="-6092.4031999999997"/>
    <n v="6092.4031999999997"/>
    <x v="1"/>
    <s v="2100"/>
    <s v="000"/>
    <x v="1"/>
    <x v="0"/>
  </r>
  <r>
    <d v="2011-11-30T00:00:00"/>
    <s v="017-2210-000"/>
    <s v="Liquor Sales"/>
    <n v="1150.826"/>
    <n v="0"/>
    <s v="Daily Sales Import"/>
    <n v="-1150.826"/>
    <n v="1150.826"/>
    <x v="1"/>
    <s v="2210"/>
    <s v="000"/>
    <x v="1"/>
    <x v="0"/>
  </r>
  <r>
    <d v="2011-11-30T00:00:00"/>
    <s v="017-2220-000"/>
    <s v="Beer Sales"/>
    <n v="461.44000000000005"/>
    <n v="0"/>
    <s v="Daily Sales Import"/>
    <n v="-461.44000000000005"/>
    <n v="461.44000000000005"/>
    <x v="1"/>
    <s v="2220"/>
    <s v="000"/>
    <x v="1"/>
    <x v="0"/>
  </r>
  <r>
    <d v="2011-11-30T00:00:00"/>
    <s v="017-2230-000"/>
    <s v="Wine Sales"/>
    <n v="208.16299999999998"/>
    <n v="0"/>
    <s v="Daily Sales Import"/>
    <n v="-208.16299999999998"/>
    <n v="208.16299999999998"/>
    <x v="1"/>
    <s v="2230"/>
    <s v="000"/>
    <x v="1"/>
    <x v="0"/>
  </r>
  <r>
    <d v="2011-12-01T00:00:00"/>
    <s v="017-2100-000"/>
    <s v="Food Sales"/>
    <n v="5494.72"/>
    <n v="0"/>
    <s v="Daily Sales Import"/>
    <n v="-5494.72"/>
    <n v="5494.72"/>
    <x v="1"/>
    <s v="2100"/>
    <s v="000"/>
    <x v="2"/>
    <x v="0"/>
  </r>
  <r>
    <d v="2011-12-01T00:00:00"/>
    <s v="017-2210-000"/>
    <s v="Liquor Sales"/>
    <n v="2015.6280000000002"/>
    <n v="0"/>
    <s v="Daily Sales Import"/>
    <n v="-2015.6280000000002"/>
    <n v="2015.6280000000002"/>
    <x v="1"/>
    <s v="2210"/>
    <s v="000"/>
    <x v="2"/>
    <x v="0"/>
  </r>
  <r>
    <d v="2011-12-01T00:00:00"/>
    <s v="017-2220-000"/>
    <s v="Beer Sales"/>
    <n v="651.56000000000006"/>
    <n v="0"/>
    <s v="Daily Sales Import"/>
    <n v="-651.56000000000006"/>
    <n v="651.56000000000006"/>
    <x v="1"/>
    <s v="2220"/>
    <s v="000"/>
    <x v="2"/>
    <x v="0"/>
  </r>
  <r>
    <d v="2011-12-01T00:00:00"/>
    <s v="017-2230-000"/>
    <s v="Wine Sales"/>
    <n v="146.13749999999999"/>
    <n v="0"/>
    <s v="Daily Sales Import"/>
    <n v="-146.13749999999999"/>
    <n v="146.13749999999999"/>
    <x v="1"/>
    <s v="2230"/>
    <s v="000"/>
    <x v="2"/>
    <x v="0"/>
  </r>
  <r>
    <d v="2011-12-02T00:00:00"/>
    <s v="017-2100-000"/>
    <s v="Food Sales"/>
    <n v="7403.9865"/>
    <n v="0"/>
    <s v="Daily Sales Import"/>
    <n v="-7403.9865"/>
    <n v="7403.9865"/>
    <x v="1"/>
    <s v="2100"/>
    <s v="000"/>
    <x v="2"/>
    <x v="0"/>
  </r>
  <r>
    <d v="2011-12-02T00:00:00"/>
    <s v="017-2210-000"/>
    <s v="Liquor Sales"/>
    <n v="3493.76"/>
    <n v="0"/>
    <s v="Daily Sales Import"/>
    <n v="-3493.76"/>
    <n v="3493.76"/>
    <x v="1"/>
    <s v="2210"/>
    <s v="000"/>
    <x v="2"/>
    <x v="0"/>
  </r>
  <r>
    <d v="2011-12-02T00:00:00"/>
    <s v="017-2220-000"/>
    <s v="Beer Sales"/>
    <n v="860.40000000000009"/>
    <n v="0"/>
    <s v="Daily Sales Import"/>
    <n v="-860.40000000000009"/>
    <n v="860.40000000000009"/>
    <x v="1"/>
    <s v="2220"/>
    <s v="000"/>
    <x v="2"/>
    <x v="0"/>
  </r>
  <r>
    <d v="2011-12-02T00:00:00"/>
    <s v="017-2230-000"/>
    <s v="Wine Sales"/>
    <n v="415.33199999999994"/>
    <n v="0"/>
    <s v="Daily Sales Import"/>
    <n v="-415.33199999999994"/>
    <n v="415.33199999999994"/>
    <x v="1"/>
    <s v="2230"/>
    <s v="000"/>
    <x v="2"/>
    <x v="0"/>
  </r>
  <r>
    <d v="2011-12-03T00:00:00"/>
    <s v="017-2100-000"/>
    <s v="Food Sales"/>
    <n v="7464.02"/>
    <n v="0"/>
    <s v="Daily Sales Import"/>
    <n v="-7464.02"/>
    <n v="7464.02"/>
    <x v="1"/>
    <s v="2100"/>
    <s v="000"/>
    <x v="2"/>
    <x v="0"/>
  </r>
  <r>
    <d v="2011-12-03T00:00:00"/>
    <s v="017-2210-000"/>
    <s v="Liquor Sales"/>
    <n v="1149.6870000000001"/>
    <n v="0"/>
    <s v="Daily Sales Import"/>
    <n v="-1149.6870000000001"/>
    <n v="1149.6870000000001"/>
    <x v="1"/>
    <s v="2210"/>
    <s v="000"/>
    <x v="2"/>
    <x v="0"/>
  </r>
  <r>
    <d v="2011-12-03T00:00:00"/>
    <s v="017-2220-000"/>
    <s v="Beer Sales"/>
    <n v="286.75"/>
    <n v="0"/>
    <s v="Daily Sales Import"/>
    <n v="-286.75"/>
    <n v="286.75"/>
    <x v="1"/>
    <s v="2220"/>
    <s v="000"/>
    <x v="2"/>
    <x v="0"/>
  </r>
  <r>
    <d v="2011-12-03T00:00:00"/>
    <s v="017-2230-000"/>
    <s v="Wine Sales"/>
    <n v="118.52850000000001"/>
    <n v="0"/>
    <s v="Daily Sales Import"/>
    <n v="-118.52850000000001"/>
    <n v="118.52850000000001"/>
    <x v="1"/>
    <s v="2230"/>
    <s v="000"/>
    <x v="2"/>
    <x v="0"/>
  </r>
  <r>
    <d v="2011-12-04T00:00:00"/>
    <s v="017-2100-000"/>
    <s v="Food Sales"/>
    <n v="4774.8189999999995"/>
    <n v="0"/>
    <s v="Daily Sales Import"/>
    <n v="-4774.8189999999995"/>
    <n v="4774.8189999999995"/>
    <x v="1"/>
    <s v="2100"/>
    <s v="000"/>
    <x v="2"/>
    <x v="0"/>
  </r>
  <r>
    <d v="2011-12-04T00:00:00"/>
    <s v="017-2210-000"/>
    <s v="Liquor Sales"/>
    <n v="771.476"/>
    <n v="0"/>
    <s v="Daily Sales Import"/>
    <n v="-771.476"/>
    <n v="771.476"/>
    <x v="1"/>
    <s v="2210"/>
    <s v="000"/>
    <x v="2"/>
    <x v="0"/>
  </r>
  <r>
    <d v="2011-12-04T00:00:00"/>
    <s v="017-2220-000"/>
    <s v="Beer Sales"/>
    <n v="197.14500000000001"/>
    <n v="0"/>
    <s v="Daily Sales Import"/>
    <n v="-197.14500000000001"/>
    <n v="197.14500000000001"/>
    <x v="1"/>
    <s v="2220"/>
    <s v="000"/>
    <x v="2"/>
    <x v="0"/>
  </r>
  <r>
    <d v="2011-12-04T00:00:00"/>
    <s v="017-2230-000"/>
    <s v="Wine Sales"/>
    <n v="101.2"/>
    <n v="0"/>
    <s v="Daily Sales Import"/>
    <n v="-101.2"/>
    <n v="101.2"/>
    <x v="1"/>
    <s v="2230"/>
    <s v="000"/>
    <x v="2"/>
    <x v="0"/>
  </r>
  <r>
    <d v="2011-11-28T00:00:00"/>
    <s v="018-2100-000"/>
    <s v="Food Sales"/>
    <n v="2665.0884000000001"/>
    <n v="0"/>
    <s v="Daily Sales Import"/>
    <n v="-2665.0884000000001"/>
    <n v="2665.0884000000001"/>
    <x v="2"/>
    <s v="2100"/>
    <s v="000"/>
    <x v="1"/>
    <x v="0"/>
  </r>
  <r>
    <d v="2011-11-28T00:00:00"/>
    <s v="018-2210-000"/>
    <s v="Liquor Sales"/>
    <n v="317.45"/>
    <n v="0"/>
    <s v="Daily Sales Import"/>
    <n v="-317.45"/>
    <n v="317.45"/>
    <x v="2"/>
    <s v="2210"/>
    <s v="000"/>
    <x v="1"/>
    <x v="0"/>
  </r>
  <r>
    <d v="2011-11-28T00:00:00"/>
    <s v="018-2220-000"/>
    <s v="Beer Sales"/>
    <n v="75.295000000000002"/>
    <n v="0"/>
    <s v="Daily Sales Import"/>
    <n v="-75.295000000000002"/>
    <n v="75.295000000000002"/>
    <x v="2"/>
    <s v="2220"/>
    <s v="000"/>
    <x v="1"/>
    <x v="0"/>
  </r>
  <r>
    <d v="2011-11-28T00:00:00"/>
    <s v="018-2230-000"/>
    <s v="Wine Sales"/>
    <n v="40.014000000000003"/>
    <n v="0"/>
    <s v="Daily Sales Import"/>
    <n v="-40.014000000000003"/>
    <n v="40.014000000000003"/>
    <x v="2"/>
    <s v="2230"/>
    <s v="000"/>
    <x v="1"/>
    <x v="0"/>
  </r>
  <r>
    <d v="2011-11-29T00:00:00"/>
    <s v="018-2100-000"/>
    <s v="Food Sales"/>
    <n v="2875.2107999999998"/>
    <n v="0"/>
    <s v="Daily Sales Import"/>
    <n v="-2875.2107999999998"/>
    <n v="2875.2107999999998"/>
    <x v="2"/>
    <s v="2100"/>
    <s v="000"/>
    <x v="1"/>
    <x v="0"/>
  </r>
  <r>
    <d v="2011-11-29T00:00:00"/>
    <s v="018-2210-000"/>
    <s v="Liquor Sales"/>
    <n v="411.262"/>
    <n v="0"/>
    <s v="Daily Sales Import"/>
    <n v="-411.262"/>
    <n v="411.262"/>
    <x v="2"/>
    <s v="2210"/>
    <s v="000"/>
    <x v="1"/>
    <x v="0"/>
  </r>
  <r>
    <d v="2011-11-29T00:00:00"/>
    <s v="018-2220-000"/>
    <s v="Beer Sales"/>
    <n v="36.712500000000006"/>
    <n v="0"/>
    <s v="Daily Sales Import"/>
    <n v="-36.712500000000006"/>
    <n v="36.712500000000006"/>
    <x v="2"/>
    <s v="2220"/>
    <s v="000"/>
    <x v="1"/>
    <x v="0"/>
  </r>
  <r>
    <d v="2011-11-29T00:00:00"/>
    <s v="018-2230-000"/>
    <s v="Wine Sales"/>
    <n v="65.84"/>
    <n v="0"/>
    <s v="Daily Sales Import"/>
    <n v="-65.84"/>
    <n v="65.84"/>
    <x v="2"/>
    <s v="2230"/>
    <s v="000"/>
    <x v="1"/>
    <x v="0"/>
  </r>
  <r>
    <d v="2011-11-30T00:00:00"/>
    <s v="018-2100-000"/>
    <s v="Food Sales"/>
    <n v="3895.3904000000002"/>
    <n v="0"/>
    <s v="Daily Sales Import"/>
    <n v="-3895.3904000000002"/>
    <n v="3895.3904000000002"/>
    <x v="2"/>
    <s v="2100"/>
    <s v="000"/>
    <x v="1"/>
    <x v="0"/>
  </r>
  <r>
    <d v="2011-11-30T00:00:00"/>
    <s v="018-2210-000"/>
    <s v="Liquor Sales"/>
    <n v="588"/>
    <n v="0"/>
    <s v="Daily Sales Import"/>
    <n v="-588"/>
    <n v="588"/>
    <x v="2"/>
    <s v="2210"/>
    <s v="000"/>
    <x v="1"/>
    <x v="0"/>
  </r>
  <r>
    <d v="2011-11-30T00:00:00"/>
    <s v="018-2220-000"/>
    <s v="Beer Sales"/>
    <n v="149.25450000000001"/>
    <n v="0"/>
    <s v="Daily Sales Import"/>
    <n v="-149.25450000000001"/>
    <n v="149.25450000000001"/>
    <x v="2"/>
    <s v="2220"/>
    <s v="000"/>
    <x v="1"/>
    <x v="0"/>
  </r>
  <r>
    <d v="2011-11-30T00:00:00"/>
    <s v="018-2230-000"/>
    <s v="Wine Sales"/>
    <n v="74.897999999999996"/>
    <n v="0"/>
    <s v="Daily Sales Import"/>
    <n v="-74.897999999999996"/>
    <n v="74.897999999999996"/>
    <x v="2"/>
    <s v="2230"/>
    <s v="000"/>
    <x v="1"/>
    <x v="0"/>
  </r>
  <r>
    <d v="2011-12-01T00:00:00"/>
    <s v="018-2100-000"/>
    <s v="Food Sales"/>
    <n v="2970.7275000000004"/>
    <n v="0"/>
    <s v="Daily Sales Import"/>
    <n v="-2970.7275000000004"/>
    <n v="2970.7275000000004"/>
    <x v="2"/>
    <s v="2100"/>
    <s v="000"/>
    <x v="2"/>
    <x v="0"/>
  </r>
  <r>
    <d v="2011-12-01T00:00:00"/>
    <s v="018-2210-000"/>
    <s v="Liquor Sales"/>
    <n v="701.34900000000005"/>
    <n v="0"/>
    <s v="Daily Sales Import"/>
    <n v="-701.34900000000005"/>
    <n v="701.34900000000005"/>
    <x v="2"/>
    <s v="2210"/>
    <s v="000"/>
    <x v="2"/>
    <x v="0"/>
  </r>
  <r>
    <d v="2011-12-01T00:00:00"/>
    <s v="018-2220-000"/>
    <s v="Beer Sales"/>
    <n v="99.717999999999989"/>
    <n v="0"/>
    <s v="Daily Sales Import"/>
    <n v="-99.717999999999989"/>
    <n v="99.717999999999989"/>
    <x v="2"/>
    <s v="2220"/>
    <s v="000"/>
    <x v="2"/>
    <x v="0"/>
  </r>
  <r>
    <d v="2011-12-01T00:00:00"/>
    <s v="018-2230-000"/>
    <s v="Wine Sales"/>
    <n v="87.016000000000005"/>
    <n v="0"/>
    <s v="Daily Sales Import"/>
    <n v="-87.016000000000005"/>
    <n v="87.016000000000005"/>
    <x v="2"/>
    <s v="2230"/>
    <s v="000"/>
    <x v="2"/>
    <x v="0"/>
  </r>
  <r>
    <d v="2011-12-02T00:00:00"/>
    <s v="018-2100-000"/>
    <s v="Food Sales"/>
    <n v="7080.2039999999997"/>
    <n v="0"/>
    <s v="Daily Sales Import"/>
    <n v="-7080.2039999999997"/>
    <n v="7080.2039999999997"/>
    <x v="2"/>
    <s v="2100"/>
    <s v="000"/>
    <x v="2"/>
    <x v="0"/>
  </r>
  <r>
    <d v="2011-12-02T00:00:00"/>
    <s v="018-2210-000"/>
    <s v="Liquor Sales"/>
    <n v="2255.3520000000003"/>
    <n v="0"/>
    <s v="Daily Sales Import"/>
    <n v="-2255.3520000000003"/>
    <n v="2255.3520000000003"/>
    <x v="2"/>
    <s v="2210"/>
    <s v="000"/>
    <x v="2"/>
    <x v="0"/>
  </r>
  <r>
    <d v="2011-12-02T00:00:00"/>
    <s v="018-2220-000"/>
    <s v="Beer Sales"/>
    <n v="460.25400000000002"/>
    <n v="0"/>
    <s v="Daily Sales Import"/>
    <n v="-460.25400000000002"/>
    <n v="460.25400000000002"/>
    <x v="2"/>
    <s v="2220"/>
    <s v="000"/>
    <x v="2"/>
    <x v="0"/>
  </r>
  <r>
    <d v="2011-12-02T00:00:00"/>
    <s v="018-2230-000"/>
    <s v="Wine Sales"/>
    <n v="100.80000000000001"/>
    <n v="0"/>
    <s v="Daily Sales Import"/>
    <n v="-100.80000000000001"/>
    <n v="100.80000000000001"/>
    <x v="2"/>
    <s v="2230"/>
    <s v="000"/>
    <x v="2"/>
    <x v="0"/>
  </r>
  <r>
    <d v="2011-12-03T00:00:00"/>
    <s v="018-2100-000"/>
    <s v="Food Sales"/>
    <n v="9338.1476000000002"/>
    <n v="0"/>
    <s v="Daily Sales Import"/>
    <n v="-9338.1476000000002"/>
    <n v="9338.1476000000002"/>
    <x v="2"/>
    <s v="2100"/>
    <s v="000"/>
    <x v="2"/>
    <x v="0"/>
  </r>
  <r>
    <d v="2011-12-03T00:00:00"/>
    <s v="018-2210-000"/>
    <s v="Liquor Sales"/>
    <n v="2093.7249999999999"/>
    <n v="0"/>
    <s v="Daily Sales Import"/>
    <n v="-2093.7249999999999"/>
    <n v="2093.7249999999999"/>
    <x v="2"/>
    <s v="2210"/>
    <s v="000"/>
    <x v="2"/>
    <x v="0"/>
  </r>
  <r>
    <d v="2011-12-03T00:00:00"/>
    <s v="018-2220-000"/>
    <s v="Beer Sales"/>
    <n v="338.18400000000003"/>
    <n v="0"/>
    <s v="Daily Sales Import"/>
    <n v="-338.18400000000003"/>
    <n v="338.18400000000003"/>
    <x v="2"/>
    <s v="2220"/>
    <s v="000"/>
    <x v="2"/>
    <x v="0"/>
  </r>
  <r>
    <d v="2011-12-03T00:00:00"/>
    <s v="018-2230-000"/>
    <s v="Wine Sales"/>
    <n v="39.101999999999997"/>
    <n v="0"/>
    <s v="Daily Sales Import"/>
    <n v="-39.101999999999997"/>
    <n v="39.101999999999997"/>
    <x v="2"/>
    <s v="2230"/>
    <s v="000"/>
    <x v="2"/>
    <x v="0"/>
  </r>
  <r>
    <d v="2011-12-04T00:00:00"/>
    <s v="018-2100-000"/>
    <s v="Food Sales"/>
    <n v="4743.7965000000004"/>
    <n v="0"/>
    <s v="Daily Sales Import"/>
    <n v="-4743.7965000000004"/>
    <n v="4743.7965000000004"/>
    <x v="2"/>
    <s v="2100"/>
    <s v="000"/>
    <x v="2"/>
    <x v="0"/>
  </r>
  <r>
    <d v="2011-12-04T00:00:00"/>
    <s v="018-2210-000"/>
    <s v="Liquor Sales"/>
    <n v="707.39700000000005"/>
    <n v="0"/>
    <s v="Daily Sales Import"/>
    <n v="-707.39700000000005"/>
    <n v="707.39700000000005"/>
    <x v="2"/>
    <s v="2210"/>
    <s v="000"/>
    <x v="2"/>
    <x v="0"/>
  </r>
  <r>
    <d v="2011-12-04T00:00:00"/>
    <s v="018-2220-000"/>
    <s v="Beer Sales"/>
    <n v="185.12100000000001"/>
    <n v="0"/>
    <s v="Daily Sales Import"/>
    <n v="-185.12100000000001"/>
    <n v="185.12100000000001"/>
    <x v="2"/>
    <s v="2220"/>
    <s v="000"/>
    <x v="2"/>
    <x v="0"/>
  </r>
  <r>
    <d v="2011-12-04T00:00:00"/>
    <s v="018-2230-000"/>
    <s v="Wine Sales"/>
    <n v="84.727500000000006"/>
    <n v="0"/>
    <s v="Daily Sales Import"/>
    <n v="-84.727500000000006"/>
    <n v="84.727500000000006"/>
    <x v="2"/>
    <s v="2230"/>
    <s v="000"/>
    <x v="2"/>
    <x v="0"/>
  </r>
  <r>
    <d v="2011-12-05T00:00:00"/>
    <s v="016-2100-000"/>
    <s v="Food Sales"/>
    <n v="2924.5609999999997"/>
    <n v="0"/>
    <s v="Daily Sales Import"/>
    <n v="-2924.5609999999997"/>
    <n v="2924.5609999999997"/>
    <x v="0"/>
    <s v="2100"/>
    <s v="000"/>
    <x v="2"/>
    <x v="0"/>
  </r>
  <r>
    <d v="2011-12-05T00:00:00"/>
    <s v="016-2210-000"/>
    <s v="Liquor Sales"/>
    <n v="471.97499999999997"/>
    <n v="0"/>
    <s v="Daily Sales Import"/>
    <n v="-471.97499999999997"/>
    <n v="471.97499999999997"/>
    <x v="0"/>
    <s v="2210"/>
    <s v="000"/>
    <x v="2"/>
    <x v="0"/>
  </r>
  <r>
    <d v="2011-12-05T00:00:00"/>
    <s v="016-2220-000"/>
    <s v="Beer Sales"/>
    <n v="197.73599999999999"/>
    <n v="0"/>
    <s v="Daily Sales Import"/>
    <n v="-197.73599999999999"/>
    <n v="197.73599999999999"/>
    <x v="0"/>
    <s v="2220"/>
    <s v="000"/>
    <x v="2"/>
    <x v="0"/>
  </r>
  <r>
    <d v="2011-12-05T00:00:00"/>
    <s v="016-2230-000"/>
    <s v="Wine Sales"/>
    <n v="102.62949999999999"/>
    <n v="0"/>
    <s v="Daily Sales Import"/>
    <n v="-102.62949999999999"/>
    <n v="102.62949999999999"/>
    <x v="0"/>
    <s v="2230"/>
    <s v="000"/>
    <x v="2"/>
    <x v="0"/>
  </r>
  <r>
    <d v="2011-12-06T00:00:00"/>
    <s v="016-2100-000"/>
    <s v="Food Sales"/>
    <n v="2028.9507999999998"/>
    <n v="0"/>
    <s v="Daily Sales Import"/>
    <n v="-2028.9507999999998"/>
    <n v="2028.9507999999998"/>
    <x v="0"/>
    <s v="2100"/>
    <s v="000"/>
    <x v="2"/>
    <x v="0"/>
  </r>
  <r>
    <d v="2011-12-06T00:00:00"/>
    <s v="016-2210-000"/>
    <s v="Liquor Sales"/>
    <n v="473.79"/>
    <n v="0"/>
    <s v="Daily Sales Import"/>
    <n v="-473.79"/>
    <n v="473.79"/>
    <x v="0"/>
    <s v="2210"/>
    <s v="000"/>
    <x v="2"/>
    <x v="0"/>
  </r>
  <r>
    <d v="2011-12-06T00:00:00"/>
    <s v="016-2220-000"/>
    <s v="Beer Sales"/>
    <n v="61.730999999999995"/>
    <n v="0"/>
    <s v="Daily Sales Import"/>
    <n v="-61.730999999999995"/>
    <n v="61.730999999999995"/>
    <x v="0"/>
    <s v="2220"/>
    <s v="000"/>
    <x v="2"/>
    <x v="0"/>
  </r>
  <r>
    <d v="2011-12-06T00:00:00"/>
    <s v="016-2230-000"/>
    <s v="Wine Sales"/>
    <n v="33.456500000000005"/>
    <n v="0"/>
    <s v="Daily Sales Import"/>
    <n v="-33.456500000000005"/>
    <n v="33.456500000000005"/>
    <x v="0"/>
    <s v="2230"/>
    <s v="000"/>
    <x v="2"/>
    <x v="0"/>
  </r>
  <r>
    <d v="2011-12-07T00:00:00"/>
    <s v="016-2100-000"/>
    <s v="Food Sales"/>
    <n v="3357.3836000000001"/>
    <n v="0"/>
    <s v="Daily Sales Import"/>
    <n v="-3357.3836000000001"/>
    <n v="3357.3836000000001"/>
    <x v="0"/>
    <s v="2100"/>
    <s v="000"/>
    <x v="2"/>
    <x v="0"/>
  </r>
  <r>
    <d v="2011-12-07T00:00:00"/>
    <s v="016-2210-000"/>
    <s v="Liquor Sales"/>
    <n v="803.09100000000001"/>
    <n v="0"/>
    <s v="Daily Sales Import"/>
    <n v="-803.09100000000001"/>
    <n v="803.09100000000001"/>
    <x v="0"/>
    <s v="2210"/>
    <s v="000"/>
    <x v="2"/>
    <x v="0"/>
  </r>
  <r>
    <d v="2011-12-07T00:00:00"/>
    <s v="016-2220-000"/>
    <s v="Beer Sales"/>
    <n v="156.672"/>
    <n v="0"/>
    <s v="Daily Sales Import"/>
    <n v="-156.672"/>
    <n v="156.672"/>
    <x v="0"/>
    <s v="2220"/>
    <s v="000"/>
    <x v="2"/>
    <x v="0"/>
  </r>
  <r>
    <d v="2011-12-07T00:00:00"/>
    <s v="016-2230-000"/>
    <s v="Wine Sales"/>
    <n v="114.646"/>
    <n v="0"/>
    <s v="Daily Sales Import"/>
    <n v="-114.646"/>
    <n v="114.646"/>
    <x v="0"/>
    <s v="2230"/>
    <s v="000"/>
    <x v="2"/>
    <x v="0"/>
  </r>
  <r>
    <d v="2011-12-08T00:00:00"/>
    <s v="016-2100-000"/>
    <s v="Food Sales"/>
    <n v="2819.0639999999999"/>
    <n v="0"/>
    <s v="Daily Sales Import"/>
    <n v="-2819.0639999999999"/>
    <n v="2819.0639999999999"/>
    <x v="0"/>
    <s v="2100"/>
    <s v="000"/>
    <x v="2"/>
    <x v="0"/>
  </r>
  <r>
    <d v="2011-12-08T00:00:00"/>
    <s v="016-2210-000"/>
    <s v="Liquor Sales"/>
    <n v="948.08999999999992"/>
    <n v="0"/>
    <s v="Daily Sales Import"/>
    <n v="-948.08999999999992"/>
    <n v="948.08999999999992"/>
    <x v="0"/>
    <s v="2210"/>
    <s v="000"/>
    <x v="2"/>
    <x v="0"/>
  </r>
  <r>
    <d v="2011-12-08T00:00:00"/>
    <s v="016-2220-000"/>
    <s v="Beer Sales"/>
    <n v="240.38099999999997"/>
    <n v="0"/>
    <s v="Daily Sales Import"/>
    <n v="-240.38099999999997"/>
    <n v="240.38099999999997"/>
    <x v="0"/>
    <s v="2220"/>
    <s v="000"/>
    <x v="2"/>
    <x v="0"/>
  </r>
  <r>
    <d v="2011-12-08T00:00:00"/>
    <s v="016-2230-000"/>
    <s v="Wine Sales"/>
    <n v="150.43"/>
    <n v="0"/>
    <s v="Daily Sales Import"/>
    <n v="-150.43"/>
    <n v="150.43"/>
    <x v="0"/>
    <s v="2230"/>
    <s v="000"/>
    <x v="2"/>
    <x v="0"/>
  </r>
  <r>
    <d v="2011-12-09T00:00:00"/>
    <s v="016-2100-000"/>
    <s v="Food Sales"/>
    <n v="5001.0060000000003"/>
    <n v="0"/>
    <s v="Daily Sales Import"/>
    <n v="-5001.0060000000003"/>
    <n v="5001.0060000000003"/>
    <x v="0"/>
    <s v="2100"/>
    <s v="000"/>
    <x v="2"/>
    <x v="0"/>
  </r>
  <r>
    <d v="2011-12-09T00:00:00"/>
    <s v="016-2210-000"/>
    <s v="Liquor Sales"/>
    <n v="2367.4504999999999"/>
    <n v="0"/>
    <s v="Daily Sales Import"/>
    <n v="-2367.4504999999999"/>
    <n v="2367.4504999999999"/>
    <x v="0"/>
    <s v="2210"/>
    <s v="000"/>
    <x v="2"/>
    <x v="0"/>
  </r>
  <r>
    <d v="2011-12-09T00:00:00"/>
    <s v="016-2220-000"/>
    <s v="Beer Sales"/>
    <n v="613.548"/>
    <n v="0"/>
    <s v="Daily Sales Import"/>
    <n v="-613.548"/>
    <n v="613.548"/>
    <x v="0"/>
    <s v="2220"/>
    <s v="000"/>
    <x v="2"/>
    <x v="0"/>
  </r>
  <r>
    <d v="2011-12-09T00:00:00"/>
    <s v="016-2230-000"/>
    <s v="Wine Sales"/>
    <n v="193.47"/>
    <n v="0"/>
    <s v="Daily Sales Import"/>
    <n v="-193.47"/>
    <n v="193.47"/>
    <x v="0"/>
    <s v="2230"/>
    <s v="000"/>
    <x v="2"/>
    <x v="0"/>
  </r>
  <r>
    <d v="2011-12-10T00:00:00"/>
    <s v="016-2100-000"/>
    <s v="Food Sales"/>
    <n v="5277.0039999999999"/>
    <n v="0"/>
    <s v="Daily Sales Import"/>
    <n v="-5277.0039999999999"/>
    <n v="5277.0039999999999"/>
    <x v="0"/>
    <s v="2100"/>
    <s v="000"/>
    <x v="2"/>
    <x v="0"/>
  </r>
  <r>
    <d v="2011-12-10T00:00:00"/>
    <s v="016-2210-000"/>
    <s v="Liquor Sales"/>
    <n v="1707.6750000000002"/>
    <n v="0"/>
    <s v="Daily Sales Import"/>
    <n v="-1707.6750000000002"/>
    <n v="1707.6750000000002"/>
    <x v="0"/>
    <s v="2210"/>
    <s v="000"/>
    <x v="2"/>
    <x v="0"/>
  </r>
  <r>
    <d v="2011-12-10T00:00:00"/>
    <s v="016-2220-000"/>
    <s v="Beer Sales"/>
    <n v="334.04399999999998"/>
    <n v="0"/>
    <s v="Daily Sales Import"/>
    <n v="-334.04399999999998"/>
    <n v="334.04399999999998"/>
    <x v="0"/>
    <s v="2220"/>
    <s v="000"/>
    <x v="2"/>
    <x v="0"/>
  </r>
  <r>
    <d v="2011-12-10T00:00:00"/>
    <s v="016-2230-000"/>
    <s v="Wine Sales"/>
    <n v="121.21549999999999"/>
    <n v="0"/>
    <s v="Daily Sales Import"/>
    <n v="-121.21549999999999"/>
    <n v="121.21549999999999"/>
    <x v="0"/>
    <s v="2230"/>
    <s v="000"/>
    <x v="2"/>
    <x v="0"/>
  </r>
  <r>
    <d v="2011-12-11T00:00:00"/>
    <s v="016-2100-000"/>
    <s v="Food Sales"/>
    <n v="2816.0109999999995"/>
    <n v="0"/>
    <s v="Daily Sales Import"/>
    <n v="-2816.0109999999995"/>
    <n v="2816.0109999999995"/>
    <x v="0"/>
    <s v="2100"/>
    <s v="000"/>
    <x v="2"/>
    <x v="0"/>
  </r>
  <r>
    <d v="2011-12-11T00:00:00"/>
    <s v="016-2210-000"/>
    <s v="Liquor Sales"/>
    <n v="753.57999999999993"/>
    <n v="0"/>
    <s v="Daily Sales Import"/>
    <n v="-753.57999999999993"/>
    <n v="753.57999999999993"/>
    <x v="0"/>
    <s v="2210"/>
    <s v="000"/>
    <x v="2"/>
    <x v="0"/>
  </r>
  <r>
    <d v="2011-12-11T00:00:00"/>
    <s v="016-2220-000"/>
    <s v="Beer Sales"/>
    <n v="164.43"/>
    <n v="0"/>
    <s v="Daily Sales Import"/>
    <n v="-164.43"/>
    <n v="164.43"/>
    <x v="0"/>
    <s v="2220"/>
    <s v="000"/>
    <x v="2"/>
    <x v="0"/>
  </r>
  <r>
    <d v="2011-12-11T00:00:00"/>
    <s v="016-2230-000"/>
    <s v="Wine Sales"/>
    <n v="55.431999999999995"/>
    <n v="0"/>
    <s v="Daily Sales Import"/>
    <n v="-55.431999999999995"/>
    <n v="55.431999999999995"/>
    <x v="0"/>
    <s v="2230"/>
    <s v="000"/>
    <x v="2"/>
    <x v="0"/>
  </r>
  <r>
    <d v="2011-12-05T00:00:00"/>
    <s v="017-2100-000"/>
    <s v="Food Sales"/>
    <n v="3283.8720000000003"/>
    <n v="0"/>
    <s v="Daily Sales Import"/>
    <n v="-3283.8720000000003"/>
    <n v="3283.8720000000003"/>
    <x v="1"/>
    <s v="2100"/>
    <s v="000"/>
    <x v="2"/>
    <x v="0"/>
  </r>
  <r>
    <d v="2011-12-05T00:00:00"/>
    <s v="017-2210-000"/>
    <s v="Liquor Sales"/>
    <n v="858.75999999999988"/>
    <n v="0"/>
    <s v="Daily Sales Import"/>
    <n v="-858.75999999999988"/>
    <n v="858.75999999999988"/>
    <x v="1"/>
    <s v="2210"/>
    <s v="000"/>
    <x v="2"/>
    <x v="0"/>
  </r>
  <r>
    <d v="2011-12-05T00:00:00"/>
    <s v="017-2220-000"/>
    <s v="Beer Sales"/>
    <n v="162.32999999999998"/>
    <n v="0"/>
    <s v="Daily Sales Import"/>
    <n v="-162.32999999999998"/>
    <n v="162.32999999999998"/>
    <x v="1"/>
    <s v="2220"/>
    <s v="000"/>
    <x v="2"/>
    <x v="0"/>
  </r>
  <r>
    <d v="2011-12-05T00:00:00"/>
    <s v="017-2230-000"/>
    <s v="Wine Sales"/>
    <n v="53.405000000000001"/>
    <n v="0"/>
    <s v="Daily Sales Import"/>
    <n v="-53.405000000000001"/>
    <n v="53.405000000000001"/>
    <x v="1"/>
    <s v="2230"/>
    <s v="000"/>
    <x v="2"/>
    <x v="0"/>
  </r>
  <r>
    <d v="2011-12-06T00:00:00"/>
    <s v="017-2100-000"/>
    <s v="Food Sales"/>
    <n v="4960.9169999999995"/>
    <n v="0"/>
    <s v="Daily Sales Import"/>
    <n v="-4960.9169999999995"/>
    <n v="4960.9169999999995"/>
    <x v="1"/>
    <s v="2100"/>
    <s v="000"/>
    <x v="2"/>
    <x v="0"/>
  </r>
  <r>
    <d v="2011-12-06T00:00:00"/>
    <s v="017-2210-000"/>
    <s v="Liquor Sales"/>
    <n v="1556.3939999999998"/>
    <n v="0"/>
    <s v="Daily Sales Import"/>
    <n v="-1556.3939999999998"/>
    <n v="1556.3939999999998"/>
    <x v="1"/>
    <s v="2210"/>
    <s v="000"/>
    <x v="2"/>
    <x v="0"/>
  </r>
  <r>
    <d v="2011-12-06T00:00:00"/>
    <s v="017-2220-000"/>
    <s v="Beer Sales"/>
    <n v="434.3"/>
    <n v="0"/>
    <s v="Daily Sales Import"/>
    <n v="-434.3"/>
    <n v="434.3"/>
    <x v="1"/>
    <s v="2220"/>
    <s v="000"/>
    <x v="2"/>
    <x v="0"/>
  </r>
  <r>
    <d v="2011-12-06T00:00:00"/>
    <s v="017-2230-000"/>
    <s v="Wine Sales"/>
    <n v="174.31199999999998"/>
    <n v="0"/>
    <s v="Daily Sales Import"/>
    <n v="-174.31199999999998"/>
    <n v="174.31199999999998"/>
    <x v="1"/>
    <s v="2230"/>
    <s v="000"/>
    <x v="2"/>
    <x v="0"/>
  </r>
  <r>
    <d v="2011-12-07T00:00:00"/>
    <s v="017-2100-000"/>
    <s v="Food Sales"/>
    <n v="5613.4512000000004"/>
    <n v="0"/>
    <s v="Daily Sales Import"/>
    <n v="-5613.4512000000004"/>
    <n v="5613.4512000000004"/>
    <x v="1"/>
    <s v="2100"/>
    <s v="000"/>
    <x v="2"/>
    <x v="0"/>
  </r>
  <r>
    <d v="2011-12-07T00:00:00"/>
    <s v="017-2210-000"/>
    <s v="Liquor Sales"/>
    <n v="2005.704"/>
    <n v="0"/>
    <s v="Daily Sales Import"/>
    <n v="-2005.704"/>
    <n v="2005.704"/>
    <x v="1"/>
    <s v="2210"/>
    <s v="000"/>
    <x v="2"/>
    <x v="0"/>
  </r>
  <r>
    <d v="2011-12-07T00:00:00"/>
    <s v="017-2220-000"/>
    <s v="Beer Sales"/>
    <n v="497.31"/>
    <n v="0"/>
    <s v="Daily Sales Import"/>
    <n v="-497.31"/>
    <n v="497.31"/>
    <x v="1"/>
    <s v="2220"/>
    <s v="000"/>
    <x v="2"/>
    <x v="0"/>
  </r>
  <r>
    <d v="2011-12-07T00:00:00"/>
    <s v="017-2230-000"/>
    <s v="Wine Sales"/>
    <n v="131.39400000000001"/>
    <n v="0"/>
    <s v="Daily Sales Import"/>
    <n v="-131.39400000000001"/>
    <n v="131.39400000000001"/>
    <x v="1"/>
    <s v="2230"/>
    <s v="000"/>
    <x v="2"/>
    <x v="0"/>
  </r>
  <r>
    <d v="2011-12-08T00:00:00"/>
    <s v="017-2100-000"/>
    <s v="Food Sales"/>
    <n v="4591.3499999999995"/>
    <n v="0"/>
    <s v="Daily Sales Import"/>
    <n v="-4591.3499999999995"/>
    <n v="4591.3499999999995"/>
    <x v="1"/>
    <s v="2100"/>
    <s v="000"/>
    <x v="2"/>
    <x v="0"/>
  </r>
  <r>
    <d v="2011-12-08T00:00:00"/>
    <s v="017-2210-000"/>
    <s v="Liquor Sales"/>
    <n v="1117.8434999999999"/>
    <n v="0"/>
    <s v="Daily Sales Import"/>
    <n v="-1117.8434999999999"/>
    <n v="1117.8434999999999"/>
    <x v="1"/>
    <s v="2210"/>
    <s v="000"/>
    <x v="2"/>
    <x v="0"/>
  </r>
  <r>
    <d v="2011-12-08T00:00:00"/>
    <s v="017-2220-000"/>
    <s v="Beer Sales"/>
    <n v="375.06"/>
    <n v="0"/>
    <s v="Daily Sales Import"/>
    <n v="-375.06"/>
    <n v="375.06"/>
    <x v="1"/>
    <s v="2220"/>
    <s v="000"/>
    <x v="2"/>
    <x v="0"/>
  </r>
  <r>
    <d v="2011-12-08T00:00:00"/>
    <s v="017-2230-000"/>
    <s v="Wine Sales"/>
    <n v="89.352000000000004"/>
    <n v="0"/>
    <s v="Daily Sales Import"/>
    <n v="-89.352000000000004"/>
    <n v="89.352000000000004"/>
    <x v="1"/>
    <s v="2230"/>
    <s v="000"/>
    <x v="2"/>
    <x v="0"/>
  </r>
  <r>
    <d v="2011-12-09T00:00:00"/>
    <s v="017-2100-000"/>
    <s v="Food Sales"/>
    <n v="6304.0779999999995"/>
    <n v="0"/>
    <s v="Daily Sales Import"/>
    <n v="-6304.0779999999995"/>
    <n v="6304.0779999999995"/>
    <x v="1"/>
    <s v="2100"/>
    <s v="000"/>
    <x v="2"/>
    <x v="0"/>
  </r>
  <r>
    <d v="2011-12-09T00:00:00"/>
    <s v="017-2210-000"/>
    <s v="Liquor Sales"/>
    <n v="2108.0249999999996"/>
    <n v="0"/>
    <s v="Daily Sales Import"/>
    <n v="-2108.0249999999996"/>
    <n v="2108.0249999999996"/>
    <x v="1"/>
    <s v="2210"/>
    <s v="000"/>
    <x v="2"/>
    <x v="0"/>
  </r>
  <r>
    <d v="2011-12-09T00:00:00"/>
    <s v="017-2220-000"/>
    <s v="Beer Sales"/>
    <n v="717.56999999999994"/>
    <n v="0"/>
    <s v="Daily Sales Import"/>
    <n v="-717.56999999999994"/>
    <n v="717.56999999999994"/>
    <x v="1"/>
    <s v="2220"/>
    <s v="000"/>
    <x v="2"/>
    <x v="0"/>
  </r>
  <r>
    <d v="2011-12-09T00:00:00"/>
    <s v="017-2230-000"/>
    <s v="Wine Sales"/>
    <n v="406.69200000000006"/>
    <n v="0"/>
    <s v="Daily Sales Import"/>
    <n v="-406.69200000000006"/>
    <n v="406.69200000000006"/>
    <x v="1"/>
    <s v="2230"/>
    <s v="000"/>
    <x v="2"/>
    <x v="0"/>
  </r>
  <r>
    <d v="2011-12-10T00:00:00"/>
    <s v="017-2100-000"/>
    <s v="Food Sales"/>
    <n v="6965.433"/>
    <n v="0"/>
    <s v="Daily Sales Import"/>
    <n v="-6965.433"/>
    <n v="6965.433"/>
    <x v="1"/>
    <s v="2100"/>
    <s v="000"/>
    <x v="2"/>
    <x v="0"/>
  </r>
  <r>
    <d v="2011-12-10T00:00:00"/>
    <s v="017-2210-000"/>
    <s v="Liquor Sales"/>
    <n v="1177.6590000000001"/>
    <n v="0"/>
    <s v="Daily Sales Import"/>
    <n v="-1177.6590000000001"/>
    <n v="1177.6590000000001"/>
    <x v="1"/>
    <s v="2210"/>
    <s v="000"/>
    <x v="2"/>
    <x v="0"/>
  </r>
  <r>
    <d v="2011-12-10T00:00:00"/>
    <s v="017-2220-000"/>
    <s v="Beer Sales"/>
    <n v="445.62"/>
    <n v="0"/>
    <s v="Daily Sales Import"/>
    <n v="-445.62"/>
    <n v="445.62"/>
    <x v="1"/>
    <s v="2220"/>
    <s v="000"/>
    <x v="2"/>
    <x v="0"/>
  </r>
  <r>
    <d v="2011-12-10T00:00:00"/>
    <s v="017-2230-000"/>
    <s v="Wine Sales"/>
    <n v="78.009999999999991"/>
    <n v="0"/>
    <s v="Daily Sales Import"/>
    <n v="-78.009999999999991"/>
    <n v="78.009999999999991"/>
    <x v="1"/>
    <s v="2230"/>
    <s v="000"/>
    <x v="2"/>
    <x v="0"/>
  </r>
  <r>
    <d v="2011-12-11T00:00:00"/>
    <s v="017-2100-000"/>
    <s v="Food Sales"/>
    <n v="6161.4360000000006"/>
    <n v="0"/>
    <s v="Daily Sales Import"/>
    <n v="-6161.4360000000006"/>
    <n v="6161.4360000000006"/>
    <x v="1"/>
    <s v="2100"/>
    <s v="000"/>
    <x v="2"/>
    <x v="0"/>
  </r>
  <r>
    <d v="2011-12-11T00:00:00"/>
    <s v="017-2210-000"/>
    <s v="Liquor Sales"/>
    <n v="1172.402"/>
    <n v="0"/>
    <s v="Daily Sales Import"/>
    <n v="-1172.402"/>
    <n v="1172.402"/>
    <x v="1"/>
    <s v="2210"/>
    <s v="000"/>
    <x v="2"/>
    <x v="0"/>
  </r>
  <r>
    <d v="2011-12-11T00:00:00"/>
    <s v="017-2220-000"/>
    <s v="Beer Sales"/>
    <n v="182.25"/>
    <n v="0"/>
    <s v="Daily Sales Import"/>
    <n v="-182.25"/>
    <n v="182.25"/>
    <x v="1"/>
    <s v="2220"/>
    <s v="000"/>
    <x v="2"/>
    <x v="0"/>
  </r>
  <r>
    <d v="2011-12-11T00:00:00"/>
    <s v="017-2230-000"/>
    <s v="Wine Sales"/>
    <n v="76.644000000000005"/>
    <n v="0"/>
    <s v="Daily Sales Import"/>
    <n v="-76.644000000000005"/>
    <n v="76.644000000000005"/>
    <x v="1"/>
    <s v="2230"/>
    <s v="000"/>
    <x v="2"/>
    <x v="0"/>
  </r>
  <r>
    <d v="2011-12-05T00:00:00"/>
    <s v="018-2100-000"/>
    <s v="Food Sales"/>
    <n v="2672.5545000000002"/>
    <n v="0"/>
    <s v="Daily Sales Import"/>
    <n v="-2672.5545000000002"/>
    <n v="2672.5545000000002"/>
    <x v="2"/>
    <s v="2100"/>
    <s v="000"/>
    <x v="2"/>
    <x v="0"/>
  </r>
  <r>
    <d v="2011-12-05T00:00:00"/>
    <s v="018-2210-000"/>
    <s v="Liquor Sales"/>
    <n v="327.49950000000001"/>
    <n v="0"/>
    <s v="Daily Sales Import"/>
    <n v="-327.49950000000001"/>
    <n v="327.49950000000001"/>
    <x v="2"/>
    <s v="2210"/>
    <s v="000"/>
    <x v="2"/>
    <x v="0"/>
  </r>
  <r>
    <d v="2011-12-05T00:00:00"/>
    <s v="018-2220-000"/>
    <s v="Beer Sales"/>
    <n v="92"/>
    <n v="0"/>
    <s v="Daily Sales Import"/>
    <n v="-92"/>
    <n v="92"/>
    <x v="2"/>
    <s v="2220"/>
    <s v="000"/>
    <x v="2"/>
    <x v="0"/>
  </r>
  <r>
    <d v="2011-12-05T00:00:00"/>
    <s v="018-2230-000"/>
    <s v="Wine Sales"/>
    <n v="47.320999999999998"/>
    <n v="0"/>
    <s v="Daily Sales Import"/>
    <n v="-47.320999999999998"/>
    <n v="47.320999999999998"/>
    <x v="2"/>
    <s v="2230"/>
    <s v="000"/>
    <x v="2"/>
    <x v="0"/>
  </r>
  <r>
    <d v="2011-12-06T00:00:00"/>
    <s v="018-2100-000"/>
    <s v="Food Sales"/>
    <n v="1897.0813999999998"/>
    <n v="0"/>
    <s v="Daily Sales Import"/>
    <n v="-1897.0813999999998"/>
    <n v="1897.0813999999998"/>
    <x v="2"/>
    <s v="2100"/>
    <s v="000"/>
    <x v="2"/>
    <x v="0"/>
  </r>
  <r>
    <d v="2011-12-06T00:00:00"/>
    <s v="018-2210-000"/>
    <s v="Liquor Sales"/>
    <n v="273.30800000000005"/>
    <n v="0"/>
    <s v="Daily Sales Import"/>
    <n v="-273.30800000000005"/>
    <n v="273.30800000000005"/>
    <x v="2"/>
    <s v="2210"/>
    <s v="000"/>
    <x v="2"/>
    <x v="0"/>
  </r>
  <r>
    <d v="2011-12-06T00:00:00"/>
    <s v="018-2220-000"/>
    <s v="Beer Sales"/>
    <n v="125.67149999999999"/>
    <n v="0"/>
    <s v="Daily Sales Import"/>
    <n v="-125.67149999999999"/>
    <n v="125.67149999999999"/>
    <x v="2"/>
    <s v="2220"/>
    <s v="000"/>
    <x v="2"/>
    <x v="0"/>
  </r>
  <r>
    <d v="2011-12-06T00:00:00"/>
    <s v="018-2230-000"/>
    <s v="Wine Sales"/>
    <n v="49.077500000000001"/>
    <n v="0"/>
    <s v="Daily Sales Import"/>
    <n v="-49.077500000000001"/>
    <n v="49.077500000000001"/>
    <x v="2"/>
    <s v="2230"/>
    <s v="000"/>
    <x v="2"/>
    <x v="0"/>
  </r>
  <r>
    <d v="2011-12-07T00:00:00"/>
    <s v="018-2100-000"/>
    <s v="Food Sales"/>
    <n v="2355.7829999999999"/>
    <n v="0"/>
    <s v="Daily Sales Import"/>
    <n v="-2355.7829999999999"/>
    <n v="2355.7829999999999"/>
    <x v="2"/>
    <s v="2100"/>
    <s v="000"/>
    <x v="2"/>
    <x v="0"/>
  </r>
  <r>
    <d v="2011-12-07T00:00:00"/>
    <s v="018-2210-000"/>
    <s v="Liquor Sales"/>
    <n v="296.18549999999999"/>
    <n v="0"/>
    <s v="Daily Sales Import"/>
    <n v="-296.18549999999999"/>
    <n v="296.18549999999999"/>
    <x v="2"/>
    <s v="2210"/>
    <s v="000"/>
    <x v="2"/>
    <x v="0"/>
  </r>
  <r>
    <d v="2011-12-07T00:00:00"/>
    <s v="018-2220-000"/>
    <s v="Beer Sales"/>
    <n v="104.67500000000001"/>
    <n v="0"/>
    <s v="Daily Sales Import"/>
    <n v="-104.67500000000001"/>
    <n v="104.67500000000001"/>
    <x v="2"/>
    <s v="2220"/>
    <s v="000"/>
    <x v="2"/>
    <x v="0"/>
  </r>
  <r>
    <d v="2011-12-07T00:00:00"/>
    <s v="018-2230-000"/>
    <s v="Wine Sales"/>
    <n v="10.491999999999999"/>
    <n v="0"/>
    <s v="Daily Sales Import"/>
    <n v="-10.491999999999999"/>
    <n v="10.491999999999999"/>
    <x v="2"/>
    <s v="2230"/>
    <s v="000"/>
    <x v="2"/>
    <x v="0"/>
  </r>
  <r>
    <d v="2011-12-08T00:00:00"/>
    <s v="018-2100-000"/>
    <s v="Food Sales"/>
    <n v="4553.3637000000008"/>
    <n v="0"/>
    <s v="Daily Sales Import"/>
    <n v="-4553.3637000000008"/>
    <n v="4553.3637000000008"/>
    <x v="2"/>
    <s v="2100"/>
    <s v="000"/>
    <x v="2"/>
    <x v="0"/>
  </r>
  <r>
    <d v="2011-12-08T00:00:00"/>
    <s v="018-2210-000"/>
    <s v="Liquor Sales"/>
    <n v="977.13199999999995"/>
    <n v="0"/>
    <s v="Daily Sales Import"/>
    <n v="-977.13199999999995"/>
    <n v="977.13199999999995"/>
    <x v="2"/>
    <s v="2210"/>
    <s v="000"/>
    <x v="2"/>
    <x v="0"/>
  </r>
  <r>
    <d v="2011-12-08T00:00:00"/>
    <s v="018-2220-000"/>
    <s v="Beer Sales"/>
    <n v="172.73750000000001"/>
    <n v="0"/>
    <s v="Daily Sales Import"/>
    <n v="-172.73750000000001"/>
    <n v="172.73750000000001"/>
    <x v="2"/>
    <s v="2220"/>
    <s v="000"/>
    <x v="2"/>
    <x v="0"/>
  </r>
  <r>
    <d v="2011-12-08T00:00:00"/>
    <s v="018-2230-000"/>
    <s v="Wine Sales"/>
    <n v="48.730499999999999"/>
    <n v="0"/>
    <s v="Daily Sales Import"/>
    <n v="-48.730499999999999"/>
    <n v="48.730499999999999"/>
    <x v="2"/>
    <s v="2230"/>
    <s v="000"/>
    <x v="2"/>
    <x v="0"/>
  </r>
  <r>
    <d v="2011-12-09T00:00:00"/>
    <s v="018-2100-000"/>
    <s v="Food Sales"/>
    <n v="9728.9529999999995"/>
    <n v="0"/>
    <s v="Daily Sales Import"/>
    <n v="-9728.9529999999995"/>
    <n v="9728.9529999999995"/>
    <x v="2"/>
    <s v="2100"/>
    <s v="000"/>
    <x v="2"/>
    <x v="0"/>
  </r>
  <r>
    <d v="2011-12-09T00:00:00"/>
    <s v="018-2210-000"/>
    <s v="Liquor Sales"/>
    <n v="2042.962"/>
    <n v="0"/>
    <s v="Daily Sales Import"/>
    <n v="-2042.962"/>
    <n v="2042.962"/>
    <x v="2"/>
    <s v="2210"/>
    <s v="000"/>
    <x v="2"/>
    <x v="0"/>
  </r>
  <r>
    <d v="2011-12-09T00:00:00"/>
    <s v="018-2220-000"/>
    <s v="Beer Sales"/>
    <n v="382.11750000000001"/>
    <n v="0"/>
    <s v="Daily Sales Import"/>
    <n v="-382.11750000000001"/>
    <n v="382.11750000000001"/>
    <x v="2"/>
    <s v="2220"/>
    <s v="000"/>
    <x v="2"/>
    <x v="0"/>
  </r>
  <r>
    <d v="2011-12-09T00:00:00"/>
    <s v="018-2230-000"/>
    <s v="Wine Sales"/>
    <n v="112.37"/>
    <n v="0"/>
    <s v="Daily Sales Import"/>
    <n v="-112.37"/>
    <n v="112.37"/>
    <x v="2"/>
    <s v="2230"/>
    <s v="000"/>
    <x v="2"/>
    <x v="0"/>
  </r>
  <r>
    <d v="2011-12-10T00:00:00"/>
    <s v="018-2100-000"/>
    <s v="Food Sales"/>
    <n v="8840.4585000000006"/>
    <n v="0"/>
    <s v="Daily Sales Import"/>
    <n v="-8840.4585000000006"/>
    <n v="8840.4585000000006"/>
    <x v="2"/>
    <s v="2100"/>
    <s v="000"/>
    <x v="2"/>
    <x v="0"/>
  </r>
  <r>
    <d v="2011-12-10T00:00:00"/>
    <s v="018-2210-000"/>
    <s v="Liquor Sales"/>
    <n v="1373.7010000000002"/>
    <n v="0"/>
    <s v="Daily Sales Import"/>
    <n v="-1373.7010000000002"/>
    <n v="1373.7010000000002"/>
    <x v="2"/>
    <s v="2210"/>
    <s v="000"/>
    <x v="2"/>
    <x v="0"/>
  </r>
  <r>
    <d v="2011-12-10T00:00:00"/>
    <s v="018-2220-000"/>
    <s v="Beer Sales"/>
    <n v="653.0625"/>
    <n v="0"/>
    <s v="Daily Sales Import"/>
    <n v="-653.0625"/>
    <n v="653.0625"/>
    <x v="2"/>
    <s v="2220"/>
    <s v="000"/>
    <x v="2"/>
    <x v="0"/>
  </r>
  <r>
    <d v="2011-12-10T00:00:00"/>
    <s v="018-2230-000"/>
    <s v="Wine Sales"/>
    <n v="126.56699999999999"/>
    <n v="0"/>
    <s v="Daily Sales Import"/>
    <n v="-126.56699999999999"/>
    <n v="126.56699999999999"/>
    <x v="2"/>
    <s v="2230"/>
    <s v="000"/>
    <x v="2"/>
    <x v="0"/>
  </r>
  <r>
    <d v="2011-12-11T00:00:00"/>
    <s v="018-2100-000"/>
    <s v="Food Sales"/>
    <n v="6874.8"/>
    <n v="0"/>
    <s v="Daily Sales Import"/>
    <n v="-6874.8"/>
    <n v="6874.8"/>
    <x v="2"/>
    <s v="2100"/>
    <s v="000"/>
    <x v="2"/>
    <x v="0"/>
  </r>
  <r>
    <d v="2011-12-11T00:00:00"/>
    <s v="018-2210-000"/>
    <s v="Liquor Sales"/>
    <n v="733.71"/>
    <n v="0"/>
    <s v="Daily Sales Import"/>
    <n v="-733.71"/>
    <n v="733.71"/>
    <x v="2"/>
    <s v="2210"/>
    <s v="000"/>
    <x v="2"/>
    <x v="0"/>
  </r>
  <r>
    <d v="2011-12-11T00:00:00"/>
    <s v="018-2220-000"/>
    <s v="Beer Sales"/>
    <n v="173.655"/>
    <n v="0"/>
    <s v="Daily Sales Import"/>
    <n v="-173.655"/>
    <n v="173.655"/>
    <x v="2"/>
    <s v="2220"/>
    <s v="000"/>
    <x v="2"/>
    <x v="0"/>
  </r>
  <r>
    <d v="2011-12-11T00:00:00"/>
    <s v="018-2230-000"/>
    <s v="Wine Sales"/>
    <n v="107.49249999999999"/>
    <n v="0"/>
    <s v="Daily Sales Import"/>
    <n v="-107.49249999999999"/>
    <n v="107.49249999999999"/>
    <x v="2"/>
    <s v="2230"/>
    <s v="000"/>
    <x v="2"/>
    <x v="0"/>
  </r>
  <r>
    <d v="2011-12-12T00:00:00"/>
    <s v="016-2100-000"/>
    <s v="Food Sales"/>
    <n v="1843.3989000000001"/>
    <n v="0"/>
    <s v="Daily Sales Import"/>
    <n v="-1843.3989000000001"/>
    <n v="1843.3989000000001"/>
    <x v="0"/>
    <s v="2100"/>
    <s v="000"/>
    <x v="2"/>
    <x v="0"/>
  </r>
  <r>
    <d v="2011-12-12T00:00:00"/>
    <s v="016-2210-000"/>
    <s v="Liquor Sales"/>
    <n v="301.75450000000001"/>
    <n v="0"/>
    <s v="Daily Sales Import"/>
    <n v="-301.75450000000001"/>
    <n v="301.75450000000001"/>
    <x v="0"/>
    <s v="2210"/>
    <s v="000"/>
    <x v="2"/>
    <x v="0"/>
  </r>
  <r>
    <d v="2011-12-12T00:00:00"/>
    <s v="016-2220-000"/>
    <s v="Beer Sales"/>
    <n v="91.872000000000014"/>
    <n v="0"/>
    <s v="Daily Sales Import"/>
    <n v="-91.872000000000014"/>
    <n v="91.872000000000014"/>
    <x v="0"/>
    <s v="2220"/>
    <s v="000"/>
    <x v="2"/>
    <x v="0"/>
  </r>
  <r>
    <d v="2011-12-12T00:00:00"/>
    <s v="016-2230-000"/>
    <s v="Wine Sales"/>
    <n v="29.875999999999998"/>
    <n v="0"/>
    <s v="Daily Sales Import"/>
    <n v="-29.875999999999998"/>
    <n v="29.875999999999998"/>
    <x v="0"/>
    <s v="2230"/>
    <s v="000"/>
    <x v="2"/>
    <x v="0"/>
  </r>
  <r>
    <d v="2011-12-13T00:00:00"/>
    <s v="016-2100-000"/>
    <s v="Food Sales"/>
    <n v="2466.5237999999999"/>
    <n v="0"/>
    <s v="Daily Sales Import"/>
    <n v="-2466.5237999999999"/>
    <n v="2466.5237999999999"/>
    <x v="0"/>
    <s v="2100"/>
    <s v="000"/>
    <x v="2"/>
    <x v="0"/>
  </r>
  <r>
    <d v="2011-12-13T00:00:00"/>
    <s v="016-2210-000"/>
    <s v="Liquor Sales"/>
    <n v="543.42999999999995"/>
    <n v="0"/>
    <s v="Daily Sales Import"/>
    <n v="-543.42999999999995"/>
    <n v="543.42999999999995"/>
    <x v="0"/>
    <s v="2210"/>
    <s v="000"/>
    <x v="2"/>
    <x v="0"/>
  </r>
  <r>
    <d v="2011-12-13T00:00:00"/>
    <s v="016-2220-000"/>
    <s v="Beer Sales"/>
    <n v="200.48999999999998"/>
    <n v="0"/>
    <s v="Daily Sales Import"/>
    <n v="-200.48999999999998"/>
    <n v="200.48999999999998"/>
    <x v="0"/>
    <s v="2220"/>
    <s v="000"/>
    <x v="2"/>
    <x v="0"/>
  </r>
  <r>
    <d v="2011-12-13T00:00:00"/>
    <s v="016-2230-000"/>
    <s v="Wine Sales"/>
    <n v="102.28500000000001"/>
    <n v="0"/>
    <s v="Daily Sales Import"/>
    <n v="-102.28500000000001"/>
    <n v="102.28500000000001"/>
    <x v="0"/>
    <s v="2230"/>
    <s v="000"/>
    <x v="2"/>
    <x v="0"/>
  </r>
  <r>
    <d v="2011-12-14T00:00:00"/>
    <s v="016-2100-000"/>
    <s v="Food Sales"/>
    <n v="2667.2559999999999"/>
    <n v="0"/>
    <s v="Daily Sales Import"/>
    <n v="-2667.2559999999999"/>
    <n v="2667.2559999999999"/>
    <x v="0"/>
    <s v="2100"/>
    <s v="000"/>
    <x v="2"/>
    <x v="0"/>
  </r>
  <r>
    <d v="2011-12-14T00:00:00"/>
    <s v="016-2210-000"/>
    <s v="Liquor Sales"/>
    <n v="865.94999999999993"/>
    <n v="0"/>
    <s v="Daily Sales Import"/>
    <n v="-865.94999999999993"/>
    <n v="865.94999999999993"/>
    <x v="0"/>
    <s v="2210"/>
    <s v="000"/>
    <x v="2"/>
    <x v="0"/>
  </r>
  <r>
    <d v="2011-12-14T00:00:00"/>
    <s v="016-2220-000"/>
    <s v="Beer Sales"/>
    <n v="113.85000000000001"/>
    <n v="0"/>
    <s v="Daily Sales Import"/>
    <n v="-113.85000000000001"/>
    <n v="113.85000000000001"/>
    <x v="0"/>
    <s v="2220"/>
    <s v="000"/>
    <x v="2"/>
    <x v="0"/>
  </r>
  <r>
    <d v="2011-12-14T00:00:00"/>
    <s v="016-2230-000"/>
    <s v="Wine Sales"/>
    <n v="60.695"/>
    <n v="0"/>
    <s v="Daily Sales Import"/>
    <n v="-60.695"/>
    <n v="60.695"/>
    <x v="0"/>
    <s v="2230"/>
    <s v="000"/>
    <x v="2"/>
    <x v="0"/>
  </r>
  <r>
    <d v="2011-12-15T00:00:00"/>
    <s v="016-2100-000"/>
    <s v="Food Sales"/>
    <n v="4217.5559999999996"/>
    <n v="0"/>
    <s v="Daily Sales Import"/>
    <n v="-4217.5559999999996"/>
    <n v="4217.5559999999996"/>
    <x v="0"/>
    <s v="2100"/>
    <s v="000"/>
    <x v="2"/>
    <x v="0"/>
  </r>
  <r>
    <d v="2011-12-15T00:00:00"/>
    <s v="016-2210-000"/>
    <s v="Liquor Sales"/>
    <n v="1573.8839999999998"/>
    <n v="0"/>
    <s v="Daily Sales Import"/>
    <n v="-1573.8839999999998"/>
    <n v="1573.8839999999998"/>
    <x v="0"/>
    <s v="2210"/>
    <s v="000"/>
    <x v="2"/>
    <x v="0"/>
  </r>
  <r>
    <d v="2011-12-15T00:00:00"/>
    <s v="016-2220-000"/>
    <s v="Beer Sales"/>
    <n v="385.15500000000003"/>
    <n v="0"/>
    <s v="Daily Sales Import"/>
    <n v="-385.15500000000003"/>
    <n v="385.15500000000003"/>
    <x v="0"/>
    <s v="2220"/>
    <s v="000"/>
    <x v="2"/>
    <x v="0"/>
  </r>
  <r>
    <d v="2011-12-15T00:00:00"/>
    <s v="016-2230-000"/>
    <s v="Wine Sales"/>
    <n v="101.00700000000001"/>
    <n v="0"/>
    <s v="Daily Sales Import"/>
    <n v="-101.00700000000001"/>
    <n v="101.00700000000001"/>
    <x v="0"/>
    <s v="2230"/>
    <s v="000"/>
    <x v="2"/>
    <x v="0"/>
  </r>
  <r>
    <d v="2011-12-16T00:00:00"/>
    <s v="016-2100-000"/>
    <s v="Food Sales"/>
    <n v="6371.1185999999998"/>
    <n v="0"/>
    <s v="Daily Sales Import"/>
    <n v="-6371.1185999999998"/>
    <n v="6371.1185999999998"/>
    <x v="0"/>
    <s v="2100"/>
    <s v="000"/>
    <x v="2"/>
    <x v="0"/>
  </r>
  <r>
    <d v="2011-12-16T00:00:00"/>
    <s v="016-2210-000"/>
    <s v="Liquor Sales"/>
    <n v="2735.3010000000004"/>
    <n v="0"/>
    <s v="Daily Sales Import"/>
    <n v="-2735.3010000000004"/>
    <n v="2735.3010000000004"/>
    <x v="0"/>
    <s v="2210"/>
    <s v="000"/>
    <x v="2"/>
    <x v="0"/>
  </r>
  <r>
    <d v="2011-12-16T00:00:00"/>
    <s v="016-2220-000"/>
    <s v="Beer Sales"/>
    <n v="430.96499999999997"/>
    <n v="0"/>
    <s v="Daily Sales Import"/>
    <n v="-430.96499999999997"/>
    <n v="430.96499999999997"/>
    <x v="0"/>
    <s v="2220"/>
    <s v="000"/>
    <x v="2"/>
    <x v="0"/>
  </r>
  <r>
    <d v="2011-12-16T00:00:00"/>
    <s v="016-2230-000"/>
    <s v="Wine Sales"/>
    <n v="122.86400000000002"/>
    <n v="0"/>
    <s v="Daily Sales Import"/>
    <n v="-122.86400000000002"/>
    <n v="122.86400000000002"/>
    <x v="0"/>
    <s v="2230"/>
    <s v="000"/>
    <x v="2"/>
    <x v="0"/>
  </r>
  <r>
    <d v="2011-12-17T00:00:00"/>
    <s v="016-2100-000"/>
    <s v="Food Sales"/>
    <n v="9873.6792000000005"/>
    <n v="0"/>
    <s v="Daily Sales Import"/>
    <n v="-9873.6792000000005"/>
    <n v="9873.6792000000005"/>
    <x v="0"/>
    <s v="2100"/>
    <s v="000"/>
    <x v="2"/>
    <x v="0"/>
  </r>
  <r>
    <d v="2011-12-17T00:00:00"/>
    <s v="016-2210-000"/>
    <s v="Liquor Sales"/>
    <n v="2923.3548000000001"/>
    <n v="0"/>
    <s v="Daily Sales Import"/>
    <n v="-2923.3548000000001"/>
    <n v="2923.3548000000001"/>
    <x v="0"/>
    <s v="2210"/>
    <s v="000"/>
    <x v="2"/>
    <x v="0"/>
  </r>
  <r>
    <d v="2011-12-17T00:00:00"/>
    <s v="016-2220-000"/>
    <s v="Beer Sales"/>
    <n v="376.13249999999999"/>
    <n v="0"/>
    <s v="Daily Sales Import"/>
    <n v="-376.13249999999999"/>
    <n v="376.13249999999999"/>
    <x v="0"/>
    <s v="2220"/>
    <s v="000"/>
    <x v="2"/>
    <x v="0"/>
  </r>
  <r>
    <d v="2011-12-17T00:00:00"/>
    <s v="016-2230-000"/>
    <s v="Wine Sales"/>
    <n v="496.24799999999999"/>
    <n v="0"/>
    <s v="Daily Sales Import"/>
    <n v="-496.24799999999999"/>
    <n v="496.24799999999999"/>
    <x v="0"/>
    <s v="2230"/>
    <s v="000"/>
    <x v="2"/>
    <x v="0"/>
  </r>
  <r>
    <d v="2011-12-18T00:00:00"/>
    <s v="016-2100-000"/>
    <s v="Food Sales"/>
    <n v="3133.4751000000001"/>
    <n v="0"/>
    <s v="Daily Sales Import"/>
    <n v="-3133.4751000000001"/>
    <n v="3133.4751000000001"/>
    <x v="0"/>
    <s v="2100"/>
    <s v="000"/>
    <x v="2"/>
    <x v="0"/>
  </r>
  <r>
    <d v="2011-12-18T00:00:00"/>
    <s v="016-2210-000"/>
    <s v="Liquor Sales"/>
    <n v="750.57650000000001"/>
    <n v="0"/>
    <s v="Daily Sales Import"/>
    <n v="-750.57650000000001"/>
    <n v="750.57650000000001"/>
    <x v="0"/>
    <s v="2210"/>
    <s v="000"/>
    <x v="2"/>
    <x v="0"/>
  </r>
  <r>
    <d v="2011-12-18T00:00:00"/>
    <s v="016-2220-000"/>
    <s v="Beer Sales"/>
    <n v="170.74799999999999"/>
    <n v="0"/>
    <s v="Daily Sales Import"/>
    <n v="-170.74799999999999"/>
    <n v="170.74799999999999"/>
    <x v="0"/>
    <s v="2220"/>
    <s v="000"/>
    <x v="2"/>
    <x v="0"/>
  </r>
  <r>
    <d v="2011-12-18T00:00:00"/>
    <s v="016-2230-000"/>
    <s v="Wine Sales"/>
    <n v="75.189000000000007"/>
    <n v="0"/>
    <s v="Daily Sales Import"/>
    <n v="-75.189000000000007"/>
    <n v="75.189000000000007"/>
    <x v="0"/>
    <s v="2230"/>
    <s v="000"/>
    <x v="2"/>
    <x v="0"/>
  </r>
  <r>
    <d v="2011-12-12T00:00:00"/>
    <s v="017-2100-000"/>
    <s v="Food Sales"/>
    <n v="3402.4650000000006"/>
    <n v="0"/>
    <s v="Daily Sales Import"/>
    <n v="-3402.4650000000006"/>
    <n v="3402.4650000000006"/>
    <x v="1"/>
    <s v="2100"/>
    <s v="000"/>
    <x v="2"/>
    <x v="0"/>
  </r>
  <r>
    <d v="2011-12-12T00:00:00"/>
    <s v="017-2210-000"/>
    <s v="Liquor Sales"/>
    <n v="936.88049999999998"/>
    <n v="0"/>
    <s v="Daily Sales Import"/>
    <n v="-936.88049999999998"/>
    <n v="936.88049999999998"/>
    <x v="1"/>
    <s v="2210"/>
    <s v="000"/>
    <x v="2"/>
    <x v="0"/>
  </r>
  <r>
    <d v="2011-12-12T00:00:00"/>
    <s v="017-2220-000"/>
    <s v="Beer Sales"/>
    <n v="448.38"/>
    <n v="0"/>
    <s v="Daily Sales Import"/>
    <n v="-448.38"/>
    <n v="448.38"/>
    <x v="1"/>
    <s v="2220"/>
    <s v="000"/>
    <x v="2"/>
    <x v="0"/>
  </r>
  <r>
    <d v="2011-12-12T00:00:00"/>
    <s v="017-2230-000"/>
    <s v="Wine Sales"/>
    <n v="248.89500000000001"/>
    <n v="0"/>
    <s v="Daily Sales Import"/>
    <n v="-248.89500000000001"/>
    <n v="248.89500000000001"/>
    <x v="1"/>
    <s v="2230"/>
    <s v="000"/>
    <x v="2"/>
    <x v="0"/>
  </r>
  <r>
    <d v="2011-12-13T00:00:00"/>
    <s v="017-2100-000"/>
    <s v="Food Sales"/>
    <n v="6352.5344999999998"/>
    <n v="0"/>
    <s v="Daily Sales Import"/>
    <n v="-6352.5344999999998"/>
    <n v="6352.5344999999998"/>
    <x v="1"/>
    <s v="2100"/>
    <s v="000"/>
    <x v="2"/>
    <x v="0"/>
  </r>
  <r>
    <d v="2011-12-13T00:00:00"/>
    <s v="017-2210-000"/>
    <s v="Liquor Sales"/>
    <n v="1865.682"/>
    <n v="0"/>
    <s v="Daily Sales Import"/>
    <n v="-1865.682"/>
    <n v="1865.682"/>
    <x v="1"/>
    <s v="2210"/>
    <s v="000"/>
    <x v="2"/>
    <x v="0"/>
  </r>
  <r>
    <d v="2011-12-13T00:00:00"/>
    <s v="017-2220-000"/>
    <s v="Beer Sales"/>
    <n v="595.69999999999993"/>
    <n v="0"/>
    <s v="Daily Sales Import"/>
    <n v="-595.69999999999993"/>
    <n v="595.69999999999993"/>
    <x v="1"/>
    <s v="2220"/>
    <s v="000"/>
    <x v="2"/>
    <x v="0"/>
  </r>
  <r>
    <d v="2011-12-13T00:00:00"/>
    <s v="017-2230-000"/>
    <s v="Wine Sales"/>
    <n v="116.35800000000002"/>
    <n v="0"/>
    <s v="Daily Sales Import"/>
    <n v="-116.35800000000002"/>
    <n v="116.35800000000002"/>
    <x v="1"/>
    <s v="2230"/>
    <s v="000"/>
    <x v="2"/>
    <x v="0"/>
  </r>
  <r>
    <d v="2011-12-14T00:00:00"/>
    <s v="017-2100-000"/>
    <s v="Food Sales"/>
    <n v="7462.1095999999998"/>
    <n v="0"/>
    <s v="Daily Sales Import"/>
    <n v="-7462.1095999999998"/>
    <n v="7462.1095999999998"/>
    <x v="1"/>
    <s v="2100"/>
    <s v="000"/>
    <x v="2"/>
    <x v="0"/>
  </r>
  <r>
    <d v="2011-12-14T00:00:00"/>
    <s v="017-2210-000"/>
    <s v="Liquor Sales"/>
    <n v="1539.912"/>
    <n v="0"/>
    <s v="Daily Sales Import"/>
    <n v="-1539.912"/>
    <n v="1539.912"/>
    <x v="1"/>
    <s v="2210"/>
    <s v="000"/>
    <x v="2"/>
    <x v="0"/>
  </r>
  <r>
    <d v="2011-12-14T00:00:00"/>
    <s v="017-2220-000"/>
    <s v="Beer Sales"/>
    <n v="894.66000000000008"/>
    <n v="0"/>
    <s v="Daily Sales Import"/>
    <n v="-894.66000000000008"/>
    <n v="894.66000000000008"/>
    <x v="1"/>
    <s v="2220"/>
    <s v="000"/>
    <x v="2"/>
    <x v="0"/>
  </r>
  <r>
    <d v="2011-12-14T00:00:00"/>
    <s v="017-2230-000"/>
    <s v="Wine Sales"/>
    <n v="131.68799999999999"/>
    <n v="0"/>
    <s v="Daily Sales Import"/>
    <n v="-131.68799999999999"/>
    <n v="131.68799999999999"/>
    <x v="1"/>
    <s v="2230"/>
    <s v="000"/>
    <x v="2"/>
    <x v="0"/>
  </r>
  <r>
    <d v="2011-12-15T00:00:00"/>
    <s v="017-2100-000"/>
    <s v="Food Sales"/>
    <n v="8226.4569999999985"/>
    <n v="0"/>
    <s v="Daily Sales Import"/>
    <n v="-8226.4569999999985"/>
    <n v="8226.4569999999985"/>
    <x v="1"/>
    <s v="2100"/>
    <s v="000"/>
    <x v="2"/>
    <x v="0"/>
  </r>
  <r>
    <d v="2011-12-15T00:00:00"/>
    <s v="017-2210-000"/>
    <s v="Liquor Sales"/>
    <n v="1794.2925"/>
    <n v="0"/>
    <s v="Daily Sales Import"/>
    <n v="-1794.2925"/>
    <n v="1794.2925"/>
    <x v="1"/>
    <s v="2210"/>
    <s v="000"/>
    <x v="2"/>
    <x v="0"/>
  </r>
  <r>
    <d v="2011-12-15T00:00:00"/>
    <s v="017-2220-000"/>
    <s v="Beer Sales"/>
    <n v="499.47750000000002"/>
    <n v="0"/>
    <s v="Daily Sales Import"/>
    <n v="-499.47750000000002"/>
    <n v="499.47750000000002"/>
    <x v="1"/>
    <s v="2220"/>
    <s v="000"/>
    <x v="2"/>
    <x v="0"/>
  </r>
  <r>
    <d v="2011-12-15T00:00:00"/>
    <s v="017-2230-000"/>
    <s v="Wine Sales"/>
    <n v="134.01300000000001"/>
    <n v="0"/>
    <s v="Daily Sales Import"/>
    <n v="-134.01300000000001"/>
    <n v="134.01300000000001"/>
    <x v="1"/>
    <s v="2230"/>
    <s v="000"/>
    <x v="2"/>
    <x v="0"/>
  </r>
  <r>
    <d v="2011-12-16T00:00:00"/>
    <s v="017-2100-000"/>
    <s v="Food Sales"/>
    <n v="10829.412"/>
    <n v="0"/>
    <s v="Daily Sales Import"/>
    <n v="-10829.412"/>
    <n v="10829.412"/>
    <x v="1"/>
    <s v="2100"/>
    <s v="000"/>
    <x v="2"/>
    <x v="0"/>
  </r>
  <r>
    <d v="2011-12-16T00:00:00"/>
    <s v="017-2210-000"/>
    <s v="Liquor Sales"/>
    <n v="4349.2965000000004"/>
    <n v="0"/>
    <s v="Daily Sales Import"/>
    <n v="-4349.2965000000004"/>
    <n v="4349.2965000000004"/>
    <x v="1"/>
    <s v="2210"/>
    <s v="000"/>
    <x v="2"/>
    <x v="0"/>
  </r>
  <r>
    <d v="2011-12-16T00:00:00"/>
    <s v="017-2220-000"/>
    <s v="Beer Sales"/>
    <n v="968.17500000000007"/>
    <n v="0"/>
    <s v="Daily Sales Import"/>
    <n v="-968.17500000000007"/>
    <n v="968.17500000000007"/>
    <x v="1"/>
    <s v="2220"/>
    <s v="000"/>
    <x v="2"/>
    <x v="0"/>
  </r>
  <r>
    <d v="2011-12-16T00:00:00"/>
    <s v="017-2230-000"/>
    <s v="Wine Sales"/>
    <n v="309.51399999999995"/>
    <n v="0"/>
    <s v="Daily Sales Import"/>
    <n v="-309.51399999999995"/>
    <n v="309.51399999999995"/>
    <x v="1"/>
    <s v="2230"/>
    <s v="000"/>
    <x v="2"/>
    <x v="0"/>
  </r>
  <r>
    <d v="2011-12-17T00:00:00"/>
    <s v="017-2100-000"/>
    <s v="Food Sales"/>
    <n v="5493.47"/>
    <n v="0"/>
    <s v="Daily Sales Import"/>
    <n v="-5493.47"/>
    <n v="5493.47"/>
    <x v="1"/>
    <s v="2100"/>
    <s v="000"/>
    <x v="2"/>
    <x v="0"/>
  </r>
  <r>
    <d v="2011-12-17T00:00:00"/>
    <s v="017-2210-000"/>
    <s v="Liquor Sales"/>
    <n v="1034.9485"/>
    <n v="0"/>
    <s v="Daily Sales Import"/>
    <n v="-1034.9485"/>
    <n v="1034.9485"/>
    <x v="1"/>
    <s v="2210"/>
    <s v="000"/>
    <x v="2"/>
    <x v="0"/>
  </r>
  <r>
    <d v="2011-12-17T00:00:00"/>
    <s v="017-2220-000"/>
    <s v="Beer Sales"/>
    <n v="272.41249999999997"/>
    <n v="0"/>
    <s v="Daily Sales Import"/>
    <n v="-272.41249999999997"/>
    <n v="272.41249999999997"/>
    <x v="1"/>
    <s v="2220"/>
    <s v="000"/>
    <x v="2"/>
    <x v="0"/>
  </r>
  <r>
    <d v="2011-12-17T00:00:00"/>
    <s v="017-2230-000"/>
    <s v="Wine Sales"/>
    <n v="143.54300000000001"/>
    <n v="0"/>
    <s v="Daily Sales Import"/>
    <n v="-143.54300000000001"/>
    <n v="143.54300000000001"/>
    <x v="1"/>
    <s v="2230"/>
    <s v="000"/>
    <x v="2"/>
    <x v="0"/>
  </r>
  <r>
    <d v="2011-12-18T00:00:00"/>
    <s v="017-2100-000"/>
    <s v="Food Sales"/>
    <n v="4686.25"/>
    <n v="0"/>
    <s v="Daily Sales Import"/>
    <n v="-4686.25"/>
    <n v="4686.25"/>
    <x v="1"/>
    <s v="2100"/>
    <s v="000"/>
    <x v="2"/>
    <x v="0"/>
  </r>
  <r>
    <d v="2011-12-18T00:00:00"/>
    <s v="017-2210-000"/>
    <s v="Liquor Sales"/>
    <n v="653.60249999999996"/>
    <n v="0"/>
    <s v="Daily Sales Import"/>
    <n v="-653.60249999999996"/>
    <n v="653.60249999999996"/>
    <x v="1"/>
    <s v="2210"/>
    <s v="000"/>
    <x v="2"/>
    <x v="0"/>
  </r>
  <r>
    <d v="2011-12-18T00:00:00"/>
    <s v="017-2220-000"/>
    <s v="Beer Sales"/>
    <n v="149.6"/>
    <n v="0"/>
    <s v="Daily Sales Import"/>
    <n v="-149.6"/>
    <n v="149.6"/>
    <x v="1"/>
    <s v="2220"/>
    <s v="000"/>
    <x v="2"/>
    <x v="0"/>
  </r>
  <r>
    <d v="2011-12-18T00:00:00"/>
    <s v="017-2230-000"/>
    <s v="Wine Sales"/>
    <n v="84.581999999999994"/>
    <n v="0"/>
    <s v="Daily Sales Import"/>
    <n v="-84.581999999999994"/>
    <n v="84.581999999999994"/>
    <x v="1"/>
    <s v="2230"/>
    <s v="000"/>
    <x v="2"/>
    <x v="0"/>
  </r>
  <r>
    <d v="2011-12-12T00:00:00"/>
    <s v="018-2100-000"/>
    <s v="Food Sales"/>
    <n v="2617.7689999999998"/>
    <n v="0"/>
    <s v="Daily Sales Import"/>
    <n v="-2617.7689999999998"/>
    <n v="2617.7689999999998"/>
    <x v="2"/>
    <s v="2100"/>
    <s v="000"/>
    <x v="2"/>
    <x v="0"/>
  </r>
  <r>
    <d v="2011-12-12T00:00:00"/>
    <s v="018-2210-000"/>
    <s v="Liquor Sales"/>
    <n v="438.68000000000006"/>
    <n v="0"/>
    <s v="Daily Sales Import"/>
    <n v="-438.68000000000006"/>
    <n v="438.68000000000006"/>
    <x v="2"/>
    <s v="2210"/>
    <s v="000"/>
    <x v="2"/>
    <x v="0"/>
  </r>
  <r>
    <d v="2011-12-12T00:00:00"/>
    <s v="018-2220-000"/>
    <s v="Beer Sales"/>
    <n v="79.738500000000002"/>
    <n v="0"/>
    <s v="Daily Sales Import"/>
    <n v="-79.738500000000002"/>
    <n v="79.738500000000002"/>
    <x v="2"/>
    <s v="2220"/>
    <s v="000"/>
    <x v="2"/>
    <x v="0"/>
  </r>
  <r>
    <d v="2011-12-12T00:00:00"/>
    <s v="018-2230-000"/>
    <s v="Wine Sales"/>
    <n v="38.448"/>
    <n v="0"/>
    <s v="Daily Sales Import"/>
    <n v="-38.448"/>
    <n v="38.448"/>
    <x v="2"/>
    <s v="2230"/>
    <s v="000"/>
    <x v="2"/>
    <x v="0"/>
  </r>
  <r>
    <d v="2011-12-13T00:00:00"/>
    <s v="018-2100-000"/>
    <s v="Food Sales"/>
    <n v="4375.7119999999995"/>
    <n v="0"/>
    <s v="Daily Sales Import"/>
    <n v="-4375.7119999999995"/>
    <n v="4375.7119999999995"/>
    <x v="2"/>
    <s v="2100"/>
    <s v="000"/>
    <x v="2"/>
    <x v="0"/>
  </r>
  <r>
    <d v="2011-12-13T00:00:00"/>
    <s v="018-2210-000"/>
    <s v="Liquor Sales"/>
    <n v="668.25199999999995"/>
    <n v="0"/>
    <s v="Daily Sales Import"/>
    <n v="-668.25199999999995"/>
    <n v="668.25199999999995"/>
    <x v="2"/>
    <s v="2210"/>
    <s v="000"/>
    <x v="2"/>
    <x v="0"/>
  </r>
  <r>
    <d v="2011-12-13T00:00:00"/>
    <s v="018-2220-000"/>
    <s v="Beer Sales"/>
    <n v="154.4025"/>
    <n v="0"/>
    <s v="Daily Sales Import"/>
    <n v="-154.4025"/>
    <n v="154.4025"/>
    <x v="2"/>
    <s v="2220"/>
    <s v="000"/>
    <x v="2"/>
    <x v="0"/>
  </r>
  <r>
    <d v="2011-12-13T00:00:00"/>
    <s v="018-2230-000"/>
    <s v="Wine Sales"/>
    <n v="52.965999999999994"/>
    <n v="0"/>
    <s v="Daily Sales Import"/>
    <n v="-52.965999999999994"/>
    <n v="52.965999999999994"/>
    <x v="2"/>
    <s v="2230"/>
    <s v="000"/>
    <x v="2"/>
    <x v="0"/>
  </r>
  <r>
    <d v="2011-12-14T00:00:00"/>
    <s v="018-2100-000"/>
    <s v="Food Sales"/>
    <n v="4127.3364999999994"/>
    <n v="0"/>
    <s v="Daily Sales Import"/>
    <n v="-4127.3364999999994"/>
    <n v="4127.3364999999994"/>
    <x v="2"/>
    <s v="2100"/>
    <s v="000"/>
    <x v="2"/>
    <x v="0"/>
  </r>
  <r>
    <d v="2011-12-14T00:00:00"/>
    <s v="018-2210-000"/>
    <s v="Liquor Sales"/>
    <n v="483.74899999999997"/>
    <n v="0"/>
    <s v="Daily Sales Import"/>
    <n v="-483.74899999999997"/>
    <n v="483.74899999999997"/>
    <x v="2"/>
    <s v="2210"/>
    <s v="000"/>
    <x v="2"/>
    <x v="0"/>
  </r>
  <r>
    <d v="2011-12-14T00:00:00"/>
    <s v="018-2220-000"/>
    <s v="Beer Sales"/>
    <n v="293.8845"/>
    <n v="0"/>
    <s v="Daily Sales Import"/>
    <n v="-293.8845"/>
    <n v="293.8845"/>
    <x v="2"/>
    <s v="2220"/>
    <s v="000"/>
    <x v="2"/>
    <x v="0"/>
  </r>
  <r>
    <d v="2011-12-14T00:00:00"/>
    <s v="018-2230-000"/>
    <s v="Wine Sales"/>
    <n v="107.245"/>
    <n v="0"/>
    <s v="Daily Sales Import"/>
    <n v="-107.245"/>
    <n v="107.245"/>
    <x v="2"/>
    <s v="2230"/>
    <s v="000"/>
    <x v="2"/>
    <x v="0"/>
  </r>
  <r>
    <d v="2011-12-15T00:00:00"/>
    <s v="018-2100-000"/>
    <s v="Food Sales"/>
    <n v="3210.6120000000001"/>
    <n v="0"/>
    <s v="Daily Sales Import"/>
    <n v="-3210.6120000000001"/>
    <n v="3210.6120000000001"/>
    <x v="2"/>
    <s v="2100"/>
    <s v="000"/>
    <x v="2"/>
    <x v="0"/>
  </r>
  <r>
    <d v="2011-12-15T00:00:00"/>
    <s v="018-2210-000"/>
    <s v="Liquor Sales"/>
    <n v="732.97200000000009"/>
    <n v="0"/>
    <s v="Daily Sales Import"/>
    <n v="-732.97200000000009"/>
    <n v="732.97200000000009"/>
    <x v="2"/>
    <s v="2210"/>
    <s v="000"/>
    <x v="2"/>
    <x v="0"/>
  </r>
  <r>
    <d v="2011-12-15T00:00:00"/>
    <s v="018-2220-000"/>
    <s v="Beer Sales"/>
    <n v="103.2805"/>
    <n v="0"/>
    <s v="Daily Sales Import"/>
    <n v="-103.2805"/>
    <n v="103.2805"/>
    <x v="2"/>
    <s v="2220"/>
    <s v="000"/>
    <x v="2"/>
    <x v="0"/>
  </r>
  <r>
    <d v="2011-12-15T00:00:00"/>
    <s v="018-2230-000"/>
    <s v="Wine Sales"/>
    <n v="90.674999999999997"/>
    <n v="0"/>
    <s v="Daily Sales Import"/>
    <n v="-90.674999999999997"/>
    <n v="90.674999999999997"/>
    <x v="2"/>
    <s v="2230"/>
    <s v="000"/>
    <x v="2"/>
    <x v="0"/>
  </r>
  <r>
    <d v="2011-12-16T00:00:00"/>
    <s v="018-2100-000"/>
    <s v="Food Sales"/>
    <n v="7344.1480000000001"/>
    <n v="0"/>
    <s v="Daily Sales Import"/>
    <n v="-7344.1480000000001"/>
    <n v="7344.1480000000001"/>
    <x v="2"/>
    <s v="2100"/>
    <s v="000"/>
    <x v="2"/>
    <x v="0"/>
  </r>
  <r>
    <d v="2011-12-16T00:00:00"/>
    <s v="018-2210-000"/>
    <s v="Liquor Sales"/>
    <n v="1692.6734999999999"/>
    <n v="0"/>
    <s v="Daily Sales Import"/>
    <n v="-1692.6734999999999"/>
    <n v="1692.6734999999999"/>
    <x v="2"/>
    <s v="2210"/>
    <s v="000"/>
    <x v="2"/>
    <x v="0"/>
  </r>
  <r>
    <d v="2011-12-16T00:00:00"/>
    <s v="018-2220-000"/>
    <s v="Beer Sales"/>
    <n v="583.64200000000005"/>
    <n v="0"/>
    <s v="Daily Sales Import"/>
    <n v="-583.64200000000005"/>
    <n v="583.64200000000005"/>
    <x v="2"/>
    <s v="2220"/>
    <s v="000"/>
    <x v="2"/>
    <x v="0"/>
  </r>
  <r>
    <d v="2011-12-16T00:00:00"/>
    <s v="018-2230-000"/>
    <s v="Wine Sales"/>
    <n v="122.854"/>
    <n v="0"/>
    <s v="Daily Sales Import"/>
    <n v="-122.854"/>
    <n v="122.854"/>
    <x v="2"/>
    <s v="2230"/>
    <s v="000"/>
    <x v="2"/>
    <x v="0"/>
  </r>
  <r>
    <d v="2011-12-17T00:00:00"/>
    <s v="018-2100-000"/>
    <s v="Food Sales"/>
    <n v="10860.557999999999"/>
    <n v="0"/>
    <s v="Daily Sales Import"/>
    <n v="-10860.557999999999"/>
    <n v="10860.557999999999"/>
    <x v="2"/>
    <s v="2100"/>
    <s v="000"/>
    <x v="2"/>
    <x v="0"/>
  </r>
  <r>
    <d v="2011-12-17T00:00:00"/>
    <s v="018-2210-000"/>
    <s v="Liquor Sales"/>
    <n v="1317.3579999999999"/>
    <n v="0"/>
    <s v="Daily Sales Import"/>
    <n v="-1317.3579999999999"/>
    <n v="1317.3579999999999"/>
    <x v="2"/>
    <s v="2210"/>
    <s v="000"/>
    <x v="2"/>
    <x v="0"/>
  </r>
  <r>
    <d v="2011-12-17T00:00:00"/>
    <s v="018-2220-000"/>
    <s v="Beer Sales"/>
    <n v="400.86899999999997"/>
    <n v="0"/>
    <s v="Daily Sales Import"/>
    <n v="-400.86899999999997"/>
    <n v="400.86899999999997"/>
    <x v="2"/>
    <s v="2220"/>
    <s v="000"/>
    <x v="2"/>
    <x v="0"/>
  </r>
  <r>
    <d v="2011-12-17T00:00:00"/>
    <s v="018-2230-000"/>
    <s v="Wine Sales"/>
    <n v="78.224999999999994"/>
    <n v="0"/>
    <s v="Daily Sales Import"/>
    <n v="-78.224999999999994"/>
    <n v="78.224999999999994"/>
    <x v="2"/>
    <s v="2230"/>
    <s v="000"/>
    <x v="2"/>
    <x v="0"/>
  </r>
  <r>
    <d v="2011-12-18T00:00:00"/>
    <s v="018-2100-000"/>
    <s v="Food Sales"/>
    <n v="9054.6720000000005"/>
    <n v="0"/>
    <s v="Daily Sales Import"/>
    <n v="-9054.6720000000005"/>
    <n v="9054.6720000000005"/>
    <x v="2"/>
    <s v="2100"/>
    <s v="000"/>
    <x v="2"/>
    <x v="0"/>
  </r>
  <r>
    <d v="2011-12-18T00:00:00"/>
    <s v="018-2210-000"/>
    <s v="Liquor Sales"/>
    <n v="897.92100000000005"/>
    <n v="0"/>
    <s v="Daily Sales Import"/>
    <n v="-897.92100000000005"/>
    <n v="897.92100000000005"/>
    <x v="2"/>
    <s v="2210"/>
    <s v="000"/>
    <x v="2"/>
    <x v="0"/>
  </r>
  <r>
    <d v="2011-12-18T00:00:00"/>
    <s v="018-2220-000"/>
    <s v="Beer Sales"/>
    <n v="147.88800000000001"/>
    <n v="0"/>
    <s v="Daily Sales Import"/>
    <n v="-147.88800000000001"/>
    <n v="147.88800000000001"/>
    <x v="2"/>
    <s v="2220"/>
    <s v="000"/>
    <x v="2"/>
    <x v="0"/>
  </r>
  <r>
    <d v="2011-12-18T00:00:00"/>
    <s v="018-2230-000"/>
    <s v="Wine Sales"/>
    <n v="89.175999999999988"/>
    <n v="0"/>
    <s v="Daily Sales Import"/>
    <n v="-89.175999999999988"/>
    <n v="89.175999999999988"/>
    <x v="2"/>
    <s v="2230"/>
    <s v="000"/>
    <x v="2"/>
    <x v="0"/>
  </r>
  <r>
    <d v="2011-12-19T00:00:00"/>
    <s v="016-2100-000"/>
    <s v="Food Sales"/>
    <n v="2816.0770000000002"/>
    <n v="0"/>
    <s v="Daily Sales Import"/>
    <n v="-2816.0770000000002"/>
    <n v="2816.0770000000002"/>
    <x v="0"/>
    <s v="2100"/>
    <s v="000"/>
    <x v="2"/>
    <x v="0"/>
  </r>
  <r>
    <d v="2011-12-19T00:00:00"/>
    <s v="016-2210-000"/>
    <s v="Liquor Sales"/>
    <n v="828.44399999999996"/>
    <n v="0"/>
    <s v="Daily Sales Import"/>
    <n v="-828.44399999999996"/>
    <n v="828.44399999999996"/>
    <x v="0"/>
    <s v="2210"/>
    <s v="000"/>
    <x v="2"/>
    <x v="0"/>
  </r>
  <r>
    <d v="2011-12-19T00:00:00"/>
    <s v="016-2220-000"/>
    <s v="Beer Sales"/>
    <n v="87.278999999999996"/>
    <n v="0"/>
    <s v="Daily Sales Import"/>
    <n v="-87.278999999999996"/>
    <n v="87.278999999999996"/>
    <x v="0"/>
    <s v="2220"/>
    <s v="000"/>
    <x v="2"/>
    <x v="0"/>
  </r>
  <r>
    <d v="2011-12-19T00:00:00"/>
    <s v="016-2230-000"/>
    <s v="Wine Sales"/>
    <n v="35.0625"/>
    <n v="0"/>
    <s v="Daily Sales Import"/>
    <n v="-35.0625"/>
    <n v="35.0625"/>
    <x v="0"/>
    <s v="2230"/>
    <s v="000"/>
    <x v="2"/>
    <x v="0"/>
  </r>
  <r>
    <d v="2011-12-20T00:00:00"/>
    <s v="016-2100-000"/>
    <s v="Food Sales"/>
    <n v="3336.4065999999998"/>
    <n v="0"/>
    <s v="Daily Sales Import"/>
    <n v="-3336.4065999999998"/>
    <n v="3336.4065999999998"/>
    <x v="0"/>
    <s v="2100"/>
    <s v="000"/>
    <x v="2"/>
    <x v="0"/>
  </r>
  <r>
    <d v="2011-12-20T00:00:00"/>
    <s v="016-2210-000"/>
    <s v="Liquor Sales"/>
    <n v="913.24800000000005"/>
    <n v="0"/>
    <s v="Daily Sales Import"/>
    <n v="-913.24800000000005"/>
    <n v="913.24800000000005"/>
    <x v="0"/>
    <s v="2210"/>
    <s v="000"/>
    <x v="2"/>
    <x v="0"/>
  </r>
  <r>
    <d v="2011-12-20T00:00:00"/>
    <s v="016-2220-000"/>
    <s v="Beer Sales"/>
    <n v="178.77600000000001"/>
    <n v="0"/>
    <s v="Daily Sales Import"/>
    <n v="-178.77600000000001"/>
    <n v="178.77600000000001"/>
    <x v="0"/>
    <s v="2220"/>
    <s v="000"/>
    <x v="2"/>
    <x v="0"/>
  </r>
  <r>
    <d v="2011-12-20T00:00:00"/>
    <s v="016-2230-000"/>
    <s v="Wine Sales"/>
    <n v="141.32300000000001"/>
    <n v="0"/>
    <s v="Daily Sales Import"/>
    <n v="-141.32300000000001"/>
    <n v="141.32300000000001"/>
    <x v="0"/>
    <s v="2230"/>
    <s v="000"/>
    <x v="2"/>
    <x v="0"/>
  </r>
  <r>
    <d v="2011-12-21T00:00:00"/>
    <s v="016-2100-000"/>
    <s v="Food Sales"/>
    <n v="4278.2817999999997"/>
    <n v="0"/>
    <s v="Daily Sales Import"/>
    <n v="-4278.2817999999997"/>
    <n v="4278.2817999999997"/>
    <x v="0"/>
    <s v="2100"/>
    <s v="000"/>
    <x v="2"/>
    <x v="0"/>
  </r>
  <r>
    <d v="2011-12-21T00:00:00"/>
    <s v="016-2210-000"/>
    <s v="Liquor Sales"/>
    <n v="724.52"/>
    <n v="0"/>
    <s v="Daily Sales Import"/>
    <n v="-724.52"/>
    <n v="724.52"/>
    <x v="0"/>
    <s v="2210"/>
    <s v="000"/>
    <x v="2"/>
    <x v="0"/>
  </r>
  <r>
    <d v="2011-12-21T00:00:00"/>
    <s v="016-2220-000"/>
    <s v="Beer Sales"/>
    <n v="179.29200000000003"/>
    <n v="0"/>
    <s v="Daily Sales Import"/>
    <n v="-179.29200000000003"/>
    <n v="179.29200000000003"/>
    <x v="0"/>
    <s v="2220"/>
    <s v="000"/>
    <x v="2"/>
    <x v="0"/>
  </r>
  <r>
    <d v="2011-12-21T00:00:00"/>
    <s v="016-2230-000"/>
    <s v="Wine Sales"/>
    <n v="106.99"/>
    <n v="0"/>
    <s v="Daily Sales Import"/>
    <n v="-106.99"/>
    <n v="106.99"/>
    <x v="0"/>
    <s v="2230"/>
    <s v="000"/>
    <x v="2"/>
    <x v="0"/>
  </r>
  <r>
    <d v="2011-12-22T00:00:00"/>
    <s v="016-2100-000"/>
    <s v="Food Sales"/>
    <n v="6199.0432000000001"/>
    <n v="0"/>
    <s v="Daily Sales Import"/>
    <n v="-6199.0432000000001"/>
    <n v="6199.0432000000001"/>
    <x v="0"/>
    <s v="2100"/>
    <s v="000"/>
    <x v="2"/>
    <x v="0"/>
  </r>
  <r>
    <d v="2011-12-22T00:00:00"/>
    <s v="016-2210-000"/>
    <s v="Liquor Sales"/>
    <n v="2312.0980000000004"/>
    <n v="0"/>
    <s v="Daily Sales Import"/>
    <n v="-2312.0980000000004"/>
    <n v="2312.0980000000004"/>
    <x v="0"/>
    <s v="2210"/>
    <s v="000"/>
    <x v="2"/>
    <x v="0"/>
  </r>
  <r>
    <d v="2011-12-22T00:00:00"/>
    <s v="016-2220-000"/>
    <s v="Beer Sales"/>
    <n v="307.79100000000005"/>
    <n v="0"/>
    <s v="Daily Sales Import"/>
    <n v="-307.79100000000005"/>
    <n v="307.79100000000005"/>
    <x v="0"/>
    <s v="2220"/>
    <s v="000"/>
    <x v="2"/>
    <x v="0"/>
  </r>
  <r>
    <d v="2011-12-22T00:00:00"/>
    <s v="016-2230-000"/>
    <s v="Wine Sales"/>
    <n v="135.48099999999999"/>
    <n v="0"/>
    <s v="Daily Sales Import"/>
    <n v="-135.48099999999999"/>
    <n v="135.48099999999999"/>
    <x v="0"/>
    <s v="2230"/>
    <s v="000"/>
    <x v="2"/>
    <x v="0"/>
  </r>
  <r>
    <d v="2011-12-23T00:00:00"/>
    <s v="016-2100-000"/>
    <s v="Food Sales"/>
    <n v="9344.503999999999"/>
    <n v="0"/>
    <s v="Daily Sales Import"/>
    <n v="-9344.503999999999"/>
    <n v="9344.503999999999"/>
    <x v="0"/>
    <s v="2100"/>
    <s v="000"/>
    <x v="2"/>
    <x v="0"/>
  </r>
  <r>
    <d v="2011-12-23T00:00:00"/>
    <s v="016-2210-000"/>
    <s v="Liquor Sales"/>
    <n v="2354.3939999999998"/>
    <n v="0"/>
    <s v="Daily Sales Import"/>
    <n v="-2354.3939999999998"/>
    <n v="2354.3939999999998"/>
    <x v="0"/>
    <s v="2210"/>
    <s v="000"/>
    <x v="2"/>
    <x v="0"/>
  </r>
  <r>
    <d v="2011-12-23T00:00:00"/>
    <s v="016-2220-000"/>
    <s v="Beer Sales"/>
    <n v="391.5"/>
    <n v="0"/>
    <s v="Daily Sales Import"/>
    <n v="-391.5"/>
    <n v="391.5"/>
    <x v="0"/>
    <s v="2220"/>
    <s v="000"/>
    <x v="2"/>
    <x v="0"/>
  </r>
  <r>
    <d v="2011-12-23T00:00:00"/>
    <s v="016-2230-000"/>
    <s v="Wine Sales"/>
    <n v="146.36150000000001"/>
    <n v="0"/>
    <s v="Daily Sales Import"/>
    <n v="-146.36150000000001"/>
    <n v="146.36150000000001"/>
    <x v="0"/>
    <s v="2230"/>
    <s v="000"/>
    <x v="2"/>
    <x v="0"/>
  </r>
  <r>
    <d v="2011-12-24T00:00:00"/>
    <s v="016-2100-000"/>
    <s v="Food Sales"/>
    <n v="5075.5157999999992"/>
    <n v="0"/>
    <s v="Daily Sales Import"/>
    <n v="-5075.5157999999992"/>
    <n v="5075.5157999999992"/>
    <x v="0"/>
    <s v="2100"/>
    <s v="000"/>
    <x v="2"/>
    <x v="0"/>
  </r>
  <r>
    <d v="2011-12-24T00:00:00"/>
    <s v="016-2210-000"/>
    <s v="Liquor Sales"/>
    <n v="1078.5749999999998"/>
    <n v="0"/>
    <s v="Daily Sales Import"/>
    <n v="-1078.5749999999998"/>
    <n v="1078.5749999999998"/>
    <x v="0"/>
    <s v="2210"/>
    <s v="000"/>
    <x v="2"/>
    <x v="0"/>
  </r>
  <r>
    <d v="2011-12-24T00:00:00"/>
    <s v="016-2220-000"/>
    <s v="Beer Sales"/>
    <n v="258.387"/>
    <n v="0"/>
    <s v="Daily Sales Import"/>
    <n v="-258.387"/>
    <n v="258.387"/>
    <x v="0"/>
    <s v="2220"/>
    <s v="000"/>
    <x v="2"/>
    <x v="0"/>
  </r>
  <r>
    <d v="2011-12-24T00:00:00"/>
    <s v="016-2230-000"/>
    <s v="Wine Sales"/>
    <n v="63.791999999999994"/>
    <n v="0"/>
    <s v="Daily Sales Import"/>
    <n v="-63.791999999999994"/>
    <n v="63.791999999999994"/>
    <x v="0"/>
    <s v="2230"/>
    <s v="000"/>
    <x v="2"/>
    <x v="0"/>
  </r>
  <r>
    <d v="2011-12-19T00:00:00"/>
    <s v="017-2100-000"/>
    <s v="Food Sales"/>
    <n v="6542.6220000000003"/>
    <n v="0"/>
    <s v="Daily Sales Import"/>
    <n v="-6542.6220000000003"/>
    <n v="6542.6220000000003"/>
    <x v="1"/>
    <s v="2100"/>
    <s v="000"/>
    <x v="2"/>
    <x v="0"/>
  </r>
  <r>
    <d v="2011-12-19T00:00:00"/>
    <s v="017-2210-000"/>
    <s v="Liquor Sales"/>
    <n v="1308.2919999999999"/>
    <n v="0"/>
    <s v="Daily Sales Import"/>
    <n v="-1308.2919999999999"/>
    <n v="1308.2919999999999"/>
    <x v="1"/>
    <s v="2210"/>
    <s v="000"/>
    <x v="2"/>
    <x v="0"/>
  </r>
  <r>
    <d v="2011-12-19T00:00:00"/>
    <s v="017-2220-000"/>
    <s v="Beer Sales"/>
    <n v="225.69749999999999"/>
    <n v="0"/>
    <s v="Daily Sales Import"/>
    <n v="-225.69749999999999"/>
    <n v="225.69749999999999"/>
    <x v="1"/>
    <s v="2220"/>
    <s v="000"/>
    <x v="2"/>
    <x v="0"/>
  </r>
  <r>
    <d v="2011-12-19T00:00:00"/>
    <s v="017-2230-000"/>
    <s v="Wine Sales"/>
    <n v="61.503999999999998"/>
    <n v="0"/>
    <s v="Daily Sales Import"/>
    <n v="-61.503999999999998"/>
    <n v="61.503999999999998"/>
    <x v="1"/>
    <s v="2230"/>
    <s v="000"/>
    <x v="2"/>
    <x v="0"/>
  </r>
  <r>
    <d v="2011-12-20T00:00:00"/>
    <s v="017-2100-000"/>
    <s v="Food Sales"/>
    <n v="6394.9500000000007"/>
    <n v="0"/>
    <s v="Daily Sales Import"/>
    <n v="-6394.9500000000007"/>
    <n v="6394.9500000000007"/>
    <x v="1"/>
    <s v="2100"/>
    <s v="000"/>
    <x v="2"/>
    <x v="0"/>
  </r>
  <r>
    <d v="2011-12-20T00:00:00"/>
    <s v="017-2210-000"/>
    <s v="Liquor Sales"/>
    <n v="1178.3520000000001"/>
    <n v="0"/>
    <s v="Daily Sales Import"/>
    <n v="-1178.3520000000001"/>
    <n v="1178.3520000000001"/>
    <x v="1"/>
    <s v="2210"/>
    <s v="000"/>
    <x v="2"/>
    <x v="0"/>
  </r>
  <r>
    <d v="2011-12-20T00:00:00"/>
    <s v="017-2220-000"/>
    <s v="Beer Sales"/>
    <n v="412.3125"/>
    <n v="0"/>
    <s v="Daily Sales Import"/>
    <n v="-412.3125"/>
    <n v="412.3125"/>
    <x v="1"/>
    <s v="2220"/>
    <s v="000"/>
    <x v="2"/>
    <x v="0"/>
  </r>
  <r>
    <d v="2011-12-20T00:00:00"/>
    <s v="017-2230-000"/>
    <s v="Wine Sales"/>
    <n v="125.07599999999999"/>
    <n v="0"/>
    <s v="Daily Sales Import"/>
    <n v="-125.07599999999999"/>
    <n v="125.07599999999999"/>
    <x v="1"/>
    <s v="2230"/>
    <s v="000"/>
    <x v="2"/>
    <x v="0"/>
  </r>
  <r>
    <d v="2011-12-21T00:00:00"/>
    <s v="017-2100-000"/>
    <s v="Food Sales"/>
    <n v="5903.5475000000006"/>
    <n v="0"/>
    <s v="Daily Sales Import"/>
    <n v="-5903.5475000000006"/>
    <n v="5903.5475000000006"/>
    <x v="1"/>
    <s v="2100"/>
    <s v="000"/>
    <x v="2"/>
    <x v="0"/>
  </r>
  <r>
    <d v="2011-12-21T00:00:00"/>
    <s v="017-2210-000"/>
    <s v="Liquor Sales"/>
    <n v="1287.1189999999999"/>
    <n v="0"/>
    <s v="Daily Sales Import"/>
    <n v="-1287.1189999999999"/>
    <n v="1287.1189999999999"/>
    <x v="1"/>
    <s v="2210"/>
    <s v="000"/>
    <x v="2"/>
    <x v="0"/>
  </r>
  <r>
    <d v="2011-12-21T00:00:00"/>
    <s v="017-2220-000"/>
    <s v="Beer Sales"/>
    <n v="349.68"/>
    <n v="0"/>
    <s v="Daily Sales Import"/>
    <n v="-349.68"/>
    <n v="349.68"/>
    <x v="1"/>
    <s v="2220"/>
    <s v="000"/>
    <x v="2"/>
    <x v="0"/>
  </r>
  <r>
    <d v="2011-12-21T00:00:00"/>
    <s v="017-2230-000"/>
    <s v="Wine Sales"/>
    <n v="124.19950000000001"/>
    <n v="0"/>
    <s v="Daily Sales Import"/>
    <n v="-124.19950000000001"/>
    <n v="124.19950000000001"/>
    <x v="1"/>
    <s v="2230"/>
    <s v="000"/>
    <x v="2"/>
    <x v="0"/>
  </r>
  <r>
    <d v="2011-12-22T00:00:00"/>
    <s v="017-2100-000"/>
    <s v="Food Sales"/>
    <n v="5563.3829999999998"/>
    <n v="0"/>
    <s v="Daily Sales Import"/>
    <n v="-5563.3829999999998"/>
    <n v="5563.3829999999998"/>
    <x v="1"/>
    <s v="2100"/>
    <s v="000"/>
    <x v="2"/>
    <x v="0"/>
  </r>
  <r>
    <d v="2011-12-22T00:00:00"/>
    <s v="017-2210-000"/>
    <s v="Liquor Sales"/>
    <n v="1214.829"/>
    <n v="0"/>
    <s v="Daily Sales Import"/>
    <n v="-1214.829"/>
    <n v="1214.829"/>
    <x v="1"/>
    <s v="2210"/>
    <s v="000"/>
    <x v="2"/>
    <x v="0"/>
  </r>
  <r>
    <d v="2011-12-22T00:00:00"/>
    <s v="017-2220-000"/>
    <s v="Beer Sales"/>
    <n v="229.89000000000001"/>
    <n v="0"/>
    <s v="Daily Sales Import"/>
    <n v="-229.89000000000001"/>
    <n v="229.89000000000001"/>
    <x v="1"/>
    <s v="2220"/>
    <s v="000"/>
    <x v="2"/>
    <x v="0"/>
  </r>
  <r>
    <d v="2011-12-22T00:00:00"/>
    <s v="017-2230-000"/>
    <s v="Wine Sales"/>
    <n v="106.92249999999999"/>
    <n v="0"/>
    <s v="Daily Sales Import"/>
    <n v="-106.92249999999999"/>
    <n v="106.92249999999999"/>
    <x v="1"/>
    <s v="2230"/>
    <s v="000"/>
    <x v="2"/>
    <x v="0"/>
  </r>
  <r>
    <d v="2011-12-23T00:00:00"/>
    <s v="017-2100-000"/>
    <s v="Food Sales"/>
    <n v="7802.4645"/>
    <n v="0"/>
    <s v="Daily Sales Import"/>
    <n v="-7802.4645"/>
    <n v="7802.4645"/>
    <x v="1"/>
    <s v="2100"/>
    <s v="000"/>
    <x v="2"/>
    <x v="0"/>
  </r>
  <r>
    <d v="2011-12-23T00:00:00"/>
    <s v="017-2210-000"/>
    <s v="Liquor Sales"/>
    <n v="1242.9480000000003"/>
    <n v="0"/>
    <s v="Daily Sales Import"/>
    <n v="-1242.9480000000003"/>
    <n v="1242.9480000000003"/>
    <x v="1"/>
    <s v="2210"/>
    <s v="000"/>
    <x v="2"/>
    <x v="0"/>
  </r>
  <r>
    <d v="2011-12-23T00:00:00"/>
    <s v="017-2220-000"/>
    <s v="Beer Sales"/>
    <n v="313.95"/>
    <n v="0"/>
    <s v="Daily Sales Import"/>
    <n v="-313.95"/>
    <n v="313.95"/>
    <x v="1"/>
    <s v="2220"/>
    <s v="000"/>
    <x v="2"/>
    <x v="0"/>
  </r>
  <r>
    <d v="2011-12-23T00:00:00"/>
    <s v="017-2230-000"/>
    <s v="Wine Sales"/>
    <n v="81.103499999999997"/>
    <n v="0"/>
    <s v="Daily Sales Import"/>
    <n v="-81.103499999999997"/>
    <n v="81.103499999999997"/>
    <x v="1"/>
    <s v="2230"/>
    <s v="000"/>
    <x v="2"/>
    <x v="0"/>
  </r>
  <r>
    <d v="2011-12-24T00:00:00"/>
    <s v="017-2100-000"/>
    <s v="Food Sales"/>
    <n v="3087.7440000000001"/>
    <n v="0"/>
    <s v="Daily Sales Import"/>
    <n v="-3087.7440000000001"/>
    <n v="3087.7440000000001"/>
    <x v="1"/>
    <s v="2100"/>
    <s v="000"/>
    <x v="2"/>
    <x v="0"/>
  </r>
  <r>
    <d v="2011-12-24T00:00:00"/>
    <s v="017-2210-000"/>
    <s v="Liquor Sales"/>
    <n v="668.19899999999996"/>
    <n v="0"/>
    <s v="Daily Sales Import"/>
    <n v="-668.19899999999996"/>
    <n v="668.19899999999996"/>
    <x v="1"/>
    <s v="2210"/>
    <s v="000"/>
    <x v="2"/>
    <x v="0"/>
  </r>
  <r>
    <d v="2011-12-24T00:00:00"/>
    <s v="017-2220-000"/>
    <s v="Beer Sales"/>
    <n v="78.710000000000008"/>
    <n v="0"/>
    <s v="Daily Sales Import"/>
    <n v="-78.710000000000008"/>
    <n v="78.710000000000008"/>
    <x v="1"/>
    <s v="2220"/>
    <s v="000"/>
    <x v="2"/>
    <x v="0"/>
  </r>
  <r>
    <d v="2011-12-24T00:00:00"/>
    <s v="017-2230-000"/>
    <s v="Wine Sales"/>
    <n v="20.057000000000002"/>
    <n v="0"/>
    <s v="Daily Sales Import"/>
    <n v="-20.057000000000002"/>
    <n v="20.057000000000002"/>
    <x v="1"/>
    <s v="2230"/>
    <s v="000"/>
    <x v="2"/>
    <x v="0"/>
  </r>
  <r>
    <d v="2011-12-19T00:00:00"/>
    <s v="018-2100-000"/>
    <s v="Food Sales"/>
    <n v="3684.0738000000006"/>
    <n v="0"/>
    <s v="Daily Sales Import"/>
    <n v="-3684.0738000000006"/>
    <n v="3684.0738000000006"/>
    <x v="2"/>
    <s v="2100"/>
    <s v="000"/>
    <x v="2"/>
    <x v="0"/>
  </r>
  <r>
    <d v="2011-12-19T00:00:00"/>
    <s v="018-2210-000"/>
    <s v="Liquor Sales"/>
    <n v="798.83999999999992"/>
    <n v="0"/>
    <s v="Daily Sales Import"/>
    <n v="-798.83999999999992"/>
    <n v="798.83999999999992"/>
    <x v="2"/>
    <s v="2210"/>
    <s v="000"/>
    <x v="2"/>
    <x v="0"/>
  </r>
  <r>
    <d v="2011-12-19T00:00:00"/>
    <s v="018-2220-000"/>
    <s v="Beer Sales"/>
    <n v="128.49199999999999"/>
    <n v="0"/>
    <s v="Daily Sales Import"/>
    <n v="-128.49199999999999"/>
    <n v="128.49199999999999"/>
    <x v="2"/>
    <s v="2220"/>
    <s v="000"/>
    <x v="2"/>
    <x v="0"/>
  </r>
  <r>
    <d v="2011-12-19T00:00:00"/>
    <s v="018-2230-000"/>
    <s v="Wine Sales"/>
    <n v="52.417499999999997"/>
    <n v="0"/>
    <s v="Daily Sales Import"/>
    <n v="-52.417499999999997"/>
    <n v="52.417499999999997"/>
    <x v="2"/>
    <s v="2230"/>
    <s v="000"/>
    <x v="2"/>
    <x v="0"/>
  </r>
  <r>
    <d v="2011-12-20T00:00:00"/>
    <s v="018-2100-000"/>
    <s v="Food Sales"/>
    <n v="3826.1323999999995"/>
    <n v="0"/>
    <s v="Daily Sales Import"/>
    <n v="-3826.1323999999995"/>
    <n v="3826.1323999999995"/>
    <x v="2"/>
    <s v="2100"/>
    <s v="000"/>
    <x v="2"/>
    <x v="0"/>
  </r>
  <r>
    <d v="2011-12-20T00:00:00"/>
    <s v="018-2210-000"/>
    <s v="Liquor Sales"/>
    <n v="1319.3625000000002"/>
    <n v="0"/>
    <s v="Daily Sales Import"/>
    <n v="-1319.3625000000002"/>
    <n v="1319.3625000000002"/>
    <x v="2"/>
    <s v="2210"/>
    <s v="000"/>
    <x v="2"/>
    <x v="0"/>
  </r>
  <r>
    <d v="2011-12-20T00:00:00"/>
    <s v="018-2220-000"/>
    <s v="Beer Sales"/>
    <n v="163.48500000000001"/>
    <n v="0"/>
    <s v="Daily Sales Import"/>
    <n v="-163.48500000000001"/>
    <n v="163.48500000000001"/>
    <x v="2"/>
    <s v="2220"/>
    <s v="000"/>
    <x v="2"/>
    <x v="0"/>
  </r>
  <r>
    <d v="2011-12-20T00:00:00"/>
    <s v="018-2230-000"/>
    <s v="Wine Sales"/>
    <n v="91.217999999999989"/>
    <n v="0"/>
    <s v="Daily Sales Import"/>
    <n v="-91.217999999999989"/>
    <n v="91.217999999999989"/>
    <x v="2"/>
    <s v="2230"/>
    <s v="000"/>
    <x v="2"/>
    <x v="0"/>
  </r>
  <r>
    <d v="2011-12-21T00:00:00"/>
    <s v="018-2100-000"/>
    <s v="Food Sales"/>
    <n v="3892.2780000000002"/>
    <n v="0"/>
    <s v="Daily Sales Import"/>
    <n v="-3892.2780000000002"/>
    <n v="3892.2780000000002"/>
    <x v="2"/>
    <s v="2100"/>
    <s v="000"/>
    <x v="2"/>
    <x v="0"/>
  </r>
  <r>
    <d v="2011-12-21T00:00:00"/>
    <s v="018-2210-000"/>
    <s v="Liquor Sales"/>
    <n v="846.56399999999996"/>
    <n v="0"/>
    <s v="Daily Sales Import"/>
    <n v="-846.56399999999996"/>
    <n v="846.56399999999996"/>
    <x v="2"/>
    <s v="2210"/>
    <s v="000"/>
    <x v="2"/>
    <x v="0"/>
  </r>
  <r>
    <d v="2011-12-21T00:00:00"/>
    <s v="018-2220-000"/>
    <s v="Beer Sales"/>
    <n v="242.78199999999998"/>
    <n v="0"/>
    <s v="Daily Sales Import"/>
    <n v="-242.78199999999998"/>
    <n v="242.78199999999998"/>
    <x v="2"/>
    <s v="2220"/>
    <s v="000"/>
    <x v="2"/>
    <x v="0"/>
  </r>
  <r>
    <d v="2011-12-21T00:00:00"/>
    <s v="018-2230-000"/>
    <s v="Wine Sales"/>
    <n v="19.063500000000001"/>
    <n v="0"/>
    <s v="Daily Sales Import"/>
    <n v="-19.063500000000001"/>
    <n v="19.063500000000001"/>
    <x v="2"/>
    <s v="2230"/>
    <s v="000"/>
    <x v="2"/>
    <x v="0"/>
  </r>
  <r>
    <d v="2011-12-22T00:00:00"/>
    <s v="018-2100-000"/>
    <s v="Food Sales"/>
    <n v="8541.0655999999999"/>
    <n v="0"/>
    <s v="Daily Sales Import"/>
    <n v="-8541.0655999999999"/>
    <n v="8541.0655999999999"/>
    <x v="2"/>
    <s v="2100"/>
    <s v="000"/>
    <x v="2"/>
    <x v="0"/>
  </r>
  <r>
    <d v="2011-12-22T00:00:00"/>
    <s v="018-2210-000"/>
    <s v="Liquor Sales"/>
    <n v="762.72899999999993"/>
    <n v="0"/>
    <s v="Daily Sales Import"/>
    <n v="-762.72899999999993"/>
    <n v="762.72899999999993"/>
    <x v="2"/>
    <s v="2210"/>
    <s v="000"/>
    <x v="2"/>
    <x v="0"/>
  </r>
  <r>
    <d v="2011-12-22T00:00:00"/>
    <s v="018-2220-000"/>
    <s v="Beer Sales"/>
    <n v="680.2940000000001"/>
    <n v="0"/>
    <s v="Daily Sales Import"/>
    <n v="-680.2940000000001"/>
    <n v="680.2940000000001"/>
    <x v="2"/>
    <s v="2220"/>
    <s v="000"/>
    <x v="2"/>
    <x v="0"/>
  </r>
  <r>
    <d v="2011-12-22T00:00:00"/>
    <s v="018-2230-000"/>
    <s v="Wine Sales"/>
    <n v="91.960000000000008"/>
    <n v="0"/>
    <s v="Daily Sales Import"/>
    <n v="-91.960000000000008"/>
    <n v="91.960000000000008"/>
    <x v="2"/>
    <s v="2230"/>
    <s v="000"/>
    <x v="2"/>
    <x v="0"/>
  </r>
  <r>
    <d v="2011-12-23T00:00:00"/>
    <s v="018-2100-000"/>
    <s v="Food Sales"/>
    <n v="7590.1689999999999"/>
    <n v="0"/>
    <s v="Daily Sales Import"/>
    <n v="-7590.1689999999999"/>
    <n v="7590.1689999999999"/>
    <x v="2"/>
    <s v="2100"/>
    <s v="000"/>
    <x v="2"/>
    <x v="0"/>
  </r>
  <r>
    <d v="2011-12-23T00:00:00"/>
    <s v="018-2210-000"/>
    <s v="Liquor Sales"/>
    <n v="1944.5160000000001"/>
    <n v="0"/>
    <s v="Daily Sales Import"/>
    <n v="-1944.5160000000001"/>
    <n v="1944.5160000000001"/>
    <x v="2"/>
    <s v="2210"/>
    <s v="000"/>
    <x v="2"/>
    <x v="0"/>
  </r>
  <r>
    <d v="2011-12-23T00:00:00"/>
    <s v="018-2220-000"/>
    <s v="Beer Sales"/>
    <n v="571.95600000000002"/>
    <n v="0"/>
    <s v="Daily Sales Import"/>
    <n v="-571.95600000000002"/>
    <n v="571.95600000000002"/>
    <x v="2"/>
    <s v="2220"/>
    <s v="000"/>
    <x v="2"/>
    <x v="0"/>
  </r>
  <r>
    <d v="2011-12-23T00:00:00"/>
    <s v="018-2230-000"/>
    <s v="Wine Sales"/>
    <n v="153.32000000000002"/>
    <n v="0"/>
    <s v="Daily Sales Import"/>
    <n v="-153.32000000000002"/>
    <n v="153.32000000000002"/>
    <x v="2"/>
    <s v="2230"/>
    <s v="000"/>
    <x v="2"/>
    <x v="0"/>
  </r>
  <r>
    <d v="2011-12-24T00:00:00"/>
    <s v="018-2100-000"/>
    <s v="Food Sales"/>
    <n v="6349.5599999999995"/>
    <n v="0"/>
    <s v="Daily Sales Import"/>
    <n v="-6349.5599999999995"/>
    <n v="6349.5599999999995"/>
    <x v="2"/>
    <s v="2100"/>
    <s v="000"/>
    <x v="2"/>
    <x v="0"/>
  </r>
  <r>
    <d v="2011-12-24T00:00:00"/>
    <s v="018-2210-000"/>
    <s v="Liquor Sales"/>
    <n v="494.3295"/>
    <n v="0"/>
    <s v="Daily Sales Import"/>
    <n v="-494.3295"/>
    <n v="494.3295"/>
    <x v="2"/>
    <s v="2210"/>
    <s v="000"/>
    <x v="2"/>
    <x v="0"/>
  </r>
  <r>
    <d v="2011-12-24T00:00:00"/>
    <s v="018-2220-000"/>
    <s v="Beer Sales"/>
    <n v="237.654"/>
    <n v="0"/>
    <s v="Daily Sales Import"/>
    <n v="-237.654"/>
    <n v="237.654"/>
    <x v="2"/>
    <s v="2220"/>
    <s v="000"/>
    <x v="2"/>
    <x v="0"/>
  </r>
  <r>
    <d v="2011-12-24T00:00:00"/>
    <s v="018-2230-000"/>
    <s v="Wine Sales"/>
    <n v="59.04"/>
    <n v="0"/>
    <s v="Daily Sales Import"/>
    <n v="-59.04"/>
    <n v="59.04"/>
    <x v="2"/>
    <s v="2230"/>
    <s v="000"/>
    <x v="2"/>
    <x v="0"/>
  </r>
  <r>
    <d v="2012-01-01T00:00:00"/>
    <s v="016-2100-000"/>
    <s v="Food Sales"/>
    <n v="4519.8599999999997"/>
    <n v="0"/>
    <s v="Daily Sales Import"/>
    <n v="-4519.8599999999997"/>
    <n v="4519.8599999999997"/>
    <x v="0"/>
    <s v="2100"/>
    <s v="000"/>
    <x v="3"/>
    <x v="1"/>
  </r>
  <r>
    <d v="2012-01-01T00:00:00"/>
    <s v="016-2210-000"/>
    <s v="Liquor Sales"/>
    <n v="1025.1464999999998"/>
    <n v="0"/>
    <s v="Daily Sales Import"/>
    <n v="-1025.1464999999998"/>
    <n v="1025.1464999999998"/>
    <x v="0"/>
    <s v="2210"/>
    <s v="000"/>
    <x v="3"/>
    <x v="1"/>
  </r>
  <r>
    <d v="2012-01-01T00:00:00"/>
    <s v="016-2220-000"/>
    <s v="Beer Sales"/>
    <n v="200.61"/>
    <n v="0"/>
    <s v="Daily Sales Import"/>
    <n v="-200.61"/>
    <n v="200.61"/>
    <x v="0"/>
    <s v="2220"/>
    <s v="000"/>
    <x v="3"/>
    <x v="1"/>
  </r>
  <r>
    <d v="2012-01-01T00:00:00"/>
    <s v="016-2230-000"/>
    <s v="Wine Sales"/>
    <n v="102.20699999999999"/>
    <n v="0"/>
    <s v="Daily Sales Import"/>
    <n v="-102.20699999999999"/>
    <n v="102.20699999999999"/>
    <x v="0"/>
    <s v="2230"/>
    <s v="000"/>
    <x v="3"/>
    <x v="1"/>
  </r>
  <r>
    <d v="2011-12-26T00:00:00"/>
    <s v="016-2100-000"/>
    <s v="Food Sales"/>
    <n v="7602.0671999999995"/>
    <n v="0"/>
    <s v="Daily Sales Import"/>
    <n v="-7602.0671999999995"/>
    <n v="7602.0671999999995"/>
    <x v="0"/>
    <s v="2100"/>
    <s v="000"/>
    <x v="2"/>
    <x v="0"/>
  </r>
  <r>
    <d v="2011-12-26T00:00:00"/>
    <s v="016-2210-000"/>
    <s v="Liquor Sales"/>
    <n v="2580.1210000000001"/>
    <n v="0"/>
    <s v="Daily Sales Import"/>
    <n v="-2580.1210000000001"/>
    <n v="2580.1210000000001"/>
    <x v="0"/>
    <s v="2210"/>
    <s v="000"/>
    <x v="2"/>
    <x v="0"/>
  </r>
  <r>
    <d v="2011-12-26T00:00:00"/>
    <s v="016-2220-000"/>
    <s v="Beer Sales"/>
    <n v="480.50099999999998"/>
    <n v="0"/>
    <s v="Daily Sales Import"/>
    <n v="-480.50099999999998"/>
    <n v="480.50099999999998"/>
    <x v="0"/>
    <s v="2220"/>
    <s v="000"/>
    <x v="2"/>
    <x v="0"/>
  </r>
  <r>
    <d v="2011-12-26T00:00:00"/>
    <s v="016-2230-000"/>
    <s v="Wine Sales"/>
    <n v="127.36800000000001"/>
    <n v="0"/>
    <s v="Daily Sales Import"/>
    <n v="-127.36800000000001"/>
    <n v="127.36800000000001"/>
    <x v="0"/>
    <s v="2230"/>
    <s v="000"/>
    <x v="2"/>
    <x v="0"/>
  </r>
  <r>
    <d v="2011-12-27T00:00:00"/>
    <s v="016-2100-000"/>
    <s v="Food Sales"/>
    <n v="8586.1200000000008"/>
    <n v="0"/>
    <s v="Daily Sales Import"/>
    <n v="-8586.1200000000008"/>
    <n v="8586.1200000000008"/>
    <x v="0"/>
    <s v="2100"/>
    <s v="000"/>
    <x v="2"/>
    <x v="0"/>
  </r>
  <r>
    <d v="2011-12-27T00:00:00"/>
    <s v="016-2210-000"/>
    <s v="Liquor Sales"/>
    <n v="1579.8195000000001"/>
    <n v="0"/>
    <s v="Daily Sales Import"/>
    <n v="-1579.8195000000001"/>
    <n v="1579.8195000000001"/>
    <x v="0"/>
    <s v="2210"/>
    <s v="000"/>
    <x v="2"/>
    <x v="0"/>
  </r>
  <r>
    <d v="2011-12-27T00:00:00"/>
    <s v="016-2220-000"/>
    <s v="Beer Sales"/>
    <n v="303.58199999999999"/>
    <n v="0"/>
    <s v="Daily Sales Import"/>
    <n v="-303.58199999999999"/>
    <n v="303.58199999999999"/>
    <x v="0"/>
    <s v="2220"/>
    <s v="000"/>
    <x v="2"/>
    <x v="0"/>
  </r>
  <r>
    <d v="2011-12-27T00:00:00"/>
    <s v="016-2230-000"/>
    <s v="Wine Sales"/>
    <n v="133.03800000000001"/>
    <n v="0"/>
    <s v="Daily Sales Import"/>
    <n v="-133.03800000000001"/>
    <n v="133.03800000000001"/>
    <x v="0"/>
    <s v="2230"/>
    <s v="000"/>
    <x v="2"/>
    <x v="0"/>
  </r>
  <r>
    <d v="2011-12-28T00:00:00"/>
    <s v="016-2100-000"/>
    <s v="Food Sales"/>
    <n v="8197.9820999999993"/>
    <n v="0"/>
    <s v="Daily Sales Import"/>
    <n v="-8197.9820999999993"/>
    <n v="8197.9820999999993"/>
    <x v="0"/>
    <s v="2100"/>
    <s v="000"/>
    <x v="2"/>
    <x v="0"/>
  </r>
  <r>
    <d v="2011-12-28T00:00:00"/>
    <s v="016-2210-000"/>
    <s v="Liquor Sales"/>
    <n v="1446.93"/>
    <n v="0"/>
    <s v="Daily Sales Import"/>
    <n v="-1446.93"/>
    <n v="1446.93"/>
    <x v="0"/>
    <s v="2210"/>
    <s v="000"/>
    <x v="2"/>
    <x v="0"/>
  </r>
  <r>
    <d v="2011-12-28T00:00:00"/>
    <s v="016-2220-000"/>
    <s v="Beer Sales"/>
    <n v="437.98800000000006"/>
    <n v="0"/>
    <s v="Daily Sales Import"/>
    <n v="-437.98800000000006"/>
    <n v="437.98800000000006"/>
    <x v="0"/>
    <s v="2220"/>
    <s v="000"/>
    <x v="2"/>
    <x v="0"/>
  </r>
  <r>
    <d v="2011-12-28T00:00:00"/>
    <s v="016-2230-000"/>
    <s v="Wine Sales"/>
    <n v="232.2"/>
    <n v="0"/>
    <s v="Daily Sales Import"/>
    <n v="-232.2"/>
    <n v="232.2"/>
    <x v="0"/>
    <s v="2230"/>
    <s v="000"/>
    <x v="2"/>
    <x v="0"/>
  </r>
  <r>
    <d v="2011-12-29T00:00:00"/>
    <s v="016-2100-000"/>
    <s v="Food Sales"/>
    <n v="7984.3763999999992"/>
    <n v="0"/>
    <s v="Daily Sales Import"/>
    <n v="-7984.3763999999992"/>
    <n v="7984.3763999999992"/>
    <x v="0"/>
    <s v="2100"/>
    <s v="000"/>
    <x v="2"/>
    <x v="0"/>
  </r>
  <r>
    <d v="2011-12-29T00:00:00"/>
    <s v="016-2210-000"/>
    <s v="Liquor Sales"/>
    <n v="1200.0494999999999"/>
    <n v="0"/>
    <s v="Daily Sales Import"/>
    <n v="-1200.0494999999999"/>
    <n v="1200.0494999999999"/>
    <x v="0"/>
    <s v="2210"/>
    <s v="000"/>
    <x v="2"/>
    <x v="0"/>
  </r>
  <r>
    <d v="2011-12-29T00:00:00"/>
    <s v="016-2220-000"/>
    <s v="Beer Sales"/>
    <n v="482.06399999999996"/>
    <n v="0"/>
    <s v="Daily Sales Import"/>
    <n v="-482.06399999999996"/>
    <n v="482.06399999999996"/>
    <x v="0"/>
    <s v="2220"/>
    <s v="000"/>
    <x v="2"/>
    <x v="0"/>
  </r>
  <r>
    <d v="2011-12-29T00:00:00"/>
    <s v="016-2230-000"/>
    <s v="Wine Sales"/>
    <n v="191.31"/>
    <n v="0"/>
    <s v="Daily Sales Import"/>
    <n v="-191.31"/>
    <n v="191.31"/>
    <x v="0"/>
    <s v="2230"/>
    <s v="000"/>
    <x v="2"/>
    <x v="0"/>
  </r>
  <r>
    <d v="2011-12-30T00:00:00"/>
    <s v="016-2100-000"/>
    <s v="Food Sales"/>
    <n v="8749.2224000000006"/>
    <n v="0"/>
    <s v="Daily Sales Import"/>
    <n v="-8749.2224000000006"/>
    <n v="8749.2224000000006"/>
    <x v="0"/>
    <s v="2100"/>
    <s v="000"/>
    <x v="2"/>
    <x v="0"/>
  </r>
  <r>
    <d v="2011-12-30T00:00:00"/>
    <s v="016-2210-000"/>
    <s v="Liquor Sales"/>
    <n v="2762.9279999999999"/>
    <n v="0"/>
    <s v="Daily Sales Import"/>
    <n v="-2762.9279999999999"/>
    <n v="2762.9279999999999"/>
    <x v="0"/>
    <s v="2210"/>
    <s v="000"/>
    <x v="2"/>
    <x v="0"/>
  </r>
  <r>
    <d v="2011-12-30T00:00:00"/>
    <s v="016-2220-000"/>
    <s v="Beer Sales"/>
    <n v="541.16700000000003"/>
    <n v="0"/>
    <s v="Daily Sales Import"/>
    <n v="-541.16700000000003"/>
    <n v="541.16700000000003"/>
    <x v="0"/>
    <s v="2220"/>
    <s v="000"/>
    <x v="2"/>
    <x v="0"/>
  </r>
  <r>
    <d v="2011-12-30T00:00:00"/>
    <s v="016-2230-000"/>
    <s v="Wine Sales"/>
    <n v="317.53199999999998"/>
    <n v="0"/>
    <s v="Daily Sales Import"/>
    <n v="-317.53199999999998"/>
    <n v="317.53199999999998"/>
    <x v="0"/>
    <s v="2230"/>
    <s v="000"/>
    <x v="2"/>
    <x v="0"/>
  </r>
  <r>
    <d v="2011-12-31T00:00:00"/>
    <s v="016-2100-000"/>
    <s v="Food Sales"/>
    <n v="10276.11"/>
    <n v="0"/>
    <s v="Daily Sales Import"/>
    <n v="-10276.11"/>
    <n v="10276.11"/>
    <x v="0"/>
    <s v="2100"/>
    <s v="000"/>
    <x v="2"/>
    <x v="0"/>
  </r>
  <r>
    <d v="2011-12-31T00:00:00"/>
    <s v="016-2210-000"/>
    <s v="Liquor Sales"/>
    <n v="2247.5750000000003"/>
    <n v="0"/>
    <s v="Daily Sales Import"/>
    <n v="-2247.5750000000003"/>
    <n v="2247.5750000000003"/>
    <x v="0"/>
    <s v="2210"/>
    <s v="000"/>
    <x v="2"/>
    <x v="0"/>
  </r>
  <r>
    <d v="2011-12-31T00:00:00"/>
    <s v="016-2220-000"/>
    <s v="Beer Sales"/>
    <n v="555.03"/>
    <n v="0"/>
    <s v="Daily Sales Import"/>
    <n v="-555.03"/>
    <n v="555.03"/>
    <x v="0"/>
    <s v="2220"/>
    <s v="000"/>
    <x v="2"/>
    <x v="0"/>
  </r>
  <r>
    <d v="2011-12-31T00:00:00"/>
    <s v="016-2230-000"/>
    <s v="Wine Sales"/>
    <n v="195.52500000000001"/>
    <n v="0"/>
    <s v="Daily Sales Import"/>
    <n v="-195.52500000000001"/>
    <n v="195.52500000000001"/>
    <x v="0"/>
    <s v="2230"/>
    <s v="000"/>
    <x v="2"/>
    <x v="0"/>
  </r>
  <r>
    <d v="2012-01-01T00:00:00"/>
    <s v="017-2100-000"/>
    <s v="Food Sales"/>
    <n v="3429.0360000000001"/>
    <n v="0"/>
    <s v="Daily Sales Import"/>
    <n v="-3429.0360000000001"/>
    <n v="3429.0360000000001"/>
    <x v="1"/>
    <s v="2100"/>
    <s v="000"/>
    <x v="3"/>
    <x v="1"/>
  </r>
  <r>
    <d v="2012-01-01T00:00:00"/>
    <s v="017-2210-000"/>
    <s v="Liquor Sales"/>
    <n v="660.42899999999997"/>
    <n v="0"/>
    <s v="Daily Sales Import"/>
    <n v="-660.42899999999997"/>
    <n v="660.42899999999997"/>
    <x v="1"/>
    <s v="2210"/>
    <s v="000"/>
    <x v="3"/>
    <x v="1"/>
  </r>
  <r>
    <d v="2012-01-01T00:00:00"/>
    <s v="017-2220-000"/>
    <s v="Beer Sales"/>
    <n v="90.617500000000007"/>
    <n v="0"/>
    <s v="Daily Sales Import"/>
    <n v="-90.617500000000007"/>
    <n v="90.617500000000007"/>
    <x v="1"/>
    <s v="2220"/>
    <s v="000"/>
    <x v="3"/>
    <x v="1"/>
  </r>
  <r>
    <d v="2012-01-01T00:00:00"/>
    <s v="017-2230-000"/>
    <s v="Wine Sales"/>
    <n v="19.964000000000002"/>
    <n v="0"/>
    <s v="Daily Sales Import"/>
    <n v="-19.964000000000002"/>
    <n v="19.964000000000002"/>
    <x v="1"/>
    <s v="2230"/>
    <s v="000"/>
    <x v="3"/>
    <x v="1"/>
  </r>
  <r>
    <d v="2011-12-26T00:00:00"/>
    <s v="017-2100-000"/>
    <s v="Food Sales"/>
    <n v="4567.5750000000007"/>
    <n v="0"/>
    <s v="Daily Sales Import"/>
    <n v="-4567.5750000000007"/>
    <n v="4567.5750000000007"/>
    <x v="1"/>
    <s v="2100"/>
    <s v="000"/>
    <x v="2"/>
    <x v="0"/>
  </r>
  <r>
    <d v="2011-12-26T00:00:00"/>
    <s v="017-2210-000"/>
    <s v="Liquor Sales"/>
    <n v="595.91399999999999"/>
    <n v="0"/>
    <s v="Daily Sales Import"/>
    <n v="-595.91399999999999"/>
    <n v="595.91399999999999"/>
    <x v="1"/>
    <s v="2210"/>
    <s v="000"/>
    <x v="2"/>
    <x v="0"/>
  </r>
  <r>
    <d v="2011-12-26T00:00:00"/>
    <s v="017-2220-000"/>
    <s v="Beer Sales"/>
    <n v="272.09000000000003"/>
    <n v="0"/>
    <s v="Daily Sales Import"/>
    <n v="-272.09000000000003"/>
    <n v="272.09000000000003"/>
    <x v="1"/>
    <s v="2220"/>
    <s v="000"/>
    <x v="2"/>
    <x v="0"/>
  </r>
  <r>
    <d v="2011-12-26T00:00:00"/>
    <s v="017-2230-000"/>
    <s v="Wine Sales"/>
    <n v="55.774000000000001"/>
    <n v="0"/>
    <s v="Daily Sales Import"/>
    <n v="-55.774000000000001"/>
    <n v="55.774000000000001"/>
    <x v="1"/>
    <s v="2230"/>
    <s v="000"/>
    <x v="2"/>
    <x v="0"/>
  </r>
  <r>
    <d v="2011-12-27T00:00:00"/>
    <s v="017-2100-000"/>
    <s v="Food Sales"/>
    <n v="4651.68"/>
    <n v="0"/>
    <s v="Daily Sales Import"/>
    <n v="-4651.68"/>
    <n v="4651.68"/>
    <x v="1"/>
    <s v="2100"/>
    <s v="000"/>
    <x v="2"/>
    <x v="0"/>
  </r>
  <r>
    <d v="2011-12-27T00:00:00"/>
    <s v="017-2210-000"/>
    <s v="Liquor Sales"/>
    <n v="754.98950000000002"/>
    <n v="0"/>
    <s v="Daily Sales Import"/>
    <n v="-754.98950000000002"/>
    <n v="754.98950000000002"/>
    <x v="1"/>
    <s v="2210"/>
    <s v="000"/>
    <x v="2"/>
    <x v="0"/>
  </r>
  <r>
    <d v="2011-12-27T00:00:00"/>
    <s v="017-2220-000"/>
    <s v="Beer Sales"/>
    <n v="125.95500000000001"/>
    <n v="0"/>
    <s v="Daily Sales Import"/>
    <n v="-125.95500000000001"/>
    <n v="125.95500000000001"/>
    <x v="1"/>
    <s v="2220"/>
    <s v="000"/>
    <x v="2"/>
    <x v="0"/>
  </r>
  <r>
    <d v="2011-12-27T00:00:00"/>
    <s v="017-2230-000"/>
    <s v="Wine Sales"/>
    <n v="63.063000000000002"/>
    <n v="0"/>
    <s v="Daily Sales Import"/>
    <n v="-63.063000000000002"/>
    <n v="63.063000000000002"/>
    <x v="1"/>
    <s v="2230"/>
    <s v="000"/>
    <x v="2"/>
    <x v="0"/>
  </r>
  <r>
    <d v="2011-12-28T00:00:00"/>
    <s v="017-2100-000"/>
    <s v="Food Sales"/>
    <n v="4347.5200000000004"/>
    <n v="0"/>
    <s v="Daily Sales Import"/>
    <n v="-4347.5200000000004"/>
    <n v="4347.5200000000004"/>
    <x v="1"/>
    <s v="2100"/>
    <s v="000"/>
    <x v="2"/>
    <x v="0"/>
  </r>
  <r>
    <d v="2011-12-28T00:00:00"/>
    <s v="017-2210-000"/>
    <s v="Liquor Sales"/>
    <n v="1095.2370000000001"/>
    <n v="0"/>
    <s v="Daily Sales Import"/>
    <n v="-1095.2370000000001"/>
    <n v="1095.2370000000001"/>
    <x v="1"/>
    <s v="2210"/>
    <s v="000"/>
    <x v="2"/>
    <x v="0"/>
  </r>
  <r>
    <d v="2011-12-28T00:00:00"/>
    <s v="017-2220-000"/>
    <s v="Beer Sales"/>
    <n v="253.84"/>
    <n v="0"/>
    <s v="Daily Sales Import"/>
    <n v="-253.84"/>
    <n v="253.84"/>
    <x v="1"/>
    <s v="2220"/>
    <s v="000"/>
    <x v="2"/>
    <x v="0"/>
  </r>
  <r>
    <d v="2011-12-28T00:00:00"/>
    <s v="017-2230-000"/>
    <s v="Wine Sales"/>
    <n v="128.03700000000001"/>
    <n v="0"/>
    <s v="Daily Sales Import"/>
    <n v="-128.03700000000001"/>
    <n v="128.03700000000001"/>
    <x v="1"/>
    <s v="2230"/>
    <s v="000"/>
    <x v="2"/>
    <x v="0"/>
  </r>
  <r>
    <d v="2011-12-29T00:00:00"/>
    <s v="017-2100-000"/>
    <s v="Food Sales"/>
    <n v="7643.1330000000007"/>
    <n v="0"/>
    <s v="Daily Sales Import"/>
    <n v="-7643.1330000000007"/>
    <n v="7643.1330000000007"/>
    <x v="1"/>
    <s v="2100"/>
    <s v="000"/>
    <x v="2"/>
    <x v="0"/>
  </r>
  <r>
    <d v="2011-12-29T00:00:00"/>
    <s v="017-2210-000"/>
    <s v="Liquor Sales"/>
    <n v="1437.8055000000002"/>
    <n v="0"/>
    <s v="Daily Sales Import"/>
    <n v="-1437.8055000000002"/>
    <n v="1437.8055000000002"/>
    <x v="1"/>
    <s v="2210"/>
    <s v="000"/>
    <x v="2"/>
    <x v="0"/>
  </r>
  <r>
    <d v="2011-12-29T00:00:00"/>
    <s v="017-2220-000"/>
    <s v="Beer Sales"/>
    <n v="253.79"/>
    <n v="0"/>
    <s v="Daily Sales Import"/>
    <n v="-253.79"/>
    <n v="253.79"/>
    <x v="1"/>
    <s v="2220"/>
    <s v="000"/>
    <x v="2"/>
    <x v="0"/>
  </r>
  <r>
    <d v="2011-12-29T00:00:00"/>
    <s v="017-2230-000"/>
    <s v="Wine Sales"/>
    <n v="130.61299999999997"/>
    <n v="0"/>
    <s v="Daily Sales Import"/>
    <n v="-130.61299999999997"/>
    <n v="130.61299999999997"/>
    <x v="1"/>
    <s v="2230"/>
    <s v="000"/>
    <x v="2"/>
    <x v="0"/>
  </r>
  <r>
    <d v="2011-12-30T00:00:00"/>
    <s v="017-2100-000"/>
    <s v="Food Sales"/>
    <n v="9063.9195"/>
    <n v="0"/>
    <s v="Daily Sales Import"/>
    <n v="-9063.9195"/>
    <n v="9063.9195"/>
    <x v="1"/>
    <s v="2100"/>
    <s v="000"/>
    <x v="2"/>
    <x v="0"/>
  </r>
  <r>
    <d v="2011-12-30T00:00:00"/>
    <s v="017-2210-000"/>
    <s v="Liquor Sales"/>
    <n v="2318.7150000000001"/>
    <n v="0"/>
    <s v="Daily Sales Import"/>
    <n v="-2318.7150000000001"/>
    <n v="2318.7150000000001"/>
    <x v="1"/>
    <s v="2210"/>
    <s v="000"/>
    <x v="2"/>
    <x v="0"/>
  </r>
  <r>
    <d v="2011-12-30T00:00:00"/>
    <s v="017-2220-000"/>
    <s v="Beer Sales"/>
    <n v="268.10000000000002"/>
    <n v="0"/>
    <s v="Daily Sales Import"/>
    <n v="-268.10000000000002"/>
    <n v="268.10000000000002"/>
    <x v="1"/>
    <s v="2220"/>
    <s v="000"/>
    <x v="2"/>
    <x v="0"/>
  </r>
  <r>
    <d v="2011-12-30T00:00:00"/>
    <s v="017-2230-000"/>
    <s v="Wine Sales"/>
    <n v="135.71250000000001"/>
    <n v="0"/>
    <s v="Daily Sales Import"/>
    <n v="-135.71250000000001"/>
    <n v="135.71250000000001"/>
    <x v="1"/>
    <s v="2230"/>
    <s v="000"/>
    <x v="2"/>
    <x v="0"/>
  </r>
  <r>
    <d v="2011-12-31T00:00:00"/>
    <s v="017-2100-000"/>
    <s v="Food Sales"/>
    <n v="4724.4844999999996"/>
    <n v="0"/>
    <s v="Daily Sales Import"/>
    <n v="-4724.4844999999996"/>
    <n v="4724.4844999999996"/>
    <x v="1"/>
    <s v="2100"/>
    <s v="000"/>
    <x v="2"/>
    <x v="0"/>
  </r>
  <r>
    <d v="2011-12-31T00:00:00"/>
    <s v="017-2210-000"/>
    <s v="Liquor Sales"/>
    <n v="1351.626"/>
    <n v="0"/>
    <s v="Daily Sales Import"/>
    <n v="-1351.626"/>
    <n v="1351.626"/>
    <x v="1"/>
    <s v="2210"/>
    <s v="000"/>
    <x v="2"/>
    <x v="0"/>
  </r>
  <r>
    <d v="2011-12-31T00:00:00"/>
    <s v="017-2220-000"/>
    <s v="Beer Sales"/>
    <n v="168.1"/>
    <n v="0"/>
    <s v="Daily Sales Import"/>
    <n v="-168.1"/>
    <n v="168.1"/>
    <x v="1"/>
    <s v="2220"/>
    <s v="000"/>
    <x v="2"/>
    <x v="0"/>
  </r>
  <r>
    <d v="2011-12-31T00:00:00"/>
    <s v="017-2230-000"/>
    <s v="Wine Sales"/>
    <n v="21.677500000000002"/>
    <n v="0"/>
    <s v="Daily Sales Import"/>
    <n v="-21.677500000000002"/>
    <n v="21.677500000000002"/>
    <x v="1"/>
    <s v="2230"/>
    <s v="000"/>
    <x v="2"/>
    <x v="0"/>
  </r>
  <r>
    <d v="2012-01-01T00:00:00"/>
    <s v="018-2100-000"/>
    <s v="Food Sales"/>
    <n v="6223.8474999999999"/>
    <n v="0"/>
    <s v="Daily Sales Import"/>
    <n v="-6223.8474999999999"/>
    <n v="6223.8474999999999"/>
    <x v="2"/>
    <s v="2100"/>
    <s v="000"/>
    <x v="3"/>
    <x v="1"/>
  </r>
  <r>
    <d v="2012-01-01T00:00:00"/>
    <s v="018-2210-000"/>
    <s v="Liquor Sales"/>
    <n v="848.39700000000005"/>
    <n v="0"/>
    <s v="Daily Sales Import"/>
    <n v="-848.39700000000005"/>
    <n v="848.39700000000005"/>
    <x v="2"/>
    <s v="2210"/>
    <s v="000"/>
    <x v="3"/>
    <x v="1"/>
  </r>
  <r>
    <d v="2012-01-01T00:00:00"/>
    <s v="018-2220-000"/>
    <s v="Beer Sales"/>
    <n v="104.13"/>
    <n v="0"/>
    <s v="Daily Sales Import"/>
    <n v="-104.13"/>
    <n v="104.13"/>
    <x v="2"/>
    <s v="2220"/>
    <s v="000"/>
    <x v="3"/>
    <x v="1"/>
  </r>
  <r>
    <d v="2012-01-01T00:00:00"/>
    <s v="018-2230-000"/>
    <s v="Wine Sales"/>
    <n v="92.814999999999998"/>
    <n v="0"/>
    <s v="Daily Sales Import"/>
    <n v="-92.814999999999998"/>
    <n v="92.814999999999998"/>
    <x v="2"/>
    <s v="2230"/>
    <s v="000"/>
    <x v="3"/>
    <x v="1"/>
  </r>
  <r>
    <d v="2011-12-26T00:00:00"/>
    <s v="018-2100-000"/>
    <s v="Food Sales"/>
    <n v="9581.8883999999998"/>
    <n v="0"/>
    <s v="Daily Sales Import"/>
    <n v="-9581.8883999999998"/>
    <n v="9581.8883999999998"/>
    <x v="2"/>
    <s v="2100"/>
    <s v="000"/>
    <x v="2"/>
    <x v="0"/>
  </r>
  <r>
    <d v="2011-12-26T00:00:00"/>
    <s v="018-2210-000"/>
    <s v="Liquor Sales"/>
    <n v="1235.5205000000001"/>
    <n v="0"/>
    <s v="Daily Sales Import"/>
    <n v="-1235.5205000000001"/>
    <n v="1235.5205000000001"/>
    <x v="2"/>
    <s v="2210"/>
    <s v="000"/>
    <x v="2"/>
    <x v="0"/>
  </r>
  <r>
    <d v="2011-12-26T00:00:00"/>
    <s v="018-2220-000"/>
    <s v="Beer Sales"/>
    <n v="268.15750000000003"/>
    <n v="0"/>
    <s v="Daily Sales Import"/>
    <n v="-268.15750000000003"/>
    <n v="268.15750000000003"/>
    <x v="2"/>
    <s v="2220"/>
    <s v="000"/>
    <x v="2"/>
    <x v="0"/>
  </r>
  <r>
    <d v="2011-12-26T00:00:00"/>
    <s v="018-2230-000"/>
    <s v="Wine Sales"/>
    <n v="83.537999999999997"/>
    <n v="0"/>
    <s v="Daily Sales Import"/>
    <n v="-83.537999999999997"/>
    <n v="83.537999999999997"/>
    <x v="2"/>
    <s v="2230"/>
    <s v="000"/>
    <x v="2"/>
    <x v="0"/>
  </r>
  <r>
    <d v="2011-12-27T00:00:00"/>
    <s v="018-2100-000"/>
    <s v="Food Sales"/>
    <n v="5494.6480000000001"/>
    <n v="0"/>
    <s v="Daily Sales Import"/>
    <n v="-5494.6480000000001"/>
    <n v="5494.6480000000001"/>
    <x v="2"/>
    <s v="2100"/>
    <s v="000"/>
    <x v="2"/>
    <x v="0"/>
  </r>
  <r>
    <d v="2011-12-27T00:00:00"/>
    <s v="018-2210-000"/>
    <s v="Liquor Sales"/>
    <n v="621.49850000000004"/>
    <n v="0"/>
    <s v="Daily Sales Import"/>
    <n v="-621.49850000000004"/>
    <n v="621.49850000000004"/>
    <x v="2"/>
    <s v="2210"/>
    <s v="000"/>
    <x v="2"/>
    <x v="0"/>
  </r>
  <r>
    <d v="2011-12-27T00:00:00"/>
    <s v="018-2220-000"/>
    <s v="Beer Sales"/>
    <n v="147.744"/>
    <n v="0"/>
    <s v="Daily Sales Import"/>
    <n v="-147.744"/>
    <n v="147.744"/>
    <x v="2"/>
    <s v="2220"/>
    <s v="000"/>
    <x v="2"/>
    <x v="0"/>
  </r>
  <r>
    <d v="2011-12-27T00:00:00"/>
    <s v="018-2230-000"/>
    <s v="Wine Sales"/>
    <n v="59.57"/>
    <n v="0"/>
    <s v="Daily Sales Import"/>
    <n v="-59.57"/>
    <n v="59.57"/>
    <x v="2"/>
    <s v="2230"/>
    <s v="000"/>
    <x v="2"/>
    <x v="0"/>
  </r>
  <r>
    <d v="2011-12-28T00:00:00"/>
    <s v="018-2100-000"/>
    <s v="Food Sales"/>
    <n v="5814.9860000000008"/>
    <n v="0"/>
    <s v="Daily Sales Import"/>
    <n v="-5814.9860000000008"/>
    <n v="5814.9860000000008"/>
    <x v="2"/>
    <s v="2100"/>
    <s v="000"/>
    <x v="2"/>
    <x v="0"/>
  </r>
  <r>
    <d v="2011-12-28T00:00:00"/>
    <s v="018-2210-000"/>
    <s v="Liquor Sales"/>
    <n v="1309.8800000000001"/>
    <n v="0"/>
    <s v="Daily Sales Import"/>
    <n v="-1309.8800000000001"/>
    <n v="1309.8800000000001"/>
    <x v="2"/>
    <s v="2210"/>
    <s v="000"/>
    <x v="2"/>
    <x v="0"/>
  </r>
  <r>
    <d v="2011-12-28T00:00:00"/>
    <s v="018-2220-000"/>
    <s v="Beer Sales"/>
    <n v="169.22899999999998"/>
    <n v="0"/>
    <s v="Daily Sales Import"/>
    <n v="-169.22899999999998"/>
    <n v="169.22899999999998"/>
    <x v="2"/>
    <s v="2220"/>
    <s v="000"/>
    <x v="2"/>
    <x v="0"/>
  </r>
  <r>
    <d v="2011-12-28T00:00:00"/>
    <s v="018-2230-000"/>
    <s v="Wine Sales"/>
    <n v="99.521999999999991"/>
    <n v="0"/>
    <s v="Daily Sales Import"/>
    <n v="-99.521999999999991"/>
    <n v="99.521999999999991"/>
    <x v="2"/>
    <s v="2230"/>
    <s v="000"/>
    <x v="2"/>
    <x v="0"/>
  </r>
  <r>
    <d v="2011-12-29T00:00:00"/>
    <s v="018-2100-000"/>
    <s v="Food Sales"/>
    <n v="5854.24"/>
    <n v="0"/>
    <s v="Daily Sales Import"/>
    <n v="-5854.24"/>
    <n v="5854.24"/>
    <x v="2"/>
    <s v="2100"/>
    <s v="000"/>
    <x v="2"/>
    <x v="0"/>
  </r>
  <r>
    <d v="2011-12-29T00:00:00"/>
    <s v="018-2210-000"/>
    <s v="Liquor Sales"/>
    <n v="1244.607"/>
    <n v="0"/>
    <s v="Daily Sales Import"/>
    <n v="-1244.607"/>
    <n v="1244.607"/>
    <x v="2"/>
    <s v="2210"/>
    <s v="000"/>
    <x v="2"/>
    <x v="0"/>
  </r>
  <r>
    <d v="2011-12-29T00:00:00"/>
    <s v="018-2220-000"/>
    <s v="Beer Sales"/>
    <n v="391.35149999999999"/>
    <n v="0"/>
    <s v="Daily Sales Import"/>
    <n v="-391.35149999999999"/>
    <n v="391.35149999999999"/>
    <x v="2"/>
    <s v="2220"/>
    <s v="000"/>
    <x v="2"/>
    <x v="0"/>
  </r>
  <r>
    <d v="2011-12-29T00:00:00"/>
    <s v="018-2230-000"/>
    <s v="Wine Sales"/>
    <n v="109.575"/>
    <n v="0"/>
    <s v="Daily Sales Import"/>
    <n v="-109.575"/>
    <n v="109.575"/>
    <x v="2"/>
    <s v="2230"/>
    <s v="000"/>
    <x v="2"/>
    <x v="0"/>
  </r>
  <r>
    <d v="2011-12-30T00:00:00"/>
    <s v="018-2100-000"/>
    <s v="Food Sales"/>
    <n v="10520.919800000001"/>
    <n v="0"/>
    <s v="Daily Sales Import"/>
    <n v="-10520.919800000001"/>
    <n v="10520.919800000001"/>
    <x v="2"/>
    <s v="2100"/>
    <s v="000"/>
    <x v="2"/>
    <x v="0"/>
  </r>
  <r>
    <d v="2011-12-30T00:00:00"/>
    <s v="018-2210-000"/>
    <s v="Liquor Sales"/>
    <n v="1955.8525"/>
    <n v="0"/>
    <s v="Daily Sales Import"/>
    <n v="-1955.8525"/>
    <n v="1955.8525"/>
    <x v="2"/>
    <s v="2210"/>
    <s v="000"/>
    <x v="2"/>
    <x v="0"/>
  </r>
  <r>
    <d v="2011-12-30T00:00:00"/>
    <s v="018-2220-000"/>
    <s v="Beer Sales"/>
    <n v="465.48449999999997"/>
    <n v="0"/>
    <s v="Daily Sales Import"/>
    <n v="-465.48449999999997"/>
    <n v="465.48449999999997"/>
    <x v="2"/>
    <s v="2220"/>
    <s v="000"/>
    <x v="2"/>
    <x v="0"/>
  </r>
  <r>
    <d v="2011-12-30T00:00:00"/>
    <s v="018-2230-000"/>
    <s v="Wine Sales"/>
    <n v="141.33749999999998"/>
    <n v="0"/>
    <s v="Daily Sales Import"/>
    <n v="-141.33749999999998"/>
    <n v="141.33749999999998"/>
    <x v="2"/>
    <s v="2230"/>
    <s v="000"/>
    <x v="2"/>
    <x v="0"/>
  </r>
  <r>
    <d v="2011-12-31T00:00:00"/>
    <s v="018-2100-000"/>
    <s v="Food Sales"/>
    <n v="8476.58"/>
    <n v="0"/>
    <s v="Daily Sales Import"/>
    <n v="-8476.58"/>
    <n v="8476.58"/>
    <x v="2"/>
    <s v="2100"/>
    <s v="000"/>
    <x v="2"/>
    <x v="0"/>
  </r>
  <r>
    <d v="2011-12-31T00:00:00"/>
    <s v="018-2210-000"/>
    <s v="Liquor Sales"/>
    <n v="1532.3490000000002"/>
    <n v="0"/>
    <s v="Daily Sales Import"/>
    <n v="-1532.3490000000002"/>
    <n v="1532.3490000000002"/>
    <x v="2"/>
    <s v="2210"/>
    <s v="000"/>
    <x v="2"/>
    <x v="0"/>
  </r>
  <r>
    <d v="2011-12-31T00:00:00"/>
    <s v="018-2220-000"/>
    <s v="Beer Sales"/>
    <n v="461.19600000000003"/>
    <n v="0"/>
    <s v="Daily Sales Import"/>
    <n v="-461.19600000000003"/>
    <n v="461.19600000000003"/>
    <x v="2"/>
    <s v="2220"/>
    <s v="000"/>
    <x v="2"/>
    <x v="0"/>
  </r>
  <r>
    <d v="2011-12-31T00:00:00"/>
    <s v="018-2230-000"/>
    <s v="Wine Sales"/>
    <n v="45.905999999999999"/>
    <n v="0"/>
    <s v="Daily Sales Import"/>
    <n v="-45.905999999999999"/>
    <n v="45.905999999999999"/>
    <x v="2"/>
    <s v="2230"/>
    <s v="000"/>
    <x v="2"/>
    <x v="0"/>
  </r>
  <r>
    <d v="2012-01-02T00:00:00"/>
    <s v="016-2100-000"/>
    <s v="Food Sales"/>
    <n v="3681.7952999999998"/>
    <n v="0"/>
    <s v="Daily Sales Import"/>
    <n v="-3681.7952999999998"/>
    <n v="3681.7952999999998"/>
    <x v="0"/>
    <s v="2100"/>
    <s v="000"/>
    <x v="3"/>
    <x v="1"/>
  </r>
  <r>
    <d v="2012-01-02T00:00:00"/>
    <s v="016-2210-000"/>
    <s v="Liquor Sales"/>
    <n v="811.78499999999997"/>
    <n v="0"/>
    <s v="Daily Sales Import"/>
    <n v="-811.78499999999997"/>
    <n v="811.78499999999997"/>
    <x v="0"/>
    <s v="2210"/>
    <s v="000"/>
    <x v="3"/>
    <x v="1"/>
  </r>
  <r>
    <d v="2012-01-02T00:00:00"/>
    <s v="016-2220-000"/>
    <s v="Beer Sales"/>
    <n v="267.33600000000001"/>
    <n v="0"/>
    <s v="Daily Sales Import"/>
    <n v="-267.33600000000001"/>
    <n v="267.33600000000001"/>
    <x v="0"/>
    <s v="2220"/>
    <s v="000"/>
    <x v="3"/>
    <x v="1"/>
  </r>
  <r>
    <d v="2012-01-02T00:00:00"/>
    <s v="016-2230-000"/>
    <s v="Wine Sales"/>
    <n v="186.30400000000003"/>
    <n v="0"/>
    <s v="Daily Sales Import"/>
    <n v="-186.30400000000003"/>
    <n v="186.30400000000003"/>
    <x v="0"/>
    <s v="2230"/>
    <s v="000"/>
    <x v="3"/>
    <x v="1"/>
  </r>
  <r>
    <d v="2012-01-03T00:00:00"/>
    <s v="016-2100-000"/>
    <s v="Food Sales"/>
    <n v="5111.1000000000004"/>
    <n v="0"/>
    <s v="Daily Sales Import"/>
    <n v="-5111.1000000000004"/>
    <n v="5111.1000000000004"/>
    <x v="0"/>
    <s v="2100"/>
    <s v="000"/>
    <x v="3"/>
    <x v="1"/>
  </r>
  <r>
    <d v="2012-01-03T00:00:00"/>
    <s v="016-2210-000"/>
    <s v="Liquor Sales"/>
    <n v="1067.9190000000001"/>
    <n v="0"/>
    <s v="Daily Sales Import"/>
    <n v="-1067.9190000000001"/>
    <n v="1067.9190000000001"/>
    <x v="0"/>
    <s v="2210"/>
    <s v="000"/>
    <x v="3"/>
    <x v="1"/>
  </r>
  <r>
    <d v="2012-01-03T00:00:00"/>
    <s v="016-2220-000"/>
    <s v="Beer Sales"/>
    <n v="185.54399999999998"/>
    <n v="0"/>
    <s v="Daily Sales Import"/>
    <n v="-185.54399999999998"/>
    <n v="185.54399999999998"/>
    <x v="0"/>
    <s v="2220"/>
    <s v="000"/>
    <x v="3"/>
    <x v="1"/>
  </r>
  <r>
    <d v="2012-01-03T00:00:00"/>
    <s v="016-2230-000"/>
    <s v="Wine Sales"/>
    <n v="150.744"/>
    <n v="0"/>
    <s v="Daily Sales Import"/>
    <n v="-150.744"/>
    <n v="150.744"/>
    <x v="0"/>
    <s v="2230"/>
    <s v="000"/>
    <x v="3"/>
    <x v="1"/>
  </r>
  <r>
    <d v="2012-01-04T00:00:00"/>
    <s v="016-2100-000"/>
    <s v="Food Sales"/>
    <n v="4732.5364999999993"/>
    <n v="0"/>
    <s v="Daily Sales Import"/>
    <n v="-4732.5364999999993"/>
    <n v="4732.5364999999993"/>
    <x v="0"/>
    <s v="2100"/>
    <s v="000"/>
    <x v="3"/>
    <x v="1"/>
  </r>
  <r>
    <d v="2012-01-04T00:00:00"/>
    <s v="016-2210-000"/>
    <s v="Liquor Sales"/>
    <n v="748.38400000000013"/>
    <n v="0"/>
    <s v="Daily Sales Import"/>
    <n v="-748.38400000000013"/>
    <n v="748.38400000000013"/>
    <x v="0"/>
    <s v="2210"/>
    <s v="000"/>
    <x v="3"/>
    <x v="1"/>
  </r>
  <r>
    <d v="2012-01-04T00:00:00"/>
    <s v="016-2220-000"/>
    <s v="Beer Sales"/>
    <n v="213.28200000000001"/>
    <n v="0"/>
    <s v="Daily Sales Import"/>
    <n v="-213.28200000000001"/>
    <n v="213.28200000000001"/>
    <x v="0"/>
    <s v="2220"/>
    <s v="000"/>
    <x v="3"/>
    <x v="1"/>
  </r>
  <r>
    <d v="2012-01-04T00:00:00"/>
    <s v="016-2230-000"/>
    <s v="Wine Sales"/>
    <n v="146.61349999999999"/>
    <n v="0"/>
    <s v="Daily Sales Import"/>
    <n v="-146.61349999999999"/>
    <n v="146.61349999999999"/>
    <x v="0"/>
    <s v="2230"/>
    <s v="000"/>
    <x v="3"/>
    <x v="1"/>
  </r>
  <r>
    <d v="2012-01-05T00:00:00"/>
    <s v="016-2100-000"/>
    <s v="Food Sales"/>
    <n v="4413.9814999999999"/>
    <n v="0"/>
    <s v="Daily Sales Import"/>
    <n v="-4413.9814999999999"/>
    <n v="4413.9814999999999"/>
    <x v="0"/>
    <s v="2100"/>
    <s v="000"/>
    <x v="3"/>
    <x v="1"/>
  </r>
  <r>
    <d v="2012-01-05T00:00:00"/>
    <s v="016-2210-000"/>
    <s v="Liquor Sales"/>
    <n v="1330.42"/>
    <n v="0"/>
    <s v="Daily Sales Import"/>
    <n v="-1330.42"/>
    <n v="1330.42"/>
    <x v="0"/>
    <s v="2210"/>
    <s v="000"/>
    <x v="3"/>
    <x v="1"/>
  </r>
  <r>
    <d v="2012-01-05T00:00:00"/>
    <s v="016-2220-000"/>
    <s v="Beer Sales"/>
    <n v="222.10649999999998"/>
    <n v="0"/>
    <s v="Daily Sales Import"/>
    <n v="-222.10649999999998"/>
    <n v="222.10649999999998"/>
    <x v="0"/>
    <s v="2220"/>
    <s v="000"/>
    <x v="3"/>
    <x v="1"/>
  </r>
  <r>
    <d v="2012-01-05T00:00:00"/>
    <s v="016-2230-000"/>
    <s v="Wine Sales"/>
    <n v="183.63150000000002"/>
    <n v="0"/>
    <s v="Daily Sales Import"/>
    <n v="-183.63150000000002"/>
    <n v="183.63150000000002"/>
    <x v="0"/>
    <s v="2230"/>
    <s v="000"/>
    <x v="3"/>
    <x v="1"/>
  </r>
  <r>
    <d v="2012-01-06T00:00:00"/>
    <s v="016-2100-000"/>
    <s v="Food Sales"/>
    <n v="5766.7316000000001"/>
    <n v="0"/>
    <s v="Daily Sales Import"/>
    <n v="-5766.7316000000001"/>
    <n v="5766.7316000000001"/>
    <x v="0"/>
    <s v="2100"/>
    <s v="000"/>
    <x v="3"/>
    <x v="1"/>
  </r>
  <r>
    <d v="2012-01-06T00:00:00"/>
    <s v="016-2210-000"/>
    <s v="Liquor Sales"/>
    <n v="1756.6890000000001"/>
    <n v="0"/>
    <s v="Daily Sales Import"/>
    <n v="-1756.6890000000001"/>
    <n v="1756.6890000000001"/>
    <x v="0"/>
    <s v="2210"/>
    <s v="000"/>
    <x v="3"/>
    <x v="1"/>
  </r>
  <r>
    <d v="2012-01-06T00:00:00"/>
    <s v="016-2220-000"/>
    <s v="Beer Sales"/>
    <n v="572.28000000000009"/>
    <n v="0"/>
    <s v="Daily Sales Import"/>
    <n v="-572.28000000000009"/>
    <n v="572.28000000000009"/>
    <x v="0"/>
    <s v="2220"/>
    <s v="000"/>
    <x v="3"/>
    <x v="1"/>
  </r>
  <r>
    <d v="2012-01-06T00:00:00"/>
    <s v="016-2230-000"/>
    <s v="Wine Sales"/>
    <n v="310.08"/>
    <n v="0"/>
    <s v="Daily Sales Import"/>
    <n v="-310.08"/>
    <n v="310.08"/>
    <x v="0"/>
    <s v="2230"/>
    <s v="000"/>
    <x v="3"/>
    <x v="1"/>
  </r>
  <r>
    <d v="2012-01-07T00:00:00"/>
    <s v="016-2100-000"/>
    <s v="Food Sales"/>
    <n v="8852.1119999999992"/>
    <n v="0"/>
    <s v="Daily Sales Import"/>
    <n v="-8852.1119999999992"/>
    <n v="8852.1119999999992"/>
    <x v="0"/>
    <s v="2100"/>
    <s v="000"/>
    <x v="3"/>
    <x v="1"/>
  </r>
  <r>
    <d v="2012-01-07T00:00:00"/>
    <s v="016-2210-000"/>
    <s v="Liquor Sales"/>
    <n v="2623.05"/>
    <n v="0"/>
    <s v="Daily Sales Import"/>
    <n v="-2623.05"/>
    <n v="2623.05"/>
    <x v="0"/>
    <s v="2210"/>
    <s v="000"/>
    <x v="3"/>
    <x v="1"/>
  </r>
  <r>
    <d v="2012-01-07T00:00:00"/>
    <s v="016-2220-000"/>
    <s v="Beer Sales"/>
    <n v="479.52"/>
    <n v="0"/>
    <s v="Daily Sales Import"/>
    <n v="-479.52"/>
    <n v="479.52"/>
    <x v="0"/>
    <s v="2220"/>
    <s v="000"/>
    <x v="3"/>
    <x v="1"/>
  </r>
  <r>
    <d v="2012-01-07T00:00:00"/>
    <s v="016-2230-000"/>
    <s v="Wine Sales"/>
    <n v="351.60449999999997"/>
    <n v="0"/>
    <s v="Daily Sales Import"/>
    <n v="-351.60449999999997"/>
    <n v="351.60449999999997"/>
    <x v="0"/>
    <s v="2230"/>
    <s v="000"/>
    <x v="3"/>
    <x v="1"/>
  </r>
  <r>
    <d v="2012-01-08T00:00:00"/>
    <s v="016-2100-000"/>
    <s v="Food Sales"/>
    <n v="4306.3020000000006"/>
    <n v="0"/>
    <s v="Daily Sales Import"/>
    <n v="-4306.3020000000006"/>
    <n v="4306.3020000000006"/>
    <x v="0"/>
    <s v="2100"/>
    <s v="000"/>
    <x v="3"/>
    <x v="1"/>
  </r>
  <r>
    <d v="2012-01-08T00:00:00"/>
    <s v="016-2210-000"/>
    <s v="Liquor Sales"/>
    <n v="774.66"/>
    <n v="0"/>
    <s v="Daily Sales Import"/>
    <n v="-774.66"/>
    <n v="774.66"/>
    <x v="0"/>
    <s v="2210"/>
    <s v="000"/>
    <x v="3"/>
    <x v="1"/>
  </r>
  <r>
    <d v="2012-01-08T00:00:00"/>
    <s v="016-2220-000"/>
    <s v="Beer Sales"/>
    <n v="167.0625"/>
    <n v="0"/>
    <s v="Daily Sales Import"/>
    <n v="-167.0625"/>
    <n v="167.0625"/>
    <x v="0"/>
    <s v="2220"/>
    <s v="000"/>
    <x v="3"/>
    <x v="1"/>
  </r>
  <r>
    <d v="2012-01-08T00:00:00"/>
    <s v="016-2230-000"/>
    <s v="Wine Sales"/>
    <n v="102.66"/>
    <n v="0"/>
    <s v="Daily Sales Import"/>
    <n v="-102.66"/>
    <n v="102.66"/>
    <x v="0"/>
    <s v="2230"/>
    <s v="000"/>
    <x v="3"/>
    <x v="1"/>
  </r>
  <r>
    <d v="2012-01-02T00:00:00"/>
    <s v="017-2100-000"/>
    <s v="Food Sales"/>
    <n v="2902.0849000000003"/>
    <n v="0"/>
    <s v="Daily Sales Import"/>
    <n v="-2902.0849000000003"/>
    <n v="2902.0849000000003"/>
    <x v="1"/>
    <s v="2100"/>
    <s v="000"/>
    <x v="3"/>
    <x v="1"/>
  </r>
  <r>
    <d v="2012-01-02T00:00:00"/>
    <s v="017-2210-000"/>
    <s v="Liquor Sales"/>
    <n v="593.3655"/>
    <n v="0"/>
    <s v="Daily Sales Import"/>
    <n v="-593.3655"/>
    <n v="593.3655"/>
    <x v="1"/>
    <s v="2210"/>
    <s v="000"/>
    <x v="3"/>
    <x v="1"/>
  </r>
  <r>
    <d v="2012-01-02T00:00:00"/>
    <s v="017-2220-000"/>
    <s v="Beer Sales"/>
    <n v="74.114999999999995"/>
    <n v="0"/>
    <s v="Daily Sales Import"/>
    <n v="-74.114999999999995"/>
    <n v="74.114999999999995"/>
    <x v="1"/>
    <s v="2220"/>
    <s v="000"/>
    <x v="3"/>
    <x v="1"/>
  </r>
  <r>
    <d v="2012-01-02T00:00:00"/>
    <s v="017-2230-000"/>
    <s v="Wine Sales"/>
    <n v="69.3"/>
    <n v="0"/>
    <s v="Daily Sales Import"/>
    <n v="-69.3"/>
    <n v="69.3"/>
    <x v="1"/>
    <s v="2230"/>
    <s v="000"/>
    <x v="3"/>
    <x v="1"/>
  </r>
  <r>
    <d v="2012-01-03T00:00:00"/>
    <s v="017-2100-000"/>
    <s v="Food Sales"/>
    <n v="3595.4451000000004"/>
    <n v="0"/>
    <s v="Daily Sales Import"/>
    <n v="-3595.4451000000004"/>
    <n v="3595.4451000000004"/>
    <x v="1"/>
    <s v="2100"/>
    <s v="000"/>
    <x v="3"/>
    <x v="1"/>
  </r>
  <r>
    <d v="2012-01-03T00:00:00"/>
    <s v="017-2210-000"/>
    <s v="Liquor Sales"/>
    <n v="740.76699999999994"/>
    <n v="0"/>
    <s v="Daily Sales Import"/>
    <n v="-740.76699999999994"/>
    <n v="740.76699999999994"/>
    <x v="1"/>
    <s v="2210"/>
    <s v="000"/>
    <x v="3"/>
    <x v="1"/>
  </r>
  <r>
    <d v="2012-01-03T00:00:00"/>
    <s v="017-2220-000"/>
    <s v="Beer Sales"/>
    <n v="159.32999999999998"/>
    <n v="0"/>
    <s v="Daily Sales Import"/>
    <n v="-159.32999999999998"/>
    <n v="159.32999999999998"/>
    <x v="1"/>
    <s v="2220"/>
    <s v="000"/>
    <x v="3"/>
    <x v="1"/>
  </r>
  <r>
    <d v="2012-01-03T00:00:00"/>
    <s v="017-2230-000"/>
    <s v="Wine Sales"/>
    <n v="42.920999999999992"/>
    <n v="0"/>
    <s v="Daily Sales Import"/>
    <n v="-42.920999999999992"/>
    <n v="42.920999999999992"/>
    <x v="1"/>
    <s v="2230"/>
    <s v="000"/>
    <x v="3"/>
    <x v="1"/>
  </r>
  <r>
    <d v="2012-01-04T00:00:00"/>
    <s v="017-2100-000"/>
    <s v="Food Sales"/>
    <n v="4891.1414999999997"/>
    <n v="0"/>
    <s v="Daily Sales Import"/>
    <n v="-4891.1414999999997"/>
    <n v="4891.1414999999997"/>
    <x v="1"/>
    <s v="2100"/>
    <s v="000"/>
    <x v="3"/>
    <x v="1"/>
  </r>
  <r>
    <d v="2012-01-04T00:00:00"/>
    <s v="017-2210-000"/>
    <s v="Liquor Sales"/>
    <n v="734.52600000000007"/>
    <n v="0"/>
    <s v="Daily Sales Import"/>
    <n v="-734.52600000000007"/>
    <n v="734.52600000000007"/>
    <x v="1"/>
    <s v="2210"/>
    <s v="000"/>
    <x v="3"/>
    <x v="1"/>
  </r>
  <r>
    <d v="2012-01-04T00:00:00"/>
    <s v="017-2220-000"/>
    <s v="Beer Sales"/>
    <n v="182.04749999999999"/>
    <n v="0"/>
    <s v="Daily Sales Import"/>
    <n v="-182.04749999999999"/>
    <n v="182.04749999999999"/>
    <x v="1"/>
    <s v="2220"/>
    <s v="000"/>
    <x v="3"/>
    <x v="1"/>
  </r>
  <r>
    <d v="2012-01-04T00:00:00"/>
    <s v="017-2230-000"/>
    <s v="Wine Sales"/>
    <n v="60.160500000000006"/>
    <n v="0"/>
    <s v="Daily Sales Import"/>
    <n v="-60.160500000000006"/>
    <n v="60.160500000000006"/>
    <x v="1"/>
    <s v="2230"/>
    <s v="000"/>
    <x v="3"/>
    <x v="1"/>
  </r>
  <r>
    <d v="2012-01-05T00:00:00"/>
    <s v="017-2100-000"/>
    <s v="Food Sales"/>
    <n v="4675.8374999999996"/>
    <n v="0"/>
    <s v="Daily Sales Import"/>
    <n v="-4675.8374999999996"/>
    <n v="4675.8374999999996"/>
    <x v="1"/>
    <s v="2100"/>
    <s v="000"/>
    <x v="3"/>
    <x v="1"/>
  </r>
  <r>
    <d v="2012-01-05T00:00:00"/>
    <s v="017-2210-000"/>
    <s v="Liquor Sales"/>
    <n v="752.37"/>
    <n v="0"/>
    <s v="Daily Sales Import"/>
    <n v="-752.37"/>
    <n v="752.37"/>
    <x v="1"/>
    <s v="2210"/>
    <s v="000"/>
    <x v="3"/>
    <x v="1"/>
  </r>
  <r>
    <d v="2012-01-05T00:00:00"/>
    <s v="017-2220-000"/>
    <s v="Beer Sales"/>
    <n v="315.20999999999998"/>
    <n v="0"/>
    <s v="Daily Sales Import"/>
    <n v="-315.20999999999998"/>
    <n v="315.20999999999998"/>
    <x v="1"/>
    <s v="2220"/>
    <s v="000"/>
    <x v="3"/>
    <x v="1"/>
  </r>
  <r>
    <d v="2012-01-05T00:00:00"/>
    <s v="017-2230-000"/>
    <s v="Wine Sales"/>
    <n v="67.520999999999987"/>
    <n v="0"/>
    <s v="Daily Sales Import"/>
    <n v="-67.520999999999987"/>
    <n v="67.520999999999987"/>
    <x v="1"/>
    <s v="2230"/>
    <s v="000"/>
    <x v="3"/>
    <x v="1"/>
  </r>
  <r>
    <d v="2012-01-06T00:00:00"/>
    <s v="017-2100-000"/>
    <s v="Food Sales"/>
    <n v="7597.3239999999996"/>
    <n v="0"/>
    <s v="Daily Sales Import"/>
    <n v="-7597.3239999999996"/>
    <n v="7597.3239999999996"/>
    <x v="1"/>
    <s v="2100"/>
    <s v="000"/>
    <x v="3"/>
    <x v="1"/>
  </r>
  <r>
    <d v="2012-01-06T00:00:00"/>
    <s v="017-2210-000"/>
    <s v="Liquor Sales"/>
    <n v="2982.7890000000002"/>
    <n v="0"/>
    <s v="Daily Sales Import"/>
    <n v="-2982.7890000000002"/>
    <n v="2982.7890000000002"/>
    <x v="1"/>
    <s v="2210"/>
    <s v="000"/>
    <x v="3"/>
    <x v="1"/>
  </r>
  <r>
    <d v="2012-01-06T00:00:00"/>
    <s v="017-2220-000"/>
    <s v="Beer Sales"/>
    <n v="976.86"/>
    <n v="0"/>
    <s v="Daily Sales Import"/>
    <n v="-976.86"/>
    <n v="976.86"/>
    <x v="1"/>
    <s v="2220"/>
    <s v="000"/>
    <x v="3"/>
    <x v="1"/>
  </r>
  <r>
    <d v="2012-01-06T00:00:00"/>
    <s v="017-2230-000"/>
    <s v="Wine Sales"/>
    <n v="224.46"/>
    <n v="0"/>
    <s v="Daily Sales Import"/>
    <n v="-224.46"/>
    <n v="224.46"/>
    <x v="1"/>
    <s v="2230"/>
    <s v="000"/>
    <x v="3"/>
    <x v="1"/>
  </r>
  <r>
    <d v="2012-01-07T00:00:00"/>
    <s v="017-2100-000"/>
    <s v="Food Sales"/>
    <n v="9009.1020000000008"/>
    <n v="0"/>
    <s v="Daily Sales Import"/>
    <n v="-9009.1020000000008"/>
    <n v="9009.1020000000008"/>
    <x v="1"/>
    <s v="2100"/>
    <s v="000"/>
    <x v="3"/>
    <x v="1"/>
  </r>
  <r>
    <d v="2012-01-07T00:00:00"/>
    <s v="017-2210-000"/>
    <s v="Liquor Sales"/>
    <n v="1338.71"/>
    <n v="0"/>
    <s v="Daily Sales Import"/>
    <n v="-1338.71"/>
    <n v="1338.71"/>
    <x v="1"/>
    <s v="2210"/>
    <s v="000"/>
    <x v="3"/>
    <x v="1"/>
  </r>
  <r>
    <d v="2012-01-07T00:00:00"/>
    <s v="017-2220-000"/>
    <s v="Beer Sales"/>
    <n v="416.74"/>
    <n v="0"/>
    <s v="Daily Sales Import"/>
    <n v="-416.74"/>
    <n v="416.74"/>
    <x v="1"/>
    <s v="2220"/>
    <s v="000"/>
    <x v="3"/>
    <x v="1"/>
  </r>
  <r>
    <d v="2012-01-07T00:00:00"/>
    <s v="017-2230-000"/>
    <s v="Wine Sales"/>
    <n v="104.62199999999999"/>
    <n v="0"/>
    <s v="Daily Sales Import"/>
    <n v="-104.62199999999999"/>
    <n v="104.62199999999999"/>
    <x v="1"/>
    <s v="2230"/>
    <s v="000"/>
    <x v="3"/>
    <x v="1"/>
  </r>
  <r>
    <d v="2012-01-08T00:00:00"/>
    <s v="017-2100-000"/>
    <s v="Food Sales"/>
    <n v="3211.6494999999995"/>
    <n v="0"/>
    <s v="Daily Sales Import"/>
    <n v="-3211.6494999999995"/>
    <n v="3211.6494999999995"/>
    <x v="1"/>
    <s v="2100"/>
    <s v="000"/>
    <x v="3"/>
    <x v="1"/>
  </r>
  <r>
    <d v="2012-01-08T00:00:00"/>
    <s v="017-2210-000"/>
    <s v="Liquor Sales"/>
    <n v="463.089"/>
    <n v="0"/>
    <s v="Daily Sales Import"/>
    <n v="-463.089"/>
    <n v="463.089"/>
    <x v="1"/>
    <s v="2210"/>
    <s v="000"/>
    <x v="3"/>
    <x v="1"/>
  </r>
  <r>
    <d v="2012-01-08T00:00:00"/>
    <s v="017-2220-000"/>
    <s v="Beer Sales"/>
    <n v="150.72749999999999"/>
    <n v="0"/>
    <s v="Daily Sales Import"/>
    <n v="-150.72749999999999"/>
    <n v="150.72749999999999"/>
    <x v="1"/>
    <s v="2220"/>
    <s v="000"/>
    <x v="3"/>
    <x v="1"/>
  </r>
  <r>
    <d v="2012-01-08T00:00:00"/>
    <s v="017-2230-000"/>
    <s v="Wine Sales"/>
    <n v="98.94"/>
    <n v="0"/>
    <s v="Daily Sales Import"/>
    <n v="-98.94"/>
    <n v="98.94"/>
    <x v="1"/>
    <s v="2230"/>
    <s v="000"/>
    <x v="3"/>
    <x v="1"/>
  </r>
  <r>
    <d v="2012-01-02T00:00:00"/>
    <s v="018-2100-000"/>
    <s v="Food Sales"/>
    <n v="6341.3959000000004"/>
    <n v="0"/>
    <s v="Daily Sales Import"/>
    <n v="-6341.3959000000004"/>
    <n v="6341.3959000000004"/>
    <x v="2"/>
    <s v="2100"/>
    <s v="000"/>
    <x v="3"/>
    <x v="1"/>
  </r>
  <r>
    <d v="2012-01-02T00:00:00"/>
    <s v="018-2210-000"/>
    <s v="Liquor Sales"/>
    <n v="788.76600000000008"/>
    <n v="0"/>
    <s v="Daily Sales Import"/>
    <n v="-788.76600000000008"/>
    <n v="788.76600000000008"/>
    <x v="2"/>
    <s v="2210"/>
    <s v="000"/>
    <x v="3"/>
    <x v="1"/>
  </r>
  <r>
    <d v="2012-01-02T00:00:00"/>
    <s v="018-2220-000"/>
    <s v="Beer Sales"/>
    <n v="222.66899999999998"/>
    <n v="0"/>
    <s v="Daily Sales Import"/>
    <n v="-222.66899999999998"/>
    <n v="222.66899999999998"/>
    <x v="2"/>
    <s v="2220"/>
    <s v="000"/>
    <x v="3"/>
    <x v="1"/>
  </r>
  <r>
    <d v="2012-01-02T00:00:00"/>
    <s v="018-2230-000"/>
    <s v="Wine Sales"/>
    <n v="87.22999999999999"/>
    <n v="0"/>
    <s v="Daily Sales Import"/>
    <n v="-87.22999999999999"/>
    <n v="87.22999999999999"/>
    <x v="2"/>
    <s v="2230"/>
    <s v="000"/>
    <x v="3"/>
    <x v="1"/>
  </r>
  <r>
    <d v="2012-01-03T00:00:00"/>
    <s v="018-2100-000"/>
    <s v="Food Sales"/>
    <n v="3155.3445000000002"/>
    <n v="0"/>
    <s v="Daily Sales Import"/>
    <n v="-3155.3445000000002"/>
    <n v="3155.3445000000002"/>
    <x v="2"/>
    <s v="2100"/>
    <s v="000"/>
    <x v="3"/>
    <x v="1"/>
  </r>
  <r>
    <d v="2012-01-03T00:00:00"/>
    <s v="018-2210-000"/>
    <s v="Liquor Sales"/>
    <n v="577.30500000000006"/>
    <n v="0"/>
    <s v="Daily Sales Import"/>
    <n v="-577.30500000000006"/>
    <n v="577.30500000000006"/>
    <x v="2"/>
    <s v="2210"/>
    <s v="000"/>
    <x v="3"/>
    <x v="1"/>
  </r>
  <r>
    <d v="2012-01-03T00:00:00"/>
    <s v="018-2220-000"/>
    <s v="Beer Sales"/>
    <n v="94.48"/>
    <n v="0"/>
    <s v="Daily Sales Import"/>
    <n v="-94.48"/>
    <n v="94.48"/>
    <x v="2"/>
    <s v="2220"/>
    <s v="000"/>
    <x v="3"/>
    <x v="1"/>
  </r>
  <r>
    <d v="2012-01-03T00:00:00"/>
    <s v="018-2230-000"/>
    <s v="Wine Sales"/>
    <n v="26.768000000000001"/>
    <n v="0"/>
    <s v="Daily Sales Import"/>
    <n v="-26.768000000000001"/>
    <n v="26.768000000000001"/>
    <x v="2"/>
    <s v="2230"/>
    <s v="000"/>
    <x v="3"/>
    <x v="1"/>
  </r>
  <r>
    <d v="2012-01-04T00:00:00"/>
    <s v="018-2100-000"/>
    <s v="Food Sales"/>
    <n v="3072.9750000000004"/>
    <n v="0"/>
    <s v="Daily Sales Import"/>
    <n v="-3072.9750000000004"/>
    <n v="3072.9750000000004"/>
    <x v="2"/>
    <s v="2100"/>
    <s v="000"/>
    <x v="3"/>
    <x v="1"/>
  </r>
  <r>
    <d v="2012-01-04T00:00:00"/>
    <s v="018-2210-000"/>
    <s v="Liquor Sales"/>
    <n v="577.77300000000002"/>
    <n v="0"/>
    <s v="Daily Sales Import"/>
    <n v="-577.77300000000002"/>
    <n v="577.77300000000002"/>
    <x v="2"/>
    <s v="2210"/>
    <s v="000"/>
    <x v="3"/>
    <x v="1"/>
  </r>
  <r>
    <d v="2012-01-04T00:00:00"/>
    <s v="018-2220-000"/>
    <s v="Beer Sales"/>
    <n v="153.03200000000001"/>
    <n v="0"/>
    <s v="Daily Sales Import"/>
    <n v="-153.03200000000001"/>
    <n v="153.03200000000001"/>
    <x v="2"/>
    <s v="2220"/>
    <s v="000"/>
    <x v="3"/>
    <x v="1"/>
  </r>
  <r>
    <d v="2012-01-04T00:00:00"/>
    <s v="018-2230-000"/>
    <s v="Wine Sales"/>
    <n v="68.984999999999999"/>
    <n v="0"/>
    <s v="Daily Sales Import"/>
    <n v="-68.984999999999999"/>
    <n v="68.984999999999999"/>
    <x v="2"/>
    <s v="2230"/>
    <s v="000"/>
    <x v="3"/>
    <x v="1"/>
  </r>
  <r>
    <d v="2012-01-05T00:00:00"/>
    <s v="018-2100-000"/>
    <s v="Food Sales"/>
    <n v="3305.3120000000004"/>
    <n v="0"/>
    <s v="Daily Sales Import"/>
    <n v="-3305.3120000000004"/>
    <n v="3305.3120000000004"/>
    <x v="2"/>
    <s v="2100"/>
    <s v="000"/>
    <x v="3"/>
    <x v="1"/>
  </r>
  <r>
    <d v="2012-01-05T00:00:00"/>
    <s v="018-2210-000"/>
    <s v="Liquor Sales"/>
    <n v="367.32"/>
    <n v="0"/>
    <s v="Daily Sales Import"/>
    <n v="-367.32"/>
    <n v="367.32"/>
    <x v="2"/>
    <s v="2210"/>
    <s v="000"/>
    <x v="3"/>
    <x v="1"/>
  </r>
  <r>
    <d v="2012-01-05T00:00:00"/>
    <s v="018-2220-000"/>
    <s v="Beer Sales"/>
    <n v="105.0175"/>
    <n v="0"/>
    <s v="Daily Sales Import"/>
    <n v="-105.0175"/>
    <n v="105.0175"/>
    <x v="2"/>
    <s v="2220"/>
    <s v="000"/>
    <x v="3"/>
    <x v="1"/>
  </r>
  <r>
    <d v="2012-01-05T00:00:00"/>
    <s v="018-2230-000"/>
    <s v="Wine Sales"/>
    <n v="15.652000000000001"/>
    <n v="0"/>
    <s v="Daily Sales Import"/>
    <n v="-15.652000000000001"/>
    <n v="15.652000000000001"/>
    <x v="2"/>
    <s v="2230"/>
    <s v="000"/>
    <x v="3"/>
    <x v="1"/>
  </r>
  <r>
    <d v="2012-01-06T00:00:00"/>
    <s v="018-2100-000"/>
    <s v="Food Sales"/>
    <n v="10021.924999999999"/>
    <n v="0"/>
    <s v="Daily Sales Import"/>
    <n v="-10021.924999999999"/>
    <n v="10021.924999999999"/>
    <x v="2"/>
    <s v="2100"/>
    <s v="000"/>
    <x v="3"/>
    <x v="1"/>
  </r>
  <r>
    <d v="2012-01-06T00:00:00"/>
    <s v="018-2210-000"/>
    <s v="Liquor Sales"/>
    <n v="2677.3565000000003"/>
    <n v="0"/>
    <s v="Daily Sales Import"/>
    <n v="-2677.3565000000003"/>
    <n v="2677.3565000000003"/>
    <x v="2"/>
    <s v="2210"/>
    <s v="000"/>
    <x v="3"/>
    <x v="1"/>
  </r>
  <r>
    <d v="2012-01-06T00:00:00"/>
    <s v="018-2220-000"/>
    <s v="Beer Sales"/>
    <n v="527.16949999999997"/>
    <n v="0"/>
    <s v="Daily Sales Import"/>
    <n v="-527.16949999999997"/>
    <n v="527.16949999999997"/>
    <x v="2"/>
    <s v="2220"/>
    <s v="000"/>
    <x v="3"/>
    <x v="1"/>
  </r>
  <r>
    <d v="2012-01-06T00:00:00"/>
    <s v="018-2230-000"/>
    <s v="Wine Sales"/>
    <n v="65.64"/>
    <n v="0"/>
    <s v="Daily Sales Import"/>
    <n v="-65.64"/>
    <n v="65.64"/>
    <x v="2"/>
    <s v="2230"/>
    <s v="000"/>
    <x v="3"/>
    <x v="1"/>
  </r>
  <r>
    <d v="2012-01-07T00:00:00"/>
    <s v="018-2100-000"/>
    <s v="Food Sales"/>
    <n v="11225.287499999999"/>
    <n v="0"/>
    <s v="Daily Sales Import"/>
    <n v="-11225.287499999999"/>
    <n v="11225.287499999999"/>
    <x v="2"/>
    <s v="2100"/>
    <s v="000"/>
    <x v="3"/>
    <x v="1"/>
  </r>
  <r>
    <d v="2012-01-07T00:00:00"/>
    <s v="018-2210-000"/>
    <s v="Liquor Sales"/>
    <n v="2151.6389999999997"/>
    <n v="0"/>
    <s v="Daily Sales Import"/>
    <n v="-2151.6389999999997"/>
    <n v="2151.6389999999997"/>
    <x v="2"/>
    <s v="2210"/>
    <s v="000"/>
    <x v="3"/>
    <x v="1"/>
  </r>
  <r>
    <d v="2012-01-07T00:00:00"/>
    <s v="018-2220-000"/>
    <s v="Beer Sales"/>
    <n v="572.66999999999996"/>
    <n v="0"/>
    <s v="Daily Sales Import"/>
    <n v="-572.66999999999996"/>
    <n v="572.66999999999996"/>
    <x v="2"/>
    <s v="2220"/>
    <s v="000"/>
    <x v="3"/>
    <x v="1"/>
  </r>
  <r>
    <d v="2012-01-07T00:00:00"/>
    <s v="018-2230-000"/>
    <s v="Wine Sales"/>
    <n v="77.210999999999999"/>
    <n v="0"/>
    <s v="Daily Sales Import"/>
    <n v="-77.210999999999999"/>
    <n v="77.210999999999999"/>
    <x v="2"/>
    <s v="2230"/>
    <s v="000"/>
    <x v="3"/>
    <x v="1"/>
  </r>
  <r>
    <d v="2012-01-08T00:00:00"/>
    <s v="018-2100-000"/>
    <s v="Food Sales"/>
    <n v="6942.2084999999997"/>
    <n v="0"/>
    <s v="Daily Sales Import"/>
    <n v="-6942.2084999999997"/>
    <n v="6942.2084999999997"/>
    <x v="2"/>
    <s v="2100"/>
    <s v="000"/>
    <x v="3"/>
    <x v="1"/>
  </r>
  <r>
    <d v="2012-01-08T00:00:00"/>
    <s v="018-2210-000"/>
    <s v="Liquor Sales"/>
    <n v="800.19299999999998"/>
    <n v="0"/>
    <s v="Daily Sales Import"/>
    <n v="-800.19299999999998"/>
    <n v="800.19299999999998"/>
    <x v="2"/>
    <s v="2210"/>
    <s v="000"/>
    <x v="3"/>
    <x v="1"/>
  </r>
  <r>
    <d v="2012-01-08T00:00:00"/>
    <s v="018-2220-000"/>
    <s v="Beer Sales"/>
    <n v="229.27199999999999"/>
    <n v="0"/>
    <s v="Daily Sales Import"/>
    <n v="-229.27199999999999"/>
    <n v="229.27199999999999"/>
    <x v="2"/>
    <s v="2220"/>
    <s v="000"/>
    <x v="3"/>
    <x v="1"/>
  </r>
  <r>
    <d v="2012-01-08T00:00:00"/>
    <s v="018-2230-000"/>
    <s v="Wine Sales"/>
    <n v="48.884"/>
    <n v="0"/>
    <s v="Daily Sales Import"/>
    <n v="-48.884"/>
    <n v="48.884"/>
    <x v="2"/>
    <s v="2230"/>
    <s v="000"/>
    <x v="3"/>
    <x v="1"/>
  </r>
  <r>
    <d v="2012-01-09T00:00:00"/>
    <s v="016-2100-000"/>
    <s v="Food Sales"/>
    <n v="2468.1024000000002"/>
    <n v="0"/>
    <s v="Daily Sales Import"/>
    <n v="-2468.1024000000002"/>
    <n v="2468.1024000000002"/>
    <x v="0"/>
    <s v="2100"/>
    <s v="000"/>
    <x v="3"/>
    <x v="1"/>
  </r>
  <r>
    <d v="2012-01-09T00:00:00"/>
    <s v="016-2210-000"/>
    <s v="Liquor Sales"/>
    <n v="379.06099999999998"/>
    <n v="0"/>
    <s v="Daily Sales Import"/>
    <n v="-379.06099999999998"/>
    <n v="379.06099999999998"/>
    <x v="0"/>
    <s v="2210"/>
    <s v="000"/>
    <x v="3"/>
    <x v="1"/>
  </r>
  <r>
    <d v="2012-01-09T00:00:00"/>
    <s v="016-2220-000"/>
    <s v="Beer Sales"/>
    <n v="92.767499999999998"/>
    <n v="0"/>
    <s v="Daily Sales Import"/>
    <n v="-92.767499999999998"/>
    <n v="92.767499999999998"/>
    <x v="0"/>
    <s v="2220"/>
    <s v="000"/>
    <x v="3"/>
    <x v="1"/>
  </r>
  <r>
    <d v="2012-01-09T00:00:00"/>
    <s v="016-2230-000"/>
    <s v="Wine Sales"/>
    <n v="79.170999999999992"/>
    <n v="0"/>
    <s v="Daily Sales Import"/>
    <n v="-79.170999999999992"/>
    <n v="79.170999999999992"/>
    <x v="0"/>
    <s v="2230"/>
    <s v="000"/>
    <x v="3"/>
    <x v="1"/>
  </r>
  <r>
    <d v="2012-01-10T00:00:00"/>
    <s v="016-2100-000"/>
    <s v="Food Sales"/>
    <n v="2590.1840000000002"/>
    <n v="0"/>
    <s v="Daily Sales Import"/>
    <n v="-2590.1840000000002"/>
    <n v="2590.1840000000002"/>
    <x v="0"/>
    <s v="2100"/>
    <s v="000"/>
    <x v="3"/>
    <x v="1"/>
  </r>
  <r>
    <d v="2012-01-10T00:00:00"/>
    <s v="016-2210-000"/>
    <s v="Liquor Sales"/>
    <n v="481.15200000000004"/>
    <n v="0"/>
    <s v="Daily Sales Import"/>
    <n v="-481.15200000000004"/>
    <n v="481.15200000000004"/>
    <x v="0"/>
    <s v="2210"/>
    <s v="000"/>
    <x v="3"/>
    <x v="1"/>
  </r>
  <r>
    <d v="2012-01-10T00:00:00"/>
    <s v="016-2220-000"/>
    <s v="Beer Sales"/>
    <n v="166.518"/>
    <n v="0"/>
    <s v="Daily Sales Import"/>
    <n v="-166.518"/>
    <n v="166.518"/>
    <x v="0"/>
    <s v="2220"/>
    <s v="000"/>
    <x v="3"/>
    <x v="1"/>
  </r>
  <r>
    <d v="2012-01-10T00:00:00"/>
    <s v="016-2230-000"/>
    <s v="Wine Sales"/>
    <n v="44.225999999999999"/>
    <n v="0"/>
    <s v="Daily Sales Import"/>
    <n v="-44.225999999999999"/>
    <n v="44.225999999999999"/>
    <x v="0"/>
    <s v="2230"/>
    <s v="000"/>
    <x v="3"/>
    <x v="1"/>
  </r>
  <r>
    <d v="2012-01-11T00:00:00"/>
    <s v="016-2100-000"/>
    <s v="Food Sales"/>
    <n v="2773.9448000000002"/>
    <n v="0"/>
    <s v="Daily Sales Import"/>
    <n v="-2773.9448000000002"/>
    <n v="2773.9448000000002"/>
    <x v="0"/>
    <s v="2100"/>
    <s v="000"/>
    <x v="3"/>
    <x v="1"/>
  </r>
  <r>
    <d v="2012-01-11T00:00:00"/>
    <s v="016-2210-000"/>
    <s v="Liquor Sales"/>
    <n v="786.36800000000005"/>
    <n v="0"/>
    <s v="Daily Sales Import"/>
    <n v="-786.36800000000005"/>
    <n v="786.36800000000005"/>
    <x v="0"/>
    <s v="2210"/>
    <s v="000"/>
    <x v="3"/>
    <x v="1"/>
  </r>
  <r>
    <d v="2012-01-11T00:00:00"/>
    <s v="016-2220-000"/>
    <s v="Beer Sales"/>
    <n v="103.22400000000002"/>
    <n v="0"/>
    <s v="Daily Sales Import"/>
    <n v="-103.22400000000002"/>
    <n v="103.22400000000002"/>
    <x v="0"/>
    <s v="2220"/>
    <s v="000"/>
    <x v="3"/>
    <x v="1"/>
  </r>
  <r>
    <d v="2012-01-11T00:00:00"/>
    <s v="016-2230-000"/>
    <s v="Wine Sales"/>
    <n v="80.136499999999998"/>
    <n v="0"/>
    <s v="Daily Sales Import"/>
    <n v="-80.136499999999998"/>
    <n v="80.136499999999998"/>
    <x v="0"/>
    <s v="2230"/>
    <s v="000"/>
    <x v="3"/>
    <x v="1"/>
  </r>
  <r>
    <d v="2012-01-12T00:00:00"/>
    <s v="016-2100-000"/>
    <s v="Food Sales"/>
    <n v="2803.9686999999999"/>
    <n v="0"/>
    <s v="Daily Sales Import"/>
    <n v="-2803.9686999999999"/>
    <n v="2803.9686999999999"/>
    <x v="0"/>
    <s v="2100"/>
    <s v="000"/>
    <x v="3"/>
    <x v="1"/>
  </r>
  <r>
    <d v="2012-01-12T00:00:00"/>
    <s v="016-2210-000"/>
    <s v="Liquor Sales"/>
    <n v="823.68"/>
    <n v="0"/>
    <s v="Daily Sales Import"/>
    <n v="-823.68"/>
    <n v="823.68"/>
    <x v="0"/>
    <s v="2210"/>
    <s v="000"/>
    <x v="3"/>
    <x v="1"/>
  </r>
  <r>
    <d v="2012-01-12T00:00:00"/>
    <s v="016-2220-000"/>
    <s v="Beer Sales"/>
    <n v="117.99"/>
    <n v="0"/>
    <s v="Daily Sales Import"/>
    <n v="-117.99"/>
    <n v="117.99"/>
    <x v="0"/>
    <s v="2220"/>
    <s v="000"/>
    <x v="3"/>
    <x v="1"/>
  </r>
  <r>
    <d v="2012-01-12T00:00:00"/>
    <s v="016-2230-000"/>
    <s v="Wine Sales"/>
    <n v="78.453500000000005"/>
    <n v="0"/>
    <s v="Daily Sales Import"/>
    <n v="-78.453500000000005"/>
    <n v="78.453500000000005"/>
    <x v="0"/>
    <s v="2230"/>
    <s v="000"/>
    <x v="3"/>
    <x v="1"/>
  </r>
  <r>
    <d v="2012-01-13T00:00:00"/>
    <s v="016-2100-000"/>
    <s v="Food Sales"/>
    <n v="5803.2586000000001"/>
    <n v="0"/>
    <s v="Daily Sales Import"/>
    <n v="-5803.2586000000001"/>
    <n v="5803.2586000000001"/>
    <x v="0"/>
    <s v="2100"/>
    <s v="000"/>
    <x v="3"/>
    <x v="1"/>
  </r>
  <r>
    <d v="2012-01-13T00:00:00"/>
    <s v="016-2210-000"/>
    <s v="Liquor Sales"/>
    <n v="1509.0429999999999"/>
    <n v="0"/>
    <s v="Daily Sales Import"/>
    <n v="-1509.0429999999999"/>
    <n v="1509.0429999999999"/>
    <x v="0"/>
    <s v="2210"/>
    <s v="000"/>
    <x v="3"/>
    <x v="1"/>
  </r>
  <r>
    <d v="2012-01-13T00:00:00"/>
    <s v="016-2220-000"/>
    <s v="Beer Sales"/>
    <n v="313.29449999999997"/>
    <n v="0"/>
    <s v="Daily Sales Import"/>
    <n v="-313.29449999999997"/>
    <n v="313.29449999999997"/>
    <x v="0"/>
    <s v="2220"/>
    <s v="000"/>
    <x v="3"/>
    <x v="1"/>
  </r>
  <r>
    <d v="2012-01-13T00:00:00"/>
    <s v="016-2230-000"/>
    <s v="Wine Sales"/>
    <n v="132.04049999999998"/>
    <n v="0"/>
    <s v="Daily Sales Import"/>
    <n v="-132.04049999999998"/>
    <n v="132.04049999999998"/>
    <x v="0"/>
    <s v="2230"/>
    <s v="000"/>
    <x v="3"/>
    <x v="1"/>
  </r>
  <r>
    <d v="2012-01-14T00:00:00"/>
    <s v="016-2100-000"/>
    <s v="Food Sales"/>
    <n v="6358.3064999999997"/>
    <n v="0"/>
    <s v="Daily Sales Import"/>
    <n v="-6358.3064999999997"/>
    <n v="6358.3064999999997"/>
    <x v="0"/>
    <s v="2100"/>
    <s v="000"/>
    <x v="3"/>
    <x v="1"/>
  </r>
  <r>
    <d v="2012-01-14T00:00:00"/>
    <s v="016-2210-000"/>
    <s v="Liquor Sales"/>
    <n v="2213.9524999999999"/>
    <n v="0"/>
    <s v="Daily Sales Import"/>
    <n v="-2213.9524999999999"/>
    <n v="2213.9524999999999"/>
    <x v="0"/>
    <s v="2210"/>
    <s v="000"/>
    <x v="3"/>
    <x v="1"/>
  </r>
  <r>
    <d v="2012-01-14T00:00:00"/>
    <s v="016-2220-000"/>
    <s v="Beer Sales"/>
    <n v="433.21500000000003"/>
    <n v="0"/>
    <s v="Daily Sales Import"/>
    <n v="-433.21500000000003"/>
    <n v="433.21500000000003"/>
    <x v="0"/>
    <s v="2220"/>
    <s v="000"/>
    <x v="3"/>
    <x v="1"/>
  </r>
  <r>
    <d v="2012-01-14T00:00:00"/>
    <s v="016-2230-000"/>
    <s v="Wine Sales"/>
    <n v="185.1575"/>
    <n v="0"/>
    <s v="Daily Sales Import"/>
    <n v="-185.1575"/>
    <n v="185.1575"/>
    <x v="0"/>
    <s v="2230"/>
    <s v="000"/>
    <x v="3"/>
    <x v="1"/>
  </r>
  <r>
    <d v="2012-01-15T00:00:00"/>
    <s v="016-2100-000"/>
    <s v="Food Sales"/>
    <n v="6274.6540000000005"/>
    <n v="0"/>
    <s v="Daily Sales Import"/>
    <n v="-6274.6540000000005"/>
    <n v="6274.6540000000005"/>
    <x v="0"/>
    <s v="2100"/>
    <s v="000"/>
    <x v="3"/>
    <x v="1"/>
  </r>
  <r>
    <d v="2012-01-15T00:00:00"/>
    <s v="016-2210-000"/>
    <s v="Liquor Sales"/>
    <n v="1817.7750000000001"/>
    <n v="0"/>
    <s v="Daily Sales Import"/>
    <n v="-1817.7750000000001"/>
    <n v="1817.7750000000001"/>
    <x v="0"/>
    <s v="2210"/>
    <s v="000"/>
    <x v="3"/>
    <x v="1"/>
  </r>
  <r>
    <d v="2012-01-15T00:00:00"/>
    <s v="016-2220-000"/>
    <s v="Beer Sales"/>
    <n v="350.28"/>
    <n v="0"/>
    <s v="Daily Sales Import"/>
    <n v="-350.28"/>
    <n v="350.28"/>
    <x v="0"/>
    <s v="2220"/>
    <s v="000"/>
    <x v="3"/>
    <x v="1"/>
  </r>
  <r>
    <d v="2012-01-15T00:00:00"/>
    <s v="016-2230-000"/>
    <s v="Wine Sales"/>
    <n v="115.61"/>
    <n v="0"/>
    <s v="Daily Sales Import"/>
    <n v="-115.61"/>
    <n v="115.61"/>
    <x v="0"/>
    <s v="2230"/>
    <s v="000"/>
    <x v="3"/>
    <x v="1"/>
  </r>
  <r>
    <d v="2012-01-09T00:00:00"/>
    <s v="017-2100-000"/>
    <s v="Food Sales"/>
    <n v="2196.4250000000002"/>
    <n v="0"/>
    <s v="Daily Sales Import"/>
    <n v="-2196.4250000000002"/>
    <n v="2196.4250000000002"/>
    <x v="1"/>
    <s v="2100"/>
    <s v="000"/>
    <x v="3"/>
    <x v="1"/>
  </r>
  <r>
    <d v="2012-01-09T00:00:00"/>
    <s v="017-2210-000"/>
    <s v="Liquor Sales"/>
    <n v="893.97"/>
    <n v="0"/>
    <s v="Daily Sales Import"/>
    <n v="-893.97"/>
    <n v="893.97"/>
    <x v="1"/>
    <s v="2210"/>
    <s v="000"/>
    <x v="3"/>
    <x v="1"/>
  </r>
  <r>
    <d v="2012-01-09T00:00:00"/>
    <s v="017-2220-000"/>
    <s v="Beer Sales"/>
    <n v="444.23250000000002"/>
    <n v="0"/>
    <s v="Daily Sales Import"/>
    <n v="-444.23250000000002"/>
    <n v="444.23250000000002"/>
    <x v="1"/>
    <s v="2220"/>
    <s v="000"/>
    <x v="3"/>
    <x v="1"/>
  </r>
  <r>
    <d v="2012-01-09T00:00:00"/>
    <s v="017-2230-000"/>
    <s v="Wine Sales"/>
    <n v="25.805500000000002"/>
    <n v="0"/>
    <s v="Daily Sales Import"/>
    <n v="-25.805500000000002"/>
    <n v="25.805500000000002"/>
    <x v="1"/>
    <s v="2230"/>
    <s v="000"/>
    <x v="3"/>
    <x v="1"/>
  </r>
  <r>
    <d v="2012-01-10T00:00:00"/>
    <s v="017-2100-000"/>
    <s v="Food Sales"/>
    <n v="4132.4429999999993"/>
    <n v="0"/>
    <s v="Daily Sales Import"/>
    <n v="-4132.4429999999993"/>
    <n v="4132.4429999999993"/>
    <x v="1"/>
    <s v="2100"/>
    <s v="000"/>
    <x v="3"/>
    <x v="1"/>
  </r>
  <r>
    <d v="2012-01-10T00:00:00"/>
    <s v="017-2210-000"/>
    <s v="Liquor Sales"/>
    <n v="1410.0975000000001"/>
    <n v="0"/>
    <s v="Daily Sales Import"/>
    <n v="-1410.0975000000001"/>
    <n v="1410.0975000000001"/>
    <x v="1"/>
    <s v="2210"/>
    <s v="000"/>
    <x v="3"/>
    <x v="1"/>
  </r>
  <r>
    <d v="2012-01-10T00:00:00"/>
    <s v="017-2220-000"/>
    <s v="Beer Sales"/>
    <n v="568.66999999999996"/>
    <n v="0"/>
    <s v="Daily Sales Import"/>
    <n v="-568.66999999999996"/>
    <n v="568.66999999999996"/>
    <x v="1"/>
    <s v="2220"/>
    <s v="000"/>
    <x v="3"/>
    <x v="1"/>
  </r>
  <r>
    <d v="2012-01-10T00:00:00"/>
    <s v="017-2230-000"/>
    <s v="Wine Sales"/>
    <n v="66.927999999999997"/>
    <n v="0"/>
    <s v="Daily Sales Import"/>
    <n v="-66.927999999999997"/>
    <n v="66.927999999999997"/>
    <x v="1"/>
    <s v="2230"/>
    <s v="000"/>
    <x v="3"/>
    <x v="1"/>
  </r>
  <r>
    <d v="2012-01-11T00:00:00"/>
    <s v="017-2100-000"/>
    <s v="Food Sales"/>
    <n v="5183.6895000000004"/>
    <n v="0"/>
    <s v="Daily Sales Import"/>
    <n v="-5183.6895000000004"/>
    <n v="5183.6895000000004"/>
    <x v="1"/>
    <s v="2100"/>
    <s v="000"/>
    <x v="3"/>
    <x v="1"/>
  </r>
  <r>
    <d v="2012-01-11T00:00:00"/>
    <s v="017-2210-000"/>
    <s v="Liquor Sales"/>
    <n v="1294.2535"/>
    <n v="0"/>
    <s v="Daily Sales Import"/>
    <n v="-1294.2535"/>
    <n v="1294.2535"/>
    <x v="1"/>
    <s v="2210"/>
    <s v="000"/>
    <x v="3"/>
    <x v="1"/>
  </r>
  <r>
    <d v="2012-01-11T00:00:00"/>
    <s v="017-2220-000"/>
    <s v="Beer Sales"/>
    <n v="380.65500000000003"/>
    <n v="0"/>
    <s v="Daily Sales Import"/>
    <n v="-380.65500000000003"/>
    <n v="380.65500000000003"/>
    <x v="1"/>
    <s v="2220"/>
    <s v="000"/>
    <x v="3"/>
    <x v="1"/>
  </r>
  <r>
    <d v="2012-01-11T00:00:00"/>
    <s v="017-2230-000"/>
    <s v="Wine Sales"/>
    <n v="85.988"/>
    <n v="0"/>
    <s v="Daily Sales Import"/>
    <n v="-85.988"/>
    <n v="85.988"/>
    <x v="1"/>
    <s v="2230"/>
    <s v="000"/>
    <x v="3"/>
    <x v="1"/>
  </r>
  <r>
    <d v="2012-01-12T00:00:00"/>
    <s v="017-2100-000"/>
    <s v="Food Sales"/>
    <n v="4635.3160000000007"/>
    <n v="0"/>
    <s v="Daily Sales Import"/>
    <n v="-4635.3160000000007"/>
    <n v="4635.3160000000007"/>
    <x v="1"/>
    <s v="2100"/>
    <s v="000"/>
    <x v="3"/>
    <x v="1"/>
  </r>
  <r>
    <d v="2012-01-12T00:00:00"/>
    <s v="017-2210-000"/>
    <s v="Liquor Sales"/>
    <n v="1635.432"/>
    <n v="0"/>
    <s v="Daily Sales Import"/>
    <n v="-1635.432"/>
    <n v="1635.432"/>
    <x v="1"/>
    <s v="2210"/>
    <s v="000"/>
    <x v="3"/>
    <x v="1"/>
  </r>
  <r>
    <d v="2012-01-12T00:00:00"/>
    <s v="017-2220-000"/>
    <s v="Beer Sales"/>
    <n v="380.46250000000003"/>
    <n v="0"/>
    <s v="Daily Sales Import"/>
    <n v="-380.46250000000003"/>
    <n v="380.46250000000003"/>
    <x v="1"/>
    <s v="2220"/>
    <s v="000"/>
    <x v="3"/>
    <x v="1"/>
  </r>
  <r>
    <d v="2012-01-12T00:00:00"/>
    <s v="017-2230-000"/>
    <s v="Wine Sales"/>
    <n v="242.78100000000001"/>
    <n v="0"/>
    <s v="Daily Sales Import"/>
    <n v="-242.78100000000001"/>
    <n v="242.78100000000001"/>
    <x v="1"/>
    <s v="2230"/>
    <s v="000"/>
    <x v="3"/>
    <x v="1"/>
  </r>
  <r>
    <d v="2012-01-13T00:00:00"/>
    <s v="017-2100-000"/>
    <s v="Food Sales"/>
    <n v="10856.976500000001"/>
    <n v="0"/>
    <s v="Daily Sales Import"/>
    <n v="-10856.976500000001"/>
    <n v="10856.976500000001"/>
    <x v="1"/>
    <s v="2100"/>
    <s v="000"/>
    <x v="3"/>
    <x v="1"/>
  </r>
  <r>
    <d v="2012-01-13T00:00:00"/>
    <s v="017-2210-000"/>
    <s v="Liquor Sales"/>
    <n v="3201.5219999999999"/>
    <n v="0"/>
    <s v="Daily Sales Import"/>
    <n v="-3201.5219999999999"/>
    <n v="3201.5219999999999"/>
    <x v="1"/>
    <s v="2210"/>
    <s v="000"/>
    <x v="3"/>
    <x v="1"/>
  </r>
  <r>
    <d v="2012-01-13T00:00:00"/>
    <s v="017-2220-000"/>
    <s v="Beer Sales"/>
    <n v="767.04000000000008"/>
    <n v="0"/>
    <s v="Daily Sales Import"/>
    <n v="-767.04000000000008"/>
    <n v="767.04000000000008"/>
    <x v="1"/>
    <s v="2220"/>
    <s v="000"/>
    <x v="3"/>
    <x v="1"/>
  </r>
  <r>
    <d v="2012-01-13T00:00:00"/>
    <s v="017-2230-000"/>
    <s v="Wine Sales"/>
    <n v="185.07899999999998"/>
    <n v="0"/>
    <s v="Daily Sales Import"/>
    <n v="-185.07899999999998"/>
    <n v="185.07899999999998"/>
    <x v="1"/>
    <s v="2230"/>
    <s v="000"/>
    <x v="3"/>
    <x v="1"/>
  </r>
  <r>
    <d v="2012-01-14T00:00:00"/>
    <s v="017-2100-000"/>
    <s v="Food Sales"/>
    <n v="9680.8814999999995"/>
    <n v="0"/>
    <s v="Daily Sales Import"/>
    <n v="-9680.8814999999995"/>
    <n v="9680.8814999999995"/>
    <x v="1"/>
    <s v="2100"/>
    <s v="000"/>
    <x v="3"/>
    <x v="1"/>
  </r>
  <r>
    <d v="2012-01-14T00:00:00"/>
    <s v="017-2210-000"/>
    <s v="Liquor Sales"/>
    <n v="1160.0050000000001"/>
    <n v="0"/>
    <s v="Daily Sales Import"/>
    <n v="-1160.0050000000001"/>
    <n v="1160.0050000000001"/>
    <x v="1"/>
    <s v="2210"/>
    <s v="000"/>
    <x v="3"/>
    <x v="1"/>
  </r>
  <r>
    <d v="2012-01-14T00:00:00"/>
    <s v="017-2220-000"/>
    <s v="Beer Sales"/>
    <n v="242.7"/>
    <n v="0"/>
    <s v="Daily Sales Import"/>
    <n v="-242.7"/>
    <n v="242.7"/>
    <x v="1"/>
    <s v="2220"/>
    <s v="000"/>
    <x v="3"/>
    <x v="1"/>
  </r>
  <r>
    <d v="2012-01-14T00:00:00"/>
    <s v="017-2230-000"/>
    <s v="Wine Sales"/>
    <n v="81.036000000000001"/>
    <n v="0"/>
    <s v="Daily Sales Import"/>
    <n v="-81.036000000000001"/>
    <n v="81.036000000000001"/>
    <x v="1"/>
    <s v="2230"/>
    <s v="000"/>
    <x v="3"/>
    <x v="1"/>
  </r>
  <r>
    <d v="2012-01-15T00:00:00"/>
    <s v="017-2100-000"/>
    <s v="Food Sales"/>
    <n v="4723.1149999999998"/>
    <n v="0"/>
    <s v="Daily Sales Import"/>
    <n v="-4723.1149999999998"/>
    <n v="4723.1149999999998"/>
    <x v="1"/>
    <s v="2100"/>
    <s v="000"/>
    <x v="3"/>
    <x v="1"/>
  </r>
  <r>
    <d v="2012-01-15T00:00:00"/>
    <s v="017-2210-000"/>
    <s v="Liquor Sales"/>
    <n v="956.25200000000007"/>
    <n v="0"/>
    <s v="Daily Sales Import"/>
    <n v="-956.25200000000007"/>
    <n v="956.25200000000007"/>
    <x v="1"/>
    <s v="2210"/>
    <s v="000"/>
    <x v="3"/>
    <x v="1"/>
  </r>
  <r>
    <d v="2012-01-15T00:00:00"/>
    <s v="017-2220-000"/>
    <s v="Beer Sales"/>
    <n v="185.05500000000001"/>
    <n v="0"/>
    <s v="Daily Sales Import"/>
    <n v="-185.05500000000001"/>
    <n v="185.05500000000001"/>
    <x v="1"/>
    <s v="2220"/>
    <s v="000"/>
    <x v="3"/>
    <x v="1"/>
  </r>
  <r>
    <d v="2012-01-15T00:00:00"/>
    <s v="017-2230-000"/>
    <s v="Wine Sales"/>
    <n v="25.928000000000001"/>
    <n v="0"/>
    <s v="Daily Sales Import"/>
    <n v="-25.928000000000001"/>
    <n v="25.928000000000001"/>
    <x v="1"/>
    <s v="2230"/>
    <s v="000"/>
    <x v="3"/>
    <x v="1"/>
  </r>
  <r>
    <d v="2012-01-09T00:00:00"/>
    <s v="018-2100-000"/>
    <s v="Food Sales"/>
    <n v="1871.9558"/>
    <n v="0"/>
    <s v="Daily Sales Import"/>
    <n v="-1871.9558"/>
    <n v="1871.9558"/>
    <x v="2"/>
    <s v="2100"/>
    <s v="000"/>
    <x v="3"/>
    <x v="1"/>
  </r>
  <r>
    <d v="2012-01-09T00:00:00"/>
    <s v="018-2210-000"/>
    <s v="Liquor Sales"/>
    <n v="197.5675"/>
    <n v="0"/>
    <s v="Daily Sales Import"/>
    <n v="-197.5675"/>
    <n v="197.5675"/>
    <x v="2"/>
    <s v="2210"/>
    <s v="000"/>
    <x v="3"/>
    <x v="1"/>
  </r>
  <r>
    <d v="2012-01-09T00:00:00"/>
    <s v="018-2220-000"/>
    <s v="Beer Sales"/>
    <n v="11.151999999999999"/>
    <n v="0"/>
    <s v="Daily Sales Import"/>
    <n v="-11.151999999999999"/>
    <n v="11.151999999999999"/>
    <x v="2"/>
    <s v="2220"/>
    <s v="000"/>
    <x v="3"/>
    <x v="1"/>
  </r>
  <r>
    <d v="2012-01-10T00:00:00"/>
    <s v="018-2100-000"/>
    <s v="Food Sales"/>
    <n v="3877.0040000000004"/>
    <n v="0"/>
    <s v="Daily Sales Import"/>
    <n v="-3877.0040000000004"/>
    <n v="3877.0040000000004"/>
    <x v="2"/>
    <s v="2100"/>
    <s v="000"/>
    <x v="3"/>
    <x v="1"/>
  </r>
  <r>
    <d v="2012-01-10T00:00:00"/>
    <s v="018-2210-000"/>
    <s v="Liquor Sales"/>
    <n v="663.28000000000009"/>
    <n v="0"/>
    <s v="Daily Sales Import"/>
    <n v="-663.28000000000009"/>
    <n v="663.28000000000009"/>
    <x v="2"/>
    <s v="2210"/>
    <s v="000"/>
    <x v="3"/>
    <x v="1"/>
  </r>
  <r>
    <d v="2012-01-10T00:00:00"/>
    <s v="018-2220-000"/>
    <s v="Beer Sales"/>
    <n v="112.128"/>
    <n v="0"/>
    <s v="Daily Sales Import"/>
    <n v="-112.128"/>
    <n v="112.128"/>
    <x v="2"/>
    <s v="2220"/>
    <s v="000"/>
    <x v="3"/>
    <x v="1"/>
  </r>
  <r>
    <d v="2012-01-10T00:00:00"/>
    <s v="018-2230-000"/>
    <s v="Wine Sales"/>
    <n v="88.492500000000007"/>
    <n v="0"/>
    <s v="Daily Sales Import"/>
    <n v="-88.492500000000007"/>
    <n v="88.492500000000007"/>
    <x v="2"/>
    <s v="2230"/>
    <s v="000"/>
    <x v="3"/>
    <x v="1"/>
  </r>
  <r>
    <d v="2012-01-11T00:00:00"/>
    <s v="018-2100-000"/>
    <s v="Food Sales"/>
    <n v="2075.2270000000003"/>
    <n v="0"/>
    <s v="Daily Sales Import"/>
    <n v="-2075.2270000000003"/>
    <n v="2075.2270000000003"/>
    <x v="2"/>
    <s v="2100"/>
    <s v="000"/>
    <x v="3"/>
    <x v="1"/>
  </r>
  <r>
    <d v="2012-01-11T00:00:00"/>
    <s v="018-2210-000"/>
    <s v="Liquor Sales"/>
    <n v="338.78550000000001"/>
    <n v="0"/>
    <s v="Daily Sales Import"/>
    <n v="-338.78550000000001"/>
    <n v="338.78550000000001"/>
    <x v="2"/>
    <s v="2210"/>
    <s v="000"/>
    <x v="3"/>
    <x v="1"/>
  </r>
  <r>
    <d v="2012-01-11T00:00:00"/>
    <s v="018-2220-000"/>
    <s v="Beer Sales"/>
    <n v="87.207999999999998"/>
    <n v="0"/>
    <s v="Daily Sales Import"/>
    <n v="-87.207999999999998"/>
    <n v="87.207999999999998"/>
    <x v="2"/>
    <s v="2220"/>
    <s v="000"/>
    <x v="3"/>
    <x v="1"/>
  </r>
  <r>
    <d v="2012-01-11T00:00:00"/>
    <s v="018-2230-000"/>
    <s v="Wine Sales"/>
    <n v="97.149000000000001"/>
    <n v="0"/>
    <s v="Daily Sales Import"/>
    <n v="-97.149000000000001"/>
    <n v="97.149000000000001"/>
    <x v="2"/>
    <s v="2230"/>
    <s v="000"/>
    <x v="3"/>
    <x v="1"/>
  </r>
  <r>
    <d v="2012-01-12T00:00:00"/>
    <s v="018-2100-000"/>
    <s v="Food Sales"/>
    <n v="4777.0304999999998"/>
    <n v="0"/>
    <s v="Daily Sales Import"/>
    <n v="-4777.0304999999998"/>
    <n v="4777.0304999999998"/>
    <x v="2"/>
    <s v="2100"/>
    <s v="000"/>
    <x v="3"/>
    <x v="1"/>
  </r>
  <r>
    <d v="2012-01-12T00:00:00"/>
    <s v="018-2210-000"/>
    <s v="Liquor Sales"/>
    <n v="504.45499999999998"/>
    <n v="0"/>
    <s v="Daily Sales Import"/>
    <n v="-504.45499999999998"/>
    <n v="504.45499999999998"/>
    <x v="2"/>
    <s v="2210"/>
    <s v="000"/>
    <x v="3"/>
    <x v="1"/>
  </r>
  <r>
    <d v="2012-01-12T00:00:00"/>
    <s v="018-2220-000"/>
    <s v="Beer Sales"/>
    <n v="231.17849999999999"/>
    <n v="0"/>
    <s v="Daily Sales Import"/>
    <n v="-231.17849999999999"/>
    <n v="231.17849999999999"/>
    <x v="2"/>
    <s v="2220"/>
    <s v="000"/>
    <x v="3"/>
    <x v="1"/>
  </r>
  <r>
    <d v="2012-01-12T00:00:00"/>
    <s v="018-2230-000"/>
    <s v="Wine Sales"/>
    <n v="117.363"/>
    <n v="0"/>
    <s v="Daily Sales Import"/>
    <n v="-117.363"/>
    <n v="117.363"/>
    <x v="2"/>
    <s v="2230"/>
    <s v="000"/>
    <x v="3"/>
    <x v="1"/>
  </r>
  <r>
    <d v="2012-01-13T00:00:00"/>
    <s v="018-2100-000"/>
    <s v="Food Sales"/>
    <n v="10361.6842"/>
    <n v="0"/>
    <s v="Daily Sales Import"/>
    <n v="-10361.6842"/>
    <n v="10361.6842"/>
    <x v="2"/>
    <s v="2100"/>
    <s v="000"/>
    <x v="3"/>
    <x v="1"/>
  </r>
  <r>
    <d v="2012-01-13T00:00:00"/>
    <s v="018-2210-000"/>
    <s v="Liquor Sales"/>
    <n v="1670.3120000000001"/>
    <n v="0"/>
    <s v="Daily Sales Import"/>
    <n v="-1670.3120000000001"/>
    <n v="1670.3120000000001"/>
    <x v="2"/>
    <s v="2210"/>
    <s v="000"/>
    <x v="3"/>
    <x v="1"/>
  </r>
  <r>
    <d v="2012-01-13T00:00:00"/>
    <s v="018-2220-000"/>
    <s v="Beer Sales"/>
    <n v="461.40600000000006"/>
    <n v="0"/>
    <s v="Daily Sales Import"/>
    <n v="-461.40600000000006"/>
    <n v="461.40600000000006"/>
    <x v="2"/>
    <s v="2220"/>
    <s v="000"/>
    <x v="3"/>
    <x v="1"/>
  </r>
  <r>
    <d v="2012-01-13T00:00:00"/>
    <s v="018-2230-000"/>
    <s v="Wine Sales"/>
    <n v="199.09200000000001"/>
    <n v="0"/>
    <s v="Daily Sales Import"/>
    <n v="-199.09200000000001"/>
    <n v="199.09200000000001"/>
    <x v="2"/>
    <s v="2230"/>
    <s v="000"/>
    <x v="3"/>
    <x v="1"/>
  </r>
  <r>
    <d v="2012-01-14T00:00:00"/>
    <s v="018-2100-000"/>
    <s v="Food Sales"/>
    <n v="6953.7185999999992"/>
    <n v="0"/>
    <s v="Daily Sales Import"/>
    <n v="-6953.7185999999992"/>
    <n v="6953.7185999999992"/>
    <x v="2"/>
    <s v="2100"/>
    <s v="000"/>
    <x v="3"/>
    <x v="1"/>
  </r>
  <r>
    <d v="2012-01-14T00:00:00"/>
    <s v="018-2210-000"/>
    <s v="Liquor Sales"/>
    <n v="1421.8380000000002"/>
    <n v="0"/>
    <s v="Daily Sales Import"/>
    <n v="-1421.8380000000002"/>
    <n v="1421.8380000000002"/>
    <x v="2"/>
    <s v="2210"/>
    <s v="000"/>
    <x v="3"/>
    <x v="1"/>
  </r>
  <r>
    <d v="2012-01-14T00:00:00"/>
    <s v="018-2220-000"/>
    <s v="Beer Sales"/>
    <n v="496.46999999999997"/>
    <n v="0"/>
    <s v="Daily Sales Import"/>
    <n v="-496.46999999999997"/>
    <n v="496.46999999999997"/>
    <x v="2"/>
    <s v="2220"/>
    <s v="000"/>
    <x v="3"/>
    <x v="1"/>
  </r>
  <r>
    <d v="2012-01-14T00:00:00"/>
    <s v="018-2230-000"/>
    <s v="Wine Sales"/>
    <n v="205.02199999999999"/>
    <n v="0"/>
    <s v="Daily Sales Import"/>
    <n v="-205.02199999999999"/>
    <n v="205.02199999999999"/>
    <x v="2"/>
    <s v="2230"/>
    <s v="000"/>
    <x v="3"/>
    <x v="1"/>
  </r>
  <r>
    <d v="2012-01-15T00:00:00"/>
    <s v="018-2100-000"/>
    <s v="Food Sales"/>
    <n v="9281.6069999999982"/>
    <n v="0"/>
    <s v="Daily Sales Import"/>
    <n v="-9281.6069999999982"/>
    <n v="9281.6069999999982"/>
    <x v="2"/>
    <s v="2100"/>
    <s v="000"/>
    <x v="3"/>
    <x v="1"/>
  </r>
  <r>
    <d v="2012-01-15T00:00:00"/>
    <s v="018-2210-000"/>
    <s v="Liquor Sales"/>
    <n v="825.08999999999992"/>
    <n v="0"/>
    <s v="Daily Sales Import"/>
    <n v="-825.08999999999992"/>
    <n v="825.08999999999992"/>
    <x v="2"/>
    <s v="2210"/>
    <s v="000"/>
    <x v="3"/>
    <x v="1"/>
  </r>
  <r>
    <d v="2012-01-15T00:00:00"/>
    <s v="018-2220-000"/>
    <s v="Beer Sales"/>
    <n v="250.55999999999997"/>
    <n v="0"/>
    <s v="Daily Sales Import"/>
    <n v="-250.55999999999997"/>
    <n v="250.55999999999997"/>
    <x v="2"/>
    <s v="2220"/>
    <s v="000"/>
    <x v="3"/>
    <x v="1"/>
  </r>
  <r>
    <d v="2012-01-15T00:00:00"/>
    <s v="018-2230-000"/>
    <s v="Wine Sales"/>
    <n v="79.735500000000002"/>
    <n v="0"/>
    <s v="Daily Sales Import"/>
    <n v="-79.735500000000002"/>
    <n v="79.735500000000002"/>
    <x v="2"/>
    <s v="2230"/>
    <s v="000"/>
    <x v="3"/>
    <x v="1"/>
  </r>
  <r>
    <d v="2012-01-16T00:00:00"/>
    <s v="016-2100-000"/>
    <s v="Food Sales"/>
    <n v="1908.0491999999997"/>
    <n v="0"/>
    <s v="Daily Sales Import"/>
    <n v="-1908.0491999999997"/>
    <n v="1908.0491999999997"/>
    <x v="0"/>
    <s v="2100"/>
    <s v="000"/>
    <x v="3"/>
    <x v="1"/>
  </r>
  <r>
    <d v="2012-01-16T00:00:00"/>
    <s v="016-2210-000"/>
    <s v="Liquor Sales"/>
    <n v="392.50400000000002"/>
    <n v="0"/>
    <s v="Daily Sales Import"/>
    <n v="-392.50400000000002"/>
    <n v="392.50400000000002"/>
    <x v="0"/>
    <s v="2210"/>
    <s v="000"/>
    <x v="3"/>
    <x v="1"/>
  </r>
  <r>
    <d v="2012-01-16T00:00:00"/>
    <s v="016-2220-000"/>
    <s v="Beer Sales"/>
    <n v="75.174000000000007"/>
    <n v="0"/>
    <s v="Daily Sales Import"/>
    <n v="-75.174000000000007"/>
    <n v="75.174000000000007"/>
    <x v="0"/>
    <s v="2220"/>
    <s v="000"/>
    <x v="3"/>
    <x v="1"/>
  </r>
  <r>
    <d v="2012-01-16T00:00:00"/>
    <s v="016-2230-000"/>
    <s v="Wine Sales"/>
    <n v="40.970500000000001"/>
    <n v="0"/>
    <s v="Daily Sales Import"/>
    <n v="-40.970500000000001"/>
    <n v="40.970500000000001"/>
    <x v="0"/>
    <s v="2230"/>
    <s v="000"/>
    <x v="3"/>
    <x v="1"/>
  </r>
  <r>
    <d v="2012-01-17T00:00:00"/>
    <s v="016-2100-000"/>
    <s v="Food Sales"/>
    <n v="3379.3563999999997"/>
    <n v="0"/>
    <s v="Daily Sales Import"/>
    <n v="-3379.3563999999997"/>
    <n v="3379.3563999999997"/>
    <x v="0"/>
    <s v="2100"/>
    <s v="000"/>
    <x v="3"/>
    <x v="1"/>
  </r>
  <r>
    <d v="2012-01-17T00:00:00"/>
    <s v="016-2210-000"/>
    <s v="Liquor Sales"/>
    <n v="600.25099999999998"/>
    <n v="0"/>
    <s v="Daily Sales Import"/>
    <n v="-600.25099999999998"/>
    <n v="600.25099999999998"/>
    <x v="0"/>
    <s v="2210"/>
    <s v="000"/>
    <x v="3"/>
    <x v="1"/>
  </r>
  <r>
    <d v="2012-01-17T00:00:00"/>
    <s v="016-2220-000"/>
    <s v="Beer Sales"/>
    <n v="143.88"/>
    <n v="0"/>
    <s v="Daily Sales Import"/>
    <n v="-143.88"/>
    <n v="143.88"/>
    <x v="0"/>
    <s v="2220"/>
    <s v="000"/>
    <x v="3"/>
    <x v="1"/>
  </r>
  <r>
    <d v="2012-01-17T00:00:00"/>
    <s v="016-2230-000"/>
    <s v="Wine Sales"/>
    <n v="48.934499999999993"/>
    <n v="0"/>
    <s v="Daily Sales Import"/>
    <n v="-48.934499999999993"/>
    <n v="48.934499999999993"/>
    <x v="0"/>
    <s v="2230"/>
    <s v="000"/>
    <x v="3"/>
    <x v="1"/>
  </r>
  <r>
    <d v="2012-01-18T00:00:00"/>
    <s v="016-2100-000"/>
    <s v="Food Sales"/>
    <n v="3873.7439999999997"/>
    <n v="0"/>
    <s v="Daily Sales Import"/>
    <n v="-3873.7439999999997"/>
    <n v="3873.7439999999997"/>
    <x v="0"/>
    <s v="2100"/>
    <s v="000"/>
    <x v="3"/>
    <x v="1"/>
  </r>
  <r>
    <d v="2012-01-18T00:00:00"/>
    <s v="016-2210-000"/>
    <s v="Liquor Sales"/>
    <n v="5112.5779999999995"/>
    <n v="0"/>
    <s v="Daily Sales Import"/>
    <n v="-5112.5779999999995"/>
    <n v="5112.5779999999995"/>
    <x v="0"/>
    <s v="2210"/>
    <s v="000"/>
    <x v="3"/>
    <x v="1"/>
  </r>
  <r>
    <d v="2012-01-18T00:00:00"/>
    <s v="016-2220-000"/>
    <s v="Beer Sales"/>
    <n v="1514.5364999999999"/>
    <n v="0"/>
    <s v="Daily Sales Import"/>
    <n v="-1514.5364999999999"/>
    <n v="1514.5364999999999"/>
    <x v="0"/>
    <s v="2220"/>
    <s v="000"/>
    <x v="3"/>
    <x v="1"/>
  </r>
  <r>
    <d v="2012-01-18T00:00:00"/>
    <s v="016-2230-000"/>
    <s v="Wine Sales"/>
    <n v="75.377500000000012"/>
    <n v="0"/>
    <s v="Daily Sales Import"/>
    <n v="-75.377500000000012"/>
    <n v="75.377500000000012"/>
    <x v="0"/>
    <s v="2230"/>
    <s v="000"/>
    <x v="3"/>
    <x v="1"/>
  </r>
  <r>
    <d v="2012-01-19T00:00:00"/>
    <s v="016-2100-000"/>
    <s v="Food Sales"/>
    <n v="4043.5885999999996"/>
    <n v="0"/>
    <s v="Daily Sales Import"/>
    <n v="-4043.5885999999996"/>
    <n v="4043.5885999999996"/>
    <x v="0"/>
    <s v="2100"/>
    <s v="000"/>
    <x v="3"/>
    <x v="1"/>
  </r>
  <r>
    <d v="2012-01-19T00:00:00"/>
    <s v="016-2210-000"/>
    <s v="Liquor Sales"/>
    <n v="964.96249999999998"/>
    <n v="0"/>
    <s v="Daily Sales Import"/>
    <n v="-964.96249999999998"/>
    <n v="964.96249999999998"/>
    <x v="0"/>
    <s v="2210"/>
    <s v="000"/>
    <x v="3"/>
    <x v="1"/>
  </r>
  <r>
    <d v="2012-01-19T00:00:00"/>
    <s v="016-2220-000"/>
    <s v="Beer Sales"/>
    <n v="104.247"/>
    <n v="0"/>
    <s v="Daily Sales Import"/>
    <n v="-104.247"/>
    <n v="104.247"/>
    <x v="0"/>
    <s v="2220"/>
    <s v="000"/>
    <x v="3"/>
    <x v="1"/>
  </r>
  <r>
    <d v="2012-01-19T00:00:00"/>
    <s v="016-2230-000"/>
    <s v="Wine Sales"/>
    <n v="157.035"/>
    <n v="0"/>
    <s v="Daily Sales Import"/>
    <n v="-157.035"/>
    <n v="157.035"/>
    <x v="0"/>
    <s v="2230"/>
    <s v="000"/>
    <x v="3"/>
    <x v="1"/>
  </r>
  <r>
    <d v="2012-01-20T00:00:00"/>
    <s v="016-2100-000"/>
    <s v="Food Sales"/>
    <n v="8300.4149999999991"/>
    <n v="0"/>
    <s v="Daily Sales Import"/>
    <n v="-8300.4149999999991"/>
    <n v="8300.4149999999991"/>
    <x v="0"/>
    <s v="2100"/>
    <s v="000"/>
    <x v="3"/>
    <x v="1"/>
  </r>
  <r>
    <d v="2012-01-20T00:00:00"/>
    <s v="016-2210-000"/>
    <s v="Liquor Sales"/>
    <n v="2955.5710000000004"/>
    <n v="0"/>
    <s v="Daily Sales Import"/>
    <n v="-2955.5710000000004"/>
    <n v="2955.5710000000004"/>
    <x v="0"/>
    <s v="2210"/>
    <s v="000"/>
    <x v="3"/>
    <x v="1"/>
  </r>
  <r>
    <d v="2012-01-20T00:00:00"/>
    <s v="016-2220-000"/>
    <s v="Beer Sales"/>
    <n v="634.95600000000002"/>
    <n v="0"/>
    <s v="Daily Sales Import"/>
    <n v="-634.95600000000002"/>
    <n v="634.95600000000002"/>
    <x v="0"/>
    <s v="2220"/>
    <s v="000"/>
    <x v="3"/>
    <x v="1"/>
  </r>
  <r>
    <d v="2012-01-20T00:00:00"/>
    <s v="016-2230-000"/>
    <s v="Wine Sales"/>
    <n v="276.47550000000001"/>
    <n v="0"/>
    <s v="Daily Sales Import"/>
    <n v="-276.47550000000001"/>
    <n v="276.47550000000001"/>
    <x v="0"/>
    <s v="2230"/>
    <s v="000"/>
    <x v="3"/>
    <x v="1"/>
  </r>
  <r>
    <d v="2012-01-21T00:00:00"/>
    <s v="016-2100-000"/>
    <s v="Food Sales"/>
    <n v="10277.734"/>
    <n v="0"/>
    <s v="Daily Sales Import"/>
    <n v="-10277.734"/>
    <n v="10277.734"/>
    <x v="0"/>
    <s v="2100"/>
    <s v="000"/>
    <x v="3"/>
    <x v="1"/>
  </r>
  <r>
    <d v="2012-01-21T00:00:00"/>
    <s v="016-2210-000"/>
    <s v="Liquor Sales"/>
    <n v="3234.9300000000003"/>
    <n v="0"/>
    <s v="Daily Sales Import"/>
    <n v="-3234.9300000000003"/>
    <n v="3234.9300000000003"/>
    <x v="0"/>
    <s v="2210"/>
    <s v="000"/>
    <x v="3"/>
    <x v="1"/>
  </r>
  <r>
    <d v="2012-01-21T00:00:00"/>
    <s v="016-2220-000"/>
    <s v="Beer Sales"/>
    <n v="496.76249999999999"/>
    <n v="0"/>
    <s v="Daily Sales Import"/>
    <n v="-496.76249999999999"/>
    <n v="496.76249999999999"/>
    <x v="0"/>
    <s v="2220"/>
    <s v="000"/>
    <x v="3"/>
    <x v="1"/>
  </r>
  <r>
    <d v="2012-01-21T00:00:00"/>
    <s v="016-2230-000"/>
    <s v="Wine Sales"/>
    <n v="429.95599999999996"/>
    <n v="0"/>
    <s v="Daily Sales Import"/>
    <n v="-429.95599999999996"/>
    <n v="429.95599999999996"/>
    <x v="0"/>
    <s v="2230"/>
    <s v="000"/>
    <x v="3"/>
    <x v="1"/>
  </r>
  <r>
    <d v="2012-01-22T00:00:00"/>
    <s v="016-2100-000"/>
    <s v="Food Sales"/>
    <n v="4618.8420999999998"/>
    <n v="0"/>
    <s v="Daily Sales Import"/>
    <n v="-4618.8420999999998"/>
    <n v="4618.8420999999998"/>
    <x v="0"/>
    <s v="2100"/>
    <s v="000"/>
    <x v="3"/>
    <x v="1"/>
  </r>
  <r>
    <d v="2012-01-22T00:00:00"/>
    <s v="016-2210-000"/>
    <s v="Liquor Sales"/>
    <n v="1430.3979999999999"/>
    <n v="0"/>
    <s v="Daily Sales Import"/>
    <n v="-1430.3979999999999"/>
    <n v="1430.3979999999999"/>
    <x v="0"/>
    <s v="2210"/>
    <s v="000"/>
    <x v="3"/>
    <x v="1"/>
  </r>
  <r>
    <d v="2012-01-22T00:00:00"/>
    <s v="016-2220-000"/>
    <s v="Beer Sales"/>
    <n v="167.71949999999998"/>
    <n v="0"/>
    <s v="Daily Sales Import"/>
    <n v="-167.71949999999998"/>
    <n v="167.71949999999998"/>
    <x v="0"/>
    <s v="2220"/>
    <s v="000"/>
    <x v="3"/>
    <x v="1"/>
  </r>
  <r>
    <d v="2012-01-22T00:00:00"/>
    <s v="016-2230-000"/>
    <s v="Wine Sales"/>
    <n v="101.75200000000001"/>
    <n v="0"/>
    <s v="Daily Sales Import"/>
    <n v="-101.75200000000001"/>
    <n v="101.75200000000001"/>
    <x v="0"/>
    <s v="2230"/>
    <s v="000"/>
    <x v="3"/>
    <x v="1"/>
  </r>
  <r>
    <d v="2012-01-16T00:00:00"/>
    <s v="017-2100-000"/>
    <s v="Food Sales"/>
    <n v="3770.6680000000001"/>
    <n v="0"/>
    <s v="Daily Sales Import"/>
    <n v="-3770.6680000000001"/>
    <n v="3770.6680000000001"/>
    <x v="1"/>
    <s v="2100"/>
    <s v="000"/>
    <x v="3"/>
    <x v="1"/>
  </r>
  <r>
    <d v="2012-01-16T00:00:00"/>
    <s v="017-2210-000"/>
    <s v="Liquor Sales"/>
    <n v="632.66999999999996"/>
    <n v="0"/>
    <s v="Daily Sales Import"/>
    <n v="-632.66999999999996"/>
    <n v="632.66999999999996"/>
    <x v="1"/>
    <s v="2210"/>
    <s v="000"/>
    <x v="3"/>
    <x v="1"/>
  </r>
  <r>
    <d v="2012-01-16T00:00:00"/>
    <s v="017-2220-000"/>
    <s v="Beer Sales"/>
    <n v="203.4"/>
    <n v="0"/>
    <s v="Daily Sales Import"/>
    <n v="-203.4"/>
    <n v="203.4"/>
    <x v="1"/>
    <s v="2220"/>
    <s v="000"/>
    <x v="3"/>
    <x v="1"/>
  </r>
  <r>
    <d v="2012-01-16T00:00:00"/>
    <s v="017-2230-000"/>
    <s v="Wine Sales"/>
    <n v="30.695"/>
    <n v="0"/>
    <s v="Daily Sales Import"/>
    <n v="-30.695"/>
    <n v="30.695"/>
    <x v="1"/>
    <s v="2230"/>
    <s v="000"/>
    <x v="3"/>
    <x v="1"/>
  </r>
  <r>
    <d v="2012-01-17T00:00:00"/>
    <s v="017-2100-000"/>
    <s v="Food Sales"/>
    <n v="4373.9324999999999"/>
    <n v="0"/>
    <s v="Daily Sales Import"/>
    <n v="-4373.9324999999999"/>
    <n v="4373.9324999999999"/>
    <x v="1"/>
    <s v="2100"/>
    <s v="000"/>
    <x v="3"/>
    <x v="1"/>
  </r>
  <r>
    <d v="2012-01-17T00:00:00"/>
    <s v="017-2210-000"/>
    <s v="Liquor Sales"/>
    <n v="848.08749999999998"/>
    <n v="0"/>
    <s v="Daily Sales Import"/>
    <n v="-848.08749999999998"/>
    <n v="848.08749999999998"/>
    <x v="1"/>
    <s v="2210"/>
    <s v="000"/>
    <x v="3"/>
    <x v="1"/>
  </r>
  <r>
    <d v="2012-01-17T00:00:00"/>
    <s v="017-2220-000"/>
    <s v="Beer Sales"/>
    <n v="431.05500000000001"/>
    <n v="0"/>
    <s v="Daily Sales Import"/>
    <n v="-431.05500000000001"/>
    <n v="431.05500000000001"/>
    <x v="1"/>
    <s v="2220"/>
    <s v="000"/>
    <x v="3"/>
    <x v="1"/>
  </r>
  <r>
    <d v="2012-01-17T00:00:00"/>
    <s v="017-2230-000"/>
    <s v="Wine Sales"/>
    <n v="158.0325"/>
    <n v="0"/>
    <s v="Daily Sales Import"/>
    <n v="-158.0325"/>
    <n v="158.0325"/>
    <x v="1"/>
    <s v="2230"/>
    <s v="000"/>
    <x v="3"/>
    <x v="1"/>
  </r>
  <r>
    <d v="2012-01-18T00:00:00"/>
    <s v="017-2100-000"/>
    <s v="Food Sales"/>
    <n v="4561.3710000000001"/>
    <n v="0"/>
    <s v="Daily Sales Import"/>
    <n v="-4561.3710000000001"/>
    <n v="4561.3710000000001"/>
    <x v="1"/>
    <s v="2100"/>
    <s v="000"/>
    <x v="3"/>
    <x v="1"/>
  </r>
  <r>
    <d v="2012-01-18T00:00:00"/>
    <s v="017-2210-000"/>
    <s v="Liquor Sales"/>
    <n v="1555.9839999999999"/>
    <n v="0"/>
    <s v="Daily Sales Import"/>
    <n v="-1555.9839999999999"/>
    <n v="1555.9839999999999"/>
    <x v="1"/>
    <s v="2210"/>
    <s v="000"/>
    <x v="3"/>
    <x v="1"/>
  </r>
  <r>
    <d v="2012-01-18T00:00:00"/>
    <s v="017-2220-000"/>
    <s v="Beer Sales"/>
    <n v="569.4375"/>
    <n v="0"/>
    <s v="Daily Sales Import"/>
    <n v="-569.4375"/>
    <n v="569.4375"/>
    <x v="1"/>
    <s v="2220"/>
    <s v="000"/>
    <x v="3"/>
    <x v="1"/>
  </r>
  <r>
    <d v="2012-01-18T00:00:00"/>
    <s v="017-2230-000"/>
    <s v="Wine Sales"/>
    <n v="204.68"/>
    <n v="0"/>
    <s v="Daily Sales Import"/>
    <n v="-204.68"/>
    <n v="204.68"/>
    <x v="1"/>
    <s v="2230"/>
    <s v="000"/>
    <x v="3"/>
    <x v="1"/>
  </r>
  <r>
    <d v="2012-01-19T00:00:00"/>
    <s v="017-2100-000"/>
    <s v="Food Sales"/>
    <n v="6204.4079999999994"/>
    <n v="0"/>
    <s v="Daily Sales Import"/>
    <n v="-6204.4079999999994"/>
    <n v="6204.4079999999994"/>
    <x v="1"/>
    <s v="2100"/>
    <s v="000"/>
    <x v="3"/>
    <x v="1"/>
  </r>
  <r>
    <d v="2012-01-19T00:00:00"/>
    <s v="017-2210-000"/>
    <s v="Liquor Sales"/>
    <n v="1178.5635"/>
    <n v="0"/>
    <s v="Daily Sales Import"/>
    <n v="-1178.5635"/>
    <n v="1178.5635"/>
    <x v="1"/>
    <s v="2210"/>
    <s v="000"/>
    <x v="3"/>
    <x v="1"/>
  </r>
  <r>
    <d v="2012-01-19T00:00:00"/>
    <s v="017-2220-000"/>
    <s v="Beer Sales"/>
    <n v="489.14249999999998"/>
    <n v="0"/>
    <s v="Daily Sales Import"/>
    <n v="-489.14249999999998"/>
    <n v="489.14249999999998"/>
    <x v="1"/>
    <s v="2220"/>
    <s v="000"/>
    <x v="3"/>
    <x v="1"/>
  </r>
  <r>
    <d v="2012-01-19T00:00:00"/>
    <s v="017-2230-000"/>
    <s v="Wine Sales"/>
    <n v="90.65"/>
    <n v="0"/>
    <s v="Daily Sales Import"/>
    <n v="-90.65"/>
    <n v="90.65"/>
    <x v="1"/>
    <s v="2230"/>
    <s v="000"/>
    <x v="3"/>
    <x v="1"/>
  </r>
  <r>
    <d v="2012-01-20T00:00:00"/>
    <s v="017-2100-000"/>
    <s v="Food Sales"/>
    <n v="8536.99"/>
    <n v="0"/>
    <s v="Daily Sales Import"/>
    <n v="-8536.99"/>
    <n v="8536.99"/>
    <x v="1"/>
    <s v="2100"/>
    <s v="000"/>
    <x v="3"/>
    <x v="1"/>
  </r>
  <r>
    <d v="2012-01-20T00:00:00"/>
    <s v="017-2210-000"/>
    <s v="Liquor Sales"/>
    <n v="2859.1349999999998"/>
    <n v="0"/>
    <s v="Daily Sales Import"/>
    <n v="-2859.1349999999998"/>
    <n v="2859.1349999999998"/>
    <x v="1"/>
    <s v="2210"/>
    <s v="000"/>
    <x v="3"/>
    <x v="1"/>
  </r>
  <r>
    <d v="2012-01-20T00:00:00"/>
    <s v="017-2220-000"/>
    <s v="Beer Sales"/>
    <n v="696.18"/>
    <n v="0"/>
    <s v="Daily Sales Import"/>
    <n v="-696.18"/>
    <n v="696.18"/>
    <x v="1"/>
    <s v="2220"/>
    <s v="000"/>
    <x v="3"/>
    <x v="1"/>
  </r>
  <r>
    <d v="2012-01-20T00:00:00"/>
    <s v="017-2230-000"/>
    <s v="Wine Sales"/>
    <n v="217.04000000000002"/>
    <n v="0"/>
    <s v="Daily Sales Import"/>
    <n v="-217.04000000000002"/>
    <n v="217.04000000000002"/>
    <x v="1"/>
    <s v="2230"/>
    <s v="000"/>
    <x v="3"/>
    <x v="1"/>
  </r>
  <r>
    <d v="2012-01-21T00:00:00"/>
    <s v="017-2100-000"/>
    <s v="Food Sales"/>
    <n v="5267.1954999999998"/>
    <n v="0"/>
    <s v="Daily Sales Import"/>
    <n v="-5267.1954999999998"/>
    <n v="5267.1954999999998"/>
    <x v="1"/>
    <s v="2100"/>
    <s v="000"/>
    <x v="3"/>
    <x v="1"/>
  </r>
  <r>
    <d v="2012-01-21T00:00:00"/>
    <s v="017-2210-000"/>
    <s v="Liquor Sales"/>
    <n v="1521.905"/>
    <n v="0"/>
    <s v="Daily Sales Import"/>
    <n v="-1521.905"/>
    <n v="1521.905"/>
    <x v="1"/>
    <s v="2210"/>
    <s v="000"/>
    <x v="3"/>
    <x v="1"/>
  </r>
  <r>
    <d v="2012-01-21T00:00:00"/>
    <s v="017-2220-000"/>
    <s v="Beer Sales"/>
    <n v="398.56"/>
    <n v="0"/>
    <s v="Daily Sales Import"/>
    <n v="-398.56"/>
    <n v="398.56"/>
    <x v="1"/>
    <s v="2220"/>
    <s v="000"/>
    <x v="3"/>
    <x v="1"/>
  </r>
  <r>
    <d v="2012-01-21T00:00:00"/>
    <s v="017-2230-000"/>
    <s v="Wine Sales"/>
    <n v="143.136"/>
    <n v="0"/>
    <s v="Daily Sales Import"/>
    <n v="-143.136"/>
    <n v="143.136"/>
    <x v="1"/>
    <s v="2230"/>
    <s v="000"/>
    <x v="3"/>
    <x v="1"/>
  </r>
  <r>
    <d v="2012-01-22T00:00:00"/>
    <s v="017-2100-000"/>
    <s v="Food Sales"/>
    <n v="2598.0868"/>
    <n v="0"/>
    <s v="Daily Sales Import"/>
    <n v="-2598.0868"/>
    <n v="2598.0868"/>
    <x v="1"/>
    <s v="2100"/>
    <s v="000"/>
    <x v="3"/>
    <x v="1"/>
  </r>
  <r>
    <d v="2012-01-22T00:00:00"/>
    <s v="017-2210-000"/>
    <s v="Liquor Sales"/>
    <n v="759.96800000000007"/>
    <n v="0"/>
    <s v="Daily Sales Import"/>
    <n v="-759.96800000000007"/>
    <n v="759.96800000000007"/>
    <x v="1"/>
    <s v="2210"/>
    <s v="000"/>
    <x v="3"/>
    <x v="1"/>
  </r>
  <r>
    <d v="2012-01-22T00:00:00"/>
    <s v="017-2220-000"/>
    <s v="Beer Sales"/>
    <n v="82.362500000000011"/>
    <n v="0"/>
    <s v="Daily Sales Import"/>
    <n v="-82.362500000000011"/>
    <n v="82.362500000000011"/>
    <x v="1"/>
    <s v="2220"/>
    <s v="000"/>
    <x v="3"/>
    <x v="1"/>
  </r>
  <r>
    <d v="2012-01-22T00:00:00"/>
    <s v="017-2230-000"/>
    <s v="Wine Sales"/>
    <n v="65.802000000000007"/>
    <n v="0"/>
    <s v="Daily Sales Import"/>
    <n v="-65.802000000000007"/>
    <n v="65.802000000000007"/>
    <x v="1"/>
    <s v="2230"/>
    <s v="000"/>
    <x v="3"/>
    <x v="1"/>
  </r>
  <r>
    <d v="2012-01-16T00:00:00"/>
    <s v="018-2100-000"/>
    <s v="Food Sales"/>
    <n v="5733.9359999999997"/>
    <n v="0"/>
    <s v="Daily Sales Import"/>
    <n v="-5733.9359999999997"/>
    <n v="5733.9359999999997"/>
    <x v="2"/>
    <s v="2100"/>
    <s v="000"/>
    <x v="3"/>
    <x v="1"/>
  </r>
  <r>
    <d v="2012-01-16T00:00:00"/>
    <s v="018-2210-000"/>
    <s v="Liquor Sales"/>
    <n v="677.29049999999995"/>
    <n v="0"/>
    <s v="Daily Sales Import"/>
    <n v="-677.29049999999995"/>
    <n v="677.29049999999995"/>
    <x v="2"/>
    <s v="2210"/>
    <s v="000"/>
    <x v="3"/>
    <x v="1"/>
  </r>
  <r>
    <d v="2012-01-16T00:00:00"/>
    <s v="018-2220-000"/>
    <s v="Beer Sales"/>
    <n v="170.80800000000002"/>
    <n v="0"/>
    <s v="Daily Sales Import"/>
    <n v="-170.80800000000002"/>
    <n v="170.80800000000002"/>
    <x v="2"/>
    <s v="2220"/>
    <s v="000"/>
    <x v="3"/>
    <x v="1"/>
  </r>
  <r>
    <d v="2012-01-16T00:00:00"/>
    <s v="018-2230-000"/>
    <s v="Wine Sales"/>
    <n v="53.34"/>
    <n v="0"/>
    <s v="Daily Sales Import"/>
    <n v="-53.34"/>
    <n v="53.34"/>
    <x v="2"/>
    <s v="2230"/>
    <s v="000"/>
    <x v="3"/>
    <x v="1"/>
  </r>
  <r>
    <d v="2012-01-17T00:00:00"/>
    <s v="018-2100-000"/>
    <s v="Food Sales"/>
    <n v="2419.8839999999996"/>
    <n v="0"/>
    <s v="Daily Sales Import"/>
    <n v="-2419.8839999999996"/>
    <n v="2419.8839999999996"/>
    <x v="2"/>
    <s v="2100"/>
    <s v="000"/>
    <x v="3"/>
    <x v="1"/>
  </r>
  <r>
    <d v="2012-01-17T00:00:00"/>
    <s v="018-2210-000"/>
    <s v="Liquor Sales"/>
    <n v="311.19899999999996"/>
    <n v="0"/>
    <s v="Daily Sales Import"/>
    <n v="-311.19899999999996"/>
    <n v="311.19899999999996"/>
    <x v="2"/>
    <s v="2210"/>
    <s v="000"/>
    <x v="3"/>
    <x v="1"/>
  </r>
  <r>
    <d v="2012-01-17T00:00:00"/>
    <s v="018-2220-000"/>
    <s v="Beer Sales"/>
    <n v="91.611000000000004"/>
    <n v="0"/>
    <s v="Daily Sales Import"/>
    <n v="-91.611000000000004"/>
    <n v="91.611000000000004"/>
    <x v="2"/>
    <s v="2220"/>
    <s v="000"/>
    <x v="3"/>
    <x v="1"/>
  </r>
  <r>
    <d v="2012-01-17T00:00:00"/>
    <s v="018-2230-000"/>
    <s v="Wine Sales"/>
    <n v="42.769999999999996"/>
    <n v="0"/>
    <s v="Daily Sales Import"/>
    <n v="-42.769999999999996"/>
    <n v="42.769999999999996"/>
    <x v="2"/>
    <s v="2230"/>
    <s v="000"/>
    <x v="3"/>
    <x v="1"/>
  </r>
  <r>
    <d v="2012-01-18T00:00:00"/>
    <s v="018-2100-000"/>
    <s v="Food Sales"/>
    <n v="3176.5584999999996"/>
    <n v="0"/>
    <s v="Daily Sales Import"/>
    <n v="-3176.5584999999996"/>
    <n v="3176.5584999999996"/>
    <x v="2"/>
    <s v="2100"/>
    <s v="000"/>
    <x v="3"/>
    <x v="1"/>
  </r>
  <r>
    <d v="2012-01-18T00:00:00"/>
    <s v="018-2210-000"/>
    <s v="Liquor Sales"/>
    <n v="500.67600000000004"/>
    <n v="0"/>
    <s v="Daily Sales Import"/>
    <n v="-500.67600000000004"/>
    <n v="500.67600000000004"/>
    <x v="2"/>
    <s v="2210"/>
    <s v="000"/>
    <x v="3"/>
    <x v="1"/>
  </r>
  <r>
    <d v="2012-01-18T00:00:00"/>
    <s v="018-2220-000"/>
    <s v="Beer Sales"/>
    <n v="79.14500000000001"/>
    <n v="0"/>
    <s v="Daily Sales Import"/>
    <n v="-79.14500000000001"/>
    <n v="79.14500000000001"/>
    <x v="2"/>
    <s v="2220"/>
    <s v="000"/>
    <x v="3"/>
    <x v="1"/>
  </r>
  <r>
    <d v="2012-01-18T00:00:00"/>
    <s v="018-2230-000"/>
    <s v="Wine Sales"/>
    <n v="18.942"/>
    <n v="0"/>
    <s v="Daily Sales Import"/>
    <n v="-18.942"/>
    <n v="18.942"/>
    <x v="2"/>
    <s v="2230"/>
    <s v="000"/>
    <x v="3"/>
    <x v="1"/>
  </r>
  <r>
    <d v="2012-01-19T00:00:00"/>
    <s v="018-2100-000"/>
    <s v="Food Sales"/>
    <n v="4375.5384000000004"/>
    <n v="0"/>
    <s v="Daily Sales Import"/>
    <n v="-4375.5384000000004"/>
    <n v="4375.5384000000004"/>
    <x v="2"/>
    <s v="2100"/>
    <s v="000"/>
    <x v="3"/>
    <x v="1"/>
  </r>
  <r>
    <d v="2012-01-19T00:00:00"/>
    <s v="018-2210-000"/>
    <s v="Liquor Sales"/>
    <n v="529.94799999999998"/>
    <n v="0"/>
    <s v="Daily Sales Import"/>
    <n v="-529.94799999999998"/>
    <n v="529.94799999999998"/>
    <x v="2"/>
    <s v="2210"/>
    <s v="000"/>
    <x v="3"/>
    <x v="1"/>
  </r>
  <r>
    <d v="2012-01-19T00:00:00"/>
    <s v="018-2220-000"/>
    <s v="Beer Sales"/>
    <n v="71.344000000000008"/>
    <n v="0"/>
    <s v="Daily Sales Import"/>
    <n v="-71.344000000000008"/>
    <n v="71.344000000000008"/>
    <x v="2"/>
    <s v="2220"/>
    <s v="000"/>
    <x v="3"/>
    <x v="1"/>
  </r>
  <r>
    <d v="2012-01-19T00:00:00"/>
    <s v="018-2230-000"/>
    <s v="Wine Sales"/>
    <n v="31.15"/>
    <n v="0"/>
    <s v="Daily Sales Import"/>
    <n v="-31.15"/>
    <n v="31.15"/>
    <x v="2"/>
    <s v="2230"/>
    <s v="000"/>
    <x v="3"/>
    <x v="1"/>
  </r>
  <r>
    <d v="2012-01-20T00:00:00"/>
    <s v="018-2100-000"/>
    <s v="Food Sales"/>
    <n v="5925.92"/>
    <n v="0"/>
    <s v="Daily Sales Import"/>
    <n v="-5925.92"/>
    <n v="5925.92"/>
    <x v="2"/>
    <s v="2100"/>
    <s v="000"/>
    <x v="3"/>
    <x v="1"/>
  </r>
  <r>
    <d v="2012-01-20T00:00:00"/>
    <s v="018-2210-000"/>
    <s v="Liquor Sales"/>
    <n v="2812.7440000000001"/>
    <n v="0"/>
    <s v="Daily Sales Import"/>
    <n v="-2812.7440000000001"/>
    <n v="2812.7440000000001"/>
    <x v="2"/>
    <s v="2210"/>
    <s v="000"/>
    <x v="3"/>
    <x v="1"/>
  </r>
  <r>
    <d v="2012-01-20T00:00:00"/>
    <s v="018-2220-000"/>
    <s v="Beer Sales"/>
    <n v="523.48450000000003"/>
    <n v="0"/>
    <s v="Daily Sales Import"/>
    <n v="-523.48450000000003"/>
    <n v="523.48450000000003"/>
    <x v="2"/>
    <s v="2220"/>
    <s v="000"/>
    <x v="3"/>
    <x v="1"/>
  </r>
  <r>
    <d v="2012-01-20T00:00:00"/>
    <s v="018-2230-000"/>
    <s v="Wine Sales"/>
    <n v="144.012"/>
    <n v="0"/>
    <s v="Daily Sales Import"/>
    <n v="-144.012"/>
    <n v="144.012"/>
    <x v="2"/>
    <s v="2230"/>
    <s v="000"/>
    <x v="3"/>
    <x v="1"/>
  </r>
  <r>
    <d v="2012-01-21T00:00:00"/>
    <s v="018-2100-000"/>
    <s v="Food Sales"/>
    <n v="7825.1859999999997"/>
    <n v="0"/>
    <s v="Daily Sales Import"/>
    <n v="-7825.1859999999997"/>
    <n v="7825.1859999999997"/>
    <x v="2"/>
    <s v="2100"/>
    <s v="000"/>
    <x v="3"/>
    <x v="1"/>
  </r>
  <r>
    <d v="2012-01-21T00:00:00"/>
    <s v="018-2210-000"/>
    <s v="Liquor Sales"/>
    <n v="1980.0330000000001"/>
    <n v="0"/>
    <s v="Daily Sales Import"/>
    <n v="-1980.0330000000001"/>
    <n v="1980.0330000000001"/>
    <x v="2"/>
    <s v="2210"/>
    <s v="000"/>
    <x v="3"/>
    <x v="1"/>
  </r>
  <r>
    <d v="2012-01-21T00:00:00"/>
    <s v="018-2220-000"/>
    <s v="Beer Sales"/>
    <n v="560.928"/>
    <n v="0"/>
    <s v="Daily Sales Import"/>
    <n v="-560.928"/>
    <n v="560.928"/>
    <x v="2"/>
    <s v="2220"/>
    <s v="000"/>
    <x v="3"/>
    <x v="1"/>
  </r>
  <r>
    <d v="2012-01-21T00:00:00"/>
    <s v="018-2230-000"/>
    <s v="Wine Sales"/>
    <n v="172.67"/>
    <n v="0"/>
    <s v="Daily Sales Import"/>
    <n v="-172.67"/>
    <n v="172.67"/>
    <x v="2"/>
    <s v="2230"/>
    <s v="000"/>
    <x v="3"/>
    <x v="1"/>
  </r>
  <r>
    <d v="2012-01-22T00:00:00"/>
    <s v="018-2100-000"/>
    <s v="Food Sales"/>
    <n v="5867.5844999999999"/>
    <n v="0"/>
    <s v="Daily Sales Import"/>
    <n v="-5867.5844999999999"/>
    <n v="5867.5844999999999"/>
    <x v="2"/>
    <s v="2100"/>
    <s v="000"/>
    <x v="3"/>
    <x v="1"/>
  </r>
  <r>
    <d v="2012-01-22T00:00:00"/>
    <s v="018-2210-000"/>
    <s v="Liquor Sales"/>
    <n v="679.36349999999993"/>
    <n v="0"/>
    <s v="Daily Sales Import"/>
    <n v="-679.36349999999993"/>
    <n v="679.36349999999993"/>
    <x v="2"/>
    <s v="2210"/>
    <s v="000"/>
    <x v="3"/>
    <x v="1"/>
  </r>
  <r>
    <d v="2012-01-22T00:00:00"/>
    <s v="018-2220-000"/>
    <s v="Beer Sales"/>
    <n v="107.05499999999999"/>
    <n v="0"/>
    <s v="Daily Sales Import"/>
    <n v="-107.05499999999999"/>
    <n v="107.05499999999999"/>
    <x v="2"/>
    <s v="2220"/>
    <s v="000"/>
    <x v="3"/>
    <x v="1"/>
  </r>
  <r>
    <d v="2012-01-22T00:00:00"/>
    <s v="018-2230-000"/>
    <s v="Wine Sales"/>
    <n v="53.7425"/>
    <n v="0"/>
    <s v="Daily Sales Import"/>
    <n v="-53.7425"/>
    <n v="53.7425"/>
    <x v="2"/>
    <s v="2230"/>
    <s v="000"/>
    <x v="3"/>
    <x v="1"/>
  </r>
  <r>
    <d v="2012-01-23T00:00:00"/>
    <s v="016-2100-000"/>
    <s v="Food Sales"/>
    <n v="2846.3604"/>
    <n v="0"/>
    <s v="Daily Sales Import"/>
    <n v="-2846.3604"/>
    <n v="2846.3604"/>
    <x v="0"/>
    <s v="2100"/>
    <s v="000"/>
    <x v="3"/>
    <x v="1"/>
  </r>
  <r>
    <d v="2012-01-23T00:00:00"/>
    <s v="016-2210-000"/>
    <s v="Liquor Sales"/>
    <n v="532.77599999999995"/>
    <n v="0"/>
    <s v="Daily Sales Import"/>
    <n v="-532.77599999999995"/>
    <n v="532.77599999999995"/>
    <x v="0"/>
    <s v="2210"/>
    <s v="000"/>
    <x v="3"/>
    <x v="1"/>
  </r>
  <r>
    <d v="2012-01-23T00:00:00"/>
    <s v="016-2220-000"/>
    <s v="Beer Sales"/>
    <n v="123.753"/>
    <n v="0"/>
    <s v="Daily Sales Import"/>
    <n v="-123.753"/>
    <n v="123.753"/>
    <x v="0"/>
    <s v="2220"/>
    <s v="000"/>
    <x v="3"/>
    <x v="1"/>
  </r>
  <r>
    <d v="2012-01-23T00:00:00"/>
    <s v="016-2230-000"/>
    <s v="Wine Sales"/>
    <n v="31.008000000000003"/>
    <n v="0"/>
    <s v="Daily Sales Import"/>
    <n v="-31.008000000000003"/>
    <n v="31.008000000000003"/>
    <x v="0"/>
    <s v="2230"/>
    <s v="000"/>
    <x v="3"/>
    <x v="1"/>
  </r>
  <r>
    <d v="2012-01-24T00:00:00"/>
    <s v="016-2100-000"/>
    <s v="Food Sales"/>
    <n v="1933.1466000000003"/>
    <n v="0"/>
    <s v="Daily Sales Import"/>
    <n v="-1933.1466000000003"/>
    <n v="1933.1466000000003"/>
    <x v="0"/>
    <s v="2100"/>
    <s v="000"/>
    <x v="3"/>
    <x v="1"/>
  </r>
  <r>
    <d v="2012-01-24T00:00:00"/>
    <s v="016-2210-000"/>
    <s v="Liquor Sales"/>
    <n v="752.76850000000002"/>
    <n v="0"/>
    <s v="Daily Sales Import"/>
    <n v="-752.76850000000002"/>
    <n v="752.76850000000002"/>
    <x v="0"/>
    <s v="2210"/>
    <s v="000"/>
    <x v="3"/>
    <x v="1"/>
  </r>
  <r>
    <d v="2012-01-24T00:00:00"/>
    <s v="016-2220-000"/>
    <s v="Beer Sales"/>
    <n v="92.218500000000006"/>
    <n v="0"/>
    <s v="Daily Sales Import"/>
    <n v="-92.218500000000006"/>
    <n v="92.218500000000006"/>
    <x v="0"/>
    <s v="2220"/>
    <s v="000"/>
    <x v="3"/>
    <x v="1"/>
  </r>
  <r>
    <d v="2012-01-24T00:00:00"/>
    <s v="016-2230-000"/>
    <s v="Wine Sales"/>
    <n v="94.332999999999998"/>
    <n v="0"/>
    <s v="Daily Sales Import"/>
    <n v="-94.332999999999998"/>
    <n v="94.332999999999998"/>
    <x v="0"/>
    <s v="2230"/>
    <s v="000"/>
    <x v="3"/>
    <x v="1"/>
  </r>
  <r>
    <d v="2012-01-25T00:00:00"/>
    <s v="016-2100-000"/>
    <s v="Food Sales"/>
    <n v="4214.2336999999998"/>
    <n v="0"/>
    <s v="Daily Sales Import"/>
    <n v="-4214.2336999999998"/>
    <n v="4214.2336999999998"/>
    <x v="0"/>
    <s v="2100"/>
    <s v="000"/>
    <x v="3"/>
    <x v="1"/>
  </r>
  <r>
    <d v="2012-01-25T00:00:00"/>
    <s v="016-2210-000"/>
    <s v="Liquor Sales"/>
    <n v="1661.538"/>
    <n v="0"/>
    <s v="Daily Sales Import"/>
    <n v="-1661.538"/>
    <n v="1661.538"/>
    <x v="0"/>
    <s v="2210"/>
    <s v="000"/>
    <x v="3"/>
    <x v="1"/>
  </r>
  <r>
    <d v="2012-01-25T00:00:00"/>
    <s v="016-2220-000"/>
    <s v="Beer Sales"/>
    <n v="203.41200000000003"/>
    <n v="0"/>
    <s v="Daily Sales Import"/>
    <n v="-203.41200000000003"/>
    <n v="203.41200000000003"/>
    <x v="0"/>
    <s v="2220"/>
    <s v="000"/>
    <x v="3"/>
    <x v="1"/>
  </r>
  <r>
    <d v="2012-01-25T00:00:00"/>
    <s v="016-2230-000"/>
    <s v="Wine Sales"/>
    <n v="201.70150000000001"/>
    <n v="0"/>
    <s v="Daily Sales Import"/>
    <n v="-201.70150000000001"/>
    <n v="201.70150000000001"/>
    <x v="0"/>
    <s v="2230"/>
    <s v="000"/>
    <x v="3"/>
    <x v="1"/>
  </r>
  <r>
    <d v="2012-01-26T00:00:00"/>
    <s v="016-2100-000"/>
    <s v="Food Sales"/>
    <n v="3117.9816000000001"/>
    <n v="0"/>
    <s v="Daily Sales Import"/>
    <n v="-3117.9816000000001"/>
    <n v="3117.9816000000001"/>
    <x v="0"/>
    <s v="2100"/>
    <s v="000"/>
    <x v="3"/>
    <x v="1"/>
  </r>
  <r>
    <d v="2012-01-26T00:00:00"/>
    <s v="016-2210-000"/>
    <s v="Liquor Sales"/>
    <n v="697.33900000000006"/>
    <n v="0"/>
    <s v="Daily Sales Import"/>
    <n v="-697.33900000000006"/>
    <n v="697.33900000000006"/>
    <x v="0"/>
    <s v="2210"/>
    <s v="000"/>
    <x v="3"/>
    <x v="1"/>
  </r>
  <r>
    <d v="2012-01-26T00:00:00"/>
    <s v="016-2220-000"/>
    <s v="Beer Sales"/>
    <n v="115.3815"/>
    <n v="0"/>
    <s v="Daily Sales Import"/>
    <n v="-115.3815"/>
    <n v="115.3815"/>
    <x v="0"/>
    <s v="2220"/>
    <s v="000"/>
    <x v="3"/>
    <x v="1"/>
  </r>
  <r>
    <d v="2012-01-26T00:00:00"/>
    <s v="016-2230-000"/>
    <s v="Wine Sales"/>
    <n v="94.438499999999991"/>
    <n v="0"/>
    <s v="Daily Sales Import"/>
    <n v="-94.438499999999991"/>
    <n v="94.438499999999991"/>
    <x v="0"/>
    <s v="2230"/>
    <s v="000"/>
    <x v="3"/>
    <x v="1"/>
  </r>
  <r>
    <d v="2012-01-27T00:00:00"/>
    <s v="016-2100-000"/>
    <s v="Food Sales"/>
    <n v="7850.8767999999991"/>
    <n v="0"/>
    <s v="Daily Sales Import"/>
    <n v="-7850.8767999999991"/>
    <n v="7850.8767999999991"/>
    <x v="0"/>
    <s v="2100"/>
    <s v="000"/>
    <x v="3"/>
    <x v="1"/>
  </r>
  <r>
    <d v="2012-01-27T00:00:00"/>
    <s v="016-2210-000"/>
    <s v="Liquor Sales"/>
    <n v="2205.2580000000003"/>
    <n v="0"/>
    <s v="Daily Sales Import"/>
    <n v="-2205.2580000000003"/>
    <n v="2205.2580000000003"/>
    <x v="0"/>
    <s v="2210"/>
    <s v="000"/>
    <x v="3"/>
    <x v="1"/>
  </r>
  <r>
    <d v="2012-01-27T00:00:00"/>
    <s v="016-2220-000"/>
    <s v="Beer Sales"/>
    <n v="635.28300000000002"/>
    <n v="0"/>
    <s v="Daily Sales Import"/>
    <n v="-635.28300000000002"/>
    <n v="635.28300000000002"/>
    <x v="0"/>
    <s v="2220"/>
    <s v="000"/>
    <x v="3"/>
    <x v="1"/>
  </r>
  <r>
    <d v="2012-01-27T00:00:00"/>
    <s v="016-2230-000"/>
    <s v="Wine Sales"/>
    <n v="333.89350000000002"/>
    <n v="0"/>
    <s v="Daily Sales Import"/>
    <n v="-333.89350000000002"/>
    <n v="333.89350000000002"/>
    <x v="0"/>
    <s v="2230"/>
    <s v="000"/>
    <x v="3"/>
    <x v="1"/>
  </r>
  <r>
    <d v="2012-01-28T00:00:00"/>
    <s v="016-2100-000"/>
    <s v="Food Sales"/>
    <n v="11173.368"/>
    <n v="0"/>
    <s v="Daily Sales Import"/>
    <n v="-11173.368"/>
    <n v="11173.368"/>
    <x v="0"/>
    <s v="2100"/>
    <s v="000"/>
    <x v="3"/>
    <x v="1"/>
  </r>
  <r>
    <d v="2012-01-28T00:00:00"/>
    <s v="016-2210-000"/>
    <s v="Liquor Sales"/>
    <n v="3030.3580000000002"/>
    <n v="0"/>
    <s v="Daily Sales Import"/>
    <n v="-3030.3580000000002"/>
    <n v="3030.3580000000002"/>
    <x v="0"/>
    <s v="2210"/>
    <s v="000"/>
    <x v="3"/>
    <x v="1"/>
  </r>
  <r>
    <d v="2012-01-28T00:00:00"/>
    <s v="016-2220-000"/>
    <s v="Beer Sales"/>
    <n v="705.04200000000003"/>
    <n v="0"/>
    <s v="Daily Sales Import"/>
    <n v="-705.04200000000003"/>
    <n v="705.04200000000003"/>
    <x v="0"/>
    <s v="2220"/>
    <s v="000"/>
    <x v="3"/>
    <x v="1"/>
  </r>
  <r>
    <d v="2012-01-28T00:00:00"/>
    <s v="016-2230-000"/>
    <s v="Wine Sales"/>
    <n v="288.27199999999999"/>
    <n v="0"/>
    <s v="Daily Sales Import"/>
    <n v="-288.27199999999999"/>
    <n v="288.27199999999999"/>
    <x v="0"/>
    <s v="2230"/>
    <s v="000"/>
    <x v="3"/>
    <x v="1"/>
  </r>
  <r>
    <d v="2012-01-29T00:00:00"/>
    <s v="016-2100-000"/>
    <s v="Food Sales"/>
    <n v="7328.0376000000006"/>
    <n v="0"/>
    <s v="Daily Sales Import"/>
    <n v="-7328.0376000000006"/>
    <n v="7328.0376000000006"/>
    <x v="0"/>
    <s v="2100"/>
    <s v="000"/>
    <x v="3"/>
    <x v="1"/>
  </r>
  <r>
    <d v="2012-01-29T00:00:00"/>
    <s v="016-2210-000"/>
    <s v="Liquor Sales"/>
    <n v="1919.4579999999999"/>
    <n v="0"/>
    <s v="Daily Sales Import"/>
    <n v="-1919.4579999999999"/>
    <n v="1919.4579999999999"/>
    <x v="0"/>
    <s v="2210"/>
    <s v="000"/>
    <x v="3"/>
    <x v="1"/>
  </r>
  <r>
    <d v="2012-01-29T00:00:00"/>
    <s v="016-2220-000"/>
    <s v="Beer Sales"/>
    <n v="413.09999999999997"/>
    <n v="0"/>
    <s v="Daily Sales Import"/>
    <n v="-413.09999999999997"/>
    <n v="413.09999999999997"/>
    <x v="0"/>
    <s v="2220"/>
    <s v="000"/>
    <x v="3"/>
    <x v="1"/>
  </r>
  <r>
    <d v="2012-01-29T00:00:00"/>
    <s v="016-2230-000"/>
    <s v="Wine Sales"/>
    <n v="140.95699999999999"/>
    <n v="0"/>
    <s v="Daily Sales Import"/>
    <n v="-140.95699999999999"/>
    <n v="140.95699999999999"/>
    <x v="0"/>
    <s v="2230"/>
    <s v="000"/>
    <x v="3"/>
    <x v="1"/>
  </r>
  <r>
    <d v="2012-01-23T00:00:00"/>
    <s v="017-2100-000"/>
    <s v="Food Sales"/>
    <n v="3653.9204"/>
    <n v="0"/>
    <s v="Daily Sales Import"/>
    <n v="-3653.9204"/>
    <n v="3653.9204"/>
    <x v="1"/>
    <s v="2100"/>
    <s v="000"/>
    <x v="3"/>
    <x v="1"/>
  </r>
  <r>
    <d v="2012-01-23T00:00:00"/>
    <s v="017-2210-000"/>
    <s v="Liquor Sales"/>
    <n v="689.77"/>
    <n v="0"/>
    <s v="Daily Sales Import"/>
    <n v="-689.77"/>
    <n v="689.77"/>
    <x v="1"/>
    <s v="2210"/>
    <s v="000"/>
    <x v="3"/>
    <x v="1"/>
  </r>
  <r>
    <d v="2012-01-23T00:00:00"/>
    <s v="017-2220-000"/>
    <s v="Beer Sales"/>
    <n v="247.17"/>
    <n v="0"/>
    <s v="Daily Sales Import"/>
    <n v="-247.17"/>
    <n v="247.17"/>
    <x v="1"/>
    <s v="2220"/>
    <s v="000"/>
    <x v="3"/>
    <x v="1"/>
  </r>
  <r>
    <d v="2012-01-23T00:00:00"/>
    <s v="017-2230-000"/>
    <s v="Wine Sales"/>
    <n v="82.655000000000001"/>
    <n v="0"/>
    <s v="Daily Sales Import"/>
    <n v="-82.655000000000001"/>
    <n v="82.655000000000001"/>
    <x v="1"/>
    <s v="2230"/>
    <s v="000"/>
    <x v="3"/>
    <x v="1"/>
  </r>
  <r>
    <d v="2012-01-24T00:00:00"/>
    <s v="017-2100-000"/>
    <s v="Food Sales"/>
    <n v="6353.46"/>
    <n v="0"/>
    <s v="Daily Sales Import"/>
    <n v="-6353.46"/>
    <n v="6353.46"/>
    <x v="1"/>
    <s v="2100"/>
    <s v="000"/>
    <x v="3"/>
    <x v="1"/>
  </r>
  <r>
    <d v="2012-01-24T00:00:00"/>
    <s v="017-2210-000"/>
    <s v="Liquor Sales"/>
    <n v="1539.3585000000003"/>
    <n v="0"/>
    <s v="Daily Sales Import"/>
    <n v="-1539.3585000000003"/>
    <n v="1539.3585000000003"/>
    <x v="1"/>
    <s v="2210"/>
    <s v="000"/>
    <x v="3"/>
    <x v="1"/>
  </r>
  <r>
    <d v="2012-01-24T00:00:00"/>
    <s v="017-2220-000"/>
    <s v="Beer Sales"/>
    <n v="513.625"/>
    <n v="0"/>
    <s v="Daily Sales Import"/>
    <n v="-513.625"/>
    <n v="513.625"/>
    <x v="1"/>
    <s v="2220"/>
    <s v="000"/>
    <x v="3"/>
    <x v="1"/>
  </r>
  <r>
    <d v="2012-01-24T00:00:00"/>
    <s v="017-2230-000"/>
    <s v="Wine Sales"/>
    <n v="163.48000000000002"/>
    <n v="0"/>
    <s v="Daily Sales Import"/>
    <n v="-163.48000000000002"/>
    <n v="163.48000000000002"/>
    <x v="1"/>
    <s v="2230"/>
    <s v="000"/>
    <x v="3"/>
    <x v="1"/>
  </r>
  <r>
    <d v="2012-01-25T00:00:00"/>
    <s v="017-2100-000"/>
    <s v="Food Sales"/>
    <n v="6877.6215000000002"/>
    <n v="0"/>
    <s v="Daily Sales Import"/>
    <n v="-6877.6215000000002"/>
    <n v="6877.6215000000002"/>
    <x v="1"/>
    <s v="2100"/>
    <s v="000"/>
    <x v="3"/>
    <x v="1"/>
  </r>
  <r>
    <d v="2012-01-25T00:00:00"/>
    <s v="017-2210-000"/>
    <s v="Liquor Sales"/>
    <n v="1899.1559999999999"/>
    <n v="0"/>
    <s v="Daily Sales Import"/>
    <n v="-1899.1559999999999"/>
    <n v="1899.1559999999999"/>
    <x v="1"/>
    <s v="2210"/>
    <s v="000"/>
    <x v="3"/>
    <x v="1"/>
  </r>
  <r>
    <d v="2012-01-25T00:00:00"/>
    <s v="017-2220-000"/>
    <s v="Beer Sales"/>
    <n v="539.17500000000007"/>
    <n v="0"/>
    <s v="Daily Sales Import"/>
    <n v="-539.17500000000007"/>
    <n v="539.17500000000007"/>
    <x v="1"/>
    <s v="2220"/>
    <s v="000"/>
    <x v="3"/>
    <x v="1"/>
  </r>
  <r>
    <d v="2012-01-25T00:00:00"/>
    <s v="017-2230-000"/>
    <s v="Wine Sales"/>
    <n v="171.82500000000002"/>
    <n v="0"/>
    <s v="Daily Sales Import"/>
    <n v="-171.82500000000002"/>
    <n v="171.82500000000002"/>
    <x v="1"/>
    <s v="2230"/>
    <s v="000"/>
    <x v="3"/>
    <x v="1"/>
  </r>
  <r>
    <d v="2012-01-26T00:00:00"/>
    <s v="017-2100-000"/>
    <s v="Food Sales"/>
    <n v="5284.8272000000006"/>
    <n v="0"/>
    <s v="Daily Sales Import"/>
    <n v="-5284.8272000000006"/>
    <n v="5284.8272000000006"/>
    <x v="1"/>
    <s v="2100"/>
    <s v="000"/>
    <x v="3"/>
    <x v="1"/>
  </r>
  <r>
    <d v="2012-01-26T00:00:00"/>
    <s v="017-2210-000"/>
    <s v="Liquor Sales"/>
    <n v="1281.1865"/>
    <n v="0"/>
    <s v="Daily Sales Import"/>
    <n v="-1281.1865"/>
    <n v="1281.1865"/>
    <x v="1"/>
    <s v="2210"/>
    <s v="000"/>
    <x v="3"/>
    <x v="1"/>
  </r>
  <r>
    <d v="2012-01-26T00:00:00"/>
    <s v="017-2220-000"/>
    <s v="Beer Sales"/>
    <n v="519.75"/>
    <n v="0"/>
    <s v="Daily Sales Import"/>
    <n v="-519.75"/>
    <n v="519.75"/>
    <x v="1"/>
    <s v="2220"/>
    <s v="000"/>
    <x v="3"/>
    <x v="1"/>
  </r>
  <r>
    <d v="2012-01-26T00:00:00"/>
    <s v="017-2230-000"/>
    <s v="Wine Sales"/>
    <n v="144.67000000000002"/>
    <n v="0"/>
    <s v="Daily Sales Import"/>
    <n v="-144.67000000000002"/>
    <n v="144.67000000000002"/>
    <x v="1"/>
    <s v="2230"/>
    <s v="000"/>
    <x v="3"/>
    <x v="1"/>
  </r>
  <r>
    <d v="2012-01-27T00:00:00"/>
    <s v="017-2100-000"/>
    <s v="Food Sales"/>
    <n v="8322.8984"/>
    <n v="0"/>
    <s v="Daily Sales Import"/>
    <n v="-8322.8984"/>
    <n v="8322.8984"/>
    <x v="1"/>
    <s v="2100"/>
    <s v="000"/>
    <x v="3"/>
    <x v="1"/>
  </r>
  <r>
    <d v="2012-01-27T00:00:00"/>
    <s v="017-2210-000"/>
    <s v="Liquor Sales"/>
    <n v="2568.9375"/>
    <n v="0"/>
    <s v="Daily Sales Import"/>
    <n v="-2568.9375"/>
    <n v="2568.9375"/>
    <x v="1"/>
    <s v="2210"/>
    <s v="000"/>
    <x v="3"/>
    <x v="1"/>
  </r>
  <r>
    <d v="2012-01-27T00:00:00"/>
    <s v="017-2220-000"/>
    <s v="Beer Sales"/>
    <n v="569.60749999999996"/>
    <n v="0"/>
    <s v="Daily Sales Import"/>
    <n v="-569.60749999999996"/>
    <n v="569.60749999999996"/>
    <x v="1"/>
    <s v="2220"/>
    <s v="000"/>
    <x v="3"/>
    <x v="1"/>
  </r>
  <r>
    <d v="2012-01-27T00:00:00"/>
    <s v="017-2230-000"/>
    <s v="Wine Sales"/>
    <n v="202.45500000000001"/>
    <n v="0"/>
    <s v="Daily Sales Import"/>
    <n v="-202.45500000000001"/>
    <n v="202.45500000000001"/>
    <x v="1"/>
    <s v="2230"/>
    <s v="000"/>
    <x v="3"/>
    <x v="1"/>
  </r>
  <r>
    <d v="2012-01-28T00:00:00"/>
    <s v="017-2100-000"/>
    <s v="Food Sales"/>
    <n v="5853.7246999999998"/>
    <n v="0"/>
    <s v="Daily Sales Import"/>
    <n v="-5853.7246999999998"/>
    <n v="5853.7246999999998"/>
    <x v="1"/>
    <s v="2100"/>
    <s v="000"/>
    <x v="3"/>
    <x v="1"/>
  </r>
  <r>
    <d v="2012-01-28T00:00:00"/>
    <s v="017-2210-000"/>
    <s v="Liquor Sales"/>
    <n v="2393.6849999999999"/>
    <n v="0"/>
    <s v="Daily Sales Import"/>
    <n v="-2393.6849999999999"/>
    <n v="2393.6849999999999"/>
    <x v="1"/>
    <s v="2210"/>
    <s v="000"/>
    <x v="3"/>
    <x v="1"/>
  </r>
  <r>
    <d v="2012-01-28T00:00:00"/>
    <s v="017-2220-000"/>
    <s v="Beer Sales"/>
    <n v="357.9"/>
    <n v="0"/>
    <s v="Daily Sales Import"/>
    <n v="-357.9"/>
    <n v="357.9"/>
    <x v="1"/>
    <s v="2220"/>
    <s v="000"/>
    <x v="3"/>
    <x v="1"/>
  </r>
  <r>
    <d v="2012-01-28T00:00:00"/>
    <s v="017-2230-000"/>
    <s v="Wine Sales"/>
    <n v="139.5"/>
    <n v="0"/>
    <s v="Daily Sales Import"/>
    <n v="-139.5"/>
    <n v="139.5"/>
    <x v="1"/>
    <s v="2230"/>
    <s v="000"/>
    <x v="3"/>
    <x v="1"/>
  </r>
  <r>
    <d v="2012-01-29T00:00:00"/>
    <s v="017-2100-000"/>
    <s v="Food Sales"/>
    <n v="4491.8335000000006"/>
    <n v="0"/>
    <s v="Daily Sales Import"/>
    <n v="-4491.8335000000006"/>
    <n v="4491.8335000000006"/>
    <x v="1"/>
    <s v="2100"/>
    <s v="000"/>
    <x v="3"/>
    <x v="1"/>
  </r>
  <r>
    <d v="2012-01-29T00:00:00"/>
    <s v="017-2210-000"/>
    <s v="Liquor Sales"/>
    <n v="817.21799999999996"/>
    <n v="0"/>
    <s v="Daily Sales Import"/>
    <n v="-817.21799999999996"/>
    <n v="817.21799999999996"/>
    <x v="1"/>
    <s v="2210"/>
    <s v="000"/>
    <x v="3"/>
    <x v="1"/>
  </r>
  <r>
    <d v="2012-01-29T00:00:00"/>
    <s v="017-2220-000"/>
    <s v="Beer Sales"/>
    <n v="236.88"/>
    <n v="0"/>
    <s v="Daily Sales Import"/>
    <n v="-236.88"/>
    <n v="236.88"/>
    <x v="1"/>
    <s v="2220"/>
    <s v="000"/>
    <x v="3"/>
    <x v="1"/>
  </r>
  <r>
    <d v="2012-01-29T00:00:00"/>
    <s v="017-2230-000"/>
    <s v="Wine Sales"/>
    <n v="66.637499999999989"/>
    <n v="0"/>
    <s v="Daily Sales Import"/>
    <n v="-66.637499999999989"/>
    <n v="66.637499999999989"/>
    <x v="1"/>
    <s v="2230"/>
    <s v="000"/>
    <x v="3"/>
    <x v="1"/>
  </r>
  <r>
    <d v="2012-01-23T00:00:00"/>
    <s v="018-2100-000"/>
    <s v="Food Sales"/>
    <n v="1995.7463999999998"/>
    <n v="0"/>
    <s v="Daily Sales Import"/>
    <n v="-1995.7463999999998"/>
    <n v="1995.7463999999998"/>
    <x v="2"/>
    <s v="2100"/>
    <s v="000"/>
    <x v="3"/>
    <x v="1"/>
  </r>
  <r>
    <d v="2012-01-23T00:00:00"/>
    <s v="018-2210-000"/>
    <s v="Liquor Sales"/>
    <n v="332.81"/>
    <n v="0"/>
    <s v="Daily Sales Import"/>
    <n v="-332.81"/>
    <n v="332.81"/>
    <x v="2"/>
    <s v="2210"/>
    <s v="000"/>
    <x v="3"/>
    <x v="1"/>
  </r>
  <r>
    <d v="2012-01-23T00:00:00"/>
    <s v="018-2220-000"/>
    <s v="Beer Sales"/>
    <n v="97.525500000000008"/>
    <n v="0"/>
    <s v="Daily Sales Import"/>
    <n v="-97.525500000000008"/>
    <n v="97.525500000000008"/>
    <x v="2"/>
    <s v="2220"/>
    <s v="000"/>
    <x v="3"/>
    <x v="1"/>
  </r>
  <r>
    <d v="2012-01-23T00:00:00"/>
    <s v="018-2230-000"/>
    <s v="Wine Sales"/>
    <n v="32.253"/>
    <n v="0"/>
    <s v="Daily Sales Import"/>
    <n v="-32.253"/>
    <n v="32.253"/>
    <x v="2"/>
    <s v="2230"/>
    <s v="000"/>
    <x v="3"/>
    <x v="1"/>
  </r>
  <r>
    <d v="2012-01-24T00:00:00"/>
    <s v="018-2100-000"/>
    <s v="Food Sales"/>
    <n v="3116.8998000000001"/>
    <n v="0"/>
    <s v="Daily Sales Import"/>
    <n v="-3116.8998000000001"/>
    <n v="3116.8998000000001"/>
    <x v="2"/>
    <s v="2100"/>
    <s v="000"/>
    <x v="3"/>
    <x v="1"/>
  </r>
  <r>
    <d v="2012-01-24T00:00:00"/>
    <s v="018-2210-000"/>
    <s v="Liquor Sales"/>
    <n v="579.96249999999998"/>
    <n v="0"/>
    <s v="Daily Sales Import"/>
    <n v="-579.96249999999998"/>
    <n v="579.96249999999998"/>
    <x v="2"/>
    <s v="2210"/>
    <s v="000"/>
    <x v="3"/>
    <x v="1"/>
  </r>
  <r>
    <d v="2012-01-24T00:00:00"/>
    <s v="018-2220-000"/>
    <s v="Beer Sales"/>
    <n v="203.30650000000003"/>
    <n v="0"/>
    <s v="Daily Sales Import"/>
    <n v="-203.30650000000003"/>
    <n v="203.30650000000003"/>
    <x v="2"/>
    <s v="2220"/>
    <s v="000"/>
    <x v="3"/>
    <x v="1"/>
  </r>
  <r>
    <d v="2012-01-24T00:00:00"/>
    <s v="018-2230-000"/>
    <s v="Wine Sales"/>
    <n v="23.315999999999999"/>
    <n v="0"/>
    <s v="Daily Sales Import"/>
    <n v="-23.315999999999999"/>
    <n v="23.315999999999999"/>
    <x v="2"/>
    <s v="2230"/>
    <s v="000"/>
    <x v="3"/>
    <x v="1"/>
  </r>
  <r>
    <d v="2012-01-25T00:00:00"/>
    <s v="018-2100-000"/>
    <s v="Food Sales"/>
    <n v="3516.7859999999996"/>
    <n v="0"/>
    <s v="Daily Sales Import"/>
    <n v="-3516.7859999999996"/>
    <n v="3516.7859999999996"/>
    <x v="2"/>
    <s v="2100"/>
    <s v="000"/>
    <x v="3"/>
    <x v="1"/>
  </r>
  <r>
    <d v="2012-01-25T00:00:00"/>
    <s v="018-2210-000"/>
    <s v="Liquor Sales"/>
    <n v="433.90700000000004"/>
    <n v="0"/>
    <s v="Daily Sales Import"/>
    <n v="-433.90700000000004"/>
    <n v="433.90700000000004"/>
    <x v="2"/>
    <s v="2210"/>
    <s v="000"/>
    <x v="3"/>
    <x v="1"/>
  </r>
  <r>
    <d v="2012-01-25T00:00:00"/>
    <s v="018-2220-000"/>
    <s v="Beer Sales"/>
    <n v="127.73399999999999"/>
    <n v="0"/>
    <s v="Daily Sales Import"/>
    <n v="-127.73399999999999"/>
    <n v="127.73399999999999"/>
    <x v="2"/>
    <s v="2220"/>
    <s v="000"/>
    <x v="3"/>
    <x v="1"/>
  </r>
  <r>
    <d v="2012-01-25T00:00:00"/>
    <s v="018-2230-000"/>
    <s v="Wine Sales"/>
    <n v="23.925000000000001"/>
    <n v="0"/>
    <s v="Daily Sales Import"/>
    <n v="-23.925000000000001"/>
    <n v="23.925000000000001"/>
    <x v="2"/>
    <s v="2230"/>
    <s v="000"/>
    <x v="3"/>
    <x v="1"/>
  </r>
  <r>
    <d v="2012-01-26T00:00:00"/>
    <s v="018-2100-000"/>
    <s v="Food Sales"/>
    <n v="3387.4874999999997"/>
    <n v="0"/>
    <s v="Daily Sales Import"/>
    <n v="-3387.4874999999997"/>
    <n v="3387.4874999999997"/>
    <x v="2"/>
    <s v="2100"/>
    <s v="000"/>
    <x v="3"/>
    <x v="1"/>
  </r>
  <r>
    <d v="2012-01-26T00:00:00"/>
    <s v="018-2210-000"/>
    <s v="Liquor Sales"/>
    <n v="778.82400000000007"/>
    <n v="0"/>
    <s v="Daily Sales Import"/>
    <n v="-778.82400000000007"/>
    <n v="778.82400000000007"/>
    <x v="2"/>
    <s v="2210"/>
    <s v="000"/>
    <x v="3"/>
    <x v="1"/>
  </r>
  <r>
    <d v="2012-01-26T00:00:00"/>
    <s v="018-2220-000"/>
    <s v="Beer Sales"/>
    <n v="126.79649999999998"/>
    <n v="0"/>
    <s v="Daily Sales Import"/>
    <n v="-126.79649999999998"/>
    <n v="126.79649999999998"/>
    <x v="2"/>
    <s v="2220"/>
    <s v="000"/>
    <x v="3"/>
    <x v="1"/>
  </r>
  <r>
    <d v="2012-01-26T00:00:00"/>
    <s v="018-2230-000"/>
    <s v="Wine Sales"/>
    <n v="14.548500000000001"/>
    <n v="0"/>
    <s v="Daily Sales Import"/>
    <n v="-14.548500000000001"/>
    <n v="14.548500000000001"/>
    <x v="2"/>
    <s v="2230"/>
    <s v="000"/>
    <x v="3"/>
    <x v="1"/>
  </r>
  <r>
    <d v="2012-01-27T00:00:00"/>
    <s v="018-2100-000"/>
    <s v="Food Sales"/>
    <n v="10247.19"/>
    <n v="0"/>
    <s v="Daily Sales Import"/>
    <n v="-10247.19"/>
    <n v="10247.19"/>
    <x v="2"/>
    <s v="2100"/>
    <s v="000"/>
    <x v="3"/>
    <x v="1"/>
  </r>
  <r>
    <d v="2012-01-27T00:00:00"/>
    <s v="018-2210-000"/>
    <s v="Liquor Sales"/>
    <n v="1945.3779999999997"/>
    <n v="0"/>
    <s v="Daily Sales Import"/>
    <n v="-1945.3779999999997"/>
    <n v="1945.3779999999997"/>
    <x v="2"/>
    <s v="2210"/>
    <s v="000"/>
    <x v="3"/>
    <x v="1"/>
  </r>
  <r>
    <d v="2012-01-27T00:00:00"/>
    <s v="018-2220-000"/>
    <s v="Beer Sales"/>
    <n v="578.19999999999993"/>
    <n v="0"/>
    <s v="Daily Sales Import"/>
    <n v="-578.19999999999993"/>
    <n v="578.19999999999993"/>
    <x v="2"/>
    <s v="2220"/>
    <s v="000"/>
    <x v="3"/>
    <x v="1"/>
  </r>
  <r>
    <d v="2012-01-27T00:00:00"/>
    <s v="018-2230-000"/>
    <s v="Wine Sales"/>
    <n v="328.09500000000003"/>
    <n v="0"/>
    <s v="Daily Sales Import"/>
    <n v="-328.09500000000003"/>
    <n v="328.09500000000003"/>
    <x v="2"/>
    <s v="2230"/>
    <s v="000"/>
    <x v="3"/>
    <x v="1"/>
  </r>
  <r>
    <d v="2012-01-28T00:00:00"/>
    <s v="018-2100-000"/>
    <s v="Food Sales"/>
    <n v="10679.766500000002"/>
    <n v="0"/>
    <s v="Daily Sales Import"/>
    <n v="-10679.766500000002"/>
    <n v="10679.766500000002"/>
    <x v="2"/>
    <s v="2100"/>
    <s v="000"/>
    <x v="3"/>
    <x v="1"/>
  </r>
  <r>
    <d v="2012-01-28T00:00:00"/>
    <s v="018-2210-000"/>
    <s v="Liquor Sales"/>
    <n v="2328.4560000000001"/>
    <n v="0"/>
    <s v="Daily Sales Import"/>
    <n v="-2328.4560000000001"/>
    <n v="2328.4560000000001"/>
    <x v="2"/>
    <s v="2210"/>
    <s v="000"/>
    <x v="3"/>
    <x v="1"/>
  </r>
  <r>
    <d v="2012-01-28T00:00:00"/>
    <s v="018-2220-000"/>
    <s v="Beer Sales"/>
    <n v="570.71999999999991"/>
    <n v="0"/>
    <s v="Daily Sales Import"/>
    <n v="-570.71999999999991"/>
    <n v="570.71999999999991"/>
    <x v="2"/>
    <s v="2220"/>
    <s v="000"/>
    <x v="3"/>
    <x v="1"/>
  </r>
  <r>
    <d v="2012-01-28T00:00:00"/>
    <s v="018-2230-000"/>
    <s v="Wine Sales"/>
    <n v="125.13"/>
    <n v="0"/>
    <s v="Daily Sales Import"/>
    <n v="-125.13"/>
    <n v="125.13"/>
    <x v="2"/>
    <s v="2230"/>
    <s v="000"/>
    <x v="3"/>
    <x v="1"/>
  </r>
  <r>
    <d v="2012-01-29T00:00:00"/>
    <s v="018-2100-000"/>
    <s v="Food Sales"/>
    <n v="6696.42"/>
    <n v="0"/>
    <s v="Daily Sales Import"/>
    <n v="-6696.42"/>
    <n v="6696.42"/>
    <x v="2"/>
    <s v="2100"/>
    <s v="000"/>
    <x v="3"/>
    <x v="1"/>
  </r>
  <r>
    <d v="2012-01-29T00:00:00"/>
    <s v="018-2210-000"/>
    <s v="Liquor Sales"/>
    <n v="985.47900000000016"/>
    <n v="0"/>
    <s v="Daily Sales Import"/>
    <n v="-985.47900000000016"/>
    <n v="985.47900000000016"/>
    <x v="2"/>
    <s v="2210"/>
    <s v="000"/>
    <x v="3"/>
    <x v="1"/>
  </r>
  <r>
    <d v="2012-01-29T00:00:00"/>
    <s v="018-2220-000"/>
    <s v="Beer Sales"/>
    <n v="245.322"/>
    <n v="0"/>
    <s v="Daily Sales Import"/>
    <n v="-245.322"/>
    <n v="245.322"/>
    <x v="2"/>
    <s v="2220"/>
    <s v="000"/>
    <x v="3"/>
    <x v="1"/>
  </r>
  <r>
    <d v="2012-01-29T00:00:00"/>
    <s v="018-2230-000"/>
    <s v="Wine Sales"/>
    <n v="109.342"/>
    <n v="0"/>
    <s v="Daily Sales Import"/>
    <n v="-109.342"/>
    <n v="109.342"/>
    <x v="2"/>
    <s v="2230"/>
    <s v="000"/>
    <x v="3"/>
    <x v="1"/>
  </r>
  <r>
    <d v="2012-01-30T00:00:00"/>
    <s v="016-2100-000"/>
    <s v="Food Sales"/>
    <n v="2155.7149999999997"/>
    <n v="0"/>
    <s v="Daily Sales Import"/>
    <n v="-2155.7149999999997"/>
    <n v="2155.7149999999997"/>
    <x v="0"/>
    <s v="2100"/>
    <s v="000"/>
    <x v="3"/>
    <x v="1"/>
  </r>
  <r>
    <d v="2012-01-30T00:00:00"/>
    <s v="016-2210-000"/>
    <s v="Liquor Sales"/>
    <n v="758.85599999999999"/>
    <n v="0"/>
    <s v="Daily Sales Import"/>
    <n v="-758.85599999999999"/>
    <n v="758.85599999999999"/>
    <x v="0"/>
    <s v="2210"/>
    <s v="000"/>
    <x v="3"/>
    <x v="1"/>
  </r>
  <r>
    <d v="2012-01-30T00:00:00"/>
    <s v="016-2220-000"/>
    <s v="Beer Sales"/>
    <n v="137.70000000000002"/>
    <n v="0"/>
    <s v="Daily Sales Import"/>
    <n v="-137.70000000000002"/>
    <n v="137.70000000000002"/>
    <x v="0"/>
    <s v="2220"/>
    <s v="000"/>
    <x v="3"/>
    <x v="1"/>
  </r>
  <r>
    <d v="2012-01-30T00:00:00"/>
    <s v="016-2230-000"/>
    <s v="Wine Sales"/>
    <n v="24.893000000000001"/>
    <n v="0"/>
    <s v="Daily Sales Import"/>
    <n v="-24.893000000000001"/>
    <n v="24.893000000000001"/>
    <x v="0"/>
    <s v="2230"/>
    <s v="000"/>
    <x v="3"/>
    <x v="1"/>
  </r>
  <r>
    <d v="2012-01-31T00:00:00"/>
    <s v="016-2100-000"/>
    <s v="Food Sales"/>
    <n v="2801.4524999999999"/>
    <n v="0"/>
    <s v="Daily Sales Import"/>
    <n v="-2801.4524999999999"/>
    <n v="2801.4524999999999"/>
    <x v="0"/>
    <s v="2100"/>
    <s v="000"/>
    <x v="3"/>
    <x v="1"/>
  </r>
  <r>
    <d v="2012-01-31T00:00:00"/>
    <s v="016-2210-000"/>
    <s v="Liquor Sales"/>
    <n v="627.14249999999993"/>
    <n v="0"/>
    <s v="Daily Sales Import"/>
    <n v="-627.14249999999993"/>
    <n v="627.14249999999993"/>
    <x v="0"/>
    <s v="2210"/>
    <s v="000"/>
    <x v="3"/>
    <x v="1"/>
  </r>
  <r>
    <d v="2012-01-31T00:00:00"/>
    <s v="016-2220-000"/>
    <s v="Beer Sales"/>
    <n v="228.55200000000002"/>
    <n v="0"/>
    <s v="Daily Sales Import"/>
    <n v="-228.55200000000002"/>
    <n v="228.55200000000002"/>
    <x v="0"/>
    <s v="2220"/>
    <s v="000"/>
    <x v="3"/>
    <x v="1"/>
  </r>
  <r>
    <d v="2012-01-31T00:00:00"/>
    <s v="016-2230-000"/>
    <s v="Wine Sales"/>
    <n v="103.32199999999999"/>
    <n v="0"/>
    <s v="Daily Sales Import"/>
    <n v="-103.32199999999999"/>
    <n v="103.32199999999999"/>
    <x v="0"/>
    <s v="2230"/>
    <s v="000"/>
    <x v="3"/>
    <x v="1"/>
  </r>
  <r>
    <d v="2012-02-01T00:00:00"/>
    <s v="016-2100-000"/>
    <s v="Food Sales"/>
    <n v="1875.6210000000001"/>
    <n v="0"/>
    <s v="Daily Sales Import"/>
    <n v="-1875.6210000000001"/>
    <n v="1875.6210000000001"/>
    <x v="0"/>
    <s v="2100"/>
    <s v="000"/>
    <x v="4"/>
    <x v="1"/>
  </r>
  <r>
    <d v="2012-02-01T00:00:00"/>
    <s v="016-2210-000"/>
    <s v="Liquor Sales"/>
    <n v="634.52800000000002"/>
    <n v="0"/>
    <s v="Daily Sales Import"/>
    <n v="-634.52800000000002"/>
    <n v="634.52800000000002"/>
    <x v="0"/>
    <s v="2210"/>
    <s v="000"/>
    <x v="4"/>
    <x v="1"/>
  </r>
  <r>
    <d v="2012-02-01T00:00:00"/>
    <s v="016-2220-000"/>
    <s v="Beer Sales"/>
    <n v="167.79"/>
    <n v="0"/>
    <s v="Daily Sales Import"/>
    <n v="-167.79"/>
    <n v="167.79"/>
    <x v="0"/>
    <s v="2220"/>
    <s v="000"/>
    <x v="4"/>
    <x v="1"/>
  </r>
  <r>
    <d v="2012-02-01T00:00:00"/>
    <s v="016-2230-000"/>
    <s v="Wine Sales"/>
    <n v="49.148000000000003"/>
    <n v="0"/>
    <s v="Daily Sales Import"/>
    <n v="-49.148000000000003"/>
    <n v="49.148000000000003"/>
    <x v="0"/>
    <s v="2230"/>
    <s v="000"/>
    <x v="4"/>
    <x v="1"/>
  </r>
  <r>
    <d v="2012-02-02T00:00:00"/>
    <s v="016-2100-000"/>
    <s v="Food Sales"/>
    <n v="2223.5680000000002"/>
    <n v="0"/>
    <s v="Daily Sales Import"/>
    <n v="-2223.5680000000002"/>
    <n v="2223.5680000000002"/>
    <x v="0"/>
    <s v="2100"/>
    <s v="000"/>
    <x v="4"/>
    <x v="1"/>
  </r>
  <r>
    <d v="2012-02-02T00:00:00"/>
    <s v="016-2210-000"/>
    <s v="Liquor Sales"/>
    <n v="661.11449999999991"/>
    <n v="0"/>
    <s v="Daily Sales Import"/>
    <n v="-661.11449999999991"/>
    <n v="661.11449999999991"/>
    <x v="0"/>
    <s v="2210"/>
    <s v="000"/>
    <x v="4"/>
    <x v="1"/>
  </r>
  <r>
    <d v="2012-02-02T00:00:00"/>
    <s v="016-2220-000"/>
    <s v="Beer Sales"/>
    <n v="170.89800000000002"/>
    <n v="0"/>
    <s v="Daily Sales Import"/>
    <n v="-170.89800000000002"/>
    <n v="170.89800000000002"/>
    <x v="0"/>
    <s v="2220"/>
    <s v="000"/>
    <x v="4"/>
    <x v="1"/>
  </r>
  <r>
    <d v="2012-02-02T00:00:00"/>
    <s v="016-2230-000"/>
    <s v="Wine Sales"/>
    <n v="5.39"/>
    <n v="0"/>
    <s v="Daily Sales Import"/>
    <n v="-5.39"/>
    <n v="5.39"/>
    <x v="0"/>
    <s v="2230"/>
    <s v="000"/>
    <x v="4"/>
    <x v="1"/>
  </r>
  <r>
    <d v="2012-02-03T00:00:00"/>
    <s v="016-2100-000"/>
    <s v="Food Sales"/>
    <n v="4748.7919999999995"/>
    <n v="0"/>
    <s v="Daily Sales Import"/>
    <n v="-4748.7919999999995"/>
    <n v="4748.7919999999995"/>
    <x v="0"/>
    <s v="2100"/>
    <s v="000"/>
    <x v="4"/>
    <x v="1"/>
  </r>
  <r>
    <d v="2012-02-03T00:00:00"/>
    <s v="016-2210-000"/>
    <s v="Liquor Sales"/>
    <n v="1738.443"/>
    <n v="0"/>
    <s v="Daily Sales Import"/>
    <n v="-1738.443"/>
    <n v="1738.443"/>
    <x v="0"/>
    <s v="2210"/>
    <s v="000"/>
    <x v="4"/>
    <x v="1"/>
  </r>
  <r>
    <d v="2012-02-03T00:00:00"/>
    <s v="016-2220-000"/>
    <s v="Beer Sales"/>
    <n v="431.05500000000001"/>
    <n v="0"/>
    <s v="Daily Sales Import"/>
    <n v="-431.05500000000001"/>
    <n v="431.05500000000001"/>
    <x v="0"/>
    <s v="2220"/>
    <s v="000"/>
    <x v="4"/>
    <x v="1"/>
  </r>
  <r>
    <d v="2012-02-03T00:00:00"/>
    <s v="016-2230-000"/>
    <s v="Wine Sales"/>
    <n v="147.8015"/>
    <n v="0"/>
    <s v="Daily Sales Import"/>
    <n v="-147.8015"/>
    <n v="147.8015"/>
    <x v="0"/>
    <s v="2230"/>
    <s v="000"/>
    <x v="4"/>
    <x v="1"/>
  </r>
  <r>
    <d v="2012-02-04T00:00:00"/>
    <s v="016-2100-000"/>
    <s v="Food Sales"/>
    <n v="10537.97"/>
    <n v="0"/>
    <s v="Daily Sales Import"/>
    <n v="-10537.97"/>
    <n v="10537.97"/>
    <x v="0"/>
    <s v="2100"/>
    <s v="000"/>
    <x v="4"/>
    <x v="1"/>
  </r>
  <r>
    <d v="2012-02-04T00:00:00"/>
    <s v="016-2210-000"/>
    <s v="Liquor Sales"/>
    <n v="2371.5720000000001"/>
    <n v="0"/>
    <s v="Daily Sales Import"/>
    <n v="-2371.5720000000001"/>
    <n v="2371.5720000000001"/>
    <x v="0"/>
    <s v="2210"/>
    <s v="000"/>
    <x v="4"/>
    <x v="1"/>
  </r>
  <r>
    <d v="2012-02-04T00:00:00"/>
    <s v="016-2220-000"/>
    <s v="Beer Sales"/>
    <n v="483.63299999999998"/>
    <n v="0"/>
    <s v="Daily Sales Import"/>
    <n v="-483.63299999999998"/>
    <n v="483.63299999999998"/>
    <x v="0"/>
    <s v="2220"/>
    <s v="000"/>
    <x v="4"/>
    <x v="1"/>
  </r>
  <r>
    <d v="2012-02-04T00:00:00"/>
    <s v="016-2230-000"/>
    <s v="Wine Sales"/>
    <n v="204.48"/>
    <n v="0"/>
    <s v="Daily Sales Import"/>
    <n v="-204.48"/>
    <n v="204.48"/>
    <x v="0"/>
    <s v="2230"/>
    <s v="000"/>
    <x v="4"/>
    <x v="1"/>
  </r>
  <r>
    <d v="2012-02-05T00:00:00"/>
    <s v="016-2100-000"/>
    <s v="Food Sales"/>
    <n v="3024.8460000000005"/>
    <n v="0"/>
    <s v="Daily Sales Import"/>
    <n v="-3024.8460000000005"/>
    <n v="3024.8460000000005"/>
    <x v="0"/>
    <s v="2100"/>
    <s v="000"/>
    <x v="4"/>
    <x v="1"/>
  </r>
  <r>
    <d v="2012-02-05T00:00:00"/>
    <s v="016-2210-000"/>
    <s v="Liquor Sales"/>
    <n v="512.827"/>
    <n v="0"/>
    <s v="Daily Sales Import"/>
    <n v="-512.827"/>
    <n v="512.827"/>
    <x v="0"/>
    <s v="2210"/>
    <s v="000"/>
    <x v="4"/>
    <x v="1"/>
  </r>
  <r>
    <d v="2012-02-05T00:00:00"/>
    <s v="016-2220-000"/>
    <s v="Beer Sales"/>
    <n v="221.77799999999999"/>
    <n v="0"/>
    <s v="Daily Sales Import"/>
    <n v="-221.77799999999999"/>
    <n v="221.77799999999999"/>
    <x v="0"/>
    <s v="2220"/>
    <s v="000"/>
    <x v="4"/>
    <x v="1"/>
  </r>
  <r>
    <d v="2012-02-05T00:00:00"/>
    <s v="016-2230-000"/>
    <s v="Wine Sales"/>
    <n v="55.774000000000001"/>
    <n v="0"/>
    <s v="Daily Sales Import"/>
    <n v="-55.774000000000001"/>
    <n v="55.774000000000001"/>
    <x v="0"/>
    <s v="2230"/>
    <s v="000"/>
    <x v="4"/>
    <x v="1"/>
  </r>
  <r>
    <d v="2012-01-30T00:00:00"/>
    <s v="017-2100-000"/>
    <s v="Food Sales"/>
    <n v="3209.9259999999999"/>
    <n v="0"/>
    <s v="Daily Sales Import"/>
    <n v="-3209.9259999999999"/>
    <n v="3209.9259999999999"/>
    <x v="1"/>
    <s v="2100"/>
    <s v="000"/>
    <x v="3"/>
    <x v="1"/>
  </r>
  <r>
    <d v="2012-01-30T00:00:00"/>
    <s v="017-2210-000"/>
    <s v="Liquor Sales"/>
    <n v="689.84999999999991"/>
    <n v="0"/>
    <s v="Daily Sales Import"/>
    <n v="-689.84999999999991"/>
    <n v="689.84999999999991"/>
    <x v="1"/>
    <s v="2210"/>
    <s v="000"/>
    <x v="3"/>
    <x v="1"/>
  </r>
  <r>
    <d v="2012-01-30T00:00:00"/>
    <s v="017-2220-000"/>
    <s v="Beer Sales"/>
    <n v="195.7225"/>
    <n v="0"/>
    <s v="Daily Sales Import"/>
    <n v="-195.7225"/>
    <n v="195.7225"/>
    <x v="1"/>
    <s v="2220"/>
    <s v="000"/>
    <x v="3"/>
    <x v="1"/>
  </r>
  <r>
    <d v="2012-01-30T00:00:00"/>
    <s v="017-2230-000"/>
    <s v="Wine Sales"/>
    <n v="80.040000000000006"/>
    <n v="0"/>
    <s v="Daily Sales Import"/>
    <n v="-80.040000000000006"/>
    <n v="80.040000000000006"/>
    <x v="1"/>
    <s v="2230"/>
    <s v="000"/>
    <x v="3"/>
    <x v="1"/>
  </r>
  <r>
    <d v="2012-01-31T00:00:00"/>
    <s v="017-2100-000"/>
    <s v="Food Sales"/>
    <n v="5851.6165000000001"/>
    <n v="0"/>
    <s v="Daily Sales Import"/>
    <n v="-5851.6165000000001"/>
    <n v="5851.6165000000001"/>
    <x v="1"/>
    <s v="2100"/>
    <s v="000"/>
    <x v="3"/>
    <x v="1"/>
  </r>
  <r>
    <d v="2012-01-31T00:00:00"/>
    <s v="017-2210-000"/>
    <s v="Liquor Sales"/>
    <n v="1413.4680000000001"/>
    <n v="0"/>
    <s v="Daily Sales Import"/>
    <n v="-1413.4680000000001"/>
    <n v="1413.4680000000001"/>
    <x v="1"/>
    <s v="2210"/>
    <s v="000"/>
    <x v="3"/>
    <x v="1"/>
  </r>
  <r>
    <d v="2012-01-31T00:00:00"/>
    <s v="017-2220-000"/>
    <s v="Beer Sales"/>
    <n v="276.85749999999996"/>
    <n v="0"/>
    <s v="Daily Sales Import"/>
    <n v="-276.85749999999996"/>
    <n v="276.85749999999996"/>
    <x v="1"/>
    <s v="2220"/>
    <s v="000"/>
    <x v="3"/>
    <x v="1"/>
  </r>
  <r>
    <d v="2012-01-31T00:00:00"/>
    <s v="017-2230-000"/>
    <s v="Wine Sales"/>
    <n v="222.39849999999998"/>
    <n v="0"/>
    <s v="Daily Sales Import"/>
    <n v="-222.39849999999998"/>
    <n v="222.39849999999998"/>
    <x v="1"/>
    <s v="2230"/>
    <s v="000"/>
    <x v="3"/>
    <x v="1"/>
  </r>
  <r>
    <d v="2012-02-01T00:00:00"/>
    <s v="017-2100-000"/>
    <s v="Food Sales"/>
    <n v="4699.0356000000002"/>
    <n v="0"/>
    <s v="Daily Sales Import"/>
    <n v="-4699.0356000000002"/>
    <n v="4699.0356000000002"/>
    <x v="1"/>
    <s v="2100"/>
    <s v="000"/>
    <x v="4"/>
    <x v="1"/>
  </r>
  <r>
    <d v="2012-02-01T00:00:00"/>
    <s v="017-2210-000"/>
    <s v="Liquor Sales"/>
    <n v="661.66800000000001"/>
    <n v="0"/>
    <s v="Daily Sales Import"/>
    <n v="-661.66800000000001"/>
    <n v="661.66800000000001"/>
    <x v="1"/>
    <s v="2210"/>
    <s v="000"/>
    <x v="4"/>
    <x v="1"/>
  </r>
  <r>
    <d v="2012-02-01T00:00:00"/>
    <s v="017-2220-000"/>
    <s v="Beer Sales"/>
    <n v="375.375"/>
    <n v="0"/>
    <s v="Daily Sales Import"/>
    <n v="-375.375"/>
    <n v="375.375"/>
    <x v="1"/>
    <s v="2220"/>
    <s v="000"/>
    <x v="4"/>
    <x v="1"/>
  </r>
  <r>
    <d v="2012-02-01T00:00:00"/>
    <s v="017-2230-000"/>
    <s v="Wine Sales"/>
    <n v="43.1325"/>
    <n v="0"/>
    <s v="Daily Sales Import"/>
    <n v="-43.1325"/>
    <n v="43.1325"/>
    <x v="1"/>
    <s v="2230"/>
    <s v="000"/>
    <x v="4"/>
    <x v="1"/>
  </r>
  <r>
    <d v="2012-02-02T00:00:00"/>
    <s v="017-2100-000"/>
    <s v="Food Sales"/>
    <n v="6924.9299999999994"/>
    <n v="0"/>
    <s v="Daily Sales Import"/>
    <n v="-6924.9299999999994"/>
    <n v="6924.9299999999994"/>
    <x v="1"/>
    <s v="2100"/>
    <s v="000"/>
    <x v="4"/>
    <x v="1"/>
  </r>
  <r>
    <d v="2012-02-02T00:00:00"/>
    <s v="017-2210-000"/>
    <s v="Liquor Sales"/>
    <n v="1294.0550000000001"/>
    <n v="0"/>
    <s v="Daily Sales Import"/>
    <n v="-1294.0550000000001"/>
    <n v="1294.0550000000001"/>
    <x v="1"/>
    <s v="2210"/>
    <s v="000"/>
    <x v="4"/>
    <x v="1"/>
  </r>
  <r>
    <d v="2012-02-02T00:00:00"/>
    <s v="017-2220-000"/>
    <s v="Beer Sales"/>
    <n v="438.9"/>
    <n v="0"/>
    <s v="Daily Sales Import"/>
    <n v="-438.9"/>
    <n v="438.9"/>
    <x v="1"/>
    <s v="2220"/>
    <s v="000"/>
    <x v="4"/>
    <x v="1"/>
  </r>
  <r>
    <d v="2012-02-02T00:00:00"/>
    <s v="017-2230-000"/>
    <s v="Wine Sales"/>
    <n v="112.295"/>
    <n v="0"/>
    <s v="Daily Sales Import"/>
    <n v="-112.295"/>
    <n v="112.295"/>
    <x v="1"/>
    <s v="2230"/>
    <s v="000"/>
    <x v="4"/>
    <x v="1"/>
  </r>
  <r>
    <d v="2012-02-03T00:00:00"/>
    <s v="017-2100-000"/>
    <s v="Food Sales"/>
    <n v="6619.1282000000001"/>
    <n v="0"/>
    <s v="Daily Sales Import"/>
    <n v="-6619.1282000000001"/>
    <n v="6619.1282000000001"/>
    <x v="1"/>
    <s v="2100"/>
    <s v="000"/>
    <x v="4"/>
    <x v="1"/>
  </r>
  <r>
    <d v="2012-02-03T00:00:00"/>
    <s v="017-2210-000"/>
    <s v="Liquor Sales"/>
    <n v="1876.337"/>
    <n v="0"/>
    <s v="Daily Sales Import"/>
    <n v="-1876.337"/>
    <n v="1876.337"/>
    <x v="1"/>
    <s v="2210"/>
    <s v="000"/>
    <x v="4"/>
    <x v="1"/>
  </r>
  <r>
    <d v="2012-02-03T00:00:00"/>
    <s v="017-2220-000"/>
    <s v="Beer Sales"/>
    <n v="600.31500000000005"/>
    <n v="0"/>
    <s v="Daily Sales Import"/>
    <n v="-600.31500000000005"/>
    <n v="600.31500000000005"/>
    <x v="1"/>
    <s v="2220"/>
    <s v="000"/>
    <x v="4"/>
    <x v="1"/>
  </r>
  <r>
    <d v="2012-02-03T00:00:00"/>
    <s v="017-2230-000"/>
    <s v="Wine Sales"/>
    <n v="162.55400000000003"/>
    <n v="0"/>
    <s v="Daily Sales Import"/>
    <n v="-162.55400000000003"/>
    <n v="162.55400000000003"/>
    <x v="1"/>
    <s v="2230"/>
    <s v="000"/>
    <x v="4"/>
    <x v="1"/>
  </r>
  <r>
    <d v="2012-02-04T00:00:00"/>
    <s v="017-2100-000"/>
    <s v="Food Sales"/>
    <n v="7035.7867999999999"/>
    <n v="0"/>
    <s v="Daily Sales Import"/>
    <n v="-7035.7867999999999"/>
    <n v="7035.7867999999999"/>
    <x v="1"/>
    <s v="2100"/>
    <s v="000"/>
    <x v="4"/>
    <x v="1"/>
  </r>
  <r>
    <d v="2012-02-04T00:00:00"/>
    <s v="017-2210-000"/>
    <s v="Liquor Sales"/>
    <n v="2319.875"/>
    <n v="0"/>
    <s v="Daily Sales Import"/>
    <n v="-2319.875"/>
    <n v="2319.875"/>
    <x v="1"/>
    <s v="2210"/>
    <s v="000"/>
    <x v="4"/>
    <x v="1"/>
  </r>
  <r>
    <d v="2012-02-04T00:00:00"/>
    <s v="017-2220-000"/>
    <s v="Beer Sales"/>
    <n v="784.99"/>
    <n v="0"/>
    <s v="Daily Sales Import"/>
    <n v="-784.99"/>
    <n v="784.99"/>
    <x v="1"/>
    <s v="2220"/>
    <s v="000"/>
    <x v="4"/>
    <x v="1"/>
  </r>
  <r>
    <d v="2012-02-04T00:00:00"/>
    <s v="017-2230-000"/>
    <s v="Wine Sales"/>
    <n v="169.22400000000002"/>
    <n v="0"/>
    <s v="Daily Sales Import"/>
    <n v="-169.22400000000002"/>
    <n v="169.22400000000002"/>
    <x v="1"/>
    <s v="2230"/>
    <s v="000"/>
    <x v="4"/>
    <x v="1"/>
  </r>
  <r>
    <d v="2012-02-05T00:00:00"/>
    <s v="017-2100-000"/>
    <s v="Food Sales"/>
    <n v="3431.6767999999997"/>
    <n v="0"/>
    <s v="Daily Sales Import"/>
    <n v="-3431.6767999999997"/>
    <n v="3431.6767999999997"/>
    <x v="1"/>
    <s v="2100"/>
    <s v="000"/>
    <x v="4"/>
    <x v="1"/>
  </r>
  <r>
    <d v="2012-02-05T00:00:00"/>
    <s v="017-2210-000"/>
    <s v="Liquor Sales"/>
    <n v="410.61900000000003"/>
    <n v="0"/>
    <s v="Daily Sales Import"/>
    <n v="-410.61900000000003"/>
    <n v="410.61900000000003"/>
    <x v="1"/>
    <s v="2210"/>
    <s v="000"/>
    <x v="4"/>
    <x v="1"/>
  </r>
  <r>
    <d v="2012-02-05T00:00:00"/>
    <s v="017-2220-000"/>
    <s v="Beer Sales"/>
    <n v="133.52500000000001"/>
    <n v="0"/>
    <s v="Daily Sales Import"/>
    <n v="-133.52500000000001"/>
    <n v="133.52500000000001"/>
    <x v="1"/>
    <s v="2220"/>
    <s v="000"/>
    <x v="4"/>
    <x v="1"/>
  </r>
  <r>
    <d v="2012-02-05T00:00:00"/>
    <s v="017-2230-000"/>
    <s v="Wine Sales"/>
    <n v="29.929500000000004"/>
    <n v="0"/>
    <s v="Daily Sales Import"/>
    <n v="-29.929500000000004"/>
    <n v="29.929500000000004"/>
    <x v="1"/>
    <s v="2230"/>
    <s v="000"/>
    <x v="4"/>
    <x v="1"/>
  </r>
  <r>
    <d v="2012-01-30T00:00:00"/>
    <s v="018-2100-000"/>
    <s v="Food Sales"/>
    <n v="3648.6995999999999"/>
    <n v="0"/>
    <s v="Daily Sales Import"/>
    <n v="-3648.6995999999999"/>
    <n v="3648.6995999999999"/>
    <x v="2"/>
    <s v="2100"/>
    <s v="000"/>
    <x v="3"/>
    <x v="1"/>
  </r>
  <r>
    <d v="2012-01-30T00:00:00"/>
    <s v="018-2210-000"/>
    <s v="Liquor Sales"/>
    <n v="459.10799999999995"/>
    <n v="0"/>
    <s v="Daily Sales Import"/>
    <n v="-459.10799999999995"/>
    <n v="459.10799999999995"/>
    <x v="2"/>
    <s v="2210"/>
    <s v="000"/>
    <x v="3"/>
    <x v="1"/>
  </r>
  <r>
    <d v="2012-01-30T00:00:00"/>
    <s v="018-2220-000"/>
    <s v="Beer Sales"/>
    <n v="91.218000000000004"/>
    <n v="0"/>
    <s v="Daily Sales Import"/>
    <n v="-91.218000000000004"/>
    <n v="91.218000000000004"/>
    <x v="2"/>
    <s v="2220"/>
    <s v="000"/>
    <x v="3"/>
    <x v="1"/>
  </r>
  <r>
    <d v="2012-01-30T00:00:00"/>
    <s v="018-2230-000"/>
    <s v="Wine Sales"/>
    <n v="6.7575000000000003"/>
    <n v="0"/>
    <s v="Daily Sales Import"/>
    <n v="-6.7575000000000003"/>
    <n v="6.7575000000000003"/>
    <x v="2"/>
    <s v="2230"/>
    <s v="000"/>
    <x v="3"/>
    <x v="1"/>
  </r>
  <r>
    <d v="2012-01-31T00:00:00"/>
    <s v="018-2100-000"/>
    <s v="Food Sales"/>
    <n v="2979.8553999999995"/>
    <n v="0"/>
    <s v="Daily Sales Import"/>
    <n v="-2979.8553999999995"/>
    <n v="2979.8553999999995"/>
    <x v="2"/>
    <s v="2100"/>
    <s v="000"/>
    <x v="3"/>
    <x v="1"/>
  </r>
  <r>
    <d v="2012-01-31T00:00:00"/>
    <s v="018-2210-000"/>
    <s v="Liquor Sales"/>
    <n v="341.59100000000001"/>
    <n v="0"/>
    <s v="Daily Sales Import"/>
    <n v="-341.59100000000001"/>
    <n v="341.59100000000001"/>
    <x v="2"/>
    <s v="2210"/>
    <s v="000"/>
    <x v="3"/>
    <x v="1"/>
  </r>
  <r>
    <d v="2012-01-31T00:00:00"/>
    <s v="018-2220-000"/>
    <s v="Beer Sales"/>
    <n v="54.533999999999999"/>
    <n v="0"/>
    <s v="Daily Sales Import"/>
    <n v="-54.533999999999999"/>
    <n v="54.533999999999999"/>
    <x v="2"/>
    <s v="2220"/>
    <s v="000"/>
    <x v="3"/>
    <x v="1"/>
  </r>
  <r>
    <d v="2012-01-31T00:00:00"/>
    <s v="018-2230-000"/>
    <s v="Wine Sales"/>
    <n v="18.033999999999999"/>
    <n v="0"/>
    <s v="Daily Sales Import"/>
    <n v="-18.033999999999999"/>
    <n v="18.033999999999999"/>
    <x v="2"/>
    <s v="2230"/>
    <s v="000"/>
    <x v="3"/>
    <x v="1"/>
  </r>
  <r>
    <d v="2012-02-01T00:00:00"/>
    <s v="018-2100-000"/>
    <s v="Food Sales"/>
    <n v="4866.085500000001"/>
    <n v="0"/>
    <s v="Daily Sales Import"/>
    <n v="-4866.085500000001"/>
    <n v="4866.085500000001"/>
    <x v="2"/>
    <s v="2100"/>
    <s v="000"/>
    <x v="4"/>
    <x v="1"/>
  </r>
  <r>
    <d v="2012-02-01T00:00:00"/>
    <s v="018-2210-000"/>
    <s v="Liquor Sales"/>
    <n v="1011.7974999999999"/>
    <n v="0"/>
    <s v="Daily Sales Import"/>
    <n v="-1011.7974999999999"/>
    <n v="1011.7974999999999"/>
    <x v="2"/>
    <s v="2210"/>
    <s v="000"/>
    <x v="4"/>
    <x v="1"/>
  </r>
  <r>
    <d v="2012-02-01T00:00:00"/>
    <s v="018-2220-000"/>
    <s v="Beer Sales"/>
    <n v="264.28499999999997"/>
    <n v="0"/>
    <s v="Daily Sales Import"/>
    <n v="-264.28499999999997"/>
    <n v="264.28499999999997"/>
    <x v="2"/>
    <s v="2220"/>
    <s v="000"/>
    <x v="4"/>
    <x v="1"/>
  </r>
  <r>
    <d v="2012-02-01T00:00:00"/>
    <s v="018-2230-000"/>
    <s v="Wine Sales"/>
    <n v="69.781500000000008"/>
    <n v="0"/>
    <s v="Daily Sales Import"/>
    <n v="-69.781500000000008"/>
    <n v="69.781500000000008"/>
    <x v="2"/>
    <s v="2230"/>
    <s v="000"/>
    <x v="4"/>
    <x v="1"/>
  </r>
  <r>
    <d v="2012-02-02T00:00:00"/>
    <s v="018-2100-000"/>
    <s v="Food Sales"/>
    <n v="3279.16"/>
    <n v="0"/>
    <s v="Daily Sales Import"/>
    <n v="-3279.16"/>
    <n v="3279.16"/>
    <x v="2"/>
    <s v="2100"/>
    <s v="000"/>
    <x v="4"/>
    <x v="1"/>
  </r>
  <r>
    <d v="2012-02-02T00:00:00"/>
    <s v="018-2210-000"/>
    <s v="Liquor Sales"/>
    <n v="756.79750000000001"/>
    <n v="0"/>
    <s v="Daily Sales Import"/>
    <n v="-756.79750000000001"/>
    <n v="756.79750000000001"/>
    <x v="2"/>
    <s v="2210"/>
    <s v="000"/>
    <x v="4"/>
    <x v="1"/>
  </r>
  <r>
    <d v="2012-02-02T00:00:00"/>
    <s v="018-2220-000"/>
    <s v="Beer Sales"/>
    <n v="209.76"/>
    <n v="0"/>
    <s v="Daily Sales Import"/>
    <n v="-209.76"/>
    <n v="209.76"/>
    <x v="2"/>
    <s v="2220"/>
    <s v="000"/>
    <x v="4"/>
    <x v="1"/>
  </r>
  <r>
    <d v="2012-02-02T00:00:00"/>
    <s v="018-2230-000"/>
    <s v="Wine Sales"/>
    <n v="41.325000000000003"/>
    <n v="0"/>
    <s v="Daily Sales Import"/>
    <n v="-41.325000000000003"/>
    <n v="41.325000000000003"/>
    <x v="2"/>
    <s v="2230"/>
    <s v="000"/>
    <x v="4"/>
    <x v="1"/>
  </r>
  <r>
    <d v="2012-02-03T00:00:00"/>
    <s v="018-2100-000"/>
    <s v="Food Sales"/>
    <n v="7804.7775000000001"/>
    <n v="0"/>
    <s v="Daily Sales Import"/>
    <n v="-7804.7775000000001"/>
    <n v="7804.7775000000001"/>
    <x v="2"/>
    <s v="2100"/>
    <s v="000"/>
    <x v="4"/>
    <x v="1"/>
  </r>
  <r>
    <d v="2012-02-03T00:00:00"/>
    <s v="018-2210-000"/>
    <s v="Liquor Sales"/>
    <n v="2791.17"/>
    <n v="0"/>
    <s v="Daily Sales Import"/>
    <n v="-2791.17"/>
    <n v="2791.17"/>
    <x v="2"/>
    <s v="2210"/>
    <s v="000"/>
    <x v="4"/>
    <x v="1"/>
  </r>
  <r>
    <d v="2012-02-03T00:00:00"/>
    <s v="018-2220-000"/>
    <s v="Beer Sales"/>
    <n v="462.89249999999998"/>
    <n v="0"/>
    <s v="Daily Sales Import"/>
    <n v="-462.89249999999998"/>
    <n v="462.89249999999998"/>
    <x v="2"/>
    <s v="2220"/>
    <s v="000"/>
    <x v="4"/>
    <x v="1"/>
  </r>
  <r>
    <d v="2012-02-03T00:00:00"/>
    <s v="018-2230-000"/>
    <s v="Wine Sales"/>
    <n v="46.312999999999995"/>
    <n v="0"/>
    <s v="Daily Sales Import"/>
    <n v="-46.312999999999995"/>
    <n v="46.312999999999995"/>
    <x v="2"/>
    <s v="2230"/>
    <s v="000"/>
    <x v="4"/>
    <x v="1"/>
  </r>
  <r>
    <d v="2012-02-04T00:00:00"/>
    <s v="018-2100-000"/>
    <s v="Food Sales"/>
    <n v="8732.0750000000007"/>
    <n v="0"/>
    <s v="Daily Sales Import"/>
    <n v="-8732.0750000000007"/>
    <n v="8732.0750000000007"/>
    <x v="2"/>
    <s v="2100"/>
    <s v="000"/>
    <x v="4"/>
    <x v="1"/>
  </r>
  <r>
    <d v="2012-02-04T00:00:00"/>
    <s v="018-2210-000"/>
    <s v="Liquor Sales"/>
    <n v="2313.9719999999998"/>
    <n v="0"/>
    <s v="Daily Sales Import"/>
    <n v="-2313.9719999999998"/>
    <n v="2313.9719999999998"/>
    <x v="2"/>
    <s v="2210"/>
    <s v="000"/>
    <x v="4"/>
    <x v="1"/>
  </r>
  <r>
    <d v="2012-02-04T00:00:00"/>
    <s v="018-2220-000"/>
    <s v="Beer Sales"/>
    <n v="661.33800000000008"/>
    <n v="0"/>
    <s v="Daily Sales Import"/>
    <n v="-661.33800000000008"/>
    <n v="661.33800000000008"/>
    <x v="2"/>
    <s v="2220"/>
    <s v="000"/>
    <x v="4"/>
    <x v="1"/>
  </r>
  <r>
    <d v="2012-02-04T00:00:00"/>
    <s v="018-2230-000"/>
    <s v="Wine Sales"/>
    <n v="159.47999999999999"/>
    <n v="0"/>
    <s v="Daily Sales Import"/>
    <n v="-159.47999999999999"/>
    <n v="159.47999999999999"/>
    <x v="2"/>
    <s v="2230"/>
    <s v="000"/>
    <x v="4"/>
    <x v="1"/>
  </r>
  <r>
    <d v="2012-02-05T00:00:00"/>
    <s v="018-2100-000"/>
    <s v="Food Sales"/>
    <n v="6043.268"/>
    <n v="0"/>
    <s v="Daily Sales Import"/>
    <n v="-6043.268"/>
    <n v="6043.268"/>
    <x v="2"/>
    <s v="2100"/>
    <s v="000"/>
    <x v="4"/>
    <x v="1"/>
  </r>
  <r>
    <d v="2012-02-05T00:00:00"/>
    <s v="018-2210-000"/>
    <s v="Liquor Sales"/>
    <n v="366.26499999999999"/>
    <n v="0"/>
    <s v="Daily Sales Import"/>
    <n v="-366.26499999999999"/>
    <n v="366.26499999999999"/>
    <x v="2"/>
    <s v="2210"/>
    <s v="000"/>
    <x v="4"/>
    <x v="1"/>
  </r>
  <r>
    <d v="2012-02-05T00:00:00"/>
    <s v="018-2220-000"/>
    <s v="Beer Sales"/>
    <n v="250.00199999999998"/>
    <n v="0"/>
    <s v="Daily Sales Import"/>
    <n v="-250.00199999999998"/>
    <n v="250.00199999999998"/>
    <x v="2"/>
    <s v="2220"/>
    <s v="000"/>
    <x v="4"/>
    <x v="1"/>
  </r>
  <r>
    <d v="2012-02-05T00:00:00"/>
    <s v="018-2230-000"/>
    <s v="Wine Sales"/>
    <n v="20.674500000000002"/>
    <n v="0"/>
    <s v="Daily Sales Import"/>
    <n v="-20.674500000000002"/>
    <n v="20.674500000000002"/>
    <x v="2"/>
    <s v="2230"/>
    <s v="000"/>
    <x v="4"/>
    <x v="1"/>
  </r>
  <r>
    <d v="2012-02-06T00:00:00"/>
    <s v="016-2100-000"/>
    <s v="Food Sales"/>
    <n v="1547.2746"/>
    <n v="0"/>
    <s v="Daily Sales Import"/>
    <n v="-1547.2746"/>
    <n v="1547.2746"/>
    <x v="0"/>
    <s v="2100"/>
    <s v="000"/>
    <x v="4"/>
    <x v="1"/>
  </r>
  <r>
    <d v="2012-02-06T00:00:00"/>
    <s v="016-2210-000"/>
    <s v="Liquor Sales"/>
    <n v="598.88400000000001"/>
    <n v="0"/>
    <s v="Daily Sales Import"/>
    <n v="-598.88400000000001"/>
    <n v="598.88400000000001"/>
    <x v="0"/>
    <s v="2210"/>
    <s v="000"/>
    <x v="4"/>
    <x v="1"/>
  </r>
  <r>
    <d v="2012-02-06T00:00:00"/>
    <s v="016-2220-000"/>
    <s v="Beer Sales"/>
    <n v="55.985999999999997"/>
    <n v="0"/>
    <s v="Daily Sales Import"/>
    <n v="-55.985999999999997"/>
    <n v="55.985999999999997"/>
    <x v="0"/>
    <s v="2220"/>
    <s v="000"/>
    <x v="4"/>
    <x v="1"/>
  </r>
  <r>
    <d v="2012-02-06T00:00:00"/>
    <s v="016-2230-000"/>
    <s v="Wine Sales"/>
    <n v="76.00500000000001"/>
    <n v="0"/>
    <s v="Daily Sales Import"/>
    <n v="-76.00500000000001"/>
    <n v="76.00500000000001"/>
    <x v="0"/>
    <s v="2230"/>
    <s v="000"/>
    <x v="4"/>
    <x v="1"/>
  </r>
  <r>
    <d v="2012-02-07T00:00:00"/>
    <s v="016-2100-000"/>
    <s v="Food Sales"/>
    <n v="1852.0432000000001"/>
    <n v="0"/>
    <s v="Daily Sales Import"/>
    <n v="-1852.0432000000001"/>
    <n v="1852.0432000000001"/>
    <x v="0"/>
    <s v="2100"/>
    <s v="000"/>
    <x v="4"/>
    <x v="1"/>
  </r>
  <r>
    <d v="2012-02-07T00:00:00"/>
    <s v="016-2210-000"/>
    <s v="Liquor Sales"/>
    <n v="708.29099999999994"/>
    <n v="0"/>
    <s v="Daily Sales Import"/>
    <n v="-708.29099999999994"/>
    <n v="708.29099999999994"/>
    <x v="0"/>
    <s v="2210"/>
    <s v="000"/>
    <x v="4"/>
    <x v="1"/>
  </r>
  <r>
    <d v="2012-02-07T00:00:00"/>
    <s v="016-2220-000"/>
    <s v="Beer Sales"/>
    <n v="201.48899999999998"/>
    <n v="0"/>
    <s v="Daily Sales Import"/>
    <n v="-201.48899999999998"/>
    <n v="201.48899999999998"/>
    <x v="0"/>
    <s v="2220"/>
    <s v="000"/>
    <x v="4"/>
    <x v="1"/>
  </r>
  <r>
    <d v="2012-02-07T00:00:00"/>
    <s v="016-2230-000"/>
    <s v="Wine Sales"/>
    <n v="90.149999999999991"/>
    <n v="0"/>
    <s v="Daily Sales Import"/>
    <n v="-90.149999999999991"/>
    <n v="90.149999999999991"/>
    <x v="0"/>
    <s v="2230"/>
    <s v="000"/>
    <x v="4"/>
    <x v="1"/>
  </r>
  <r>
    <d v="2012-02-08T00:00:00"/>
    <s v="016-2100-000"/>
    <s v="Food Sales"/>
    <n v="3976.7040000000006"/>
    <n v="0"/>
    <s v="Daily Sales Import"/>
    <n v="-3976.7040000000006"/>
    <n v="3976.7040000000006"/>
    <x v="0"/>
    <s v="2100"/>
    <s v="000"/>
    <x v="4"/>
    <x v="1"/>
  </r>
  <r>
    <d v="2012-02-08T00:00:00"/>
    <s v="016-2210-000"/>
    <s v="Liquor Sales"/>
    <n v="831.82"/>
    <n v="0"/>
    <s v="Daily Sales Import"/>
    <n v="-831.82"/>
    <n v="831.82"/>
    <x v="0"/>
    <s v="2210"/>
    <s v="000"/>
    <x v="4"/>
    <x v="1"/>
  </r>
  <r>
    <d v="2012-02-08T00:00:00"/>
    <s v="016-2220-000"/>
    <s v="Beer Sales"/>
    <n v="113.85"/>
    <n v="0"/>
    <s v="Daily Sales Import"/>
    <n v="-113.85"/>
    <n v="113.85"/>
    <x v="0"/>
    <s v="2220"/>
    <s v="000"/>
    <x v="4"/>
    <x v="1"/>
  </r>
  <r>
    <d v="2012-02-08T00:00:00"/>
    <s v="016-2230-000"/>
    <s v="Wine Sales"/>
    <n v="137.38499999999999"/>
    <n v="0"/>
    <s v="Daily Sales Import"/>
    <n v="-137.38499999999999"/>
    <n v="137.38499999999999"/>
    <x v="0"/>
    <s v="2230"/>
    <s v="000"/>
    <x v="4"/>
    <x v="1"/>
  </r>
  <r>
    <d v="2012-02-09T00:00:00"/>
    <s v="016-2100-000"/>
    <s v="Food Sales"/>
    <n v="3118.3085999999998"/>
    <n v="0"/>
    <s v="Daily Sales Import"/>
    <n v="-3118.3085999999998"/>
    <n v="3118.3085999999998"/>
    <x v="0"/>
    <s v="2100"/>
    <s v="000"/>
    <x v="4"/>
    <x v="1"/>
  </r>
  <r>
    <d v="2012-02-09T00:00:00"/>
    <s v="016-2210-000"/>
    <s v="Liquor Sales"/>
    <n v="985.02549999999997"/>
    <n v="0"/>
    <s v="Daily Sales Import"/>
    <n v="-985.02549999999997"/>
    <n v="985.02549999999997"/>
    <x v="0"/>
    <s v="2210"/>
    <s v="000"/>
    <x v="4"/>
    <x v="1"/>
  </r>
  <r>
    <d v="2012-02-09T00:00:00"/>
    <s v="016-2220-000"/>
    <s v="Beer Sales"/>
    <n v="327.40199999999999"/>
    <n v="0"/>
    <s v="Daily Sales Import"/>
    <n v="-327.40199999999999"/>
    <n v="327.40199999999999"/>
    <x v="0"/>
    <s v="2220"/>
    <s v="000"/>
    <x v="4"/>
    <x v="1"/>
  </r>
  <r>
    <d v="2012-02-09T00:00:00"/>
    <s v="016-2230-000"/>
    <s v="Wine Sales"/>
    <n v="128.85599999999999"/>
    <n v="0"/>
    <s v="Daily Sales Import"/>
    <n v="-128.85599999999999"/>
    <n v="128.85599999999999"/>
    <x v="0"/>
    <s v="2230"/>
    <s v="000"/>
    <x v="4"/>
    <x v="1"/>
  </r>
  <r>
    <d v="2012-02-10T00:00:00"/>
    <s v="016-2100-000"/>
    <s v="Food Sales"/>
    <n v="6573.9974999999995"/>
    <n v="0"/>
    <s v="Daily Sales Import"/>
    <n v="-6573.9974999999995"/>
    <n v="6573.9974999999995"/>
    <x v="0"/>
    <s v="2100"/>
    <s v="000"/>
    <x v="4"/>
    <x v="1"/>
  </r>
  <r>
    <d v="2012-02-10T00:00:00"/>
    <s v="016-2210-000"/>
    <s v="Liquor Sales"/>
    <n v="2878.33"/>
    <n v="0"/>
    <s v="Daily Sales Import"/>
    <n v="-2878.33"/>
    <n v="2878.33"/>
    <x v="0"/>
    <s v="2210"/>
    <s v="000"/>
    <x v="4"/>
    <x v="1"/>
  </r>
  <r>
    <d v="2012-02-10T00:00:00"/>
    <s v="016-2220-000"/>
    <s v="Beer Sales"/>
    <n v="553.65599999999995"/>
    <n v="0"/>
    <s v="Daily Sales Import"/>
    <n v="-553.65599999999995"/>
    <n v="553.65599999999995"/>
    <x v="0"/>
    <s v="2220"/>
    <s v="000"/>
    <x v="4"/>
    <x v="1"/>
  </r>
  <r>
    <d v="2012-02-10T00:00:00"/>
    <s v="016-2230-000"/>
    <s v="Wine Sales"/>
    <n v="184.20200000000003"/>
    <n v="0"/>
    <s v="Daily Sales Import"/>
    <n v="-184.20200000000003"/>
    <n v="184.20200000000003"/>
    <x v="0"/>
    <s v="2230"/>
    <s v="000"/>
    <x v="4"/>
    <x v="1"/>
  </r>
  <r>
    <d v="2012-02-11T00:00:00"/>
    <s v="016-2100-000"/>
    <s v="Food Sales"/>
    <n v="8699.2199999999993"/>
    <n v="0"/>
    <s v="Daily Sales Import"/>
    <n v="-8699.2199999999993"/>
    <n v="8699.2199999999993"/>
    <x v="0"/>
    <s v="2100"/>
    <s v="000"/>
    <x v="4"/>
    <x v="1"/>
  </r>
  <r>
    <d v="2012-02-11T00:00:00"/>
    <s v="016-2210-000"/>
    <s v="Liquor Sales"/>
    <n v="2560.864"/>
    <n v="0"/>
    <s v="Daily Sales Import"/>
    <n v="-2560.864"/>
    <n v="2560.864"/>
    <x v="0"/>
    <s v="2210"/>
    <s v="000"/>
    <x v="4"/>
    <x v="1"/>
  </r>
  <r>
    <d v="2012-02-11T00:00:00"/>
    <s v="016-2220-000"/>
    <s v="Beer Sales"/>
    <n v="554.55599999999993"/>
    <n v="0"/>
    <s v="Daily Sales Import"/>
    <n v="-554.55599999999993"/>
    <n v="554.55599999999993"/>
    <x v="0"/>
    <s v="2220"/>
    <s v="000"/>
    <x v="4"/>
    <x v="1"/>
  </r>
  <r>
    <d v="2012-02-11T00:00:00"/>
    <s v="016-2230-000"/>
    <s v="Wine Sales"/>
    <n v="228.4365"/>
    <n v="0"/>
    <s v="Daily Sales Import"/>
    <n v="-228.4365"/>
    <n v="228.4365"/>
    <x v="0"/>
    <s v="2230"/>
    <s v="000"/>
    <x v="4"/>
    <x v="1"/>
  </r>
  <r>
    <d v="2012-02-12T00:00:00"/>
    <s v="016-2100-000"/>
    <s v="Food Sales"/>
    <n v="5496.329999999999"/>
    <n v="0"/>
    <s v="Daily Sales Import"/>
    <n v="-5496.329999999999"/>
    <n v="5496.329999999999"/>
    <x v="0"/>
    <s v="2100"/>
    <s v="000"/>
    <x v="4"/>
    <x v="1"/>
  </r>
  <r>
    <d v="2012-02-12T00:00:00"/>
    <s v="016-2210-000"/>
    <s v="Liquor Sales"/>
    <n v="1825.9604999999999"/>
    <n v="0"/>
    <s v="Daily Sales Import"/>
    <n v="-1825.9604999999999"/>
    <n v="1825.9604999999999"/>
    <x v="0"/>
    <s v="2210"/>
    <s v="000"/>
    <x v="4"/>
    <x v="1"/>
  </r>
  <r>
    <d v="2012-02-12T00:00:00"/>
    <s v="016-2220-000"/>
    <s v="Beer Sales"/>
    <n v="307.00799999999998"/>
    <n v="0"/>
    <s v="Daily Sales Import"/>
    <n v="-307.00799999999998"/>
    <n v="307.00799999999998"/>
    <x v="0"/>
    <s v="2220"/>
    <s v="000"/>
    <x v="4"/>
    <x v="1"/>
  </r>
  <r>
    <d v="2012-02-12T00:00:00"/>
    <s v="016-2230-000"/>
    <s v="Wine Sales"/>
    <n v="255.892"/>
    <n v="0"/>
    <s v="Daily Sales Import"/>
    <n v="-255.892"/>
    <n v="255.892"/>
    <x v="0"/>
    <s v="2230"/>
    <s v="000"/>
    <x v="4"/>
    <x v="1"/>
  </r>
  <r>
    <d v="2012-02-06T00:00:00"/>
    <s v="017-2100-000"/>
    <s v="Food Sales"/>
    <n v="3949.6360000000004"/>
    <n v="0"/>
    <s v="Daily Sales Import"/>
    <n v="-3949.6360000000004"/>
    <n v="3949.6360000000004"/>
    <x v="1"/>
    <s v="2100"/>
    <s v="000"/>
    <x v="4"/>
    <x v="1"/>
  </r>
  <r>
    <d v="2012-02-06T00:00:00"/>
    <s v="017-2210-000"/>
    <s v="Liquor Sales"/>
    <n v="798.17250000000001"/>
    <n v="0"/>
    <s v="Daily Sales Import"/>
    <n v="-798.17250000000001"/>
    <n v="798.17250000000001"/>
    <x v="1"/>
    <s v="2210"/>
    <s v="000"/>
    <x v="4"/>
    <x v="1"/>
  </r>
  <r>
    <d v="2012-02-06T00:00:00"/>
    <s v="017-2220-000"/>
    <s v="Beer Sales"/>
    <n v="468.6"/>
    <n v="0"/>
    <s v="Daily Sales Import"/>
    <n v="-468.6"/>
    <n v="468.6"/>
    <x v="1"/>
    <s v="2220"/>
    <s v="000"/>
    <x v="4"/>
    <x v="1"/>
  </r>
  <r>
    <d v="2012-02-06T00:00:00"/>
    <s v="017-2230-000"/>
    <s v="Wine Sales"/>
    <n v="110.474"/>
    <n v="0"/>
    <s v="Daily Sales Import"/>
    <n v="-110.474"/>
    <n v="110.474"/>
    <x v="1"/>
    <s v="2230"/>
    <s v="000"/>
    <x v="4"/>
    <x v="1"/>
  </r>
  <r>
    <d v="2012-02-07T00:00:00"/>
    <s v="017-2100-000"/>
    <s v="Food Sales"/>
    <n v="5663.5259999999998"/>
    <n v="0"/>
    <s v="Daily Sales Import"/>
    <n v="-5663.5259999999998"/>
    <n v="5663.5259999999998"/>
    <x v="1"/>
    <s v="2100"/>
    <s v="000"/>
    <x v="4"/>
    <x v="1"/>
  </r>
  <r>
    <d v="2012-02-07T00:00:00"/>
    <s v="017-2210-000"/>
    <s v="Liquor Sales"/>
    <n v="906.34949999999992"/>
    <n v="0"/>
    <s v="Daily Sales Import"/>
    <n v="-906.34949999999992"/>
    <n v="906.34949999999992"/>
    <x v="1"/>
    <s v="2210"/>
    <s v="000"/>
    <x v="4"/>
    <x v="1"/>
  </r>
  <r>
    <d v="2012-02-07T00:00:00"/>
    <s v="017-2220-000"/>
    <s v="Beer Sales"/>
    <n v="905.21999999999991"/>
    <n v="0"/>
    <s v="Daily Sales Import"/>
    <n v="-905.21999999999991"/>
    <n v="905.21999999999991"/>
    <x v="1"/>
    <s v="2220"/>
    <s v="000"/>
    <x v="4"/>
    <x v="1"/>
  </r>
  <r>
    <d v="2012-02-07T00:00:00"/>
    <s v="017-2230-000"/>
    <s v="Wine Sales"/>
    <n v="164.87299999999999"/>
    <n v="0"/>
    <s v="Daily Sales Import"/>
    <n v="-164.87299999999999"/>
    <n v="164.87299999999999"/>
    <x v="1"/>
    <s v="2230"/>
    <s v="000"/>
    <x v="4"/>
    <x v="1"/>
  </r>
  <r>
    <d v="2012-02-08T00:00:00"/>
    <s v="017-2100-000"/>
    <s v="Food Sales"/>
    <n v="4108.41"/>
    <n v="0"/>
    <s v="Daily Sales Import"/>
    <n v="-4108.41"/>
    <n v="4108.41"/>
    <x v="1"/>
    <s v="2100"/>
    <s v="000"/>
    <x v="4"/>
    <x v="1"/>
  </r>
  <r>
    <d v="2012-02-08T00:00:00"/>
    <s v="017-2210-000"/>
    <s v="Liquor Sales"/>
    <n v="1558.96"/>
    <n v="0"/>
    <s v="Daily Sales Import"/>
    <n v="-1558.96"/>
    <n v="1558.96"/>
    <x v="1"/>
    <s v="2210"/>
    <s v="000"/>
    <x v="4"/>
    <x v="1"/>
  </r>
  <r>
    <d v="2012-02-08T00:00:00"/>
    <s v="017-2220-000"/>
    <s v="Beer Sales"/>
    <n v="508.51249999999999"/>
    <n v="0"/>
    <s v="Daily Sales Import"/>
    <n v="-508.51249999999999"/>
    <n v="508.51249999999999"/>
    <x v="1"/>
    <s v="2220"/>
    <s v="000"/>
    <x v="4"/>
    <x v="1"/>
  </r>
  <r>
    <d v="2012-02-08T00:00:00"/>
    <s v="017-2230-000"/>
    <s v="Wine Sales"/>
    <n v="116.245"/>
    <n v="0"/>
    <s v="Daily Sales Import"/>
    <n v="-116.245"/>
    <n v="116.245"/>
    <x v="1"/>
    <s v="2230"/>
    <s v="000"/>
    <x v="4"/>
    <x v="1"/>
  </r>
  <r>
    <d v="2012-02-09T00:00:00"/>
    <s v="017-2100-000"/>
    <s v="Food Sales"/>
    <n v="6186.1887000000006"/>
    <n v="0"/>
    <s v="Daily Sales Import"/>
    <n v="-6186.1887000000006"/>
    <n v="6186.1887000000006"/>
    <x v="1"/>
    <s v="2100"/>
    <s v="000"/>
    <x v="4"/>
    <x v="1"/>
  </r>
  <r>
    <d v="2012-02-09T00:00:00"/>
    <s v="017-2210-000"/>
    <s v="Liquor Sales"/>
    <n v="1546.1880000000001"/>
    <n v="0"/>
    <s v="Daily Sales Import"/>
    <n v="-1546.1880000000001"/>
    <n v="1546.1880000000001"/>
    <x v="1"/>
    <s v="2210"/>
    <s v="000"/>
    <x v="4"/>
    <x v="1"/>
  </r>
  <r>
    <d v="2012-02-09T00:00:00"/>
    <s v="017-2220-000"/>
    <s v="Beer Sales"/>
    <n v="361.51500000000004"/>
    <n v="0"/>
    <s v="Daily Sales Import"/>
    <n v="-361.51500000000004"/>
    <n v="361.51500000000004"/>
    <x v="1"/>
    <s v="2220"/>
    <s v="000"/>
    <x v="4"/>
    <x v="1"/>
  </r>
  <r>
    <d v="2012-02-09T00:00:00"/>
    <s v="017-2230-000"/>
    <s v="Wine Sales"/>
    <n v="191.77099999999999"/>
    <n v="0"/>
    <s v="Daily Sales Import"/>
    <n v="-191.77099999999999"/>
    <n v="191.77099999999999"/>
    <x v="1"/>
    <s v="2230"/>
    <s v="000"/>
    <x v="4"/>
    <x v="1"/>
  </r>
  <r>
    <d v="2012-02-10T00:00:00"/>
    <s v="017-2100-000"/>
    <s v="Food Sales"/>
    <n v="7648.2899999999991"/>
    <n v="0"/>
    <s v="Daily Sales Import"/>
    <n v="-7648.2899999999991"/>
    <n v="7648.2899999999991"/>
    <x v="1"/>
    <s v="2100"/>
    <s v="000"/>
    <x v="4"/>
    <x v="1"/>
  </r>
  <r>
    <d v="2012-02-10T00:00:00"/>
    <s v="017-2210-000"/>
    <s v="Liquor Sales"/>
    <n v="2391.0120000000002"/>
    <n v="0"/>
    <s v="Daily Sales Import"/>
    <n v="-2391.0120000000002"/>
    <n v="2391.0120000000002"/>
    <x v="1"/>
    <s v="2210"/>
    <s v="000"/>
    <x v="4"/>
    <x v="1"/>
  </r>
  <r>
    <d v="2012-02-10T00:00:00"/>
    <s v="017-2220-000"/>
    <s v="Beer Sales"/>
    <n v="555.34500000000003"/>
    <n v="0"/>
    <s v="Daily Sales Import"/>
    <n v="-555.34500000000003"/>
    <n v="555.34500000000003"/>
    <x v="1"/>
    <s v="2220"/>
    <s v="000"/>
    <x v="4"/>
    <x v="1"/>
  </r>
  <r>
    <d v="2012-02-10T00:00:00"/>
    <s v="017-2230-000"/>
    <s v="Wine Sales"/>
    <n v="132.09"/>
    <n v="0"/>
    <s v="Daily Sales Import"/>
    <n v="-132.09"/>
    <n v="132.09"/>
    <x v="1"/>
    <s v="2230"/>
    <s v="000"/>
    <x v="4"/>
    <x v="1"/>
  </r>
  <r>
    <d v="2012-02-11T00:00:00"/>
    <s v="017-2100-000"/>
    <s v="Food Sales"/>
    <n v="8579.0074999999997"/>
    <n v="0"/>
    <s v="Daily Sales Import"/>
    <n v="-8579.0074999999997"/>
    <n v="8579.0074999999997"/>
    <x v="1"/>
    <s v="2100"/>
    <s v="000"/>
    <x v="4"/>
    <x v="1"/>
  </r>
  <r>
    <d v="2012-02-11T00:00:00"/>
    <s v="017-2210-000"/>
    <s v="Liquor Sales"/>
    <n v="2101.1149999999998"/>
    <n v="0"/>
    <s v="Daily Sales Import"/>
    <n v="-2101.1149999999998"/>
    <n v="2101.1149999999998"/>
    <x v="1"/>
    <s v="2210"/>
    <s v="000"/>
    <x v="4"/>
    <x v="1"/>
  </r>
  <r>
    <d v="2012-02-11T00:00:00"/>
    <s v="017-2220-000"/>
    <s v="Beer Sales"/>
    <n v="342.38000000000005"/>
    <n v="0"/>
    <s v="Daily Sales Import"/>
    <n v="-342.38000000000005"/>
    <n v="342.38000000000005"/>
    <x v="1"/>
    <s v="2220"/>
    <s v="000"/>
    <x v="4"/>
    <x v="1"/>
  </r>
  <r>
    <d v="2012-02-11T00:00:00"/>
    <s v="017-2230-000"/>
    <s v="Wine Sales"/>
    <n v="214.75799999999998"/>
    <n v="0"/>
    <s v="Daily Sales Import"/>
    <n v="-214.75799999999998"/>
    <n v="214.75799999999998"/>
    <x v="1"/>
    <s v="2230"/>
    <s v="000"/>
    <x v="4"/>
    <x v="1"/>
  </r>
  <r>
    <d v="2012-02-12T00:00:00"/>
    <s v="017-2100-000"/>
    <s v="Food Sales"/>
    <n v="4016.0128000000004"/>
    <n v="0"/>
    <s v="Daily Sales Import"/>
    <n v="-4016.0128000000004"/>
    <n v="4016.0128000000004"/>
    <x v="1"/>
    <s v="2100"/>
    <s v="000"/>
    <x v="4"/>
    <x v="1"/>
  </r>
  <r>
    <d v="2012-02-12T00:00:00"/>
    <s v="017-2210-000"/>
    <s v="Liquor Sales"/>
    <n v="661.01750000000004"/>
    <n v="0"/>
    <s v="Daily Sales Import"/>
    <n v="-661.01750000000004"/>
    <n v="661.01750000000004"/>
    <x v="1"/>
    <s v="2210"/>
    <s v="000"/>
    <x v="4"/>
    <x v="1"/>
  </r>
  <r>
    <d v="2012-02-12T00:00:00"/>
    <s v="017-2220-000"/>
    <s v="Beer Sales"/>
    <n v="191.47499999999999"/>
    <n v="0"/>
    <s v="Daily Sales Import"/>
    <n v="-191.47499999999999"/>
    <n v="191.47499999999999"/>
    <x v="1"/>
    <s v="2220"/>
    <s v="000"/>
    <x v="4"/>
    <x v="1"/>
  </r>
  <r>
    <d v="2012-02-12T00:00:00"/>
    <s v="017-2230-000"/>
    <s v="Wine Sales"/>
    <n v="110.63799999999999"/>
    <n v="0"/>
    <s v="Daily Sales Import"/>
    <n v="-110.63799999999999"/>
    <n v="110.63799999999999"/>
    <x v="1"/>
    <s v="2230"/>
    <s v="000"/>
    <x v="4"/>
    <x v="1"/>
  </r>
  <r>
    <d v="2012-02-06T00:00:00"/>
    <s v="018-2100-000"/>
    <s v="Food Sales"/>
    <n v="2153.384"/>
    <n v="0"/>
    <s v="Daily Sales Import"/>
    <n v="-2153.384"/>
    <n v="2153.384"/>
    <x v="2"/>
    <s v="2100"/>
    <s v="000"/>
    <x v="4"/>
    <x v="1"/>
  </r>
  <r>
    <d v="2012-02-06T00:00:00"/>
    <s v="018-2210-000"/>
    <s v="Liquor Sales"/>
    <n v="271.17899999999997"/>
    <n v="0"/>
    <s v="Daily Sales Import"/>
    <n v="-271.17899999999997"/>
    <n v="271.17899999999997"/>
    <x v="2"/>
    <s v="2210"/>
    <s v="000"/>
    <x v="4"/>
    <x v="1"/>
  </r>
  <r>
    <d v="2012-02-06T00:00:00"/>
    <s v="018-2220-000"/>
    <s v="Beer Sales"/>
    <n v="102.476"/>
    <n v="0"/>
    <s v="Daily Sales Import"/>
    <n v="-102.476"/>
    <n v="102.476"/>
    <x v="2"/>
    <s v="2220"/>
    <s v="000"/>
    <x v="4"/>
    <x v="1"/>
  </r>
  <r>
    <d v="2012-02-06T00:00:00"/>
    <s v="018-2230-000"/>
    <s v="Wine Sales"/>
    <n v="7.9654999999999996"/>
    <n v="0"/>
    <s v="Daily Sales Import"/>
    <n v="-7.9654999999999996"/>
    <n v="7.9654999999999996"/>
    <x v="2"/>
    <s v="2230"/>
    <s v="000"/>
    <x v="4"/>
    <x v="1"/>
  </r>
  <r>
    <d v="2012-02-07T00:00:00"/>
    <s v="018-2100-000"/>
    <s v="Food Sales"/>
    <n v="2920.1288999999997"/>
    <n v="0"/>
    <s v="Daily Sales Import"/>
    <n v="-2920.1288999999997"/>
    <n v="2920.1288999999997"/>
    <x v="2"/>
    <s v="2100"/>
    <s v="000"/>
    <x v="4"/>
    <x v="1"/>
  </r>
  <r>
    <d v="2012-02-07T00:00:00"/>
    <s v="018-2210-000"/>
    <s v="Liquor Sales"/>
    <n v="420.42"/>
    <n v="0"/>
    <s v="Daily Sales Import"/>
    <n v="-420.42"/>
    <n v="420.42"/>
    <x v="2"/>
    <s v="2210"/>
    <s v="000"/>
    <x v="4"/>
    <x v="1"/>
  </r>
  <r>
    <d v="2012-02-07T00:00:00"/>
    <s v="018-2220-000"/>
    <s v="Beer Sales"/>
    <n v="82.362500000000011"/>
    <n v="0"/>
    <s v="Daily Sales Import"/>
    <n v="-82.362500000000011"/>
    <n v="82.362500000000011"/>
    <x v="2"/>
    <s v="2220"/>
    <s v="000"/>
    <x v="4"/>
    <x v="1"/>
  </r>
  <r>
    <d v="2012-02-08T00:00:00"/>
    <s v="018-2100-000"/>
    <s v="Food Sales"/>
    <n v="2201.3897999999999"/>
    <n v="0"/>
    <s v="Daily Sales Import"/>
    <n v="-2201.3897999999999"/>
    <n v="2201.3897999999999"/>
    <x v="2"/>
    <s v="2100"/>
    <s v="000"/>
    <x v="4"/>
    <x v="1"/>
  </r>
  <r>
    <d v="2012-02-08T00:00:00"/>
    <s v="018-2210-000"/>
    <s v="Liquor Sales"/>
    <n v="552.4"/>
    <n v="0"/>
    <s v="Daily Sales Import"/>
    <n v="-552.4"/>
    <n v="552.4"/>
    <x v="2"/>
    <s v="2210"/>
    <s v="000"/>
    <x v="4"/>
    <x v="1"/>
  </r>
  <r>
    <d v="2012-02-08T00:00:00"/>
    <s v="018-2220-000"/>
    <s v="Beer Sales"/>
    <n v="92.399999999999991"/>
    <n v="0"/>
    <s v="Daily Sales Import"/>
    <n v="-92.399999999999991"/>
    <n v="92.399999999999991"/>
    <x v="2"/>
    <s v="2220"/>
    <s v="000"/>
    <x v="4"/>
    <x v="1"/>
  </r>
  <r>
    <d v="2012-02-08T00:00:00"/>
    <s v="018-2230-000"/>
    <s v="Wine Sales"/>
    <n v="34.28"/>
    <n v="0"/>
    <s v="Daily Sales Import"/>
    <n v="-34.28"/>
    <n v="34.28"/>
    <x v="2"/>
    <s v="2230"/>
    <s v="000"/>
    <x v="4"/>
    <x v="1"/>
  </r>
  <r>
    <d v="2012-02-09T00:00:00"/>
    <s v="018-2100-000"/>
    <s v="Food Sales"/>
    <n v="4354.4865"/>
    <n v="0"/>
    <s v="Daily Sales Import"/>
    <n v="-4354.4865"/>
    <n v="4354.4865"/>
    <x v="2"/>
    <s v="2100"/>
    <s v="000"/>
    <x v="4"/>
    <x v="1"/>
  </r>
  <r>
    <d v="2012-02-09T00:00:00"/>
    <s v="018-2210-000"/>
    <s v="Liquor Sales"/>
    <n v="602.61149999999998"/>
    <n v="0"/>
    <s v="Daily Sales Import"/>
    <n v="-602.61149999999998"/>
    <n v="602.61149999999998"/>
    <x v="2"/>
    <s v="2210"/>
    <s v="000"/>
    <x v="4"/>
    <x v="1"/>
  </r>
  <r>
    <d v="2012-02-09T00:00:00"/>
    <s v="018-2220-000"/>
    <s v="Beer Sales"/>
    <n v="168.39"/>
    <n v="0"/>
    <s v="Daily Sales Import"/>
    <n v="-168.39"/>
    <n v="168.39"/>
    <x v="2"/>
    <s v="2220"/>
    <s v="000"/>
    <x v="4"/>
    <x v="1"/>
  </r>
  <r>
    <d v="2012-02-09T00:00:00"/>
    <s v="018-2230-000"/>
    <s v="Wine Sales"/>
    <n v="13.819499999999998"/>
    <n v="0"/>
    <s v="Daily Sales Import"/>
    <n v="-13.819499999999998"/>
    <n v="13.819499999999998"/>
    <x v="2"/>
    <s v="2230"/>
    <s v="000"/>
    <x v="4"/>
    <x v="1"/>
  </r>
  <r>
    <d v="2012-02-10T00:00:00"/>
    <s v="018-2100-000"/>
    <s v="Food Sales"/>
    <n v="6974.1834999999992"/>
    <n v="0"/>
    <s v="Daily Sales Import"/>
    <n v="-6974.1834999999992"/>
    <n v="6974.1834999999992"/>
    <x v="2"/>
    <s v="2100"/>
    <s v="000"/>
    <x v="4"/>
    <x v="1"/>
  </r>
  <r>
    <d v="2012-02-10T00:00:00"/>
    <s v="018-2210-000"/>
    <s v="Liquor Sales"/>
    <n v="2496.0150000000003"/>
    <n v="0"/>
    <s v="Daily Sales Import"/>
    <n v="-2496.0150000000003"/>
    <n v="2496.0150000000003"/>
    <x v="2"/>
    <s v="2210"/>
    <s v="000"/>
    <x v="4"/>
    <x v="1"/>
  </r>
  <r>
    <d v="2012-02-10T00:00:00"/>
    <s v="018-2220-000"/>
    <s v="Beer Sales"/>
    <n v="390.87900000000002"/>
    <n v="0"/>
    <s v="Daily Sales Import"/>
    <n v="-390.87900000000002"/>
    <n v="390.87900000000002"/>
    <x v="2"/>
    <s v="2220"/>
    <s v="000"/>
    <x v="4"/>
    <x v="1"/>
  </r>
  <r>
    <d v="2012-02-10T00:00:00"/>
    <s v="018-2230-000"/>
    <s v="Wine Sales"/>
    <n v="145.512"/>
    <n v="0"/>
    <s v="Daily Sales Import"/>
    <n v="-145.512"/>
    <n v="145.512"/>
    <x v="2"/>
    <s v="2230"/>
    <s v="000"/>
    <x v="4"/>
    <x v="1"/>
  </r>
  <r>
    <d v="2012-02-11T00:00:00"/>
    <s v="018-2100-000"/>
    <s v="Food Sales"/>
    <n v="14587.631999999998"/>
    <n v="0"/>
    <s v="Daily Sales Import"/>
    <n v="-14587.631999999998"/>
    <n v="14587.631999999998"/>
    <x v="2"/>
    <s v="2100"/>
    <s v="000"/>
    <x v="4"/>
    <x v="1"/>
  </r>
  <r>
    <d v="2012-02-11T00:00:00"/>
    <s v="018-2210-000"/>
    <s v="Liquor Sales"/>
    <n v="1706.2375000000002"/>
    <n v="0"/>
    <s v="Daily Sales Import"/>
    <n v="-1706.2375000000002"/>
    <n v="1706.2375000000002"/>
    <x v="2"/>
    <s v="2210"/>
    <s v="000"/>
    <x v="4"/>
    <x v="1"/>
  </r>
  <r>
    <d v="2012-02-11T00:00:00"/>
    <s v="018-2220-000"/>
    <s v="Beer Sales"/>
    <n v="990.02699999999982"/>
    <n v="0"/>
    <s v="Daily Sales Import"/>
    <n v="-990.02699999999982"/>
    <n v="990.02699999999982"/>
    <x v="2"/>
    <s v="2220"/>
    <s v="000"/>
    <x v="4"/>
    <x v="1"/>
  </r>
  <r>
    <d v="2012-02-11T00:00:00"/>
    <s v="018-2230-000"/>
    <s v="Wine Sales"/>
    <n v="253.32999999999996"/>
    <n v="0"/>
    <s v="Daily Sales Import"/>
    <n v="-253.32999999999996"/>
    <n v="253.32999999999996"/>
    <x v="2"/>
    <s v="2230"/>
    <s v="000"/>
    <x v="4"/>
    <x v="1"/>
  </r>
  <r>
    <d v="2012-02-12T00:00:00"/>
    <s v="018-2100-000"/>
    <s v="Food Sales"/>
    <n v="6792.5190000000002"/>
    <n v="0"/>
    <s v="Daily Sales Import"/>
    <n v="-6792.5190000000002"/>
    <n v="6792.5190000000002"/>
    <x v="2"/>
    <s v="2100"/>
    <s v="000"/>
    <x v="4"/>
    <x v="1"/>
  </r>
  <r>
    <d v="2012-02-12T00:00:00"/>
    <s v="018-2210-000"/>
    <s v="Liquor Sales"/>
    <n v="1190.1559999999999"/>
    <n v="0"/>
    <s v="Daily Sales Import"/>
    <n v="-1190.1559999999999"/>
    <n v="1190.1559999999999"/>
    <x v="2"/>
    <s v="2210"/>
    <s v="000"/>
    <x v="4"/>
    <x v="1"/>
  </r>
  <r>
    <d v="2012-02-12T00:00:00"/>
    <s v="018-2220-000"/>
    <s v="Beer Sales"/>
    <n v="268.04249999999996"/>
    <n v="0"/>
    <s v="Daily Sales Import"/>
    <n v="-268.04249999999996"/>
    <n v="268.04249999999996"/>
    <x v="2"/>
    <s v="2220"/>
    <s v="000"/>
    <x v="4"/>
    <x v="1"/>
  </r>
  <r>
    <d v="2012-02-12T00:00:00"/>
    <s v="018-2230-000"/>
    <s v="Wine Sales"/>
    <n v="131.46100000000001"/>
    <n v="0"/>
    <s v="Daily Sales Import"/>
    <n v="-131.46100000000001"/>
    <n v="131.46100000000001"/>
    <x v="2"/>
    <s v="2230"/>
    <s v="000"/>
    <x v="4"/>
    <x v="1"/>
  </r>
  <r>
    <d v="2012-02-13T00:00:00"/>
    <s v="016-2100-000"/>
    <s v="Food Sales"/>
    <n v="2405.3399999999997"/>
    <n v="0"/>
    <s v="Daily Sales Import"/>
    <n v="-2405.3399999999997"/>
    <n v="2405.3399999999997"/>
    <x v="0"/>
    <s v="2100"/>
    <s v="000"/>
    <x v="4"/>
    <x v="1"/>
  </r>
  <r>
    <d v="2012-02-13T00:00:00"/>
    <s v="016-2210-000"/>
    <s v="Liquor Sales"/>
    <n v="803.24400000000003"/>
    <n v="0"/>
    <s v="Daily Sales Import"/>
    <n v="-803.24400000000003"/>
    <n v="803.24400000000003"/>
    <x v="0"/>
    <s v="2210"/>
    <s v="000"/>
    <x v="4"/>
    <x v="1"/>
  </r>
  <r>
    <d v="2012-02-13T00:00:00"/>
    <s v="016-2220-000"/>
    <s v="Beer Sales"/>
    <n v="76.786500000000004"/>
    <n v="0"/>
    <s v="Daily Sales Import"/>
    <n v="-76.786500000000004"/>
    <n v="76.786500000000004"/>
    <x v="0"/>
    <s v="2220"/>
    <s v="000"/>
    <x v="4"/>
    <x v="1"/>
  </r>
  <r>
    <d v="2012-02-13T00:00:00"/>
    <s v="016-2230-000"/>
    <s v="Wine Sales"/>
    <n v="101.426"/>
    <n v="0"/>
    <s v="Daily Sales Import"/>
    <n v="-101.426"/>
    <n v="101.426"/>
    <x v="0"/>
    <s v="2230"/>
    <s v="000"/>
    <x v="4"/>
    <x v="1"/>
  </r>
  <r>
    <d v="2012-02-14T00:00:00"/>
    <s v="016-2100-000"/>
    <s v="Food Sales"/>
    <n v="5028.3272000000006"/>
    <n v="0"/>
    <s v="Daily Sales Import"/>
    <n v="-5028.3272000000006"/>
    <n v="5028.3272000000006"/>
    <x v="0"/>
    <s v="2100"/>
    <s v="000"/>
    <x v="4"/>
    <x v="1"/>
  </r>
  <r>
    <d v="2012-02-14T00:00:00"/>
    <s v="016-2210-000"/>
    <s v="Liquor Sales"/>
    <n v="1101.924"/>
    <n v="0"/>
    <s v="Daily Sales Import"/>
    <n v="-1101.924"/>
    <n v="1101.924"/>
    <x v="0"/>
    <s v="2210"/>
    <s v="000"/>
    <x v="4"/>
    <x v="1"/>
  </r>
  <r>
    <d v="2012-02-14T00:00:00"/>
    <s v="016-2220-000"/>
    <s v="Beer Sales"/>
    <n v="147.23099999999999"/>
    <n v="0"/>
    <s v="Daily Sales Import"/>
    <n v="-147.23099999999999"/>
    <n v="147.23099999999999"/>
    <x v="0"/>
    <s v="2220"/>
    <s v="000"/>
    <x v="4"/>
    <x v="1"/>
  </r>
  <r>
    <d v="2012-02-14T00:00:00"/>
    <s v="016-2230-000"/>
    <s v="Wine Sales"/>
    <n v="304.74"/>
    <n v="0"/>
    <s v="Daily Sales Import"/>
    <n v="-304.74"/>
    <n v="304.74"/>
    <x v="0"/>
    <s v="2230"/>
    <s v="000"/>
    <x v="4"/>
    <x v="1"/>
  </r>
  <r>
    <d v="2012-02-15T00:00:00"/>
    <s v="016-2100-000"/>
    <s v="Food Sales"/>
    <n v="2168.3145"/>
    <n v="0"/>
    <s v="Daily Sales Import"/>
    <n v="-2168.3145"/>
    <n v="2168.3145"/>
    <x v="0"/>
    <s v="2100"/>
    <s v="000"/>
    <x v="4"/>
    <x v="1"/>
  </r>
  <r>
    <d v="2012-02-15T00:00:00"/>
    <s v="016-2210-000"/>
    <s v="Liquor Sales"/>
    <n v="570.41399999999999"/>
    <n v="0"/>
    <s v="Daily Sales Import"/>
    <n v="-570.41399999999999"/>
    <n v="570.41399999999999"/>
    <x v="0"/>
    <s v="2210"/>
    <s v="000"/>
    <x v="4"/>
    <x v="1"/>
  </r>
  <r>
    <d v="2012-02-15T00:00:00"/>
    <s v="016-2220-000"/>
    <s v="Beer Sales"/>
    <n v="150.5205"/>
    <n v="0"/>
    <s v="Daily Sales Import"/>
    <n v="-150.5205"/>
    <n v="150.5205"/>
    <x v="0"/>
    <s v="2220"/>
    <s v="000"/>
    <x v="4"/>
    <x v="1"/>
  </r>
  <r>
    <d v="2012-02-15T00:00:00"/>
    <s v="016-2230-000"/>
    <s v="Wine Sales"/>
    <n v="60.984000000000009"/>
    <n v="0"/>
    <s v="Daily Sales Import"/>
    <n v="-60.984000000000009"/>
    <n v="60.984000000000009"/>
    <x v="0"/>
    <s v="2230"/>
    <s v="000"/>
    <x v="4"/>
    <x v="1"/>
  </r>
  <r>
    <d v="2012-02-16T00:00:00"/>
    <s v="016-2100-000"/>
    <s v="Food Sales"/>
    <n v="4866.6372000000001"/>
    <n v="0"/>
    <s v="Daily Sales Import"/>
    <n v="-4866.6372000000001"/>
    <n v="4866.6372000000001"/>
    <x v="0"/>
    <s v="2100"/>
    <s v="000"/>
    <x v="4"/>
    <x v="1"/>
  </r>
  <r>
    <d v="2012-02-16T00:00:00"/>
    <s v="016-2210-000"/>
    <s v="Liquor Sales"/>
    <n v="1310.2649999999999"/>
    <n v="0"/>
    <s v="Daily Sales Import"/>
    <n v="-1310.2649999999999"/>
    <n v="1310.2649999999999"/>
    <x v="0"/>
    <s v="2210"/>
    <s v="000"/>
    <x v="4"/>
    <x v="1"/>
  </r>
  <r>
    <d v="2012-02-16T00:00:00"/>
    <s v="016-2220-000"/>
    <s v="Beer Sales"/>
    <n v="319.99799999999999"/>
    <n v="0"/>
    <s v="Daily Sales Import"/>
    <n v="-319.99799999999999"/>
    <n v="319.99799999999999"/>
    <x v="0"/>
    <s v="2220"/>
    <s v="000"/>
    <x v="4"/>
    <x v="1"/>
  </r>
  <r>
    <d v="2012-02-16T00:00:00"/>
    <s v="016-2230-000"/>
    <s v="Wine Sales"/>
    <n v="123.895"/>
    <n v="0"/>
    <s v="Daily Sales Import"/>
    <n v="-123.895"/>
    <n v="123.895"/>
    <x v="0"/>
    <s v="2230"/>
    <s v="000"/>
    <x v="4"/>
    <x v="1"/>
  </r>
  <r>
    <d v="2012-02-17T00:00:00"/>
    <s v="016-2100-000"/>
    <s v="Food Sales"/>
    <n v="8809.9600000000009"/>
    <n v="0"/>
    <s v="Daily Sales Import"/>
    <n v="-8809.9600000000009"/>
    <n v="8809.9600000000009"/>
    <x v="0"/>
    <s v="2100"/>
    <s v="000"/>
    <x v="4"/>
    <x v="1"/>
  </r>
  <r>
    <d v="2012-02-17T00:00:00"/>
    <s v="016-2210-000"/>
    <s v="Liquor Sales"/>
    <n v="3097.634"/>
    <n v="0"/>
    <s v="Daily Sales Import"/>
    <n v="-3097.634"/>
    <n v="3097.634"/>
    <x v="0"/>
    <s v="2210"/>
    <s v="000"/>
    <x v="4"/>
    <x v="1"/>
  </r>
  <r>
    <d v="2012-02-17T00:00:00"/>
    <s v="016-2220-000"/>
    <s v="Beer Sales"/>
    <n v="421.137"/>
    <n v="0"/>
    <s v="Daily Sales Import"/>
    <n v="-421.137"/>
    <n v="421.137"/>
    <x v="0"/>
    <s v="2220"/>
    <s v="000"/>
    <x v="4"/>
    <x v="1"/>
  </r>
  <r>
    <d v="2012-02-17T00:00:00"/>
    <s v="016-2230-000"/>
    <s v="Wine Sales"/>
    <n v="178.976"/>
    <n v="0"/>
    <s v="Daily Sales Import"/>
    <n v="-178.976"/>
    <n v="178.976"/>
    <x v="0"/>
    <s v="2230"/>
    <s v="000"/>
    <x v="4"/>
    <x v="1"/>
  </r>
  <r>
    <d v="2012-02-18T00:00:00"/>
    <s v="016-2100-000"/>
    <s v="Food Sales"/>
    <n v="9127.5589999999993"/>
    <n v="0"/>
    <s v="Daily Sales Import"/>
    <n v="-9127.5589999999993"/>
    <n v="9127.5589999999993"/>
    <x v="0"/>
    <s v="2100"/>
    <s v="000"/>
    <x v="4"/>
    <x v="1"/>
  </r>
  <r>
    <d v="2012-02-18T00:00:00"/>
    <s v="016-2210-000"/>
    <s v="Liquor Sales"/>
    <n v="3526.5205000000001"/>
    <n v="0"/>
    <s v="Daily Sales Import"/>
    <n v="-3526.5205000000001"/>
    <n v="3526.5205000000001"/>
    <x v="0"/>
    <s v="2210"/>
    <s v="000"/>
    <x v="4"/>
    <x v="1"/>
  </r>
  <r>
    <d v="2012-02-18T00:00:00"/>
    <s v="016-2220-000"/>
    <s v="Beer Sales"/>
    <n v="680.07599999999991"/>
    <n v="0"/>
    <s v="Daily Sales Import"/>
    <n v="-680.07599999999991"/>
    <n v="680.07599999999991"/>
    <x v="0"/>
    <s v="2220"/>
    <s v="000"/>
    <x v="4"/>
    <x v="1"/>
  </r>
  <r>
    <d v="2012-02-18T00:00:00"/>
    <s v="016-2230-000"/>
    <s v="Wine Sales"/>
    <n v="410.71050000000002"/>
    <n v="0"/>
    <s v="Daily Sales Import"/>
    <n v="-410.71050000000002"/>
    <n v="410.71050000000002"/>
    <x v="0"/>
    <s v="2230"/>
    <s v="000"/>
    <x v="4"/>
    <x v="1"/>
  </r>
  <r>
    <d v="2012-02-19T00:00:00"/>
    <s v="016-2100-000"/>
    <s v="Food Sales"/>
    <n v="5126.0739999999996"/>
    <n v="0"/>
    <s v="Daily Sales Import"/>
    <n v="-5126.0739999999996"/>
    <n v="5126.0739999999996"/>
    <x v="0"/>
    <s v="2100"/>
    <s v="000"/>
    <x v="4"/>
    <x v="1"/>
  </r>
  <r>
    <d v="2012-02-19T00:00:00"/>
    <s v="016-2210-000"/>
    <s v="Liquor Sales"/>
    <n v="1433.76"/>
    <n v="0"/>
    <s v="Daily Sales Import"/>
    <n v="-1433.76"/>
    <n v="1433.76"/>
    <x v="0"/>
    <s v="2210"/>
    <s v="000"/>
    <x v="4"/>
    <x v="1"/>
  </r>
  <r>
    <d v="2012-02-19T00:00:00"/>
    <s v="016-2220-000"/>
    <s v="Beer Sales"/>
    <n v="349.524"/>
    <n v="0"/>
    <s v="Daily Sales Import"/>
    <n v="-349.524"/>
    <n v="349.524"/>
    <x v="0"/>
    <s v="2220"/>
    <s v="000"/>
    <x v="4"/>
    <x v="1"/>
  </r>
  <r>
    <d v="2012-02-19T00:00:00"/>
    <s v="016-2230-000"/>
    <s v="Wine Sales"/>
    <n v="150.78700000000001"/>
    <n v="0"/>
    <s v="Daily Sales Import"/>
    <n v="-150.78700000000001"/>
    <n v="150.78700000000001"/>
    <x v="0"/>
    <s v="2230"/>
    <s v="000"/>
    <x v="4"/>
    <x v="1"/>
  </r>
  <r>
    <d v="2012-02-13T00:00:00"/>
    <s v="017-2100-000"/>
    <s v="Food Sales"/>
    <n v="4329.7344999999996"/>
    <n v="0"/>
    <s v="Daily Sales Import"/>
    <n v="-4329.7344999999996"/>
    <n v="4329.7344999999996"/>
    <x v="1"/>
    <s v="2100"/>
    <s v="000"/>
    <x v="4"/>
    <x v="1"/>
  </r>
  <r>
    <d v="2012-02-13T00:00:00"/>
    <s v="017-2210-000"/>
    <s v="Liquor Sales"/>
    <n v="393.33250000000004"/>
    <n v="0"/>
    <s v="Daily Sales Import"/>
    <n v="-393.33250000000004"/>
    <n v="393.33250000000004"/>
    <x v="1"/>
    <s v="2210"/>
    <s v="000"/>
    <x v="4"/>
    <x v="1"/>
  </r>
  <r>
    <d v="2012-02-13T00:00:00"/>
    <s v="017-2220-000"/>
    <s v="Beer Sales"/>
    <n v="239.76500000000001"/>
    <n v="0"/>
    <s v="Daily Sales Import"/>
    <n v="-239.76500000000001"/>
    <n v="239.76500000000001"/>
    <x v="1"/>
    <s v="2220"/>
    <s v="000"/>
    <x v="4"/>
    <x v="1"/>
  </r>
  <r>
    <d v="2012-02-13T00:00:00"/>
    <s v="017-2230-000"/>
    <s v="Wine Sales"/>
    <n v="38.777999999999999"/>
    <n v="0"/>
    <s v="Daily Sales Import"/>
    <n v="-38.777999999999999"/>
    <n v="38.777999999999999"/>
    <x v="1"/>
    <s v="2230"/>
    <s v="000"/>
    <x v="4"/>
    <x v="1"/>
  </r>
  <r>
    <d v="2012-02-14T00:00:00"/>
    <s v="017-2100-000"/>
    <s v="Food Sales"/>
    <n v="6920.1630000000005"/>
    <n v="0"/>
    <s v="Daily Sales Import"/>
    <n v="-6920.1630000000005"/>
    <n v="6920.1630000000005"/>
    <x v="1"/>
    <s v="2100"/>
    <s v="000"/>
    <x v="4"/>
    <x v="1"/>
  </r>
  <r>
    <d v="2012-02-14T00:00:00"/>
    <s v="017-2210-000"/>
    <s v="Liquor Sales"/>
    <n v="945.46950000000004"/>
    <n v="0"/>
    <s v="Daily Sales Import"/>
    <n v="-945.46950000000004"/>
    <n v="945.46950000000004"/>
    <x v="1"/>
    <s v="2210"/>
    <s v="000"/>
    <x v="4"/>
    <x v="1"/>
  </r>
  <r>
    <d v="2012-02-14T00:00:00"/>
    <s v="017-2220-000"/>
    <s v="Beer Sales"/>
    <n v="273.54250000000002"/>
    <n v="0"/>
    <s v="Daily Sales Import"/>
    <n v="-273.54250000000002"/>
    <n v="273.54250000000002"/>
    <x v="1"/>
    <s v="2220"/>
    <s v="000"/>
    <x v="4"/>
    <x v="1"/>
  </r>
  <r>
    <d v="2012-02-14T00:00:00"/>
    <s v="017-2230-000"/>
    <s v="Wine Sales"/>
    <n v="203.09"/>
    <n v="0"/>
    <s v="Daily Sales Import"/>
    <n v="-203.09"/>
    <n v="203.09"/>
    <x v="1"/>
    <s v="2230"/>
    <s v="000"/>
    <x v="4"/>
    <x v="1"/>
  </r>
  <r>
    <d v="2012-02-15T00:00:00"/>
    <s v="017-2100-000"/>
    <s v="Food Sales"/>
    <n v="4077.8136"/>
    <n v="0"/>
    <s v="Daily Sales Import"/>
    <n v="-4077.8136"/>
    <n v="4077.8136"/>
    <x v="1"/>
    <s v="2100"/>
    <s v="000"/>
    <x v="4"/>
    <x v="1"/>
  </r>
  <r>
    <d v="2012-02-15T00:00:00"/>
    <s v="017-2210-000"/>
    <s v="Liquor Sales"/>
    <n v="816.1875"/>
    <n v="0"/>
    <s v="Daily Sales Import"/>
    <n v="-816.1875"/>
    <n v="816.1875"/>
    <x v="1"/>
    <s v="2210"/>
    <s v="000"/>
    <x v="4"/>
    <x v="1"/>
  </r>
  <r>
    <d v="2012-02-15T00:00:00"/>
    <s v="017-2220-000"/>
    <s v="Beer Sales"/>
    <n v="480.10499999999996"/>
    <n v="0"/>
    <s v="Daily Sales Import"/>
    <n v="-480.10499999999996"/>
    <n v="480.10499999999996"/>
    <x v="1"/>
    <s v="2220"/>
    <s v="000"/>
    <x v="4"/>
    <x v="1"/>
  </r>
  <r>
    <d v="2012-02-15T00:00:00"/>
    <s v="017-2230-000"/>
    <s v="Wine Sales"/>
    <n v="106.99149999999999"/>
    <n v="0"/>
    <s v="Daily Sales Import"/>
    <n v="-106.99149999999999"/>
    <n v="106.99149999999999"/>
    <x v="1"/>
    <s v="2230"/>
    <s v="000"/>
    <x v="4"/>
    <x v="1"/>
  </r>
  <r>
    <d v="2012-02-16T00:00:00"/>
    <s v="017-2100-000"/>
    <s v="Food Sales"/>
    <n v="4773.0930000000008"/>
    <n v="0"/>
    <s v="Daily Sales Import"/>
    <n v="-4773.0930000000008"/>
    <n v="4773.0930000000008"/>
    <x v="1"/>
    <s v="2100"/>
    <s v="000"/>
    <x v="4"/>
    <x v="1"/>
  </r>
  <r>
    <d v="2012-02-16T00:00:00"/>
    <s v="017-2210-000"/>
    <s v="Liquor Sales"/>
    <n v="2118.4245000000001"/>
    <n v="0"/>
    <s v="Daily Sales Import"/>
    <n v="-2118.4245000000001"/>
    <n v="2118.4245000000001"/>
    <x v="1"/>
    <s v="2210"/>
    <s v="000"/>
    <x v="4"/>
    <x v="1"/>
  </r>
  <r>
    <d v="2012-02-16T00:00:00"/>
    <s v="017-2220-000"/>
    <s v="Beer Sales"/>
    <n v="380.8"/>
    <n v="0"/>
    <s v="Daily Sales Import"/>
    <n v="-380.8"/>
    <n v="380.8"/>
    <x v="1"/>
    <s v="2220"/>
    <s v="000"/>
    <x v="4"/>
    <x v="1"/>
  </r>
  <r>
    <d v="2012-02-16T00:00:00"/>
    <s v="017-2230-000"/>
    <s v="Wine Sales"/>
    <n v="156.3835"/>
    <n v="0"/>
    <s v="Daily Sales Import"/>
    <n v="-156.3835"/>
    <n v="156.3835"/>
    <x v="1"/>
    <s v="2230"/>
    <s v="000"/>
    <x v="4"/>
    <x v="1"/>
  </r>
  <r>
    <d v="2012-02-17T00:00:00"/>
    <s v="017-2100-000"/>
    <s v="Food Sales"/>
    <n v="6933.2374999999993"/>
    <n v="0"/>
    <s v="Daily Sales Import"/>
    <n v="-6933.2374999999993"/>
    <n v="6933.2374999999993"/>
    <x v="1"/>
    <s v="2100"/>
    <s v="000"/>
    <x v="4"/>
    <x v="1"/>
  </r>
  <r>
    <d v="2012-02-17T00:00:00"/>
    <s v="017-2210-000"/>
    <s v="Liquor Sales"/>
    <n v="2693.4960000000001"/>
    <n v="0"/>
    <s v="Daily Sales Import"/>
    <n v="-2693.4960000000001"/>
    <n v="2693.4960000000001"/>
    <x v="1"/>
    <s v="2210"/>
    <s v="000"/>
    <x v="4"/>
    <x v="1"/>
  </r>
  <r>
    <d v="2012-02-17T00:00:00"/>
    <s v="017-2220-000"/>
    <s v="Beer Sales"/>
    <n v="568.67999999999995"/>
    <n v="0"/>
    <s v="Daily Sales Import"/>
    <n v="-568.67999999999995"/>
    <n v="568.67999999999995"/>
    <x v="1"/>
    <s v="2220"/>
    <s v="000"/>
    <x v="4"/>
    <x v="1"/>
  </r>
  <r>
    <d v="2012-02-17T00:00:00"/>
    <s v="017-2230-000"/>
    <s v="Wine Sales"/>
    <n v="78.78"/>
    <n v="0"/>
    <s v="Daily Sales Import"/>
    <n v="-78.78"/>
    <n v="78.78"/>
    <x v="1"/>
    <s v="2230"/>
    <s v="000"/>
    <x v="4"/>
    <x v="1"/>
  </r>
  <r>
    <d v="2012-02-18T00:00:00"/>
    <s v="017-2100-000"/>
    <s v="Food Sales"/>
    <n v="8967.4585000000006"/>
    <n v="0"/>
    <s v="Daily Sales Import"/>
    <n v="-8967.4585000000006"/>
    <n v="8967.4585000000006"/>
    <x v="1"/>
    <s v="2100"/>
    <s v="000"/>
    <x v="4"/>
    <x v="1"/>
  </r>
  <r>
    <d v="2012-02-18T00:00:00"/>
    <s v="017-2210-000"/>
    <s v="Liquor Sales"/>
    <n v="1967.8950000000002"/>
    <n v="0"/>
    <s v="Daily Sales Import"/>
    <n v="-1967.8950000000002"/>
    <n v="1967.8950000000002"/>
    <x v="1"/>
    <s v="2210"/>
    <s v="000"/>
    <x v="4"/>
    <x v="1"/>
  </r>
  <r>
    <d v="2012-02-18T00:00:00"/>
    <s v="017-2220-000"/>
    <s v="Beer Sales"/>
    <n v="523.53"/>
    <n v="0"/>
    <s v="Daily Sales Import"/>
    <n v="-523.53"/>
    <n v="523.53"/>
    <x v="1"/>
    <s v="2220"/>
    <s v="000"/>
    <x v="4"/>
    <x v="1"/>
  </r>
  <r>
    <d v="2012-02-18T00:00:00"/>
    <s v="017-2230-000"/>
    <s v="Wine Sales"/>
    <n v="91.644000000000005"/>
    <n v="0"/>
    <s v="Daily Sales Import"/>
    <n v="-91.644000000000005"/>
    <n v="91.644000000000005"/>
    <x v="1"/>
    <s v="2230"/>
    <s v="000"/>
    <x v="4"/>
    <x v="1"/>
  </r>
  <r>
    <d v="2012-02-19T00:00:00"/>
    <s v="017-2100-000"/>
    <s v="Food Sales"/>
    <n v="5036.3320000000003"/>
    <n v="0"/>
    <s v="Daily Sales Import"/>
    <n v="-5036.3320000000003"/>
    <n v="5036.3320000000003"/>
    <x v="1"/>
    <s v="2100"/>
    <s v="000"/>
    <x v="4"/>
    <x v="1"/>
  </r>
  <r>
    <d v="2012-02-19T00:00:00"/>
    <s v="017-2210-000"/>
    <s v="Liquor Sales"/>
    <n v="650.20199999999988"/>
    <n v="0"/>
    <s v="Daily Sales Import"/>
    <n v="-650.20199999999988"/>
    <n v="650.20199999999988"/>
    <x v="1"/>
    <s v="2210"/>
    <s v="000"/>
    <x v="4"/>
    <x v="1"/>
  </r>
  <r>
    <d v="2012-02-19T00:00:00"/>
    <s v="017-2220-000"/>
    <s v="Beer Sales"/>
    <n v="146.685"/>
    <n v="0"/>
    <s v="Daily Sales Import"/>
    <n v="-146.685"/>
    <n v="146.685"/>
    <x v="1"/>
    <s v="2220"/>
    <s v="000"/>
    <x v="4"/>
    <x v="1"/>
  </r>
  <r>
    <d v="2012-02-19T00:00:00"/>
    <s v="017-2230-000"/>
    <s v="Wine Sales"/>
    <n v="73.739999999999995"/>
    <n v="0"/>
    <s v="Daily Sales Import"/>
    <n v="-73.739999999999995"/>
    <n v="73.739999999999995"/>
    <x v="1"/>
    <s v="2230"/>
    <s v="000"/>
    <x v="4"/>
    <x v="1"/>
  </r>
  <r>
    <d v="2012-02-13T00:00:00"/>
    <s v="018-2100-000"/>
    <s v="Food Sales"/>
    <n v="2898.636"/>
    <n v="0"/>
    <s v="Daily Sales Import"/>
    <n v="-2898.636"/>
    <n v="2898.636"/>
    <x v="2"/>
    <s v="2100"/>
    <s v="000"/>
    <x v="4"/>
    <x v="1"/>
  </r>
  <r>
    <d v="2012-02-13T00:00:00"/>
    <s v="018-2210-000"/>
    <s v="Liquor Sales"/>
    <n v="510.57350000000002"/>
    <n v="0"/>
    <s v="Daily Sales Import"/>
    <n v="-510.57350000000002"/>
    <n v="510.57350000000002"/>
    <x v="2"/>
    <s v="2210"/>
    <s v="000"/>
    <x v="4"/>
    <x v="1"/>
  </r>
  <r>
    <d v="2012-02-13T00:00:00"/>
    <s v="018-2220-000"/>
    <s v="Beer Sales"/>
    <n v="103.7475"/>
    <n v="0"/>
    <s v="Daily Sales Import"/>
    <n v="-103.7475"/>
    <n v="103.7475"/>
    <x v="2"/>
    <s v="2220"/>
    <s v="000"/>
    <x v="4"/>
    <x v="1"/>
  </r>
  <r>
    <d v="2012-02-13T00:00:00"/>
    <s v="018-2230-000"/>
    <s v="Wine Sales"/>
    <n v="8.7840000000000007"/>
    <n v="0"/>
    <s v="Daily Sales Import"/>
    <n v="-8.7840000000000007"/>
    <n v="8.7840000000000007"/>
    <x v="2"/>
    <s v="2230"/>
    <s v="000"/>
    <x v="4"/>
    <x v="1"/>
  </r>
  <r>
    <d v="2012-02-14T00:00:00"/>
    <s v="018-2100-000"/>
    <s v="Food Sales"/>
    <n v="14539.41"/>
    <n v="0"/>
    <s v="Daily Sales Import"/>
    <n v="-14539.41"/>
    <n v="14539.41"/>
    <x v="2"/>
    <s v="2100"/>
    <s v="000"/>
    <x v="4"/>
    <x v="1"/>
  </r>
  <r>
    <d v="2012-02-14T00:00:00"/>
    <s v="018-2210-000"/>
    <s v="Liquor Sales"/>
    <n v="1959.0870000000002"/>
    <n v="0"/>
    <s v="Daily Sales Import"/>
    <n v="-1959.0870000000002"/>
    <n v="1959.0870000000002"/>
    <x v="2"/>
    <s v="2210"/>
    <s v="000"/>
    <x v="4"/>
    <x v="1"/>
  </r>
  <r>
    <d v="2012-02-14T00:00:00"/>
    <s v="018-2220-000"/>
    <s v="Beer Sales"/>
    <n v="498.99899999999997"/>
    <n v="0"/>
    <s v="Daily Sales Import"/>
    <n v="-498.99899999999997"/>
    <n v="498.99899999999997"/>
    <x v="2"/>
    <s v="2220"/>
    <s v="000"/>
    <x v="4"/>
    <x v="1"/>
  </r>
  <r>
    <d v="2012-02-14T00:00:00"/>
    <s v="018-2230-000"/>
    <s v="Wine Sales"/>
    <n v="117.91200000000001"/>
    <n v="0"/>
    <s v="Daily Sales Import"/>
    <n v="-117.91200000000001"/>
    <n v="117.91200000000001"/>
    <x v="2"/>
    <s v="2230"/>
    <s v="000"/>
    <x v="4"/>
    <x v="1"/>
  </r>
  <r>
    <d v="2012-02-15T00:00:00"/>
    <s v="018-2100-000"/>
    <s v="Food Sales"/>
    <n v="4664.5450000000001"/>
    <n v="0"/>
    <s v="Daily Sales Import"/>
    <n v="-4664.5450000000001"/>
    <n v="4664.5450000000001"/>
    <x v="2"/>
    <s v="2100"/>
    <s v="000"/>
    <x v="4"/>
    <x v="1"/>
  </r>
  <r>
    <d v="2012-02-15T00:00:00"/>
    <s v="018-2210-000"/>
    <s v="Liquor Sales"/>
    <n v="624.41249999999991"/>
    <n v="0"/>
    <s v="Daily Sales Import"/>
    <n v="-624.41249999999991"/>
    <n v="624.41249999999991"/>
    <x v="2"/>
    <s v="2210"/>
    <s v="000"/>
    <x v="4"/>
    <x v="1"/>
  </r>
  <r>
    <d v="2012-02-15T00:00:00"/>
    <s v="018-2220-000"/>
    <s v="Beer Sales"/>
    <n v="164.22900000000001"/>
    <n v="0"/>
    <s v="Daily Sales Import"/>
    <n v="-164.22900000000001"/>
    <n v="164.22900000000001"/>
    <x v="2"/>
    <s v="2220"/>
    <s v="000"/>
    <x v="4"/>
    <x v="1"/>
  </r>
  <r>
    <d v="2012-02-15T00:00:00"/>
    <s v="018-2230-000"/>
    <s v="Wine Sales"/>
    <n v="51.530999999999999"/>
    <n v="0"/>
    <s v="Daily Sales Import"/>
    <n v="-51.530999999999999"/>
    <n v="51.530999999999999"/>
    <x v="2"/>
    <s v="2230"/>
    <s v="000"/>
    <x v="4"/>
    <x v="1"/>
  </r>
  <r>
    <d v="2012-02-16T00:00:00"/>
    <s v="018-2100-000"/>
    <s v="Food Sales"/>
    <n v="2735.9261999999999"/>
    <n v="0"/>
    <s v="Daily Sales Import"/>
    <n v="-2735.9261999999999"/>
    <n v="2735.9261999999999"/>
    <x v="2"/>
    <s v="2100"/>
    <s v="000"/>
    <x v="4"/>
    <x v="1"/>
  </r>
  <r>
    <d v="2012-02-16T00:00:00"/>
    <s v="018-2210-000"/>
    <s v="Liquor Sales"/>
    <n v="709.45799999999997"/>
    <n v="0"/>
    <s v="Daily Sales Import"/>
    <n v="-709.45799999999997"/>
    <n v="709.45799999999997"/>
    <x v="2"/>
    <s v="2210"/>
    <s v="000"/>
    <x v="4"/>
    <x v="1"/>
  </r>
  <r>
    <d v="2012-02-16T00:00:00"/>
    <s v="018-2220-000"/>
    <s v="Beer Sales"/>
    <n v="91.139999999999986"/>
    <n v="0"/>
    <s v="Daily Sales Import"/>
    <n v="-91.139999999999986"/>
    <n v="91.139999999999986"/>
    <x v="2"/>
    <s v="2220"/>
    <s v="000"/>
    <x v="4"/>
    <x v="1"/>
  </r>
  <r>
    <d v="2012-02-16T00:00:00"/>
    <s v="018-2230-000"/>
    <s v="Wine Sales"/>
    <n v="62.28"/>
    <n v="0"/>
    <s v="Daily Sales Import"/>
    <n v="-62.28"/>
    <n v="62.28"/>
    <x v="2"/>
    <s v="2230"/>
    <s v="000"/>
    <x v="4"/>
    <x v="1"/>
  </r>
  <r>
    <d v="2012-02-17T00:00:00"/>
    <s v="018-2100-000"/>
    <s v="Food Sales"/>
    <n v="7570.41"/>
    <n v="0"/>
    <s v="Daily Sales Import"/>
    <n v="-7570.41"/>
    <n v="7570.41"/>
    <x v="2"/>
    <s v="2100"/>
    <s v="000"/>
    <x v="4"/>
    <x v="1"/>
  </r>
  <r>
    <d v="2012-02-17T00:00:00"/>
    <s v="018-2210-000"/>
    <s v="Liquor Sales"/>
    <n v="3029"/>
    <n v="0"/>
    <s v="Daily Sales Import"/>
    <n v="-3029"/>
    <n v="3029"/>
    <x v="2"/>
    <s v="2210"/>
    <s v="000"/>
    <x v="4"/>
    <x v="1"/>
  </r>
  <r>
    <d v="2012-02-17T00:00:00"/>
    <s v="018-2220-000"/>
    <s v="Beer Sales"/>
    <n v="408.71999999999997"/>
    <n v="0"/>
    <s v="Daily Sales Import"/>
    <n v="-408.71999999999997"/>
    <n v="408.71999999999997"/>
    <x v="2"/>
    <s v="2220"/>
    <s v="000"/>
    <x v="4"/>
    <x v="1"/>
  </r>
  <r>
    <d v="2012-02-17T00:00:00"/>
    <s v="018-2230-000"/>
    <s v="Wine Sales"/>
    <n v="219.096"/>
    <n v="0"/>
    <s v="Daily Sales Import"/>
    <n v="-219.096"/>
    <n v="219.096"/>
    <x v="2"/>
    <s v="2230"/>
    <s v="000"/>
    <x v="4"/>
    <x v="1"/>
  </r>
  <r>
    <d v="2012-02-18T00:00:00"/>
    <s v="018-2100-000"/>
    <s v="Food Sales"/>
    <n v="13090.012499999999"/>
    <n v="0"/>
    <s v="Daily Sales Import"/>
    <n v="-13090.012499999999"/>
    <n v="13090.012499999999"/>
    <x v="2"/>
    <s v="2100"/>
    <s v="000"/>
    <x v="4"/>
    <x v="1"/>
  </r>
  <r>
    <d v="2012-02-18T00:00:00"/>
    <s v="018-2210-000"/>
    <s v="Liquor Sales"/>
    <n v="3480.7999999999997"/>
    <n v="0"/>
    <s v="Daily Sales Import"/>
    <n v="-3480.7999999999997"/>
    <n v="3480.7999999999997"/>
    <x v="2"/>
    <s v="2210"/>
    <s v="000"/>
    <x v="4"/>
    <x v="1"/>
  </r>
  <r>
    <d v="2012-02-18T00:00:00"/>
    <s v="018-2220-000"/>
    <s v="Beer Sales"/>
    <n v="982.52700000000004"/>
    <n v="0"/>
    <s v="Daily Sales Import"/>
    <n v="-982.52700000000004"/>
    <n v="982.52700000000004"/>
    <x v="2"/>
    <s v="2220"/>
    <s v="000"/>
    <x v="4"/>
    <x v="1"/>
  </r>
  <r>
    <d v="2012-02-18T00:00:00"/>
    <s v="018-2230-000"/>
    <s v="Wine Sales"/>
    <n v="178.178"/>
    <n v="0"/>
    <s v="Daily Sales Import"/>
    <n v="-178.178"/>
    <n v="178.178"/>
    <x v="2"/>
    <s v="2230"/>
    <s v="000"/>
    <x v="4"/>
    <x v="1"/>
  </r>
  <r>
    <d v="2012-02-19T00:00:00"/>
    <s v="018-2100-000"/>
    <s v="Food Sales"/>
    <n v="7763.3135999999995"/>
    <n v="0"/>
    <s v="Daily Sales Import"/>
    <n v="-7763.3135999999995"/>
    <n v="7763.3135999999995"/>
    <x v="2"/>
    <s v="2100"/>
    <s v="000"/>
    <x v="4"/>
    <x v="1"/>
  </r>
  <r>
    <d v="2012-02-19T00:00:00"/>
    <s v="018-2210-000"/>
    <s v="Liquor Sales"/>
    <n v="1245.3980000000001"/>
    <n v="0"/>
    <s v="Daily Sales Import"/>
    <n v="-1245.3980000000001"/>
    <n v="1245.3980000000001"/>
    <x v="2"/>
    <s v="2210"/>
    <s v="000"/>
    <x v="4"/>
    <x v="1"/>
  </r>
  <r>
    <d v="2012-02-19T00:00:00"/>
    <s v="018-2220-000"/>
    <s v="Beer Sales"/>
    <n v="334.09800000000001"/>
    <n v="0"/>
    <s v="Daily Sales Import"/>
    <n v="-334.09800000000001"/>
    <n v="334.09800000000001"/>
    <x v="2"/>
    <s v="2220"/>
    <s v="000"/>
    <x v="4"/>
    <x v="1"/>
  </r>
  <r>
    <d v="2012-02-19T00:00:00"/>
    <s v="018-2230-000"/>
    <s v="Wine Sales"/>
    <n v="116.43600000000001"/>
    <n v="0"/>
    <s v="Daily Sales Import"/>
    <n v="-116.43600000000001"/>
    <n v="116.43600000000001"/>
    <x v="2"/>
    <s v="2230"/>
    <s v="000"/>
    <x v="4"/>
    <x v="1"/>
  </r>
  <r>
    <d v="2012-02-20T00:00:00"/>
    <s v="016-2100-000"/>
    <s v="Food Sales"/>
    <n v="5509.4579999999996"/>
    <n v="0"/>
    <s v="Daily Sales Import"/>
    <n v="-5509.4579999999996"/>
    <n v="5509.4579999999996"/>
    <x v="0"/>
    <s v="2100"/>
    <s v="000"/>
    <x v="4"/>
    <x v="1"/>
  </r>
  <r>
    <d v="2012-02-20T00:00:00"/>
    <s v="016-2210-000"/>
    <s v="Liquor Sales"/>
    <n v="890.49400000000003"/>
    <n v="0"/>
    <s v="Daily Sales Import"/>
    <n v="-890.49400000000003"/>
    <n v="890.49400000000003"/>
    <x v="0"/>
    <s v="2210"/>
    <s v="000"/>
    <x v="4"/>
    <x v="1"/>
  </r>
  <r>
    <d v="2012-02-20T00:00:00"/>
    <s v="016-2220-000"/>
    <s v="Beer Sales"/>
    <n v="140.55299999999997"/>
    <n v="0"/>
    <s v="Daily Sales Import"/>
    <n v="-140.55299999999997"/>
    <n v="140.55299999999997"/>
    <x v="0"/>
    <s v="2220"/>
    <s v="000"/>
    <x v="4"/>
    <x v="1"/>
  </r>
  <r>
    <d v="2012-02-20T00:00:00"/>
    <s v="016-2230-000"/>
    <s v="Wine Sales"/>
    <n v="143.565"/>
    <n v="0"/>
    <s v="Daily Sales Import"/>
    <n v="-143.565"/>
    <n v="143.565"/>
    <x v="0"/>
    <s v="2230"/>
    <s v="000"/>
    <x v="4"/>
    <x v="1"/>
  </r>
  <r>
    <d v="2012-02-21T00:00:00"/>
    <s v="016-2100-000"/>
    <s v="Food Sales"/>
    <n v="3600.1598999999997"/>
    <n v="0"/>
    <s v="Daily Sales Import"/>
    <n v="-3600.1598999999997"/>
    <n v="3600.1598999999997"/>
    <x v="0"/>
    <s v="2100"/>
    <s v="000"/>
    <x v="4"/>
    <x v="1"/>
  </r>
  <r>
    <d v="2012-02-21T00:00:00"/>
    <s v="016-2210-000"/>
    <s v="Liquor Sales"/>
    <n v="1401.4087999999999"/>
    <n v="0"/>
    <s v="Daily Sales Import"/>
    <n v="-1401.4087999999999"/>
    <n v="1401.4087999999999"/>
    <x v="0"/>
    <s v="2210"/>
    <s v="000"/>
    <x v="4"/>
    <x v="1"/>
  </r>
  <r>
    <d v="2012-02-21T00:00:00"/>
    <s v="016-2220-000"/>
    <s v="Beer Sales"/>
    <n v="240.46199999999999"/>
    <n v="0"/>
    <s v="Daily Sales Import"/>
    <n v="-240.46199999999999"/>
    <n v="240.46199999999999"/>
    <x v="0"/>
    <s v="2220"/>
    <s v="000"/>
    <x v="4"/>
    <x v="1"/>
  </r>
  <r>
    <d v="2012-02-21T00:00:00"/>
    <s v="016-2230-000"/>
    <s v="Wine Sales"/>
    <n v="173.101"/>
    <n v="0"/>
    <s v="Daily Sales Import"/>
    <n v="-173.101"/>
    <n v="173.101"/>
    <x v="0"/>
    <s v="2230"/>
    <s v="000"/>
    <x v="4"/>
    <x v="1"/>
  </r>
  <r>
    <d v="2012-02-22T00:00:00"/>
    <s v="016-2100-000"/>
    <s v="Food Sales"/>
    <n v="5213.5092000000004"/>
    <n v="0"/>
    <s v="Daily Sales Import"/>
    <n v="-5213.5092000000004"/>
    <n v="5213.5092000000004"/>
    <x v="0"/>
    <s v="2100"/>
    <s v="000"/>
    <x v="4"/>
    <x v="1"/>
  </r>
  <r>
    <d v="2012-02-22T00:00:00"/>
    <s v="016-2210-000"/>
    <s v="Liquor Sales"/>
    <n v="1383.0155"/>
    <n v="0"/>
    <s v="Daily Sales Import"/>
    <n v="-1383.0155"/>
    <n v="1383.0155"/>
    <x v="0"/>
    <s v="2210"/>
    <s v="000"/>
    <x v="4"/>
    <x v="1"/>
  </r>
  <r>
    <d v="2012-02-22T00:00:00"/>
    <s v="016-2220-000"/>
    <s v="Beer Sales"/>
    <n v="171.31199999999998"/>
    <n v="0"/>
    <s v="Daily Sales Import"/>
    <n v="-171.31199999999998"/>
    <n v="171.31199999999998"/>
    <x v="0"/>
    <s v="2220"/>
    <s v="000"/>
    <x v="4"/>
    <x v="1"/>
  </r>
  <r>
    <d v="2012-02-22T00:00:00"/>
    <s v="016-2230-000"/>
    <s v="Wine Sales"/>
    <n v="157.82600000000002"/>
    <n v="0"/>
    <s v="Daily Sales Import"/>
    <n v="-157.82600000000002"/>
    <n v="157.82600000000002"/>
    <x v="0"/>
    <s v="2230"/>
    <s v="000"/>
    <x v="4"/>
    <x v="1"/>
  </r>
  <r>
    <d v="2012-02-23T00:00:00"/>
    <s v="016-2100-000"/>
    <s v="Food Sales"/>
    <n v="3749.7179999999998"/>
    <n v="0"/>
    <s v="Daily Sales Import"/>
    <n v="-3749.7179999999998"/>
    <n v="3749.7179999999998"/>
    <x v="0"/>
    <s v="2100"/>
    <s v="000"/>
    <x v="4"/>
    <x v="1"/>
  </r>
  <r>
    <d v="2012-02-23T00:00:00"/>
    <s v="016-2210-000"/>
    <s v="Liquor Sales"/>
    <n v="1750.4425000000001"/>
    <n v="0"/>
    <s v="Daily Sales Import"/>
    <n v="-1750.4425000000001"/>
    <n v="1750.4425000000001"/>
    <x v="0"/>
    <s v="2210"/>
    <s v="000"/>
    <x v="4"/>
    <x v="1"/>
  </r>
  <r>
    <d v="2012-02-23T00:00:00"/>
    <s v="016-2220-000"/>
    <s v="Beer Sales"/>
    <n v="254.43"/>
    <n v="0"/>
    <s v="Daily Sales Import"/>
    <n v="-254.43"/>
    <n v="254.43"/>
    <x v="0"/>
    <s v="2220"/>
    <s v="000"/>
    <x v="4"/>
    <x v="1"/>
  </r>
  <r>
    <d v="2012-02-23T00:00:00"/>
    <s v="016-2230-000"/>
    <s v="Wine Sales"/>
    <n v="66.497"/>
    <n v="0"/>
    <s v="Daily Sales Import"/>
    <n v="-66.497"/>
    <n v="66.497"/>
    <x v="0"/>
    <s v="2230"/>
    <s v="000"/>
    <x v="4"/>
    <x v="1"/>
  </r>
  <r>
    <d v="2012-02-24T00:00:00"/>
    <s v="016-2100-000"/>
    <s v="Food Sales"/>
    <n v="9187.7759999999998"/>
    <n v="0"/>
    <s v="Daily Sales Import"/>
    <n v="-9187.7759999999998"/>
    <n v="9187.7759999999998"/>
    <x v="0"/>
    <s v="2100"/>
    <s v="000"/>
    <x v="4"/>
    <x v="1"/>
  </r>
  <r>
    <d v="2012-02-24T00:00:00"/>
    <s v="016-2210-000"/>
    <s v="Liquor Sales"/>
    <n v="3349.4880000000003"/>
    <n v="0"/>
    <s v="Daily Sales Import"/>
    <n v="-3349.4880000000003"/>
    <n v="3349.4880000000003"/>
    <x v="0"/>
    <s v="2210"/>
    <s v="000"/>
    <x v="4"/>
    <x v="1"/>
  </r>
  <r>
    <d v="2012-02-24T00:00:00"/>
    <s v="016-2220-000"/>
    <s v="Beer Sales"/>
    <n v="328.14"/>
    <n v="0"/>
    <s v="Daily Sales Import"/>
    <n v="-328.14"/>
    <n v="328.14"/>
    <x v="0"/>
    <s v="2220"/>
    <s v="000"/>
    <x v="4"/>
    <x v="1"/>
  </r>
  <r>
    <d v="2012-02-24T00:00:00"/>
    <s v="016-2230-000"/>
    <s v="Wine Sales"/>
    <n v="214.785"/>
    <n v="0"/>
    <s v="Daily Sales Import"/>
    <n v="-214.785"/>
    <n v="214.785"/>
    <x v="0"/>
    <s v="2230"/>
    <s v="000"/>
    <x v="4"/>
    <x v="1"/>
  </r>
  <r>
    <d v="2012-02-25T00:00:00"/>
    <s v="016-2100-000"/>
    <s v="Food Sales"/>
    <n v="7843.6575000000003"/>
    <n v="0"/>
    <s v="Daily Sales Import"/>
    <n v="-7843.6575000000003"/>
    <n v="7843.6575000000003"/>
    <x v="0"/>
    <s v="2100"/>
    <s v="000"/>
    <x v="4"/>
    <x v="1"/>
  </r>
  <r>
    <d v="2012-02-25T00:00:00"/>
    <s v="016-2210-000"/>
    <s v="Liquor Sales"/>
    <n v="3290.0160000000001"/>
    <n v="0"/>
    <s v="Daily Sales Import"/>
    <n v="-3290.0160000000001"/>
    <n v="3290.0160000000001"/>
    <x v="0"/>
    <s v="2210"/>
    <s v="000"/>
    <x v="4"/>
    <x v="1"/>
  </r>
  <r>
    <d v="2012-02-25T00:00:00"/>
    <s v="016-2220-000"/>
    <s v="Beer Sales"/>
    <n v="684.495"/>
    <n v="0"/>
    <s v="Daily Sales Import"/>
    <n v="-684.495"/>
    <n v="684.495"/>
    <x v="0"/>
    <s v="2220"/>
    <s v="000"/>
    <x v="4"/>
    <x v="1"/>
  </r>
  <r>
    <d v="2012-02-25T00:00:00"/>
    <s v="016-2230-000"/>
    <s v="Wine Sales"/>
    <n v="270.93599999999998"/>
    <n v="0"/>
    <s v="Daily Sales Import"/>
    <n v="-270.93599999999998"/>
    <n v="270.93599999999998"/>
    <x v="0"/>
    <s v="2230"/>
    <s v="000"/>
    <x v="4"/>
    <x v="1"/>
  </r>
  <r>
    <d v="2012-02-26T00:00:00"/>
    <s v="016-2100-000"/>
    <s v="Food Sales"/>
    <n v="6080.1895000000004"/>
    <n v="0"/>
    <s v="Daily Sales Import"/>
    <n v="-6080.1895000000004"/>
    <n v="6080.1895000000004"/>
    <x v="0"/>
    <s v="2100"/>
    <s v="000"/>
    <x v="4"/>
    <x v="1"/>
  </r>
  <r>
    <d v="2012-02-26T00:00:00"/>
    <s v="016-2210-000"/>
    <s v="Liquor Sales"/>
    <n v="2159.5030000000002"/>
    <n v="0"/>
    <s v="Daily Sales Import"/>
    <n v="-2159.5030000000002"/>
    <n v="2159.5030000000002"/>
    <x v="0"/>
    <s v="2210"/>
    <s v="000"/>
    <x v="4"/>
    <x v="1"/>
  </r>
  <r>
    <d v="2012-02-26T00:00:00"/>
    <s v="016-2220-000"/>
    <s v="Beer Sales"/>
    <n v="278.88000000000005"/>
    <n v="0"/>
    <s v="Daily Sales Import"/>
    <n v="-278.88000000000005"/>
    <n v="278.88000000000005"/>
    <x v="0"/>
    <s v="2220"/>
    <s v="000"/>
    <x v="4"/>
    <x v="1"/>
  </r>
  <r>
    <d v="2012-02-26T00:00:00"/>
    <s v="016-2230-000"/>
    <s v="Wine Sales"/>
    <n v="177.16099999999997"/>
    <n v="0"/>
    <s v="Daily Sales Import"/>
    <n v="-177.16099999999997"/>
    <n v="177.16099999999997"/>
    <x v="0"/>
    <s v="2230"/>
    <s v="000"/>
    <x v="4"/>
    <x v="1"/>
  </r>
  <r>
    <d v="2012-02-20T00:00:00"/>
    <s v="017-2100-000"/>
    <s v="Food Sales"/>
    <n v="4283.3940000000002"/>
    <n v="0"/>
    <s v="Daily Sales Import"/>
    <n v="-4283.3940000000002"/>
    <n v="4283.3940000000002"/>
    <x v="1"/>
    <s v="2100"/>
    <s v="000"/>
    <x v="4"/>
    <x v="1"/>
  </r>
  <r>
    <d v="2012-02-20T00:00:00"/>
    <s v="017-2210-000"/>
    <s v="Liquor Sales"/>
    <n v="915.38200000000018"/>
    <n v="0"/>
    <s v="Daily Sales Import"/>
    <n v="-915.38200000000018"/>
    <n v="915.38200000000018"/>
    <x v="1"/>
    <s v="2210"/>
    <s v="000"/>
    <x v="4"/>
    <x v="1"/>
  </r>
  <r>
    <d v="2012-02-20T00:00:00"/>
    <s v="017-2220-000"/>
    <s v="Beer Sales"/>
    <n v="325.62"/>
    <n v="0"/>
    <s v="Daily Sales Import"/>
    <n v="-325.62"/>
    <n v="325.62"/>
    <x v="1"/>
    <s v="2220"/>
    <s v="000"/>
    <x v="4"/>
    <x v="1"/>
  </r>
  <r>
    <d v="2012-02-20T00:00:00"/>
    <s v="017-2230-000"/>
    <s v="Wine Sales"/>
    <n v="68.105500000000006"/>
    <n v="0"/>
    <s v="Daily Sales Import"/>
    <n v="-68.105500000000006"/>
    <n v="68.105500000000006"/>
    <x v="1"/>
    <s v="2230"/>
    <s v="000"/>
    <x v="4"/>
    <x v="1"/>
  </r>
  <r>
    <d v="2012-02-21T00:00:00"/>
    <s v="017-2100-000"/>
    <s v="Food Sales"/>
    <n v="5453.8440000000001"/>
    <n v="0"/>
    <s v="Daily Sales Import"/>
    <n v="-5453.8440000000001"/>
    <n v="5453.8440000000001"/>
    <x v="1"/>
    <s v="2100"/>
    <s v="000"/>
    <x v="4"/>
    <x v="1"/>
  </r>
  <r>
    <d v="2012-02-21T00:00:00"/>
    <s v="017-2210-000"/>
    <s v="Liquor Sales"/>
    <n v="1214.9835"/>
    <n v="0"/>
    <s v="Daily Sales Import"/>
    <n v="-1214.9835"/>
    <n v="1214.9835"/>
    <x v="1"/>
    <s v="2210"/>
    <s v="000"/>
    <x v="4"/>
    <x v="1"/>
  </r>
  <r>
    <d v="2012-02-21T00:00:00"/>
    <s v="017-2220-000"/>
    <s v="Beer Sales"/>
    <n v="355.98750000000001"/>
    <n v="0"/>
    <s v="Daily Sales Import"/>
    <n v="-355.98750000000001"/>
    <n v="355.98750000000001"/>
    <x v="1"/>
    <s v="2220"/>
    <s v="000"/>
    <x v="4"/>
    <x v="1"/>
  </r>
  <r>
    <d v="2012-02-21T00:00:00"/>
    <s v="017-2230-000"/>
    <s v="Wine Sales"/>
    <n v="91.552499999999995"/>
    <n v="0"/>
    <s v="Daily Sales Import"/>
    <n v="-91.552499999999995"/>
    <n v="91.552499999999995"/>
    <x v="1"/>
    <s v="2230"/>
    <s v="000"/>
    <x v="4"/>
    <x v="1"/>
  </r>
  <r>
    <d v="2012-02-22T00:00:00"/>
    <s v="017-2100-000"/>
    <s v="Food Sales"/>
    <n v="5335.6379999999999"/>
    <n v="0"/>
    <s v="Daily Sales Import"/>
    <n v="-5335.6379999999999"/>
    <n v="5335.6379999999999"/>
    <x v="1"/>
    <s v="2100"/>
    <s v="000"/>
    <x v="4"/>
    <x v="1"/>
  </r>
  <r>
    <d v="2012-02-22T00:00:00"/>
    <s v="017-2210-000"/>
    <s v="Liquor Sales"/>
    <n v="1166.8020000000001"/>
    <n v="0"/>
    <s v="Daily Sales Import"/>
    <n v="-1166.8020000000001"/>
    <n v="1166.8020000000001"/>
    <x v="1"/>
    <s v="2210"/>
    <s v="000"/>
    <x v="4"/>
    <x v="1"/>
  </r>
  <r>
    <d v="2012-02-22T00:00:00"/>
    <s v="017-2220-000"/>
    <s v="Beer Sales"/>
    <n v="385.7525"/>
    <n v="0"/>
    <s v="Daily Sales Import"/>
    <n v="-385.7525"/>
    <n v="385.7525"/>
    <x v="1"/>
    <s v="2220"/>
    <s v="000"/>
    <x v="4"/>
    <x v="1"/>
  </r>
  <r>
    <d v="2012-02-22T00:00:00"/>
    <s v="017-2230-000"/>
    <s v="Wine Sales"/>
    <n v="73.672499999999999"/>
    <n v="0"/>
    <s v="Daily Sales Import"/>
    <n v="-73.672499999999999"/>
    <n v="73.672499999999999"/>
    <x v="1"/>
    <s v="2230"/>
    <s v="000"/>
    <x v="4"/>
    <x v="1"/>
  </r>
  <r>
    <d v="2012-02-23T00:00:00"/>
    <s v="017-2100-000"/>
    <s v="Food Sales"/>
    <n v="4685.8490000000002"/>
    <n v="0"/>
    <s v="Daily Sales Import"/>
    <n v="-4685.8490000000002"/>
    <n v="4685.8490000000002"/>
    <x v="1"/>
    <s v="2100"/>
    <s v="000"/>
    <x v="4"/>
    <x v="1"/>
  </r>
  <r>
    <d v="2012-02-23T00:00:00"/>
    <s v="017-2210-000"/>
    <s v="Liquor Sales"/>
    <n v="1197.152"/>
    <n v="0"/>
    <s v="Daily Sales Import"/>
    <n v="-1197.152"/>
    <n v="1197.152"/>
    <x v="1"/>
    <s v="2210"/>
    <s v="000"/>
    <x v="4"/>
    <x v="1"/>
  </r>
  <r>
    <d v="2012-02-23T00:00:00"/>
    <s v="017-2220-000"/>
    <s v="Beer Sales"/>
    <n v="447.47999999999996"/>
    <n v="0"/>
    <s v="Daily Sales Import"/>
    <n v="-447.47999999999996"/>
    <n v="447.47999999999996"/>
    <x v="1"/>
    <s v="2220"/>
    <s v="000"/>
    <x v="4"/>
    <x v="1"/>
  </r>
  <r>
    <d v="2012-02-23T00:00:00"/>
    <s v="017-2230-000"/>
    <s v="Wine Sales"/>
    <n v="128.64500000000001"/>
    <n v="0"/>
    <s v="Daily Sales Import"/>
    <n v="-128.64500000000001"/>
    <n v="128.64500000000001"/>
    <x v="1"/>
    <s v="2230"/>
    <s v="000"/>
    <x v="4"/>
    <x v="1"/>
  </r>
  <r>
    <d v="2012-02-24T00:00:00"/>
    <s v="017-2100-000"/>
    <s v="Food Sales"/>
    <n v="7298.8140000000003"/>
    <n v="0"/>
    <s v="Daily Sales Import"/>
    <n v="-7298.8140000000003"/>
    <n v="7298.8140000000003"/>
    <x v="1"/>
    <s v="2100"/>
    <s v="000"/>
    <x v="4"/>
    <x v="1"/>
  </r>
  <r>
    <d v="2012-02-24T00:00:00"/>
    <s v="017-2210-000"/>
    <s v="Liquor Sales"/>
    <n v="3115.2239999999997"/>
    <n v="0"/>
    <s v="Daily Sales Import"/>
    <n v="-3115.2239999999997"/>
    <n v="3115.2239999999997"/>
    <x v="1"/>
    <s v="2210"/>
    <s v="000"/>
    <x v="4"/>
    <x v="1"/>
  </r>
  <r>
    <d v="2012-02-24T00:00:00"/>
    <s v="017-2220-000"/>
    <s v="Beer Sales"/>
    <n v="568.9325"/>
    <n v="0"/>
    <s v="Daily Sales Import"/>
    <n v="-568.9325"/>
    <n v="568.9325"/>
    <x v="1"/>
    <s v="2220"/>
    <s v="000"/>
    <x v="4"/>
    <x v="1"/>
  </r>
  <r>
    <d v="2012-02-24T00:00:00"/>
    <s v="017-2230-000"/>
    <s v="Wine Sales"/>
    <n v="184.5"/>
    <n v="0"/>
    <s v="Daily Sales Import"/>
    <n v="-184.5"/>
    <n v="184.5"/>
    <x v="1"/>
    <s v="2230"/>
    <s v="000"/>
    <x v="4"/>
    <x v="1"/>
  </r>
  <r>
    <d v="2012-02-25T00:00:00"/>
    <s v="017-2100-000"/>
    <s v="Food Sales"/>
    <n v="8921.2050000000017"/>
    <n v="0"/>
    <s v="Daily Sales Import"/>
    <n v="-8921.2050000000017"/>
    <n v="8921.2050000000017"/>
    <x v="1"/>
    <s v="2100"/>
    <s v="000"/>
    <x v="4"/>
    <x v="1"/>
  </r>
  <r>
    <d v="2012-02-25T00:00:00"/>
    <s v="017-2210-000"/>
    <s v="Liquor Sales"/>
    <n v="2373.3240000000001"/>
    <n v="0"/>
    <s v="Daily Sales Import"/>
    <n v="-2373.3240000000001"/>
    <n v="2373.3240000000001"/>
    <x v="1"/>
    <s v="2210"/>
    <s v="000"/>
    <x v="4"/>
    <x v="1"/>
  </r>
  <r>
    <d v="2012-02-25T00:00:00"/>
    <s v="017-2220-000"/>
    <s v="Beer Sales"/>
    <n v="388.8"/>
    <n v="0"/>
    <s v="Daily Sales Import"/>
    <n v="-388.8"/>
    <n v="388.8"/>
    <x v="1"/>
    <s v="2220"/>
    <s v="000"/>
    <x v="4"/>
    <x v="1"/>
  </r>
  <r>
    <d v="2012-02-25T00:00:00"/>
    <s v="017-2230-000"/>
    <s v="Wine Sales"/>
    <n v="80.033500000000004"/>
    <n v="0"/>
    <s v="Daily Sales Import"/>
    <n v="-80.033500000000004"/>
    <n v="80.033500000000004"/>
    <x v="1"/>
    <s v="2230"/>
    <s v="000"/>
    <x v="4"/>
    <x v="1"/>
  </r>
  <r>
    <d v="2012-02-26T00:00:00"/>
    <s v="017-2100-000"/>
    <s v="Food Sales"/>
    <n v="3306.3224999999998"/>
    <n v="0"/>
    <s v="Daily Sales Import"/>
    <n v="-3306.3224999999998"/>
    <n v="3306.3224999999998"/>
    <x v="1"/>
    <s v="2100"/>
    <s v="000"/>
    <x v="4"/>
    <x v="1"/>
  </r>
  <r>
    <d v="2012-02-26T00:00:00"/>
    <s v="017-2210-000"/>
    <s v="Liquor Sales"/>
    <n v="914.048"/>
    <n v="0"/>
    <s v="Daily Sales Import"/>
    <n v="-914.048"/>
    <n v="914.048"/>
    <x v="1"/>
    <s v="2210"/>
    <s v="000"/>
    <x v="4"/>
    <x v="1"/>
  </r>
  <r>
    <d v="2012-02-26T00:00:00"/>
    <s v="017-2220-000"/>
    <s v="Beer Sales"/>
    <n v="162.83499999999998"/>
    <n v="0"/>
    <s v="Daily Sales Import"/>
    <n v="-162.83499999999998"/>
    <n v="162.83499999999998"/>
    <x v="1"/>
    <s v="2220"/>
    <s v="000"/>
    <x v="4"/>
    <x v="1"/>
  </r>
  <r>
    <d v="2012-02-26T00:00:00"/>
    <s v="017-2230-000"/>
    <s v="Wine Sales"/>
    <n v="62.88"/>
    <n v="0"/>
    <s v="Daily Sales Import"/>
    <n v="-62.88"/>
    <n v="62.88"/>
    <x v="1"/>
    <s v="2230"/>
    <s v="000"/>
    <x v="4"/>
    <x v="1"/>
  </r>
  <r>
    <d v="2012-02-20T00:00:00"/>
    <s v="018-2100-000"/>
    <s v="Food Sales"/>
    <n v="6568.7329999999993"/>
    <n v="0"/>
    <s v="Daily Sales Import"/>
    <n v="-6568.7329999999993"/>
    <n v="6568.7329999999993"/>
    <x v="2"/>
    <s v="2100"/>
    <s v="000"/>
    <x v="4"/>
    <x v="1"/>
  </r>
  <r>
    <d v="2012-02-20T00:00:00"/>
    <s v="018-2210-000"/>
    <s v="Liquor Sales"/>
    <n v="934.18499999999995"/>
    <n v="0"/>
    <s v="Daily Sales Import"/>
    <n v="-934.18499999999995"/>
    <n v="934.18499999999995"/>
    <x v="2"/>
    <s v="2210"/>
    <s v="000"/>
    <x v="4"/>
    <x v="1"/>
  </r>
  <r>
    <d v="2012-02-20T00:00:00"/>
    <s v="018-2220-000"/>
    <s v="Beer Sales"/>
    <n v="278.964"/>
    <n v="0"/>
    <s v="Daily Sales Import"/>
    <n v="-278.964"/>
    <n v="278.964"/>
    <x v="2"/>
    <s v="2220"/>
    <s v="000"/>
    <x v="4"/>
    <x v="1"/>
  </r>
  <r>
    <d v="2012-02-20T00:00:00"/>
    <s v="018-2230-000"/>
    <s v="Wine Sales"/>
    <n v="59.8675"/>
    <n v="0"/>
    <s v="Daily Sales Import"/>
    <n v="-59.8675"/>
    <n v="59.8675"/>
    <x v="2"/>
    <s v="2230"/>
    <s v="000"/>
    <x v="4"/>
    <x v="1"/>
  </r>
  <r>
    <d v="2012-02-21T00:00:00"/>
    <s v="018-2100-000"/>
    <s v="Food Sales"/>
    <n v="3305.5819999999999"/>
    <n v="0"/>
    <s v="Daily Sales Import"/>
    <n v="-3305.5819999999999"/>
    <n v="3305.5819999999999"/>
    <x v="2"/>
    <s v="2100"/>
    <s v="000"/>
    <x v="4"/>
    <x v="1"/>
  </r>
  <r>
    <d v="2012-02-21T00:00:00"/>
    <s v="018-2210-000"/>
    <s v="Liquor Sales"/>
    <n v="346.40100000000001"/>
    <n v="0"/>
    <s v="Daily Sales Import"/>
    <n v="-346.40100000000001"/>
    <n v="346.40100000000001"/>
    <x v="2"/>
    <s v="2210"/>
    <s v="000"/>
    <x v="4"/>
    <x v="1"/>
  </r>
  <r>
    <d v="2012-02-21T00:00:00"/>
    <s v="018-2220-000"/>
    <s v="Beer Sales"/>
    <n v="168.965"/>
    <n v="0"/>
    <s v="Daily Sales Import"/>
    <n v="-168.965"/>
    <n v="168.965"/>
    <x v="2"/>
    <s v="2220"/>
    <s v="000"/>
    <x v="4"/>
    <x v="1"/>
  </r>
  <r>
    <d v="2012-02-21T00:00:00"/>
    <s v="018-2230-000"/>
    <s v="Wine Sales"/>
    <n v="5.2930000000000001"/>
    <n v="0"/>
    <s v="Daily Sales Import"/>
    <n v="-5.2930000000000001"/>
    <n v="5.2930000000000001"/>
    <x v="2"/>
    <s v="2230"/>
    <s v="000"/>
    <x v="4"/>
    <x v="1"/>
  </r>
  <r>
    <d v="2012-02-22T00:00:00"/>
    <s v="018-2100-000"/>
    <s v="Food Sales"/>
    <n v="3848.8869999999997"/>
    <n v="0"/>
    <s v="Daily Sales Import"/>
    <n v="-3848.8869999999997"/>
    <n v="3848.8869999999997"/>
    <x v="2"/>
    <s v="2100"/>
    <s v="000"/>
    <x v="4"/>
    <x v="1"/>
  </r>
  <r>
    <d v="2012-02-22T00:00:00"/>
    <s v="018-2210-000"/>
    <s v="Liquor Sales"/>
    <n v="602.31000000000006"/>
    <n v="0"/>
    <s v="Daily Sales Import"/>
    <n v="-602.31000000000006"/>
    <n v="602.31000000000006"/>
    <x v="2"/>
    <s v="2210"/>
    <s v="000"/>
    <x v="4"/>
    <x v="1"/>
  </r>
  <r>
    <d v="2012-02-22T00:00:00"/>
    <s v="018-2220-000"/>
    <s v="Beer Sales"/>
    <n v="193.6575"/>
    <n v="0"/>
    <s v="Daily Sales Import"/>
    <n v="-193.6575"/>
    <n v="193.6575"/>
    <x v="2"/>
    <s v="2220"/>
    <s v="000"/>
    <x v="4"/>
    <x v="1"/>
  </r>
  <r>
    <d v="2012-02-22T00:00:00"/>
    <s v="018-2230-000"/>
    <s v="Wine Sales"/>
    <n v="14.1645"/>
    <n v="0"/>
    <s v="Daily Sales Import"/>
    <n v="-14.1645"/>
    <n v="14.1645"/>
    <x v="2"/>
    <s v="2230"/>
    <s v="000"/>
    <x v="4"/>
    <x v="1"/>
  </r>
  <r>
    <d v="2012-02-23T00:00:00"/>
    <s v="018-2100-000"/>
    <s v="Food Sales"/>
    <n v="4933.53"/>
    <n v="0"/>
    <s v="Daily Sales Import"/>
    <n v="-4933.53"/>
    <n v="4933.53"/>
    <x v="2"/>
    <s v="2100"/>
    <s v="000"/>
    <x v="4"/>
    <x v="1"/>
  </r>
  <r>
    <d v="2012-02-23T00:00:00"/>
    <s v="018-2210-000"/>
    <s v="Liquor Sales"/>
    <n v="756.68849999999998"/>
    <n v="0"/>
    <s v="Daily Sales Import"/>
    <n v="-756.68849999999998"/>
    <n v="756.68849999999998"/>
    <x v="2"/>
    <s v="2210"/>
    <s v="000"/>
    <x v="4"/>
    <x v="1"/>
  </r>
  <r>
    <d v="2012-02-23T00:00:00"/>
    <s v="018-2220-000"/>
    <s v="Beer Sales"/>
    <n v="162"/>
    <n v="0"/>
    <s v="Daily Sales Import"/>
    <n v="-162"/>
    <n v="162"/>
    <x v="2"/>
    <s v="2220"/>
    <s v="000"/>
    <x v="4"/>
    <x v="1"/>
  </r>
  <r>
    <d v="2012-02-23T00:00:00"/>
    <s v="018-2230-000"/>
    <s v="Wine Sales"/>
    <n v="39.887999999999998"/>
    <n v="0"/>
    <s v="Daily Sales Import"/>
    <n v="-39.887999999999998"/>
    <n v="39.887999999999998"/>
    <x v="2"/>
    <s v="2230"/>
    <s v="000"/>
    <x v="4"/>
    <x v="1"/>
  </r>
  <r>
    <d v="2012-02-24T00:00:00"/>
    <s v="018-2100-000"/>
    <s v="Food Sales"/>
    <n v="9290.3040000000001"/>
    <n v="0"/>
    <s v="Daily Sales Import"/>
    <n v="-9290.3040000000001"/>
    <n v="9290.3040000000001"/>
    <x v="2"/>
    <s v="2100"/>
    <s v="000"/>
    <x v="4"/>
    <x v="1"/>
  </r>
  <r>
    <d v="2012-02-24T00:00:00"/>
    <s v="018-2210-000"/>
    <s v="Liquor Sales"/>
    <n v="1939.6839999999997"/>
    <n v="0"/>
    <s v="Daily Sales Import"/>
    <n v="-1939.6839999999997"/>
    <n v="1939.6839999999997"/>
    <x v="2"/>
    <s v="2210"/>
    <s v="000"/>
    <x v="4"/>
    <x v="1"/>
  </r>
  <r>
    <d v="2012-02-24T00:00:00"/>
    <s v="018-2220-000"/>
    <s v="Beer Sales"/>
    <n v="380.19599999999997"/>
    <n v="0"/>
    <s v="Daily Sales Import"/>
    <n v="-380.19599999999997"/>
    <n v="380.19599999999997"/>
    <x v="2"/>
    <s v="2220"/>
    <s v="000"/>
    <x v="4"/>
    <x v="1"/>
  </r>
  <r>
    <d v="2012-02-24T00:00:00"/>
    <s v="018-2230-000"/>
    <s v="Wine Sales"/>
    <n v="76.497"/>
    <n v="0"/>
    <s v="Daily Sales Import"/>
    <n v="-76.497"/>
    <n v="76.497"/>
    <x v="2"/>
    <s v="2230"/>
    <s v="000"/>
    <x v="4"/>
    <x v="1"/>
  </r>
  <r>
    <d v="2012-02-25T00:00:00"/>
    <s v="018-2100-000"/>
    <s v="Food Sales"/>
    <n v="9426.15"/>
    <n v="0"/>
    <s v="Daily Sales Import"/>
    <n v="-9426.15"/>
    <n v="9426.15"/>
    <x v="2"/>
    <s v="2100"/>
    <s v="000"/>
    <x v="4"/>
    <x v="1"/>
  </r>
  <r>
    <d v="2012-02-25T00:00:00"/>
    <s v="018-2210-000"/>
    <s v="Liquor Sales"/>
    <n v="2358.252"/>
    <n v="0"/>
    <s v="Daily Sales Import"/>
    <n v="-2358.252"/>
    <n v="2358.252"/>
    <x v="2"/>
    <s v="2210"/>
    <s v="000"/>
    <x v="4"/>
    <x v="1"/>
  </r>
  <r>
    <d v="2012-02-25T00:00:00"/>
    <s v="018-2220-000"/>
    <s v="Beer Sales"/>
    <n v="410.96699999999998"/>
    <n v="0"/>
    <s v="Daily Sales Import"/>
    <n v="-410.96699999999998"/>
    <n v="410.96699999999998"/>
    <x v="2"/>
    <s v="2220"/>
    <s v="000"/>
    <x v="4"/>
    <x v="1"/>
  </r>
  <r>
    <d v="2012-02-25T00:00:00"/>
    <s v="018-2230-000"/>
    <s v="Wine Sales"/>
    <n v="105.36999999999999"/>
    <n v="0"/>
    <s v="Daily Sales Import"/>
    <n v="-105.36999999999999"/>
    <n v="105.36999999999999"/>
    <x v="2"/>
    <s v="2230"/>
    <s v="000"/>
    <x v="4"/>
    <x v="1"/>
  </r>
  <r>
    <d v="2012-02-26T00:00:00"/>
    <s v="018-2100-000"/>
    <s v="Food Sales"/>
    <n v="7547.9949999999999"/>
    <n v="0"/>
    <s v="Daily Sales Import"/>
    <n v="-7547.9949999999999"/>
    <n v="7547.9949999999999"/>
    <x v="2"/>
    <s v="2100"/>
    <s v="000"/>
    <x v="4"/>
    <x v="1"/>
  </r>
  <r>
    <d v="2012-02-26T00:00:00"/>
    <s v="018-2210-000"/>
    <s v="Liquor Sales"/>
    <n v="1389.0149999999999"/>
    <n v="0"/>
    <s v="Daily Sales Import"/>
    <n v="-1389.0149999999999"/>
    <n v="1389.0149999999999"/>
    <x v="2"/>
    <s v="2210"/>
    <s v="000"/>
    <x v="4"/>
    <x v="1"/>
  </r>
  <r>
    <d v="2012-02-26T00:00:00"/>
    <s v="018-2220-000"/>
    <s v="Beer Sales"/>
    <n v="257.92199999999997"/>
    <n v="0"/>
    <s v="Daily Sales Import"/>
    <n v="-257.92199999999997"/>
    <n v="257.92199999999997"/>
    <x v="2"/>
    <s v="2220"/>
    <s v="000"/>
    <x v="4"/>
    <x v="1"/>
  </r>
  <r>
    <d v="2012-02-26T00:00:00"/>
    <s v="018-2230-000"/>
    <s v="Wine Sales"/>
    <n v="71.376499999999993"/>
    <n v="0"/>
    <s v="Daily Sales Import"/>
    <n v="-71.376499999999993"/>
    <n v="71.376499999999993"/>
    <x v="2"/>
    <s v="2230"/>
    <s v="000"/>
    <x v="4"/>
    <x v="1"/>
  </r>
  <r>
    <d v="2012-02-27T00:00:00"/>
    <s v="016-2100-000"/>
    <s v="Food Sales"/>
    <n v="2987.1325999999999"/>
    <n v="0"/>
    <s v="Daily Sales Import"/>
    <n v="-2987.1325999999999"/>
    <n v="2987.1325999999999"/>
    <x v="0"/>
    <s v="2100"/>
    <s v="000"/>
    <x v="4"/>
    <x v="1"/>
  </r>
  <r>
    <d v="2012-02-27T00:00:00"/>
    <s v="016-2210-000"/>
    <s v="Liquor Sales"/>
    <n v="482.35699999999997"/>
    <n v="0"/>
    <s v="Daily Sales Import"/>
    <n v="-482.35699999999997"/>
    <n v="482.35699999999997"/>
    <x v="0"/>
    <s v="2210"/>
    <s v="000"/>
    <x v="4"/>
    <x v="1"/>
  </r>
  <r>
    <d v="2012-02-27T00:00:00"/>
    <s v="016-2220-000"/>
    <s v="Beer Sales"/>
    <n v="292.18950000000001"/>
    <n v="0"/>
    <s v="Daily Sales Import"/>
    <n v="-292.18950000000001"/>
    <n v="292.18950000000001"/>
    <x v="0"/>
    <s v="2220"/>
    <s v="000"/>
    <x v="4"/>
    <x v="1"/>
  </r>
  <r>
    <d v="2012-02-27T00:00:00"/>
    <s v="016-2230-000"/>
    <s v="Wine Sales"/>
    <n v="23.156999999999996"/>
    <n v="0"/>
    <s v="Daily Sales Import"/>
    <n v="-23.156999999999996"/>
    <n v="23.156999999999996"/>
    <x v="0"/>
    <s v="2230"/>
    <s v="000"/>
    <x v="4"/>
    <x v="1"/>
  </r>
  <r>
    <d v="2012-02-28T00:00:00"/>
    <s v="016-2100-000"/>
    <s v="Food Sales"/>
    <n v="2772.1736000000005"/>
    <n v="0"/>
    <s v="Daily Sales Import"/>
    <n v="-2772.1736000000005"/>
    <n v="2772.1736000000005"/>
    <x v="0"/>
    <s v="2100"/>
    <s v="000"/>
    <x v="4"/>
    <x v="1"/>
  </r>
  <r>
    <d v="2012-02-28T00:00:00"/>
    <s v="016-2210-000"/>
    <s v="Liquor Sales"/>
    <n v="1214.673"/>
    <n v="0"/>
    <s v="Daily Sales Import"/>
    <n v="-1214.673"/>
    <n v="1214.673"/>
    <x v="0"/>
    <s v="2210"/>
    <s v="000"/>
    <x v="4"/>
    <x v="1"/>
  </r>
  <r>
    <d v="2012-02-28T00:00:00"/>
    <s v="016-2220-000"/>
    <s v="Beer Sales"/>
    <n v="177.9375"/>
    <n v="0"/>
    <s v="Daily Sales Import"/>
    <n v="-177.9375"/>
    <n v="177.9375"/>
    <x v="0"/>
    <s v="2220"/>
    <s v="000"/>
    <x v="4"/>
    <x v="1"/>
  </r>
  <r>
    <d v="2012-02-28T00:00:00"/>
    <s v="016-2230-000"/>
    <s v="Wine Sales"/>
    <n v="89.407499999999999"/>
    <n v="0"/>
    <s v="Daily Sales Import"/>
    <n v="-89.407499999999999"/>
    <n v="89.407499999999999"/>
    <x v="0"/>
    <s v="2230"/>
    <s v="000"/>
    <x v="4"/>
    <x v="1"/>
  </r>
  <r>
    <d v="2012-02-29T00:00:00"/>
    <s v="016-2100-000"/>
    <s v="Food Sales"/>
    <n v="3578.46"/>
    <n v="0"/>
    <s v="Daily Sales Import"/>
    <n v="-3578.46"/>
    <n v="3578.46"/>
    <x v="0"/>
    <s v="2100"/>
    <s v="000"/>
    <x v="4"/>
    <x v="1"/>
  </r>
  <r>
    <d v="2012-02-29T00:00:00"/>
    <s v="016-2210-000"/>
    <s v="Liquor Sales"/>
    <n v="1147.3504999999998"/>
    <n v="0"/>
    <s v="Daily Sales Import"/>
    <n v="-1147.3504999999998"/>
    <n v="1147.3504999999998"/>
    <x v="0"/>
    <s v="2210"/>
    <s v="000"/>
    <x v="4"/>
    <x v="1"/>
  </r>
  <r>
    <d v="2012-02-29T00:00:00"/>
    <s v="016-2220-000"/>
    <s v="Beer Sales"/>
    <n v="177.792"/>
    <n v="0"/>
    <s v="Daily Sales Import"/>
    <n v="-177.792"/>
    <n v="177.792"/>
    <x v="0"/>
    <s v="2220"/>
    <s v="000"/>
    <x v="4"/>
    <x v="1"/>
  </r>
  <r>
    <d v="2012-02-29T00:00:00"/>
    <s v="016-2230-000"/>
    <s v="Wine Sales"/>
    <n v="175.18"/>
    <n v="0"/>
    <s v="Daily Sales Import"/>
    <n v="-175.18"/>
    <n v="175.18"/>
    <x v="0"/>
    <s v="2230"/>
    <s v="000"/>
    <x v="4"/>
    <x v="1"/>
  </r>
  <r>
    <d v="2012-03-01T00:00:00"/>
    <s v="016-2100-000"/>
    <s v="Food Sales"/>
    <n v="3854.8445999999994"/>
    <n v="0"/>
    <s v="Daily Sales Import"/>
    <n v="-3854.8445999999994"/>
    <n v="3854.8445999999994"/>
    <x v="0"/>
    <s v="2100"/>
    <s v="000"/>
    <x v="5"/>
    <x v="1"/>
  </r>
  <r>
    <d v="2012-03-01T00:00:00"/>
    <s v="016-2210-000"/>
    <s v="Liquor Sales"/>
    <n v="1097.0640000000001"/>
    <n v="0"/>
    <s v="Daily Sales Import"/>
    <n v="-1097.0640000000001"/>
    <n v="1097.0640000000001"/>
    <x v="0"/>
    <s v="2210"/>
    <s v="000"/>
    <x v="5"/>
    <x v="1"/>
  </r>
  <r>
    <d v="2012-03-01T00:00:00"/>
    <s v="016-2220-000"/>
    <s v="Beer Sales"/>
    <n v="240.8175"/>
    <n v="0"/>
    <s v="Daily Sales Import"/>
    <n v="-240.8175"/>
    <n v="240.8175"/>
    <x v="0"/>
    <s v="2220"/>
    <s v="000"/>
    <x v="5"/>
    <x v="1"/>
  </r>
  <r>
    <d v="2012-03-01T00:00:00"/>
    <s v="016-2230-000"/>
    <s v="Wine Sales"/>
    <n v="105.26400000000001"/>
    <n v="0"/>
    <s v="Daily Sales Import"/>
    <n v="-105.26400000000001"/>
    <n v="105.26400000000001"/>
    <x v="0"/>
    <s v="2230"/>
    <s v="000"/>
    <x v="5"/>
    <x v="1"/>
  </r>
  <r>
    <d v="2012-03-02T00:00:00"/>
    <s v="016-2100-000"/>
    <s v="Food Sales"/>
    <n v="8913.08"/>
    <n v="0"/>
    <s v="Daily Sales Import"/>
    <n v="-8913.08"/>
    <n v="8913.08"/>
    <x v="0"/>
    <s v="2100"/>
    <s v="000"/>
    <x v="5"/>
    <x v="1"/>
  </r>
  <r>
    <d v="2012-03-02T00:00:00"/>
    <s v="016-2210-000"/>
    <s v="Liquor Sales"/>
    <n v="4487.3729999999996"/>
    <n v="0"/>
    <s v="Daily Sales Import"/>
    <n v="-4487.3729999999996"/>
    <n v="4487.3729999999996"/>
    <x v="0"/>
    <s v="2210"/>
    <s v="000"/>
    <x v="5"/>
    <x v="1"/>
  </r>
  <r>
    <d v="2012-03-02T00:00:00"/>
    <s v="016-2220-000"/>
    <s v="Beer Sales"/>
    <n v="657.63299999999992"/>
    <n v="0"/>
    <s v="Daily Sales Import"/>
    <n v="-657.63299999999992"/>
    <n v="657.63299999999992"/>
    <x v="0"/>
    <s v="2220"/>
    <s v="000"/>
    <x v="5"/>
    <x v="1"/>
  </r>
  <r>
    <d v="2012-03-02T00:00:00"/>
    <s v="016-2230-000"/>
    <s v="Wine Sales"/>
    <n v="337.09949999999998"/>
    <n v="0"/>
    <s v="Daily Sales Import"/>
    <n v="-337.09949999999998"/>
    <n v="337.09949999999998"/>
    <x v="0"/>
    <s v="2230"/>
    <s v="000"/>
    <x v="5"/>
    <x v="1"/>
  </r>
  <r>
    <d v="2012-03-03T00:00:00"/>
    <s v="016-2100-000"/>
    <s v="Food Sales"/>
    <n v="9119.3919999999998"/>
    <n v="0"/>
    <s v="Daily Sales Import"/>
    <n v="-9119.3919999999998"/>
    <n v="9119.3919999999998"/>
    <x v="0"/>
    <s v="2100"/>
    <s v="000"/>
    <x v="5"/>
    <x v="1"/>
  </r>
  <r>
    <d v="2012-03-03T00:00:00"/>
    <s v="016-2210-000"/>
    <s v="Liquor Sales"/>
    <n v="2675.1215000000002"/>
    <n v="0"/>
    <s v="Daily Sales Import"/>
    <n v="-2675.1215000000002"/>
    <n v="2675.1215000000002"/>
    <x v="0"/>
    <s v="2210"/>
    <s v="000"/>
    <x v="5"/>
    <x v="1"/>
  </r>
  <r>
    <d v="2012-03-03T00:00:00"/>
    <s v="016-2220-000"/>
    <s v="Beer Sales"/>
    <n v="574.13250000000005"/>
    <n v="0"/>
    <s v="Daily Sales Import"/>
    <n v="-574.13250000000005"/>
    <n v="574.13250000000005"/>
    <x v="0"/>
    <s v="2220"/>
    <s v="000"/>
    <x v="5"/>
    <x v="1"/>
  </r>
  <r>
    <d v="2012-03-03T00:00:00"/>
    <s v="016-2230-000"/>
    <s v="Wine Sales"/>
    <n v="218.83349999999996"/>
    <n v="0"/>
    <s v="Daily Sales Import"/>
    <n v="-218.83349999999996"/>
    <n v="218.83349999999996"/>
    <x v="0"/>
    <s v="2230"/>
    <s v="000"/>
    <x v="5"/>
    <x v="1"/>
  </r>
  <r>
    <d v="2012-03-04T00:00:00"/>
    <s v="016-2100-000"/>
    <s v="Food Sales"/>
    <n v="5904.7190000000001"/>
    <n v="0"/>
    <s v="Daily Sales Import"/>
    <n v="-5904.7190000000001"/>
    <n v="5904.7190000000001"/>
    <x v="0"/>
    <s v="2100"/>
    <s v="000"/>
    <x v="5"/>
    <x v="1"/>
  </r>
  <r>
    <d v="2012-03-04T00:00:00"/>
    <s v="016-2210-000"/>
    <s v="Liquor Sales"/>
    <n v="1493.8589999999999"/>
    <n v="0"/>
    <s v="Daily Sales Import"/>
    <n v="-1493.8589999999999"/>
    <n v="1493.8589999999999"/>
    <x v="0"/>
    <s v="2210"/>
    <s v="000"/>
    <x v="5"/>
    <x v="1"/>
  </r>
  <r>
    <d v="2012-03-04T00:00:00"/>
    <s v="016-2220-000"/>
    <s v="Beer Sales"/>
    <n v="175.17150000000001"/>
    <n v="0"/>
    <s v="Daily Sales Import"/>
    <n v="-175.17150000000001"/>
    <n v="175.17150000000001"/>
    <x v="0"/>
    <s v="2220"/>
    <s v="000"/>
    <x v="5"/>
    <x v="1"/>
  </r>
  <r>
    <d v="2012-03-04T00:00:00"/>
    <s v="016-2230-000"/>
    <s v="Wine Sales"/>
    <n v="201.98600000000002"/>
    <n v="0"/>
    <s v="Daily Sales Import"/>
    <n v="-201.98600000000002"/>
    <n v="201.98600000000002"/>
    <x v="0"/>
    <s v="2230"/>
    <s v="000"/>
    <x v="5"/>
    <x v="1"/>
  </r>
  <r>
    <d v="2012-02-27T00:00:00"/>
    <s v="017-2100-000"/>
    <s v="Food Sales"/>
    <n v="3305.0592999999999"/>
    <n v="0"/>
    <s v="Daily Sales Import"/>
    <n v="-3305.0592999999999"/>
    <n v="3305.0592999999999"/>
    <x v="1"/>
    <s v="2100"/>
    <s v="000"/>
    <x v="4"/>
    <x v="1"/>
  </r>
  <r>
    <d v="2012-02-27T00:00:00"/>
    <s v="017-2210-000"/>
    <s v="Liquor Sales"/>
    <n v="899.07999999999993"/>
    <n v="0"/>
    <s v="Daily Sales Import"/>
    <n v="-899.07999999999993"/>
    <n v="899.07999999999993"/>
    <x v="1"/>
    <s v="2210"/>
    <s v="000"/>
    <x v="4"/>
    <x v="1"/>
  </r>
  <r>
    <d v="2012-02-27T00:00:00"/>
    <s v="017-2220-000"/>
    <s v="Beer Sales"/>
    <n v="365.71499999999997"/>
    <n v="0"/>
    <s v="Daily Sales Import"/>
    <n v="-365.71499999999997"/>
    <n v="365.71499999999997"/>
    <x v="1"/>
    <s v="2220"/>
    <s v="000"/>
    <x v="4"/>
    <x v="1"/>
  </r>
  <r>
    <d v="2012-02-27T00:00:00"/>
    <s v="017-2230-000"/>
    <s v="Wine Sales"/>
    <n v="94.814999999999998"/>
    <n v="0"/>
    <s v="Daily Sales Import"/>
    <n v="-94.814999999999998"/>
    <n v="94.814999999999998"/>
    <x v="1"/>
    <s v="2230"/>
    <s v="000"/>
    <x v="4"/>
    <x v="1"/>
  </r>
  <r>
    <d v="2012-02-28T00:00:00"/>
    <s v="017-2100-000"/>
    <s v="Food Sales"/>
    <n v="4679.7760000000007"/>
    <n v="0"/>
    <s v="Daily Sales Import"/>
    <n v="-4679.7760000000007"/>
    <n v="4679.7760000000007"/>
    <x v="1"/>
    <s v="2100"/>
    <s v="000"/>
    <x v="4"/>
    <x v="1"/>
  </r>
  <r>
    <d v="2012-02-28T00:00:00"/>
    <s v="017-2210-000"/>
    <s v="Liquor Sales"/>
    <n v="1243.0079999999998"/>
    <n v="0"/>
    <s v="Daily Sales Import"/>
    <n v="-1243.0079999999998"/>
    <n v="1243.0079999999998"/>
    <x v="1"/>
    <s v="2210"/>
    <s v="000"/>
    <x v="4"/>
    <x v="1"/>
  </r>
  <r>
    <d v="2012-02-28T00:00:00"/>
    <s v="017-2220-000"/>
    <s v="Beer Sales"/>
    <n v="444.77250000000004"/>
    <n v="0"/>
    <s v="Daily Sales Import"/>
    <n v="-444.77250000000004"/>
    <n v="444.77250000000004"/>
    <x v="1"/>
    <s v="2220"/>
    <s v="000"/>
    <x v="4"/>
    <x v="1"/>
  </r>
  <r>
    <d v="2012-02-28T00:00:00"/>
    <s v="017-2230-000"/>
    <s v="Wine Sales"/>
    <n v="67.552999999999997"/>
    <n v="0"/>
    <s v="Daily Sales Import"/>
    <n v="-67.552999999999997"/>
    <n v="67.552999999999997"/>
    <x v="1"/>
    <s v="2230"/>
    <s v="000"/>
    <x v="4"/>
    <x v="1"/>
  </r>
  <r>
    <d v="2012-02-29T00:00:00"/>
    <s v="017-2100-000"/>
    <s v="Food Sales"/>
    <n v="3445.7849999999999"/>
    <n v="0"/>
    <s v="Daily Sales Import"/>
    <n v="-3445.7849999999999"/>
    <n v="3445.7849999999999"/>
    <x v="1"/>
    <s v="2100"/>
    <s v="000"/>
    <x v="4"/>
    <x v="1"/>
  </r>
  <r>
    <d v="2012-02-29T00:00:00"/>
    <s v="017-2210-000"/>
    <s v="Liquor Sales"/>
    <n v="1044.1600000000001"/>
    <n v="0"/>
    <s v="Daily Sales Import"/>
    <n v="-1044.1600000000001"/>
    <n v="1044.1600000000001"/>
    <x v="1"/>
    <s v="2210"/>
    <s v="000"/>
    <x v="4"/>
    <x v="1"/>
  </r>
  <r>
    <d v="2012-02-29T00:00:00"/>
    <s v="017-2220-000"/>
    <s v="Beer Sales"/>
    <n v="325.11750000000001"/>
    <n v="0"/>
    <s v="Daily Sales Import"/>
    <n v="-325.11750000000001"/>
    <n v="325.11750000000001"/>
    <x v="1"/>
    <s v="2220"/>
    <s v="000"/>
    <x v="4"/>
    <x v="1"/>
  </r>
  <r>
    <d v="2012-02-29T00:00:00"/>
    <s v="017-2230-000"/>
    <s v="Wine Sales"/>
    <n v="87.078000000000003"/>
    <n v="0"/>
    <s v="Daily Sales Import"/>
    <n v="-87.078000000000003"/>
    <n v="87.078000000000003"/>
    <x v="1"/>
    <s v="2230"/>
    <s v="000"/>
    <x v="4"/>
    <x v="1"/>
  </r>
  <r>
    <d v="2012-03-01T00:00:00"/>
    <s v="017-2100-000"/>
    <s v="Food Sales"/>
    <n v="7337.8976000000002"/>
    <n v="0"/>
    <s v="Daily Sales Import"/>
    <n v="-7337.8976000000002"/>
    <n v="7337.8976000000002"/>
    <x v="1"/>
    <s v="2100"/>
    <s v="000"/>
    <x v="5"/>
    <x v="1"/>
  </r>
  <r>
    <d v="2012-03-01T00:00:00"/>
    <s v="017-2210-000"/>
    <s v="Liquor Sales"/>
    <n v="1715.547"/>
    <n v="0"/>
    <s v="Daily Sales Import"/>
    <n v="-1715.547"/>
    <n v="1715.547"/>
    <x v="1"/>
    <s v="2210"/>
    <s v="000"/>
    <x v="5"/>
    <x v="1"/>
  </r>
  <r>
    <d v="2012-03-01T00:00:00"/>
    <s v="017-2220-000"/>
    <s v="Beer Sales"/>
    <n v="1048.5625"/>
    <n v="0"/>
    <s v="Daily Sales Import"/>
    <n v="-1048.5625"/>
    <n v="1048.5625"/>
    <x v="1"/>
    <s v="2220"/>
    <s v="000"/>
    <x v="5"/>
    <x v="1"/>
  </r>
  <r>
    <d v="2012-03-01T00:00:00"/>
    <s v="017-2230-000"/>
    <s v="Wine Sales"/>
    <n v="151.47"/>
    <n v="0"/>
    <s v="Daily Sales Import"/>
    <n v="-151.47"/>
    <n v="151.47"/>
    <x v="1"/>
    <s v="2230"/>
    <s v="000"/>
    <x v="5"/>
    <x v="1"/>
  </r>
  <r>
    <d v="2012-03-02T00:00:00"/>
    <s v="017-2100-000"/>
    <s v="Food Sales"/>
    <n v="5358.3924999999999"/>
    <n v="0"/>
    <s v="Daily Sales Import"/>
    <n v="-5358.3924999999999"/>
    <n v="5358.3924999999999"/>
    <x v="1"/>
    <s v="2100"/>
    <s v="000"/>
    <x v="5"/>
    <x v="1"/>
  </r>
  <r>
    <d v="2012-03-02T00:00:00"/>
    <s v="017-2210-000"/>
    <s v="Liquor Sales"/>
    <n v="2103.8424999999997"/>
    <n v="0"/>
    <s v="Daily Sales Import"/>
    <n v="-2103.8424999999997"/>
    <n v="2103.8424999999997"/>
    <x v="1"/>
    <s v="2210"/>
    <s v="000"/>
    <x v="5"/>
    <x v="1"/>
  </r>
  <r>
    <d v="2012-03-02T00:00:00"/>
    <s v="017-2220-000"/>
    <s v="Beer Sales"/>
    <n v="769.86"/>
    <n v="0"/>
    <s v="Daily Sales Import"/>
    <n v="-769.86"/>
    <n v="769.86"/>
    <x v="1"/>
    <s v="2220"/>
    <s v="000"/>
    <x v="5"/>
    <x v="1"/>
  </r>
  <r>
    <d v="2012-03-02T00:00:00"/>
    <s v="017-2230-000"/>
    <s v="Wine Sales"/>
    <n v="145.10999999999999"/>
    <n v="0"/>
    <s v="Daily Sales Import"/>
    <n v="-145.10999999999999"/>
    <n v="145.10999999999999"/>
    <x v="1"/>
    <s v="2230"/>
    <s v="000"/>
    <x v="5"/>
    <x v="1"/>
  </r>
  <r>
    <d v="2012-03-03T00:00:00"/>
    <s v="017-2100-000"/>
    <s v="Food Sales"/>
    <n v="7734.5625"/>
    <n v="0"/>
    <s v="Daily Sales Import"/>
    <n v="-7734.5625"/>
    <n v="7734.5625"/>
    <x v="1"/>
    <s v="2100"/>
    <s v="000"/>
    <x v="5"/>
    <x v="1"/>
  </r>
  <r>
    <d v="2012-03-03T00:00:00"/>
    <s v="017-2210-000"/>
    <s v="Liquor Sales"/>
    <n v="2823.5480000000002"/>
    <n v="0"/>
    <s v="Daily Sales Import"/>
    <n v="-2823.5480000000002"/>
    <n v="2823.5480000000002"/>
    <x v="1"/>
    <s v="2210"/>
    <s v="000"/>
    <x v="5"/>
    <x v="1"/>
  </r>
  <r>
    <d v="2012-03-03T00:00:00"/>
    <s v="017-2220-000"/>
    <s v="Beer Sales"/>
    <n v="512.52499999999998"/>
    <n v="0"/>
    <s v="Daily Sales Import"/>
    <n v="-512.52499999999998"/>
    <n v="512.52499999999998"/>
    <x v="1"/>
    <s v="2220"/>
    <s v="000"/>
    <x v="5"/>
    <x v="1"/>
  </r>
  <r>
    <d v="2012-03-03T00:00:00"/>
    <s v="017-2230-000"/>
    <s v="Wine Sales"/>
    <n v="100.41800000000001"/>
    <n v="0"/>
    <s v="Daily Sales Import"/>
    <n v="-100.41800000000001"/>
    <n v="100.41800000000001"/>
    <x v="1"/>
    <s v="2230"/>
    <s v="000"/>
    <x v="5"/>
    <x v="1"/>
  </r>
  <r>
    <d v="2012-03-04T00:00:00"/>
    <s v="017-2100-000"/>
    <s v="Food Sales"/>
    <n v="6511.0884000000005"/>
    <n v="0"/>
    <s v="Daily Sales Import"/>
    <n v="-6511.0884000000005"/>
    <n v="6511.0884000000005"/>
    <x v="1"/>
    <s v="2100"/>
    <s v="000"/>
    <x v="5"/>
    <x v="1"/>
  </r>
  <r>
    <d v="2012-03-04T00:00:00"/>
    <s v="017-2210-000"/>
    <s v="Liquor Sales"/>
    <n v="1527.1064999999999"/>
    <n v="0"/>
    <s v="Daily Sales Import"/>
    <n v="-1527.1064999999999"/>
    <n v="1527.1064999999999"/>
    <x v="1"/>
    <s v="2210"/>
    <s v="000"/>
    <x v="5"/>
    <x v="1"/>
  </r>
  <r>
    <d v="2012-03-04T00:00:00"/>
    <s v="017-2220-000"/>
    <s v="Beer Sales"/>
    <n v="302.94"/>
    <n v="0"/>
    <s v="Daily Sales Import"/>
    <n v="-302.94"/>
    <n v="302.94"/>
    <x v="1"/>
    <s v="2220"/>
    <s v="000"/>
    <x v="5"/>
    <x v="1"/>
  </r>
  <r>
    <d v="2012-03-04T00:00:00"/>
    <s v="017-2230-000"/>
    <s v="Wine Sales"/>
    <n v="92.080499999999986"/>
    <n v="0"/>
    <s v="Daily Sales Import"/>
    <n v="-92.080499999999986"/>
    <n v="92.080499999999986"/>
    <x v="1"/>
    <s v="2230"/>
    <s v="000"/>
    <x v="5"/>
    <x v="1"/>
  </r>
  <r>
    <d v="2012-02-27T00:00:00"/>
    <s v="018-2100-000"/>
    <s v="Food Sales"/>
    <n v="3656.6669999999999"/>
    <n v="0"/>
    <s v="Daily Sales Import"/>
    <n v="-3656.6669999999999"/>
    <n v="3656.6669999999999"/>
    <x v="2"/>
    <s v="2100"/>
    <s v="000"/>
    <x v="4"/>
    <x v="1"/>
  </r>
  <r>
    <d v="2012-02-27T00:00:00"/>
    <s v="018-2210-000"/>
    <s v="Liquor Sales"/>
    <n v="474.30300000000005"/>
    <n v="0"/>
    <s v="Daily Sales Import"/>
    <n v="-474.30300000000005"/>
    <n v="474.30300000000005"/>
    <x v="2"/>
    <s v="2210"/>
    <s v="000"/>
    <x v="4"/>
    <x v="1"/>
  </r>
  <r>
    <d v="2012-02-27T00:00:00"/>
    <s v="018-2220-000"/>
    <s v="Beer Sales"/>
    <n v="67.177499999999995"/>
    <n v="0"/>
    <s v="Daily Sales Import"/>
    <n v="-67.177499999999995"/>
    <n v="67.177499999999995"/>
    <x v="2"/>
    <s v="2220"/>
    <s v="000"/>
    <x v="4"/>
    <x v="1"/>
  </r>
  <r>
    <d v="2012-02-27T00:00:00"/>
    <s v="018-2230-000"/>
    <s v="Wine Sales"/>
    <n v="12.561000000000002"/>
    <n v="0"/>
    <s v="Daily Sales Import"/>
    <n v="-12.561000000000002"/>
    <n v="12.561000000000002"/>
    <x v="2"/>
    <s v="2230"/>
    <s v="000"/>
    <x v="4"/>
    <x v="1"/>
  </r>
  <r>
    <d v="2012-02-28T00:00:00"/>
    <s v="018-2100-000"/>
    <s v="Food Sales"/>
    <n v="3570.8820000000001"/>
    <n v="0"/>
    <s v="Daily Sales Import"/>
    <n v="-3570.8820000000001"/>
    <n v="3570.8820000000001"/>
    <x v="2"/>
    <s v="2100"/>
    <s v="000"/>
    <x v="4"/>
    <x v="1"/>
  </r>
  <r>
    <d v="2012-02-28T00:00:00"/>
    <s v="018-2210-000"/>
    <s v="Liquor Sales"/>
    <n v="919.44799999999998"/>
    <n v="0"/>
    <s v="Daily Sales Import"/>
    <n v="-919.44799999999998"/>
    <n v="919.44799999999998"/>
    <x v="2"/>
    <s v="2210"/>
    <s v="000"/>
    <x v="4"/>
    <x v="1"/>
  </r>
  <r>
    <d v="2012-02-28T00:00:00"/>
    <s v="018-2220-000"/>
    <s v="Beer Sales"/>
    <n v="96.394500000000008"/>
    <n v="0"/>
    <s v="Daily Sales Import"/>
    <n v="-96.394500000000008"/>
    <n v="96.394500000000008"/>
    <x v="2"/>
    <s v="2220"/>
    <s v="000"/>
    <x v="4"/>
    <x v="1"/>
  </r>
  <r>
    <d v="2012-02-28T00:00:00"/>
    <s v="018-2230-000"/>
    <s v="Wine Sales"/>
    <n v="58.104500000000002"/>
    <n v="0"/>
    <s v="Daily Sales Import"/>
    <n v="-58.104500000000002"/>
    <n v="58.104500000000002"/>
    <x v="2"/>
    <s v="2230"/>
    <s v="000"/>
    <x v="4"/>
    <x v="1"/>
  </r>
  <r>
    <d v="2012-02-29T00:00:00"/>
    <s v="018-2100-000"/>
    <s v="Food Sales"/>
    <n v="3304.1269999999995"/>
    <n v="0"/>
    <s v="Daily Sales Import"/>
    <n v="-3304.1269999999995"/>
    <n v="3304.1269999999995"/>
    <x v="2"/>
    <s v="2100"/>
    <s v="000"/>
    <x v="4"/>
    <x v="1"/>
  </r>
  <r>
    <d v="2012-02-29T00:00:00"/>
    <s v="018-2210-000"/>
    <s v="Liquor Sales"/>
    <n v="623.34950000000003"/>
    <n v="0"/>
    <s v="Daily Sales Import"/>
    <n v="-623.34950000000003"/>
    <n v="623.34950000000003"/>
    <x v="2"/>
    <s v="2210"/>
    <s v="000"/>
    <x v="4"/>
    <x v="1"/>
  </r>
  <r>
    <d v="2012-02-29T00:00:00"/>
    <s v="018-2220-000"/>
    <s v="Beer Sales"/>
    <n v="115.6455"/>
    <n v="0"/>
    <s v="Daily Sales Import"/>
    <n v="-115.6455"/>
    <n v="115.6455"/>
    <x v="2"/>
    <s v="2220"/>
    <s v="000"/>
    <x v="4"/>
    <x v="1"/>
  </r>
  <r>
    <d v="2012-02-29T00:00:00"/>
    <s v="018-2230-000"/>
    <s v="Wine Sales"/>
    <n v="21.648"/>
    <n v="0"/>
    <s v="Daily Sales Import"/>
    <n v="-21.648"/>
    <n v="21.648"/>
    <x v="2"/>
    <s v="2230"/>
    <s v="000"/>
    <x v="4"/>
    <x v="1"/>
  </r>
  <r>
    <d v="2012-03-01T00:00:00"/>
    <s v="018-2100-000"/>
    <s v="Food Sales"/>
    <n v="4553.92"/>
    <n v="0"/>
    <s v="Daily Sales Import"/>
    <n v="-4553.92"/>
    <n v="4553.92"/>
    <x v="2"/>
    <s v="2100"/>
    <s v="000"/>
    <x v="5"/>
    <x v="1"/>
  </r>
  <r>
    <d v="2012-03-01T00:00:00"/>
    <s v="018-2210-000"/>
    <s v="Liquor Sales"/>
    <n v="900.35"/>
    <n v="0"/>
    <s v="Daily Sales Import"/>
    <n v="-900.35"/>
    <n v="900.35"/>
    <x v="2"/>
    <s v="2210"/>
    <s v="000"/>
    <x v="5"/>
    <x v="1"/>
  </r>
  <r>
    <d v="2012-03-01T00:00:00"/>
    <s v="018-2220-000"/>
    <s v="Beer Sales"/>
    <n v="282.71600000000001"/>
    <n v="0"/>
    <s v="Daily Sales Import"/>
    <n v="-282.71600000000001"/>
    <n v="282.71600000000001"/>
    <x v="2"/>
    <s v="2220"/>
    <s v="000"/>
    <x v="5"/>
    <x v="1"/>
  </r>
  <r>
    <d v="2012-03-01T00:00:00"/>
    <s v="018-2230-000"/>
    <s v="Wine Sales"/>
    <n v="27.2195"/>
    <n v="0"/>
    <s v="Daily Sales Import"/>
    <n v="-27.2195"/>
    <n v="27.2195"/>
    <x v="2"/>
    <s v="2230"/>
    <s v="000"/>
    <x v="5"/>
    <x v="1"/>
  </r>
  <r>
    <d v="2012-03-02T00:00:00"/>
    <s v="018-2100-000"/>
    <s v="Food Sales"/>
    <n v="9695.2799999999988"/>
    <n v="0"/>
    <s v="Daily Sales Import"/>
    <n v="-9695.2799999999988"/>
    <n v="9695.2799999999988"/>
    <x v="2"/>
    <s v="2100"/>
    <s v="000"/>
    <x v="5"/>
    <x v="1"/>
  </r>
  <r>
    <d v="2012-03-02T00:00:00"/>
    <s v="018-2210-000"/>
    <s v="Liquor Sales"/>
    <n v="2520.1799999999998"/>
    <n v="0"/>
    <s v="Daily Sales Import"/>
    <n v="-2520.1799999999998"/>
    <n v="2520.1799999999998"/>
    <x v="2"/>
    <s v="2210"/>
    <s v="000"/>
    <x v="5"/>
    <x v="1"/>
  </r>
  <r>
    <d v="2012-03-02T00:00:00"/>
    <s v="018-2220-000"/>
    <s v="Beer Sales"/>
    <n v="344.84999999999997"/>
    <n v="0"/>
    <s v="Daily Sales Import"/>
    <n v="-344.84999999999997"/>
    <n v="344.84999999999997"/>
    <x v="2"/>
    <s v="2220"/>
    <s v="000"/>
    <x v="5"/>
    <x v="1"/>
  </r>
  <r>
    <d v="2012-03-02T00:00:00"/>
    <s v="018-2230-000"/>
    <s v="Wine Sales"/>
    <n v="120.4385"/>
    <n v="0"/>
    <s v="Daily Sales Import"/>
    <n v="-120.4385"/>
    <n v="120.4385"/>
    <x v="2"/>
    <s v="2230"/>
    <s v="000"/>
    <x v="5"/>
    <x v="1"/>
  </r>
  <r>
    <d v="2012-03-03T00:00:00"/>
    <s v="018-2100-000"/>
    <s v="Food Sales"/>
    <n v="15376.621499999999"/>
    <n v="0"/>
    <s v="Daily Sales Import"/>
    <n v="-15376.621499999999"/>
    <n v="15376.621499999999"/>
    <x v="2"/>
    <s v="2100"/>
    <s v="000"/>
    <x v="5"/>
    <x v="1"/>
  </r>
  <r>
    <d v="2012-03-03T00:00:00"/>
    <s v="018-2210-000"/>
    <s v="Liquor Sales"/>
    <n v="3363.9175"/>
    <n v="0"/>
    <s v="Daily Sales Import"/>
    <n v="-3363.9175"/>
    <n v="3363.9175"/>
    <x v="2"/>
    <s v="2210"/>
    <s v="000"/>
    <x v="5"/>
    <x v="1"/>
  </r>
  <r>
    <d v="2012-03-03T00:00:00"/>
    <s v="018-2220-000"/>
    <s v="Beer Sales"/>
    <n v="849.16650000000004"/>
    <n v="0"/>
    <s v="Daily Sales Import"/>
    <n v="-849.16650000000004"/>
    <n v="849.16650000000004"/>
    <x v="2"/>
    <s v="2220"/>
    <s v="000"/>
    <x v="5"/>
    <x v="1"/>
  </r>
  <r>
    <d v="2012-03-03T00:00:00"/>
    <s v="018-2230-000"/>
    <s v="Wine Sales"/>
    <n v="117.01900000000001"/>
    <n v="0"/>
    <s v="Daily Sales Import"/>
    <n v="-117.01900000000001"/>
    <n v="117.01900000000001"/>
    <x v="2"/>
    <s v="2230"/>
    <s v="000"/>
    <x v="5"/>
    <x v="1"/>
  </r>
  <r>
    <d v="2012-03-04T00:00:00"/>
    <s v="018-2100-000"/>
    <s v="Food Sales"/>
    <n v="10186.916999999999"/>
    <n v="0"/>
    <s v="Daily Sales Import"/>
    <n v="-10186.916999999999"/>
    <n v="10186.916999999999"/>
    <x v="2"/>
    <s v="2100"/>
    <s v="000"/>
    <x v="5"/>
    <x v="1"/>
  </r>
  <r>
    <d v="2012-03-04T00:00:00"/>
    <s v="018-2210-000"/>
    <s v="Liquor Sales"/>
    <n v="995.62699999999995"/>
    <n v="0"/>
    <s v="Daily Sales Import"/>
    <n v="-995.62699999999995"/>
    <n v="995.62699999999995"/>
    <x v="2"/>
    <s v="2210"/>
    <s v="000"/>
    <x v="5"/>
    <x v="1"/>
  </r>
  <r>
    <d v="2012-03-04T00:00:00"/>
    <s v="018-2220-000"/>
    <s v="Beer Sales"/>
    <n v="225.36"/>
    <n v="0"/>
    <s v="Daily Sales Import"/>
    <n v="-225.36"/>
    <n v="225.36"/>
    <x v="2"/>
    <s v="2220"/>
    <s v="000"/>
    <x v="5"/>
    <x v="1"/>
  </r>
  <r>
    <d v="2012-03-04T00:00:00"/>
    <s v="018-2230-000"/>
    <s v="Wine Sales"/>
    <n v="134.32500000000002"/>
    <n v="0"/>
    <s v="Daily Sales Import"/>
    <n v="-134.32500000000002"/>
    <n v="134.32500000000002"/>
    <x v="2"/>
    <s v="2230"/>
    <s v="000"/>
    <x v="5"/>
    <x v="1"/>
  </r>
  <r>
    <d v="2012-03-05T00:00:00"/>
    <s v="016-2100-000"/>
    <s v="Food Sales"/>
    <n v="3498.0709999999995"/>
    <n v="0"/>
    <s v="Daily Sales Import"/>
    <n v="-3498.0709999999995"/>
    <n v="3498.0709999999995"/>
    <x v="0"/>
    <s v="2100"/>
    <s v="000"/>
    <x v="5"/>
    <x v="1"/>
  </r>
  <r>
    <d v="2012-03-05T00:00:00"/>
    <s v="016-2210-000"/>
    <s v="Liquor Sales"/>
    <n v="629.36450000000002"/>
    <n v="0"/>
    <s v="Daily Sales Import"/>
    <n v="-629.36450000000002"/>
    <n v="629.36450000000002"/>
    <x v="0"/>
    <s v="2210"/>
    <s v="000"/>
    <x v="5"/>
    <x v="1"/>
  </r>
  <r>
    <d v="2012-03-05T00:00:00"/>
    <s v="016-2220-000"/>
    <s v="Beer Sales"/>
    <n v="90.792000000000002"/>
    <n v="0"/>
    <s v="Daily Sales Import"/>
    <n v="-90.792000000000002"/>
    <n v="90.792000000000002"/>
    <x v="0"/>
    <s v="2220"/>
    <s v="000"/>
    <x v="5"/>
    <x v="1"/>
  </r>
  <r>
    <d v="2012-03-05T00:00:00"/>
    <s v="016-2230-000"/>
    <s v="Wine Sales"/>
    <n v="27.209"/>
    <n v="0"/>
    <s v="Daily Sales Import"/>
    <n v="-27.209"/>
    <n v="27.209"/>
    <x v="0"/>
    <s v="2230"/>
    <s v="000"/>
    <x v="5"/>
    <x v="1"/>
  </r>
  <r>
    <d v="2012-03-06T00:00:00"/>
    <s v="016-2100-000"/>
    <s v="Food Sales"/>
    <n v="2705.9858999999997"/>
    <n v="0"/>
    <s v="Daily Sales Import"/>
    <n v="-2705.9858999999997"/>
    <n v="2705.9858999999997"/>
    <x v="0"/>
    <s v="2100"/>
    <s v="000"/>
    <x v="5"/>
    <x v="1"/>
  </r>
  <r>
    <d v="2012-03-06T00:00:00"/>
    <s v="016-2210-000"/>
    <s v="Liquor Sales"/>
    <n v="692.84699999999998"/>
    <n v="0"/>
    <s v="Daily Sales Import"/>
    <n v="-692.84699999999998"/>
    <n v="692.84699999999998"/>
    <x v="0"/>
    <s v="2210"/>
    <s v="000"/>
    <x v="5"/>
    <x v="1"/>
  </r>
  <r>
    <d v="2012-03-06T00:00:00"/>
    <s v="016-2220-000"/>
    <s v="Beer Sales"/>
    <n v="246.92850000000004"/>
    <n v="0"/>
    <s v="Daily Sales Import"/>
    <n v="-246.92850000000004"/>
    <n v="246.92850000000004"/>
    <x v="0"/>
    <s v="2220"/>
    <s v="000"/>
    <x v="5"/>
    <x v="1"/>
  </r>
  <r>
    <d v="2012-03-06T00:00:00"/>
    <s v="016-2230-000"/>
    <s v="Wine Sales"/>
    <n v="38.502000000000002"/>
    <n v="0"/>
    <s v="Daily Sales Import"/>
    <n v="-38.502000000000002"/>
    <n v="38.502000000000002"/>
    <x v="0"/>
    <s v="2230"/>
    <s v="000"/>
    <x v="5"/>
    <x v="1"/>
  </r>
  <r>
    <d v="2012-03-07T00:00:00"/>
    <s v="016-2100-000"/>
    <s v="Food Sales"/>
    <n v="3943.4603999999999"/>
    <n v="0"/>
    <s v="Daily Sales Import"/>
    <n v="-3943.4603999999999"/>
    <n v="3943.4603999999999"/>
    <x v="0"/>
    <s v="2100"/>
    <s v="000"/>
    <x v="5"/>
    <x v="1"/>
  </r>
  <r>
    <d v="2012-03-07T00:00:00"/>
    <s v="016-2210-000"/>
    <s v="Liquor Sales"/>
    <n v="655.39400000000012"/>
    <n v="0"/>
    <s v="Daily Sales Import"/>
    <n v="-655.39400000000012"/>
    <n v="655.39400000000012"/>
    <x v="0"/>
    <s v="2210"/>
    <s v="000"/>
    <x v="5"/>
    <x v="1"/>
  </r>
  <r>
    <d v="2012-03-07T00:00:00"/>
    <s v="016-2220-000"/>
    <s v="Beer Sales"/>
    <n v="123.58500000000001"/>
    <n v="0"/>
    <s v="Daily Sales Import"/>
    <n v="-123.58500000000001"/>
    <n v="123.58500000000001"/>
    <x v="0"/>
    <s v="2220"/>
    <s v="000"/>
    <x v="5"/>
    <x v="1"/>
  </r>
  <r>
    <d v="2012-03-07T00:00:00"/>
    <s v="016-2230-000"/>
    <s v="Wine Sales"/>
    <n v="48.015499999999996"/>
    <n v="0"/>
    <s v="Daily Sales Import"/>
    <n v="-48.015499999999996"/>
    <n v="48.015499999999996"/>
    <x v="0"/>
    <s v="2230"/>
    <s v="000"/>
    <x v="5"/>
    <x v="1"/>
  </r>
  <r>
    <d v="2012-03-08T00:00:00"/>
    <s v="016-2100-000"/>
    <s v="Food Sales"/>
    <n v="4026.165"/>
    <n v="0"/>
    <s v="Daily Sales Import"/>
    <n v="-4026.165"/>
    <n v="4026.165"/>
    <x v="0"/>
    <s v="2100"/>
    <s v="000"/>
    <x v="5"/>
    <x v="1"/>
  </r>
  <r>
    <d v="2012-03-08T00:00:00"/>
    <s v="016-2210-000"/>
    <s v="Liquor Sales"/>
    <n v="636.83999999999992"/>
    <n v="0"/>
    <s v="Daily Sales Import"/>
    <n v="-636.83999999999992"/>
    <n v="636.83999999999992"/>
    <x v="0"/>
    <s v="2210"/>
    <s v="000"/>
    <x v="5"/>
    <x v="1"/>
  </r>
  <r>
    <d v="2012-03-08T00:00:00"/>
    <s v="016-2220-000"/>
    <s v="Beer Sales"/>
    <n v="278.58600000000001"/>
    <n v="0"/>
    <s v="Daily Sales Import"/>
    <n v="-278.58600000000001"/>
    <n v="278.58600000000001"/>
    <x v="0"/>
    <s v="2220"/>
    <s v="000"/>
    <x v="5"/>
    <x v="1"/>
  </r>
  <r>
    <d v="2012-03-08T00:00:00"/>
    <s v="016-2230-000"/>
    <s v="Wine Sales"/>
    <n v="68.846000000000004"/>
    <n v="0"/>
    <s v="Daily Sales Import"/>
    <n v="-68.846000000000004"/>
    <n v="68.846000000000004"/>
    <x v="0"/>
    <s v="2230"/>
    <s v="000"/>
    <x v="5"/>
    <x v="1"/>
  </r>
  <r>
    <d v="2012-03-09T00:00:00"/>
    <s v="016-2100-000"/>
    <s v="Food Sales"/>
    <n v="6141.4710000000005"/>
    <n v="0"/>
    <s v="Daily Sales Import"/>
    <n v="-6141.4710000000005"/>
    <n v="6141.4710000000005"/>
    <x v="0"/>
    <s v="2100"/>
    <s v="000"/>
    <x v="5"/>
    <x v="1"/>
  </r>
  <r>
    <d v="2012-03-09T00:00:00"/>
    <s v="016-2210-000"/>
    <s v="Liquor Sales"/>
    <n v="2352.63"/>
    <n v="0"/>
    <s v="Daily Sales Import"/>
    <n v="-2352.63"/>
    <n v="2352.63"/>
    <x v="0"/>
    <s v="2210"/>
    <s v="000"/>
    <x v="5"/>
    <x v="1"/>
  </r>
  <r>
    <d v="2012-03-09T00:00:00"/>
    <s v="016-2220-000"/>
    <s v="Beer Sales"/>
    <n v="471.04199999999997"/>
    <n v="0"/>
    <s v="Daily Sales Import"/>
    <n v="-471.04199999999997"/>
    <n v="471.04199999999997"/>
    <x v="0"/>
    <s v="2220"/>
    <s v="000"/>
    <x v="5"/>
    <x v="1"/>
  </r>
  <r>
    <d v="2012-03-09T00:00:00"/>
    <s v="016-2230-000"/>
    <s v="Wine Sales"/>
    <n v="286.88850000000002"/>
    <n v="0"/>
    <s v="Daily Sales Import"/>
    <n v="-286.88850000000002"/>
    <n v="286.88850000000002"/>
    <x v="0"/>
    <s v="2230"/>
    <s v="000"/>
    <x v="5"/>
    <x v="1"/>
  </r>
  <r>
    <d v="2012-03-10T00:00:00"/>
    <s v="016-2100-000"/>
    <s v="Food Sales"/>
    <n v="10466.092000000001"/>
    <n v="0"/>
    <s v="Daily Sales Import"/>
    <n v="-10466.092000000001"/>
    <n v="10466.092000000001"/>
    <x v="0"/>
    <s v="2100"/>
    <s v="000"/>
    <x v="5"/>
    <x v="1"/>
  </r>
  <r>
    <d v="2012-03-10T00:00:00"/>
    <s v="016-2210-000"/>
    <s v="Liquor Sales"/>
    <n v="2832.9839999999999"/>
    <n v="0"/>
    <s v="Daily Sales Import"/>
    <n v="-2832.9839999999999"/>
    <n v="2832.9839999999999"/>
    <x v="0"/>
    <s v="2210"/>
    <s v="000"/>
    <x v="5"/>
    <x v="1"/>
  </r>
  <r>
    <d v="2012-03-10T00:00:00"/>
    <s v="016-2220-000"/>
    <s v="Beer Sales"/>
    <n v="548.53200000000004"/>
    <n v="0"/>
    <s v="Daily Sales Import"/>
    <n v="-548.53200000000004"/>
    <n v="548.53200000000004"/>
    <x v="0"/>
    <s v="2220"/>
    <s v="000"/>
    <x v="5"/>
    <x v="1"/>
  </r>
  <r>
    <d v="2012-03-10T00:00:00"/>
    <s v="016-2230-000"/>
    <s v="Wine Sales"/>
    <n v="295.53599999999994"/>
    <n v="0"/>
    <s v="Daily Sales Import"/>
    <n v="-295.53599999999994"/>
    <n v="295.53599999999994"/>
    <x v="0"/>
    <s v="2230"/>
    <s v="000"/>
    <x v="5"/>
    <x v="1"/>
  </r>
  <r>
    <d v="2012-03-11T00:00:00"/>
    <s v="016-2100-000"/>
    <s v="Food Sales"/>
    <n v="6076.9049999999997"/>
    <n v="0"/>
    <s v="Daily Sales Import"/>
    <n v="-6076.9049999999997"/>
    <n v="6076.9049999999997"/>
    <x v="0"/>
    <s v="2100"/>
    <s v="000"/>
    <x v="5"/>
    <x v="1"/>
  </r>
  <r>
    <d v="2012-03-11T00:00:00"/>
    <s v="016-2210-000"/>
    <s v="Liquor Sales"/>
    <n v="1444.4325000000001"/>
    <n v="0"/>
    <s v="Daily Sales Import"/>
    <n v="-1444.4325000000001"/>
    <n v="1444.4325000000001"/>
    <x v="0"/>
    <s v="2210"/>
    <s v="000"/>
    <x v="5"/>
    <x v="1"/>
  </r>
  <r>
    <d v="2012-03-11T00:00:00"/>
    <s v="016-2220-000"/>
    <s v="Beer Sales"/>
    <n v="152.685"/>
    <n v="0"/>
    <s v="Daily Sales Import"/>
    <n v="-152.685"/>
    <n v="152.685"/>
    <x v="0"/>
    <s v="2220"/>
    <s v="000"/>
    <x v="5"/>
    <x v="1"/>
  </r>
  <r>
    <d v="2012-03-11T00:00:00"/>
    <s v="016-2230-000"/>
    <s v="Wine Sales"/>
    <n v="139.63249999999999"/>
    <n v="0"/>
    <s v="Daily Sales Import"/>
    <n v="-139.63249999999999"/>
    <n v="139.63249999999999"/>
    <x v="0"/>
    <s v="2230"/>
    <s v="000"/>
    <x v="5"/>
    <x v="1"/>
  </r>
  <r>
    <d v="2012-03-05T00:00:00"/>
    <s v="017-2100-000"/>
    <s v="Food Sales"/>
    <n v="3321.5349999999999"/>
    <n v="0"/>
    <s v="Daily Sales Import"/>
    <n v="-3321.5349999999999"/>
    <n v="3321.5349999999999"/>
    <x v="1"/>
    <s v="2100"/>
    <s v="000"/>
    <x v="5"/>
    <x v="1"/>
  </r>
  <r>
    <d v="2012-03-05T00:00:00"/>
    <s v="017-2210-000"/>
    <s v="Liquor Sales"/>
    <n v="494.53600000000006"/>
    <n v="0"/>
    <s v="Daily Sales Import"/>
    <n v="-494.53600000000006"/>
    <n v="494.53600000000006"/>
    <x v="1"/>
    <s v="2210"/>
    <s v="000"/>
    <x v="5"/>
    <x v="1"/>
  </r>
  <r>
    <d v="2012-03-05T00:00:00"/>
    <s v="017-2220-000"/>
    <s v="Beer Sales"/>
    <n v="165.70250000000001"/>
    <n v="0"/>
    <s v="Daily Sales Import"/>
    <n v="-165.70250000000001"/>
    <n v="165.70250000000001"/>
    <x v="1"/>
    <s v="2220"/>
    <s v="000"/>
    <x v="5"/>
    <x v="1"/>
  </r>
  <r>
    <d v="2012-03-05T00:00:00"/>
    <s v="017-2230-000"/>
    <s v="Wine Sales"/>
    <n v="57.494000000000007"/>
    <n v="0"/>
    <s v="Daily Sales Import"/>
    <n v="-57.494000000000007"/>
    <n v="57.494000000000007"/>
    <x v="1"/>
    <s v="2230"/>
    <s v="000"/>
    <x v="5"/>
    <x v="1"/>
  </r>
  <r>
    <d v="2012-03-06T00:00:00"/>
    <s v="017-2100-000"/>
    <s v="Food Sales"/>
    <n v="5956.1628000000001"/>
    <n v="0"/>
    <s v="Daily Sales Import"/>
    <n v="-5956.1628000000001"/>
    <n v="5956.1628000000001"/>
    <x v="1"/>
    <s v="2100"/>
    <s v="000"/>
    <x v="5"/>
    <x v="1"/>
  </r>
  <r>
    <d v="2012-03-06T00:00:00"/>
    <s v="017-2210-000"/>
    <s v="Liquor Sales"/>
    <n v="1272.7459999999999"/>
    <n v="0"/>
    <s v="Daily Sales Import"/>
    <n v="-1272.7459999999999"/>
    <n v="1272.7459999999999"/>
    <x v="1"/>
    <s v="2210"/>
    <s v="000"/>
    <x v="5"/>
    <x v="1"/>
  </r>
  <r>
    <d v="2012-03-06T00:00:00"/>
    <s v="017-2220-000"/>
    <s v="Beer Sales"/>
    <n v="266.25"/>
    <n v="0"/>
    <s v="Daily Sales Import"/>
    <n v="-266.25"/>
    <n v="266.25"/>
    <x v="1"/>
    <s v="2220"/>
    <s v="000"/>
    <x v="5"/>
    <x v="1"/>
  </r>
  <r>
    <d v="2012-03-06T00:00:00"/>
    <s v="017-2230-000"/>
    <s v="Wine Sales"/>
    <n v="81.10199999999999"/>
    <n v="0"/>
    <s v="Daily Sales Import"/>
    <n v="-81.10199999999999"/>
    <n v="81.10199999999999"/>
    <x v="1"/>
    <s v="2230"/>
    <s v="000"/>
    <x v="5"/>
    <x v="1"/>
  </r>
  <r>
    <d v="2012-03-07T00:00:00"/>
    <s v="017-2100-000"/>
    <s v="Food Sales"/>
    <n v="4579.63"/>
    <n v="0"/>
    <s v="Daily Sales Import"/>
    <n v="-4579.63"/>
    <n v="4579.63"/>
    <x v="1"/>
    <s v="2100"/>
    <s v="000"/>
    <x v="5"/>
    <x v="1"/>
  </r>
  <r>
    <d v="2012-03-07T00:00:00"/>
    <s v="017-2210-000"/>
    <s v="Liquor Sales"/>
    <n v="1026.4865"/>
    <n v="0"/>
    <s v="Daily Sales Import"/>
    <n v="-1026.4865"/>
    <n v="1026.4865"/>
    <x v="1"/>
    <s v="2210"/>
    <s v="000"/>
    <x v="5"/>
    <x v="1"/>
  </r>
  <r>
    <d v="2012-03-07T00:00:00"/>
    <s v="017-2220-000"/>
    <s v="Beer Sales"/>
    <n v="225.63"/>
    <n v="0"/>
    <s v="Daily Sales Import"/>
    <n v="-225.63"/>
    <n v="225.63"/>
    <x v="1"/>
    <s v="2220"/>
    <s v="000"/>
    <x v="5"/>
    <x v="1"/>
  </r>
  <r>
    <d v="2012-03-07T00:00:00"/>
    <s v="017-2230-000"/>
    <s v="Wine Sales"/>
    <n v="84.26"/>
    <n v="0"/>
    <s v="Daily Sales Import"/>
    <n v="-84.26"/>
    <n v="84.26"/>
    <x v="1"/>
    <s v="2230"/>
    <s v="000"/>
    <x v="5"/>
    <x v="1"/>
  </r>
  <r>
    <d v="2012-03-08T00:00:00"/>
    <s v="017-2100-000"/>
    <s v="Food Sales"/>
    <n v="7467.5103999999992"/>
    <n v="0"/>
    <s v="Daily Sales Import"/>
    <n v="-7467.5103999999992"/>
    <n v="7467.5103999999992"/>
    <x v="1"/>
    <s v="2100"/>
    <s v="000"/>
    <x v="5"/>
    <x v="1"/>
  </r>
  <r>
    <d v="2012-03-08T00:00:00"/>
    <s v="017-2210-000"/>
    <s v="Liquor Sales"/>
    <n v="2400.4639999999999"/>
    <n v="0"/>
    <s v="Daily Sales Import"/>
    <n v="-2400.4639999999999"/>
    <n v="2400.4639999999999"/>
    <x v="1"/>
    <s v="2210"/>
    <s v="000"/>
    <x v="5"/>
    <x v="1"/>
  </r>
  <r>
    <d v="2012-03-08T00:00:00"/>
    <s v="017-2220-000"/>
    <s v="Beer Sales"/>
    <n v="459.11250000000001"/>
    <n v="0"/>
    <s v="Daily Sales Import"/>
    <n v="-459.11250000000001"/>
    <n v="459.11250000000001"/>
    <x v="1"/>
    <s v="2220"/>
    <s v="000"/>
    <x v="5"/>
    <x v="1"/>
  </r>
  <r>
    <d v="2012-03-08T00:00:00"/>
    <s v="017-2230-000"/>
    <s v="Wine Sales"/>
    <n v="80.632500000000007"/>
    <n v="0"/>
    <s v="Daily Sales Import"/>
    <n v="-80.632500000000007"/>
    <n v="80.632500000000007"/>
    <x v="1"/>
    <s v="2230"/>
    <s v="000"/>
    <x v="5"/>
    <x v="1"/>
  </r>
  <r>
    <d v="2012-03-09T00:00:00"/>
    <s v="017-2100-000"/>
    <s v="Food Sales"/>
    <n v="5504.9876999999997"/>
    <n v="0"/>
    <s v="Daily Sales Import"/>
    <n v="-5504.9876999999997"/>
    <n v="5504.9876999999997"/>
    <x v="1"/>
    <s v="2100"/>
    <s v="000"/>
    <x v="5"/>
    <x v="1"/>
  </r>
  <r>
    <d v="2012-03-09T00:00:00"/>
    <s v="017-2210-000"/>
    <s v="Liquor Sales"/>
    <n v="2022.24"/>
    <n v="0"/>
    <s v="Daily Sales Import"/>
    <n v="-2022.24"/>
    <n v="2022.24"/>
    <x v="1"/>
    <s v="2210"/>
    <s v="000"/>
    <x v="5"/>
    <x v="1"/>
  </r>
  <r>
    <d v="2012-03-09T00:00:00"/>
    <s v="017-2220-000"/>
    <s v="Beer Sales"/>
    <n v="361.38749999999999"/>
    <n v="0"/>
    <s v="Daily Sales Import"/>
    <n v="-361.38749999999999"/>
    <n v="361.38749999999999"/>
    <x v="1"/>
    <s v="2220"/>
    <s v="000"/>
    <x v="5"/>
    <x v="1"/>
  </r>
  <r>
    <d v="2012-03-09T00:00:00"/>
    <s v="017-2230-000"/>
    <s v="Wine Sales"/>
    <n v="59.840999999999994"/>
    <n v="0"/>
    <s v="Daily Sales Import"/>
    <n v="-59.840999999999994"/>
    <n v="59.840999999999994"/>
    <x v="1"/>
    <s v="2230"/>
    <s v="000"/>
    <x v="5"/>
    <x v="1"/>
  </r>
  <r>
    <d v="2012-03-10T00:00:00"/>
    <s v="017-2100-000"/>
    <s v="Food Sales"/>
    <n v="7134.8874999999998"/>
    <n v="0"/>
    <s v="Daily Sales Import"/>
    <n v="-7134.8874999999998"/>
    <n v="7134.8874999999998"/>
    <x v="1"/>
    <s v="2100"/>
    <s v="000"/>
    <x v="5"/>
    <x v="1"/>
  </r>
  <r>
    <d v="2012-03-10T00:00:00"/>
    <s v="017-2210-000"/>
    <s v="Liquor Sales"/>
    <n v="2474.306"/>
    <n v="0"/>
    <s v="Daily Sales Import"/>
    <n v="-2474.306"/>
    <n v="2474.306"/>
    <x v="1"/>
    <s v="2210"/>
    <s v="000"/>
    <x v="5"/>
    <x v="1"/>
  </r>
  <r>
    <d v="2012-03-10T00:00:00"/>
    <s v="017-2220-000"/>
    <s v="Beer Sales"/>
    <n v="410.85"/>
    <n v="0"/>
    <s v="Daily Sales Import"/>
    <n v="-410.85"/>
    <n v="410.85"/>
    <x v="1"/>
    <s v="2220"/>
    <s v="000"/>
    <x v="5"/>
    <x v="1"/>
  </r>
  <r>
    <d v="2012-03-10T00:00:00"/>
    <s v="017-2230-000"/>
    <s v="Wine Sales"/>
    <n v="90.649999999999991"/>
    <n v="0"/>
    <s v="Daily Sales Import"/>
    <n v="-90.649999999999991"/>
    <n v="90.649999999999991"/>
    <x v="1"/>
    <s v="2230"/>
    <s v="000"/>
    <x v="5"/>
    <x v="1"/>
  </r>
  <r>
    <d v="2012-03-11T00:00:00"/>
    <s v="017-2100-000"/>
    <s v="Food Sales"/>
    <n v="6178.0136000000002"/>
    <n v="0"/>
    <s v="Daily Sales Import"/>
    <n v="-6178.0136000000002"/>
    <n v="6178.0136000000002"/>
    <x v="1"/>
    <s v="2100"/>
    <s v="000"/>
    <x v="5"/>
    <x v="1"/>
  </r>
  <r>
    <d v="2012-03-11T00:00:00"/>
    <s v="017-2210-000"/>
    <s v="Liquor Sales"/>
    <n v="870.24000000000012"/>
    <n v="0"/>
    <s v="Daily Sales Import"/>
    <n v="-870.24000000000012"/>
    <n v="870.24000000000012"/>
    <x v="1"/>
    <s v="2210"/>
    <s v="000"/>
    <x v="5"/>
    <x v="1"/>
  </r>
  <r>
    <d v="2012-03-11T00:00:00"/>
    <s v="017-2220-000"/>
    <s v="Beer Sales"/>
    <n v="197.56"/>
    <n v="0"/>
    <s v="Daily Sales Import"/>
    <n v="-197.56"/>
    <n v="197.56"/>
    <x v="1"/>
    <s v="2220"/>
    <s v="000"/>
    <x v="5"/>
    <x v="1"/>
  </r>
  <r>
    <d v="2012-03-11T00:00:00"/>
    <s v="017-2230-000"/>
    <s v="Wine Sales"/>
    <n v="59.84"/>
    <n v="0"/>
    <s v="Daily Sales Import"/>
    <n v="-59.84"/>
    <n v="59.84"/>
    <x v="1"/>
    <s v="2230"/>
    <s v="000"/>
    <x v="5"/>
    <x v="1"/>
  </r>
  <r>
    <d v="2012-03-05T00:00:00"/>
    <s v="018-2100-000"/>
    <s v="Food Sales"/>
    <n v="1698.0425"/>
    <n v="0"/>
    <s v="Daily Sales Import"/>
    <n v="-1698.0425"/>
    <n v="1698.0425"/>
    <x v="2"/>
    <s v="2100"/>
    <s v="000"/>
    <x v="5"/>
    <x v="1"/>
  </r>
  <r>
    <d v="2012-03-05T00:00:00"/>
    <s v="018-2210-000"/>
    <s v="Liquor Sales"/>
    <n v="213.63600000000002"/>
    <n v="0"/>
    <s v="Daily Sales Import"/>
    <n v="-213.63600000000002"/>
    <n v="213.63600000000002"/>
    <x v="2"/>
    <s v="2210"/>
    <s v="000"/>
    <x v="5"/>
    <x v="1"/>
  </r>
  <r>
    <d v="2012-03-05T00:00:00"/>
    <s v="018-2220-000"/>
    <s v="Beer Sales"/>
    <n v="53.889499999999998"/>
    <n v="0"/>
    <s v="Daily Sales Import"/>
    <n v="-53.889499999999998"/>
    <n v="53.889499999999998"/>
    <x v="2"/>
    <s v="2220"/>
    <s v="000"/>
    <x v="5"/>
    <x v="1"/>
  </r>
  <r>
    <d v="2012-03-05T00:00:00"/>
    <s v="018-2230-000"/>
    <s v="Wine Sales"/>
    <n v="5.6980000000000004"/>
    <n v="0"/>
    <s v="Daily Sales Import"/>
    <n v="-5.6980000000000004"/>
    <n v="5.6980000000000004"/>
    <x v="2"/>
    <s v="2230"/>
    <s v="000"/>
    <x v="5"/>
    <x v="1"/>
  </r>
  <r>
    <d v="2012-03-06T00:00:00"/>
    <s v="018-2100-000"/>
    <s v="Food Sales"/>
    <n v="4773.7079999999996"/>
    <n v="0"/>
    <s v="Daily Sales Import"/>
    <n v="-4773.7079999999996"/>
    <n v="4773.7079999999996"/>
    <x v="2"/>
    <s v="2100"/>
    <s v="000"/>
    <x v="5"/>
    <x v="1"/>
  </r>
  <r>
    <d v="2012-03-06T00:00:00"/>
    <s v="018-2210-000"/>
    <s v="Liquor Sales"/>
    <n v="616.93799999999999"/>
    <n v="0"/>
    <s v="Daily Sales Import"/>
    <n v="-616.93799999999999"/>
    <n v="616.93799999999999"/>
    <x v="2"/>
    <s v="2210"/>
    <s v="000"/>
    <x v="5"/>
    <x v="1"/>
  </r>
  <r>
    <d v="2012-03-06T00:00:00"/>
    <s v="018-2220-000"/>
    <s v="Beer Sales"/>
    <n v="157.815"/>
    <n v="0"/>
    <s v="Daily Sales Import"/>
    <n v="-157.815"/>
    <n v="157.815"/>
    <x v="2"/>
    <s v="2220"/>
    <s v="000"/>
    <x v="5"/>
    <x v="1"/>
  </r>
  <r>
    <d v="2012-03-06T00:00:00"/>
    <s v="018-2230-000"/>
    <s v="Wine Sales"/>
    <n v="133.755"/>
    <n v="0"/>
    <s v="Daily Sales Import"/>
    <n v="-133.755"/>
    <n v="133.755"/>
    <x v="2"/>
    <s v="2230"/>
    <s v="000"/>
    <x v="5"/>
    <x v="1"/>
  </r>
  <r>
    <d v="2012-03-07T00:00:00"/>
    <s v="018-2100-000"/>
    <s v="Food Sales"/>
    <n v="3620.7059999999997"/>
    <n v="0"/>
    <s v="Daily Sales Import"/>
    <n v="-3620.7059999999997"/>
    <n v="3620.7059999999997"/>
    <x v="2"/>
    <s v="2100"/>
    <s v="000"/>
    <x v="5"/>
    <x v="1"/>
  </r>
  <r>
    <d v="2012-03-07T00:00:00"/>
    <s v="018-2210-000"/>
    <s v="Liquor Sales"/>
    <n v="570.70200000000011"/>
    <n v="0"/>
    <s v="Daily Sales Import"/>
    <n v="-570.70200000000011"/>
    <n v="570.70200000000011"/>
    <x v="2"/>
    <s v="2210"/>
    <s v="000"/>
    <x v="5"/>
    <x v="1"/>
  </r>
  <r>
    <d v="2012-03-07T00:00:00"/>
    <s v="018-2220-000"/>
    <s v="Beer Sales"/>
    <n v="98.423999999999992"/>
    <n v="0"/>
    <s v="Daily Sales Import"/>
    <n v="-98.423999999999992"/>
    <n v="98.423999999999992"/>
    <x v="2"/>
    <s v="2220"/>
    <s v="000"/>
    <x v="5"/>
    <x v="1"/>
  </r>
  <r>
    <d v="2012-03-07T00:00:00"/>
    <s v="018-2230-000"/>
    <s v="Wine Sales"/>
    <n v="77"/>
    <n v="0"/>
    <s v="Daily Sales Import"/>
    <n v="-77"/>
    <n v="77"/>
    <x v="2"/>
    <s v="2230"/>
    <s v="000"/>
    <x v="5"/>
    <x v="1"/>
  </r>
  <r>
    <d v="2012-03-08T00:00:00"/>
    <s v="018-2100-000"/>
    <s v="Food Sales"/>
    <n v="5898.6608999999999"/>
    <n v="0"/>
    <s v="Daily Sales Import"/>
    <n v="-5898.6608999999999"/>
    <n v="5898.6608999999999"/>
    <x v="2"/>
    <s v="2100"/>
    <s v="000"/>
    <x v="5"/>
    <x v="1"/>
  </r>
  <r>
    <d v="2012-03-08T00:00:00"/>
    <s v="018-2210-000"/>
    <s v="Liquor Sales"/>
    <n v="846.09"/>
    <n v="0"/>
    <s v="Daily Sales Import"/>
    <n v="-846.09"/>
    <n v="846.09"/>
    <x v="2"/>
    <s v="2210"/>
    <s v="000"/>
    <x v="5"/>
    <x v="1"/>
  </r>
  <r>
    <d v="2012-03-08T00:00:00"/>
    <s v="018-2220-000"/>
    <s v="Beer Sales"/>
    <n v="235.52250000000001"/>
    <n v="0"/>
    <s v="Daily Sales Import"/>
    <n v="-235.52250000000001"/>
    <n v="235.52250000000001"/>
    <x v="2"/>
    <s v="2220"/>
    <s v="000"/>
    <x v="5"/>
    <x v="1"/>
  </r>
  <r>
    <d v="2012-03-08T00:00:00"/>
    <s v="018-2230-000"/>
    <s v="Wine Sales"/>
    <n v="60.509999999999991"/>
    <n v="0"/>
    <s v="Daily Sales Import"/>
    <n v="-60.509999999999991"/>
    <n v="60.509999999999991"/>
    <x v="2"/>
    <s v="2230"/>
    <s v="000"/>
    <x v="5"/>
    <x v="1"/>
  </r>
  <r>
    <d v="2012-03-09T00:00:00"/>
    <s v="018-2100-000"/>
    <s v="Food Sales"/>
    <n v="7956.3705"/>
    <n v="0"/>
    <s v="Daily Sales Import"/>
    <n v="-7956.3705"/>
    <n v="7956.3705"/>
    <x v="2"/>
    <s v="2100"/>
    <s v="000"/>
    <x v="5"/>
    <x v="1"/>
  </r>
  <r>
    <d v="2012-03-09T00:00:00"/>
    <s v="018-2210-000"/>
    <s v="Liquor Sales"/>
    <n v="3228.9075000000003"/>
    <n v="0"/>
    <s v="Daily Sales Import"/>
    <n v="-3228.9075000000003"/>
    <n v="3228.9075000000003"/>
    <x v="2"/>
    <s v="2210"/>
    <s v="000"/>
    <x v="5"/>
    <x v="1"/>
  </r>
  <r>
    <d v="2012-03-09T00:00:00"/>
    <s v="018-2220-000"/>
    <s v="Beer Sales"/>
    <n v="669.39600000000007"/>
    <n v="0"/>
    <s v="Daily Sales Import"/>
    <n v="-669.39600000000007"/>
    <n v="669.39600000000007"/>
    <x v="2"/>
    <s v="2220"/>
    <s v="000"/>
    <x v="5"/>
    <x v="1"/>
  </r>
  <r>
    <d v="2012-03-09T00:00:00"/>
    <s v="018-2230-000"/>
    <s v="Wine Sales"/>
    <n v="158.73000000000002"/>
    <n v="0"/>
    <s v="Daily Sales Import"/>
    <n v="-158.73000000000002"/>
    <n v="158.73000000000002"/>
    <x v="2"/>
    <s v="2230"/>
    <s v="000"/>
    <x v="5"/>
    <x v="1"/>
  </r>
  <r>
    <d v="2012-03-10T00:00:00"/>
    <s v="018-2100-000"/>
    <s v="Food Sales"/>
    <n v="15395.248"/>
    <n v="0"/>
    <s v="Daily Sales Import"/>
    <n v="-15395.248"/>
    <n v="15395.248"/>
    <x v="2"/>
    <s v="2100"/>
    <s v="000"/>
    <x v="5"/>
    <x v="1"/>
  </r>
  <r>
    <d v="2012-03-10T00:00:00"/>
    <s v="018-2210-000"/>
    <s v="Liquor Sales"/>
    <n v="4536.2974999999997"/>
    <n v="0"/>
    <s v="Daily Sales Import"/>
    <n v="-4536.2974999999997"/>
    <n v="4536.2974999999997"/>
    <x v="2"/>
    <s v="2210"/>
    <s v="000"/>
    <x v="5"/>
    <x v="1"/>
  </r>
  <r>
    <d v="2012-03-10T00:00:00"/>
    <s v="018-2220-000"/>
    <s v="Beer Sales"/>
    <n v="606.41100000000006"/>
    <n v="0"/>
    <s v="Daily Sales Import"/>
    <n v="-606.41100000000006"/>
    <n v="606.41100000000006"/>
    <x v="2"/>
    <s v="2220"/>
    <s v="000"/>
    <x v="5"/>
    <x v="1"/>
  </r>
  <r>
    <d v="2012-03-10T00:00:00"/>
    <s v="018-2230-000"/>
    <s v="Wine Sales"/>
    <n v="205.85499999999999"/>
    <n v="0"/>
    <s v="Daily Sales Import"/>
    <n v="-205.85499999999999"/>
    <n v="205.85499999999999"/>
    <x v="2"/>
    <s v="2230"/>
    <s v="000"/>
    <x v="5"/>
    <x v="1"/>
  </r>
  <r>
    <d v="2012-03-11T00:00:00"/>
    <s v="018-2100-000"/>
    <s v="Food Sales"/>
    <n v="11666.34"/>
    <n v="0"/>
    <s v="Daily Sales Import"/>
    <n v="-11666.34"/>
    <n v="11666.34"/>
    <x v="2"/>
    <s v="2100"/>
    <s v="000"/>
    <x v="5"/>
    <x v="1"/>
  </r>
  <r>
    <d v="2012-03-11T00:00:00"/>
    <s v="018-2210-000"/>
    <s v="Liquor Sales"/>
    <n v="1151.9360000000001"/>
    <n v="0"/>
    <s v="Daily Sales Import"/>
    <n v="-1151.9360000000001"/>
    <n v="1151.9360000000001"/>
    <x v="2"/>
    <s v="2210"/>
    <s v="000"/>
    <x v="5"/>
    <x v="1"/>
  </r>
  <r>
    <d v="2012-03-11T00:00:00"/>
    <s v="018-2220-000"/>
    <s v="Beer Sales"/>
    <n v="275.32349999999997"/>
    <n v="0"/>
    <s v="Daily Sales Import"/>
    <n v="-275.32349999999997"/>
    <n v="275.32349999999997"/>
    <x v="2"/>
    <s v="2220"/>
    <s v="000"/>
    <x v="5"/>
    <x v="1"/>
  </r>
  <r>
    <d v="2012-03-11T00:00:00"/>
    <s v="018-2230-000"/>
    <s v="Wine Sales"/>
    <n v="63.878"/>
    <n v="0"/>
    <s v="Daily Sales Import"/>
    <n v="-63.878"/>
    <n v="63.878"/>
    <x v="2"/>
    <s v="2230"/>
    <s v="000"/>
    <x v="5"/>
    <x v="1"/>
  </r>
  <r>
    <d v="2012-03-12T00:00:00"/>
    <s v="016-2100-000"/>
    <s v="Food Sales"/>
    <n v="3891.1120000000005"/>
    <n v="0"/>
    <s v="Daily Sales Import"/>
    <n v="-3891.1120000000005"/>
    <n v="3891.1120000000005"/>
    <x v="0"/>
    <s v="2100"/>
    <s v="000"/>
    <x v="5"/>
    <x v="1"/>
  </r>
  <r>
    <d v="2012-03-12T00:00:00"/>
    <s v="016-2210-000"/>
    <s v="Liquor Sales"/>
    <n v="810.72"/>
    <n v="0"/>
    <s v="Daily Sales Import"/>
    <n v="-810.72"/>
    <n v="810.72"/>
    <x v="0"/>
    <s v="2210"/>
    <s v="000"/>
    <x v="5"/>
    <x v="1"/>
  </r>
  <r>
    <d v="2012-03-12T00:00:00"/>
    <s v="016-2220-000"/>
    <s v="Beer Sales"/>
    <n v="137.25"/>
    <n v="0"/>
    <s v="Daily Sales Import"/>
    <n v="-137.25"/>
    <n v="137.25"/>
    <x v="0"/>
    <s v="2220"/>
    <s v="000"/>
    <x v="5"/>
    <x v="1"/>
  </r>
  <r>
    <d v="2012-03-12T00:00:00"/>
    <s v="016-2230-000"/>
    <s v="Wine Sales"/>
    <n v="110.99550000000001"/>
    <n v="0"/>
    <s v="Daily Sales Import"/>
    <n v="-110.99550000000001"/>
    <n v="110.99550000000001"/>
    <x v="0"/>
    <s v="2230"/>
    <s v="000"/>
    <x v="5"/>
    <x v="1"/>
  </r>
  <r>
    <d v="2012-03-13T00:00:00"/>
    <s v="016-2100-000"/>
    <s v="Food Sales"/>
    <n v="4527.4230000000007"/>
    <n v="0"/>
    <s v="Daily Sales Import"/>
    <n v="-4527.4230000000007"/>
    <n v="4527.4230000000007"/>
    <x v="0"/>
    <s v="2100"/>
    <s v="000"/>
    <x v="5"/>
    <x v="1"/>
  </r>
  <r>
    <d v="2012-03-13T00:00:00"/>
    <s v="016-2210-000"/>
    <s v="Liquor Sales"/>
    <n v="1082.9225000000001"/>
    <n v="0"/>
    <s v="Daily Sales Import"/>
    <n v="-1082.9225000000001"/>
    <n v="1082.9225000000001"/>
    <x v="0"/>
    <s v="2210"/>
    <s v="000"/>
    <x v="5"/>
    <x v="1"/>
  </r>
  <r>
    <d v="2012-03-13T00:00:00"/>
    <s v="016-2220-000"/>
    <s v="Beer Sales"/>
    <n v="294.93"/>
    <n v="0"/>
    <s v="Daily Sales Import"/>
    <n v="-294.93"/>
    <n v="294.93"/>
    <x v="0"/>
    <s v="2220"/>
    <s v="000"/>
    <x v="5"/>
    <x v="1"/>
  </r>
  <r>
    <d v="2012-03-13T00:00:00"/>
    <s v="016-2230-000"/>
    <s v="Wine Sales"/>
    <n v="168.49349999999998"/>
    <n v="0"/>
    <s v="Daily Sales Import"/>
    <n v="-168.49349999999998"/>
    <n v="168.49349999999998"/>
    <x v="0"/>
    <s v="2230"/>
    <s v="000"/>
    <x v="5"/>
    <x v="1"/>
  </r>
  <r>
    <d v="2012-03-14T00:00:00"/>
    <s v="016-2100-000"/>
    <s v="Food Sales"/>
    <n v="5093.6130000000003"/>
    <n v="0"/>
    <s v="Daily Sales Import"/>
    <n v="-5093.6130000000003"/>
    <n v="5093.6130000000003"/>
    <x v="0"/>
    <s v="2100"/>
    <s v="000"/>
    <x v="5"/>
    <x v="1"/>
  </r>
  <r>
    <d v="2012-03-14T00:00:00"/>
    <s v="016-2210-000"/>
    <s v="Liquor Sales"/>
    <n v="978.06299999999999"/>
    <n v="0"/>
    <s v="Daily Sales Import"/>
    <n v="-978.06299999999999"/>
    <n v="978.06299999999999"/>
    <x v="0"/>
    <s v="2210"/>
    <s v="000"/>
    <x v="5"/>
    <x v="1"/>
  </r>
  <r>
    <d v="2012-03-14T00:00:00"/>
    <s v="016-2220-000"/>
    <s v="Beer Sales"/>
    <n v="361.452"/>
    <n v="0"/>
    <s v="Daily Sales Import"/>
    <n v="-361.452"/>
    <n v="361.452"/>
    <x v="0"/>
    <s v="2220"/>
    <s v="000"/>
    <x v="5"/>
    <x v="1"/>
  </r>
  <r>
    <d v="2012-03-14T00:00:00"/>
    <s v="016-2230-000"/>
    <s v="Wine Sales"/>
    <n v="94.5"/>
    <n v="0"/>
    <s v="Daily Sales Import"/>
    <n v="-94.5"/>
    <n v="94.5"/>
    <x v="0"/>
    <s v="2230"/>
    <s v="000"/>
    <x v="5"/>
    <x v="1"/>
  </r>
  <r>
    <d v="2012-03-15T00:00:00"/>
    <s v="016-2100-000"/>
    <s v="Food Sales"/>
    <n v="4689.6908000000003"/>
    <n v="0"/>
    <s v="Daily Sales Import"/>
    <n v="-4689.6908000000003"/>
    <n v="4689.6908000000003"/>
    <x v="0"/>
    <s v="2100"/>
    <s v="000"/>
    <x v="5"/>
    <x v="1"/>
  </r>
  <r>
    <d v="2012-03-15T00:00:00"/>
    <s v="016-2210-000"/>
    <s v="Liquor Sales"/>
    <n v="1823.4040000000002"/>
    <n v="0"/>
    <s v="Daily Sales Import"/>
    <n v="-1823.4040000000002"/>
    <n v="1823.4040000000002"/>
    <x v="0"/>
    <s v="2210"/>
    <s v="000"/>
    <x v="5"/>
    <x v="1"/>
  </r>
  <r>
    <d v="2012-03-15T00:00:00"/>
    <s v="016-2220-000"/>
    <s v="Beer Sales"/>
    <n v="159.39000000000001"/>
    <n v="0"/>
    <s v="Daily Sales Import"/>
    <n v="-159.39000000000001"/>
    <n v="159.39000000000001"/>
    <x v="0"/>
    <s v="2220"/>
    <s v="000"/>
    <x v="5"/>
    <x v="1"/>
  </r>
  <r>
    <d v="2012-03-15T00:00:00"/>
    <s v="016-2230-000"/>
    <s v="Wine Sales"/>
    <n v="187.30800000000002"/>
    <n v="0"/>
    <s v="Daily Sales Import"/>
    <n v="-187.30800000000002"/>
    <n v="187.30800000000002"/>
    <x v="0"/>
    <s v="2230"/>
    <s v="000"/>
    <x v="5"/>
    <x v="1"/>
  </r>
  <r>
    <d v="2012-03-16T00:00:00"/>
    <s v="016-2100-000"/>
    <s v="Food Sales"/>
    <n v="8914.4331999999995"/>
    <n v="0"/>
    <s v="Daily Sales Import"/>
    <n v="-8914.4331999999995"/>
    <n v="8914.4331999999995"/>
    <x v="0"/>
    <s v="2100"/>
    <s v="000"/>
    <x v="5"/>
    <x v="1"/>
  </r>
  <r>
    <d v="2012-03-16T00:00:00"/>
    <s v="016-2210-000"/>
    <s v="Liquor Sales"/>
    <n v="2399.7760000000003"/>
    <n v="0"/>
    <s v="Daily Sales Import"/>
    <n v="-2399.7760000000003"/>
    <n v="2399.7760000000003"/>
    <x v="0"/>
    <s v="2210"/>
    <s v="000"/>
    <x v="5"/>
    <x v="1"/>
  </r>
  <r>
    <d v="2012-03-16T00:00:00"/>
    <s v="016-2220-000"/>
    <s v="Beer Sales"/>
    <n v="637.5"/>
    <n v="0"/>
    <s v="Daily Sales Import"/>
    <n v="-637.5"/>
    <n v="637.5"/>
    <x v="0"/>
    <s v="2220"/>
    <s v="000"/>
    <x v="5"/>
    <x v="1"/>
  </r>
  <r>
    <d v="2012-03-16T00:00:00"/>
    <s v="016-2230-000"/>
    <s v="Wine Sales"/>
    <n v="375.96249999999998"/>
    <n v="0"/>
    <s v="Daily Sales Import"/>
    <n v="-375.96249999999998"/>
    <n v="375.96249999999998"/>
    <x v="0"/>
    <s v="2230"/>
    <s v="000"/>
    <x v="5"/>
    <x v="1"/>
  </r>
  <r>
    <d v="2012-03-17T00:00:00"/>
    <s v="016-2100-000"/>
    <s v="Food Sales"/>
    <n v="9947.8995000000014"/>
    <n v="0"/>
    <s v="Daily Sales Import"/>
    <n v="-9947.8995000000014"/>
    <n v="9947.8995000000014"/>
    <x v="0"/>
    <s v="2100"/>
    <s v="000"/>
    <x v="5"/>
    <x v="1"/>
  </r>
  <r>
    <d v="2012-03-17T00:00:00"/>
    <s v="016-2210-000"/>
    <s v="Liquor Sales"/>
    <n v="2946.2510000000002"/>
    <n v="0"/>
    <s v="Daily Sales Import"/>
    <n v="-2946.2510000000002"/>
    <n v="2946.2510000000002"/>
    <x v="0"/>
    <s v="2210"/>
    <s v="000"/>
    <x v="5"/>
    <x v="1"/>
  </r>
  <r>
    <d v="2012-03-17T00:00:00"/>
    <s v="016-2220-000"/>
    <s v="Beer Sales"/>
    <n v="812.91600000000005"/>
    <n v="0"/>
    <s v="Daily Sales Import"/>
    <n v="-812.91600000000005"/>
    <n v="812.91600000000005"/>
    <x v="0"/>
    <s v="2220"/>
    <s v="000"/>
    <x v="5"/>
    <x v="1"/>
  </r>
  <r>
    <d v="2012-03-17T00:00:00"/>
    <s v="016-2230-000"/>
    <s v="Wine Sales"/>
    <n v="308.17199999999997"/>
    <n v="0"/>
    <s v="Daily Sales Import"/>
    <n v="-308.17199999999997"/>
    <n v="308.17199999999997"/>
    <x v="0"/>
    <s v="2230"/>
    <s v="000"/>
    <x v="5"/>
    <x v="1"/>
  </r>
  <r>
    <d v="2012-03-18T00:00:00"/>
    <s v="016-2100-000"/>
    <s v="Food Sales"/>
    <n v="6228.6165000000001"/>
    <n v="0"/>
    <s v="Daily Sales Import"/>
    <n v="-6228.6165000000001"/>
    <n v="6228.6165000000001"/>
    <x v="0"/>
    <s v="2100"/>
    <s v="000"/>
    <x v="5"/>
    <x v="1"/>
  </r>
  <r>
    <d v="2012-03-18T00:00:00"/>
    <s v="016-2210-000"/>
    <s v="Liquor Sales"/>
    <n v="935.1875"/>
    <n v="0"/>
    <s v="Daily Sales Import"/>
    <n v="-935.1875"/>
    <n v="935.1875"/>
    <x v="0"/>
    <s v="2210"/>
    <s v="000"/>
    <x v="5"/>
    <x v="1"/>
  </r>
  <r>
    <d v="2012-03-18T00:00:00"/>
    <s v="016-2220-000"/>
    <s v="Beer Sales"/>
    <n v="267.10199999999998"/>
    <n v="0"/>
    <s v="Daily Sales Import"/>
    <n v="-267.10199999999998"/>
    <n v="267.10199999999998"/>
    <x v="0"/>
    <s v="2220"/>
    <s v="000"/>
    <x v="5"/>
    <x v="1"/>
  </r>
  <r>
    <d v="2012-03-18T00:00:00"/>
    <s v="016-2230-000"/>
    <s v="Wine Sales"/>
    <n v="137.76899999999998"/>
    <n v="0"/>
    <s v="Daily Sales Import"/>
    <n v="-137.76899999999998"/>
    <n v="137.76899999999998"/>
    <x v="0"/>
    <s v="2230"/>
    <s v="000"/>
    <x v="5"/>
    <x v="1"/>
  </r>
  <r>
    <d v="2012-03-12T00:00:00"/>
    <s v="017-2100-000"/>
    <s v="Food Sales"/>
    <n v="4188.03"/>
    <n v="0"/>
    <s v="Daily Sales Import"/>
    <n v="-4188.03"/>
    <n v="4188.03"/>
    <x v="1"/>
    <s v="2100"/>
    <s v="000"/>
    <x v="5"/>
    <x v="1"/>
  </r>
  <r>
    <d v="2012-03-12T00:00:00"/>
    <s v="017-2210-000"/>
    <s v="Liquor Sales"/>
    <n v="1029.1325000000002"/>
    <n v="0"/>
    <s v="Daily Sales Import"/>
    <n v="-1029.1325000000002"/>
    <n v="1029.1325000000002"/>
    <x v="1"/>
    <s v="2210"/>
    <s v="000"/>
    <x v="5"/>
    <x v="1"/>
  </r>
  <r>
    <d v="2012-03-12T00:00:00"/>
    <s v="017-2220-000"/>
    <s v="Beer Sales"/>
    <n v="322.82249999999999"/>
    <n v="0"/>
    <s v="Daily Sales Import"/>
    <n v="-322.82249999999999"/>
    <n v="322.82249999999999"/>
    <x v="1"/>
    <s v="2220"/>
    <s v="000"/>
    <x v="5"/>
    <x v="1"/>
  </r>
  <r>
    <d v="2012-03-12T00:00:00"/>
    <s v="017-2230-000"/>
    <s v="Wine Sales"/>
    <n v="98.04"/>
    <n v="0"/>
    <s v="Daily Sales Import"/>
    <n v="-98.04"/>
    <n v="98.04"/>
    <x v="1"/>
    <s v="2230"/>
    <s v="000"/>
    <x v="5"/>
    <x v="1"/>
  </r>
  <r>
    <d v="2012-03-13T00:00:00"/>
    <s v="017-2100-000"/>
    <s v="Food Sales"/>
    <n v="3772.6041999999998"/>
    <n v="0"/>
    <s v="Daily Sales Import"/>
    <n v="-3772.6041999999998"/>
    <n v="3772.6041999999998"/>
    <x v="1"/>
    <s v="2100"/>
    <s v="000"/>
    <x v="5"/>
    <x v="1"/>
  </r>
  <r>
    <d v="2012-03-13T00:00:00"/>
    <s v="017-2210-000"/>
    <s v="Liquor Sales"/>
    <n v="1351.0240000000001"/>
    <n v="0"/>
    <s v="Daily Sales Import"/>
    <n v="-1351.0240000000001"/>
    <n v="1351.0240000000001"/>
    <x v="1"/>
    <s v="2210"/>
    <s v="000"/>
    <x v="5"/>
    <x v="1"/>
  </r>
  <r>
    <d v="2012-03-13T00:00:00"/>
    <s v="017-2220-000"/>
    <s v="Beer Sales"/>
    <n v="283.64999999999998"/>
    <n v="0"/>
    <s v="Daily Sales Import"/>
    <n v="-283.64999999999998"/>
    <n v="283.64999999999998"/>
    <x v="1"/>
    <s v="2220"/>
    <s v="000"/>
    <x v="5"/>
    <x v="1"/>
  </r>
  <r>
    <d v="2012-03-13T00:00:00"/>
    <s v="017-2230-000"/>
    <s v="Wine Sales"/>
    <n v="43.877000000000002"/>
    <n v="0"/>
    <s v="Daily Sales Import"/>
    <n v="-43.877000000000002"/>
    <n v="43.877000000000002"/>
    <x v="1"/>
    <s v="2230"/>
    <s v="000"/>
    <x v="5"/>
    <x v="1"/>
  </r>
  <r>
    <d v="2012-03-14T00:00:00"/>
    <s v="017-2100-000"/>
    <s v="Food Sales"/>
    <n v="5206.8554999999997"/>
    <n v="0"/>
    <s v="Daily Sales Import"/>
    <n v="-5206.8554999999997"/>
    <n v="5206.8554999999997"/>
    <x v="1"/>
    <s v="2100"/>
    <s v="000"/>
    <x v="5"/>
    <x v="1"/>
  </r>
  <r>
    <d v="2012-03-14T00:00:00"/>
    <s v="017-2210-000"/>
    <s v="Liquor Sales"/>
    <n v="1316.4460000000001"/>
    <n v="0"/>
    <s v="Daily Sales Import"/>
    <n v="-1316.4460000000001"/>
    <n v="1316.4460000000001"/>
    <x v="1"/>
    <s v="2210"/>
    <s v="000"/>
    <x v="5"/>
    <x v="1"/>
  </r>
  <r>
    <d v="2012-03-14T00:00:00"/>
    <s v="017-2220-000"/>
    <s v="Beer Sales"/>
    <n v="301.92"/>
    <n v="0"/>
    <s v="Daily Sales Import"/>
    <n v="-301.92"/>
    <n v="301.92"/>
    <x v="1"/>
    <s v="2220"/>
    <s v="000"/>
    <x v="5"/>
    <x v="1"/>
  </r>
  <r>
    <d v="2012-03-14T00:00:00"/>
    <s v="017-2230-000"/>
    <s v="Wine Sales"/>
    <n v="65.52"/>
    <n v="0"/>
    <s v="Daily Sales Import"/>
    <n v="-65.52"/>
    <n v="65.52"/>
    <x v="1"/>
    <s v="2230"/>
    <s v="000"/>
    <x v="5"/>
    <x v="1"/>
  </r>
  <r>
    <d v="2012-03-15T00:00:00"/>
    <s v="017-2100-000"/>
    <s v="Food Sales"/>
    <n v="5609.9404999999997"/>
    <n v="0"/>
    <s v="Daily Sales Import"/>
    <n v="-5609.9404999999997"/>
    <n v="5609.9404999999997"/>
    <x v="1"/>
    <s v="2100"/>
    <s v="000"/>
    <x v="5"/>
    <x v="1"/>
  </r>
  <r>
    <d v="2012-03-15T00:00:00"/>
    <s v="017-2210-000"/>
    <s v="Liquor Sales"/>
    <n v="1807.19"/>
    <n v="0"/>
    <s v="Daily Sales Import"/>
    <n v="-1807.19"/>
    <n v="1807.19"/>
    <x v="1"/>
    <s v="2210"/>
    <s v="000"/>
    <x v="5"/>
    <x v="1"/>
  </r>
  <r>
    <d v="2012-03-15T00:00:00"/>
    <s v="017-2220-000"/>
    <s v="Beer Sales"/>
    <n v="349.25"/>
    <n v="0"/>
    <s v="Daily Sales Import"/>
    <n v="-349.25"/>
    <n v="349.25"/>
    <x v="1"/>
    <s v="2220"/>
    <s v="000"/>
    <x v="5"/>
    <x v="1"/>
  </r>
  <r>
    <d v="2012-03-15T00:00:00"/>
    <s v="017-2230-000"/>
    <s v="Wine Sales"/>
    <n v="119.98250000000002"/>
    <n v="0"/>
    <s v="Daily Sales Import"/>
    <n v="-119.98250000000002"/>
    <n v="119.98250000000002"/>
    <x v="1"/>
    <s v="2230"/>
    <s v="000"/>
    <x v="5"/>
    <x v="1"/>
  </r>
  <r>
    <d v="2012-03-16T00:00:00"/>
    <s v="017-2100-000"/>
    <s v="Food Sales"/>
    <n v="7903.8050000000003"/>
    <n v="0"/>
    <s v="Daily Sales Import"/>
    <n v="-7903.8050000000003"/>
    <n v="7903.8050000000003"/>
    <x v="1"/>
    <s v="2100"/>
    <s v="000"/>
    <x v="5"/>
    <x v="1"/>
  </r>
  <r>
    <d v="2012-03-16T00:00:00"/>
    <s v="017-2210-000"/>
    <s v="Liquor Sales"/>
    <n v="3063.6210000000001"/>
    <n v="0"/>
    <s v="Daily Sales Import"/>
    <n v="-3063.6210000000001"/>
    <n v="3063.6210000000001"/>
    <x v="1"/>
    <s v="2210"/>
    <s v="000"/>
    <x v="5"/>
    <x v="1"/>
  </r>
  <r>
    <d v="2012-03-16T00:00:00"/>
    <s v="017-2220-000"/>
    <s v="Beer Sales"/>
    <n v="510.61500000000001"/>
    <n v="0"/>
    <s v="Daily Sales Import"/>
    <n v="-510.61500000000001"/>
    <n v="510.61500000000001"/>
    <x v="1"/>
    <s v="2220"/>
    <s v="000"/>
    <x v="5"/>
    <x v="1"/>
  </r>
  <r>
    <d v="2012-03-16T00:00:00"/>
    <s v="017-2230-000"/>
    <s v="Wine Sales"/>
    <n v="173.72549999999998"/>
    <n v="0"/>
    <s v="Daily Sales Import"/>
    <n v="-173.72549999999998"/>
    <n v="173.72549999999998"/>
    <x v="1"/>
    <s v="2230"/>
    <s v="000"/>
    <x v="5"/>
    <x v="1"/>
  </r>
  <r>
    <d v="2012-03-17T00:00:00"/>
    <s v="017-2100-000"/>
    <s v="Food Sales"/>
    <n v="9733.36"/>
    <n v="0"/>
    <s v="Daily Sales Import"/>
    <n v="-9733.36"/>
    <n v="9733.36"/>
    <x v="1"/>
    <s v="2100"/>
    <s v="000"/>
    <x v="5"/>
    <x v="1"/>
  </r>
  <r>
    <d v="2012-03-17T00:00:00"/>
    <s v="017-2210-000"/>
    <s v="Liquor Sales"/>
    <n v="2680.3710000000001"/>
    <n v="0"/>
    <s v="Daily Sales Import"/>
    <n v="-2680.3710000000001"/>
    <n v="2680.3710000000001"/>
    <x v="1"/>
    <s v="2210"/>
    <s v="000"/>
    <x v="5"/>
    <x v="1"/>
  </r>
  <r>
    <d v="2012-03-17T00:00:00"/>
    <s v="017-2220-000"/>
    <s v="Beer Sales"/>
    <n v="407.83000000000004"/>
    <n v="0"/>
    <s v="Daily Sales Import"/>
    <n v="-407.83000000000004"/>
    <n v="407.83000000000004"/>
    <x v="1"/>
    <s v="2220"/>
    <s v="000"/>
    <x v="5"/>
    <x v="1"/>
  </r>
  <r>
    <d v="2012-03-17T00:00:00"/>
    <s v="017-2230-000"/>
    <s v="Wine Sales"/>
    <n v="33.779999999999994"/>
    <n v="0"/>
    <s v="Daily Sales Import"/>
    <n v="-33.779999999999994"/>
    <n v="33.779999999999994"/>
    <x v="1"/>
    <s v="2230"/>
    <s v="000"/>
    <x v="5"/>
    <x v="1"/>
  </r>
  <r>
    <d v="2012-03-18T00:00:00"/>
    <s v="017-2100-000"/>
    <s v="Food Sales"/>
    <n v="4733.3248000000003"/>
    <n v="0"/>
    <s v="Daily Sales Import"/>
    <n v="-4733.3248000000003"/>
    <n v="4733.3248000000003"/>
    <x v="1"/>
    <s v="2100"/>
    <s v="000"/>
    <x v="5"/>
    <x v="1"/>
  </r>
  <r>
    <d v="2012-03-18T00:00:00"/>
    <s v="017-2210-000"/>
    <s v="Liquor Sales"/>
    <n v="1505.4840000000002"/>
    <n v="0"/>
    <s v="Daily Sales Import"/>
    <n v="-1505.4840000000002"/>
    <n v="1505.4840000000002"/>
    <x v="1"/>
    <s v="2210"/>
    <s v="000"/>
    <x v="5"/>
    <x v="1"/>
  </r>
  <r>
    <d v="2012-03-18T00:00:00"/>
    <s v="017-2220-000"/>
    <s v="Beer Sales"/>
    <n v="252.9975"/>
    <n v="0"/>
    <s v="Daily Sales Import"/>
    <n v="-252.9975"/>
    <n v="252.9975"/>
    <x v="1"/>
    <s v="2220"/>
    <s v="000"/>
    <x v="5"/>
    <x v="1"/>
  </r>
  <r>
    <d v="2012-03-18T00:00:00"/>
    <s v="017-2230-000"/>
    <s v="Wine Sales"/>
    <n v="95.925000000000011"/>
    <n v="0"/>
    <s v="Daily Sales Import"/>
    <n v="-95.925000000000011"/>
    <n v="95.925000000000011"/>
    <x v="1"/>
    <s v="2230"/>
    <s v="000"/>
    <x v="5"/>
    <x v="1"/>
  </r>
  <r>
    <d v="2012-03-12T00:00:00"/>
    <s v="018-2100-000"/>
    <s v="Food Sales"/>
    <n v="3098.1565000000001"/>
    <n v="0"/>
    <s v="Daily Sales Import"/>
    <n v="-3098.1565000000001"/>
    <n v="3098.1565000000001"/>
    <x v="2"/>
    <s v="2100"/>
    <s v="000"/>
    <x v="5"/>
    <x v="1"/>
  </r>
  <r>
    <d v="2012-03-12T00:00:00"/>
    <s v="018-2210-000"/>
    <s v="Liquor Sales"/>
    <n v="854.73849999999993"/>
    <n v="0"/>
    <s v="Daily Sales Import"/>
    <n v="-854.73849999999993"/>
    <n v="854.73849999999993"/>
    <x v="2"/>
    <s v="2210"/>
    <s v="000"/>
    <x v="5"/>
    <x v="1"/>
  </r>
  <r>
    <d v="2012-03-12T00:00:00"/>
    <s v="018-2220-000"/>
    <s v="Beer Sales"/>
    <n v="117.092"/>
    <n v="0"/>
    <s v="Daily Sales Import"/>
    <n v="-117.092"/>
    <n v="117.092"/>
    <x v="2"/>
    <s v="2220"/>
    <s v="000"/>
    <x v="5"/>
    <x v="1"/>
  </r>
  <r>
    <d v="2012-03-12T00:00:00"/>
    <s v="018-2230-000"/>
    <s v="Wine Sales"/>
    <n v="14.237499999999999"/>
    <n v="0"/>
    <s v="Daily Sales Import"/>
    <n v="-14.237499999999999"/>
    <n v="14.237499999999999"/>
    <x v="2"/>
    <s v="2230"/>
    <s v="000"/>
    <x v="5"/>
    <x v="1"/>
  </r>
  <r>
    <d v="2012-03-13T00:00:00"/>
    <s v="018-2100-000"/>
    <s v="Food Sales"/>
    <n v="4907.8645000000006"/>
    <n v="0"/>
    <s v="Daily Sales Import"/>
    <n v="-4907.8645000000006"/>
    <n v="4907.8645000000006"/>
    <x v="2"/>
    <s v="2100"/>
    <s v="000"/>
    <x v="5"/>
    <x v="1"/>
  </r>
  <r>
    <d v="2012-03-13T00:00:00"/>
    <s v="018-2210-000"/>
    <s v="Liquor Sales"/>
    <n v="700.28800000000001"/>
    <n v="0"/>
    <s v="Daily Sales Import"/>
    <n v="-700.28800000000001"/>
    <n v="700.28800000000001"/>
    <x v="2"/>
    <s v="2210"/>
    <s v="000"/>
    <x v="5"/>
    <x v="1"/>
  </r>
  <r>
    <d v="2012-03-13T00:00:00"/>
    <s v="018-2220-000"/>
    <s v="Beer Sales"/>
    <n v="193.9425"/>
    <n v="0"/>
    <s v="Daily Sales Import"/>
    <n v="-193.9425"/>
    <n v="193.9425"/>
    <x v="2"/>
    <s v="2220"/>
    <s v="000"/>
    <x v="5"/>
    <x v="1"/>
  </r>
  <r>
    <d v="2012-03-13T00:00:00"/>
    <s v="018-2230-000"/>
    <s v="Wine Sales"/>
    <n v="29.867500000000003"/>
    <n v="0"/>
    <s v="Daily Sales Import"/>
    <n v="-29.867500000000003"/>
    <n v="29.867500000000003"/>
    <x v="2"/>
    <s v="2230"/>
    <s v="000"/>
    <x v="5"/>
    <x v="1"/>
  </r>
  <r>
    <d v="2012-03-14T00:00:00"/>
    <s v="018-2100-000"/>
    <s v="Food Sales"/>
    <n v="4137.78"/>
    <n v="0"/>
    <s v="Daily Sales Import"/>
    <n v="-4137.78"/>
    <n v="4137.78"/>
    <x v="2"/>
    <s v="2100"/>
    <s v="000"/>
    <x v="5"/>
    <x v="1"/>
  </r>
  <r>
    <d v="2012-03-14T00:00:00"/>
    <s v="018-2210-000"/>
    <s v="Liquor Sales"/>
    <n v="1358.9945"/>
    <n v="0"/>
    <s v="Daily Sales Import"/>
    <n v="-1358.9945"/>
    <n v="1358.9945"/>
    <x v="2"/>
    <s v="2210"/>
    <s v="000"/>
    <x v="5"/>
    <x v="1"/>
  </r>
  <r>
    <d v="2012-03-14T00:00:00"/>
    <s v="018-2220-000"/>
    <s v="Beer Sales"/>
    <n v="305.94600000000003"/>
    <n v="0"/>
    <s v="Daily Sales Import"/>
    <n v="-305.94600000000003"/>
    <n v="305.94600000000003"/>
    <x v="2"/>
    <s v="2220"/>
    <s v="000"/>
    <x v="5"/>
    <x v="1"/>
  </r>
  <r>
    <d v="2012-03-14T00:00:00"/>
    <s v="018-2230-000"/>
    <s v="Wine Sales"/>
    <n v="30.634"/>
    <n v="0"/>
    <s v="Daily Sales Import"/>
    <n v="-30.634"/>
    <n v="30.634"/>
    <x v="2"/>
    <s v="2230"/>
    <s v="000"/>
    <x v="5"/>
    <x v="1"/>
  </r>
  <r>
    <d v="2012-03-15T00:00:00"/>
    <s v="018-2100-000"/>
    <s v="Food Sales"/>
    <n v="6069.978000000001"/>
    <n v="0"/>
    <s v="Daily Sales Import"/>
    <n v="-6069.978000000001"/>
    <n v="6069.978000000001"/>
    <x v="2"/>
    <s v="2100"/>
    <s v="000"/>
    <x v="5"/>
    <x v="1"/>
  </r>
  <r>
    <d v="2012-03-15T00:00:00"/>
    <s v="018-2210-000"/>
    <s v="Liquor Sales"/>
    <n v="1085.04"/>
    <n v="0"/>
    <s v="Daily Sales Import"/>
    <n v="-1085.04"/>
    <n v="1085.04"/>
    <x v="2"/>
    <s v="2210"/>
    <s v="000"/>
    <x v="5"/>
    <x v="1"/>
  </r>
  <r>
    <d v="2012-03-15T00:00:00"/>
    <s v="018-2220-000"/>
    <s v="Beer Sales"/>
    <n v="197.125"/>
    <n v="0"/>
    <s v="Daily Sales Import"/>
    <n v="-197.125"/>
    <n v="197.125"/>
    <x v="2"/>
    <s v="2220"/>
    <s v="000"/>
    <x v="5"/>
    <x v="1"/>
  </r>
  <r>
    <d v="2012-03-15T00:00:00"/>
    <s v="018-2230-000"/>
    <s v="Wine Sales"/>
    <n v="94.77000000000001"/>
    <n v="0"/>
    <s v="Daily Sales Import"/>
    <n v="-94.77000000000001"/>
    <n v="94.77000000000001"/>
    <x v="2"/>
    <s v="2230"/>
    <s v="000"/>
    <x v="5"/>
    <x v="1"/>
  </r>
  <r>
    <d v="2012-03-16T00:00:00"/>
    <s v="018-2100-000"/>
    <s v="Food Sales"/>
    <n v="6608.0099999999993"/>
    <n v="0"/>
    <s v="Daily Sales Import"/>
    <n v="-6608.0099999999993"/>
    <n v="6608.0099999999993"/>
    <x v="2"/>
    <s v="2100"/>
    <s v="000"/>
    <x v="5"/>
    <x v="1"/>
  </r>
  <r>
    <d v="2012-03-16T00:00:00"/>
    <s v="018-2210-000"/>
    <s v="Liquor Sales"/>
    <n v="1767.48"/>
    <n v="0"/>
    <s v="Daily Sales Import"/>
    <n v="-1767.48"/>
    <n v="1767.48"/>
    <x v="2"/>
    <s v="2210"/>
    <s v="000"/>
    <x v="5"/>
    <x v="1"/>
  </r>
  <r>
    <d v="2012-03-16T00:00:00"/>
    <s v="018-2220-000"/>
    <s v="Beer Sales"/>
    <n v="532.93650000000002"/>
    <n v="0"/>
    <s v="Daily Sales Import"/>
    <n v="-532.93650000000002"/>
    <n v="532.93650000000002"/>
    <x v="2"/>
    <s v="2220"/>
    <s v="000"/>
    <x v="5"/>
    <x v="1"/>
  </r>
  <r>
    <d v="2012-03-16T00:00:00"/>
    <s v="018-2230-000"/>
    <s v="Wine Sales"/>
    <n v="96.53"/>
    <n v="0"/>
    <s v="Daily Sales Import"/>
    <n v="-96.53"/>
    <n v="96.53"/>
    <x v="2"/>
    <s v="2230"/>
    <s v="000"/>
    <x v="5"/>
    <x v="1"/>
  </r>
  <r>
    <d v="2012-03-17T00:00:00"/>
    <s v="018-2100-000"/>
    <s v="Food Sales"/>
    <n v="15484.567999999999"/>
    <n v="0"/>
    <s v="Daily Sales Import"/>
    <n v="-15484.567999999999"/>
    <n v="15484.567999999999"/>
    <x v="2"/>
    <s v="2100"/>
    <s v="000"/>
    <x v="5"/>
    <x v="1"/>
  </r>
  <r>
    <d v="2012-03-17T00:00:00"/>
    <s v="018-2210-000"/>
    <s v="Liquor Sales"/>
    <n v="3218.4589999999998"/>
    <n v="0"/>
    <s v="Daily Sales Import"/>
    <n v="-3218.4589999999998"/>
    <n v="3218.4589999999998"/>
    <x v="2"/>
    <s v="2210"/>
    <s v="000"/>
    <x v="5"/>
    <x v="1"/>
  </r>
  <r>
    <d v="2012-03-17T00:00:00"/>
    <s v="018-2220-000"/>
    <s v="Beer Sales"/>
    <n v="597.52350000000001"/>
    <n v="0"/>
    <s v="Daily Sales Import"/>
    <n v="-597.52350000000001"/>
    <n v="597.52350000000001"/>
    <x v="2"/>
    <s v="2220"/>
    <s v="000"/>
    <x v="5"/>
    <x v="1"/>
  </r>
  <r>
    <d v="2012-03-17T00:00:00"/>
    <s v="018-2230-000"/>
    <s v="Wine Sales"/>
    <n v="170.93849999999998"/>
    <n v="0"/>
    <s v="Daily Sales Import"/>
    <n v="-170.93849999999998"/>
    <n v="170.93849999999998"/>
    <x v="2"/>
    <s v="2230"/>
    <s v="000"/>
    <x v="5"/>
    <x v="1"/>
  </r>
  <r>
    <d v="2012-03-18T00:00:00"/>
    <s v="018-2100-000"/>
    <s v="Food Sales"/>
    <n v="10717.129500000001"/>
    <n v="0"/>
    <s v="Daily Sales Import"/>
    <n v="-10717.129500000001"/>
    <n v="10717.129500000001"/>
    <x v="2"/>
    <s v="2100"/>
    <s v="000"/>
    <x v="5"/>
    <x v="1"/>
  </r>
  <r>
    <d v="2012-03-18T00:00:00"/>
    <s v="018-2210-000"/>
    <s v="Liquor Sales"/>
    <n v="1301.9689999999998"/>
    <n v="0"/>
    <s v="Daily Sales Import"/>
    <n v="-1301.9689999999998"/>
    <n v="1301.9689999999998"/>
    <x v="2"/>
    <s v="2210"/>
    <s v="000"/>
    <x v="5"/>
    <x v="1"/>
  </r>
  <r>
    <d v="2012-03-18T00:00:00"/>
    <s v="018-2220-000"/>
    <s v="Beer Sales"/>
    <n v="423.83250000000004"/>
    <n v="0"/>
    <s v="Daily Sales Import"/>
    <n v="-423.83250000000004"/>
    <n v="423.83250000000004"/>
    <x v="2"/>
    <s v="2220"/>
    <s v="000"/>
    <x v="5"/>
    <x v="1"/>
  </r>
  <r>
    <d v="2012-03-18T00:00:00"/>
    <s v="018-2230-000"/>
    <s v="Wine Sales"/>
    <n v="103.2925"/>
    <n v="0"/>
    <s v="Daily Sales Import"/>
    <n v="-103.2925"/>
    <n v="103.2925"/>
    <x v="2"/>
    <s v="2230"/>
    <s v="000"/>
    <x v="5"/>
    <x v="1"/>
  </r>
  <r>
    <d v="2012-03-19T00:00:00"/>
    <s v="016-2100-000"/>
    <s v="Food Sales"/>
    <n v="2368.1327999999999"/>
    <n v="0"/>
    <s v="Daily Sales Import"/>
    <n v="-2368.1327999999999"/>
    <n v="2368.1327999999999"/>
    <x v="0"/>
    <s v="2100"/>
    <s v="000"/>
    <x v="5"/>
    <x v="1"/>
  </r>
  <r>
    <d v="2012-03-19T00:00:00"/>
    <s v="016-2210-000"/>
    <s v="Liquor Sales"/>
    <n v="1006.9460000000001"/>
    <n v="0"/>
    <s v="Daily Sales Import"/>
    <n v="-1006.9460000000001"/>
    <n v="1006.9460000000001"/>
    <x v="0"/>
    <s v="2210"/>
    <s v="000"/>
    <x v="5"/>
    <x v="1"/>
  </r>
  <r>
    <d v="2012-03-19T00:00:00"/>
    <s v="016-2220-000"/>
    <s v="Beer Sales"/>
    <n v="113.52"/>
    <n v="0"/>
    <s v="Daily Sales Import"/>
    <n v="-113.52"/>
    <n v="113.52"/>
    <x v="0"/>
    <s v="2220"/>
    <s v="000"/>
    <x v="5"/>
    <x v="1"/>
  </r>
  <r>
    <d v="2012-03-19T00:00:00"/>
    <s v="016-2230-000"/>
    <s v="Wine Sales"/>
    <n v="12.302499999999998"/>
    <n v="0"/>
    <s v="Daily Sales Import"/>
    <n v="-12.302499999999998"/>
    <n v="12.302499999999998"/>
    <x v="0"/>
    <s v="2230"/>
    <s v="000"/>
    <x v="5"/>
    <x v="1"/>
  </r>
  <r>
    <d v="2012-03-20T00:00:00"/>
    <s v="016-2100-000"/>
    <s v="Food Sales"/>
    <n v="2773.5785000000001"/>
    <n v="0"/>
    <s v="Daily Sales Import"/>
    <n v="-2773.5785000000001"/>
    <n v="2773.5785000000001"/>
    <x v="0"/>
    <s v="2100"/>
    <s v="000"/>
    <x v="5"/>
    <x v="1"/>
  </r>
  <r>
    <d v="2012-03-20T00:00:00"/>
    <s v="016-2210-000"/>
    <s v="Liquor Sales"/>
    <n v="1265.1990000000001"/>
    <n v="0"/>
    <s v="Daily Sales Import"/>
    <n v="-1265.1990000000001"/>
    <n v="1265.1990000000001"/>
    <x v="0"/>
    <s v="2210"/>
    <s v="000"/>
    <x v="5"/>
    <x v="1"/>
  </r>
  <r>
    <d v="2012-03-20T00:00:00"/>
    <s v="016-2220-000"/>
    <s v="Beer Sales"/>
    <n v="178.71"/>
    <n v="0"/>
    <s v="Daily Sales Import"/>
    <n v="-178.71"/>
    <n v="178.71"/>
    <x v="0"/>
    <s v="2220"/>
    <s v="000"/>
    <x v="5"/>
    <x v="1"/>
  </r>
  <r>
    <d v="2012-03-20T00:00:00"/>
    <s v="016-2230-000"/>
    <s v="Wine Sales"/>
    <n v="65.891999999999996"/>
    <n v="0"/>
    <s v="Daily Sales Import"/>
    <n v="-65.891999999999996"/>
    <n v="65.891999999999996"/>
    <x v="0"/>
    <s v="2230"/>
    <s v="000"/>
    <x v="5"/>
    <x v="1"/>
  </r>
  <r>
    <d v="2012-03-21T00:00:00"/>
    <s v="016-2100-000"/>
    <s v="Food Sales"/>
    <n v="4170.7539999999999"/>
    <n v="0"/>
    <s v="Daily Sales Import"/>
    <n v="-4170.7539999999999"/>
    <n v="4170.7539999999999"/>
    <x v="0"/>
    <s v="2100"/>
    <s v="000"/>
    <x v="5"/>
    <x v="1"/>
  </r>
  <r>
    <d v="2012-03-21T00:00:00"/>
    <s v="016-2210-000"/>
    <s v="Liquor Sales"/>
    <n v="1553.51"/>
    <n v="0"/>
    <s v="Daily Sales Import"/>
    <n v="-1553.51"/>
    <n v="1553.51"/>
    <x v="0"/>
    <s v="2210"/>
    <s v="000"/>
    <x v="5"/>
    <x v="1"/>
  </r>
  <r>
    <d v="2012-03-21T00:00:00"/>
    <s v="016-2220-000"/>
    <s v="Beer Sales"/>
    <n v="285.27"/>
    <n v="0"/>
    <s v="Daily Sales Import"/>
    <n v="-285.27"/>
    <n v="285.27"/>
    <x v="0"/>
    <s v="2220"/>
    <s v="000"/>
    <x v="5"/>
    <x v="1"/>
  </r>
  <r>
    <d v="2012-03-21T00:00:00"/>
    <s v="016-2230-000"/>
    <s v="Wine Sales"/>
    <n v="100.26299999999999"/>
    <n v="0"/>
    <s v="Daily Sales Import"/>
    <n v="-100.26299999999999"/>
    <n v="100.26299999999999"/>
    <x v="0"/>
    <s v="2230"/>
    <s v="000"/>
    <x v="5"/>
    <x v="1"/>
  </r>
  <r>
    <d v="2012-03-22T00:00:00"/>
    <s v="016-2100-000"/>
    <s v="Food Sales"/>
    <n v="3350.2939999999999"/>
    <n v="0"/>
    <s v="Daily Sales Import"/>
    <n v="-3350.2939999999999"/>
    <n v="3350.2939999999999"/>
    <x v="0"/>
    <s v="2100"/>
    <s v="000"/>
    <x v="5"/>
    <x v="1"/>
  </r>
  <r>
    <d v="2012-03-22T00:00:00"/>
    <s v="016-2210-000"/>
    <s v="Liquor Sales"/>
    <n v="1325.7639999999999"/>
    <n v="0"/>
    <s v="Daily Sales Import"/>
    <n v="-1325.7639999999999"/>
    <n v="1325.7639999999999"/>
    <x v="0"/>
    <s v="2210"/>
    <s v="000"/>
    <x v="5"/>
    <x v="1"/>
  </r>
  <r>
    <d v="2012-03-22T00:00:00"/>
    <s v="016-2220-000"/>
    <s v="Beer Sales"/>
    <n v="160.239"/>
    <n v="0"/>
    <s v="Daily Sales Import"/>
    <n v="-160.239"/>
    <n v="160.239"/>
    <x v="0"/>
    <s v="2220"/>
    <s v="000"/>
    <x v="5"/>
    <x v="1"/>
  </r>
  <r>
    <d v="2012-03-22T00:00:00"/>
    <s v="016-2230-000"/>
    <s v="Wine Sales"/>
    <n v="98.507500000000007"/>
    <n v="0"/>
    <s v="Daily Sales Import"/>
    <n v="-98.507500000000007"/>
    <n v="98.507500000000007"/>
    <x v="0"/>
    <s v="2230"/>
    <s v="000"/>
    <x v="5"/>
    <x v="1"/>
  </r>
  <r>
    <d v="2012-03-23T00:00:00"/>
    <s v="016-2100-000"/>
    <s v="Food Sales"/>
    <n v="8200.7183999999997"/>
    <n v="0"/>
    <s v="Daily Sales Import"/>
    <n v="-8200.7183999999997"/>
    <n v="8200.7183999999997"/>
    <x v="0"/>
    <s v="2100"/>
    <s v="000"/>
    <x v="5"/>
    <x v="1"/>
  </r>
  <r>
    <d v="2012-03-23T00:00:00"/>
    <s v="016-2210-000"/>
    <s v="Liquor Sales"/>
    <n v="3180.1979999999999"/>
    <n v="0"/>
    <s v="Daily Sales Import"/>
    <n v="-3180.1979999999999"/>
    <n v="3180.1979999999999"/>
    <x v="0"/>
    <s v="2210"/>
    <s v="000"/>
    <x v="5"/>
    <x v="1"/>
  </r>
  <r>
    <d v="2012-03-23T00:00:00"/>
    <s v="016-2220-000"/>
    <s v="Beer Sales"/>
    <n v="459.54300000000006"/>
    <n v="0"/>
    <s v="Daily Sales Import"/>
    <n v="-459.54300000000006"/>
    <n v="459.54300000000006"/>
    <x v="0"/>
    <s v="2220"/>
    <s v="000"/>
    <x v="5"/>
    <x v="1"/>
  </r>
  <r>
    <d v="2012-03-23T00:00:00"/>
    <s v="016-2230-000"/>
    <s v="Wine Sales"/>
    <n v="175.19600000000003"/>
    <n v="0"/>
    <s v="Daily Sales Import"/>
    <n v="-175.19600000000003"/>
    <n v="175.19600000000003"/>
    <x v="0"/>
    <s v="2230"/>
    <s v="000"/>
    <x v="5"/>
    <x v="1"/>
  </r>
  <r>
    <d v="2012-03-24T00:00:00"/>
    <s v="016-2100-000"/>
    <s v="Food Sales"/>
    <n v="8570.7199999999993"/>
    <n v="0"/>
    <s v="Daily Sales Import"/>
    <n v="-8570.7199999999993"/>
    <n v="8570.7199999999993"/>
    <x v="0"/>
    <s v="2100"/>
    <s v="000"/>
    <x v="5"/>
    <x v="1"/>
  </r>
  <r>
    <d v="2012-03-24T00:00:00"/>
    <s v="016-2210-000"/>
    <s v="Liquor Sales"/>
    <n v="2561.2860000000001"/>
    <n v="0"/>
    <s v="Daily Sales Import"/>
    <n v="-2561.2860000000001"/>
    <n v="2561.2860000000001"/>
    <x v="0"/>
    <s v="2210"/>
    <s v="000"/>
    <x v="5"/>
    <x v="1"/>
  </r>
  <r>
    <d v="2012-03-24T00:00:00"/>
    <s v="016-2220-000"/>
    <s v="Beer Sales"/>
    <n v="642.54600000000005"/>
    <n v="0"/>
    <s v="Daily Sales Import"/>
    <n v="-642.54600000000005"/>
    <n v="642.54600000000005"/>
    <x v="0"/>
    <s v="2220"/>
    <s v="000"/>
    <x v="5"/>
    <x v="1"/>
  </r>
  <r>
    <d v="2012-03-24T00:00:00"/>
    <s v="016-2230-000"/>
    <s v="Wine Sales"/>
    <n v="143.79300000000001"/>
    <n v="0"/>
    <s v="Daily Sales Import"/>
    <n v="-143.79300000000001"/>
    <n v="143.79300000000001"/>
    <x v="0"/>
    <s v="2230"/>
    <s v="000"/>
    <x v="5"/>
    <x v="1"/>
  </r>
  <r>
    <d v="2012-03-25T00:00:00"/>
    <s v="016-2100-000"/>
    <s v="Food Sales"/>
    <n v="5131.4369999999999"/>
    <n v="0"/>
    <s v="Daily Sales Import"/>
    <n v="-5131.4369999999999"/>
    <n v="5131.4369999999999"/>
    <x v="0"/>
    <s v="2100"/>
    <s v="000"/>
    <x v="5"/>
    <x v="1"/>
  </r>
  <r>
    <d v="2012-03-25T00:00:00"/>
    <s v="016-2210-000"/>
    <s v="Liquor Sales"/>
    <n v="1649.06"/>
    <n v="0"/>
    <s v="Daily Sales Import"/>
    <n v="-1649.06"/>
    <n v="1649.06"/>
    <x v="0"/>
    <s v="2210"/>
    <s v="000"/>
    <x v="5"/>
    <x v="1"/>
  </r>
  <r>
    <d v="2012-03-25T00:00:00"/>
    <s v="016-2220-000"/>
    <s v="Beer Sales"/>
    <n v="245.952"/>
    <n v="0"/>
    <s v="Daily Sales Import"/>
    <n v="-245.952"/>
    <n v="245.952"/>
    <x v="0"/>
    <s v="2220"/>
    <s v="000"/>
    <x v="5"/>
    <x v="1"/>
  </r>
  <r>
    <d v="2012-03-25T00:00:00"/>
    <s v="016-2230-000"/>
    <s v="Wine Sales"/>
    <n v="142.04400000000001"/>
    <n v="0"/>
    <s v="Daily Sales Import"/>
    <n v="-142.04400000000001"/>
    <n v="142.04400000000001"/>
    <x v="0"/>
    <s v="2230"/>
    <s v="000"/>
    <x v="5"/>
    <x v="1"/>
  </r>
  <r>
    <d v="2012-03-19T00:00:00"/>
    <s v="017-2100-000"/>
    <s v="Food Sales"/>
    <n v="4473.3204999999998"/>
    <n v="0"/>
    <s v="Daily Sales Import"/>
    <n v="-4473.3204999999998"/>
    <n v="4473.3204999999998"/>
    <x v="1"/>
    <s v="2100"/>
    <s v="000"/>
    <x v="5"/>
    <x v="1"/>
  </r>
  <r>
    <d v="2012-03-19T00:00:00"/>
    <s v="017-2210-000"/>
    <s v="Liquor Sales"/>
    <n v="1350.8924999999999"/>
    <n v="0"/>
    <s v="Daily Sales Import"/>
    <n v="-1350.8924999999999"/>
    <n v="1350.8924999999999"/>
    <x v="1"/>
    <s v="2210"/>
    <s v="000"/>
    <x v="5"/>
    <x v="1"/>
  </r>
  <r>
    <d v="2012-03-19T00:00:00"/>
    <s v="017-2220-000"/>
    <s v="Beer Sales"/>
    <n v="332.23499999999996"/>
    <n v="0"/>
    <s v="Daily Sales Import"/>
    <n v="-332.23499999999996"/>
    <n v="332.23499999999996"/>
    <x v="1"/>
    <s v="2220"/>
    <s v="000"/>
    <x v="5"/>
    <x v="1"/>
  </r>
  <r>
    <d v="2012-03-19T00:00:00"/>
    <s v="017-2230-000"/>
    <s v="Wine Sales"/>
    <n v="127.5425"/>
    <n v="0"/>
    <s v="Daily Sales Import"/>
    <n v="-127.5425"/>
    <n v="127.5425"/>
    <x v="1"/>
    <s v="2230"/>
    <s v="000"/>
    <x v="5"/>
    <x v="1"/>
  </r>
  <r>
    <d v="2012-03-20T00:00:00"/>
    <s v="017-2100-000"/>
    <s v="Food Sales"/>
    <n v="5029.5493000000006"/>
    <n v="0"/>
    <s v="Daily Sales Import"/>
    <n v="-5029.5493000000006"/>
    <n v="5029.5493000000006"/>
    <x v="1"/>
    <s v="2100"/>
    <s v="000"/>
    <x v="5"/>
    <x v="1"/>
  </r>
  <r>
    <d v="2012-03-20T00:00:00"/>
    <s v="017-2210-000"/>
    <s v="Liquor Sales"/>
    <n v="1683.296"/>
    <n v="0"/>
    <s v="Daily Sales Import"/>
    <n v="-1683.296"/>
    <n v="1683.296"/>
    <x v="1"/>
    <s v="2210"/>
    <s v="000"/>
    <x v="5"/>
    <x v="1"/>
  </r>
  <r>
    <d v="2012-03-20T00:00:00"/>
    <s v="017-2220-000"/>
    <s v="Beer Sales"/>
    <n v="786.88749999999993"/>
    <n v="0"/>
    <s v="Daily Sales Import"/>
    <n v="-786.88749999999993"/>
    <n v="786.88749999999993"/>
    <x v="1"/>
    <s v="2220"/>
    <s v="000"/>
    <x v="5"/>
    <x v="1"/>
  </r>
  <r>
    <d v="2012-03-20T00:00:00"/>
    <s v="017-2230-000"/>
    <s v="Wine Sales"/>
    <n v="137.81549999999999"/>
    <n v="0"/>
    <s v="Daily Sales Import"/>
    <n v="-137.81549999999999"/>
    <n v="137.81549999999999"/>
    <x v="1"/>
    <s v="2230"/>
    <s v="000"/>
    <x v="5"/>
    <x v="1"/>
  </r>
  <r>
    <d v="2012-03-21T00:00:00"/>
    <s v="017-2100-000"/>
    <s v="Food Sales"/>
    <n v="5237.2950000000001"/>
    <n v="0"/>
    <s v="Daily Sales Import"/>
    <n v="-5237.2950000000001"/>
    <n v="5237.2950000000001"/>
    <x v="1"/>
    <s v="2100"/>
    <s v="000"/>
    <x v="5"/>
    <x v="1"/>
  </r>
  <r>
    <d v="2012-03-21T00:00:00"/>
    <s v="017-2210-000"/>
    <s v="Liquor Sales"/>
    <n v="1218.1659999999999"/>
    <n v="0"/>
    <s v="Daily Sales Import"/>
    <n v="-1218.1659999999999"/>
    <n v="1218.1659999999999"/>
    <x v="1"/>
    <s v="2210"/>
    <s v="000"/>
    <x v="5"/>
    <x v="1"/>
  </r>
  <r>
    <d v="2012-03-21T00:00:00"/>
    <s v="017-2220-000"/>
    <s v="Beer Sales"/>
    <n v="512.4"/>
    <n v="0"/>
    <s v="Daily Sales Import"/>
    <n v="-512.4"/>
    <n v="512.4"/>
    <x v="1"/>
    <s v="2220"/>
    <s v="000"/>
    <x v="5"/>
    <x v="1"/>
  </r>
  <r>
    <d v="2012-03-21T00:00:00"/>
    <s v="017-2230-000"/>
    <s v="Wine Sales"/>
    <n v="52.688000000000002"/>
    <n v="0"/>
    <s v="Daily Sales Import"/>
    <n v="-52.688000000000002"/>
    <n v="52.688000000000002"/>
    <x v="1"/>
    <s v="2230"/>
    <s v="000"/>
    <x v="5"/>
    <x v="1"/>
  </r>
  <r>
    <d v="2012-03-22T00:00:00"/>
    <s v="017-2100-000"/>
    <s v="Food Sales"/>
    <n v="9005.4146000000001"/>
    <n v="0"/>
    <s v="Daily Sales Import"/>
    <n v="-9005.4146000000001"/>
    <n v="9005.4146000000001"/>
    <x v="1"/>
    <s v="2100"/>
    <s v="000"/>
    <x v="5"/>
    <x v="1"/>
  </r>
  <r>
    <d v="2012-03-22T00:00:00"/>
    <s v="017-2210-000"/>
    <s v="Liquor Sales"/>
    <n v="3478.0734999999995"/>
    <n v="0"/>
    <s v="Daily Sales Import"/>
    <n v="-3478.0734999999995"/>
    <n v="3478.0734999999995"/>
    <x v="1"/>
    <s v="2210"/>
    <s v="000"/>
    <x v="5"/>
    <x v="1"/>
  </r>
  <r>
    <d v="2012-03-22T00:00:00"/>
    <s v="017-2220-000"/>
    <s v="Beer Sales"/>
    <n v="897.76749999999993"/>
    <n v="0"/>
    <s v="Daily Sales Import"/>
    <n v="-897.76749999999993"/>
    <n v="897.76749999999993"/>
    <x v="1"/>
    <s v="2220"/>
    <s v="000"/>
    <x v="5"/>
    <x v="1"/>
  </r>
  <r>
    <d v="2012-03-22T00:00:00"/>
    <s v="017-2230-000"/>
    <s v="Wine Sales"/>
    <n v="277.56400000000002"/>
    <n v="0"/>
    <s v="Daily Sales Import"/>
    <n v="-277.56400000000002"/>
    <n v="277.56400000000002"/>
    <x v="1"/>
    <s v="2230"/>
    <s v="000"/>
    <x v="5"/>
    <x v="1"/>
  </r>
  <r>
    <d v="2012-03-23T00:00:00"/>
    <s v="017-2100-000"/>
    <s v="Food Sales"/>
    <n v="8415.1375999999982"/>
    <n v="0"/>
    <s v="Daily Sales Import"/>
    <n v="-8415.1375999999982"/>
    <n v="8415.1375999999982"/>
    <x v="1"/>
    <s v="2100"/>
    <s v="000"/>
    <x v="5"/>
    <x v="1"/>
  </r>
  <r>
    <d v="2012-03-23T00:00:00"/>
    <s v="017-2210-000"/>
    <s v="Liquor Sales"/>
    <n v="3038.5185000000001"/>
    <n v="0"/>
    <s v="Daily Sales Import"/>
    <n v="-3038.5185000000001"/>
    <n v="3038.5185000000001"/>
    <x v="1"/>
    <s v="2210"/>
    <s v="000"/>
    <x v="5"/>
    <x v="1"/>
  </r>
  <r>
    <d v="2012-03-23T00:00:00"/>
    <s v="017-2220-000"/>
    <s v="Beer Sales"/>
    <n v="554.04999999999995"/>
    <n v="0"/>
    <s v="Daily Sales Import"/>
    <n v="-554.04999999999995"/>
    <n v="554.04999999999995"/>
    <x v="1"/>
    <s v="2220"/>
    <s v="000"/>
    <x v="5"/>
    <x v="1"/>
  </r>
  <r>
    <d v="2012-03-23T00:00:00"/>
    <s v="017-2230-000"/>
    <s v="Wine Sales"/>
    <n v="114.5275"/>
    <n v="0"/>
    <s v="Daily Sales Import"/>
    <n v="-114.5275"/>
    <n v="114.5275"/>
    <x v="1"/>
    <s v="2230"/>
    <s v="000"/>
    <x v="5"/>
    <x v="1"/>
  </r>
  <r>
    <d v="2012-03-24T00:00:00"/>
    <s v="017-2100-000"/>
    <s v="Food Sales"/>
    <n v="9260.8052000000007"/>
    <n v="0"/>
    <s v="Daily Sales Import"/>
    <n v="-9260.8052000000007"/>
    <n v="9260.8052000000007"/>
    <x v="1"/>
    <s v="2100"/>
    <s v="000"/>
    <x v="5"/>
    <x v="1"/>
  </r>
  <r>
    <d v="2012-03-24T00:00:00"/>
    <s v="017-2210-000"/>
    <s v="Liquor Sales"/>
    <n v="2313.5165000000002"/>
    <n v="0"/>
    <s v="Daily Sales Import"/>
    <n v="-2313.5165000000002"/>
    <n v="2313.5165000000002"/>
    <x v="1"/>
    <s v="2210"/>
    <s v="000"/>
    <x v="5"/>
    <x v="1"/>
  </r>
  <r>
    <d v="2012-03-24T00:00:00"/>
    <s v="017-2220-000"/>
    <s v="Beer Sales"/>
    <n v="573.41000000000008"/>
    <n v="0"/>
    <s v="Daily Sales Import"/>
    <n v="-573.41000000000008"/>
    <n v="573.41000000000008"/>
    <x v="1"/>
    <s v="2220"/>
    <s v="000"/>
    <x v="5"/>
    <x v="1"/>
  </r>
  <r>
    <d v="2012-03-24T00:00:00"/>
    <s v="017-2230-000"/>
    <s v="Wine Sales"/>
    <n v="107.52"/>
    <n v="0"/>
    <s v="Daily Sales Import"/>
    <n v="-107.52"/>
    <n v="107.52"/>
    <x v="1"/>
    <s v="2230"/>
    <s v="000"/>
    <x v="5"/>
    <x v="1"/>
  </r>
  <r>
    <d v="2012-03-25T00:00:00"/>
    <s v="017-2100-000"/>
    <s v="Food Sales"/>
    <n v="4360.6720000000005"/>
    <n v="0"/>
    <s v="Daily Sales Import"/>
    <n v="-4360.6720000000005"/>
    <n v="4360.6720000000005"/>
    <x v="1"/>
    <s v="2100"/>
    <s v="000"/>
    <x v="5"/>
    <x v="1"/>
  </r>
  <r>
    <d v="2012-03-25T00:00:00"/>
    <s v="017-2210-000"/>
    <s v="Liquor Sales"/>
    <n v="1187.1624999999999"/>
    <n v="0"/>
    <s v="Daily Sales Import"/>
    <n v="-1187.1624999999999"/>
    <n v="1187.1624999999999"/>
    <x v="1"/>
    <s v="2210"/>
    <s v="000"/>
    <x v="5"/>
    <x v="1"/>
  </r>
  <r>
    <d v="2012-03-25T00:00:00"/>
    <s v="017-2220-000"/>
    <s v="Beer Sales"/>
    <n v="146.88499999999999"/>
    <n v="0"/>
    <s v="Daily Sales Import"/>
    <n v="-146.88499999999999"/>
    <n v="146.88499999999999"/>
    <x v="1"/>
    <s v="2220"/>
    <s v="000"/>
    <x v="5"/>
    <x v="1"/>
  </r>
  <r>
    <d v="2012-03-25T00:00:00"/>
    <s v="017-2230-000"/>
    <s v="Wine Sales"/>
    <n v="136.01"/>
    <n v="0"/>
    <s v="Daily Sales Import"/>
    <n v="-136.01"/>
    <n v="136.01"/>
    <x v="1"/>
    <s v="2230"/>
    <s v="000"/>
    <x v="5"/>
    <x v="1"/>
  </r>
  <r>
    <d v="2012-03-19T00:00:00"/>
    <s v="018-2100-000"/>
    <s v="Food Sales"/>
    <n v="3994.2420000000002"/>
    <n v="0"/>
    <s v="Daily Sales Import"/>
    <n v="-3994.2420000000002"/>
    <n v="3994.2420000000002"/>
    <x v="2"/>
    <s v="2100"/>
    <s v="000"/>
    <x v="5"/>
    <x v="1"/>
  </r>
  <r>
    <d v="2012-03-19T00:00:00"/>
    <s v="018-2210-000"/>
    <s v="Liquor Sales"/>
    <n v="705.18"/>
    <n v="0"/>
    <s v="Daily Sales Import"/>
    <n v="-705.18"/>
    <n v="705.18"/>
    <x v="2"/>
    <s v="2210"/>
    <s v="000"/>
    <x v="5"/>
    <x v="1"/>
  </r>
  <r>
    <d v="2012-03-19T00:00:00"/>
    <s v="018-2220-000"/>
    <s v="Beer Sales"/>
    <n v="170.34549999999999"/>
    <n v="0"/>
    <s v="Daily Sales Import"/>
    <n v="-170.34549999999999"/>
    <n v="170.34549999999999"/>
    <x v="2"/>
    <s v="2220"/>
    <s v="000"/>
    <x v="5"/>
    <x v="1"/>
  </r>
  <r>
    <d v="2012-03-19T00:00:00"/>
    <s v="018-2230-000"/>
    <s v="Wine Sales"/>
    <n v="17.876999999999999"/>
    <n v="0"/>
    <s v="Daily Sales Import"/>
    <n v="-17.876999999999999"/>
    <n v="17.876999999999999"/>
    <x v="2"/>
    <s v="2230"/>
    <s v="000"/>
    <x v="5"/>
    <x v="1"/>
  </r>
  <r>
    <d v="2012-03-20T00:00:00"/>
    <s v="018-2100-000"/>
    <s v="Food Sales"/>
    <n v="4773.2150000000001"/>
    <n v="0"/>
    <s v="Daily Sales Import"/>
    <n v="-4773.2150000000001"/>
    <n v="4773.2150000000001"/>
    <x v="2"/>
    <s v="2100"/>
    <s v="000"/>
    <x v="5"/>
    <x v="1"/>
  </r>
  <r>
    <d v="2012-03-20T00:00:00"/>
    <s v="018-2210-000"/>
    <s v="Liquor Sales"/>
    <n v="718.89400000000001"/>
    <n v="0"/>
    <s v="Daily Sales Import"/>
    <n v="-718.89400000000001"/>
    <n v="718.89400000000001"/>
    <x v="2"/>
    <s v="2210"/>
    <s v="000"/>
    <x v="5"/>
    <x v="1"/>
  </r>
  <r>
    <d v="2012-03-20T00:00:00"/>
    <s v="018-2220-000"/>
    <s v="Beer Sales"/>
    <n v="125.15400000000001"/>
    <n v="0"/>
    <s v="Daily Sales Import"/>
    <n v="-125.15400000000001"/>
    <n v="125.15400000000001"/>
    <x v="2"/>
    <s v="2220"/>
    <s v="000"/>
    <x v="5"/>
    <x v="1"/>
  </r>
  <r>
    <d v="2012-03-20T00:00:00"/>
    <s v="018-2230-000"/>
    <s v="Wine Sales"/>
    <n v="32.230000000000004"/>
    <n v="0"/>
    <s v="Daily Sales Import"/>
    <n v="-32.230000000000004"/>
    <n v="32.230000000000004"/>
    <x v="2"/>
    <s v="2230"/>
    <s v="000"/>
    <x v="5"/>
    <x v="1"/>
  </r>
  <r>
    <d v="2012-03-21T00:00:00"/>
    <s v="018-2100-000"/>
    <s v="Food Sales"/>
    <n v="4627.1220000000003"/>
    <n v="0"/>
    <s v="Daily Sales Import"/>
    <n v="-4627.1220000000003"/>
    <n v="4627.1220000000003"/>
    <x v="2"/>
    <s v="2100"/>
    <s v="000"/>
    <x v="5"/>
    <x v="1"/>
  </r>
  <r>
    <d v="2012-03-21T00:00:00"/>
    <s v="018-2210-000"/>
    <s v="Liquor Sales"/>
    <n v="547.2589999999999"/>
    <n v="0"/>
    <s v="Daily Sales Import"/>
    <n v="-547.2589999999999"/>
    <n v="547.2589999999999"/>
    <x v="2"/>
    <s v="2210"/>
    <s v="000"/>
    <x v="5"/>
    <x v="1"/>
  </r>
  <r>
    <d v="2012-03-21T00:00:00"/>
    <s v="018-2220-000"/>
    <s v="Beer Sales"/>
    <n v="119.268"/>
    <n v="0"/>
    <s v="Daily Sales Import"/>
    <n v="-119.268"/>
    <n v="119.268"/>
    <x v="2"/>
    <s v="2220"/>
    <s v="000"/>
    <x v="5"/>
    <x v="1"/>
  </r>
  <r>
    <d v="2012-03-21T00:00:00"/>
    <s v="018-2230-000"/>
    <s v="Wine Sales"/>
    <n v="84.8065"/>
    <n v="0"/>
    <s v="Daily Sales Import"/>
    <n v="-84.8065"/>
    <n v="84.8065"/>
    <x v="2"/>
    <s v="2230"/>
    <s v="000"/>
    <x v="5"/>
    <x v="1"/>
  </r>
  <r>
    <d v="2012-03-22T00:00:00"/>
    <s v="018-2100-000"/>
    <s v="Food Sales"/>
    <n v="6307.1629999999996"/>
    <n v="0"/>
    <s v="Daily Sales Import"/>
    <n v="-6307.1629999999996"/>
    <n v="6307.1629999999996"/>
    <x v="2"/>
    <s v="2100"/>
    <s v="000"/>
    <x v="5"/>
    <x v="1"/>
  </r>
  <r>
    <d v="2012-03-22T00:00:00"/>
    <s v="018-2210-000"/>
    <s v="Liquor Sales"/>
    <n v="1319.2605000000001"/>
    <n v="0"/>
    <s v="Daily Sales Import"/>
    <n v="-1319.2605000000001"/>
    <n v="1319.2605000000001"/>
    <x v="2"/>
    <s v="2210"/>
    <s v="000"/>
    <x v="5"/>
    <x v="1"/>
  </r>
  <r>
    <d v="2012-03-22T00:00:00"/>
    <s v="018-2220-000"/>
    <s v="Beer Sales"/>
    <n v="304.95400000000001"/>
    <n v="0"/>
    <s v="Daily Sales Import"/>
    <n v="-304.95400000000001"/>
    <n v="304.95400000000001"/>
    <x v="2"/>
    <s v="2220"/>
    <s v="000"/>
    <x v="5"/>
    <x v="1"/>
  </r>
  <r>
    <d v="2012-03-22T00:00:00"/>
    <s v="018-2230-000"/>
    <s v="Wine Sales"/>
    <n v="84.719999999999985"/>
    <n v="0"/>
    <s v="Daily Sales Import"/>
    <n v="-84.719999999999985"/>
    <n v="84.719999999999985"/>
    <x v="2"/>
    <s v="2230"/>
    <s v="000"/>
    <x v="5"/>
    <x v="1"/>
  </r>
  <r>
    <d v="2012-03-23T00:00:00"/>
    <s v="018-2100-000"/>
    <s v="Food Sales"/>
    <n v="10346.200000000001"/>
    <n v="0"/>
    <s v="Daily Sales Import"/>
    <n v="-10346.200000000001"/>
    <n v="10346.200000000001"/>
    <x v="2"/>
    <s v="2100"/>
    <s v="000"/>
    <x v="5"/>
    <x v="1"/>
  </r>
  <r>
    <d v="2012-03-23T00:00:00"/>
    <s v="018-2210-000"/>
    <s v="Liquor Sales"/>
    <n v="3149.2550000000001"/>
    <n v="0"/>
    <s v="Daily Sales Import"/>
    <n v="-3149.2550000000001"/>
    <n v="3149.2550000000001"/>
    <x v="2"/>
    <s v="2210"/>
    <s v="000"/>
    <x v="5"/>
    <x v="1"/>
  </r>
  <r>
    <d v="2012-03-23T00:00:00"/>
    <s v="018-2220-000"/>
    <s v="Beer Sales"/>
    <n v="459.92999999999995"/>
    <n v="0"/>
    <s v="Daily Sales Import"/>
    <n v="-459.92999999999995"/>
    <n v="459.92999999999995"/>
    <x v="2"/>
    <s v="2220"/>
    <s v="000"/>
    <x v="5"/>
    <x v="1"/>
  </r>
  <r>
    <d v="2012-03-23T00:00:00"/>
    <s v="018-2230-000"/>
    <s v="Wine Sales"/>
    <n v="114.75200000000001"/>
    <n v="0"/>
    <s v="Daily Sales Import"/>
    <n v="-114.75200000000001"/>
    <n v="114.75200000000001"/>
    <x v="2"/>
    <s v="2230"/>
    <s v="000"/>
    <x v="5"/>
    <x v="1"/>
  </r>
  <r>
    <d v="2012-03-24T00:00:00"/>
    <s v="018-2100-000"/>
    <s v="Food Sales"/>
    <n v="14075.512500000001"/>
    <n v="0"/>
    <s v="Daily Sales Import"/>
    <n v="-14075.512500000001"/>
    <n v="14075.512500000001"/>
    <x v="2"/>
    <s v="2100"/>
    <s v="000"/>
    <x v="5"/>
    <x v="1"/>
  </r>
  <r>
    <d v="2012-03-24T00:00:00"/>
    <s v="018-2210-000"/>
    <s v="Liquor Sales"/>
    <n v="4025.5520000000006"/>
    <n v="0"/>
    <s v="Daily Sales Import"/>
    <n v="-4025.5520000000006"/>
    <n v="4025.5520000000006"/>
    <x v="2"/>
    <s v="2210"/>
    <s v="000"/>
    <x v="5"/>
    <x v="1"/>
  </r>
  <r>
    <d v="2012-03-24T00:00:00"/>
    <s v="018-2220-000"/>
    <s v="Beer Sales"/>
    <n v="595.851"/>
    <n v="0"/>
    <s v="Daily Sales Import"/>
    <n v="-595.851"/>
    <n v="595.851"/>
    <x v="2"/>
    <s v="2220"/>
    <s v="000"/>
    <x v="5"/>
    <x v="1"/>
  </r>
  <r>
    <d v="2012-03-24T00:00:00"/>
    <s v="018-2230-000"/>
    <s v="Wine Sales"/>
    <n v="53.372"/>
    <n v="0"/>
    <s v="Daily Sales Import"/>
    <n v="-53.372"/>
    <n v="53.372"/>
    <x v="2"/>
    <s v="2230"/>
    <s v="000"/>
    <x v="5"/>
    <x v="1"/>
  </r>
  <r>
    <d v="2012-03-25T00:00:00"/>
    <s v="018-2100-000"/>
    <s v="Food Sales"/>
    <n v="11840.584000000001"/>
    <n v="0"/>
    <s v="Daily Sales Import"/>
    <n v="-11840.584000000001"/>
    <n v="11840.584000000001"/>
    <x v="2"/>
    <s v="2100"/>
    <s v="000"/>
    <x v="5"/>
    <x v="1"/>
  </r>
  <r>
    <d v="2012-03-25T00:00:00"/>
    <s v="018-2210-000"/>
    <s v="Liquor Sales"/>
    <n v="1094.9714999999999"/>
    <n v="0"/>
    <s v="Daily Sales Import"/>
    <n v="-1094.9714999999999"/>
    <n v="1094.9714999999999"/>
    <x v="2"/>
    <s v="2210"/>
    <s v="000"/>
    <x v="5"/>
    <x v="1"/>
  </r>
  <r>
    <d v="2012-03-25T00:00:00"/>
    <s v="018-2220-000"/>
    <s v="Beer Sales"/>
    <n v="178.26300000000001"/>
    <n v="0"/>
    <s v="Daily Sales Import"/>
    <n v="-178.26300000000001"/>
    <n v="178.26300000000001"/>
    <x v="2"/>
    <s v="2220"/>
    <s v="000"/>
    <x v="5"/>
    <x v="1"/>
  </r>
  <r>
    <d v="2012-03-25T00:00:00"/>
    <s v="018-2230-000"/>
    <s v="Wine Sales"/>
    <n v="168.67250000000001"/>
    <n v="0"/>
    <s v="Daily Sales Import"/>
    <n v="-168.67250000000001"/>
    <n v="168.67250000000001"/>
    <x v="2"/>
    <s v="2230"/>
    <s v="000"/>
    <x v="5"/>
    <x v="1"/>
  </r>
  <r>
    <d v="2012-03-26T00:00:00"/>
    <s v="016-2100-000"/>
    <s v="Food Sales"/>
    <n v="3232.3977"/>
    <n v="0"/>
    <s v="Daily Sales Import"/>
    <n v="-3232.3977"/>
    <n v="3232.3977"/>
    <x v="0"/>
    <s v="2100"/>
    <s v="000"/>
    <x v="5"/>
    <x v="1"/>
  </r>
  <r>
    <d v="2012-03-26T00:00:00"/>
    <s v="016-2210-000"/>
    <s v="Liquor Sales"/>
    <n v="1123.3174999999999"/>
    <n v="0"/>
    <s v="Daily Sales Import"/>
    <n v="-1123.3174999999999"/>
    <n v="1123.3174999999999"/>
    <x v="0"/>
    <s v="2210"/>
    <s v="000"/>
    <x v="5"/>
    <x v="1"/>
  </r>
  <r>
    <d v="2012-03-26T00:00:00"/>
    <s v="016-2220-000"/>
    <s v="Beer Sales"/>
    <n v="159.89999999999998"/>
    <n v="0"/>
    <s v="Daily Sales Import"/>
    <n v="-159.89999999999998"/>
    <n v="159.89999999999998"/>
    <x v="0"/>
    <s v="2220"/>
    <s v="000"/>
    <x v="5"/>
    <x v="1"/>
  </r>
  <r>
    <d v="2012-03-26T00:00:00"/>
    <s v="016-2230-000"/>
    <s v="Wine Sales"/>
    <n v="36.224999999999994"/>
    <n v="0"/>
    <s v="Daily Sales Import"/>
    <n v="-36.224999999999994"/>
    <n v="36.224999999999994"/>
    <x v="0"/>
    <s v="2230"/>
    <s v="000"/>
    <x v="5"/>
    <x v="1"/>
  </r>
  <r>
    <d v="2012-03-27T00:00:00"/>
    <s v="016-2100-000"/>
    <s v="Food Sales"/>
    <n v="3692.7633999999998"/>
    <n v="0"/>
    <s v="Daily Sales Import"/>
    <n v="-3692.7633999999998"/>
    <n v="3692.7633999999998"/>
    <x v="0"/>
    <s v="2100"/>
    <s v="000"/>
    <x v="5"/>
    <x v="1"/>
  </r>
  <r>
    <d v="2012-03-27T00:00:00"/>
    <s v="016-2210-000"/>
    <s v="Liquor Sales"/>
    <n v="1395.558"/>
    <n v="0"/>
    <s v="Daily Sales Import"/>
    <n v="-1395.558"/>
    <n v="1395.558"/>
    <x v="0"/>
    <s v="2210"/>
    <s v="000"/>
    <x v="5"/>
    <x v="1"/>
  </r>
  <r>
    <d v="2012-03-27T00:00:00"/>
    <s v="016-2220-000"/>
    <s v="Beer Sales"/>
    <n v="130.92750000000001"/>
    <n v="0"/>
    <s v="Daily Sales Import"/>
    <n v="-130.92750000000001"/>
    <n v="130.92750000000001"/>
    <x v="0"/>
    <s v="2220"/>
    <s v="000"/>
    <x v="5"/>
    <x v="1"/>
  </r>
  <r>
    <d v="2012-03-27T00:00:00"/>
    <s v="016-2230-000"/>
    <s v="Wine Sales"/>
    <n v="101.80500000000001"/>
    <n v="0"/>
    <s v="Daily Sales Import"/>
    <n v="-101.80500000000001"/>
    <n v="101.80500000000001"/>
    <x v="0"/>
    <s v="2230"/>
    <s v="000"/>
    <x v="5"/>
    <x v="1"/>
  </r>
  <r>
    <d v="2012-03-28T00:00:00"/>
    <s v="016-2100-000"/>
    <s v="Food Sales"/>
    <n v="3141.7430000000004"/>
    <n v="0"/>
    <s v="Daily Sales Import"/>
    <n v="-3141.7430000000004"/>
    <n v="3141.7430000000004"/>
    <x v="0"/>
    <s v="2100"/>
    <s v="000"/>
    <x v="5"/>
    <x v="1"/>
  </r>
  <r>
    <d v="2012-03-28T00:00:00"/>
    <s v="016-2210-000"/>
    <s v="Liquor Sales"/>
    <n v="1234.0999999999999"/>
    <n v="0"/>
    <s v="Daily Sales Import"/>
    <n v="-1234.0999999999999"/>
    <n v="1234.0999999999999"/>
    <x v="0"/>
    <s v="2210"/>
    <s v="000"/>
    <x v="5"/>
    <x v="1"/>
  </r>
  <r>
    <d v="2012-03-28T00:00:00"/>
    <s v="016-2220-000"/>
    <s v="Beer Sales"/>
    <n v="174.53699999999998"/>
    <n v="0"/>
    <s v="Daily Sales Import"/>
    <n v="-174.53699999999998"/>
    <n v="174.53699999999998"/>
    <x v="0"/>
    <s v="2220"/>
    <s v="000"/>
    <x v="5"/>
    <x v="1"/>
  </r>
  <r>
    <d v="2012-03-28T00:00:00"/>
    <s v="016-2230-000"/>
    <s v="Wine Sales"/>
    <n v="120.47499999999999"/>
    <n v="0"/>
    <s v="Daily Sales Import"/>
    <n v="-120.47499999999999"/>
    <n v="120.47499999999999"/>
    <x v="0"/>
    <s v="2230"/>
    <s v="000"/>
    <x v="5"/>
    <x v="1"/>
  </r>
  <r>
    <d v="2012-03-29T00:00:00"/>
    <s v="016-2100-000"/>
    <s v="Food Sales"/>
    <n v="5094.6732000000002"/>
    <n v="0"/>
    <s v="Daily Sales Import"/>
    <n v="-5094.6732000000002"/>
    <n v="5094.6732000000002"/>
    <x v="0"/>
    <s v="2100"/>
    <s v="000"/>
    <x v="5"/>
    <x v="1"/>
  </r>
  <r>
    <d v="2012-03-29T00:00:00"/>
    <s v="016-2210-000"/>
    <s v="Liquor Sales"/>
    <n v="1121.77"/>
    <n v="0"/>
    <s v="Daily Sales Import"/>
    <n v="-1121.77"/>
    <n v="1121.77"/>
    <x v="0"/>
    <s v="2210"/>
    <s v="000"/>
    <x v="5"/>
    <x v="1"/>
  </r>
  <r>
    <d v="2012-03-29T00:00:00"/>
    <s v="016-2220-000"/>
    <s v="Beer Sales"/>
    <n v="173.07"/>
    <n v="0"/>
    <s v="Daily Sales Import"/>
    <n v="-173.07"/>
    <n v="173.07"/>
    <x v="0"/>
    <s v="2220"/>
    <s v="000"/>
    <x v="5"/>
    <x v="1"/>
  </r>
  <r>
    <d v="2012-03-29T00:00:00"/>
    <s v="016-2230-000"/>
    <s v="Wine Sales"/>
    <n v="161.56"/>
    <n v="0"/>
    <s v="Daily Sales Import"/>
    <n v="-161.56"/>
    <n v="161.56"/>
    <x v="0"/>
    <s v="2230"/>
    <s v="000"/>
    <x v="5"/>
    <x v="1"/>
  </r>
  <r>
    <d v="2012-03-30T00:00:00"/>
    <s v="016-2100-000"/>
    <s v="Food Sales"/>
    <n v="9804.0123999999996"/>
    <n v="0"/>
    <s v="Daily Sales Import"/>
    <n v="-9804.0123999999996"/>
    <n v="9804.0123999999996"/>
    <x v="0"/>
    <s v="2100"/>
    <s v="000"/>
    <x v="5"/>
    <x v="1"/>
  </r>
  <r>
    <d v="2012-03-30T00:00:00"/>
    <s v="016-2210-000"/>
    <s v="Liquor Sales"/>
    <n v="2735.1349999999998"/>
    <n v="0"/>
    <s v="Daily Sales Import"/>
    <n v="-2735.1349999999998"/>
    <n v="2735.1349999999998"/>
    <x v="0"/>
    <s v="2210"/>
    <s v="000"/>
    <x v="5"/>
    <x v="1"/>
  </r>
  <r>
    <d v="2012-03-30T00:00:00"/>
    <s v="016-2220-000"/>
    <s v="Beer Sales"/>
    <n v="376.8"/>
    <n v="0"/>
    <s v="Daily Sales Import"/>
    <n v="-376.8"/>
    <n v="376.8"/>
    <x v="0"/>
    <s v="2220"/>
    <s v="000"/>
    <x v="5"/>
    <x v="1"/>
  </r>
  <r>
    <d v="2012-03-30T00:00:00"/>
    <s v="016-2230-000"/>
    <s v="Wine Sales"/>
    <n v="264.745"/>
    <n v="0"/>
    <s v="Daily Sales Import"/>
    <n v="-264.745"/>
    <n v="264.745"/>
    <x v="0"/>
    <s v="2230"/>
    <s v="000"/>
    <x v="5"/>
    <x v="1"/>
  </r>
  <r>
    <d v="2012-03-31T00:00:00"/>
    <s v="016-2100-000"/>
    <s v="Food Sales"/>
    <n v="6586.0032000000001"/>
    <n v="0"/>
    <s v="Daily Sales Import"/>
    <n v="-6586.0032000000001"/>
    <n v="6586.0032000000001"/>
    <x v="0"/>
    <s v="2100"/>
    <s v="000"/>
    <x v="5"/>
    <x v="1"/>
  </r>
  <r>
    <d v="2012-03-31T00:00:00"/>
    <s v="016-2210-000"/>
    <s v="Liquor Sales"/>
    <n v="2672.6079999999997"/>
    <n v="0"/>
    <s v="Daily Sales Import"/>
    <n v="-2672.6079999999997"/>
    <n v="2672.6079999999997"/>
    <x v="0"/>
    <s v="2210"/>
    <s v="000"/>
    <x v="5"/>
    <x v="1"/>
  </r>
  <r>
    <d v="2012-03-31T00:00:00"/>
    <s v="016-2220-000"/>
    <s v="Beer Sales"/>
    <n v="473.75549999999993"/>
    <n v="0"/>
    <s v="Daily Sales Import"/>
    <n v="-473.75549999999993"/>
    <n v="473.75549999999993"/>
    <x v="0"/>
    <s v="2220"/>
    <s v="000"/>
    <x v="5"/>
    <x v="1"/>
  </r>
  <r>
    <d v="2012-03-31T00:00:00"/>
    <s v="016-2230-000"/>
    <s v="Wine Sales"/>
    <n v="333.22999999999996"/>
    <n v="0"/>
    <s v="Daily Sales Import"/>
    <n v="-333.22999999999996"/>
    <n v="333.22999999999996"/>
    <x v="0"/>
    <s v="2230"/>
    <s v="000"/>
    <x v="5"/>
    <x v="1"/>
  </r>
  <r>
    <d v="2012-03-26T00:00:00"/>
    <s v="017-2100-000"/>
    <s v="Food Sales"/>
    <n v="3498.6488999999997"/>
    <n v="0"/>
    <s v="Daily Sales Import"/>
    <n v="-3498.6488999999997"/>
    <n v="3498.6488999999997"/>
    <x v="1"/>
    <s v="2100"/>
    <s v="000"/>
    <x v="5"/>
    <x v="1"/>
  </r>
  <r>
    <d v="2012-03-26T00:00:00"/>
    <s v="017-2210-000"/>
    <s v="Liquor Sales"/>
    <n v="1588.3525"/>
    <n v="0"/>
    <s v="Daily Sales Import"/>
    <n v="-1588.3525"/>
    <n v="1588.3525"/>
    <x v="1"/>
    <s v="2210"/>
    <s v="000"/>
    <x v="5"/>
    <x v="1"/>
  </r>
  <r>
    <d v="2012-03-26T00:00:00"/>
    <s v="017-2220-000"/>
    <s v="Beer Sales"/>
    <n v="280.73500000000001"/>
    <n v="0"/>
    <s v="Daily Sales Import"/>
    <n v="-280.73500000000001"/>
    <n v="280.73500000000001"/>
    <x v="1"/>
    <s v="2220"/>
    <s v="000"/>
    <x v="5"/>
    <x v="1"/>
  </r>
  <r>
    <d v="2012-03-26T00:00:00"/>
    <s v="017-2230-000"/>
    <s v="Wine Sales"/>
    <n v="10.308999999999999"/>
    <n v="0"/>
    <s v="Daily Sales Import"/>
    <n v="-10.308999999999999"/>
    <n v="10.308999999999999"/>
    <x v="1"/>
    <s v="2230"/>
    <s v="000"/>
    <x v="5"/>
    <x v="1"/>
  </r>
  <r>
    <d v="2012-03-27T00:00:00"/>
    <s v="017-2100-000"/>
    <s v="Food Sales"/>
    <n v="5534.5752000000002"/>
    <n v="0"/>
    <s v="Daily Sales Import"/>
    <n v="-5534.5752000000002"/>
    <n v="5534.5752000000002"/>
    <x v="1"/>
    <s v="2100"/>
    <s v="000"/>
    <x v="5"/>
    <x v="1"/>
  </r>
  <r>
    <d v="2012-03-27T00:00:00"/>
    <s v="017-2210-000"/>
    <s v="Liquor Sales"/>
    <n v="1389.5719999999999"/>
    <n v="0"/>
    <s v="Daily Sales Import"/>
    <n v="-1389.5719999999999"/>
    <n v="1389.5719999999999"/>
    <x v="1"/>
    <s v="2210"/>
    <s v="000"/>
    <x v="5"/>
    <x v="1"/>
  </r>
  <r>
    <d v="2012-03-27T00:00:00"/>
    <s v="017-2220-000"/>
    <s v="Beer Sales"/>
    <n v="255.76250000000002"/>
    <n v="0"/>
    <s v="Daily Sales Import"/>
    <n v="-255.76250000000002"/>
    <n v="255.76250000000002"/>
    <x v="1"/>
    <s v="2220"/>
    <s v="000"/>
    <x v="5"/>
    <x v="1"/>
  </r>
  <r>
    <d v="2012-03-27T00:00:00"/>
    <s v="017-2230-000"/>
    <s v="Wine Sales"/>
    <n v="54.2455"/>
    <n v="0"/>
    <s v="Daily Sales Import"/>
    <n v="-54.2455"/>
    <n v="54.2455"/>
    <x v="1"/>
    <s v="2230"/>
    <s v="000"/>
    <x v="5"/>
    <x v="1"/>
  </r>
  <r>
    <d v="2012-03-28T00:00:00"/>
    <s v="017-2100-000"/>
    <s v="Food Sales"/>
    <n v="6848.8101999999999"/>
    <n v="0"/>
    <s v="Daily Sales Import"/>
    <n v="-6848.8101999999999"/>
    <n v="6848.8101999999999"/>
    <x v="1"/>
    <s v="2100"/>
    <s v="000"/>
    <x v="5"/>
    <x v="1"/>
  </r>
  <r>
    <d v="2012-03-28T00:00:00"/>
    <s v="017-2210-000"/>
    <s v="Liquor Sales"/>
    <n v="2340.3380000000002"/>
    <n v="0"/>
    <s v="Daily Sales Import"/>
    <n v="-2340.3380000000002"/>
    <n v="2340.3380000000002"/>
    <x v="1"/>
    <s v="2210"/>
    <s v="000"/>
    <x v="5"/>
    <x v="1"/>
  </r>
  <r>
    <d v="2012-03-28T00:00:00"/>
    <s v="017-2220-000"/>
    <s v="Beer Sales"/>
    <n v="371.21249999999998"/>
    <n v="0"/>
    <s v="Daily Sales Import"/>
    <n v="-371.21249999999998"/>
    <n v="371.21249999999998"/>
    <x v="1"/>
    <s v="2220"/>
    <s v="000"/>
    <x v="5"/>
    <x v="1"/>
  </r>
  <r>
    <d v="2012-03-28T00:00:00"/>
    <s v="017-2230-000"/>
    <s v="Wine Sales"/>
    <n v="156.33749999999998"/>
    <n v="0"/>
    <s v="Daily Sales Import"/>
    <n v="-156.33749999999998"/>
    <n v="156.33749999999998"/>
    <x v="1"/>
    <s v="2230"/>
    <s v="000"/>
    <x v="5"/>
    <x v="1"/>
  </r>
  <r>
    <d v="2012-03-29T00:00:00"/>
    <s v="017-2100-000"/>
    <s v="Food Sales"/>
    <n v="7565.3927999999996"/>
    <n v="0"/>
    <s v="Daily Sales Import"/>
    <n v="-7565.3927999999996"/>
    <n v="7565.3927999999996"/>
    <x v="1"/>
    <s v="2100"/>
    <s v="000"/>
    <x v="5"/>
    <x v="1"/>
  </r>
  <r>
    <d v="2012-03-29T00:00:00"/>
    <s v="017-2210-000"/>
    <s v="Liquor Sales"/>
    <n v="2330.2439999999997"/>
    <n v="0"/>
    <s v="Daily Sales Import"/>
    <n v="-2330.2439999999997"/>
    <n v="2330.2439999999997"/>
    <x v="1"/>
    <s v="2210"/>
    <s v="000"/>
    <x v="5"/>
    <x v="1"/>
  </r>
  <r>
    <d v="2012-03-29T00:00:00"/>
    <s v="017-2220-000"/>
    <s v="Beer Sales"/>
    <n v="509.23999999999995"/>
    <n v="0"/>
    <s v="Daily Sales Import"/>
    <n v="-509.23999999999995"/>
    <n v="509.23999999999995"/>
    <x v="1"/>
    <s v="2220"/>
    <s v="000"/>
    <x v="5"/>
    <x v="1"/>
  </r>
  <r>
    <d v="2012-03-29T00:00:00"/>
    <s v="017-2230-000"/>
    <s v="Wine Sales"/>
    <n v="30.951999999999998"/>
    <n v="0"/>
    <s v="Daily Sales Import"/>
    <n v="-30.951999999999998"/>
    <n v="30.951999999999998"/>
    <x v="1"/>
    <s v="2230"/>
    <s v="000"/>
    <x v="5"/>
    <x v="1"/>
  </r>
  <r>
    <d v="2012-03-30T00:00:00"/>
    <s v="017-2100-000"/>
    <s v="Food Sales"/>
    <n v="9730.1918999999998"/>
    <n v="0"/>
    <s v="Daily Sales Import"/>
    <n v="-9730.1918999999998"/>
    <n v="9730.1918999999998"/>
    <x v="1"/>
    <s v="2100"/>
    <s v="000"/>
    <x v="5"/>
    <x v="1"/>
  </r>
  <r>
    <d v="2012-03-30T00:00:00"/>
    <s v="017-2210-000"/>
    <s v="Liquor Sales"/>
    <n v="2603.7760000000003"/>
    <n v="0"/>
    <s v="Daily Sales Import"/>
    <n v="-2603.7760000000003"/>
    <n v="2603.7760000000003"/>
    <x v="1"/>
    <s v="2210"/>
    <s v="000"/>
    <x v="5"/>
    <x v="1"/>
  </r>
  <r>
    <d v="2012-03-30T00:00:00"/>
    <s v="017-2220-000"/>
    <s v="Beer Sales"/>
    <n v="717.98500000000001"/>
    <n v="0"/>
    <s v="Daily Sales Import"/>
    <n v="-717.98500000000001"/>
    <n v="717.98500000000001"/>
    <x v="1"/>
    <s v="2220"/>
    <s v="000"/>
    <x v="5"/>
    <x v="1"/>
  </r>
  <r>
    <d v="2012-03-30T00:00:00"/>
    <s v="017-2230-000"/>
    <s v="Wine Sales"/>
    <n v="119.85199999999999"/>
    <n v="0"/>
    <s v="Daily Sales Import"/>
    <n v="-119.85199999999999"/>
    <n v="119.85199999999999"/>
    <x v="1"/>
    <s v="2230"/>
    <s v="000"/>
    <x v="5"/>
    <x v="1"/>
  </r>
  <r>
    <d v="2012-03-31T00:00:00"/>
    <s v="017-2100-000"/>
    <s v="Food Sales"/>
    <n v="8469.0822000000007"/>
    <n v="0"/>
    <s v="Daily Sales Import"/>
    <n v="-8469.0822000000007"/>
    <n v="8469.0822000000007"/>
    <x v="1"/>
    <s v="2100"/>
    <s v="000"/>
    <x v="5"/>
    <x v="1"/>
  </r>
  <r>
    <d v="2012-03-31T00:00:00"/>
    <s v="017-2210-000"/>
    <s v="Liquor Sales"/>
    <n v="1619.5694999999998"/>
    <n v="0"/>
    <s v="Daily Sales Import"/>
    <n v="-1619.5694999999998"/>
    <n v="1619.5694999999998"/>
    <x v="1"/>
    <s v="2210"/>
    <s v="000"/>
    <x v="5"/>
    <x v="1"/>
  </r>
  <r>
    <d v="2012-03-31T00:00:00"/>
    <s v="017-2220-000"/>
    <s v="Beer Sales"/>
    <n v="293.84999999999997"/>
    <n v="0"/>
    <s v="Daily Sales Import"/>
    <n v="-293.84999999999997"/>
    <n v="293.84999999999997"/>
    <x v="1"/>
    <s v="2220"/>
    <s v="000"/>
    <x v="5"/>
    <x v="1"/>
  </r>
  <r>
    <d v="2012-03-31T00:00:00"/>
    <s v="017-2230-000"/>
    <s v="Wine Sales"/>
    <n v="73.872"/>
    <n v="0"/>
    <s v="Daily Sales Import"/>
    <n v="-73.872"/>
    <n v="73.872"/>
    <x v="1"/>
    <s v="2230"/>
    <s v="000"/>
    <x v="5"/>
    <x v="1"/>
  </r>
  <r>
    <d v="2012-03-26T00:00:00"/>
    <s v="018-2100-000"/>
    <s v="Food Sales"/>
    <n v="3371.3663000000001"/>
    <n v="0"/>
    <s v="Daily Sales Import"/>
    <n v="-3371.3663000000001"/>
    <n v="3371.3663000000001"/>
    <x v="2"/>
    <s v="2100"/>
    <s v="000"/>
    <x v="5"/>
    <x v="1"/>
  </r>
  <r>
    <d v="2012-03-26T00:00:00"/>
    <s v="018-2210-000"/>
    <s v="Liquor Sales"/>
    <n v="729.72900000000004"/>
    <n v="0"/>
    <s v="Daily Sales Import"/>
    <n v="-729.72900000000004"/>
    <n v="729.72900000000004"/>
    <x v="2"/>
    <s v="2210"/>
    <s v="000"/>
    <x v="5"/>
    <x v="1"/>
  </r>
  <r>
    <d v="2012-03-26T00:00:00"/>
    <s v="018-2220-000"/>
    <s v="Beer Sales"/>
    <n v="208.74700000000001"/>
    <n v="0"/>
    <s v="Daily Sales Import"/>
    <n v="-208.74700000000001"/>
    <n v="208.74700000000001"/>
    <x v="2"/>
    <s v="2220"/>
    <s v="000"/>
    <x v="5"/>
    <x v="1"/>
  </r>
  <r>
    <d v="2012-03-26T00:00:00"/>
    <s v="018-2230-000"/>
    <s v="Wine Sales"/>
    <n v="103.16999999999999"/>
    <n v="0"/>
    <s v="Daily Sales Import"/>
    <n v="-103.16999999999999"/>
    <n v="103.16999999999999"/>
    <x v="2"/>
    <s v="2230"/>
    <s v="000"/>
    <x v="5"/>
    <x v="1"/>
  </r>
  <r>
    <d v="2012-03-27T00:00:00"/>
    <s v="018-2100-000"/>
    <s v="Food Sales"/>
    <n v="4467.2459999999992"/>
    <n v="0"/>
    <s v="Daily Sales Import"/>
    <n v="-4467.2459999999992"/>
    <n v="4467.2459999999992"/>
    <x v="2"/>
    <s v="2100"/>
    <s v="000"/>
    <x v="5"/>
    <x v="1"/>
  </r>
  <r>
    <d v="2012-03-27T00:00:00"/>
    <s v="018-2210-000"/>
    <s v="Liquor Sales"/>
    <n v="625.99599999999998"/>
    <n v="0"/>
    <s v="Daily Sales Import"/>
    <n v="-625.99599999999998"/>
    <n v="625.99599999999998"/>
    <x v="2"/>
    <s v="2210"/>
    <s v="000"/>
    <x v="5"/>
    <x v="1"/>
  </r>
  <r>
    <d v="2012-03-27T00:00:00"/>
    <s v="018-2220-000"/>
    <s v="Beer Sales"/>
    <n v="289.08499999999998"/>
    <n v="0"/>
    <s v="Daily Sales Import"/>
    <n v="-289.08499999999998"/>
    <n v="289.08499999999998"/>
    <x v="2"/>
    <s v="2220"/>
    <s v="000"/>
    <x v="5"/>
    <x v="1"/>
  </r>
  <r>
    <d v="2012-03-27T00:00:00"/>
    <s v="018-2230-000"/>
    <s v="Wine Sales"/>
    <n v="83.348500000000001"/>
    <n v="0"/>
    <s v="Daily Sales Import"/>
    <n v="-83.348500000000001"/>
    <n v="83.348500000000001"/>
    <x v="2"/>
    <s v="2230"/>
    <s v="000"/>
    <x v="5"/>
    <x v="1"/>
  </r>
  <r>
    <d v="2012-03-28T00:00:00"/>
    <s v="018-2100-000"/>
    <s v="Food Sales"/>
    <n v="3892.5279000000005"/>
    <n v="0"/>
    <s v="Daily Sales Import"/>
    <n v="-3892.5279000000005"/>
    <n v="3892.5279000000005"/>
    <x v="2"/>
    <s v="2100"/>
    <s v="000"/>
    <x v="5"/>
    <x v="1"/>
  </r>
  <r>
    <d v="2012-03-28T00:00:00"/>
    <s v="018-2210-000"/>
    <s v="Liquor Sales"/>
    <n v="549.72299999999996"/>
    <n v="0"/>
    <s v="Daily Sales Import"/>
    <n v="-549.72299999999996"/>
    <n v="549.72299999999996"/>
    <x v="2"/>
    <s v="2210"/>
    <s v="000"/>
    <x v="5"/>
    <x v="1"/>
  </r>
  <r>
    <d v="2012-03-28T00:00:00"/>
    <s v="018-2220-000"/>
    <s v="Beer Sales"/>
    <n v="125.202"/>
    <n v="0"/>
    <s v="Daily Sales Import"/>
    <n v="-125.202"/>
    <n v="125.202"/>
    <x v="2"/>
    <s v="2220"/>
    <s v="000"/>
    <x v="5"/>
    <x v="1"/>
  </r>
  <r>
    <d v="2012-03-28T00:00:00"/>
    <s v="018-2230-000"/>
    <s v="Wine Sales"/>
    <n v="30.643999999999998"/>
    <n v="0"/>
    <s v="Daily Sales Import"/>
    <n v="-30.643999999999998"/>
    <n v="30.643999999999998"/>
    <x v="2"/>
    <s v="2230"/>
    <s v="000"/>
    <x v="5"/>
    <x v="1"/>
  </r>
  <r>
    <d v="2012-03-29T00:00:00"/>
    <s v="018-2100-000"/>
    <s v="Food Sales"/>
    <n v="4635.6269999999995"/>
    <n v="0"/>
    <s v="Daily Sales Import"/>
    <n v="-4635.6269999999995"/>
    <n v="4635.6269999999995"/>
    <x v="2"/>
    <s v="2100"/>
    <s v="000"/>
    <x v="5"/>
    <x v="1"/>
  </r>
  <r>
    <d v="2012-03-29T00:00:00"/>
    <s v="018-2210-000"/>
    <s v="Liquor Sales"/>
    <n v="1409.8080000000002"/>
    <n v="0"/>
    <s v="Daily Sales Import"/>
    <n v="-1409.8080000000002"/>
    <n v="1409.8080000000002"/>
    <x v="2"/>
    <s v="2210"/>
    <s v="000"/>
    <x v="5"/>
    <x v="1"/>
  </r>
  <r>
    <d v="2012-03-29T00:00:00"/>
    <s v="018-2220-000"/>
    <s v="Beer Sales"/>
    <n v="245.83749999999998"/>
    <n v="0"/>
    <s v="Daily Sales Import"/>
    <n v="-245.83749999999998"/>
    <n v="245.83749999999998"/>
    <x v="2"/>
    <s v="2220"/>
    <s v="000"/>
    <x v="5"/>
    <x v="1"/>
  </r>
  <r>
    <d v="2012-03-29T00:00:00"/>
    <s v="018-2230-000"/>
    <s v="Wine Sales"/>
    <n v="37.440000000000005"/>
    <n v="0"/>
    <s v="Daily Sales Import"/>
    <n v="-37.440000000000005"/>
    <n v="37.440000000000005"/>
    <x v="2"/>
    <s v="2230"/>
    <s v="000"/>
    <x v="5"/>
    <x v="1"/>
  </r>
  <r>
    <d v="2012-03-30T00:00:00"/>
    <s v="018-2100-000"/>
    <s v="Food Sales"/>
    <n v="8206.0572000000011"/>
    <n v="0"/>
    <s v="Daily Sales Import"/>
    <n v="-8206.0572000000011"/>
    <n v="8206.0572000000011"/>
    <x v="2"/>
    <s v="2100"/>
    <s v="000"/>
    <x v="5"/>
    <x v="1"/>
  </r>
  <r>
    <d v="2012-03-30T00:00:00"/>
    <s v="018-2210-000"/>
    <s v="Liquor Sales"/>
    <n v="2745.3629999999998"/>
    <n v="0"/>
    <s v="Daily Sales Import"/>
    <n v="-2745.3629999999998"/>
    <n v="2745.3629999999998"/>
    <x v="2"/>
    <s v="2210"/>
    <s v="000"/>
    <x v="5"/>
    <x v="1"/>
  </r>
  <r>
    <d v="2012-03-30T00:00:00"/>
    <s v="018-2220-000"/>
    <s v="Beer Sales"/>
    <n v="641.69099999999992"/>
    <n v="0"/>
    <s v="Daily Sales Import"/>
    <n v="-641.69099999999992"/>
    <n v="641.69099999999992"/>
    <x v="2"/>
    <s v="2220"/>
    <s v="000"/>
    <x v="5"/>
    <x v="1"/>
  </r>
  <r>
    <d v="2012-03-30T00:00:00"/>
    <s v="018-2230-000"/>
    <s v="Wine Sales"/>
    <n v="190.5085"/>
    <n v="0"/>
    <s v="Daily Sales Import"/>
    <n v="-190.5085"/>
    <n v="190.5085"/>
    <x v="2"/>
    <s v="2230"/>
    <s v="000"/>
    <x v="5"/>
    <x v="1"/>
  </r>
  <r>
    <d v="2012-03-31T00:00:00"/>
    <s v="018-2100-000"/>
    <s v="Food Sales"/>
    <n v="12426.645"/>
    <n v="0"/>
    <s v="Daily Sales Import"/>
    <n v="-12426.645"/>
    <n v="12426.645"/>
    <x v="2"/>
    <s v="2100"/>
    <s v="000"/>
    <x v="5"/>
    <x v="1"/>
  </r>
  <r>
    <d v="2012-03-31T00:00:00"/>
    <s v="018-2210-000"/>
    <s v="Liquor Sales"/>
    <n v="2120.52"/>
    <n v="0"/>
    <s v="Daily Sales Import"/>
    <n v="-2120.52"/>
    <n v="2120.52"/>
    <x v="2"/>
    <s v="2210"/>
    <s v="000"/>
    <x v="5"/>
    <x v="1"/>
  </r>
  <r>
    <d v="2012-03-31T00:00:00"/>
    <s v="018-2220-000"/>
    <s v="Beer Sales"/>
    <n v="724.21649999999988"/>
    <n v="0"/>
    <s v="Daily Sales Import"/>
    <n v="-724.21649999999988"/>
    <n v="724.21649999999988"/>
    <x v="2"/>
    <s v="2220"/>
    <s v="000"/>
    <x v="5"/>
    <x v="1"/>
  </r>
  <r>
    <d v="2012-03-31T00:00:00"/>
    <s v="018-2230-000"/>
    <s v="Wine Sales"/>
    <n v="178.29"/>
    <n v="0"/>
    <s v="Daily Sales Import"/>
    <n v="-178.29"/>
    <n v="178.29"/>
    <x v="2"/>
    <s v="2230"/>
    <s v="000"/>
    <x v="5"/>
    <x v="1"/>
  </r>
  <r>
    <d v="2012-04-01T00:00:00"/>
    <s v="016-2100-000"/>
    <s v="Food Sales"/>
    <n v="5024.4552000000003"/>
    <n v="0"/>
    <s v="Daily Sales Import"/>
    <n v="-5024.4552000000003"/>
    <n v="5024.4552000000003"/>
    <x v="0"/>
    <s v="2100"/>
    <s v="000"/>
    <x v="6"/>
    <x v="1"/>
  </r>
  <r>
    <d v="2012-04-01T00:00:00"/>
    <s v="016-2210-000"/>
    <s v="Liquor Sales"/>
    <n v="1107.652"/>
    <n v="0"/>
    <s v="Daily Sales Import"/>
    <n v="-1107.652"/>
    <n v="1107.652"/>
    <x v="0"/>
    <s v="2210"/>
    <s v="000"/>
    <x v="6"/>
    <x v="1"/>
  </r>
  <r>
    <d v="2012-04-01T00:00:00"/>
    <s v="016-2220-000"/>
    <s v="Beer Sales"/>
    <n v="195.68440000000001"/>
    <n v="0"/>
    <s v="Daily Sales Import"/>
    <n v="-195.68440000000001"/>
    <n v="195.68440000000001"/>
    <x v="0"/>
    <s v="2220"/>
    <s v="000"/>
    <x v="6"/>
    <x v="1"/>
  </r>
  <r>
    <d v="2012-04-01T00:00:00"/>
    <s v="016-2230-000"/>
    <s v="Wine Sales"/>
    <n v="99.495000000000005"/>
    <n v="0"/>
    <s v="Daily Sales Import"/>
    <n v="-99.495000000000005"/>
    <n v="99.495000000000005"/>
    <x v="0"/>
    <s v="2230"/>
    <s v="000"/>
    <x v="6"/>
    <x v="1"/>
  </r>
  <r>
    <d v="2012-04-01T00:00:00"/>
    <s v="017-2100-000"/>
    <s v="Food Sales"/>
    <n v="6309.6033000000007"/>
    <n v="0"/>
    <s v="Daily Sales Import"/>
    <n v="-6309.6033000000007"/>
    <n v="6309.6033000000007"/>
    <x v="1"/>
    <s v="2100"/>
    <s v="000"/>
    <x v="6"/>
    <x v="1"/>
  </r>
  <r>
    <d v="2012-04-01T00:00:00"/>
    <s v="017-2210-000"/>
    <s v="Liquor Sales"/>
    <n v="1407.3895"/>
    <n v="0"/>
    <s v="Daily Sales Import"/>
    <n v="-1407.3895"/>
    <n v="1407.3895"/>
    <x v="1"/>
    <s v="2210"/>
    <s v="000"/>
    <x v="6"/>
    <x v="1"/>
  </r>
  <r>
    <d v="2012-04-01T00:00:00"/>
    <s v="017-2220-000"/>
    <s v="Beer Sales"/>
    <n v="276.14999999999998"/>
    <n v="0"/>
    <s v="Daily Sales Import"/>
    <n v="-276.14999999999998"/>
    <n v="276.14999999999998"/>
    <x v="1"/>
    <s v="2220"/>
    <s v="000"/>
    <x v="6"/>
    <x v="1"/>
  </r>
  <r>
    <d v="2012-04-01T00:00:00"/>
    <s v="017-2230-000"/>
    <s v="Wine Sales"/>
    <n v="124.124"/>
    <n v="0"/>
    <s v="Daily Sales Import"/>
    <n v="-124.124"/>
    <n v="124.124"/>
    <x v="1"/>
    <s v="2230"/>
    <s v="000"/>
    <x v="6"/>
    <x v="1"/>
  </r>
  <r>
    <d v="2012-04-01T00:00:00"/>
    <s v="018-2100-000"/>
    <s v="Food Sales"/>
    <n v="11663.91"/>
    <n v="0"/>
    <s v="Daily Sales Import"/>
    <n v="-11663.91"/>
    <n v="11663.91"/>
    <x v="2"/>
    <s v="2100"/>
    <s v="000"/>
    <x v="6"/>
    <x v="1"/>
  </r>
  <r>
    <d v="2012-04-01T00:00:00"/>
    <s v="018-2210-000"/>
    <s v="Liquor Sales"/>
    <n v="929.12849999999992"/>
    <n v="0"/>
    <s v="Daily Sales Import"/>
    <n v="-929.12849999999992"/>
    <n v="929.12849999999992"/>
    <x v="2"/>
    <s v="2210"/>
    <s v="000"/>
    <x v="6"/>
    <x v="1"/>
  </r>
  <r>
    <d v="2012-04-01T00:00:00"/>
    <s v="018-2220-000"/>
    <s v="Beer Sales"/>
    <n v="264.69"/>
    <n v="0"/>
    <s v="Daily Sales Import"/>
    <n v="-264.69"/>
    <n v="264.69"/>
    <x v="2"/>
    <s v="2220"/>
    <s v="000"/>
    <x v="6"/>
    <x v="1"/>
  </r>
  <r>
    <d v="2012-04-01T00:00:00"/>
    <s v="018-2230-000"/>
    <s v="Wine Sales"/>
    <n v="61.732000000000006"/>
    <n v="0"/>
    <s v="Daily Sales Import"/>
    <n v="-61.732000000000006"/>
    <n v="61.732000000000006"/>
    <x v="2"/>
    <s v="2230"/>
    <s v="000"/>
    <x v="6"/>
    <x v="1"/>
  </r>
  <r>
    <d v="2012-04-02T00:00:00"/>
    <s v="016-2100-000"/>
    <s v="Food Sales"/>
    <n v="4072.9257000000002"/>
    <n v="0"/>
    <s v="Daily Sales Import"/>
    <n v="-4072.9257000000002"/>
    <n v="4072.9257000000002"/>
    <x v="0"/>
    <s v="2100"/>
    <s v="000"/>
    <x v="6"/>
    <x v="1"/>
  </r>
  <r>
    <d v="2012-04-02T00:00:00"/>
    <s v="016-2210-000"/>
    <s v="Liquor Sales"/>
    <n v="1106.979"/>
    <n v="0"/>
    <s v="Daily Sales Import"/>
    <n v="-1106.979"/>
    <n v="1106.979"/>
    <x v="0"/>
    <s v="2210"/>
    <s v="000"/>
    <x v="6"/>
    <x v="1"/>
  </r>
  <r>
    <d v="2012-04-02T00:00:00"/>
    <s v="016-2220-000"/>
    <s v="Beer Sales"/>
    <n v="107.63849999999999"/>
    <n v="0"/>
    <s v="Daily Sales Import"/>
    <n v="-107.63849999999999"/>
    <n v="107.63849999999999"/>
    <x v="0"/>
    <s v="2220"/>
    <s v="000"/>
    <x v="6"/>
    <x v="1"/>
  </r>
  <r>
    <d v="2012-04-02T00:00:00"/>
    <s v="016-2230-000"/>
    <s v="Wine Sales"/>
    <n v="36.220999999999997"/>
    <n v="0"/>
    <s v="Daily Sales Import"/>
    <n v="-36.220999999999997"/>
    <n v="36.220999999999997"/>
    <x v="0"/>
    <s v="2230"/>
    <s v="000"/>
    <x v="6"/>
    <x v="1"/>
  </r>
  <r>
    <d v="2012-04-03T00:00:00"/>
    <s v="016-2100-000"/>
    <s v="Food Sales"/>
    <n v="5721.517499999999"/>
    <n v="0"/>
    <s v="Daily Sales Import"/>
    <n v="-5721.517499999999"/>
    <n v="5721.517499999999"/>
    <x v="0"/>
    <s v="2100"/>
    <s v="000"/>
    <x v="6"/>
    <x v="1"/>
  </r>
  <r>
    <d v="2012-04-03T00:00:00"/>
    <s v="016-2210-000"/>
    <s v="Liquor Sales"/>
    <n v="1188.5895"/>
    <n v="0"/>
    <s v="Daily Sales Import"/>
    <n v="-1188.5895"/>
    <n v="1188.5895"/>
    <x v="0"/>
    <s v="2210"/>
    <s v="000"/>
    <x v="6"/>
    <x v="1"/>
  </r>
  <r>
    <d v="2012-04-03T00:00:00"/>
    <s v="016-2220-000"/>
    <s v="Beer Sales"/>
    <n v="445.91399999999999"/>
    <n v="0"/>
    <s v="Daily Sales Import"/>
    <n v="-445.91399999999999"/>
    <n v="445.91399999999999"/>
    <x v="0"/>
    <s v="2220"/>
    <s v="000"/>
    <x v="6"/>
    <x v="1"/>
  </r>
  <r>
    <d v="2012-04-03T00:00:00"/>
    <s v="016-2230-000"/>
    <s v="Wine Sales"/>
    <n v="118.8"/>
    <n v="0"/>
    <s v="Daily Sales Import"/>
    <n v="-118.8"/>
    <n v="118.8"/>
    <x v="0"/>
    <s v="2230"/>
    <s v="000"/>
    <x v="6"/>
    <x v="1"/>
  </r>
  <r>
    <d v="2012-04-04T00:00:00"/>
    <s v="016-2100-000"/>
    <s v="Food Sales"/>
    <n v="4405.1548000000003"/>
    <n v="0"/>
    <s v="Daily Sales Import"/>
    <n v="-4405.1548000000003"/>
    <n v="4405.1548000000003"/>
    <x v="0"/>
    <s v="2100"/>
    <s v="000"/>
    <x v="6"/>
    <x v="1"/>
  </r>
  <r>
    <d v="2012-04-04T00:00:00"/>
    <s v="016-2210-000"/>
    <s v="Liquor Sales"/>
    <n v="835.82800000000009"/>
    <n v="0"/>
    <s v="Daily Sales Import"/>
    <n v="-835.82800000000009"/>
    <n v="835.82800000000009"/>
    <x v="0"/>
    <s v="2210"/>
    <s v="000"/>
    <x v="6"/>
    <x v="1"/>
  </r>
  <r>
    <d v="2012-04-04T00:00:00"/>
    <s v="016-2220-000"/>
    <s v="Beer Sales"/>
    <n v="140.90399999999997"/>
    <n v="0"/>
    <s v="Daily Sales Import"/>
    <n v="-140.90399999999997"/>
    <n v="140.90399999999997"/>
    <x v="0"/>
    <s v="2220"/>
    <s v="000"/>
    <x v="6"/>
    <x v="1"/>
  </r>
  <r>
    <d v="2012-04-04T00:00:00"/>
    <s v="016-2230-000"/>
    <s v="Wine Sales"/>
    <n v="88.691199999999995"/>
    <n v="0"/>
    <s v="Daily Sales Import"/>
    <n v="-88.691199999999995"/>
    <n v="88.691199999999995"/>
    <x v="0"/>
    <s v="2230"/>
    <s v="000"/>
    <x v="6"/>
    <x v="1"/>
  </r>
  <r>
    <d v="2012-04-05T00:00:00"/>
    <s v="016-2100-000"/>
    <s v="Food Sales"/>
    <n v="4955.335"/>
    <n v="0"/>
    <s v="Daily Sales Import"/>
    <n v="-4955.335"/>
    <n v="4955.335"/>
    <x v="0"/>
    <s v="2100"/>
    <s v="000"/>
    <x v="6"/>
    <x v="1"/>
  </r>
  <r>
    <d v="2012-04-05T00:00:00"/>
    <s v="016-2210-000"/>
    <s v="Liquor Sales"/>
    <n v="1629.184"/>
    <n v="0"/>
    <s v="Daily Sales Import"/>
    <n v="-1629.184"/>
    <n v="1629.184"/>
    <x v="0"/>
    <s v="2210"/>
    <s v="000"/>
    <x v="6"/>
    <x v="1"/>
  </r>
  <r>
    <d v="2012-04-05T00:00:00"/>
    <s v="016-2220-000"/>
    <s v="Beer Sales"/>
    <n v="174.76499999999999"/>
    <n v="0"/>
    <s v="Daily Sales Import"/>
    <n v="-174.76499999999999"/>
    <n v="174.76499999999999"/>
    <x v="0"/>
    <s v="2220"/>
    <s v="000"/>
    <x v="6"/>
    <x v="1"/>
  </r>
  <r>
    <d v="2012-04-05T00:00:00"/>
    <s v="016-2230-000"/>
    <s v="Wine Sales"/>
    <n v="195.33749999999998"/>
    <n v="0"/>
    <s v="Daily Sales Import"/>
    <n v="-195.33749999999998"/>
    <n v="195.33749999999998"/>
    <x v="0"/>
    <s v="2230"/>
    <s v="000"/>
    <x v="6"/>
    <x v="1"/>
  </r>
  <r>
    <d v="2012-04-06T00:00:00"/>
    <s v="016-2100-000"/>
    <s v="Food Sales"/>
    <n v="8387.2578999999987"/>
    <n v="0"/>
    <s v="Daily Sales Import"/>
    <n v="-8387.2578999999987"/>
    <n v="8387.2578999999987"/>
    <x v="0"/>
    <s v="2100"/>
    <s v="000"/>
    <x v="6"/>
    <x v="1"/>
  </r>
  <r>
    <d v="2012-04-06T00:00:00"/>
    <s v="016-2210-000"/>
    <s v="Liquor Sales"/>
    <n v="2165.5280000000002"/>
    <n v="0"/>
    <s v="Daily Sales Import"/>
    <n v="-2165.5280000000002"/>
    <n v="2165.5280000000002"/>
    <x v="0"/>
    <s v="2210"/>
    <s v="000"/>
    <x v="6"/>
    <x v="1"/>
  </r>
  <r>
    <d v="2012-04-06T00:00:00"/>
    <s v="016-2220-000"/>
    <s v="Beer Sales"/>
    <n v="409.54499999999996"/>
    <n v="0"/>
    <s v="Daily Sales Import"/>
    <n v="-409.54499999999996"/>
    <n v="409.54499999999996"/>
    <x v="0"/>
    <s v="2220"/>
    <s v="000"/>
    <x v="6"/>
    <x v="1"/>
  </r>
  <r>
    <d v="2012-04-06T00:00:00"/>
    <s v="016-2230-000"/>
    <s v="Wine Sales"/>
    <n v="265.95350000000002"/>
    <n v="0"/>
    <s v="Daily Sales Import"/>
    <n v="-265.95350000000002"/>
    <n v="265.95350000000002"/>
    <x v="0"/>
    <s v="2230"/>
    <s v="000"/>
    <x v="6"/>
    <x v="1"/>
  </r>
  <r>
    <d v="2012-04-07T00:00:00"/>
    <s v="016-2100-000"/>
    <s v="Food Sales"/>
    <n v="7213.5288"/>
    <n v="0"/>
    <s v="Daily Sales Import"/>
    <n v="-7213.5288"/>
    <n v="7213.5288"/>
    <x v="0"/>
    <s v="2100"/>
    <s v="000"/>
    <x v="6"/>
    <x v="1"/>
  </r>
  <r>
    <d v="2012-04-07T00:00:00"/>
    <s v="016-2210-000"/>
    <s v="Liquor Sales"/>
    <n v="1700.0775000000003"/>
    <n v="0"/>
    <s v="Daily Sales Import"/>
    <n v="-1700.0775000000003"/>
    <n v="1700.0775000000003"/>
    <x v="0"/>
    <s v="2210"/>
    <s v="000"/>
    <x v="6"/>
    <x v="1"/>
  </r>
  <r>
    <d v="2012-04-07T00:00:00"/>
    <s v="016-2220-000"/>
    <s v="Beer Sales"/>
    <n v="396.28349999999995"/>
    <n v="0"/>
    <s v="Daily Sales Import"/>
    <n v="-396.28349999999995"/>
    <n v="396.28349999999995"/>
    <x v="0"/>
    <s v="2220"/>
    <s v="000"/>
    <x v="6"/>
    <x v="1"/>
  </r>
  <r>
    <d v="2012-04-07T00:00:00"/>
    <s v="016-2230-000"/>
    <s v="Wine Sales"/>
    <n v="340.4325"/>
    <n v="0"/>
    <s v="Daily Sales Import"/>
    <n v="-340.4325"/>
    <n v="340.4325"/>
    <x v="0"/>
    <s v="2230"/>
    <s v="000"/>
    <x v="6"/>
    <x v="1"/>
  </r>
  <r>
    <d v="2012-04-08T00:00:00"/>
    <s v="016-2100-000"/>
    <s v="Food Sales"/>
    <n v="4931.1062000000002"/>
    <n v="0"/>
    <s v="Daily Sales Import"/>
    <n v="-4931.1062000000002"/>
    <n v="4931.1062000000002"/>
    <x v="0"/>
    <s v="2100"/>
    <s v="000"/>
    <x v="6"/>
    <x v="1"/>
  </r>
  <r>
    <d v="2012-04-08T00:00:00"/>
    <s v="016-2210-000"/>
    <s v="Liquor Sales"/>
    <n v="650.57529999999997"/>
    <n v="0"/>
    <s v="Daily Sales Import"/>
    <n v="-650.57529999999997"/>
    <n v="650.57529999999997"/>
    <x v="0"/>
    <s v="2210"/>
    <s v="000"/>
    <x v="6"/>
    <x v="1"/>
  </r>
  <r>
    <d v="2012-04-08T00:00:00"/>
    <s v="016-2220-000"/>
    <s v="Beer Sales"/>
    <n v="153.1584"/>
    <n v="0"/>
    <s v="Daily Sales Import"/>
    <n v="-153.1584"/>
    <n v="153.1584"/>
    <x v="0"/>
    <s v="2220"/>
    <s v="000"/>
    <x v="6"/>
    <x v="1"/>
  </r>
  <r>
    <d v="2012-04-08T00:00:00"/>
    <s v="016-2230-000"/>
    <s v="Wine Sales"/>
    <n v="65.578500000000005"/>
    <n v="0"/>
    <s v="Daily Sales Import"/>
    <n v="-65.578500000000005"/>
    <n v="65.578500000000005"/>
    <x v="0"/>
    <s v="2230"/>
    <s v="000"/>
    <x v="6"/>
    <x v="1"/>
  </r>
  <r>
    <d v="2012-04-02T00:00:00"/>
    <s v="017-2100-000"/>
    <s v="Food Sales"/>
    <n v="4205.2945"/>
    <n v="0"/>
    <s v="Daily Sales Import"/>
    <n v="-4205.2945"/>
    <n v="4205.2945"/>
    <x v="1"/>
    <s v="2100"/>
    <s v="000"/>
    <x v="6"/>
    <x v="1"/>
  </r>
  <r>
    <d v="2012-04-02T00:00:00"/>
    <s v="017-2210-000"/>
    <s v="Liquor Sales"/>
    <n v="977.95749999999998"/>
    <n v="0"/>
    <s v="Daily Sales Import"/>
    <n v="-977.95749999999998"/>
    <n v="977.95749999999998"/>
    <x v="1"/>
    <s v="2210"/>
    <s v="000"/>
    <x v="6"/>
    <x v="1"/>
  </r>
  <r>
    <d v="2012-04-02T00:00:00"/>
    <s v="017-2220-000"/>
    <s v="Beer Sales"/>
    <n v="359.7475"/>
    <n v="0"/>
    <s v="Daily Sales Import"/>
    <n v="-359.7475"/>
    <n v="359.7475"/>
    <x v="1"/>
    <s v="2220"/>
    <s v="000"/>
    <x v="6"/>
    <x v="1"/>
  </r>
  <r>
    <d v="2012-04-02T00:00:00"/>
    <s v="017-2230-000"/>
    <s v="Wine Sales"/>
    <n v="78.78"/>
    <n v="0"/>
    <s v="Daily Sales Import"/>
    <n v="-78.78"/>
    <n v="78.78"/>
    <x v="1"/>
    <s v="2230"/>
    <s v="000"/>
    <x v="6"/>
    <x v="1"/>
  </r>
  <r>
    <d v="2012-04-03T00:00:00"/>
    <s v="017-2100-000"/>
    <s v="Food Sales"/>
    <n v="6671.25"/>
    <n v="0"/>
    <s v="Daily Sales Import"/>
    <n v="-6671.25"/>
    <n v="6671.25"/>
    <x v="1"/>
    <s v="2100"/>
    <s v="000"/>
    <x v="6"/>
    <x v="1"/>
  </r>
  <r>
    <d v="2012-04-03T00:00:00"/>
    <s v="017-2210-000"/>
    <s v="Liquor Sales"/>
    <n v="1590.183"/>
    <n v="0"/>
    <s v="Daily Sales Import"/>
    <n v="-1590.183"/>
    <n v="1590.183"/>
    <x v="1"/>
    <s v="2210"/>
    <s v="000"/>
    <x v="6"/>
    <x v="1"/>
  </r>
  <r>
    <d v="2012-04-03T00:00:00"/>
    <s v="017-2220-000"/>
    <s v="Beer Sales"/>
    <n v="384.94499999999999"/>
    <n v="0"/>
    <s v="Daily Sales Import"/>
    <n v="-384.94499999999999"/>
    <n v="384.94499999999999"/>
    <x v="1"/>
    <s v="2220"/>
    <s v="000"/>
    <x v="6"/>
    <x v="1"/>
  </r>
  <r>
    <d v="2012-04-03T00:00:00"/>
    <s v="017-2230-000"/>
    <s v="Wine Sales"/>
    <n v="63.896000000000001"/>
    <n v="0"/>
    <s v="Daily Sales Import"/>
    <n v="-63.896000000000001"/>
    <n v="63.896000000000001"/>
    <x v="1"/>
    <s v="2230"/>
    <s v="000"/>
    <x v="6"/>
    <x v="1"/>
  </r>
  <r>
    <d v="2012-04-04T00:00:00"/>
    <s v="017-2100-000"/>
    <s v="Food Sales"/>
    <n v="3881.0989999999997"/>
    <n v="0"/>
    <s v="Daily Sales Import"/>
    <n v="-3881.0989999999997"/>
    <n v="3881.0989999999997"/>
    <x v="1"/>
    <s v="2100"/>
    <s v="000"/>
    <x v="6"/>
    <x v="1"/>
  </r>
  <r>
    <d v="2012-04-04T00:00:00"/>
    <s v="017-2210-000"/>
    <s v="Liquor Sales"/>
    <n v="1368.4649999999999"/>
    <n v="0"/>
    <s v="Daily Sales Import"/>
    <n v="-1368.4649999999999"/>
    <n v="1368.4649999999999"/>
    <x v="1"/>
    <s v="2210"/>
    <s v="000"/>
    <x v="6"/>
    <x v="1"/>
  </r>
  <r>
    <d v="2012-04-04T00:00:00"/>
    <s v="017-2220-000"/>
    <s v="Beer Sales"/>
    <n v="349.44"/>
    <n v="0"/>
    <s v="Daily Sales Import"/>
    <n v="-349.44"/>
    <n v="349.44"/>
    <x v="1"/>
    <s v="2220"/>
    <s v="000"/>
    <x v="6"/>
    <x v="1"/>
  </r>
  <r>
    <d v="2012-04-04T00:00:00"/>
    <s v="017-2230-000"/>
    <s v="Wine Sales"/>
    <n v="91.245000000000005"/>
    <n v="0"/>
    <s v="Daily Sales Import"/>
    <n v="-91.245000000000005"/>
    <n v="91.245000000000005"/>
    <x v="1"/>
    <s v="2230"/>
    <s v="000"/>
    <x v="6"/>
    <x v="1"/>
  </r>
  <r>
    <d v="2012-04-05T00:00:00"/>
    <s v="017-2100-000"/>
    <s v="Food Sales"/>
    <n v="7256.0334999999995"/>
    <n v="0"/>
    <s v="Daily Sales Import"/>
    <n v="-7256.0334999999995"/>
    <n v="7256.0334999999995"/>
    <x v="1"/>
    <s v="2100"/>
    <s v="000"/>
    <x v="6"/>
    <x v="1"/>
  </r>
  <r>
    <d v="2012-04-05T00:00:00"/>
    <s v="017-2210-000"/>
    <s v="Liquor Sales"/>
    <n v="1956.99"/>
    <n v="0"/>
    <s v="Daily Sales Import"/>
    <n v="-1956.99"/>
    <n v="1956.99"/>
    <x v="1"/>
    <s v="2210"/>
    <s v="000"/>
    <x v="6"/>
    <x v="1"/>
  </r>
  <r>
    <d v="2012-04-05T00:00:00"/>
    <s v="017-2220-000"/>
    <s v="Beer Sales"/>
    <n v="254.745"/>
    <n v="0"/>
    <s v="Daily Sales Import"/>
    <n v="-254.745"/>
    <n v="254.745"/>
    <x v="1"/>
    <s v="2220"/>
    <s v="000"/>
    <x v="6"/>
    <x v="1"/>
  </r>
  <r>
    <d v="2012-04-05T00:00:00"/>
    <s v="017-2230-000"/>
    <s v="Wine Sales"/>
    <n v="146.1215"/>
    <n v="0"/>
    <s v="Daily Sales Import"/>
    <n v="-146.1215"/>
    <n v="146.1215"/>
    <x v="1"/>
    <s v="2230"/>
    <s v="000"/>
    <x v="6"/>
    <x v="1"/>
  </r>
  <r>
    <d v="2012-04-06T00:00:00"/>
    <s v="017-2100-000"/>
    <s v="Food Sales"/>
    <n v="5876.2079999999996"/>
    <n v="0"/>
    <s v="Daily Sales Import"/>
    <n v="-5876.2079999999996"/>
    <n v="5876.2079999999996"/>
    <x v="1"/>
    <s v="2100"/>
    <s v="000"/>
    <x v="6"/>
    <x v="1"/>
  </r>
  <r>
    <d v="2012-04-06T00:00:00"/>
    <s v="017-2210-000"/>
    <s v="Liquor Sales"/>
    <n v="2512.9499999999998"/>
    <n v="0"/>
    <s v="Daily Sales Import"/>
    <n v="-2512.9499999999998"/>
    <n v="2512.9499999999998"/>
    <x v="1"/>
    <s v="2210"/>
    <s v="000"/>
    <x v="6"/>
    <x v="1"/>
  </r>
  <r>
    <d v="2012-04-06T00:00:00"/>
    <s v="017-2220-000"/>
    <s v="Beer Sales"/>
    <n v="509.96"/>
    <n v="0"/>
    <s v="Daily Sales Import"/>
    <n v="-509.96"/>
    <n v="509.96"/>
    <x v="1"/>
    <s v="2220"/>
    <s v="000"/>
    <x v="6"/>
    <x v="1"/>
  </r>
  <r>
    <d v="2012-04-06T00:00:00"/>
    <s v="017-2230-000"/>
    <s v="Wine Sales"/>
    <n v="92.105999999999995"/>
    <n v="0"/>
    <s v="Daily Sales Import"/>
    <n v="-92.105999999999995"/>
    <n v="92.105999999999995"/>
    <x v="1"/>
    <s v="2230"/>
    <s v="000"/>
    <x v="6"/>
    <x v="1"/>
  </r>
  <r>
    <d v="2012-04-07T00:00:00"/>
    <s v="017-2100-000"/>
    <s v="Food Sales"/>
    <n v="7653.74"/>
    <n v="0"/>
    <s v="Daily Sales Import"/>
    <n v="-7653.74"/>
    <n v="7653.74"/>
    <x v="1"/>
    <s v="2100"/>
    <s v="000"/>
    <x v="6"/>
    <x v="1"/>
  </r>
  <r>
    <d v="2012-04-07T00:00:00"/>
    <s v="017-2210-000"/>
    <s v="Liquor Sales"/>
    <n v="1664.25"/>
    <n v="0"/>
    <s v="Daily Sales Import"/>
    <n v="-1664.25"/>
    <n v="1664.25"/>
    <x v="1"/>
    <s v="2210"/>
    <s v="000"/>
    <x v="6"/>
    <x v="1"/>
  </r>
  <r>
    <d v="2012-04-07T00:00:00"/>
    <s v="017-2220-000"/>
    <s v="Beer Sales"/>
    <n v="359.11500000000001"/>
    <n v="0"/>
    <s v="Daily Sales Import"/>
    <n v="-359.11500000000001"/>
    <n v="359.11500000000001"/>
    <x v="1"/>
    <s v="2220"/>
    <s v="000"/>
    <x v="6"/>
    <x v="1"/>
  </r>
  <r>
    <d v="2012-04-07T00:00:00"/>
    <s v="017-2230-000"/>
    <s v="Wine Sales"/>
    <n v="105.18300000000001"/>
    <n v="0"/>
    <s v="Daily Sales Import"/>
    <n v="-105.18300000000001"/>
    <n v="105.18300000000001"/>
    <x v="1"/>
    <s v="2230"/>
    <s v="000"/>
    <x v="6"/>
    <x v="1"/>
  </r>
  <r>
    <d v="2012-04-08T00:00:00"/>
    <s v="017-2100-000"/>
    <s v="Food Sales"/>
    <n v="3477.3"/>
    <n v="0"/>
    <s v="Daily Sales Import"/>
    <n v="-3477.3"/>
    <n v="3477.3"/>
    <x v="1"/>
    <s v="2100"/>
    <s v="000"/>
    <x v="6"/>
    <x v="1"/>
  </r>
  <r>
    <d v="2012-04-08T00:00:00"/>
    <s v="017-2210-000"/>
    <s v="Liquor Sales"/>
    <n v="1146.365"/>
    <n v="0"/>
    <s v="Daily Sales Import"/>
    <n v="-1146.365"/>
    <n v="1146.365"/>
    <x v="1"/>
    <s v="2210"/>
    <s v="000"/>
    <x v="6"/>
    <x v="1"/>
  </r>
  <r>
    <d v="2012-04-08T00:00:00"/>
    <s v="017-2220-000"/>
    <s v="Beer Sales"/>
    <n v="91.850000000000009"/>
    <n v="0"/>
    <s v="Daily Sales Import"/>
    <n v="-91.850000000000009"/>
    <n v="91.850000000000009"/>
    <x v="1"/>
    <s v="2220"/>
    <s v="000"/>
    <x v="6"/>
    <x v="1"/>
  </r>
  <r>
    <d v="2012-04-08T00:00:00"/>
    <s v="017-2230-000"/>
    <s v="Wine Sales"/>
    <n v="88.88"/>
    <n v="0"/>
    <s v="Daily Sales Import"/>
    <n v="-88.88"/>
    <n v="88.88"/>
    <x v="1"/>
    <s v="2230"/>
    <s v="000"/>
    <x v="6"/>
    <x v="1"/>
  </r>
  <r>
    <d v="2012-04-02T00:00:00"/>
    <s v="018-2100-000"/>
    <s v="Food Sales"/>
    <n v="4724.0649999999996"/>
    <n v="0"/>
    <s v="Daily Sales Import"/>
    <n v="-4724.0649999999996"/>
    <n v="4724.0649999999996"/>
    <x v="2"/>
    <s v="2100"/>
    <s v="000"/>
    <x v="6"/>
    <x v="1"/>
  </r>
  <r>
    <d v="2012-04-02T00:00:00"/>
    <s v="018-2210-000"/>
    <s v="Liquor Sales"/>
    <n v="620.86500000000001"/>
    <n v="0"/>
    <s v="Daily Sales Import"/>
    <n v="-620.86500000000001"/>
    <n v="620.86500000000001"/>
    <x v="2"/>
    <s v="2210"/>
    <s v="000"/>
    <x v="6"/>
    <x v="1"/>
  </r>
  <r>
    <d v="2012-04-02T00:00:00"/>
    <s v="018-2220-000"/>
    <s v="Beer Sales"/>
    <n v="145.886"/>
    <n v="0"/>
    <s v="Daily Sales Import"/>
    <n v="-145.886"/>
    <n v="145.886"/>
    <x v="2"/>
    <s v="2220"/>
    <s v="000"/>
    <x v="6"/>
    <x v="1"/>
  </r>
  <r>
    <d v="2012-04-02T00:00:00"/>
    <s v="018-2230-000"/>
    <s v="Wine Sales"/>
    <n v="17.29"/>
    <n v="0"/>
    <s v="Daily Sales Import"/>
    <n v="-17.29"/>
    <n v="17.29"/>
    <x v="2"/>
    <s v="2230"/>
    <s v="000"/>
    <x v="6"/>
    <x v="1"/>
  </r>
  <r>
    <d v="2012-04-03T00:00:00"/>
    <s v="018-2100-000"/>
    <s v="Food Sales"/>
    <n v="3613.0185000000001"/>
    <n v="0"/>
    <s v="Daily Sales Import"/>
    <n v="-3613.0185000000001"/>
    <n v="3613.0185000000001"/>
    <x v="2"/>
    <s v="2100"/>
    <s v="000"/>
    <x v="6"/>
    <x v="1"/>
  </r>
  <r>
    <d v="2012-04-03T00:00:00"/>
    <s v="018-2210-000"/>
    <s v="Liquor Sales"/>
    <n v="1029.6389999999999"/>
    <n v="0"/>
    <s v="Daily Sales Import"/>
    <n v="-1029.6389999999999"/>
    <n v="1029.6389999999999"/>
    <x v="2"/>
    <s v="2210"/>
    <s v="000"/>
    <x v="6"/>
    <x v="1"/>
  </r>
  <r>
    <d v="2012-04-03T00:00:00"/>
    <s v="018-2220-000"/>
    <s v="Beer Sales"/>
    <n v="153.73800000000003"/>
    <n v="0"/>
    <s v="Daily Sales Import"/>
    <n v="-153.73800000000003"/>
    <n v="153.73800000000003"/>
    <x v="2"/>
    <s v="2220"/>
    <s v="000"/>
    <x v="6"/>
    <x v="1"/>
  </r>
  <r>
    <d v="2012-04-03T00:00:00"/>
    <s v="018-2230-000"/>
    <s v="Wine Sales"/>
    <n v="54.768000000000001"/>
    <n v="0"/>
    <s v="Daily Sales Import"/>
    <n v="-54.768000000000001"/>
    <n v="54.768000000000001"/>
    <x v="2"/>
    <s v="2230"/>
    <s v="000"/>
    <x v="6"/>
    <x v="1"/>
  </r>
  <r>
    <d v="2012-04-04T00:00:00"/>
    <s v="018-2100-000"/>
    <s v="Food Sales"/>
    <n v="5148.5720000000001"/>
    <n v="0"/>
    <s v="Daily Sales Import"/>
    <n v="-5148.5720000000001"/>
    <n v="5148.5720000000001"/>
    <x v="2"/>
    <s v="2100"/>
    <s v="000"/>
    <x v="6"/>
    <x v="1"/>
  </r>
  <r>
    <d v="2012-04-04T00:00:00"/>
    <s v="018-2210-000"/>
    <s v="Liquor Sales"/>
    <n v="1436.9780000000001"/>
    <n v="0"/>
    <s v="Daily Sales Import"/>
    <n v="-1436.9780000000001"/>
    <n v="1436.9780000000001"/>
    <x v="2"/>
    <s v="2210"/>
    <s v="000"/>
    <x v="6"/>
    <x v="1"/>
  </r>
  <r>
    <d v="2012-04-04T00:00:00"/>
    <s v="018-2220-000"/>
    <s v="Beer Sales"/>
    <n v="204.68799999999999"/>
    <n v="0"/>
    <s v="Daily Sales Import"/>
    <n v="-204.68799999999999"/>
    <n v="204.68799999999999"/>
    <x v="2"/>
    <s v="2220"/>
    <s v="000"/>
    <x v="6"/>
    <x v="1"/>
  </r>
  <r>
    <d v="2012-04-04T00:00:00"/>
    <s v="018-2230-000"/>
    <s v="Wine Sales"/>
    <n v="91.555999999999997"/>
    <n v="0"/>
    <s v="Daily Sales Import"/>
    <n v="-91.555999999999997"/>
    <n v="91.555999999999997"/>
    <x v="2"/>
    <s v="2230"/>
    <s v="000"/>
    <x v="6"/>
    <x v="1"/>
  </r>
  <r>
    <d v="2012-04-05T00:00:00"/>
    <s v="018-2100-000"/>
    <s v="Food Sales"/>
    <n v="4403.8142999999991"/>
    <n v="0"/>
    <s v="Daily Sales Import"/>
    <n v="-4403.8142999999991"/>
    <n v="4403.8142999999991"/>
    <x v="2"/>
    <s v="2100"/>
    <s v="000"/>
    <x v="6"/>
    <x v="1"/>
  </r>
  <r>
    <d v="2012-04-05T00:00:00"/>
    <s v="018-2210-000"/>
    <s v="Liquor Sales"/>
    <n v="1538.5039999999999"/>
    <n v="0"/>
    <s v="Daily Sales Import"/>
    <n v="-1538.5039999999999"/>
    <n v="1538.5039999999999"/>
    <x v="2"/>
    <s v="2210"/>
    <s v="000"/>
    <x v="6"/>
    <x v="1"/>
  </r>
  <r>
    <d v="2012-04-05T00:00:00"/>
    <s v="018-2220-000"/>
    <s v="Beer Sales"/>
    <n v="286.79499999999996"/>
    <n v="0"/>
    <s v="Daily Sales Import"/>
    <n v="-286.79499999999996"/>
    <n v="286.79499999999996"/>
    <x v="2"/>
    <s v="2220"/>
    <s v="000"/>
    <x v="6"/>
    <x v="1"/>
  </r>
  <r>
    <d v="2012-04-05T00:00:00"/>
    <s v="018-2230-000"/>
    <s v="Wine Sales"/>
    <n v="45.500999999999998"/>
    <n v="0"/>
    <s v="Daily Sales Import"/>
    <n v="-45.500999999999998"/>
    <n v="45.500999999999998"/>
    <x v="2"/>
    <s v="2230"/>
    <s v="000"/>
    <x v="6"/>
    <x v="1"/>
  </r>
  <r>
    <d v="2012-04-06T00:00:00"/>
    <s v="018-2100-000"/>
    <s v="Food Sales"/>
    <n v="13116.134700000001"/>
    <n v="0"/>
    <s v="Daily Sales Import"/>
    <n v="-13116.134700000001"/>
    <n v="13116.134700000001"/>
    <x v="2"/>
    <s v="2100"/>
    <s v="000"/>
    <x v="6"/>
    <x v="1"/>
  </r>
  <r>
    <d v="2012-04-06T00:00:00"/>
    <s v="018-2210-000"/>
    <s v="Liquor Sales"/>
    <n v="3214.9124999999999"/>
    <n v="0"/>
    <s v="Daily Sales Import"/>
    <n v="-3214.9124999999999"/>
    <n v="3214.9124999999999"/>
    <x v="2"/>
    <s v="2210"/>
    <s v="000"/>
    <x v="6"/>
    <x v="1"/>
  </r>
  <r>
    <d v="2012-04-06T00:00:00"/>
    <s v="018-2220-000"/>
    <s v="Beer Sales"/>
    <n v="746.40699999999993"/>
    <n v="0"/>
    <s v="Daily Sales Import"/>
    <n v="-746.40699999999993"/>
    <n v="746.40699999999993"/>
    <x v="2"/>
    <s v="2220"/>
    <s v="000"/>
    <x v="6"/>
    <x v="1"/>
  </r>
  <r>
    <d v="2012-04-06T00:00:00"/>
    <s v="018-2230-000"/>
    <s v="Wine Sales"/>
    <n v="138.16999999999999"/>
    <n v="0"/>
    <s v="Daily Sales Import"/>
    <n v="-138.16999999999999"/>
    <n v="138.16999999999999"/>
    <x v="2"/>
    <s v="2230"/>
    <s v="000"/>
    <x v="6"/>
    <x v="1"/>
  </r>
  <r>
    <d v="2012-04-07T00:00:00"/>
    <s v="018-2100-000"/>
    <s v="Food Sales"/>
    <n v="9078.5995000000003"/>
    <n v="0"/>
    <s v="Daily Sales Import"/>
    <n v="-9078.5995000000003"/>
    <n v="9078.5995000000003"/>
    <x v="2"/>
    <s v="2100"/>
    <s v="000"/>
    <x v="6"/>
    <x v="1"/>
  </r>
  <r>
    <d v="2012-04-07T00:00:00"/>
    <s v="018-2210-000"/>
    <s v="Liquor Sales"/>
    <n v="1767.3419999999999"/>
    <n v="0"/>
    <s v="Daily Sales Import"/>
    <n v="-1767.3419999999999"/>
    <n v="1767.3419999999999"/>
    <x v="2"/>
    <s v="2210"/>
    <s v="000"/>
    <x v="6"/>
    <x v="1"/>
  </r>
  <r>
    <d v="2012-04-07T00:00:00"/>
    <s v="018-2220-000"/>
    <s v="Beer Sales"/>
    <n v="580.76850000000002"/>
    <n v="0"/>
    <s v="Daily Sales Import"/>
    <n v="-580.76850000000002"/>
    <n v="580.76850000000002"/>
    <x v="2"/>
    <s v="2220"/>
    <s v="000"/>
    <x v="6"/>
    <x v="1"/>
  </r>
  <r>
    <d v="2012-04-07T00:00:00"/>
    <s v="018-2230-000"/>
    <s v="Wine Sales"/>
    <n v="38.277499999999996"/>
    <n v="0"/>
    <s v="Daily Sales Import"/>
    <n v="-38.277499999999996"/>
    <n v="38.277499999999996"/>
    <x v="2"/>
    <s v="2230"/>
    <s v="000"/>
    <x v="6"/>
    <x v="1"/>
  </r>
  <r>
    <d v="2012-04-08T00:00:00"/>
    <s v="018-2100-000"/>
    <s v="Food Sales"/>
    <n v="6449.3414999999995"/>
    <n v="0"/>
    <s v="Daily Sales Import"/>
    <n v="-6449.3414999999995"/>
    <n v="6449.3414999999995"/>
    <x v="2"/>
    <s v="2100"/>
    <s v="000"/>
    <x v="6"/>
    <x v="1"/>
  </r>
  <r>
    <d v="2012-04-08T00:00:00"/>
    <s v="018-2210-000"/>
    <s v="Liquor Sales"/>
    <n v="858.40649999999994"/>
    <n v="0"/>
    <s v="Daily Sales Import"/>
    <n v="-858.40649999999994"/>
    <n v="858.40649999999994"/>
    <x v="2"/>
    <s v="2210"/>
    <s v="000"/>
    <x v="6"/>
    <x v="1"/>
  </r>
  <r>
    <d v="2012-04-08T00:00:00"/>
    <s v="018-2220-000"/>
    <s v="Beer Sales"/>
    <n v="321.97500000000002"/>
    <n v="0"/>
    <s v="Daily Sales Import"/>
    <n v="-321.97500000000002"/>
    <n v="321.97500000000002"/>
    <x v="2"/>
    <s v="2220"/>
    <s v="000"/>
    <x v="6"/>
    <x v="1"/>
  </r>
  <r>
    <d v="2012-04-08T00:00:00"/>
    <s v="018-2230-000"/>
    <s v="Wine Sales"/>
    <n v="110.71049999999998"/>
    <n v="0"/>
    <s v="Daily Sales Import"/>
    <n v="-110.71049999999998"/>
    <n v="110.71049999999998"/>
    <x v="2"/>
    <s v="2230"/>
    <s v="000"/>
    <x v="6"/>
    <x v="1"/>
  </r>
  <r>
    <d v="2012-04-09T00:00:00"/>
    <s v="016-2100-000"/>
    <s v="Food Sales"/>
    <n v="3960.81"/>
    <n v="0"/>
    <s v="Daily Sales Import"/>
    <n v="-3960.81"/>
    <n v="3960.81"/>
    <x v="0"/>
    <s v="2100"/>
    <s v="000"/>
    <x v="6"/>
    <x v="1"/>
  </r>
  <r>
    <d v="2012-04-09T00:00:00"/>
    <s v="016-2210-000"/>
    <s v="Liquor Sales"/>
    <n v="691.18600000000004"/>
    <n v="0"/>
    <s v="Daily Sales Import"/>
    <n v="-691.18600000000004"/>
    <n v="691.18600000000004"/>
    <x v="0"/>
    <s v="2210"/>
    <s v="000"/>
    <x v="6"/>
    <x v="1"/>
  </r>
  <r>
    <d v="2012-04-09T00:00:00"/>
    <s v="016-2220-000"/>
    <s v="Beer Sales"/>
    <n v="132.327"/>
    <n v="0"/>
    <s v="Daily Sales Import"/>
    <n v="-132.327"/>
    <n v="132.327"/>
    <x v="0"/>
    <s v="2220"/>
    <s v="000"/>
    <x v="6"/>
    <x v="1"/>
  </r>
  <r>
    <d v="2012-04-09T00:00:00"/>
    <s v="016-2230-000"/>
    <s v="Wine Sales"/>
    <n v="94.909499999999994"/>
    <n v="0"/>
    <s v="Daily Sales Import"/>
    <n v="-94.909499999999994"/>
    <n v="94.909499999999994"/>
    <x v="0"/>
    <s v="2230"/>
    <s v="000"/>
    <x v="6"/>
    <x v="1"/>
  </r>
  <r>
    <d v="2012-04-10T00:00:00"/>
    <s v="016-2100-000"/>
    <s v="Food Sales"/>
    <n v="5320.9065000000001"/>
    <n v="0"/>
    <s v="Daily Sales Import"/>
    <n v="-5320.9065000000001"/>
    <n v="5320.9065000000001"/>
    <x v="0"/>
    <s v="2100"/>
    <s v="000"/>
    <x v="6"/>
    <x v="1"/>
  </r>
  <r>
    <d v="2012-04-10T00:00:00"/>
    <s v="016-2210-000"/>
    <s v="Liquor Sales"/>
    <n v="2005.74"/>
    <n v="0"/>
    <s v="Daily Sales Import"/>
    <n v="-2005.74"/>
    <n v="2005.74"/>
    <x v="0"/>
    <s v="2210"/>
    <s v="000"/>
    <x v="6"/>
    <x v="1"/>
  </r>
  <r>
    <d v="2012-04-10T00:00:00"/>
    <s v="016-2220-000"/>
    <s v="Beer Sales"/>
    <n v="269.46749999999997"/>
    <n v="0"/>
    <s v="Daily Sales Import"/>
    <n v="-269.46749999999997"/>
    <n v="269.46749999999997"/>
    <x v="0"/>
    <s v="2220"/>
    <s v="000"/>
    <x v="6"/>
    <x v="1"/>
  </r>
  <r>
    <d v="2012-04-10T00:00:00"/>
    <s v="016-2230-000"/>
    <s v="Wine Sales"/>
    <n v="121.212"/>
    <n v="0"/>
    <s v="Daily Sales Import"/>
    <n v="-121.212"/>
    <n v="121.212"/>
    <x v="0"/>
    <s v="2230"/>
    <s v="000"/>
    <x v="6"/>
    <x v="1"/>
  </r>
  <r>
    <d v="2012-04-11T00:00:00"/>
    <s v="016-2100-000"/>
    <s v="Food Sales"/>
    <n v="4146.5971"/>
    <n v="0"/>
    <s v="Daily Sales Import"/>
    <n v="-4146.5971"/>
    <n v="4146.5971"/>
    <x v="0"/>
    <s v="2100"/>
    <s v="000"/>
    <x v="6"/>
    <x v="1"/>
  </r>
  <r>
    <d v="2012-04-11T00:00:00"/>
    <s v="016-2210-000"/>
    <s v="Liquor Sales"/>
    <n v="1774.4175"/>
    <n v="0"/>
    <s v="Daily Sales Import"/>
    <n v="-1774.4175"/>
    <n v="1774.4175"/>
    <x v="0"/>
    <s v="2210"/>
    <s v="000"/>
    <x v="6"/>
    <x v="1"/>
  </r>
  <r>
    <d v="2012-04-11T00:00:00"/>
    <s v="016-2220-000"/>
    <s v="Beer Sales"/>
    <n v="188.124"/>
    <n v="0"/>
    <s v="Daily Sales Import"/>
    <n v="-188.124"/>
    <n v="188.124"/>
    <x v="0"/>
    <s v="2220"/>
    <s v="000"/>
    <x v="6"/>
    <x v="1"/>
  </r>
  <r>
    <d v="2012-04-11T00:00:00"/>
    <s v="016-2230-000"/>
    <s v="Wine Sales"/>
    <n v="113.52899999999998"/>
    <n v="0"/>
    <s v="Daily Sales Import"/>
    <n v="-113.52899999999998"/>
    <n v="113.52899999999998"/>
    <x v="0"/>
    <s v="2230"/>
    <s v="000"/>
    <x v="6"/>
    <x v="1"/>
  </r>
  <r>
    <d v="2012-04-12T00:00:00"/>
    <s v="016-2100-000"/>
    <s v="Food Sales"/>
    <n v="4297.5237999999999"/>
    <n v="0"/>
    <s v="Daily Sales Import"/>
    <n v="-4297.5237999999999"/>
    <n v="4297.5237999999999"/>
    <x v="0"/>
    <s v="2100"/>
    <s v="000"/>
    <x v="6"/>
    <x v="1"/>
  </r>
  <r>
    <d v="2012-04-12T00:00:00"/>
    <s v="016-2210-000"/>
    <s v="Liquor Sales"/>
    <n v="1316.88"/>
    <n v="0"/>
    <s v="Daily Sales Import"/>
    <n v="-1316.88"/>
    <n v="1316.88"/>
    <x v="0"/>
    <s v="2210"/>
    <s v="000"/>
    <x v="6"/>
    <x v="1"/>
  </r>
  <r>
    <d v="2012-04-12T00:00:00"/>
    <s v="016-2220-000"/>
    <s v="Beer Sales"/>
    <n v="319.57600000000002"/>
    <n v="0"/>
    <s v="Daily Sales Import"/>
    <n v="-319.57600000000002"/>
    <n v="319.57600000000002"/>
    <x v="0"/>
    <s v="2220"/>
    <s v="000"/>
    <x v="6"/>
    <x v="1"/>
  </r>
  <r>
    <d v="2012-04-12T00:00:00"/>
    <s v="016-2230-000"/>
    <s v="Wine Sales"/>
    <n v="250.64999999999998"/>
    <n v="0"/>
    <s v="Daily Sales Import"/>
    <n v="-250.64999999999998"/>
    <n v="250.64999999999998"/>
    <x v="0"/>
    <s v="2230"/>
    <s v="000"/>
    <x v="6"/>
    <x v="1"/>
  </r>
  <r>
    <d v="2012-04-13T00:00:00"/>
    <s v="016-2100-000"/>
    <s v="Food Sales"/>
    <n v="7601.9415999999992"/>
    <n v="0"/>
    <s v="Daily Sales Import"/>
    <n v="-7601.9415999999992"/>
    <n v="7601.9415999999992"/>
    <x v="0"/>
    <s v="2100"/>
    <s v="000"/>
    <x v="6"/>
    <x v="1"/>
  </r>
  <r>
    <d v="2012-04-13T00:00:00"/>
    <s v="016-2210-000"/>
    <s v="Liquor Sales"/>
    <n v="2463.0375000000004"/>
    <n v="0"/>
    <s v="Daily Sales Import"/>
    <n v="-2463.0375000000004"/>
    <n v="2463.0375000000004"/>
    <x v="0"/>
    <s v="2210"/>
    <s v="000"/>
    <x v="6"/>
    <x v="1"/>
  </r>
  <r>
    <d v="2012-04-13T00:00:00"/>
    <s v="016-2220-000"/>
    <s v="Beer Sales"/>
    <n v="472.10399999999993"/>
    <n v="0"/>
    <s v="Daily Sales Import"/>
    <n v="-472.10399999999993"/>
    <n v="472.10399999999993"/>
    <x v="0"/>
    <s v="2220"/>
    <s v="000"/>
    <x v="6"/>
    <x v="1"/>
  </r>
  <r>
    <d v="2012-04-13T00:00:00"/>
    <s v="016-2230-000"/>
    <s v="Wine Sales"/>
    <n v="203.25200000000001"/>
    <n v="0"/>
    <s v="Daily Sales Import"/>
    <n v="-203.25200000000001"/>
    <n v="203.25200000000001"/>
    <x v="0"/>
    <s v="2230"/>
    <s v="000"/>
    <x v="6"/>
    <x v="1"/>
  </r>
  <r>
    <d v="2012-04-14T00:00:00"/>
    <s v="016-2100-000"/>
    <s v="Food Sales"/>
    <n v="10679.768"/>
    <n v="0"/>
    <s v="Daily Sales Import"/>
    <n v="-10679.768"/>
    <n v="10679.768"/>
    <x v="0"/>
    <s v="2100"/>
    <s v="000"/>
    <x v="6"/>
    <x v="1"/>
  </r>
  <r>
    <d v="2012-04-14T00:00:00"/>
    <s v="016-2210-000"/>
    <s v="Liquor Sales"/>
    <n v="5070.2520000000004"/>
    <n v="0"/>
    <s v="Daily Sales Import"/>
    <n v="-5070.2520000000004"/>
    <n v="5070.2520000000004"/>
    <x v="0"/>
    <s v="2210"/>
    <s v="000"/>
    <x v="6"/>
    <x v="1"/>
  </r>
  <r>
    <d v="2012-04-14T00:00:00"/>
    <s v="016-2220-000"/>
    <s v="Beer Sales"/>
    <n v="1342.692"/>
    <n v="0"/>
    <s v="Daily Sales Import"/>
    <n v="-1342.692"/>
    <n v="1342.692"/>
    <x v="0"/>
    <s v="2220"/>
    <s v="000"/>
    <x v="6"/>
    <x v="1"/>
  </r>
  <r>
    <d v="2012-04-14T00:00:00"/>
    <s v="016-2230-000"/>
    <s v="Wine Sales"/>
    <n v="369.29999999999995"/>
    <n v="0"/>
    <s v="Daily Sales Import"/>
    <n v="-369.29999999999995"/>
    <n v="369.29999999999995"/>
    <x v="0"/>
    <s v="2230"/>
    <s v="000"/>
    <x v="6"/>
    <x v="1"/>
  </r>
  <r>
    <d v="2012-04-15T00:00:00"/>
    <s v="016-2100-000"/>
    <s v="Food Sales"/>
    <n v="4163.9976000000006"/>
    <n v="0"/>
    <s v="Daily Sales Import"/>
    <n v="-4163.9976000000006"/>
    <n v="4163.9976000000006"/>
    <x v="0"/>
    <s v="2100"/>
    <s v="000"/>
    <x v="6"/>
    <x v="1"/>
  </r>
  <r>
    <d v="2012-04-15T00:00:00"/>
    <s v="016-2210-000"/>
    <s v="Liquor Sales"/>
    <n v="1628.2398000000001"/>
    <n v="0"/>
    <s v="Daily Sales Import"/>
    <n v="-1628.2398000000001"/>
    <n v="1628.2398000000001"/>
    <x v="0"/>
    <s v="2210"/>
    <s v="000"/>
    <x v="6"/>
    <x v="1"/>
  </r>
  <r>
    <d v="2012-04-15T00:00:00"/>
    <s v="016-2220-000"/>
    <s v="Beer Sales"/>
    <n v="263.08799999999997"/>
    <n v="0"/>
    <s v="Daily Sales Import"/>
    <n v="-263.08799999999997"/>
    <n v="263.08799999999997"/>
    <x v="0"/>
    <s v="2220"/>
    <s v="000"/>
    <x v="6"/>
    <x v="1"/>
  </r>
  <r>
    <d v="2012-04-15T00:00:00"/>
    <s v="016-2230-000"/>
    <s v="Wine Sales"/>
    <n v="136.864"/>
    <n v="0"/>
    <s v="Daily Sales Import"/>
    <n v="-136.864"/>
    <n v="136.864"/>
    <x v="0"/>
    <s v="2230"/>
    <s v="000"/>
    <x v="6"/>
    <x v="1"/>
  </r>
  <r>
    <d v="2012-04-09T00:00:00"/>
    <s v="017-2100-000"/>
    <s v="Food Sales"/>
    <n v="6074.9849999999997"/>
    <n v="0"/>
    <s v="Daily Sales Import"/>
    <n v="-6074.9849999999997"/>
    <n v="6074.9849999999997"/>
    <x v="1"/>
    <s v="2100"/>
    <s v="000"/>
    <x v="6"/>
    <x v="1"/>
  </r>
  <r>
    <d v="2012-04-09T00:00:00"/>
    <s v="017-2210-000"/>
    <s v="Liquor Sales"/>
    <n v="1782.5775000000001"/>
    <n v="0"/>
    <s v="Daily Sales Import"/>
    <n v="-1782.5775000000001"/>
    <n v="1782.5775000000001"/>
    <x v="1"/>
    <s v="2210"/>
    <s v="000"/>
    <x v="6"/>
    <x v="1"/>
  </r>
  <r>
    <d v="2012-04-09T00:00:00"/>
    <s v="017-2220-000"/>
    <s v="Beer Sales"/>
    <n v="647.42499999999995"/>
    <n v="0"/>
    <s v="Daily Sales Import"/>
    <n v="-647.42499999999995"/>
    <n v="647.42499999999995"/>
    <x v="1"/>
    <s v="2220"/>
    <s v="000"/>
    <x v="6"/>
    <x v="1"/>
  </r>
  <r>
    <d v="2012-04-09T00:00:00"/>
    <s v="017-2230-000"/>
    <s v="Wine Sales"/>
    <n v="223.51499999999999"/>
    <n v="0"/>
    <s v="Daily Sales Import"/>
    <n v="-223.51499999999999"/>
    <n v="223.51499999999999"/>
    <x v="1"/>
    <s v="2230"/>
    <s v="000"/>
    <x v="6"/>
    <x v="1"/>
  </r>
  <r>
    <d v="2012-04-10T00:00:00"/>
    <s v="017-2100-000"/>
    <s v="Food Sales"/>
    <n v="6647.0549999999994"/>
    <n v="0"/>
    <s v="Daily Sales Import"/>
    <n v="-6647.0549999999994"/>
    <n v="6647.0549999999994"/>
    <x v="1"/>
    <s v="2100"/>
    <s v="000"/>
    <x v="6"/>
    <x v="1"/>
  </r>
  <r>
    <d v="2012-04-10T00:00:00"/>
    <s v="017-2210-000"/>
    <s v="Liquor Sales"/>
    <n v="1697.6079999999999"/>
    <n v="0"/>
    <s v="Daily Sales Import"/>
    <n v="-1697.6079999999999"/>
    <n v="1697.6079999999999"/>
    <x v="1"/>
    <s v="2210"/>
    <s v="000"/>
    <x v="6"/>
    <x v="1"/>
  </r>
  <r>
    <d v="2012-04-10T00:00:00"/>
    <s v="017-2220-000"/>
    <s v="Beer Sales"/>
    <n v="571.48500000000001"/>
    <n v="0"/>
    <s v="Daily Sales Import"/>
    <n v="-571.48500000000001"/>
    <n v="571.48500000000001"/>
    <x v="1"/>
    <s v="2220"/>
    <s v="000"/>
    <x v="6"/>
    <x v="1"/>
  </r>
  <r>
    <d v="2012-04-10T00:00:00"/>
    <s v="017-2230-000"/>
    <s v="Wine Sales"/>
    <n v="136.96200000000002"/>
    <n v="0"/>
    <s v="Daily Sales Import"/>
    <n v="-136.96200000000002"/>
    <n v="136.96200000000002"/>
    <x v="1"/>
    <s v="2230"/>
    <s v="000"/>
    <x v="6"/>
    <x v="1"/>
  </r>
  <r>
    <d v="2012-04-11T00:00:00"/>
    <s v="017-2100-000"/>
    <s v="Food Sales"/>
    <n v="5034.8959999999997"/>
    <n v="0"/>
    <s v="Daily Sales Import"/>
    <n v="-5034.8959999999997"/>
    <n v="5034.8959999999997"/>
    <x v="1"/>
    <s v="2100"/>
    <s v="000"/>
    <x v="6"/>
    <x v="1"/>
  </r>
  <r>
    <d v="2012-04-11T00:00:00"/>
    <s v="017-2210-000"/>
    <s v="Liquor Sales"/>
    <n v="1471.7860000000001"/>
    <n v="0"/>
    <s v="Daily Sales Import"/>
    <n v="-1471.7860000000001"/>
    <n v="1471.7860000000001"/>
    <x v="1"/>
    <s v="2210"/>
    <s v="000"/>
    <x v="6"/>
    <x v="1"/>
  </r>
  <r>
    <d v="2012-04-11T00:00:00"/>
    <s v="017-2220-000"/>
    <s v="Beer Sales"/>
    <n v="540.57499999999993"/>
    <n v="0"/>
    <s v="Daily Sales Import"/>
    <n v="-540.57499999999993"/>
    <n v="540.57499999999993"/>
    <x v="1"/>
    <s v="2220"/>
    <s v="000"/>
    <x v="6"/>
    <x v="1"/>
  </r>
  <r>
    <d v="2012-04-11T00:00:00"/>
    <s v="017-2230-000"/>
    <s v="Wine Sales"/>
    <n v="211.15599999999998"/>
    <n v="0"/>
    <s v="Daily Sales Import"/>
    <n v="-211.15599999999998"/>
    <n v="211.15599999999998"/>
    <x v="1"/>
    <s v="2230"/>
    <s v="000"/>
    <x v="6"/>
    <x v="1"/>
  </r>
  <r>
    <d v="2012-04-12T00:00:00"/>
    <s v="017-2100-000"/>
    <s v="Food Sales"/>
    <n v="5381.2745999999997"/>
    <n v="0"/>
    <s v="Daily Sales Import"/>
    <n v="-5381.2745999999997"/>
    <n v="5381.2745999999997"/>
    <x v="1"/>
    <s v="2100"/>
    <s v="000"/>
    <x v="6"/>
    <x v="1"/>
  </r>
  <r>
    <d v="2012-04-12T00:00:00"/>
    <s v="017-2210-000"/>
    <s v="Liquor Sales"/>
    <n v="1248.6285"/>
    <n v="0"/>
    <s v="Daily Sales Import"/>
    <n v="-1248.6285"/>
    <n v="1248.6285"/>
    <x v="1"/>
    <s v="2210"/>
    <s v="000"/>
    <x v="6"/>
    <x v="1"/>
  </r>
  <r>
    <d v="2012-04-12T00:00:00"/>
    <s v="017-2220-000"/>
    <s v="Beer Sales"/>
    <n v="422.98750000000001"/>
    <n v="0"/>
    <s v="Daily Sales Import"/>
    <n v="-422.98750000000001"/>
    <n v="422.98750000000001"/>
    <x v="1"/>
    <s v="2220"/>
    <s v="000"/>
    <x v="6"/>
    <x v="1"/>
  </r>
  <r>
    <d v="2012-04-12T00:00:00"/>
    <s v="017-2230-000"/>
    <s v="Wine Sales"/>
    <n v="231.334"/>
    <n v="0"/>
    <s v="Daily Sales Import"/>
    <n v="-231.334"/>
    <n v="231.334"/>
    <x v="1"/>
    <s v="2230"/>
    <s v="000"/>
    <x v="6"/>
    <x v="1"/>
  </r>
  <r>
    <d v="2012-04-13T00:00:00"/>
    <s v="017-2100-000"/>
    <s v="Food Sales"/>
    <n v="9606.2671000000009"/>
    <n v="0"/>
    <s v="Daily Sales Import"/>
    <n v="-9606.2671000000009"/>
    <n v="9606.2671000000009"/>
    <x v="1"/>
    <s v="2100"/>
    <s v="000"/>
    <x v="6"/>
    <x v="1"/>
  </r>
  <r>
    <d v="2012-04-13T00:00:00"/>
    <s v="017-2210-000"/>
    <s v="Liquor Sales"/>
    <n v="3557.2064999999998"/>
    <n v="0"/>
    <s v="Daily Sales Import"/>
    <n v="-3557.2064999999998"/>
    <n v="3557.2064999999998"/>
    <x v="1"/>
    <s v="2210"/>
    <s v="000"/>
    <x v="6"/>
    <x v="1"/>
  </r>
  <r>
    <d v="2012-04-13T00:00:00"/>
    <s v="017-2220-000"/>
    <s v="Beer Sales"/>
    <n v="907.48749999999995"/>
    <n v="0"/>
    <s v="Daily Sales Import"/>
    <n v="-907.48749999999995"/>
    <n v="907.48749999999995"/>
    <x v="1"/>
    <s v="2220"/>
    <s v="000"/>
    <x v="6"/>
    <x v="1"/>
  </r>
  <r>
    <d v="2012-04-13T00:00:00"/>
    <s v="017-2230-000"/>
    <s v="Wine Sales"/>
    <n v="340.86499999999995"/>
    <n v="0"/>
    <s v="Daily Sales Import"/>
    <n v="-340.86499999999995"/>
    <n v="340.86499999999995"/>
    <x v="1"/>
    <s v="2230"/>
    <s v="000"/>
    <x v="6"/>
    <x v="1"/>
  </r>
  <r>
    <d v="2012-04-14T00:00:00"/>
    <s v="017-2100-000"/>
    <s v="Food Sales"/>
    <n v="9581.4549999999999"/>
    <n v="0"/>
    <s v="Daily Sales Import"/>
    <n v="-9581.4549999999999"/>
    <n v="9581.4549999999999"/>
    <x v="1"/>
    <s v="2100"/>
    <s v="000"/>
    <x v="6"/>
    <x v="1"/>
  </r>
  <r>
    <d v="2012-04-14T00:00:00"/>
    <s v="017-2210-000"/>
    <s v="Liquor Sales"/>
    <n v="2350.9859999999999"/>
    <n v="0"/>
    <s v="Daily Sales Import"/>
    <n v="-2350.9859999999999"/>
    <n v="2350.9859999999999"/>
    <x v="1"/>
    <s v="2210"/>
    <s v="000"/>
    <x v="6"/>
    <x v="1"/>
  </r>
  <r>
    <d v="2012-04-14T00:00:00"/>
    <s v="017-2220-000"/>
    <s v="Beer Sales"/>
    <n v="363.67500000000001"/>
    <n v="0"/>
    <s v="Daily Sales Import"/>
    <n v="-363.67500000000001"/>
    <n v="363.67500000000001"/>
    <x v="1"/>
    <s v="2220"/>
    <s v="000"/>
    <x v="6"/>
    <x v="1"/>
  </r>
  <r>
    <d v="2012-04-14T00:00:00"/>
    <s v="017-2230-000"/>
    <s v="Wine Sales"/>
    <n v="261.95999999999998"/>
    <n v="0"/>
    <s v="Daily Sales Import"/>
    <n v="-261.95999999999998"/>
    <n v="261.95999999999998"/>
    <x v="1"/>
    <s v="2230"/>
    <s v="000"/>
    <x v="6"/>
    <x v="1"/>
  </r>
  <r>
    <d v="2012-04-15T00:00:00"/>
    <s v="017-2100-000"/>
    <s v="Food Sales"/>
    <n v="5517.5337000000009"/>
    <n v="0"/>
    <s v="Daily Sales Import"/>
    <n v="-5517.5337000000009"/>
    <n v="5517.5337000000009"/>
    <x v="1"/>
    <s v="2100"/>
    <s v="000"/>
    <x v="6"/>
    <x v="1"/>
  </r>
  <r>
    <d v="2012-04-15T00:00:00"/>
    <s v="017-2210-000"/>
    <s v="Liquor Sales"/>
    <n v="1102.1189999999999"/>
    <n v="0"/>
    <s v="Daily Sales Import"/>
    <n v="-1102.1189999999999"/>
    <n v="1102.1189999999999"/>
    <x v="1"/>
    <s v="2210"/>
    <s v="000"/>
    <x v="6"/>
    <x v="1"/>
  </r>
  <r>
    <d v="2012-04-15T00:00:00"/>
    <s v="017-2220-000"/>
    <s v="Beer Sales"/>
    <n v="214.3475"/>
    <n v="0"/>
    <s v="Daily Sales Import"/>
    <n v="-214.3475"/>
    <n v="214.3475"/>
    <x v="1"/>
    <s v="2220"/>
    <s v="000"/>
    <x v="6"/>
    <x v="1"/>
  </r>
  <r>
    <d v="2012-04-15T00:00:00"/>
    <s v="017-2230-000"/>
    <s v="Wine Sales"/>
    <n v="119.36250000000001"/>
    <n v="0"/>
    <s v="Daily Sales Import"/>
    <n v="-119.36250000000001"/>
    <n v="119.36250000000001"/>
    <x v="1"/>
    <s v="2230"/>
    <s v="000"/>
    <x v="6"/>
    <x v="1"/>
  </r>
  <r>
    <d v="2012-04-09T00:00:00"/>
    <s v="018-2100-000"/>
    <s v="Food Sales"/>
    <n v="3959.7950000000001"/>
    <n v="0"/>
    <s v="Daily Sales Import"/>
    <n v="-3959.7950000000001"/>
    <n v="3959.7950000000001"/>
    <x v="2"/>
    <s v="2100"/>
    <s v="000"/>
    <x v="6"/>
    <x v="1"/>
  </r>
  <r>
    <d v="2012-04-09T00:00:00"/>
    <s v="018-2210-000"/>
    <s v="Liquor Sales"/>
    <n v="756.11699999999996"/>
    <n v="0"/>
    <s v="Daily Sales Import"/>
    <n v="-756.11699999999996"/>
    <n v="756.11699999999996"/>
    <x v="2"/>
    <s v="2210"/>
    <s v="000"/>
    <x v="6"/>
    <x v="1"/>
  </r>
  <r>
    <d v="2012-04-09T00:00:00"/>
    <s v="018-2220-000"/>
    <s v="Beer Sales"/>
    <n v="187.30799999999999"/>
    <n v="0"/>
    <s v="Daily Sales Import"/>
    <n v="-187.30799999999999"/>
    <n v="187.30799999999999"/>
    <x v="2"/>
    <s v="2220"/>
    <s v="000"/>
    <x v="6"/>
    <x v="1"/>
  </r>
  <r>
    <d v="2012-04-09T00:00:00"/>
    <s v="018-2230-000"/>
    <s v="Wine Sales"/>
    <n v="25.085999999999999"/>
    <n v="0"/>
    <s v="Daily Sales Import"/>
    <n v="-25.085999999999999"/>
    <n v="25.085999999999999"/>
    <x v="2"/>
    <s v="2230"/>
    <s v="000"/>
    <x v="6"/>
    <x v="1"/>
  </r>
  <r>
    <d v="2012-04-10T00:00:00"/>
    <s v="018-2100-000"/>
    <s v="Food Sales"/>
    <n v="2980.4949999999999"/>
    <n v="0"/>
    <s v="Daily Sales Import"/>
    <n v="-2980.4949999999999"/>
    <n v="2980.4949999999999"/>
    <x v="2"/>
    <s v="2100"/>
    <s v="000"/>
    <x v="6"/>
    <x v="1"/>
  </r>
  <r>
    <d v="2012-04-10T00:00:00"/>
    <s v="018-2210-000"/>
    <s v="Liquor Sales"/>
    <n v="928.99799999999993"/>
    <n v="0"/>
    <s v="Daily Sales Import"/>
    <n v="-928.99799999999993"/>
    <n v="928.99799999999993"/>
    <x v="2"/>
    <s v="2210"/>
    <s v="000"/>
    <x v="6"/>
    <x v="1"/>
  </r>
  <r>
    <d v="2012-04-10T00:00:00"/>
    <s v="018-2220-000"/>
    <s v="Beer Sales"/>
    <n v="378.47999999999996"/>
    <n v="0"/>
    <s v="Daily Sales Import"/>
    <n v="-378.47999999999996"/>
    <n v="378.47999999999996"/>
    <x v="2"/>
    <s v="2220"/>
    <s v="000"/>
    <x v="6"/>
    <x v="1"/>
  </r>
  <r>
    <d v="2012-04-10T00:00:00"/>
    <s v="018-2230-000"/>
    <s v="Wine Sales"/>
    <n v="42.741499999999995"/>
    <n v="0"/>
    <s v="Daily Sales Import"/>
    <n v="-42.741499999999995"/>
    <n v="42.741499999999995"/>
    <x v="2"/>
    <s v="2230"/>
    <s v="000"/>
    <x v="6"/>
    <x v="1"/>
  </r>
  <r>
    <d v="2012-04-11T00:00:00"/>
    <s v="018-2100-000"/>
    <s v="Food Sales"/>
    <n v="3340.0376000000001"/>
    <n v="0"/>
    <s v="Daily Sales Import"/>
    <n v="-3340.0376000000001"/>
    <n v="3340.0376000000001"/>
    <x v="2"/>
    <s v="2100"/>
    <s v="000"/>
    <x v="6"/>
    <x v="1"/>
  </r>
  <r>
    <d v="2012-04-11T00:00:00"/>
    <s v="018-2210-000"/>
    <s v="Liquor Sales"/>
    <n v="604.39600000000007"/>
    <n v="0"/>
    <s v="Daily Sales Import"/>
    <n v="-604.39600000000007"/>
    <n v="604.39600000000007"/>
    <x v="2"/>
    <s v="2210"/>
    <s v="000"/>
    <x v="6"/>
    <x v="1"/>
  </r>
  <r>
    <d v="2012-04-11T00:00:00"/>
    <s v="018-2220-000"/>
    <s v="Beer Sales"/>
    <n v="118.2505"/>
    <n v="0"/>
    <s v="Daily Sales Import"/>
    <n v="-118.2505"/>
    <n v="118.2505"/>
    <x v="2"/>
    <s v="2220"/>
    <s v="000"/>
    <x v="6"/>
    <x v="1"/>
  </r>
  <r>
    <d v="2012-04-11T00:00:00"/>
    <s v="018-2230-000"/>
    <s v="Wine Sales"/>
    <n v="52.271999999999998"/>
    <n v="0"/>
    <s v="Daily Sales Import"/>
    <n v="-52.271999999999998"/>
    <n v="52.271999999999998"/>
    <x v="2"/>
    <s v="2230"/>
    <s v="000"/>
    <x v="6"/>
    <x v="1"/>
  </r>
  <r>
    <d v="2012-04-12T00:00:00"/>
    <s v="018-2100-000"/>
    <s v="Food Sales"/>
    <n v="3720.732"/>
    <n v="0"/>
    <s v="Daily Sales Import"/>
    <n v="-3720.732"/>
    <n v="3720.732"/>
    <x v="2"/>
    <s v="2100"/>
    <s v="000"/>
    <x v="6"/>
    <x v="1"/>
  </r>
  <r>
    <d v="2012-04-12T00:00:00"/>
    <s v="018-2210-000"/>
    <s v="Liquor Sales"/>
    <n v="937.16449999999998"/>
    <n v="0"/>
    <s v="Daily Sales Import"/>
    <n v="-937.16449999999998"/>
    <n v="937.16449999999998"/>
    <x v="2"/>
    <s v="2210"/>
    <s v="000"/>
    <x v="6"/>
    <x v="1"/>
  </r>
  <r>
    <d v="2012-04-12T00:00:00"/>
    <s v="018-2220-000"/>
    <s v="Beer Sales"/>
    <n v="243.76799999999997"/>
    <n v="0"/>
    <s v="Daily Sales Import"/>
    <n v="-243.76799999999997"/>
    <n v="243.76799999999997"/>
    <x v="2"/>
    <s v="2220"/>
    <s v="000"/>
    <x v="6"/>
    <x v="1"/>
  </r>
  <r>
    <d v="2012-04-12T00:00:00"/>
    <s v="018-2230-000"/>
    <s v="Wine Sales"/>
    <n v="35.875"/>
    <n v="0"/>
    <s v="Daily Sales Import"/>
    <n v="-35.875"/>
    <n v="35.875"/>
    <x v="2"/>
    <s v="2230"/>
    <s v="000"/>
    <x v="6"/>
    <x v="1"/>
  </r>
  <r>
    <d v="2012-04-13T00:00:00"/>
    <s v="018-2100-000"/>
    <s v="Food Sales"/>
    <n v="12010.567499999999"/>
    <n v="0"/>
    <s v="Daily Sales Import"/>
    <n v="-12010.567499999999"/>
    <n v="12010.567499999999"/>
    <x v="2"/>
    <s v="2100"/>
    <s v="000"/>
    <x v="6"/>
    <x v="1"/>
  </r>
  <r>
    <d v="2012-04-13T00:00:00"/>
    <s v="018-2210-000"/>
    <s v="Liquor Sales"/>
    <n v="2797.681"/>
    <n v="0"/>
    <s v="Daily Sales Import"/>
    <n v="-2797.681"/>
    <n v="2797.681"/>
    <x v="2"/>
    <s v="2210"/>
    <s v="000"/>
    <x v="6"/>
    <x v="1"/>
  </r>
  <r>
    <d v="2012-04-13T00:00:00"/>
    <s v="018-2220-000"/>
    <s v="Beer Sales"/>
    <n v="444.37999999999994"/>
    <n v="0"/>
    <s v="Daily Sales Import"/>
    <n v="-444.37999999999994"/>
    <n v="444.37999999999994"/>
    <x v="2"/>
    <s v="2220"/>
    <s v="000"/>
    <x v="6"/>
    <x v="1"/>
  </r>
  <r>
    <d v="2012-04-13T00:00:00"/>
    <s v="018-2230-000"/>
    <s v="Wine Sales"/>
    <n v="145.595"/>
    <n v="0"/>
    <s v="Daily Sales Import"/>
    <n v="-145.595"/>
    <n v="145.595"/>
    <x v="2"/>
    <s v="2230"/>
    <s v="000"/>
    <x v="6"/>
    <x v="1"/>
  </r>
  <r>
    <d v="2012-04-14T00:00:00"/>
    <s v="018-2100-000"/>
    <s v="Food Sales"/>
    <n v="16356.238400000002"/>
    <n v="0"/>
    <s v="Daily Sales Import"/>
    <n v="-16356.238400000002"/>
    <n v="16356.238400000002"/>
    <x v="2"/>
    <s v="2100"/>
    <s v="000"/>
    <x v="6"/>
    <x v="1"/>
  </r>
  <r>
    <d v="2012-04-14T00:00:00"/>
    <s v="018-2210-000"/>
    <s v="Liquor Sales"/>
    <n v="3610.2404999999999"/>
    <n v="0"/>
    <s v="Daily Sales Import"/>
    <n v="-3610.2404999999999"/>
    <n v="3610.2404999999999"/>
    <x v="2"/>
    <s v="2210"/>
    <s v="000"/>
    <x v="6"/>
    <x v="1"/>
  </r>
  <r>
    <d v="2012-04-14T00:00:00"/>
    <s v="018-2220-000"/>
    <s v="Beer Sales"/>
    <n v="432.67649999999998"/>
    <n v="0"/>
    <s v="Daily Sales Import"/>
    <n v="-432.67649999999998"/>
    <n v="432.67649999999998"/>
    <x v="2"/>
    <s v="2220"/>
    <s v="000"/>
    <x v="6"/>
    <x v="1"/>
  </r>
  <r>
    <d v="2012-04-14T00:00:00"/>
    <s v="018-2230-000"/>
    <s v="Wine Sales"/>
    <n v="139.09700000000001"/>
    <n v="0"/>
    <s v="Daily Sales Import"/>
    <n v="-139.09700000000001"/>
    <n v="139.09700000000001"/>
    <x v="2"/>
    <s v="2230"/>
    <s v="000"/>
    <x v="6"/>
    <x v="1"/>
  </r>
  <r>
    <d v="2012-04-15T00:00:00"/>
    <s v="018-2100-000"/>
    <s v="Food Sales"/>
    <n v="8349.0740000000005"/>
    <n v="0"/>
    <s v="Daily Sales Import"/>
    <n v="-8349.0740000000005"/>
    <n v="8349.0740000000005"/>
    <x v="2"/>
    <s v="2100"/>
    <s v="000"/>
    <x v="6"/>
    <x v="1"/>
  </r>
  <r>
    <d v="2012-04-15T00:00:00"/>
    <s v="018-2210-000"/>
    <s v="Liquor Sales"/>
    <n v="1844.6120000000001"/>
    <n v="0"/>
    <s v="Daily Sales Import"/>
    <n v="-1844.6120000000001"/>
    <n v="1844.6120000000001"/>
    <x v="2"/>
    <s v="2210"/>
    <s v="000"/>
    <x v="6"/>
    <x v="1"/>
  </r>
  <r>
    <d v="2012-04-15T00:00:00"/>
    <s v="018-2220-000"/>
    <s v="Beer Sales"/>
    <n v="375.49799999999999"/>
    <n v="0"/>
    <s v="Daily Sales Import"/>
    <n v="-375.49799999999999"/>
    <n v="375.49799999999999"/>
    <x v="2"/>
    <s v="2220"/>
    <s v="000"/>
    <x v="6"/>
    <x v="1"/>
  </r>
  <r>
    <d v="2012-04-15T00:00:00"/>
    <s v="018-2230-000"/>
    <s v="Wine Sales"/>
    <n v="171.21199999999999"/>
    <n v="0"/>
    <s v="Daily Sales Import"/>
    <n v="-171.21199999999999"/>
    <n v="171.21199999999999"/>
    <x v="2"/>
    <s v="2230"/>
    <s v="000"/>
    <x v="6"/>
    <x v="1"/>
  </r>
  <r>
    <d v="2012-04-16T00:00:00"/>
    <s v="016-2100-000"/>
    <s v="Food Sales"/>
    <n v="2684.5694000000003"/>
    <n v="0"/>
    <s v="Daily Sales Import"/>
    <n v="-2684.5694000000003"/>
    <n v="2684.5694000000003"/>
    <x v="0"/>
    <s v="2100"/>
    <s v="000"/>
    <x v="6"/>
    <x v="1"/>
  </r>
  <r>
    <d v="2012-04-16T00:00:00"/>
    <s v="016-2210-000"/>
    <s v="Liquor Sales"/>
    <n v="826.09899999999993"/>
    <n v="0"/>
    <s v="Daily Sales Import"/>
    <n v="-826.09899999999993"/>
    <n v="826.09899999999993"/>
    <x v="0"/>
    <s v="2210"/>
    <s v="000"/>
    <x v="6"/>
    <x v="1"/>
  </r>
  <r>
    <d v="2012-04-16T00:00:00"/>
    <s v="016-2220-000"/>
    <s v="Beer Sales"/>
    <n v="122.337"/>
    <n v="0"/>
    <s v="Daily Sales Import"/>
    <n v="-122.337"/>
    <n v="122.337"/>
    <x v="0"/>
    <s v="2220"/>
    <s v="000"/>
    <x v="6"/>
    <x v="1"/>
  </r>
  <r>
    <d v="2012-04-16T00:00:00"/>
    <s v="016-2230-000"/>
    <s v="Wine Sales"/>
    <n v="92.547000000000011"/>
    <n v="0"/>
    <s v="Daily Sales Import"/>
    <n v="-92.547000000000011"/>
    <n v="92.547000000000011"/>
    <x v="0"/>
    <s v="2230"/>
    <s v="000"/>
    <x v="6"/>
    <x v="1"/>
  </r>
  <r>
    <d v="2012-04-17T00:00:00"/>
    <s v="016-2100-000"/>
    <s v="Food Sales"/>
    <n v="3716.6849999999999"/>
    <n v="0"/>
    <s v="Daily Sales Import"/>
    <n v="-3716.6849999999999"/>
    <n v="3716.6849999999999"/>
    <x v="0"/>
    <s v="2100"/>
    <s v="000"/>
    <x v="6"/>
    <x v="1"/>
  </r>
  <r>
    <d v="2012-04-17T00:00:00"/>
    <s v="016-2210-000"/>
    <s v="Liquor Sales"/>
    <n v="2070.1149999999998"/>
    <n v="0"/>
    <s v="Daily Sales Import"/>
    <n v="-2070.1149999999998"/>
    <n v="2070.1149999999998"/>
    <x v="0"/>
    <s v="2210"/>
    <s v="000"/>
    <x v="6"/>
    <x v="1"/>
  </r>
  <r>
    <d v="2012-04-17T00:00:00"/>
    <s v="016-2220-000"/>
    <s v="Beer Sales"/>
    <n v="383.4"/>
    <n v="0"/>
    <s v="Daily Sales Import"/>
    <n v="-383.4"/>
    <n v="383.4"/>
    <x v="0"/>
    <s v="2220"/>
    <s v="000"/>
    <x v="6"/>
    <x v="1"/>
  </r>
  <r>
    <d v="2012-04-17T00:00:00"/>
    <s v="016-2230-000"/>
    <s v="Wine Sales"/>
    <n v="106.43600000000001"/>
    <n v="0"/>
    <s v="Daily Sales Import"/>
    <n v="-106.43600000000001"/>
    <n v="106.43600000000001"/>
    <x v="0"/>
    <s v="2230"/>
    <s v="000"/>
    <x v="6"/>
    <x v="1"/>
  </r>
  <r>
    <d v="2012-04-18T00:00:00"/>
    <s v="016-2100-000"/>
    <s v="Food Sales"/>
    <n v="3646.643"/>
    <n v="0"/>
    <s v="Daily Sales Import"/>
    <n v="-3646.643"/>
    <n v="3646.643"/>
    <x v="0"/>
    <s v="2100"/>
    <s v="000"/>
    <x v="6"/>
    <x v="1"/>
  </r>
  <r>
    <d v="2012-04-18T00:00:00"/>
    <s v="016-2210-000"/>
    <s v="Liquor Sales"/>
    <n v="1024.2339999999999"/>
    <n v="0"/>
    <s v="Daily Sales Import"/>
    <n v="-1024.2339999999999"/>
    <n v="1024.2339999999999"/>
    <x v="0"/>
    <s v="2210"/>
    <s v="000"/>
    <x v="6"/>
    <x v="1"/>
  </r>
  <r>
    <d v="2012-04-18T00:00:00"/>
    <s v="016-2220-000"/>
    <s v="Beer Sales"/>
    <n v="185.05800000000002"/>
    <n v="0"/>
    <s v="Daily Sales Import"/>
    <n v="-185.05800000000002"/>
    <n v="185.05800000000002"/>
    <x v="0"/>
    <s v="2220"/>
    <s v="000"/>
    <x v="6"/>
    <x v="1"/>
  </r>
  <r>
    <d v="2012-04-18T00:00:00"/>
    <s v="016-2230-000"/>
    <s v="Wine Sales"/>
    <n v="120.73100000000001"/>
    <n v="0"/>
    <s v="Daily Sales Import"/>
    <n v="-120.73100000000001"/>
    <n v="120.73100000000001"/>
    <x v="0"/>
    <s v="2230"/>
    <s v="000"/>
    <x v="6"/>
    <x v="1"/>
  </r>
  <r>
    <d v="2012-04-19T00:00:00"/>
    <s v="016-2100-000"/>
    <s v="Food Sales"/>
    <n v="5463.799"/>
    <n v="0"/>
    <s v="Daily Sales Import"/>
    <n v="-5463.799"/>
    <n v="5463.799"/>
    <x v="0"/>
    <s v="2100"/>
    <s v="000"/>
    <x v="6"/>
    <x v="1"/>
  </r>
  <r>
    <d v="2012-04-19T00:00:00"/>
    <s v="016-2210-000"/>
    <s v="Liquor Sales"/>
    <n v="2380.3200000000002"/>
    <n v="0"/>
    <s v="Daily Sales Import"/>
    <n v="-2380.3200000000002"/>
    <n v="2380.3200000000002"/>
    <x v="0"/>
    <s v="2210"/>
    <s v="000"/>
    <x v="6"/>
    <x v="1"/>
  </r>
  <r>
    <d v="2012-04-19T00:00:00"/>
    <s v="016-2220-000"/>
    <s v="Beer Sales"/>
    <n v="347.65199999999999"/>
    <n v="0"/>
    <s v="Daily Sales Import"/>
    <n v="-347.65199999999999"/>
    <n v="347.65199999999999"/>
    <x v="0"/>
    <s v="2220"/>
    <s v="000"/>
    <x v="6"/>
    <x v="1"/>
  </r>
  <r>
    <d v="2012-04-19T00:00:00"/>
    <s v="016-2230-000"/>
    <s v="Wine Sales"/>
    <n v="161.56799999999998"/>
    <n v="0"/>
    <s v="Daily Sales Import"/>
    <n v="-161.56799999999998"/>
    <n v="161.56799999999998"/>
    <x v="0"/>
    <s v="2230"/>
    <s v="000"/>
    <x v="6"/>
    <x v="1"/>
  </r>
  <r>
    <d v="2012-04-20T00:00:00"/>
    <s v="016-2100-000"/>
    <s v="Food Sales"/>
    <n v="6542.5834999999997"/>
    <n v="0"/>
    <s v="Daily Sales Import"/>
    <n v="-6542.5834999999997"/>
    <n v="6542.5834999999997"/>
    <x v="0"/>
    <s v="2100"/>
    <s v="000"/>
    <x v="6"/>
    <x v="1"/>
  </r>
  <r>
    <d v="2012-04-20T00:00:00"/>
    <s v="016-2210-000"/>
    <s v="Liquor Sales"/>
    <n v="2512.16"/>
    <n v="0"/>
    <s v="Daily Sales Import"/>
    <n v="-2512.16"/>
    <n v="2512.16"/>
    <x v="0"/>
    <s v="2210"/>
    <s v="000"/>
    <x v="6"/>
    <x v="1"/>
  </r>
  <r>
    <d v="2012-04-20T00:00:00"/>
    <s v="016-2220-000"/>
    <s v="Beer Sales"/>
    <n v="399.25200000000007"/>
    <n v="0"/>
    <s v="Daily Sales Import"/>
    <n v="-399.25200000000007"/>
    <n v="399.25200000000007"/>
    <x v="0"/>
    <s v="2220"/>
    <s v="000"/>
    <x v="6"/>
    <x v="1"/>
  </r>
  <r>
    <d v="2012-04-20T00:00:00"/>
    <s v="016-2230-000"/>
    <s v="Wine Sales"/>
    <n v="158.68800000000002"/>
    <n v="0"/>
    <s v="Daily Sales Import"/>
    <n v="-158.68800000000002"/>
    <n v="158.68800000000002"/>
    <x v="0"/>
    <s v="2230"/>
    <s v="000"/>
    <x v="6"/>
    <x v="1"/>
  </r>
  <r>
    <d v="2012-04-21T00:00:00"/>
    <s v="016-2100-000"/>
    <s v="Food Sales"/>
    <n v="7285.9016000000001"/>
    <n v="0"/>
    <s v="Daily Sales Import"/>
    <n v="-7285.9016000000001"/>
    <n v="7285.9016000000001"/>
    <x v="0"/>
    <s v="2100"/>
    <s v="000"/>
    <x v="6"/>
    <x v="1"/>
  </r>
  <r>
    <d v="2012-04-21T00:00:00"/>
    <s v="016-2210-000"/>
    <s v="Liquor Sales"/>
    <n v="2677.5765000000001"/>
    <n v="0"/>
    <s v="Daily Sales Import"/>
    <n v="-2677.5765000000001"/>
    <n v="2677.5765000000001"/>
    <x v="0"/>
    <s v="2210"/>
    <s v="000"/>
    <x v="6"/>
    <x v="1"/>
  </r>
  <r>
    <d v="2012-04-21T00:00:00"/>
    <s v="016-2220-000"/>
    <s v="Beer Sales"/>
    <n v="567.66600000000005"/>
    <n v="0"/>
    <s v="Daily Sales Import"/>
    <n v="-567.66600000000005"/>
    <n v="567.66600000000005"/>
    <x v="0"/>
    <s v="2220"/>
    <s v="000"/>
    <x v="6"/>
    <x v="1"/>
  </r>
  <r>
    <d v="2012-04-21T00:00:00"/>
    <s v="016-2230-000"/>
    <s v="Wine Sales"/>
    <n v="174.60000000000002"/>
    <n v="0"/>
    <s v="Daily Sales Import"/>
    <n v="-174.60000000000002"/>
    <n v="174.60000000000002"/>
    <x v="0"/>
    <s v="2230"/>
    <s v="000"/>
    <x v="6"/>
    <x v="1"/>
  </r>
  <r>
    <d v="2012-04-22T00:00:00"/>
    <s v="016-2100-000"/>
    <s v="Food Sales"/>
    <n v="5090.8032000000003"/>
    <n v="0"/>
    <s v="Daily Sales Import"/>
    <n v="-5090.8032000000003"/>
    <n v="5090.8032000000003"/>
    <x v="0"/>
    <s v="2100"/>
    <s v="000"/>
    <x v="6"/>
    <x v="1"/>
  </r>
  <r>
    <d v="2012-04-22T00:00:00"/>
    <s v="016-2210-000"/>
    <s v="Liquor Sales"/>
    <n v="2028.6630000000002"/>
    <n v="0"/>
    <s v="Daily Sales Import"/>
    <n v="-2028.6630000000002"/>
    <n v="2028.6630000000002"/>
    <x v="0"/>
    <s v="2210"/>
    <s v="000"/>
    <x v="6"/>
    <x v="1"/>
  </r>
  <r>
    <d v="2012-04-22T00:00:00"/>
    <s v="016-2220-000"/>
    <s v="Beer Sales"/>
    <n v="262.80450000000002"/>
    <n v="0"/>
    <s v="Daily Sales Import"/>
    <n v="-262.80450000000002"/>
    <n v="262.80450000000002"/>
    <x v="0"/>
    <s v="2220"/>
    <s v="000"/>
    <x v="6"/>
    <x v="1"/>
  </r>
  <r>
    <d v="2012-04-22T00:00:00"/>
    <s v="016-2230-000"/>
    <s v="Wine Sales"/>
    <n v="91.263000000000005"/>
    <n v="0"/>
    <s v="Daily Sales Import"/>
    <n v="-91.263000000000005"/>
    <n v="91.263000000000005"/>
    <x v="0"/>
    <s v="2230"/>
    <s v="000"/>
    <x v="6"/>
    <x v="1"/>
  </r>
  <r>
    <d v="2012-04-16T00:00:00"/>
    <s v="017-2100-000"/>
    <s v="Food Sales"/>
    <n v="4214.4938999999995"/>
    <n v="0"/>
    <s v="Daily Sales Import"/>
    <n v="-4214.4938999999995"/>
    <n v="4214.4938999999995"/>
    <x v="1"/>
    <s v="2100"/>
    <s v="000"/>
    <x v="6"/>
    <x v="1"/>
  </r>
  <r>
    <d v="2012-04-16T00:00:00"/>
    <s v="017-2210-000"/>
    <s v="Liquor Sales"/>
    <n v="1449.2435000000003"/>
    <n v="0"/>
    <s v="Daily Sales Import"/>
    <n v="-1449.2435000000003"/>
    <n v="1449.2435000000003"/>
    <x v="1"/>
    <s v="2210"/>
    <s v="000"/>
    <x v="6"/>
    <x v="1"/>
  </r>
  <r>
    <d v="2012-04-16T00:00:00"/>
    <s v="017-2220-000"/>
    <s v="Beer Sales"/>
    <n v="537.12"/>
    <n v="0"/>
    <s v="Daily Sales Import"/>
    <n v="-537.12"/>
    <n v="537.12"/>
    <x v="1"/>
    <s v="2220"/>
    <s v="000"/>
    <x v="6"/>
    <x v="1"/>
  </r>
  <r>
    <d v="2012-04-16T00:00:00"/>
    <s v="017-2230-000"/>
    <s v="Wine Sales"/>
    <n v="133.72799999999998"/>
    <n v="0"/>
    <s v="Daily Sales Import"/>
    <n v="-133.72799999999998"/>
    <n v="133.72799999999998"/>
    <x v="1"/>
    <s v="2230"/>
    <s v="000"/>
    <x v="6"/>
    <x v="1"/>
  </r>
  <r>
    <d v="2012-04-17T00:00:00"/>
    <s v="017-2100-000"/>
    <s v="Food Sales"/>
    <n v="7424.8356000000003"/>
    <n v="0"/>
    <s v="Daily Sales Import"/>
    <n v="-7424.8356000000003"/>
    <n v="7424.8356000000003"/>
    <x v="1"/>
    <s v="2100"/>
    <s v="000"/>
    <x v="6"/>
    <x v="1"/>
  </r>
  <r>
    <d v="2012-04-17T00:00:00"/>
    <s v="017-2210-000"/>
    <s v="Liquor Sales"/>
    <n v="1438.6995000000002"/>
    <n v="0"/>
    <s v="Daily Sales Import"/>
    <n v="-1438.6995000000002"/>
    <n v="1438.6995000000002"/>
    <x v="1"/>
    <s v="2210"/>
    <s v="000"/>
    <x v="6"/>
    <x v="1"/>
  </r>
  <r>
    <d v="2012-04-17T00:00:00"/>
    <s v="017-2220-000"/>
    <s v="Beer Sales"/>
    <n v="657.12"/>
    <n v="0"/>
    <s v="Daily Sales Import"/>
    <n v="-657.12"/>
    <n v="657.12"/>
    <x v="1"/>
    <s v="2220"/>
    <s v="000"/>
    <x v="6"/>
    <x v="1"/>
  </r>
  <r>
    <d v="2012-04-17T00:00:00"/>
    <s v="017-2230-000"/>
    <s v="Wine Sales"/>
    <n v="138.46950000000001"/>
    <n v="0"/>
    <s v="Daily Sales Import"/>
    <n v="-138.46950000000001"/>
    <n v="138.46950000000001"/>
    <x v="1"/>
    <s v="2230"/>
    <s v="000"/>
    <x v="6"/>
    <x v="1"/>
  </r>
  <r>
    <d v="2012-04-18T00:00:00"/>
    <s v="017-2100-000"/>
    <s v="Food Sales"/>
    <n v="5415.1152000000002"/>
    <n v="0"/>
    <s v="Daily Sales Import"/>
    <n v="-5415.1152000000002"/>
    <n v="5415.1152000000002"/>
    <x v="1"/>
    <s v="2100"/>
    <s v="000"/>
    <x v="6"/>
    <x v="1"/>
  </r>
  <r>
    <d v="2012-04-18T00:00:00"/>
    <s v="017-2210-000"/>
    <s v="Liquor Sales"/>
    <n v="1078.6424999999999"/>
    <n v="0"/>
    <s v="Daily Sales Import"/>
    <n v="-1078.6424999999999"/>
    <n v="1078.6424999999999"/>
    <x v="1"/>
    <s v="2210"/>
    <s v="000"/>
    <x v="6"/>
    <x v="1"/>
  </r>
  <r>
    <d v="2012-04-18T00:00:00"/>
    <s v="017-2220-000"/>
    <s v="Beer Sales"/>
    <n v="383.34999999999997"/>
    <n v="0"/>
    <s v="Daily Sales Import"/>
    <n v="-383.34999999999997"/>
    <n v="383.34999999999997"/>
    <x v="1"/>
    <s v="2220"/>
    <s v="000"/>
    <x v="6"/>
    <x v="1"/>
  </r>
  <r>
    <d v="2012-04-18T00:00:00"/>
    <s v="017-2230-000"/>
    <s v="Wine Sales"/>
    <n v="84.01"/>
    <n v="0"/>
    <s v="Daily Sales Import"/>
    <n v="-84.01"/>
    <n v="84.01"/>
    <x v="1"/>
    <s v="2230"/>
    <s v="000"/>
    <x v="6"/>
    <x v="1"/>
  </r>
  <r>
    <d v="2012-04-19T00:00:00"/>
    <s v="017-2100-000"/>
    <s v="Food Sales"/>
    <n v="8337.5134999999991"/>
    <n v="0"/>
    <s v="Daily Sales Import"/>
    <n v="-8337.5134999999991"/>
    <n v="8337.5134999999991"/>
    <x v="1"/>
    <s v="2100"/>
    <s v="000"/>
    <x v="6"/>
    <x v="1"/>
  </r>
  <r>
    <d v="2012-04-19T00:00:00"/>
    <s v="017-2210-000"/>
    <s v="Liquor Sales"/>
    <n v="2265.069"/>
    <n v="0"/>
    <s v="Daily Sales Import"/>
    <n v="-2265.069"/>
    <n v="2265.069"/>
    <x v="1"/>
    <s v="2210"/>
    <s v="000"/>
    <x v="6"/>
    <x v="1"/>
  </r>
  <r>
    <d v="2012-04-19T00:00:00"/>
    <s v="017-2220-000"/>
    <s v="Beer Sales"/>
    <n v="730.01250000000005"/>
    <n v="0"/>
    <s v="Daily Sales Import"/>
    <n v="-730.01250000000005"/>
    <n v="730.01250000000005"/>
    <x v="1"/>
    <s v="2220"/>
    <s v="000"/>
    <x v="6"/>
    <x v="1"/>
  </r>
  <r>
    <d v="2012-04-19T00:00:00"/>
    <s v="017-2230-000"/>
    <s v="Wine Sales"/>
    <n v="100.2165"/>
    <n v="0"/>
    <s v="Daily Sales Import"/>
    <n v="-100.2165"/>
    <n v="100.2165"/>
    <x v="1"/>
    <s v="2230"/>
    <s v="000"/>
    <x v="6"/>
    <x v="1"/>
  </r>
  <r>
    <d v="2012-04-20T00:00:00"/>
    <s v="017-2100-000"/>
    <s v="Food Sales"/>
    <n v="6907.6079999999993"/>
    <n v="0"/>
    <s v="Daily Sales Import"/>
    <n v="-6907.6079999999993"/>
    <n v="6907.6079999999993"/>
    <x v="1"/>
    <s v="2100"/>
    <s v="000"/>
    <x v="6"/>
    <x v="1"/>
  </r>
  <r>
    <d v="2012-04-20T00:00:00"/>
    <s v="017-2210-000"/>
    <s v="Liquor Sales"/>
    <n v="1991.44"/>
    <n v="0"/>
    <s v="Daily Sales Import"/>
    <n v="-1991.44"/>
    <n v="1991.44"/>
    <x v="1"/>
    <s v="2210"/>
    <s v="000"/>
    <x v="6"/>
    <x v="1"/>
  </r>
  <r>
    <d v="2012-04-20T00:00:00"/>
    <s v="017-2220-000"/>
    <s v="Beer Sales"/>
    <n v="348.70500000000004"/>
    <n v="0"/>
    <s v="Daily Sales Import"/>
    <n v="-348.70500000000004"/>
    <n v="348.70500000000004"/>
    <x v="1"/>
    <s v="2220"/>
    <s v="000"/>
    <x v="6"/>
    <x v="1"/>
  </r>
  <r>
    <d v="2012-04-20T00:00:00"/>
    <s v="017-2230-000"/>
    <s v="Wine Sales"/>
    <n v="119.92599999999999"/>
    <n v="0"/>
    <s v="Daily Sales Import"/>
    <n v="-119.92599999999999"/>
    <n v="119.92599999999999"/>
    <x v="1"/>
    <s v="2230"/>
    <s v="000"/>
    <x v="6"/>
    <x v="1"/>
  </r>
  <r>
    <d v="2012-04-21T00:00:00"/>
    <s v="017-2100-000"/>
    <s v="Food Sales"/>
    <n v="7211.5751"/>
    <n v="0"/>
    <s v="Daily Sales Import"/>
    <n v="-7211.5751"/>
    <n v="7211.5751"/>
    <x v="1"/>
    <s v="2100"/>
    <s v="000"/>
    <x v="6"/>
    <x v="1"/>
  </r>
  <r>
    <d v="2012-04-21T00:00:00"/>
    <s v="017-2210-000"/>
    <s v="Liquor Sales"/>
    <n v="2476.6345000000001"/>
    <n v="0"/>
    <s v="Daily Sales Import"/>
    <n v="-2476.6345000000001"/>
    <n v="2476.6345000000001"/>
    <x v="1"/>
    <s v="2210"/>
    <s v="000"/>
    <x v="6"/>
    <x v="1"/>
  </r>
  <r>
    <d v="2012-04-21T00:00:00"/>
    <s v="017-2220-000"/>
    <s v="Beer Sales"/>
    <n v="539.35"/>
    <n v="0"/>
    <s v="Daily Sales Import"/>
    <n v="-539.35"/>
    <n v="539.35"/>
    <x v="1"/>
    <s v="2220"/>
    <s v="000"/>
    <x v="6"/>
    <x v="1"/>
  </r>
  <r>
    <d v="2012-04-21T00:00:00"/>
    <s v="017-2230-000"/>
    <s v="Wine Sales"/>
    <n v="164.99699999999999"/>
    <n v="0"/>
    <s v="Daily Sales Import"/>
    <n v="-164.99699999999999"/>
    <n v="164.99699999999999"/>
    <x v="1"/>
    <s v="2230"/>
    <s v="000"/>
    <x v="6"/>
    <x v="1"/>
  </r>
  <r>
    <d v="2012-04-22T00:00:00"/>
    <s v="017-2100-000"/>
    <s v="Food Sales"/>
    <n v="4310.9736999999996"/>
    <n v="0"/>
    <s v="Daily Sales Import"/>
    <n v="-4310.9736999999996"/>
    <n v="4310.9736999999996"/>
    <x v="1"/>
    <s v="2100"/>
    <s v="000"/>
    <x v="6"/>
    <x v="1"/>
  </r>
  <r>
    <d v="2012-04-22T00:00:00"/>
    <s v="017-2210-000"/>
    <s v="Liquor Sales"/>
    <n v="951.97900000000004"/>
    <n v="0"/>
    <s v="Daily Sales Import"/>
    <n v="-951.97900000000004"/>
    <n v="951.97900000000004"/>
    <x v="1"/>
    <s v="2210"/>
    <s v="000"/>
    <x v="6"/>
    <x v="1"/>
  </r>
  <r>
    <d v="2012-04-22T00:00:00"/>
    <s v="017-2220-000"/>
    <s v="Beer Sales"/>
    <n v="215.62499999999997"/>
    <n v="0"/>
    <s v="Daily Sales Import"/>
    <n v="-215.62499999999997"/>
    <n v="215.62499999999997"/>
    <x v="1"/>
    <s v="2220"/>
    <s v="000"/>
    <x v="6"/>
    <x v="1"/>
  </r>
  <r>
    <d v="2012-04-22T00:00:00"/>
    <s v="017-2230-000"/>
    <s v="Wine Sales"/>
    <n v="148.76400000000001"/>
    <n v="0"/>
    <s v="Daily Sales Import"/>
    <n v="-148.76400000000001"/>
    <n v="148.76400000000001"/>
    <x v="1"/>
    <s v="2230"/>
    <s v="000"/>
    <x v="6"/>
    <x v="1"/>
  </r>
  <r>
    <d v="2012-04-16T00:00:00"/>
    <s v="018-2100-000"/>
    <s v="Food Sales"/>
    <n v="5157.5450000000001"/>
    <n v="0"/>
    <s v="Daily Sales Import"/>
    <n v="-5157.5450000000001"/>
    <n v="5157.5450000000001"/>
    <x v="2"/>
    <s v="2100"/>
    <s v="000"/>
    <x v="6"/>
    <x v="1"/>
  </r>
  <r>
    <d v="2012-04-16T00:00:00"/>
    <s v="018-2210-000"/>
    <s v="Liquor Sales"/>
    <n v="606.98650000000009"/>
    <n v="0"/>
    <s v="Daily Sales Import"/>
    <n v="-606.98650000000009"/>
    <n v="606.98650000000009"/>
    <x v="2"/>
    <s v="2210"/>
    <s v="000"/>
    <x v="6"/>
    <x v="1"/>
  </r>
  <r>
    <d v="2012-04-16T00:00:00"/>
    <s v="018-2220-000"/>
    <s v="Beer Sales"/>
    <n v="123.06299999999999"/>
    <n v="0"/>
    <s v="Daily Sales Import"/>
    <n v="-123.06299999999999"/>
    <n v="123.06299999999999"/>
    <x v="2"/>
    <s v="2220"/>
    <s v="000"/>
    <x v="6"/>
    <x v="1"/>
  </r>
  <r>
    <d v="2012-04-16T00:00:00"/>
    <s v="018-2230-000"/>
    <s v="Wine Sales"/>
    <n v="31.2075"/>
    <n v="0"/>
    <s v="Daily Sales Import"/>
    <n v="-31.2075"/>
    <n v="31.2075"/>
    <x v="2"/>
    <s v="2230"/>
    <s v="000"/>
    <x v="6"/>
    <x v="1"/>
  </r>
  <r>
    <d v="2012-04-17T00:00:00"/>
    <s v="018-2100-000"/>
    <s v="Food Sales"/>
    <n v="4170.1044000000002"/>
    <n v="0"/>
    <s v="Daily Sales Import"/>
    <n v="-4170.1044000000002"/>
    <n v="4170.1044000000002"/>
    <x v="2"/>
    <s v="2100"/>
    <s v="000"/>
    <x v="6"/>
    <x v="1"/>
  </r>
  <r>
    <d v="2012-04-17T00:00:00"/>
    <s v="018-2210-000"/>
    <s v="Liquor Sales"/>
    <n v="665.55"/>
    <n v="0"/>
    <s v="Daily Sales Import"/>
    <n v="-665.55"/>
    <n v="665.55"/>
    <x v="2"/>
    <s v="2210"/>
    <s v="000"/>
    <x v="6"/>
    <x v="1"/>
  </r>
  <r>
    <d v="2012-04-17T00:00:00"/>
    <s v="018-2220-000"/>
    <s v="Beer Sales"/>
    <n v="253.28299999999999"/>
    <n v="0"/>
    <s v="Daily Sales Import"/>
    <n v="-253.28299999999999"/>
    <n v="253.28299999999999"/>
    <x v="2"/>
    <s v="2220"/>
    <s v="000"/>
    <x v="6"/>
    <x v="1"/>
  </r>
  <r>
    <d v="2012-04-17T00:00:00"/>
    <s v="018-2230-000"/>
    <s v="Wine Sales"/>
    <n v="52.948"/>
    <n v="0"/>
    <s v="Daily Sales Import"/>
    <n v="-52.948"/>
    <n v="52.948"/>
    <x v="2"/>
    <s v="2230"/>
    <s v="000"/>
    <x v="6"/>
    <x v="1"/>
  </r>
  <r>
    <d v="2012-04-18T00:00:00"/>
    <s v="018-2100-000"/>
    <s v="Food Sales"/>
    <n v="3940.0478000000003"/>
    <n v="0"/>
    <s v="Daily Sales Import"/>
    <n v="-3940.0478000000003"/>
    <n v="3940.0478000000003"/>
    <x v="2"/>
    <s v="2100"/>
    <s v="000"/>
    <x v="6"/>
    <x v="1"/>
  </r>
  <r>
    <d v="2012-04-18T00:00:00"/>
    <s v="018-2210-000"/>
    <s v="Liquor Sales"/>
    <n v="657.58950000000004"/>
    <n v="0"/>
    <s v="Daily Sales Import"/>
    <n v="-657.58950000000004"/>
    <n v="657.58950000000004"/>
    <x v="2"/>
    <s v="2210"/>
    <s v="000"/>
    <x v="6"/>
    <x v="1"/>
  </r>
  <r>
    <d v="2012-04-18T00:00:00"/>
    <s v="018-2220-000"/>
    <s v="Beer Sales"/>
    <n v="65.568999999999988"/>
    <n v="0"/>
    <s v="Daily Sales Import"/>
    <n v="-65.568999999999988"/>
    <n v="65.568999999999988"/>
    <x v="2"/>
    <s v="2220"/>
    <s v="000"/>
    <x v="6"/>
    <x v="1"/>
  </r>
  <r>
    <d v="2012-04-18T00:00:00"/>
    <s v="018-2230-000"/>
    <s v="Wine Sales"/>
    <n v="11.111499999999999"/>
    <n v="0"/>
    <s v="Daily Sales Import"/>
    <n v="-11.111499999999999"/>
    <n v="11.111499999999999"/>
    <x v="2"/>
    <s v="2230"/>
    <s v="000"/>
    <x v="6"/>
    <x v="1"/>
  </r>
  <r>
    <d v="2012-04-19T00:00:00"/>
    <s v="018-2100-000"/>
    <s v="Food Sales"/>
    <n v="4509.7779999999993"/>
    <n v="0"/>
    <s v="Daily Sales Import"/>
    <n v="-4509.7779999999993"/>
    <n v="4509.7779999999993"/>
    <x v="2"/>
    <s v="2100"/>
    <s v="000"/>
    <x v="6"/>
    <x v="1"/>
  </r>
  <r>
    <d v="2012-04-19T00:00:00"/>
    <s v="018-2210-000"/>
    <s v="Liquor Sales"/>
    <n v="1238.99"/>
    <n v="0"/>
    <s v="Daily Sales Import"/>
    <n v="-1238.99"/>
    <n v="1238.99"/>
    <x v="2"/>
    <s v="2210"/>
    <s v="000"/>
    <x v="6"/>
    <x v="1"/>
  </r>
  <r>
    <d v="2012-04-19T00:00:00"/>
    <s v="018-2220-000"/>
    <s v="Beer Sales"/>
    <n v="288.37599999999998"/>
    <n v="0"/>
    <s v="Daily Sales Import"/>
    <n v="-288.37599999999998"/>
    <n v="288.37599999999998"/>
    <x v="2"/>
    <s v="2220"/>
    <s v="000"/>
    <x v="6"/>
    <x v="1"/>
  </r>
  <r>
    <d v="2012-04-19T00:00:00"/>
    <s v="018-2230-000"/>
    <s v="Wine Sales"/>
    <n v="52.048999999999999"/>
    <n v="0"/>
    <s v="Daily Sales Import"/>
    <n v="-52.048999999999999"/>
    <n v="52.048999999999999"/>
    <x v="2"/>
    <s v="2230"/>
    <s v="000"/>
    <x v="6"/>
    <x v="1"/>
  </r>
  <r>
    <d v="2012-04-20T00:00:00"/>
    <s v="018-2100-000"/>
    <s v="Food Sales"/>
    <n v="8413.2479999999996"/>
    <n v="0"/>
    <s v="Daily Sales Import"/>
    <n v="-8413.2479999999996"/>
    <n v="8413.2479999999996"/>
    <x v="2"/>
    <s v="2100"/>
    <s v="000"/>
    <x v="6"/>
    <x v="1"/>
  </r>
  <r>
    <d v="2012-04-20T00:00:00"/>
    <s v="018-2210-000"/>
    <s v="Liquor Sales"/>
    <n v="3760.1489999999999"/>
    <n v="0"/>
    <s v="Daily Sales Import"/>
    <n v="-3760.1489999999999"/>
    <n v="3760.1489999999999"/>
    <x v="2"/>
    <s v="2210"/>
    <s v="000"/>
    <x v="6"/>
    <x v="1"/>
  </r>
  <r>
    <d v="2012-04-20T00:00:00"/>
    <s v="018-2220-000"/>
    <s v="Beer Sales"/>
    <n v="504.55999999999995"/>
    <n v="0"/>
    <s v="Daily Sales Import"/>
    <n v="-504.55999999999995"/>
    <n v="504.55999999999995"/>
    <x v="2"/>
    <s v="2220"/>
    <s v="000"/>
    <x v="6"/>
    <x v="1"/>
  </r>
  <r>
    <d v="2012-04-20T00:00:00"/>
    <s v="018-2230-000"/>
    <s v="Wine Sales"/>
    <n v="134.96249999999998"/>
    <n v="0"/>
    <s v="Daily Sales Import"/>
    <n v="-134.96249999999998"/>
    <n v="134.96249999999998"/>
    <x v="2"/>
    <s v="2230"/>
    <s v="000"/>
    <x v="6"/>
    <x v="1"/>
  </r>
  <r>
    <d v="2012-04-21T00:00:00"/>
    <s v="018-2100-000"/>
    <s v="Food Sales"/>
    <n v="12334.895999999999"/>
    <n v="0"/>
    <s v="Daily Sales Import"/>
    <n v="-12334.895999999999"/>
    <n v="12334.895999999999"/>
    <x v="2"/>
    <s v="2100"/>
    <s v="000"/>
    <x v="6"/>
    <x v="1"/>
  </r>
  <r>
    <d v="2012-04-21T00:00:00"/>
    <s v="018-2210-000"/>
    <s v="Liquor Sales"/>
    <n v="2751.3374999999996"/>
    <n v="0"/>
    <s v="Daily Sales Import"/>
    <n v="-2751.3374999999996"/>
    <n v="2751.3374999999996"/>
    <x v="2"/>
    <s v="2210"/>
    <s v="000"/>
    <x v="6"/>
    <x v="1"/>
  </r>
  <r>
    <d v="2012-04-21T00:00:00"/>
    <s v="018-2220-000"/>
    <s v="Beer Sales"/>
    <n v="458.02499999999998"/>
    <n v="0"/>
    <s v="Daily Sales Import"/>
    <n v="-458.02499999999998"/>
    <n v="458.02499999999998"/>
    <x v="2"/>
    <s v="2220"/>
    <s v="000"/>
    <x v="6"/>
    <x v="1"/>
  </r>
  <r>
    <d v="2012-04-21T00:00:00"/>
    <s v="018-2230-000"/>
    <s v="Wine Sales"/>
    <n v="144.89999999999998"/>
    <n v="0"/>
    <s v="Daily Sales Import"/>
    <n v="-144.89999999999998"/>
    <n v="144.89999999999998"/>
    <x v="2"/>
    <s v="2230"/>
    <s v="000"/>
    <x v="6"/>
    <x v="1"/>
  </r>
  <r>
    <d v="2012-04-22T00:00:00"/>
    <s v="018-2100-000"/>
    <s v="Food Sales"/>
    <n v="5796.8625000000002"/>
    <n v="0"/>
    <s v="Daily Sales Import"/>
    <n v="-5796.8625000000002"/>
    <n v="5796.8625000000002"/>
    <x v="2"/>
    <s v="2100"/>
    <s v="000"/>
    <x v="6"/>
    <x v="1"/>
  </r>
  <r>
    <d v="2012-04-22T00:00:00"/>
    <s v="018-2210-000"/>
    <s v="Liquor Sales"/>
    <n v="1369.9140000000002"/>
    <n v="0"/>
    <s v="Daily Sales Import"/>
    <n v="-1369.9140000000002"/>
    <n v="1369.9140000000002"/>
    <x v="2"/>
    <s v="2210"/>
    <s v="000"/>
    <x v="6"/>
    <x v="1"/>
  </r>
  <r>
    <d v="2012-04-22T00:00:00"/>
    <s v="018-2220-000"/>
    <s v="Beer Sales"/>
    <n v="194.0625"/>
    <n v="0"/>
    <s v="Daily Sales Import"/>
    <n v="-194.0625"/>
    <n v="194.0625"/>
    <x v="2"/>
    <s v="2220"/>
    <s v="000"/>
    <x v="6"/>
    <x v="1"/>
  </r>
  <r>
    <d v="2012-04-22T00:00:00"/>
    <s v="018-2230-000"/>
    <s v="Wine Sales"/>
    <n v="53.67"/>
    <n v="0"/>
    <s v="Daily Sales Import"/>
    <n v="-53.67"/>
    <n v="53.67"/>
    <x v="2"/>
    <s v="2230"/>
    <s v="000"/>
    <x v="6"/>
    <x v="1"/>
  </r>
  <r>
    <d v="2012-04-23T00:00:00"/>
    <s v="016-2100-000"/>
    <s v="Food Sales"/>
    <n v="1861.28"/>
    <n v="0"/>
    <s v="Daily Sales Import"/>
    <n v="-1861.28"/>
    <n v="1861.28"/>
    <x v="0"/>
    <s v="2100"/>
    <s v="000"/>
    <x v="6"/>
    <x v="1"/>
  </r>
  <r>
    <d v="2012-04-23T00:00:00"/>
    <s v="016-2210-000"/>
    <s v="Liquor Sales"/>
    <n v="526.07450000000006"/>
    <n v="0"/>
    <s v="Daily Sales Import"/>
    <n v="-526.07450000000006"/>
    <n v="526.07450000000006"/>
    <x v="0"/>
    <s v="2210"/>
    <s v="000"/>
    <x v="6"/>
    <x v="1"/>
  </r>
  <r>
    <d v="2012-04-23T00:00:00"/>
    <s v="016-2220-000"/>
    <s v="Beer Sales"/>
    <n v="86.940000000000012"/>
    <n v="0"/>
    <s v="Daily Sales Import"/>
    <n v="-86.940000000000012"/>
    <n v="86.940000000000012"/>
    <x v="0"/>
    <s v="2220"/>
    <s v="000"/>
    <x v="6"/>
    <x v="1"/>
  </r>
  <r>
    <d v="2012-04-23T00:00:00"/>
    <s v="016-2230-000"/>
    <s v="Wine Sales"/>
    <n v="14.31"/>
    <n v="0"/>
    <s v="Daily Sales Import"/>
    <n v="-14.31"/>
    <n v="14.31"/>
    <x v="0"/>
    <s v="2230"/>
    <s v="000"/>
    <x v="6"/>
    <x v="1"/>
  </r>
  <r>
    <d v="2012-04-24T00:00:00"/>
    <s v="016-2100-000"/>
    <s v="Food Sales"/>
    <n v="4913.0135999999993"/>
    <n v="0"/>
    <s v="Daily Sales Import"/>
    <n v="-4913.0135999999993"/>
    <n v="4913.0135999999993"/>
    <x v="0"/>
    <s v="2100"/>
    <s v="000"/>
    <x v="6"/>
    <x v="1"/>
  </r>
  <r>
    <d v="2012-04-24T00:00:00"/>
    <s v="016-2210-000"/>
    <s v="Liquor Sales"/>
    <n v="1598.19"/>
    <n v="0"/>
    <s v="Daily Sales Import"/>
    <n v="-1598.19"/>
    <n v="1598.19"/>
    <x v="0"/>
    <s v="2210"/>
    <s v="000"/>
    <x v="6"/>
    <x v="1"/>
  </r>
  <r>
    <d v="2012-04-24T00:00:00"/>
    <s v="016-2220-000"/>
    <s v="Beer Sales"/>
    <n v="543.36299999999994"/>
    <n v="0"/>
    <s v="Daily Sales Import"/>
    <n v="-543.36299999999994"/>
    <n v="543.36299999999994"/>
    <x v="0"/>
    <s v="2220"/>
    <s v="000"/>
    <x v="6"/>
    <x v="1"/>
  </r>
  <r>
    <d v="2012-04-24T00:00:00"/>
    <s v="016-2230-000"/>
    <s v="Wine Sales"/>
    <n v="213.72400000000002"/>
    <n v="0"/>
    <s v="Daily Sales Import"/>
    <n v="-213.72400000000002"/>
    <n v="213.72400000000002"/>
    <x v="0"/>
    <s v="2230"/>
    <s v="000"/>
    <x v="6"/>
    <x v="1"/>
  </r>
  <r>
    <d v="2012-04-25T00:00:00"/>
    <s v="016-2100-000"/>
    <s v="Food Sales"/>
    <n v="3569.3658"/>
    <n v="0"/>
    <s v="Daily Sales Import"/>
    <n v="-3569.3658"/>
    <n v="3569.3658"/>
    <x v="0"/>
    <s v="2100"/>
    <s v="000"/>
    <x v="6"/>
    <x v="1"/>
  </r>
  <r>
    <d v="2012-04-25T00:00:00"/>
    <s v="016-2210-000"/>
    <s v="Liquor Sales"/>
    <n v="1037.3050000000001"/>
    <n v="0"/>
    <s v="Daily Sales Import"/>
    <n v="-1037.3050000000001"/>
    <n v="1037.3050000000001"/>
    <x v="0"/>
    <s v="2210"/>
    <s v="000"/>
    <x v="6"/>
    <x v="1"/>
  </r>
  <r>
    <d v="2012-04-25T00:00:00"/>
    <s v="016-2220-000"/>
    <s v="Beer Sales"/>
    <n v="132.87"/>
    <n v="0"/>
    <s v="Daily Sales Import"/>
    <n v="-132.87"/>
    <n v="132.87"/>
    <x v="0"/>
    <s v="2220"/>
    <s v="000"/>
    <x v="6"/>
    <x v="1"/>
  </r>
  <r>
    <d v="2012-04-25T00:00:00"/>
    <s v="016-2230-000"/>
    <s v="Wine Sales"/>
    <n v="129.80250000000001"/>
    <n v="0"/>
    <s v="Daily Sales Import"/>
    <n v="-129.80250000000001"/>
    <n v="129.80250000000001"/>
    <x v="0"/>
    <s v="2230"/>
    <s v="000"/>
    <x v="6"/>
    <x v="1"/>
  </r>
  <r>
    <d v="2012-04-26T00:00:00"/>
    <s v="016-2100-000"/>
    <s v="Food Sales"/>
    <n v="4329.1368000000002"/>
    <n v="0"/>
    <s v="Daily Sales Import"/>
    <n v="-4329.1368000000002"/>
    <n v="4329.1368000000002"/>
    <x v="0"/>
    <s v="2100"/>
    <s v="000"/>
    <x v="6"/>
    <x v="1"/>
  </r>
  <r>
    <d v="2012-04-26T00:00:00"/>
    <s v="016-2210-000"/>
    <s v="Liquor Sales"/>
    <n v="681.51639999999998"/>
    <n v="0"/>
    <s v="Daily Sales Import"/>
    <n v="-681.51639999999998"/>
    <n v="681.51639999999998"/>
    <x v="0"/>
    <s v="2210"/>
    <s v="000"/>
    <x v="6"/>
    <x v="1"/>
  </r>
  <r>
    <d v="2012-04-26T00:00:00"/>
    <s v="016-2220-000"/>
    <s v="Beer Sales"/>
    <n v="178.96950000000001"/>
    <n v="0"/>
    <s v="Daily Sales Import"/>
    <n v="-178.96950000000001"/>
    <n v="178.96950000000001"/>
    <x v="0"/>
    <s v="2220"/>
    <s v="000"/>
    <x v="6"/>
    <x v="1"/>
  </r>
  <r>
    <d v="2012-04-26T00:00:00"/>
    <s v="016-2230-000"/>
    <s v="Wine Sales"/>
    <n v="189.286"/>
    <n v="0"/>
    <s v="Daily Sales Import"/>
    <n v="-189.286"/>
    <n v="189.286"/>
    <x v="0"/>
    <s v="2230"/>
    <s v="000"/>
    <x v="6"/>
    <x v="1"/>
  </r>
  <r>
    <d v="2012-04-27T00:00:00"/>
    <s v="016-2100-000"/>
    <s v="Food Sales"/>
    <n v="7023.1919999999991"/>
    <n v="0"/>
    <s v="Daily Sales Import"/>
    <n v="-7023.1919999999991"/>
    <n v="7023.1919999999991"/>
    <x v="0"/>
    <s v="2100"/>
    <s v="000"/>
    <x v="6"/>
    <x v="1"/>
  </r>
  <r>
    <d v="2012-04-27T00:00:00"/>
    <s v="016-2210-000"/>
    <s v="Liquor Sales"/>
    <n v="2060.6529999999998"/>
    <n v="0"/>
    <s v="Daily Sales Import"/>
    <n v="-2060.6529999999998"/>
    <n v="2060.6529999999998"/>
    <x v="0"/>
    <s v="2210"/>
    <s v="000"/>
    <x v="6"/>
    <x v="1"/>
  </r>
  <r>
    <d v="2012-04-27T00:00:00"/>
    <s v="016-2220-000"/>
    <s v="Beer Sales"/>
    <n v="307.65960000000001"/>
    <n v="0"/>
    <s v="Daily Sales Import"/>
    <n v="-307.65960000000001"/>
    <n v="307.65960000000001"/>
    <x v="0"/>
    <s v="2220"/>
    <s v="000"/>
    <x v="6"/>
    <x v="1"/>
  </r>
  <r>
    <d v="2012-04-27T00:00:00"/>
    <s v="016-2230-000"/>
    <s v="Wine Sales"/>
    <n v="204.86699999999999"/>
    <n v="0"/>
    <s v="Daily Sales Import"/>
    <n v="-204.86699999999999"/>
    <n v="204.86699999999999"/>
    <x v="0"/>
    <s v="2230"/>
    <s v="000"/>
    <x v="6"/>
    <x v="1"/>
  </r>
  <r>
    <d v="2012-04-28T00:00:00"/>
    <s v="016-2100-000"/>
    <s v="Food Sales"/>
    <n v="9339.4119999999984"/>
    <n v="0"/>
    <s v="Daily Sales Import"/>
    <n v="-9339.4119999999984"/>
    <n v="9339.4119999999984"/>
    <x v="0"/>
    <s v="2100"/>
    <s v="000"/>
    <x v="6"/>
    <x v="1"/>
  </r>
  <r>
    <d v="2012-04-28T00:00:00"/>
    <s v="016-2210-000"/>
    <s v="Liquor Sales"/>
    <n v="2959.4565000000002"/>
    <n v="0"/>
    <s v="Daily Sales Import"/>
    <n v="-2959.4565000000002"/>
    <n v="2959.4565000000002"/>
    <x v="0"/>
    <s v="2210"/>
    <s v="000"/>
    <x v="6"/>
    <x v="1"/>
  </r>
  <r>
    <d v="2012-04-28T00:00:00"/>
    <s v="016-2220-000"/>
    <s v="Beer Sales"/>
    <n v="563.625"/>
    <n v="0"/>
    <s v="Daily Sales Import"/>
    <n v="-563.625"/>
    <n v="563.625"/>
    <x v="0"/>
    <s v="2220"/>
    <s v="000"/>
    <x v="6"/>
    <x v="1"/>
  </r>
  <r>
    <d v="2012-04-28T00:00:00"/>
    <s v="016-2230-000"/>
    <s v="Wine Sales"/>
    <n v="230.04800000000003"/>
    <n v="0"/>
    <s v="Daily Sales Import"/>
    <n v="-230.04800000000003"/>
    <n v="230.04800000000003"/>
    <x v="0"/>
    <s v="2230"/>
    <s v="000"/>
    <x v="6"/>
    <x v="1"/>
  </r>
  <r>
    <d v="2012-04-29T00:00:00"/>
    <s v="016-2100-000"/>
    <s v="Food Sales"/>
    <n v="4011.8385000000003"/>
    <n v="0"/>
    <s v="Daily Sales Import"/>
    <n v="-4011.8385000000003"/>
    <n v="4011.8385000000003"/>
    <x v="0"/>
    <s v="2100"/>
    <s v="000"/>
    <x v="6"/>
    <x v="1"/>
  </r>
  <r>
    <d v="2012-04-29T00:00:00"/>
    <s v="016-2210-000"/>
    <s v="Liquor Sales"/>
    <n v="669.3"/>
    <n v="0"/>
    <s v="Daily Sales Import"/>
    <n v="-669.3"/>
    <n v="669.3"/>
    <x v="0"/>
    <s v="2210"/>
    <s v="000"/>
    <x v="6"/>
    <x v="1"/>
  </r>
  <r>
    <d v="2012-04-29T00:00:00"/>
    <s v="016-2220-000"/>
    <s v="Beer Sales"/>
    <n v="241.10099999999997"/>
    <n v="0"/>
    <s v="Daily Sales Import"/>
    <n v="-241.10099999999997"/>
    <n v="241.10099999999997"/>
    <x v="0"/>
    <s v="2220"/>
    <s v="000"/>
    <x v="6"/>
    <x v="1"/>
  </r>
  <r>
    <d v="2012-04-29T00:00:00"/>
    <s v="016-2230-000"/>
    <s v="Wine Sales"/>
    <n v="62.379000000000005"/>
    <n v="0"/>
    <s v="Daily Sales Import"/>
    <n v="-62.379000000000005"/>
    <n v="62.379000000000005"/>
    <x v="0"/>
    <s v="2230"/>
    <s v="000"/>
    <x v="6"/>
    <x v="1"/>
  </r>
  <r>
    <d v="2012-04-23T00:00:00"/>
    <s v="017-2100-000"/>
    <s v="Food Sales"/>
    <n v="5326.5471000000007"/>
    <n v="0"/>
    <s v="Daily Sales Import"/>
    <n v="-5326.5471000000007"/>
    <n v="5326.5471000000007"/>
    <x v="1"/>
    <s v="2100"/>
    <s v="000"/>
    <x v="6"/>
    <x v="1"/>
  </r>
  <r>
    <d v="2012-04-23T00:00:00"/>
    <s v="017-2210-000"/>
    <s v="Liquor Sales"/>
    <n v="1166.9850000000001"/>
    <n v="0"/>
    <s v="Daily Sales Import"/>
    <n v="-1166.9850000000001"/>
    <n v="1166.9850000000001"/>
    <x v="1"/>
    <s v="2210"/>
    <s v="000"/>
    <x v="6"/>
    <x v="1"/>
  </r>
  <r>
    <d v="2012-04-23T00:00:00"/>
    <s v="017-2220-000"/>
    <s v="Beer Sales"/>
    <n v="349.3125"/>
    <n v="0"/>
    <s v="Daily Sales Import"/>
    <n v="-349.3125"/>
    <n v="349.3125"/>
    <x v="1"/>
    <s v="2220"/>
    <s v="000"/>
    <x v="6"/>
    <x v="1"/>
  </r>
  <r>
    <d v="2012-04-23T00:00:00"/>
    <s v="017-2230-000"/>
    <s v="Wine Sales"/>
    <n v="35.44"/>
    <n v="0"/>
    <s v="Daily Sales Import"/>
    <n v="-35.44"/>
    <n v="35.44"/>
    <x v="1"/>
    <s v="2230"/>
    <s v="000"/>
    <x v="6"/>
    <x v="1"/>
  </r>
  <r>
    <d v="2012-04-24T00:00:00"/>
    <s v="017-2100-000"/>
    <s v="Food Sales"/>
    <n v="6759.4400000000005"/>
    <n v="0"/>
    <s v="Daily Sales Import"/>
    <n v="-6759.4400000000005"/>
    <n v="6759.4400000000005"/>
    <x v="1"/>
    <s v="2100"/>
    <s v="000"/>
    <x v="6"/>
    <x v="1"/>
  </r>
  <r>
    <d v="2012-04-24T00:00:00"/>
    <s v="017-2210-000"/>
    <s v="Liquor Sales"/>
    <n v="2665.51"/>
    <n v="0"/>
    <s v="Daily Sales Import"/>
    <n v="-2665.51"/>
    <n v="2665.51"/>
    <x v="1"/>
    <s v="2210"/>
    <s v="000"/>
    <x v="6"/>
    <x v="1"/>
  </r>
  <r>
    <d v="2012-04-24T00:00:00"/>
    <s v="017-2220-000"/>
    <s v="Beer Sales"/>
    <n v="540.15499999999997"/>
    <n v="0"/>
    <s v="Daily Sales Import"/>
    <n v="-540.15499999999997"/>
    <n v="540.15499999999997"/>
    <x v="1"/>
    <s v="2220"/>
    <s v="000"/>
    <x v="6"/>
    <x v="1"/>
  </r>
  <r>
    <d v="2012-04-24T00:00:00"/>
    <s v="017-2230-000"/>
    <s v="Wine Sales"/>
    <n v="69.367999999999995"/>
    <n v="0"/>
    <s v="Daily Sales Import"/>
    <n v="-69.367999999999995"/>
    <n v="69.367999999999995"/>
    <x v="1"/>
    <s v="2230"/>
    <s v="000"/>
    <x v="6"/>
    <x v="1"/>
  </r>
  <r>
    <d v="2012-04-25T00:00:00"/>
    <s v="017-2100-000"/>
    <s v="Food Sales"/>
    <n v="5978.7959999999994"/>
    <n v="0"/>
    <s v="Daily Sales Import"/>
    <n v="-5978.7959999999994"/>
    <n v="5978.7959999999994"/>
    <x v="1"/>
    <s v="2100"/>
    <s v="000"/>
    <x v="6"/>
    <x v="1"/>
  </r>
  <r>
    <d v="2012-04-25T00:00:00"/>
    <s v="017-2210-000"/>
    <s v="Liquor Sales"/>
    <n v="2151.0659999999998"/>
    <n v="0"/>
    <s v="Daily Sales Import"/>
    <n v="-2151.0659999999998"/>
    <n v="2151.0659999999998"/>
    <x v="1"/>
    <s v="2210"/>
    <s v="000"/>
    <x v="6"/>
    <x v="1"/>
  </r>
  <r>
    <d v="2012-04-25T00:00:00"/>
    <s v="017-2220-000"/>
    <s v="Beer Sales"/>
    <n v="501.6"/>
    <n v="0"/>
    <s v="Daily Sales Import"/>
    <n v="-501.6"/>
    <n v="501.6"/>
    <x v="1"/>
    <s v="2220"/>
    <s v="000"/>
    <x v="6"/>
    <x v="1"/>
  </r>
  <r>
    <d v="2012-04-25T00:00:00"/>
    <s v="017-2230-000"/>
    <s v="Wine Sales"/>
    <n v="35.741999999999997"/>
    <n v="0"/>
    <s v="Daily Sales Import"/>
    <n v="-35.741999999999997"/>
    <n v="35.741999999999997"/>
    <x v="1"/>
    <s v="2230"/>
    <s v="000"/>
    <x v="6"/>
    <x v="1"/>
  </r>
  <r>
    <d v="2012-04-26T00:00:00"/>
    <s v="017-2100-000"/>
    <s v="Food Sales"/>
    <n v="4780.2309999999998"/>
    <n v="0"/>
    <s v="Daily Sales Import"/>
    <n v="-4780.2309999999998"/>
    <n v="4780.2309999999998"/>
    <x v="1"/>
    <s v="2100"/>
    <s v="000"/>
    <x v="6"/>
    <x v="1"/>
  </r>
  <r>
    <d v="2012-04-26T00:00:00"/>
    <s v="017-2210-000"/>
    <s v="Liquor Sales"/>
    <n v="1844.08"/>
    <n v="0"/>
    <s v="Daily Sales Import"/>
    <n v="-1844.08"/>
    <n v="1844.08"/>
    <x v="1"/>
    <s v="2210"/>
    <s v="000"/>
    <x v="6"/>
    <x v="1"/>
  </r>
  <r>
    <d v="2012-04-26T00:00:00"/>
    <s v="017-2220-000"/>
    <s v="Beer Sales"/>
    <n v="342.0625"/>
    <n v="0"/>
    <s v="Daily Sales Import"/>
    <n v="-342.0625"/>
    <n v="342.0625"/>
    <x v="1"/>
    <s v="2220"/>
    <s v="000"/>
    <x v="6"/>
    <x v="1"/>
  </r>
  <r>
    <d v="2012-04-26T00:00:00"/>
    <s v="017-2230-000"/>
    <s v="Wine Sales"/>
    <n v="61.787999999999997"/>
    <n v="0"/>
    <s v="Daily Sales Import"/>
    <n v="-61.787999999999997"/>
    <n v="61.787999999999997"/>
    <x v="1"/>
    <s v="2230"/>
    <s v="000"/>
    <x v="6"/>
    <x v="1"/>
  </r>
  <r>
    <d v="2012-04-27T00:00:00"/>
    <s v="017-2100-000"/>
    <s v="Food Sales"/>
    <n v="11041.824900000001"/>
    <n v="0"/>
    <s v="Daily Sales Import"/>
    <n v="-11041.824900000001"/>
    <n v="11041.824900000001"/>
    <x v="1"/>
    <s v="2100"/>
    <s v="000"/>
    <x v="6"/>
    <x v="1"/>
  </r>
  <r>
    <d v="2012-04-27T00:00:00"/>
    <s v="017-2210-000"/>
    <s v="Liquor Sales"/>
    <n v="2710.6624999999999"/>
    <n v="0"/>
    <s v="Daily Sales Import"/>
    <n v="-2710.6624999999999"/>
    <n v="2710.6624999999999"/>
    <x v="1"/>
    <s v="2210"/>
    <s v="000"/>
    <x v="6"/>
    <x v="1"/>
  </r>
  <r>
    <d v="2012-04-27T00:00:00"/>
    <s v="017-2220-000"/>
    <s v="Beer Sales"/>
    <n v="507.29999999999995"/>
    <n v="0"/>
    <s v="Daily Sales Import"/>
    <n v="-507.29999999999995"/>
    <n v="507.29999999999995"/>
    <x v="1"/>
    <s v="2220"/>
    <s v="000"/>
    <x v="6"/>
    <x v="1"/>
  </r>
  <r>
    <d v="2012-04-27T00:00:00"/>
    <s v="017-2230-000"/>
    <s v="Wine Sales"/>
    <n v="49.707499999999996"/>
    <n v="0"/>
    <s v="Daily Sales Import"/>
    <n v="-49.707499999999996"/>
    <n v="49.707499999999996"/>
    <x v="1"/>
    <s v="2230"/>
    <s v="000"/>
    <x v="6"/>
    <x v="1"/>
  </r>
  <r>
    <d v="2012-04-28T00:00:00"/>
    <s v="017-2100-000"/>
    <s v="Food Sales"/>
    <n v="5808.1688999999997"/>
    <n v="0"/>
    <s v="Daily Sales Import"/>
    <n v="-5808.1688999999997"/>
    <n v="5808.1688999999997"/>
    <x v="1"/>
    <s v="2100"/>
    <s v="000"/>
    <x v="6"/>
    <x v="1"/>
  </r>
  <r>
    <d v="2012-04-28T00:00:00"/>
    <s v="017-2210-000"/>
    <s v="Liquor Sales"/>
    <n v="2232.9829999999997"/>
    <n v="0"/>
    <s v="Daily Sales Import"/>
    <n v="-2232.9829999999997"/>
    <n v="2232.9829999999997"/>
    <x v="1"/>
    <s v="2210"/>
    <s v="000"/>
    <x v="6"/>
    <x v="1"/>
  </r>
  <r>
    <d v="2012-04-28T00:00:00"/>
    <s v="017-2220-000"/>
    <s v="Beer Sales"/>
    <n v="437.34250000000003"/>
    <n v="0"/>
    <s v="Daily Sales Import"/>
    <n v="-437.34250000000003"/>
    <n v="437.34250000000003"/>
    <x v="1"/>
    <s v="2220"/>
    <s v="000"/>
    <x v="6"/>
    <x v="1"/>
  </r>
  <r>
    <d v="2012-04-28T00:00:00"/>
    <s v="017-2230-000"/>
    <s v="Wine Sales"/>
    <n v="166.86750000000001"/>
    <n v="0"/>
    <s v="Daily Sales Import"/>
    <n v="-166.86750000000001"/>
    <n v="166.86750000000001"/>
    <x v="1"/>
    <s v="2230"/>
    <s v="000"/>
    <x v="6"/>
    <x v="1"/>
  </r>
  <r>
    <d v="2012-04-29T00:00:00"/>
    <s v="017-2100-000"/>
    <s v="Food Sales"/>
    <n v="5243.2716"/>
    <n v="0"/>
    <s v="Daily Sales Import"/>
    <n v="-5243.2716"/>
    <n v="5243.2716"/>
    <x v="1"/>
    <s v="2100"/>
    <s v="000"/>
    <x v="6"/>
    <x v="1"/>
  </r>
  <r>
    <d v="2012-04-29T00:00:00"/>
    <s v="017-2210-000"/>
    <s v="Liquor Sales"/>
    <n v="872.45950000000005"/>
    <n v="0"/>
    <s v="Daily Sales Import"/>
    <n v="-872.45950000000005"/>
    <n v="872.45950000000005"/>
    <x v="1"/>
    <s v="2210"/>
    <s v="000"/>
    <x v="6"/>
    <x v="1"/>
  </r>
  <r>
    <d v="2012-04-29T00:00:00"/>
    <s v="017-2220-000"/>
    <s v="Beer Sales"/>
    <n v="232.715"/>
    <n v="0"/>
    <s v="Daily Sales Import"/>
    <n v="-232.715"/>
    <n v="232.715"/>
    <x v="1"/>
    <s v="2220"/>
    <s v="000"/>
    <x v="6"/>
    <x v="1"/>
  </r>
  <r>
    <d v="2012-04-29T00:00:00"/>
    <s v="017-2230-000"/>
    <s v="Wine Sales"/>
    <n v="50.372999999999998"/>
    <n v="0"/>
    <s v="Daily Sales Import"/>
    <n v="-50.372999999999998"/>
    <n v="50.372999999999998"/>
    <x v="1"/>
    <s v="2230"/>
    <s v="000"/>
    <x v="6"/>
    <x v="1"/>
  </r>
  <r>
    <d v="2012-04-23T00:00:00"/>
    <s v="018-2100-000"/>
    <s v="Food Sales"/>
    <n v="3263.3579999999997"/>
    <n v="0"/>
    <s v="Daily Sales Import"/>
    <n v="-3263.3579999999997"/>
    <n v="3263.3579999999997"/>
    <x v="2"/>
    <s v="2100"/>
    <s v="000"/>
    <x v="6"/>
    <x v="1"/>
  </r>
  <r>
    <d v="2012-04-23T00:00:00"/>
    <s v="018-2210-000"/>
    <s v="Liquor Sales"/>
    <n v="873.40150000000006"/>
    <n v="0"/>
    <s v="Daily Sales Import"/>
    <n v="-873.40150000000006"/>
    <n v="873.40150000000006"/>
    <x v="2"/>
    <s v="2210"/>
    <s v="000"/>
    <x v="6"/>
    <x v="1"/>
  </r>
  <r>
    <d v="2012-04-23T00:00:00"/>
    <s v="018-2220-000"/>
    <s v="Beer Sales"/>
    <n v="116.71050000000001"/>
    <n v="0"/>
    <s v="Daily Sales Import"/>
    <n v="-116.71050000000001"/>
    <n v="116.71050000000001"/>
    <x v="2"/>
    <s v="2220"/>
    <s v="000"/>
    <x v="6"/>
    <x v="1"/>
  </r>
  <r>
    <d v="2012-04-23T00:00:00"/>
    <s v="018-2230-000"/>
    <s v="Wine Sales"/>
    <n v="9.6480000000000015"/>
    <n v="0"/>
    <s v="Daily Sales Import"/>
    <n v="-9.6480000000000015"/>
    <n v="9.6480000000000015"/>
    <x v="2"/>
    <s v="2230"/>
    <s v="000"/>
    <x v="6"/>
    <x v="1"/>
  </r>
  <r>
    <d v="2012-04-24T00:00:00"/>
    <s v="018-2100-000"/>
    <s v="Food Sales"/>
    <n v="3032.82"/>
    <n v="0"/>
    <s v="Daily Sales Import"/>
    <n v="-3032.82"/>
    <n v="3032.82"/>
    <x v="2"/>
    <s v="2100"/>
    <s v="000"/>
    <x v="6"/>
    <x v="1"/>
  </r>
  <r>
    <d v="2012-04-24T00:00:00"/>
    <s v="018-2210-000"/>
    <s v="Liquor Sales"/>
    <n v="1028.1479999999999"/>
    <n v="0"/>
    <s v="Daily Sales Import"/>
    <n v="-1028.1479999999999"/>
    <n v="1028.1479999999999"/>
    <x v="2"/>
    <s v="2210"/>
    <s v="000"/>
    <x v="6"/>
    <x v="1"/>
  </r>
  <r>
    <d v="2012-04-24T00:00:00"/>
    <s v="018-2220-000"/>
    <s v="Beer Sales"/>
    <n v="170.51000000000002"/>
    <n v="0"/>
    <s v="Daily Sales Import"/>
    <n v="-170.51000000000002"/>
    <n v="170.51000000000002"/>
    <x v="2"/>
    <s v="2220"/>
    <s v="000"/>
    <x v="6"/>
    <x v="1"/>
  </r>
  <r>
    <d v="2012-04-24T00:00:00"/>
    <s v="018-2230-000"/>
    <s v="Wine Sales"/>
    <n v="38.376000000000005"/>
    <n v="0"/>
    <s v="Daily Sales Import"/>
    <n v="-38.376000000000005"/>
    <n v="38.376000000000005"/>
    <x v="2"/>
    <s v="2230"/>
    <s v="000"/>
    <x v="6"/>
    <x v="1"/>
  </r>
  <r>
    <d v="2012-04-25T00:00:00"/>
    <s v="018-2100-000"/>
    <s v="Food Sales"/>
    <n v="3505.0070000000001"/>
    <n v="0"/>
    <s v="Daily Sales Import"/>
    <n v="-3505.0070000000001"/>
    <n v="3505.0070000000001"/>
    <x v="2"/>
    <s v="2100"/>
    <s v="000"/>
    <x v="6"/>
    <x v="1"/>
  </r>
  <r>
    <d v="2012-04-25T00:00:00"/>
    <s v="018-2210-000"/>
    <s v="Liquor Sales"/>
    <n v="871.33050000000003"/>
    <n v="0"/>
    <s v="Daily Sales Import"/>
    <n v="-871.33050000000003"/>
    <n v="871.33050000000003"/>
    <x v="2"/>
    <s v="2210"/>
    <s v="000"/>
    <x v="6"/>
    <x v="1"/>
  </r>
  <r>
    <d v="2012-04-25T00:00:00"/>
    <s v="018-2220-000"/>
    <s v="Beer Sales"/>
    <n v="260.60000000000002"/>
    <n v="0"/>
    <s v="Daily Sales Import"/>
    <n v="-260.60000000000002"/>
    <n v="260.60000000000002"/>
    <x v="2"/>
    <s v="2220"/>
    <s v="000"/>
    <x v="6"/>
    <x v="1"/>
  </r>
  <r>
    <d v="2012-04-25T00:00:00"/>
    <s v="018-2230-000"/>
    <s v="Wine Sales"/>
    <n v="49.848000000000006"/>
    <n v="0"/>
    <s v="Daily Sales Import"/>
    <n v="-49.848000000000006"/>
    <n v="49.848000000000006"/>
    <x v="2"/>
    <s v="2230"/>
    <s v="000"/>
    <x v="6"/>
    <x v="1"/>
  </r>
  <r>
    <d v="2012-04-26T00:00:00"/>
    <s v="018-2100-000"/>
    <s v="Food Sales"/>
    <n v="3215.1587999999997"/>
    <n v="0"/>
    <s v="Daily Sales Import"/>
    <n v="-3215.1587999999997"/>
    <n v="3215.1587999999997"/>
    <x v="2"/>
    <s v="2100"/>
    <s v="000"/>
    <x v="6"/>
    <x v="1"/>
  </r>
  <r>
    <d v="2012-04-26T00:00:00"/>
    <s v="018-2210-000"/>
    <s v="Liquor Sales"/>
    <n v="653.50799999999992"/>
    <n v="0"/>
    <s v="Daily Sales Import"/>
    <n v="-653.50799999999992"/>
    <n v="653.50799999999992"/>
    <x v="2"/>
    <s v="2210"/>
    <s v="000"/>
    <x v="6"/>
    <x v="1"/>
  </r>
  <r>
    <d v="2012-04-26T00:00:00"/>
    <s v="018-2220-000"/>
    <s v="Beer Sales"/>
    <n v="178.97750000000002"/>
    <n v="0"/>
    <s v="Daily Sales Import"/>
    <n v="-178.97750000000002"/>
    <n v="178.97750000000002"/>
    <x v="2"/>
    <s v="2220"/>
    <s v="000"/>
    <x v="6"/>
    <x v="1"/>
  </r>
  <r>
    <d v="2012-04-26T00:00:00"/>
    <s v="018-2230-000"/>
    <s v="Wine Sales"/>
    <n v="81.330500000000001"/>
    <n v="0"/>
    <s v="Daily Sales Import"/>
    <n v="-81.330500000000001"/>
    <n v="81.330500000000001"/>
    <x v="2"/>
    <s v="2230"/>
    <s v="000"/>
    <x v="6"/>
    <x v="1"/>
  </r>
  <r>
    <d v="2012-04-27T00:00:00"/>
    <s v="018-2100-000"/>
    <s v="Food Sales"/>
    <n v="11297"/>
    <n v="0"/>
    <s v="Daily Sales Import"/>
    <n v="-11297"/>
    <n v="11297"/>
    <x v="2"/>
    <s v="2100"/>
    <s v="000"/>
    <x v="6"/>
    <x v="1"/>
  </r>
  <r>
    <d v="2012-04-27T00:00:00"/>
    <s v="018-2210-000"/>
    <s v="Liquor Sales"/>
    <n v="3083.6079999999997"/>
    <n v="0"/>
    <s v="Daily Sales Import"/>
    <n v="-3083.6079999999997"/>
    <n v="3083.6079999999997"/>
    <x v="2"/>
    <s v="2210"/>
    <s v="000"/>
    <x v="6"/>
    <x v="1"/>
  </r>
  <r>
    <d v="2012-04-27T00:00:00"/>
    <s v="018-2220-000"/>
    <s v="Beer Sales"/>
    <n v="873.78249999999991"/>
    <n v="0"/>
    <s v="Daily Sales Import"/>
    <n v="-873.78249999999991"/>
    <n v="873.78249999999991"/>
    <x v="2"/>
    <s v="2220"/>
    <s v="000"/>
    <x v="6"/>
    <x v="1"/>
  </r>
  <r>
    <d v="2012-04-27T00:00:00"/>
    <s v="018-2230-000"/>
    <s v="Wine Sales"/>
    <n v="59.83"/>
    <n v="0"/>
    <s v="Daily Sales Import"/>
    <n v="-59.83"/>
    <n v="59.83"/>
    <x v="2"/>
    <s v="2230"/>
    <s v="000"/>
    <x v="6"/>
    <x v="1"/>
  </r>
  <r>
    <d v="2012-04-28T00:00:00"/>
    <s v="018-2100-000"/>
    <s v="Food Sales"/>
    <n v="12021.764999999999"/>
    <n v="0"/>
    <s v="Daily Sales Import"/>
    <n v="-12021.764999999999"/>
    <n v="12021.764999999999"/>
    <x v="2"/>
    <s v="2100"/>
    <s v="000"/>
    <x v="6"/>
    <x v="1"/>
  </r>
  <r>
    <d v="2012-04-28T00:00:00"/>
    <s v="018-2210-000"/>
    <s v="Liquor Sales"/>
    <n v="3232.047"/>
    <n v="0"/>
    <s v="Daily Sales Import"/>
    <n v="-3232.047"/>
    <n v="3232.047"/>
    <x v="2"/>
    <s v="2210"/>
    <s v="000"/>
    <x v="6"/>
    <x v="1"/>
  </r>
  <r>
    <d v="2012-04-28T00:00:00"/>
    <s v="018-2220-000"/>
    <s v="Beer Sales"/>
    <n v="579.82500000000005"/>
    <n v="0"/>
    <s v="Daily Sales Import"/>
    <n v="-579.82500000000005"/>
    <n v="579.82500000000005"/>
    <x v="2"/>
    <s v="2220"/>
    <s v="000"/>
    <x v="6"/>
    <x v="1"/>
  </r>
  <r>
    <d v="2012-04-28T00:00:00"/>
    <s v="018-2230-000"/>
    <s v="Wine Sales"/>
    <n v="174.53800000000001"/>
    <n v="0"/>
    <s v="Daily Sales Import"/>
    <n v="-174.53800000000001"/>
    <n v="174.53800000000001"/>
    <x v="2"/>
    <s v="2230"/>
    <s v="000"/>
    <x v="6"/>
    <x v="1"/>
  </r>
  <r>
    <d v="2012-04-29T00:00:00"/>
    <s v="018-2100-000"/>
    <s v="Food Sales"/>
    <n v="11162.043"/>
    <n v="0"/>
    <s v="Daily Sales Import"/>
    <n v="-11162.043"/>
    <n v="11162.043"/>
    <x v="2"/>
    <s v="2100"/>
    <s v="000"/>
    <x v="6"/>
    <x v="1"/>
  </r>
  <r>
    <d v="2012-04-29T00:00:00"/>
    <s v="018-2210-000"/>
    <s v="Liquor Sales"/>
    <n v="1728.6399999999999"/>
    <n v="0"/>
    <s v="Daily Sales Import"/>
    <n v="-1728.6399999999999"/>
    <n v="1728.6399999999999"/>
    <x v="2"/>
    <s v="2210"/>
    <s v="000"/>
    <x v="6"/>
    <x v="1"/>
  </r>
  <r>
    <d v="2012-04-29T00:00:00"/>
    <s v="018-2220-000"/>
    <s v="Beer Sales"/>
    <n v="410.09100000000001"/>
    <n v="0"/>
    <s v="Daily Sales Import"/>
    <n v="-410.09100000000001"/>
    <n v="410.09100000000001"/>
    <x v="2"/>
    <s v="2220"/>
    <s v="000"/>
    <x v="6"/>
    <x v="1"/>
  </r>
  <r>
    <d v="2012-04-29T00:00:00"/>
    <s v="018-2230-000"/>
    <s v="Wine Sales"/>
    <n v="78.124500000000012"/>
    <n v="0"/>
    <s v="Daily Sales Import"/>
    <n v="-78.124500000000012"/>
    <n v="78.124500000000012"/>
    <x v="2"/>
    <s v="2230"/>
    <s v="000"/>
    <x v="6"/>
    <x v="1"/>
  </r>
  <r>
    <d v="2012-04-30T00:00:00"/>
    <s v="016-2100-000"/>
    <s v="Food Sales"/>
    <n v="2515.3044"/>
    <n v="0"/>
    <s v="Daily Sales Import"/>
    <n v="-2515.3044"/>
    <n v="2515.3044"/>
    <x v="0"/>
    <s v="2100"/>
    <s v="000"/>
    <x v="6"/>
    <x v="1"/>
  </r>
  <r>
    <d v="2012-04-30T00:00:00"/>
    <s v="016-2210-000"/>
    <s v="Liquor Sales"/>
    <n v="840.35599999999999"/>
    <n v="0"/>
    <s v="Daily Sales Import"/>
    <n v="-840.35599999999999"/>
    <n v="840.35599999999999"/>
    <x v="0"/>
    <s v="2210"/>
    <s v="000"/>
    <x v="6"/>
    <x v="1"/>
  </r>
  <r>
    <d v="2012-04-30T00:00:00"/>
    <s v="016-2220-000"/>
    <s v="Beer Sales"/>
    <n v="141.21"/>
    <n v="0"/>
    <s v="Daily Sales Import"/>
    <n v="-141.21"/>
    <n v="141.21"/>
    <x v="0"/>
    <s v="2220"/>
    <s v="000"/>
    <x v="6"/>
    <x v="1"/>
  </r>
  <r>
    <d v="2012-04-30T00:00:00"/>
    <s v="016-2230-000"/>
    <s v="Wine Sales"/>
    <n v="69.927499999999995"/>
    <n v="0"/>
    <s v="Daily Sales Import"/>
    <n v="-69.927499999999995"/>
    <n v="69.927499999999995"/>
    <x v="0"/>
    <s v="2230"/>
    <s v="000"/>
    <x v="6"/>
    <x v="1"/>
  </r>
  <r>
    <d v="2012-05-01T00:00:00"/>
    <s v="016-2100-000"/>
    <s v="Food Sales"/>
    <n v="3888.5616"/>
    <n v="0"/>
    <s v="Daily Sales Import"/>
    <n v="-3888.5616"/>
    <n v="3888.5616"/>
    <x v="0"/>
    <s v="2100"/>
    <s v="000"/>
    <x v="7"/>
    <x v="1"/>
  </r>
  <r>
    <d v="2012-05-01T00:00:00"/>
    <s v="016-2210-000"/>
    <s v="Liquor Sales"/>
    <n v="1402.4320000000002"/>
    <n v="0"/>
    <s v="Daily Sales Import"/>
    <n v="-1402.4320000000002"/>
    <n v="1402.4320000000002"/>
    <x v="0"/>
    <s v="2210"/>
    <s v="000"/>
    <x v="7"/>
    <x v="1"/>
  </r>
  <r>
    <d v="2012-05-01T00:00:00"/>
    <s v="016-2220-000"/>
    <s v="Beer Sales"/>
    <n v="479.18400000000008"/>
    <n v="0"/>
    <s v="Daily Sales Import"/>
    <n v="-479.18400000000008"/>
    <n v="479.18400000000008"/>
    <x v="0"/>
    <s v="2220"/>
    <s v="000"/>
    <x v="7"/>
    <x v="1"/>
  </r>
  <r>
    <d v="2012-05-01T00:00:00"/>
    <s v="016-2230-000"/>
    <s v="Wine Sales"/>
    <n v="129.5445"/>
    <n v="0"/>
    <s v="Daily Sales Import"/>
    <n v="-129.5445"/>
    <n v="129.5445"/>
    <x v="0"/>
    <s v="2230"/>
    <s v="000"/>
    <x v="7"/>
    <x v="1"/>
  </r>
  <r>
    <d v="2012-05-02T00:00:00"/>
    <s v="016-2100-000"/>
    <s v="Food Sales"/>
    <n v="4215.7551000000003"/>
    <n v="0"/>
    <s v="Daily Sales Import"/>
    <n v="-4215.7551000000003"/>
    <n v="4215.7551000000003"/>
    <x v="0"/>
    <s v="2100"/>
    <s v="000"/>
    <x v="7"/>
    <x v="1"/>
  </r>
  <r>
    <d v="2012-05-02T00:00:00"/>
    <s v="016-2210-000"/>
    <s v="Liquor Sales"/>
    <n v="874.6"/>
    <n v="0"/>
    <s v="Daily Sales Import"/>
    <n v="-874.6"/>
    <n v="874.6"/>
    <x v="0"/>
    <s v="2210"/>
    <s v="000"/>
    <x v="7"/>
    <x v="1"/>
  </r>
  <r>
    <d v="2012-05-02T00:00:00"/>
    <s v="016-2220-000"/>
    <s v="Beer Sales"/>
    <n v="224.03700000000001"/>
    <n v="0"/>
    <s v="Daily Sales Import"/>
    <n v="-224.03700000000001"/>
    <n v="224.03700000000001"/>
    <x v="0"/>
    <s v="2220"/>
    <s v="000"/>
    <x v="7"/>
    <x v="1"/>
  </r>
  <r>
    <d v="2012-05-02T00:00:00"/>
    <s v="016-2230-000"/>
    <s v="Wine Sales"/>
    <n v="175.21200000000002"/>
    <n v="0"/>
    <s v="Daily Sales Import"/>
    <n v="-175.21200000000002"/>
    <n v="175.21200000000002"/>
    <x v="0"/>
    <s v="2230"/>
    <s v="000"/>
    <x v="7"/>
    <x v="1"/>
  </r>
  <r>
    <d v="2012-05-03T00:00:00"/>
    <s v="016-2100-000"/>
    <s v="Food Sales"/>
    <n v="3744.3218000000002"/>
    <n v="0"/>
    <s v="Daily Sales Import"/>
    <n v="-3744.3218000000002"/>
    <n v="3744.3218000000002"/>
    <x v="0"/>
    <s v="2100"/>
    <s v="000"/>
    <x v="7"/>
    <x v="1"/>
  </r>
  <r>
    <d v="2012-05-03T00:00:00"/>
    <s v="016-2210-000"/>
    <s v="Liquor Sales"/>
    <n v="1399.2159999999999"/>
    <n v="0"/>
    <s v="Daily Sales Import"/>
    <n v="-1399.2159999999999"/>
    <n v="1399.2159999999999"/>
    <x v="0"/>
    <s v="2210"/>
    <s v="000"/>
    <x v="7"/>
    <x v="1"/>
  </r>
  <r>
    <d v="2012-05-03T00:00:00"/>
    <s v="016-2220-000"/>
    <s v="Beer Sales"/>
    <n v="269.32500000000005"/>
    <n v="0"/>
    <s v="Daily Sales Import"/>
    <n v="-269.32500000000005"/>
    <n v="269.32500000000005"/>
    <x v="0"/>
    <s v="2220"/>
    <s v="000"/>
    <x v="7"/>
    <x v="1"/>
  </r>
  <r>
    <d v="2012-05-03T00:00:00"/>
    <s v="016-2230-000"/>
    <s v="Wine Sales"/>
    <n v="77.083500000000001"/>
    <n v="0"/>
    <s v="Daily Sales Import"/>
    <n v="-77.083500000000001"/>
    <n v="77.083500000000001"/>
    <x v="0"/>
    <s v="2230"/>
    <s v="000"/>
    <x v="7"/>
    <x v="1"/>
  </r>
  <r>
    <d v="2012-05-04T00:00:00"/>
    <s v="016-2100-000"/>
    <s v="Food Sales"/>
    <n v="8079.5419999999995"/>
    <n v="0"/>
    <s v="Daily Sales Import"/>
    <n v="-8079.5419999999995"/>
    <n v="8079.5419999999995"/>
    <x v="0"/>
    <s v="2100"/>
    <s v="000"/>
    <x v="7"/>
    <x v="1"/>
  </r>
  <r>
    <d v="2012-05-04T00:00:00"/>
    <s v="016-2210-000"/>
    <s v="Liquor Sales"/>
    <n v="2441.4"/>
    <n v="0"/>
    <s v="Daily Sales Import"/>
    <n v="-2441.4"/>
    <n v="2441.4"/>
    <x v="0"/>
    <s v="2210"/>
    <s v="000"/>
    <x v="7"/>
    <x v="1"/>
  </r>
  <r>
    <d v="2012-05-04T00:00:00"/>
    <s v="016-2220-000"/>
    <s v="Beer Sales"/>
    <n v="711.83499999999992"/>
    <n v="0"/>
    <s v="Daily Sales Import"/>
    <n v="-711.83499999999992"/>
    <n v="711.83499999999992"/>
    <x v="0"/>
    <s v="2220"/>
    <s v="000"/>
    <x v="7"/>
    <x v="1"/>
  </r>
  <r>
    <d v="2012-05-04T00:00:00"/>
    <s v="016-2230-000"/>
    <s v="Wine Sales"/>
    <n v="203.74300000000002"/>
    <n v="0"/>
    <s v="Daily Sales Import"/>
    <n v="-203.74300000000002"/>
    <n v="203.74300000000002"/>
    <x v="0"/>
    <s v="2230"/>
    <s v="000"/>
    <x v="7"/>
    <x v="1"/>
  </r>
  <r>
    <d v="2012-05-05T00:00:00"/>
    <s v="016-2100-000"/>
    <s v="Food Sales"/>
    <n v="13771.338"/>
    <n v="0"/>
    <s v="Daily Sales Import"/>
    <n v="-13771.338"/>
    <n v="13771.338"/>
    <x v="0"/>
    <s v="2100"/>
    <s v="000"/>
    <x v="7"/>
    <x v="1"/>
  </r>
  <r>
    <d v="2012-05-05T00:00:00"/>
    <s v="016-2210-000"/>
    <s v="Liquor Sales"/>
    <n v="21099.6414"/>
    <n v="0"/>
    <s v="Daily Sales Import"/>
    <n v="-21099.6414"/>
    <n v="21099.6414"/>
    <x v="0"/>
    <s v="2210"/>
    <s v="000"/>
    <x v="7"/>
    <x v="1"/>
  </r>
  <r>
    <d v="2012-05-05T00:00:00"/>
    <s v="016-2220-000"/>
    <s v="Beer Sales"/>
    <n v="8819.0607999999993"/>
    <n v="0"/>
    <s v="Daily Sales Import"/>
    <n v="-8819.0607999999993"/>
    <n v="8819.0607999999993"/>
    <x v="0"/>
    <s v="2220"/>
    <s v="000"/>
    <x v="7"/>
    <x v="1"/>
  </r>
  <r>
    <d v="2012-05-05T00:00:00"/>
    <s v="016-2230-000"/>
    <s v="Wine Sales"/>
    <n v="523.21799999999996"/>
    <n v="0"/>
    <s v="Daily Sales Import"/>
    <n v="-523.21799999999996"/>
    <n v="523.21799999999996"/>
    <x v="0"/>
    <s v="2230"/>
    <s v="000"/>
    <x v="7"/>
    <x v="1"/>
  </r>
  <r>
    <d v="2012-05-06T00:00:00"/>
    <s v="016-2100-000"/>
    <s v="Food Sales"/>
    <n v="5151.4650000000001"/>
    <n v="0"/>
    <s v="Daily Sales Import"/>
    <n v="-5151.4650000000001"/>
    <n v="5151.4650000000001"/>
    <x v="0"/>
    <s v="2100"/>
    <s v="000"/>
    <x v="7"/>
    <x v="1"/>
  </r>
  <r>
    <d v="2012-05-06T00:00:00"/>
    <s v="016-2210-000"/>
    <s v="Liquor Sales"/>
    <n v="1136.3264999999999"/>
    <n v="0"/>
    <s v="Daily Sales Import"/>
    <n v="-1136.3264999999999"/>
    <n v="1136.3264999999999"/>
    <x v="0"/>
    <s v="2210"/>
    <s v="000"/>
    <x v="7"/>
    <x v="1"/>
  </r>
  <r>
    <d v="2012-05-06T00:00:00"/>
    <s v="016-2220-000"/>
    <s v="Beer Sales"/>
    <n v="318.24"/>
    <n v="0"/>
    <s v="Daily Sales Import"/>
    <n v="-318.24"/>
    <n v="318.24"/>
    <x v="0"/>
    <s v="2220"/>
    <s v="000"/>
    <x v="7"/>
    <x v="1"/>
  </r>
  <r>
    <d v="2012-05-06T00:00:00"/>
    <s v="016-2230-000"/>
    <s v="Wine Sales"/>
    <n v="55.024000000000008"/>
    <n v="0"/>
    <s v="Daily Sales Import"/>
    <n v="-55.024000000000008"/>
    <n v="55.024000000000008"/>
    <x v="0"/>
    <s v="2230"/>
    <s v="000"/>
    <x v="7"/>
    <x v="1"/>
  </r>
  <r>
    <d v="2012-04-30T00:00:00"/>
    <s v="017-2100-000"/>
    <s v="Food Sales"/>
    <n v="3788.8312000000005"/>
    <n v="0"/>
    <s v="Daily Sales Import"/>
    <n v="-3788.8312000000005"/>
    <n v="3788.8312000000005"/>
    <x v="1"/>
    <s v="2100"/>
    <s v="000"/>
    <x v="6"/>
    <x v="1"/>
  </r>
  <r>
    <d v="2012-04-30T00:00:00"/>
    <s v="017-2210-000"/>
    <s v="Liquor Sales"/>
    <n v="1000.3435000000001"/>
    <n v="0"/>
    <s v="Daily Sales Import"/>
    <n v="-1000.3435000000001"/>
    <n v="1000.3435000000001"/>
    <x v="1"/>
    <s v="2210"/>
    <s v="000"/>
    <x v="6"/>
    <x v="1"/>
  </r>
  <r>
    <d v="2012-04-30T00:00:00"/>
    <s v="017-2220-000"/>
    <s v="Beer Sales"/>
    <n v="426.88"/>
    <n v="0"/>
    <s v="Daily Sales Import"/>
    <n v="-426.88"/>
    <n v="426.88"/>
    <x v="1"/>
    <s v="2220"/>
    <s v="000"/>
    <x v="6"/>
    <x v="1"/>
  </r>
  <r>
    <d v="2012-04-30T00:00:00"/>
    <s v="017-2230-000"/>
    <s v="Wine Sales"/>
    <n v="59.774000000000008"/>
    <n v="0"/>
    <s v="Daily Sales Import"/>
    <n v="-59.774000000000008"/>
    <n v="59.774000000000008"/>
    <x v="1"/>
    <s v="2230"/>
    <s v="000"/>
    <x v="6"/>
    <x v="1"/>
  </r>
  <r>
    <d v="2012-05-01T00:00:00"/>
    <s v="017-2100-000"/>
    <s v="Food Sales"/>
    <n v="5320.4416000000001"/>
    <n v="0"/>
    <s v="Daily Sales Import"/>
    <n v="-5320.4416000000001"/>
    <n v="5320.4416000000001"/>
    <x v="1"/>
    <s v="2100"/>
    <s v="000"/>
    <x v="7"/>
    <x v="1"/>
  </r>
  <r>
    <d v="2012-05-01T00:00:00"/>
    <s v="017-2210-000"/>
    <s v="Liquor Sales"/>
    <n v="2249.3539999999998"/>
    <n v="0"/>
    <s v="Daily Sales Import"/>
    <n v="-2249.3539999999998"/>
    <n v="2249.3539999999998"/>
    <x v="1"/>
    <s v="2210"/>
    <s v="000"/>
    <x v="7"/>
    <x v="1"/>
  </r>
  <r>
    <d v="2012-05-01T00:00:00"/>
    <s v="017-2220-000"/>
    <s v="Beer Sales"/>
    <n v="781.42"/>
    <n v="0"/>
    <s v="Daily Sales Import"/>
    <n v="-781.42"/>
    <n v="781.42"/>
    <x v="1"/>
    <s v="2220"/>
    <s v="000"/>
    <x v="7"/>
    <x v="1"/>
  </r>
  <r>
    <d v="2012-05-01T00:00:00"/>
    <s v="017-2230-000"/>
    <s v="Wine Sales"/>
    <n v="79.805000000000007"/>
    <n v="0"/>
    <s v="Daily Sales Import"/>
    <n v="-79.805000000000007"/>
    <n v="79.805000000000007"/>
    <x v="1"/>
    <s v="2230"/>
    <s v="000"/>
    <x v="7"/>
    <x v="1"/>
  </r>
  <r>
    <d v="2012-05-02T00:00:00"/>
    <s v="017-2100-000"/>
    <s v="Food Sales"/>
    <n v="8850.2831999999999"/>
    <n v="0"/>
    <s v="Daily Sales Import"/>
    <n v="-8850.2831999999999"/>
    <n v="8850.2831999999999"/>
    <x v="1"/>
    <s v="2100"/>
    <s v="000"/>
    <x v="7"/>
    <x v="1"/>
  </r>
  <r>
    <d v="2012-05-02T00:00:00"/>
    <s v="017-2210-000"/>
    <s v="Liquor Sales"/>
    <n v="1784.37"/>
    <n v="0"/>
    <s v="Daily Sales Import"/>
    <n v="-1784.37"/>
    <n v="1784.37"/>
    <x v="1"/>
    <s v="2210"/>
    <s v="000"/>
    <x v="7"/>
    <x v="1"/>
  </r>
  <r>
    <d v="2012-05-02T00:00:00"/>
    <s v="017-2220-000"/>
    <s v="Beer Sales"/>
    <n v="477.7525"/>
    <n v="0"/>
    <s v="Daily Sales Import"/>
    <n v="-477.7525"/>
    <n v="477.7525"/>
    <x v="1"/>
    <s v="2220"/>
    <s v="000"/>
    <x v="7"/>
    <x v="1"/>
  </r>
  <r>
    <d v="2012-05-02T00:00:00"/>
    <s v="017-2230-000"/>
    <s v="Wine Sales"/>
    <n v="90.785000000000011"/>
    <n v="0"/>
    <s v="Daily Sales Import"/>
    <n v="-90.785000000000011"/>
    <n v="90.785000000000011"/>
    <x v="1"/>
    <s v="2230"/>
    <s v="000"/>
    <x v="7"/>
    <x v="1"/>
  </r>
  <r>
    <d v="2012-05-03T00:00:00"/>
    <s v="017-2100-000"/>
    <s v="Food Sales"/>
    <n v="4252.0716000000002"/>
    <n v="0"/>
    <s v="Daily Sales Import"/>
    <n v="-4252.0716000000002"/>
    <n v="4252.0716000000002"/>
    <x v="1"/>
    <s v="2100"/>
    <s v="000"/>
    <x v="7"/>
    <x v="1"/>
  </r>
  <r>
    <d v="2012-05-03T00:00:00"/>
    <s v="017-2210-000"/>
    <s v="Liquor Sales"/>
    <n v="1567.9940000000001"/>
    <n v="0"/>
    <s v="Daily Sales Import"/>
    <n v="-1567.9940000000001"/>
    <n v="1567.9940000000001"/>
    <x v="1"/>
    <s v="2210"/>
    <s v="000"/>
    <x v="7"/>
    <x v="1"/>
  </r>
  <r>
    <d v="2012-05-03T00:00:00"/>
    <s v="017-2220-000"/>
    <s v="Beer Sales"/>
    <n v="617.8125"/>
    <n v="0"/>
    <s v="Daily Sales Import"/>
    <n v="-617.8125"/>
    <n v="617.8125"/>
    <x v="1"/>
    <s v="2220"/>
    <s v="000"/>
    <x v="7"/>
    <x v="1"/>
  </r>
  <r>
    <d v="2012-05-03T00:00:00"/>
    <s v="017-2230-000"/>
    <s v="Wine Sales"/>
    <n v="144.816"/>
    <n v="0"/>
    <s v="Daily Sales Import"/>
    <n v="-144.816"/>
    <n v="144.816"/>
    <x v="1"/>
    <s v="2230"/>
    <s v="000"/>
    <x v="7"/>
    <x v="1"/>
  </r>
  <r>
    <d v="2012-05-04T00:00:00"/>
    <s v="017-2100-000"/>
    <s v="Food Sales"/>
    <n v="7984.1926999999996"/>
    <n v="0"/>
    <s v="Daily Sales Import"/>
    <n v="-7984.1926999999996"/>
    <n v="7984.1926999999996"/>
    <x v="1"/>
    <s v="2100"/>
    <s v="000"/>
    <x v="7"/>
    <x v="1"/>
  </r>
  <r>
    <d v="2012-05-04T00:00:00"/>
    <s v="017-2210-000"/>
    <s v="Liquor Sales"/>
    <n v="2780.7359999999999"/>
    <n v="0"/>
    <s v="Daily Sales Import"/>
    <n v="-2780.7359999999999"/>
    <n v="2780.7359999999999"/>
    <x v="1"/>
    <s v="2210"/>
    <s v="000"/>
    <x v="7"/>
    <x v="1"/>
  </r>
  <r>
    <d v="2012-05-04T00:00:00"/>
    <s v="017-2220-000"/>
    <s v="Beer Sales"/>
    <n v="518.33249999999998"/>
    <n v="0"/>
    <s v="Daily Sales Import"/>
    <n v="-518.33249999999998"/>
    <n v="518.33249999999998"/>
    <x v="1"/>
    <s v="2220"/>
    <s v="000"/>
    <x v="7"/>
    <x v="1"/>
  </r>
  <r>
    <d v="2012-05-04T00:00:00"/>
    <s v="017-2230-000"/>
    <s v="Wine Sales"/>
    <n v="286.358"/>
    <n v="0"/>
    <s v="Daily Sales Import"/>
    <n v="-286.358"/>
    <n v="286.358"/>
    <x v="1"/>
    <s v="2230"/>
    <s v="000"/>
    <x v="7"/>
    <x v="1"/>
  </r>
  <r>
    <d v="2012-05-05T00:00:00"/>
    <s v="017-2100-000"/>
    <s v="Food Sales"/>
    <n v="14785.620999999999"/>
    <n v="0"/>
    <s v="Daily Sales Import"/>
    <n v="-14785.620999999999"/>
    <n v="14785.620999999999"/>
    <x v="1"/>
    <s v="2100"/>
    <s v="000"/>
    <x v="7"/>
    <x v="1"/>
  </r>
  <r>
    <d v="2012-05-05T00:00:00"/>
    <s v="017-2210-000"/>
    <s v="Liquor Sales"/>
    <n v="10819.5965"/>
    <n v="0"/>
    <s v="Daily Sales Import"/>
    <n v="-10819.5965"/>
    <n v="10819.5965"/>
    <x v="1"/>
    <s v="2210"/>
    <s v="000"/>
    <x v="7"/>
    <x v="1"/>
  </r>
  <r>
    <d v="2012-05-05T00:00:00"/>
    <s v="017-2220-000"/>
    <s v="Beer Sales"/>
    <n v="1296.8799999999999"/>
    <n v="0"/>
    <s v="Daily Sales Import"/>
    <n v="-1296.8799999999999"/>
    <n v="1296.8799999999999"/>
    <x v="1"/>
    <s v="2220"/>
    <s v="000"/>
    <x v="7"/>
    <x v="1"/>
  </r>
  <r>
    <d v="2012-05-05T00:00:00"/>
    <s v="017-2230-000"/>
    <s v="Wine Sales"/>
    <n v="236.13"/>
    <n v="0"/>
    <s v="Daily Sales Import"/>
    <n v="-236.13"/>
    <n v="236.13"/>
    <x v="1"/>
    <s v="2230"/>
    <s v="000"/>
    <x v="7"/>
    <x v="1"/>
  </r>
  <r>
    <d v="2012-05-06T00:00:00"/>
    <s v="017-2100-000"/>
    <s v="Food Sales"/>
    <n v="5783.87"/>
    <n v="0"/>
    <s v="Daily Sales Import"/>
    <n v="-5783.87"/>
    <n v="5783.87"/>
    <x v="1"/>
    <s v="2100"/>
    <s v="000"/>
    <x v="7"/>
    <x v="1"/>
  </r>
  <r>
    <d v="2012-05-06T00:00:00"/>
    <s v="017-2210-000"/>
    <s v="Liquor Sales"/>
    <n v="1592.3925000000002"/>
    <n v="0"/>
    <s v="Daily Sales Import"/>
    <n v="-1592.3925000000002"/>
    <n v="1592.3925000000002"/>
    <x v="1"/>
    <s v="2210"/>
    <s v="000"/>
    <x v="7"/>
    <x v="1"/>
  </r>
  <r>
    <d v="2012-05-06T00:00:00"/>
    <s v="017-2220-000"/>
    <s v="Beer Sales"/>
    <n v="234.69749999999999"/>
    <n v="0"/>
    <s v="Daily Sales Import"/>
    <n v="-234.69749999999999"/>
    <n v="234.69749999999999"/>
    <x v="1"/>
    <s v="2220"/>
    <s v="000"/>
    <x v="7"/>
    <x v="1"/>
  </r>
  <r>
    <d v="2012-05-06T00:00:00"/>
    <s v="017-2230-000"/>
    <s v="Wine Sales"/>
    <n v="155.88300000000001"/>
    <n v="0"/>
    <s v="Daily Sales Import"/>
    <n v="-155.88300000000001"/>
    <n v="155.88300000000001"/>
    <x v="1"/>
    <s v="2230"/>
    <s v="000"/>
    <x v="7"/>
    <x v="1"/>
  </r>
  <r>
    <d v="2012-04-30T00:00:00"/>
    <s v="018-2100-000"/>
    <s v="Food Sales"/>
    <n v="3858.1151"/>
    <n v="0"/>
    <s v="Daily Sales Import"/>
    <n v="-3858.1151"/>
    <n v="3858.1151"/>
    <x v="2"/>
    <s v="2100"/>
    <s v="000"/>
    <x v="6"/>
    <x v="1"/>
  </r>
  <r>
    <d v="2012-04-30T00:00:00"/>
    <s v="018-2210-000"/>
    <s v="Liquor Sales"/>
    <n v="924.11249999999995"/>
    <n v="0"/>
    <s v="Daily Sales Import"/>
    <n v="-924.11249999999995"/>
    <n v="924.11249999999995"/>
    <x v="2"/>
    <s v="2210"/>
    <s v="000"/>
    <x v="6"/>
    <x v="1"/>
  </r>
  <r>
    <d v="2012-04-30T00:00:00"/>
    <s v="018-2220-000"/>
    <s v="Beer Sales"/>
    <n v="188.92999999999998"/>
    <n v="0"/>
    <s v="Daily Sales Import"/>
    <n v="-188.92999999999998"/>
    <n v="188.92999999999998"/>
    <x v="2"/>
    <s v="2220"/>
    <s v="000"/>
    <x v="6"/>
    <x v="1"/>
  </r>
  <r>
    <d v="2012-04-30T00:00:00"/>
    <s v="018-2230-000"/>
    <s v="Wine Sales"/>
    <n v="47.058"/>
    <n v="0"/>
    <s v="Daily Sales Import"/>
    <n v="-47.058"/>
    <n v="47.058"/>
    <x v="2"/>
    <s v="2230"/>
    <s v="000"/>
    <x v="6"/>
    <x v="1"/>
  </r>
  <r>
    <d v="2012-05-01T00:00:00"/>
    <s v="018-2100-000"/>
    <s v="Food Sales"/>
    <n v="3808.3925000000004"/>
    <n v="0"/>
    <s v="Daily Sales Import"/>
    <n v="-3808.3925000000004"/>
    <n v="3808.3925000000004"/>
    <x v="2"/>
    <s v="2100"/>
    <s v="000"/>
    <x v="7"/>
    <x v="1"/>
  </r>
  <r>
    <d v="2012-05-01T00:00:00"/>
    <s v="018-2210-000"/>
    <s v="Liquor Sales"/>
    <n v="523.88"/>
    <n v="0"/>
    <s v="Daily Sales Import"/>
    <n v="-523.88"/>
    <n v="523.88"/>
    <x v="2"/>
    <s v="2210"/>
    <s v="000"/>
    <x v="7"/>
    <x v="1"/>
  </r>
  <r>
    <d v="2012-05-01T00:00:00"/>
    <s v="018-2220-000"/>
    <s v="Beer Sales"/>
    <n v="139.10399999999998"/>
    <n v="0"/>
    <s v="Daily Sales Import"/>
    <n v="-139.10399999999998"/>
    <n v="139.10399999999998"/>
    <x v="2"/>
    <s v="2220"/>
    <s v="000"/>
    <x v="7"/>
    <x v="1"/>
  </r>
  <r>
    <d v="2012-05-01T00:00:00"/>
    <s v="018-2230-000"/>
    <s v="Wine Sales"/>
    <n v="12.167999999999999"/>
    <n v="0"/>
    <s v="Daily Sales Import"/>
    <n v="-12.167999999999999"/>
    <n v="12.167999999999999"/>
    <x v="2"/>
    <s v="2230"/>
    <s v="000"/>
    <x v="7"/>
    <x v="1"/>
  </r>
  <r>
    <d v="2012-05-02T00:00:00"/>
    <s v="018-2100-000"/>
    <s v="Food Sales"/>
    <n v="4966.3680000000004"/>
    <n v="0"/>
    <s v="Daily Sales Import"/>
    <n v="-4966.3680000000004"/>
    <n v="4966.3680000000004"/>
    <x v="2"/>
    <s v="2100"/>
    <s v="000"/>
    <x v="7"/>
    <x v="1"/>
  </r>
  <r>
    <d v="2012-05-02T00:00:00"/>
    <s v="018-2210-000"/>
    <s v="Liquor Sales"/>
    <n v="742.46399999999994"/>
    <n v="0"/>
    <s v="Daily Sales Import"/>
    <n v="-742.46399999999994"/>
    <n v="742.46399999999994"/>
    <x v="2"/>
    <s v="2210"/>
    <s v="000"/>
    <x v="7"/>
    <x v="1"/>
  </r>
  <r>
    <d v="2012-05-02T00:00:00"/>
    <s v="018-2220-000"/>
    <s v="Beer Sales"/>
    <n v="189.40299999999999"/>
    <n v="0"/>
    <s v="Daily Sales Import"/>
    <n v="-189.40299999999999"/>
    <n v="189.40299999999999"/>
    <x v="2"/>
    <s v="2220"/>
    <s v="000"/>
    <x v="7"/>
    <x v="1"/>
  </r>
  <r>
    <d v="2012-05-02T00:00:00"/>
    <s v="018-2230-000"/>
    <s v="Wine Sales"/>
    <n v="56.415999999999997"/>
    <n v="0"/>
    <s v="Daily Sales Import"/>
    <n v="-56.415999999999997"/>
    <n v="56.415999999999997"/>
    <x v="2"/>
    <s v="2230"/>
    <s v="000"/>
    <x v="7"/>
    <x v="1"/>
  </r>
  <r>
    <d v="2012-05-03T00:00:00"/>
    <s v="018-2100-000"/>
    <s v="Food Sales"/>
    <n v="5730.8160000000007"/>
    <n v="0"/>
    <s v="Daily Sales Import"/>
    <n v="-5730.8160000000007"/>
    <n v="5730.8160000000007"/>
    <x v="2"/>
    <s v="2100"/>
    <s v="000"/>
    <x v="7"/>
    <x v="1"/>
  </r>
  <r>
    <d v="2012-05-03T00:00:00"/>
    <s v="018-2210-000"/>
    <s v="Liquor Sales"/>
    <n v="965.94"/>
    <n v="0"/>
    <s v="Daily Sales Import"/>
    <n v="-965.94"/>
    <n v="965.94"/>
    <x v="2"/>
    <s v="2210"/>
    <s v="000"/>
    <x v="7"/>
    <x v="1"/>
  </r>
  <r>
    <d v="2012-05-03T00:00:00"/>
    <s v="018-2220-000"/>
    <s v="Beer Sales"/>
    <n v="289.03400000000005"/>
    <n v="0"/>
    <s v="Daily Sales Import"/>
    <n v="-289.03400000000005"/>
    <n v="289.03400000000005"/>
    <x v="2"/>
    <s v="2220"/>
    <s v="000"/>
    <x v="7"/>
    <x v="1"/>
  </r>
  <r>
    <d v="2012-05-03T00:00:00"/>
    <s v="018-2230-000"/>
    <s v="Wine Sales"/>
    <n v="38.870000000000005"/>
    <n v="0"/>
    <s v="Daily Sales Import"/>
    <n v="-38.870000000000005"/>
    <n v="38.870000000000005"/>
    <x v="2"/>
    <s v="2230"/>
    <s v="000"/>
    <x v="7"/>
    <x v="1"/>
  </r>
  <r>
    <d v="2012-05-04T00:00:00"/>
    <s v="018-2100-000"/>
    <s v="Food Sales"/>
    <n v="8977.8431999999993"/>
    <n v="0"/>
    <s v="Daily Sales Import"/>
    <n v="-8977.8431999999993"/>
    <n v="8977.8431999999993"/>
    <x v="2"/>
    <s v="2100"/>
    <s v="000"/>
    <x v="7"/>
    <x v="1"/>
  </r>
  <r>
    <d v="2012-05-04T00:00:00"/>
    <s v="018-2210-000"/>
    <s v="Liquor Sales"/>
    <n v="2776.9169999999999"/>
    <n v="0"/>
    <s v="Daily Sales Import"/>
    <n v="-2776.9169999999999"/>
    <n v="2776.9169999999999"/>
    <x v="2"/>
    <s v="2210"/>
    <s v="000"/>
    <x v="7"/>
    <x v="1"/>
  </r>
  <r>
    <d v="2012-05-04T00:00:00"/>
    <s v="018-2220-000"/>
    <s v="Beer Sales"/>
    <n v="723.35"/>
    <n v="0"/>
    <s v="Daily Sales Import"/>
    <n v="-723.35"/>
    <n v="723.35"/>
    <x v="2"/>
    <s v="2220"/>
    <s v="000"/>
    <x v="7"/>
    <x v="1"/>
  </r>
  <r>
    <d v="2012-05-04T00:00:00"/>
    <s v="018-2230-000"/>
    <s v="Wine Sales"/>
    <n v="57.238999999999997"/>
    <n v="0"/>
    <s v="Daily Sales Import"/>
    <n v="-57.238999999999997"/>
    <n v="57.238999999999997"/>
    <x v="2"/>
    <s v="2230"/>
    <s v="000"/>
    <x v="7"/>
    <x v="1"/>
  </r>
  <r>
    <d v="2012-05-05T00:00:00"/>
    <s v="018-2100-000"/>
    <s v="Food Sales"/>
    <n v="17787.863499999999"/>
    <n v="0"/>
    <s v="Daily Sales Import"/>
    <n v="-17787.863499999999"/>
    <n v="17787.863499999999"/>
    <x v="2"/>
    <s v="2100"/>
    <s v="000"/>
    <x v="7"/>
    <x v="1"/>
  </r>
  <r>
    <d v="2012-05-05T00:00:00"/>
    <s v="018-2210-000"/>
    <s v="Liquor Sales"/>
    <n v="9979.42"/>
    <n v="0"/>
    <s v="Daily Sales Import"/>
    <n v="-9979.42"/>
    <n v="9979.42"/>
    <x v="2"/>
    <s v="2210"/>
    <s v="000"/>
    <x v="7"/>
    <x v="1"/>
  </r>
  <r>
    <d v="2012-05-05T00:00:00"/>
    <s v="018-2220-000"/>
    <s v="Beer Sales"/>
    <n v="2729.4"/>
    <n v="0"/>
    <s v="Daily Sales Import"/>
    <n v="-2729.4"/>
    <n v="2729.4"/>
    <x v="2"/>
    <s v="2220"/>
    <s v="000"/>
    <x v="7"/>
    <x v="1"/>
  </r>
  <r>
    <d v="2012-05-05T00:00:00"/>
    <s v="018-2230-000"/>
    <s v="Wine Sales"/>
    <n v="103.4"/>
    <n v="0"/>
    <s v="Daily Sales Import"/>
    <n v="-103.4"/>
    <n v="103.4"/>
    <x v="2"/>
    <s v="2230"/>
    <s v="000"/>
    <x v="7"/>
    <x v="1"/>
  </r>
  <r>
    <d v="2012-05-06T00:00:00"/>
    <s v="018-2100-000"/>
    <s v="Food Sales"/>
    <n v="9620.6594999999998"/>
    <n v="0"/>
    <s v="Daily Sales Import"/>
    <n v="-9620.6594999999998"/>
    <n v="9620.6594999999998"/>
    <x v="2"/>
    <s v="2100"/>
    <s v="000"/>
    <x v="7"/>
    <x v="1"/>
  </r>
  <r>
    <d v="2012-05-06T00:00:00"/>
    <s v="018-2210-000"/>
    <s v="Liquor Sales"/>
    <n v="1860.3374999999999"/>
    <n v="0"/>
    <s v="Daily Sales Import"/>
    <n v="-1860.3374999999999"/>
    <n v="1860.3374999999999"/>
    <x v="2"/>
    <s v="2210"/>
    <s v="000"/>
    <x v="7"/>
    <x v="1"/>
  </r>
  <r>
    <d v="2012-05-06T00:00:00"/>
    <s v="018-2220-000"/>
    <s v="Beer Sales"/>
    <n v="372.74400000000003"/>
    <n v="0"/>
    <s v="Daily Sales Import"/>
    <n v="-372.74400000000003"/>
    <n v="372.74400000000003"/>
    <x v="2"/>
    <s v="2220"/>
    <s v="000"/>
    <x v="7"/>
    <x v="1"/>
  </r>
  <r>
    <d v="2012-05-06T00:00:00"/>
    <s v="018-2230-000"/>
    <s v="Wine Sales"/>
    <n v="56.703000000000003"/>
    <n v="0"/>
    <s v="Daily Sales Import"/>
    <n v="-56.703000000000003"/>
    <n v="56.703000000000003"/>
    <x v="2"/>
    <s v="2230"/>
    <s v="000"/>
    <x v="7"/>
    <x v="1"/>
  </r>
  <r>
    <d v="2012-05-07T00:00:00"/>
    <s v="016-2100-000"/>
    <s v="Food Sales"/>
    <n v="2081.431"/>
    <n v="0"/>
    <s v="Daily Sales Import"/>
    <n v="-2081.431"/>
    <n v="2081.431"/>
    <x v="0"/>
    <s v="2100"/>
    <s v="000"/>
    <x v="7"/>
    <x v="1"/>
  </r>
  <r>
    <d v="2012-05-07T00:00:00"/>
    <s v="016-2210-000"/>
    <s v="Liquor Sales"/>
    <n v="425.28250000000003"/>
    <n v="0"/>
    <s v="Daily Sales Import"/>
    <n v="-425.28250000000003"/>
    <n v="425.28250000000003"/>
    <x v="0"/>
    <s v="2210"/>
    <s v="000"/>
    <x v="7"/>
    <x v="1"/>
  </r>
  <r>
    <d v="2012-05-07T00:00:00"/>
    <s v="016-2220-000"/>
    <s v="Beer Sales"/>
    <n v="133.756"/>
    <n v="0"/>
    <s v="Daily Sales Import"/>
    <n v="-133.756"/>
    <n v="133.756"/>
    <x v="0"/>
    <s v="2220"/>
    <s v="000"/>
    <x v="7"/>
    <x v="1"/>
  </r>
  <r>
    <d v="2012-05-07T00:00:00"/>
    <s v="016-2230-000"/>
    <s v="Wine Sales"/>
    <n v="48.795999999999999"/>
    <n v="0"/>
    <s v="Daily Sales Import"/>
    <n v="-48.795999999999999"/>
    <n v="48.795999999999999"/>
    <x v="0"/>
    <s v="2230"/>
    <s v="000"/>
    <x v="7"/>
    <x v="1"/>
  </r>
  <r>
    <d v="2012-05-08T00:00:00"/>
    <s v="016-2100-000"/>
    <s v="Food Sales"/>
    <n v="3759.4692"/>
    <n v="0"/>
    <s v="Daily Sales Import"/>
    <n v="-3759.4692"/>
    <n v="3759.4692"/>
    <x v="0"/>
    <s v="2100"/>
    <s v="000"/>
    <x v="7"/>
    <x v="1"/>
  </r>
  <r>
    <d v="2012-05-08T00:00:00"/>
    <s v="016-2210-000"/>
    <s v="Liquor Sales"/>
    <n v="1706.2780000000002"/>
    <n v="0"/>
    <s v="Daily Sales Import"/>
    <n v="-1706.2780000000002"/>
    <n v="1706.2780000000002"/>
    <x v="0"/>
    <s v="2210"/>
    <s v="000"/>
    <x v="7"/>
    <x v="1"/>
  </r>
  <r>
    <d v="2012-05-08T00:00:00"/>
    <s v="016-2220-000"/>
    <s v="Beer Sales"/>
    <n v="582.69200000000001"/>
    <n v="0"/>
    <s v="Daily Sales Import"/>
    <n v="-582.69200000000001"/>
    <n v="582.69200000000001"/>
    <x v="0"/>
    <s v="2220"/>
    <s v="000"/>
    <x v="7"/>
    <x v="1"/>
  </r>
  <r>
    <d v="2012-05-08T00:00:00"/>
    <s v="016-2230-000"/>
    <s v="Wine Sales"/>
    <n v="224.29499999999999"/>
    <n v="0"/>
    <s v="Daily Sales Import"/>
    <n v="-224.29499999999999"/>
    <n v="224.29499999999999"/>
    <x v="0"/>
    <s v="2230"/>
    <s v="000"/>
    <x v="7"/>
    <x v="1"/>
  </r>
  <r>
    <d v="2012-05-09T00:00:00"/>
    <s v="016-2100-000"/>
    <s v="Food Sales"/>
    <n v="3668.1236000000004"/>
    <n v="0"/>
    <s v="Daily Sales Import"/>
    <n v="-3668.1236000000004"/>
    <n v="3668.1236000000004"/>
    <x v="0"/>
    <s v="2100"/>
    <s v="000"/>
    <x v="7"/>
    <x v="1"/>
  </r>
  <r>
    <d v="2012-05-09T00:00:00"/>
    <s v="016-2210-000"/>
    <s v="Liquor Sales"/>
    <n v="1014.5555000000001"/>
    <n v="0"/>
    <s v="Daily Sales Import"/>
    <n v="-1014.5555000000001"/>
    <n v="1014.5555000000001"/>
    <x v="0"/>
    <s v="2210"/>
    <s v="000"/>
    <x v="7"/>
    <x v="1"/>
  </r>
  <r>
    <d v="2012-05-09T00:00:00"/>
    <s v="016-2220-000"/>
    <s v="Beer Sales"/>
    <n v="149.32500000000002"/>
    <n v="0"/>
    <s v="Daily Sales Import"/>
    <n v="-149.32500000000002"/>
    <n v="149.32500000000002"/>
    <x v="0"/>
    <s v="2220"/>
    <s v="000"/>
    <x v="7"/>
    <x v="1"/>
  </r>
  <r>
    <d v="2012-05-09T00:00:00"/>
    <s v="016-2230-000"/>
    <s v="Wine Sales"/>
    <n v="48.776000000000003"/>
    <n v="0"/>
    <s v="Daily Sales Import"/>
    <n v="-48.776000000000003"/>
    <n v="48.776000000000003"/>
    <x v="0"/>
    <s v="2230"/>
    <s v="000"/>
    <x v="7"/>
    <x v="1"/>
  </r>
  <r>
    <d v="2012-05-10T00:00:00"/>
    <s v="016-2100-000"/>
    <s v="Food Sales"/>
    <n v="1955.7505000000001"/>
    <n v="0"/>
    <s v="Daily Sales Import"/>
    <n v="-1955.7505000000001"/>
    <n v="1955.7505000000001"/>
    <x v="0"/>
    <s v="2100"/>
    <s v="000"/>
    <x v="7"/>
    <x v="1"/>
  </r>
  <r>
    <d v="2012-05-10T00:00:00"/>
    <s v="016-2210-000"/>
    <s v="Liquor Sales"/>
    <n v="684.45400000000006"/>
    <n v="0"/>
    <s v="Daily Sales Import"/>
    <n v="-684.45400000000006"/>
    <n v="684.45400000000006"/>
    <x v="0"/>
    <s v="2210"/>
    <s v="000"/>
    <x v="7"/>
    <x v="1"/>
  </r>
  <r>
    <d v="2012-05-10T00:00:00"/>
    <s v="016-2220-000"/>
    <s v="Beer Sales"/>
    <n v="125.03999999999999"/>
    <n v="0"/>
    <s v="Daily Sales Import"/>
    <n v="-125.03999999999999"/>
    <n v="125.03999999999999"/>
    <x v="0"/>
    <s v="2220"/>
    <s v="000"/>
    <x v="7"/>
    <x v="1"/>
  </r>
  <r>
    <d v="2012-05-10T00:00:00"/>
    <s v="016-2230-000"/>
    <s v="Wine Sales"/>
    <n v="117.53400000000001"/>
    <n v="0"/>
    <s v="Daily Sales Import"/>
    <n v="-117.53400000000001"/>
    <n v="117.53400000000001"/>
    <x v="0"/>
    <s v="2230"/>
    <s v="000"/>
    <x v="7"/>
    <x v="1"/>
  </r>
  <r>
    <d v="2012-05-11T00:00:00"/>
    <s v="016-2100-000"/>
    <s v="Food Sales"/>
    <n v="6892.8696"/>
    <n v="0"/>
    <s v="Daily Sales Import"/>
    <n v="-6892.8696"/>
    <n v="6892.8696"/>
    <x v="0"/>
    <s v="2100"/>
    <s v="000"/>
    <x v="7"/>
    <x v="1"/>
  </r>
  <r>
    <d v="2012-05-11T00:00:00"/>
    <s v="016-2210-000"/>
    <s v="Liquor Sales"/>
    <n v="1896.2684999999999"/>
    <n v="0"/>
    <s v="Daily Sales Import"/>
    <n v="-1896.2684999999999"/>
    <n v="1896.2684999999999"/>
    <x v="0"/>
    <s v="2210"/>
    <s v="000"/>
    <x v="7"/>
    <x v="1"/>
  </r>
  <r>
    <d v="2012-05-11T00:00:00"/>
    <s v="016-2220-000"/>
    <s v="Beer Sales"/>
    <n v="467.52850000000001"/>
    <n v="0"/>
    <s v="Daily Sales Import"/>
    <n v="-467.52850000000001"/>
    <n v="467.52850000000001"/>
    <x v="0"/>
    <s v="2220"/>
    <s v="000"/>
    <x v="7"/>
    <x v="1"/>
  </r>
  <r>
    <d v="2012-05-11T00:00:00"/>
    <s v="016-2230-000"/>
    <s v="Wine Sales"/>
    <n v="192.83000000000004"/>
    <n v="0"/>
    <s v="Daily Sales Import"/>
    <n v="-192.83000000000004"/>
    <n v="192.83000000000004"/>
    <x v="0"/>
    <s v="2230"/>
    <s v="000"/>
    <x v="7"/>
    <x v="1"/>
  </r>
  <r>
    <d v="2012-05-12T00:00:00"/>
    <s v="016-2100-000"/>
    <s v="Food Sales"/>
    <n v="7691.8336000000008"/>
    <n v="0"/>
    <s v="Daily Sales Import"/>
    <n v="-7691.8336000000008"/>
    <n v="7691.8336000000008"/>
    <x v="0"/>
    <s v="2100"/>
    <s v="000"/>
    <x v="7"/>
    <x v="1"/>
  </r>
  <r>
    <d v="2012-05-12T00:00:00"/>
    <s v="016-2210-000"/>
    <s v="Liquor Sales"/>
    <n v="1800.2024999999999"/>
    <n v="0"/>
    <s v="Daily Sales Import"/>
    <n v="-1800.2024999999999"/>
    <n v="1800.2024999999999"/>
    <x v="0"/>
    <s v="2210"/>
    <s v="000"/>
    <x v="7"/>
    <x v="1"/>
  </r>
  <r>
    <d v="2012-05-12T00:00:00"/>
    <s v="016-2220-000"/>
    <s v="Beer Sales"/>
    <n v="462.70399999999995"/>
    <n v="0"/>
    <s v="Daily Sales Import"/>
    <n v="-462.70399999999995"/>
    <n v="462.70399999999995"/>
    <x v="0"/>
    <s v="2220"/>
    <s v="000"/>
    <x v="7"/>
    <x v="1"/>
  </r>
  <r>
    <d v="2012-05-12T00:00:00"/>
    <s v="016-2230-000"/>
    <s v="Wine Sales"/>
    <n v="195.48"/>
    <n v="0"/>
    <s v="Daily Sales Import"/>
    <n v="-195.48"/>
    <n v="195.48"/>
    <x v="0"/>
    <s v="2230"/>
    <s v="000"/>
    <x v="7"/>
    <x v="1"/>
  </r>
  <r>
    <d v="2012-05-13T00:00:00"/>
    <s v="016-2100-000"/>
    <s v="Food Sales"/>
    <n v="9024.6607999999997"/>
    <n v="0"/>
    <s v="Daily Sales Import"/>
    <n v="-9024.6607999999997"/>
    <n v="9024.6607999999997"/>
    <x v="0"/>
    <s v="2100"/>
    <s v="000"/>
    <x v="7"/>
    <x v="1"/>
  </r>
  <r>
    <d v="2012-05-13T00:00:00"/>
    <s v="016-2210-000"/>
    <s v="Liquor Sales"/>
    <n v="1738.3740000000003"/>
    <n v="0"/>
    <s v="Daily Sales Import"/>
    <n v="-1738.3740000000003"/>
    <n v="1738.3740000000003"/>
    <x v="0"/>
    <s v="2210"/>
    <s v="000"/>
    <x v="7"/>
    <x v="1"/>
  </r>
  <r>
    <d v="2012-05-13T00:00:00"/>
    <s v="016-2220-000"/>
    <s v="Beer Sales"/>
    <n v="232.8"/>
    <n v="0"/>
    <s v="Daily Sales Import"/>
    <n v="-232.8"/>
    <n v="232.8"/>
    <x v="0"/>
    <s v="2220"/>
    <s v="000"/>
    <x v="7"/>
    <x v="1"/>
  </r>
  <r>
    <d v="2012-05-13T00:00:00"/>
    <s v="016-2230-000"/>
    <s v="Wine Sales"/>
    <n v="198.74349999999998"/>
    <n v="0"/>
    <s v="Daily Sales Import"/>
    <n v="-198.74349999999998"/>
    <n v="198.74349999999998"/>
    <x v="0"/>
    <s v="2230"/>
    <s v="000"/>
    <x v="7"/>
    <x v="1"/>
  </r>
  <r>
    <d v="2012-05-07T00:00:00"/>
    <s v="017-2100-000"/>
    <s v="Food Sales"/>
    <n v="4125.8564999999999"/>
    <n v="0"/>
    <s v="Daily Sales Import"/>
    <n v="-4125.8564999999999"/>
    <n v="4125.8564999999999"/>
    <x v="1"/>
    <s v="2100"/>
    <s v="000"/>
    <x v="7"/>
    <x v="1"/>
  </r>
  <r>
    <d v="2012-05-07T00:00:00"/>
    <s v="017-2210-000"/>
    <s v="Liquor Sales"/>
    <n v="938.44799999999998"/>
    <n v="0"/>
    <s v="Daily Sales Import"/>
    <n v="-938.44799999999998"/>
    <n v="938.44799999999998"/>
    <x v="1"/>
    <s v="2210"/>
    <s v="000"/>
    <x v="7"/>
    <x v="1"/>
  </r>
  <r>
    <d v="2012-05-07T00:00:00"/>
    <s v="017-2220-000"/>
    <s v="Beer Sales"/>
    <n v="242.74250000000001"/>
    <n v="0"/>
    <s v="Daily Sales Import"/>
    <n v="-242.74250000000001"/>
    <n v="242.74250000000001"/>
    <x v="1"/>
    <s v="2220"/>
    <s v="000"/>
    <x v="7"/>
    <x v="1"/>
  </r>
  <r>
    <d v="2012-05-07T00:00:00"/>
    <s v="017-2230-000"/>
    <s v="Wine Sales"/>
    <n v="60.23899999999999"/>
    <n v="0"/>
    <s v="Daily Sales Import"/>
    <n v="-60.23899999999999"/>
    <n v="60.23899999999999"/>
    <x v="1"/>
    <s v="2230"/>
    <s v="000"/>
    <x v="7"/>
    <x v="1"/>
  </r>
  <r>
    <d v="2012-05-08T00:00:00"/>
    <s v="017-2100-000"/>
    <s v="Food Sales"/>
    <n v="4784.2860000000001"/>
    <n v="0"/>
    <s v="Daily Sales Import"/>
    <n v="-4784.2860000000001"/>
    <n v="4784.2860000000001"/>
    <x v="1"/>
    <s v="2100"/>
    <s v="000"/>
    <x v="7"/>
    <x v="1"/>
  </r>
  <r>
    <d v="2012-05-08T00:00:00"/>
    <s v="017-2210-000"/>
    <s v="Liquor Sales"/>
    <n v="1044.7996000000001"/>
    <n v="0"/>
    <s v="Daily Sales Import"/>
    <n v="-1044.7996000000001"/>
    <n v="1044.7996000000001"/>
    <x v="1"/>
    <s v="2210"/>
    <s v="000"/>
    <x v="7"/>
    <x v="1"/>
  </r>
  <r>
    <d v="2012-05-08T00:00:00"/>
    <s v="017-2220-000"/>
    <s v="Beer Sales"/>
    <n v="415.6"/>
    <n v="0"/>
    <s v="Daily Sales Import"/>
    <n v="-415.6"/>
    <n v="415.6"/>
    <x v="1"/>
    <s v="2220"/>
    <s v="000"/>
    <x v="7"/>
    <x v="1"/>
  </r>
  <r>
    <d v="2012-05-08T00:00:00"/>
    <s v="017-2230-000"/>
    <s v="Wine Sales"/>
    <n v="58.326500000000003"/>
    <n v="0"/>
    <s v="Daily Sales Import"/>
    <n v="-58.326500000000003"/>
    <n v="58.326500000000003"/>
    <x v="1"/>
    <s v="2230"/>
    <s v="000"/>
    <x v="7"/>
    <x v="1"/>
  </r>
  <r>
    <d v="2012-05-09T00:00:00"/>
    <s v="017-2100-000"/>
    <s v="Food Sales"/>
    <n v="4959.9279999999999"/>
    <n v="0"/>
    <s v="Daily Sales Import"/>
    <n v="-4959.9279999999999"/>
    <n v="4959.9279999999999"/>
    <x v="1"/>
    <s v="2100"/>
    <s v="000"/>
    <x v="7"/>
    <x v="1"/>
  </r>
  <r>
    <d v="2012-05-09T00:00:00"/>
    <s v="017-2210-000"/>
    <s v="Liquor Sales"/>
    <n v="1985.5069999999998"/>
    <n v="0"/>
    <s v="Daily Sales Import"/>
    <n v="-1985.5069999999998"/>
    <n v="1985.5069999999998"/>
    <x v="1"/>
    <s v="2210"/>
    <s v="000"/>
    <x v="7"/>
    <x v="1"/>
  </r>
  <r>
    <d v="2012-05-09T00:00:00"/>
    <s v="017-2220-000"/>
    <s v="Beer Sales"/>
    <n v="341.44749999999999"/>
    <n v="0"/>
    <s v="Daily Sales Import"/>
    <n v="-341.44749999999999"/>
    <n v="341.44749999999999"/>
    <x v="1"/>
    <s v="2220"/>
    <s v="000"/>
    <x v="7"/>
    <x v="1"/>
  </r>
  <r>
    <d v="2012-05-09T00:00:00"/>
    <s v="017-2230-000"/>
    <s v="Wine Sales"/>
    <n v="79.53"/>
    <n v="0"/>
    <s v="Daily Sales Import"/>
    <n v="-79.53"/>
    <n v="79.53"/>
    <x v="1"/>
    <s v="2230"/>
    <s v="000"/>
    <x v="7"/>
    <x v="1"/>
  </r>
  <r>
    <d v="2012-05-10T00:00:00"/>
    <s v="017-2100-000"/>
    <s v="Food Sales"/>
    <n v="5002.1887999999999"/>
    <n v="0"/>
    <s v="Daily Sales Import"/>
    <n v="-5002.1887999999999"/>
    <n v="5002.1887999999999"/>
    <x v="1"/>
    <s v="2100"/>
    <s v="000"/>
    <x v="7"/>
    <x v="1"/>
  </r>
  <r>
    <d v="2012-05-10T00:00:00"/>
    <s v="017-2210-000"/>
    <s v="Liquor Sales"/>
    <n v="1870.8479999999997"/>
    <n v="0"/>
    <s v="Daily Sales Import"/>
    <n v="-1870.8479999999997"/>
    <n v="1870.8479999999997"/>
    <x v="1"/>
    <s v="2210"/>
    <s v="000"/>
    <x v="7"/>
    <x v="1"/>
  </r>
  <r>
    <d v="2012-05-10T00:00:00"/>
    <s v="017-2220-000"/>
    <s v="Beer Sales"/>
    <n v="740.92500000000007"/>
    <n v="0"/>
    <s v="Daily Sales Import"/>
    <n v="-740.92500000000007"/>
    <n v="740.92500000000007"/>
    <x v="1"/>
    <s v="2220"/>
    <s v="000"/>
    <x v="7"/>
    <x v="1"/>
  </r>
  <r>
    <d v="2012-05-10T00:00:00"/>
    <s v="017-2230-000"/>
    <s v="Wine Sales"/>
    <n v="92.63"/>
    <n v="0"/>
    <s v="Daily Sales Import"/>
    <n v="-92.63"/>
    <n v="92.63"/>
    <x v="1"/>
    <s v="2230"/>
    <s v="000"/>
    <x v="7"/>
    <x v="1"/>
  </r>
  <r>
    <d v="2012-05-11T00:00:00"/>
    <s v="017-2100-000"/>
    <s v="Food Sales"/>
    <n v="8098.375"/>
    <n v="0"/>
    <s v="Daily Sales Import"/>
    <n v="-8098.375"/>
    <n v="8098.375"/>
    <x v="1"/>
    <s v="2100"/>
    <s v="000"/>
    <x v="7"/>
    <x v="1"/>
  </r>
  <r>
    <d v="2012-05-11T00:00:00"/>
    <s v="017-2210-000"/>
    <s v="Liquor Sales"/>
    <n v="2091.0484999999999"/>
    <n v="0"/>
    <s v="Daily Sales Import"/>
    <n v="-2091.0484999999999"/>
    <n v="2091.0484999999999"/>
    <x v="1"/>
    <s v="2210"/>
    <s v="000"/>
    <x v="7"/>
    <x v="1"/>
  </r>
  <r>
    <d v="2012-05-11T00:00:00"/>
    <s v="017-2220-000"/>
    <s v="Beer Sales"/>
    <n v="340.62"/>
    <n v="0"/>
    <s v="Daily Sales Import"/>
    <n v="-340.62"/>
    <n v="340.62"/>
    <x v="1"/>
    <s v="2220"/>
    <s v="000"/>
    <x v="7"/>
    <x v="1"/>
  </r>
  <r>
    <d v="2012-05-11T00:00:00"/>
    <s v="017-2230-000"/>
    <s v="Wine Sales"/>
    <n v="148.03700000000001"/>
    <n v="0"/>
    <s v="Daily Sales Import"/>
    <n v="-148.03700000000001"/>
    <n v="148.03700000000001"/>
    <x v="1"/>
    <s v="2230"/>
    <s v="000"/>
    <x v="7"/>
    <x v="1"/>
  </r>
  <r>
    <d v="2012-05-12T00:00:00"/>
    <s v="017-2100-000"/>
    <s v="Food Sales"/>
    <n v="9025.6264999999985"/>
    <n v="0"/>
    <s v="Daily Sales Import"/>
    <n v="-9025.6264999999985"/>
    <n v="9025.6264999999985"/>
    <x v="1"/>
    <s v="2100"/>
    <s v="000"/>
    <x v="7"/>
    <x v="1"/>
  </r>
  <r>
    <d v="2012-05-12T00:00:00"/>
    <s v="017-2210-000"/>
    <s v="Liquor Sales"/>
    <n v="2880.2649999999999"/>
    <n v="0"/>
    <s v="Daily Sales Import"/>
    <n v="-2880.2649999999999"/>
    <n v="2880.2649999999999"/>
    <x v="1"/>
    <s v="2210"/>
    <s v="000"/>
    <x v="7"/>
    <x v="1"/>
  </r>
  <r>
    <d v="2012-05-12T00:00:00"/>
    <s v="017-2220-000"/>
    <s v="Beer Sales"/>
    <n v="421.05"/>
    <n v="0"/>
    <s v="Daily Sales Import"/>
    <n v="-421.05"/>
    <n v="421.05"/>
    <x v="1"/>
    <s v="2220"/>
    <s v="000"/>
    <x v="7"/>
    <x v="1"/>
  </r>
  <r>
    <d v="2012-05-12T00:00:00"/>
    <s v="017-2230-000"/>
    <s v="Wine Sales"/>
    <n v="56.912999999999997"/>
    <n v="0"/>
    <s v="Daily Sales Import"/>
    <n v="-56.912999999999997"/>
    <n v="56.912999999999997"/>
    <x v="1"/>
    <s v="2230"/>
    <s v="000"/>
    <x v="7"/>
    <x v="1"/>
  </r>
  <r>
    <d v="2012-05-13T00:00:00"/>
    <s v="017-2100-000"/>
    <s v="Food Sales"/>
    <n v="8567.6960999999992"/>
    <n v="0"/>
    <s v="Daily Sales Import"/>
    <n v="-8567.6960999999992"/>
    <n v="8567.6960999999992"/>
    <x v="1"/>
    <s v="2100"/>
    <s v="000"/>
    <x v="7"/>
    <x v="1"/>
  </r>
  <r>
    <d v="2012-05-13T00:00:00"/>
    <s v="017-2210-000"/>
    <s v="Liquor Sales"/>
    <n v="1091.231"/>
    <n v="0"/>
    <s v="Daily Sales Import"/>
    <n v="-1091.231"/>
    <n v="1091.231"/>
    <x v="1"/>
    <s v="2210"/>
    <s v="000"/>
    <x v="7"/>
    <x v="1"/>
  </r>
  <r>
    <d v="2012-05-13T00:00:00"/>
    <s v="017-2220-000"/>
    <s v="Beer Sales"/>
    <n v="289.52499999999998"/>
    <n v="0"/>
    <s v="Daily Sales Import"/>
    <n v="-289.52499999999998"/>
    <n v="289.52499999999998"/>
    <x v="1"/>
    <s v="2220"/>
    <s v="000"/>
    <x v="7"/>
    <x v="1"/>
  </r>
  <r>
    <d v="2012-05-13T00:00:00"/>
    <s v="017-2230-000"/>
    <s v="Wine Sales"/>
    <n v="110.05800000000001"/>
    <n v="0"/>
    <s v="Daily Sales Import"/>
    <n v="-110.05800000000001"/>
    <n v="110.05800000000001"/>
    <x v="1"/>
    <s v="2230"/>
    <s v="000"/>
    <x v="7"/>
    <x v="1"/>
  </r>
  <r>
    <d v="2012-05-07T00:00:00"/>
    <s v="018-2100-000"/>
    <s v="Food Sales"/>
    <n v="2580.3354999999997"/>
    <n v="0"/>
    <s v="Daily Sales Import"/>
    <n v="-2580.3354999999997"/>
    <n v="2580.3354999999997"/>
    <x v="2"/>
    <s v="2100"/>
    <s v="000"/>
    <x v="7"/>
    <x v="1"/>
  </r>
  <r>
    <d v="2012-05-07T00:00:00"/>
    <s v="018-2210-000"/>
    <s v="Liquor Sales"/>
    <n v="556.928"/>
    <n v="0"/>
    <s v="Daily Sales Import"/>
    <n v="-556.928"/>
    <n v="556.928"/>
    <x v="2"/>
    <s v="2210"/>
    <s v="000"/>
    <x v="7"/>
    <x v="1"/>
  </r>
  <r>
    <d v="2012-05-07T00:00:00"/>
    <s v="018-2220-000"/>
    <s v="Beer Sales"/>
    <n v="76.554999999999993"/>
    <n v="0"/>
    <s v="Daily Sales Import"/>
    <n v="-76.554999999999993"/>
    <n v="76.554999999999993"/>
    <x v="2"/>
    <s v="2220"/>
    <s v="000"/>
    <x v="7"/>
    <x v="1"/>
  </r>
  <r>
    <d v="2012-05-07T00:00:00"/>
    <s v="018-2230-000"/>
    <s v="Wine Sales"/>
    <n v="32.912999999999997"/>
    <n v="0"/>
    <s v="Daily Sales Import"/>
    <n v="-32.912999999999997"/>
    <n v="32.912999999999997"/>
    <x v="2"/>
    <s v="2230"/>
    <s v="000"/>
    <x v="7"/>
    <x v="1"/>
  </r>
  <r>
    <d v="2012-05-08T00:00:00"/>
    <s v="018-2100-000"/>
    <s v="Food Sales"/>
    <n v="3319.9740000000002"/>
    <n v="0"/>
    <s v="Daily Sales Import"/>
    <n v="-3319.9740000000002"/>
    <n v="3319.9740000000002"/>
    <x v="2"/>
    <s v="2100"/>
    <s v="000"/>
    <x v="7"/>
    <x v="1"/>
  </r>
  <r>
    <d v="2012-05-08T00:00:00"/>
    <s v="018-2210-000"/>
    <s v="Liquor Sales"/>
    <n v="780.22800000000007"/>
    <n v="0"/>
    <s v="Daily Sales Import"/>
    <n v="-780.22800000000007"/>
    <n v="780.22800000000007"/>
    <x v="2"/>
    <s v="2210"/>
    <s v="000"/>
    <x v="7"/>
    <x v="1"/>
  </r>
  <r>
    <d v="2012-05-08T00:00:00"/>
    <s v="018-2220-000"/>
    <s v="Beer Sales"/>
    <n v="67.283000000000001"/>
    <n v="0"/>
    <s v="Daily Sales Import"/>
    <n v="-67.283000000000001"/>
    <n v="67.283000000000001"/>
    <x v="2"/>
    <s v="2220"/>
    <s v="000"/>
    <x v="7"/>
    <x v="1"/>
  </r>
  <r>
    <d v="2012-05-08T00:00:00"/>
    <s v="018-2230-000"/>
    <s v="Wine Sales"/>
    <n v="29.470500000000001"/>
    <n v="0"/>
    <s v="Daily Sales Import"/>
    <n v="-29.470500000000001"/>
    <n v="29.470500000000001"/>
    <x v="2"/>
    <s v="2230"/>
    <s v="000"/>
    <x v="7"/>
    <x v="1"/>
  </r>
  <r>
    <d v="2012-05-09T00:00:00"/>
    <s v="018-2100-000"/>
    <s v="Food Sales"/>
    <n v="2885.2389999999996"/>
    <n v="0"/>
    <s v="Daily Sales Import"/>
    <n v="-2885.2389999999996"/>
    <n v="2885.2389999999996"/>
    <x v="2"/>
    <s v="2100"/>
    <s v="000"/>
    <x v="7"/>
    <x v="1"/>
  </r>
  <r>
    <d v="2012-05-09T00:00:00"/>
    <s v="018-2210-000"/>
    <s v="Liquor Sales"/>
    <n v="638.15700000000004"/>
    <n v="0"/>
    <s v="Daily Sales Import"/>
    <n v="-638.15700000000004"/>
    <n v="638.15700000000004"/>
    <x v="2"/>
    <s v="2210"/>
    <s v="000"/>
    <x v="7"/>
    <x v="1"/>
  </r>
  <r>
    <d v="2012-05-09T00:00:00"/>
    <s v="018-2220-000"/>
    <s v="Beer Sales"/>
    <n v="163.21200000000002"/>
    <n v="0"/>
    <s v="Daily Sales Import"/>
    <n v="-163.21200000000002"/>
    <n v="163.21200000000002"/>
    <x v="2"/>
    <s v="2220"/>
    <s v="000"/>
    <x v="7"/>
    <x v="1"/>
  </r>
  <r>
    <d v="2012-05-09T00:00:00"/>
    <s v="018-2230-000"/>
    <s v="Wine Sales"/>
    <n v="33.336999999999996"/>
    <n v="0"/>
    <s v="Daily Sales Import"/>
    <n v="-33.336999999999996"/>
    <n v="33.336999999999996"/>
    <x v="2"/>
    <s v="2230"/>
    <s v="000"/>
    <x v="7"/>
    <x v="1"/>
  </r>
  <r>
    <d v="2012-05-10T00:00:00"/>
    <s v="018-2100-000"/>
    <s v="Food Sales"/>
    <n v="4645.8959999999997"/>
    <n v="0"/>
    <s v="Daily Sales Import"/>
    <n v="-4645.8959999999997"/>
    <n v="4645.8959999999997"/>
    <x v="2"/>
    <s v="2100"/>
    <s v="000"/>
    <x v="7"/>
    <x v="1"/>
  </r>
  <r>
    <d v="2012-05-10T00:00:00"/>
    <s v="018-2210-000"/>
    <s v="Liquor Sales"/>
    <n v="1388.4359999999999"/>
    <n v="0"/>
    <s v="Daily Sales Import"/>
    <n v="-1388.4359999999999"/>
    <n v="1388.4359999999999"/>
    <x v="2"/>
    <s v="2210"/>
    <s v="000"/>
    <x v="7"/>
    <x v="1"/>
  </r>
  <r>
    <d v="2012-05-10T00:00:00"/>
    <s v="018-2220-000"/>
    <s v="Beer Sales"/>
    <n v="441.61799999999999"/>
    <n v="0"/>
    <s v="Daily Sales Import"/>
    <n v="-441.61799999999999"/>
    <n v="441.61799999999999"/>
    <x v="2"/>
    <s v="2220"/>
    <s v="000"/>
    <x v="7"/>
    <x v="1"/>
  </r>
  <r>
    <d v="2012-05-10T00:00:00"/>
    <s v="018-2230-000"/>
    <s v="Wine Sales"/>
    <n v="39.83"/>
    <n v="0"/>
    <s v="Daily Sales Import"/>
    <n v="-39.83"/>
    <n v="39.83"/>
    <x v="2"/>
    <s v="2230"/>
    <s v="000"/>
    <x v="7"/>
    <x v="1"/>
  </r>
  <r>
    <d v="2012-05-11T00:00:00"/>
    <s v="018-2100-000"/>
    <s v="Food Sales"/>
    <n v="11812.018"/>
    <n v="0"/>
    <s v="Daily Sales Import"/>
    <n v="-11812.018"/>
    <n v="11812.018"/>
    <x v="2"/>
    <s v="2100"/>
    <s v="000"/>
    <x v="7"/>
    <x v="1"/>
  </r>
  <r>
    <d v="2012-05-11T00:00:00"/>
    <s v="018-2210-000"/>
    <s v="Liquor Sales"/>
    <n v="1811.5800000000002"/>
    <n v="0"/>
    <s v="Daily Sales Import"/>
    <n v="-1811.5800000000002"/>
    <n v="1811.5800000000002"/>
    <x v="2"/>
    <s v="2210"/>
    <s v="000"/>
    <x v="7"/>
    <x v="1"/>
  </r>
  <r>
    <d v="2012-05-11T00:00:00"/>
    <s v="018-2220-000"/>
    <s v="Beer Sales"/>
    <n v="434.72399999999999"/>
    <n v="0"/>
    <s v="Daily Sales Import"/>
    <n v="-434.72399999999999"/>
    <n v="434.72399999999999"/>
    <x v="2"/>
    <s v="2220"/>
    <s v="000"/>
    <x v="7"/>
    <x v="1"/>
  </r>
  <r>
    <d v="2012-05-11T00:00:00"/>
    <s v="018-2230-000"/>
    <s v="Wine Sales"/>
    <n v="62.329500000000003"/>
    <n v="0"/>
    <s v="Daily Sales Import"/>
    <n v="-62.329500000000003"/>
    <n v="62.329500000000003"/>
    <x v="2"/>
    <s v="2230"/>
    <s v="000"/>
    <x v="7"/>
    <x v="1"/>
  </r>
  <r>
    <d v="2012-05-12T00:00:00"/>
    <s v="018-2100-000"/>
    <s v="Food Sales"/>
    <n v="15495.269999999999"/>
    <n v="0"/>
    <s v="Daily Sales Import"/>
    <n v="-15495.269999999999"/>
    <n v="15495.269999999999"/>
    <x v="2"/>
    <s v="2100"/>
    <s v="000"/>
    <x v="7"/>
    <x v="1"/>
  </r>
  <r>
    <d v="2012-05-12T00:00:00"/>
    <s v="018-2210-000"/>
    <s v="Liquor Sales"/>
    <n v="3034.71"/>
    <n v="0"/>
    <s v="Daily Sales Import"/>
    <n v="-3034.71"/>
    <n v="3034.71"/>
    <x v="2"/>
    <s v="2210"/>
    <s v="000"/>
    <x v="7"/>
    <x v="1"/>
  </r>
  <r>
    <d v="2012-05-12T00:00:00"/>
    <s v="018-2220-000"/>
    <s v="Beer Sales"/>
    <n v="817.59149999999988"/>
    <n v="0"/>
    <s v="Daily Sales Import"/>
    <n v="-817.59149999999988"/>
    <n v="817.59149999999988"/>
    <x v="2"/>
    <s v="2220"/>
    <s v="000"/>
    <x v="7"/>
    <x v="1"/>
  </r>
  <r>
    <d v="2012-05-12T00:00:00"/>
    <s v="018-2230-000"/>
    <s v="Wine Sales"/>
    <n v="165.79400000000001"/>
    <n v="0"/>
    <s v="Daily Sales Import"/>
    <n v="-165.79400000000001"/>
    <n v="165.79400000000001"/>
    <x v="2"/>
    <s v="2230"/>
    <s v="000"/>
    <x v="7"/>
    <x v="1"/>
  </r>
  <r>
    <d v="2012-05-13T00:00:00"/>
    <s v="018-2100-000"/>
    <s v="Food Sales"/>
    <n v="18630.076000000001"/>
    <n v="0"/>
    <s v="Daily Sales Import"/>
    <n v="-18630.076000000001"/>
    <n v="18630.076000000001"/>
    <x v="2"/>
    <s v="2100"/>
    <s v="000"/>
    <x v="7"/>
    <x v="1"/>
  </r>
  <r>
    <d v="2012-05-13T00:00:00"/>
    <s v="018-2210-000"/>
    <s v="Liquor Sales"/>
    <n v="3509.0429999999997"/>
    <n v="0"/>
    <s v="Daily Sales Import"/>
    <n v="-3509.0429999999997"/>
    <n v="3509.0429999999997"/>
    <x v="2"/>
    <s v="2210"/>
    <s v="000"/>
    <x v="7"/>
    <x v="1"/>
  </r>
  <r>
    <d v="2012-05-13T00:00:00"/>
    <s v="018-2220-000"/>
    <s v="Beer Sales"/>
    <n v="925.53749999999991"/>
    <n v="0"/>
    <s v="Daily Sales Import"/>
    <n v="-925.53749999999991"/>
    <n v="925.53749999999991"/>
    <x v="2"/>
    <s v="2220"/>
    <s v="000"/>
    <x v="7"/>
    <x v="1"/>
  </r>
  <r>
    <d v="2012-05-13T00:00:00"/>
    <s v="018-2230-000"/>
    <s v="Wine Sales"/>
    <n v="237.58749999999998"/>
    <n v="0"/>
    <s v="Daily Sales Import"/>
    <n v="-237.58749999999998"/>
    <n v="237.58749999999998"/>
    <x v="2"/>
    <s v="2230"/>
    <s v="000"/>
    <x v="7"/>
    <x v="1"/>
  </r>
  <r>
    <d v="2012-05-14T00:00:00"/>
    <s v="016-2100-000"/>
    <s v="Food Sales"/>
    <n v="1576.2740000000001"/>
    <n v="0"/>
    <s v="Daily Sales Import"/>
    <n v="-1576.2740000000001"/>
    <n v="1576.2740000000001"/>
    <x v="0"/>
    <s v="2100"/>
    <s v="000"/>
    <x v="7"/>
    <x v="1"/>
  </r>
  <r>
    <d v="2012-05-14T00:00:00"/>
    <s v="016-2210-000"/>
    <s v="Liquor Sales"/>
    <n v="260.01689999999996"/>
    <n v="0"/>
    <s v="Daily Sales Import"/>
    <n v="-260.01689999999996"/>
    <n v="260.01689999999996"/>
    <x v="0"/>
    <s v="2210"/>
    <s v="000"/>
    <x v="7"/>
    <x v="1"/>
  </r>
  <r>
    <d v="2012-05-14T00:00:00"/>
    <s v="016-2220-000"/>
    <s v="Beer Sales"/>
    <n v="21.456"/>
    <n v="0"/>
    <s v="Daily Sales Import"/>
    <n v="-21.456"/>
    <n v="21.456"/>
    <x v="0"/>
    <s v="2220"/>
    <s v="000"/>
    <x v="7"/>
    <x v="1"/>
  </r>
  <r>
    <d v="2012-05-14T00:00:00"/>
    <s v="016-2230-000"/>
    <s v="Wine Sales"/>
    <n v="22.503999999999998"/>
    <n v="0"/>
    <s v="Daily Sales Import"/>
    <n v="-22.503999999999998"/>
    <n v="22.503999999999998"/>
    <x v="0"/>
    <s v="2230"/>
    <s v="000"/>
    <x v="7"/>
    <x v="1"/>
  </r>
  <r>
    <d v="2012-05-15T00:00:00"/>
    <s v="016-2100-000"/>
    <s v="Food Sales"/>
    <n v="3437.5744"/>
    <n v="0"/>
    <s v="Daily Sales Import"/>
    <n v="-3437.5744"/>
    <n v="3437.5744"/>
    <x v="0"/>
    <s v="2100"/>
    <s v="000"/>
    <x v="7"/>
    <x v="1"/>
  </r>
  <r>
    <d v="2012-05-15T00:00:00"/>
    <s v="016-2210-000"/>
    <s v="Liquor Sales"/>
    <n v="1323.8185000000001"/>
    <n v="0"/>
    <s v="Daily Sales Import"/>
    <n v="-1323.8185000000001"/>
    <n v="1323.8185000000001"/>
    <x v="0"/>
    <s v="2210"/>
    <s v="000"/>
    <x v="7"/>
    <x v="1"/>
  </r>
  <r>
    <d v="2012-05-15T00:00:00"/>
    <s v="016-2220-000"/>
    <s v="Beer Sales"/>
    <n v="327.06"/>
    <n v="0"/>
    <s v="Daily Sales Import"/>
    <n v="-327.06"/>
    <n v="327.06"/>
    <x v="0"/>
    <s v="2220"/>
    <s v="000"/>
    <x v="7"/>
    <x v="1"/>
  </r>
  <r>
    <d v="2012-05-15T00:00:00"/>
    <s v="016-2230-000"/>
    <s v="Wine Sales"/>
    <n v="115.995"/>
    <n v="0"/>
    <s v="Daily Sales Import"/>
    <n v="-115.995"/>
    <n v="115.995"/>
    <x v="0"/>
    <s v="2230"/>
    <s v="000"/>
    <x v="7"/>
    <x v="1"/>
  </r>
  <r>
    <d v="2012-05-16T00:00:00"/>
    <s v="016-2100-000"/>
    <s v="Food Sales"/>
    <n v="2499.5108"/>
    <n v="0"/>
    <s v="Daily Sales Import"/>
    <n v="-2499.5108"/>
    <n v="2499.5108"/>
    <x v="0"/>
    <s v="2100"/>
    <s v="000"/>
    <x v="7"/>
    <x v="1"/>
  </r>
  <r>
    <d v="2012-05-16T00:00:00"/>
    <s v="016-2210-000"/>
    <s v="Liquor Sales"/>
    <n v="783.59400000000005"/>
    <n v="0"/>
    <s v="Daily Sales Import"/>
    <n v="-783.59400000000005"/>
    <n v="783.59400000000005"/>
    <x v="0"/>
    <s v="2210"/>
    <s v="000"/>
    <x v="7"/>
    <x v="1"/>
  </r>
  <r>
    <d v="2012-05-16T00:00:00"/>
    <s v="016-2220-000"/>
    <s v="Beer Sales"/>
    <n v="91.327500000000001"/>
    <n v="0"/>
    <s v="Daily Sales Import"/>
    <n v="-91.327500000000001"/>
    <n v="91.327500000000001"/>
    <x v="0"/>
    <s v="2220"/>
    <s v="000"/>
    <x v="7"/>
    <x v="1"/>
  </r>
  <r>
    <d v="2012-05-16T00:00:00"/>
    <s v="016-2230-000"/>
    <s v="Wine Sales"/>
    <n v="34.448"/>
    <n v="0"/>
    <s v="Daily Sales Import"/>
    <n v="-34.448"/>
    <n v="34.448"/>
    <x v="0"/>
    <s v="2230"/>
    <s v="000"/>
    <x v="7"/>
    <x v="1"/>
  </r>
  <r>
    <d v="2012-05-17T00:00:00"/>
    <s v="016-2100-000"/>
    <s v="Food Sales"/>
    <n v="4031.7164000000002"/>
    <n v="0"/>
    <s v="Daily Sales Import"/>
    <n v="-4031.7164000000002"/>
    <n v="4031.7164000000002"/>
    <x v="0"/>
    <s v="2100"/>
    <s v="000"/>
    <x v="7"/>
    <x v="1"/>
  </r>
  <r>
    <d v="2012-05-17T00:00:00"/>
    <s v="016-2210-000"/>
    <s v="Liquor Sales"/>
    <n v="721.56900000000007"/>
    <n v="0"/>
    <s v="Daily Sales Import"/>
    <n v="-721.56900000000007"/>
    <n v="721.56900000000007"/>
    <x v="0"/>
    <s v="2210"/>
    <s v="000"/>
    <x v="7"/>
    <x v="1"/>
  </r>
  <r>
    <d v="2012-05-17T00:00:00"/>
    <s v="016-2220-000"/>
    <s v="Beer Sales"/>
    <n v="212.49350000000001"/>
    <n v="0"/>
    <s v="Daily Sales Import"/>
    <n v="-212.49350000000001"/>
    <n v="212.49350000000001"/>
    <x v="0"/>
    <s v="2220"/>
    <s v="000"/>
    <x v="7"/>
    <x v="1"/>
  </r>
  <r>
    <d v="2012-05-17T00:00:00"/>
    <s v="016-2230-000"/>
    <s v="Wine Sales"/>
    <n v="28.784000000000002"/>
    <n v="0"/>
    <s v="Daily Sales Import"/>
    <n v="-28.784000000000002"/>
    <n v="28.784000000000002"/>
    <x v="0"/>
    <s v="2230"/>
    <s v="000"/>
    <x v="7"/>
    <x v="1"/>
  </r>
  <r>
    <d v="2012-05-18T00:00:00"/>
    <s v="016-2100-000"/>
    <s v="Food Sales"/>
    <n v="9340.2574999999997"/>
    <n v="0"/>
    <s v="Daily Sales Import"/>
    <n v="-9340.2574999999997"/>
    <n v="9340.2574999999997"/>
    <x v="0"/>
    <s v="2100"/>
    <s v="000"/>
    <x v="7"/>
    <x v="1"/>
  </r>
  <r>
    <d v="2012-05-18T00:00:00"/>
    <s v="016-2210-000"/>
    <s v="Liquor Sales"/>
    <n v="1583.501"/>
    <n v="0"/>
    <s v="Daily Sales Import"/>
    <n v="-1583.501"/>
    <n v="1583.501"/>
    <x v="0"/>
    <s v="2210"/>
    <s v="000"/>
    <x v="7"/>
    <x v="1"/>
  </r>
  <r>
    <d v="2012-05-18T00:00:00"/>
    <s v="016-2220-000"/>
    <s v="Beer Sales"/>
    <n v="439.65100000000001"/>
    <n v="0"/>
    <s v="Daily Sales Import"/>
    <n v="-439.65100000000001"/>
    <n v="439.65100000000001"/>
    <x v="0"/>
    <s v="2220"/>
    <s v="000"/>
    <x v="7"/>
    <x v="1"/>
  </r>
  <r>
    <d v="2012-05-18T00:00:00"/>
    <s v="016-2230-000"/>
    <s v="Wine Sales"/>
    <n v="253.20600000000005"/>
    <n v="0"/>
    <s v="Daily Sales Import"/>
    <n v="-253.20600000000005"/>
    <n v="253.20600000000005"/>
    <x v="0"/>
    <s v="2230"/>
    <s v="000"/>
    <x v="7"/>
    <x v="1"/>
  </r>
  <r>
    <d v="2012-05-19T00:00:00"/>
    <s v="016-2100-000"/>
    <s v="Food Sales"/>
    <n v="6479.5059000000001"/>
    <n v="0"/>
    <s v="Daily Sales Import"/>
    <n v="-6479.5059000000001"/>
    <n v="6479.5059000000001"/>
    <x v="0"/>
    <s v="2100"/>
    <s v="000"/>
    <x v="7"/>
    <x v="1"/>
  </r>
  <r>
    <d v="2012-05-19T00:00:00"/>
    <s v="016-2210-000"/>
    <s v="Liquor Sales"/>
    <n v="1852.3176000000001"/>
    <n v="0"/>
    <s v="Daily Sales Import"/>
    <n v="-1852.3176000000001"/>
    <n v="1852.3176000000001"/>
    <x v="0"/>
    <s v="2210"/>
    <s v="000"/>
    <x v="7"/>
    <x v="1"/>
  </r>
  <r>
    <d v="2012-05-19T00:00:00"/>
    <s v="016-2220-000"/>
    <s v="Beer Sales"/>
    <n v="617.42399999999998"/>
    <n v="0"/>
    <s v="Daily Sales Import"/>
    <n v="-617.42399999999998"/>
    <n v="617.42399999999998"/>
    <x v="0"/>
    <s v="2220"/>
    <s v="000"/>
    <x v="7"/>
    <x v="1"/>
  </r>
  <r>
    <d v="2012-05-19T00:00:00"/>
    <s v="016-2230-000"/>
    <s v="Wine Sales"/>
    <n v="186.58799999999999"/>
    <n v="0"/>
    <s v="Daily Sales Import"/>
    <n v="-186.58799999999999"/>
    <n v="186.58799999999999"/>
    <x v="0"/>
    <s v="2230"/>
    <s v="000"/>
    <x v="7"/>
    <x v="1"/>
  </r>
  <r>
    <d v="2012-05-20T00:00:00"/>
    <s v="016-2100-000"/>
    <s v="Food Sales"/>
    <n v="4419.6779999999999"/>
    <n v="0"/>
    <s v="Daily Sales Import"/>
    <n v="-4419.6779999999999"/>
    <n v="4419.6779999999999"/>
    <x v="0"/>
    <s v="2100"/>
    <s v="000"/>
    <x v="7"/>
    <x v="1"/>
  </r>
  <r>
    <d v="2012-05-20T00:00:00"/>
    <s v="016-2210-000"/>
    <s v="Liquor Sales"/>
    <n v="1509.8951999999999"/>
    <n v="0"/>
    <s v="Daily Sales Import"/>
    <n v="-1509.8951999999999"/>
    <n v="1509.8951999999999"/>
    <x v="0"/>
    <s v="2210"/>
    <s v="000"/>
    <x v="7"/>
    <x v="1"/>
  </r>
  <r>
    <d v="2012-05-20T00:00:00"/>
    <s v="016-2220-000"/>
    <s v="Beer Sales"/>
    <n v="160.358"/>
    <n v="0"/>
    <s v="Daily Sales Import"/>
    <n v="-160.358"/>
    <n v="160.358"/>
    <x v="0"/>
    <s v="2220"/>
    <s v="000"/>
    <x v="7"/>
    <x v="1"/>
  </r>
  <r>
    <d v="2012-05-20T00:00:00"/>
    <s v="016-2230-000"/>
    <s v="Wine Sales"/>
    <n v="181.6755"/>
    <n v="0"/>
    <s v="Daily Sales Import"/>
    <n v="-181.6755"/>
    <n v="181.6755"/>
    <x v="0"/>
    <s v="2230"/>
    <s v="000"/>
    <x v="7"/>
    <x v="1"/>
  </r>
  <r>
    <d v="2012-05-14T00:00:00"/>
    <s v="017-2100-000"/>
    <s v="Food Sales"/>
    <n v="5543.4708000000001"/>
    <n v="0"/>
    <s v="Daily Sales Import"/>
    <n v="-5543.4708000000001"/>
    <n v="5543.4708000000001"/>
    <x v="1"/>
    <s v="2100"/>
    <s v="000"/>
    <x v="7"/>
    <x v="1"/>
  </r>
  <r>
    <d v="2012-05-14T00:00:00"/>
    <s v="017-2210-000"/>
    <s v="Liquor Sales"/>
    <n v="1610.3815000000002"/>
    <n v="0"/>
    <s v="Daily Sales Import"/>
    <n v="-1610.3815000000002"/>
    <n v="1610.3815000000002"/>
    <x v="1"/>
    <s v="2210"/>
    <s v="000"/>
    <x v="7"/>
    <x v="1"/>
  </r>
  <r>
    <d v="2012-05-14T00:00:00"/>
    <s v="017-2220-000"/>
    <s v="Beer Sales"/>
    <n v="500.76"/>
    <n v="0"/>
    <s v="Daily Sales Import"/>
    <n v="-500.76"/>
    <n v="500.76"/>
    <x v="1"/>
    <s v="2220"/>
    <s v="000"/>
    <x v="7"/>
    <x v="1"/>
  </r>
  <r>
    <d v="2012-05-14T00:00:00"/>
    <s v="017-2230-000"/>
    <s v="Wine Sales"/>
    <n v="66.412500000000009"/>
    <n v="0"/>
    <s v="Daily Sales Import"/>
    <n v="-66.412500000000009"/>
    <n v="66.412500000000009"/>
    <x v="1"/>
    <s v="2230"/>
    <s v="000"/>
    <x v="7"/>
    <x v="1"/>
  </r>
  <r>
    <d v="2012-05-15T00:00:00"/>
    <s v="017-2100-000"/>
    <s v="Food Sales"/>
    <n v="5552.4314999999997"/>
    <n v="0"/>
    <s v="Daily Sales Import"/>
    <n v="-5552.4314999999997"/>
    <n v="5552.4314999999997"/>
    <x v="1"/>
    <s v="2100"/>
    <s v="000"/>
    <x v="7"/>
    <x v="1"/>
  </r>
  <r>
    <d v="2012-05-15T00:00:00"/>
    <s v="017-2210-000"/>
    <s v="Liquor Sales"/>
    <n v="1531.7655"/>
    <n v="0"/>
    <s v="Daily Sales Import"/>
    <n v="-1531.7655"/>
    <n v="1531.7655"/>
    <x v="1"/>
    <s v="2210"/>
    <s v="000"/>
    <x v="7"/>
    <x v="1"/>
  </r>
  <r>
    <d v="2012-05-15T00:00:00"/>
    <s v="017-2220-000"/>
    <s v="Beer Sales"/>
    <n v="320.42499999999995"/>
    <n v="0"/>
    <s v="Daily Sales Import"/>
    <n v="-320.42499999999995"/>
    <n v="320.42499999999995"/>
    <x v="1"/>
    <s v="2220"/>
    <s v="000"/>
    <x v="7"/>
    <x v="1"/>
  </r>
  <r>
    <d v="2012-05-15T00:00:00"/>
    <s v="017-2230-000"/>
    <s v="Wine Sales"/>
    <n v="60.119"/>
    <n v="0"/>
    <s v="Daily Sales Import"/>
    <n v="-60.119"/>
    <n v="60.119"/>
    <x v="1"/>
    <s v="2230"/>
    <s v="000"/>
    <x v="7"/>
    <x v="1"/>
  </r>
  <r>
    <d v="2012-05-16T00:00:00"/>
    <s v="017-2100-000"/>
    <s v="Food Sales"/>
    <n v="6342.2983999999997"/>
    <n v="0"/>
    <s v="Daily Sales Import"/>
    <n v="-6342.2983999999997"/>
    <n v="6342.2983999999997"/>
    <x v="1"/>
    <s v="2100"/>
    <s v="000"/>
    <x v="7"/>
    <x v="1"/>
  </r>
  <r>
    <d v="2012-05-16T00:00:00"/>
    <s v="017-2210-000"/>
    <s v="Liquor Sales"/>
    <n v="2086.7175000000002"/>
    <n v="0"/>
    <s v="Daily Sales Import"/>
    <n v="-2086.7175000000002"/>
    <n v="2086.7175000000002"/>
    <x v="1"/>
    <s v="2210"/>
    <s v="000"/>
    <x v="7"/>
    <x v="1"/>
  </r>
  <r>
    <d v="2012-05-16T00:00:00"/>
    <s v="017-2220-000"/>
    <s v="Beer Sales"/>
    <n v="626.88749999999993"/>
    <n v="0"/>
    <s v="Daily Sales Import"/>
    <n v="-626.88749999999993"/>
    <n v="626.88749999999993"/>
    <x v="1"/>
    <s v="2220"/>
    <s v="000"/>
    <x v="7"/>
    <x v="1"/>
  </r>
  <r>
    <d v="2012-05-16T00:00:00"/>
    <s v="017-2230-000"/>
    <s v="Wine Sales"/>
    <n v="189.83700000000002"/>
    <n v="0"/>
    <s v="Daily Sales Import"/>
    <n v="-189.83700000000002"/>
    <n v="189.83700000000002"/>
    <x v="1"/>
    <s v="2230"/>
    <s v="000"/>
    <x v="7"/>
    <x v="1"/>
  </r>
  <r>
    <d v="2012-05-17T00:00:00"/>
    <s v="017-2100-000"/>
    <s v="Food Sales"/>
    <n v="7150.4706000000006"/>
    <n v="0"/>
    <s v="Daily Sales Import"/>
    <n v="-7150.4706000000006"/>
    <n v="7150.4706000000006"/>
    <x v="1"/>
    <s v="2100"/>
    <s v="000"/>
    <x v="7"/>
    <x v="1"/>
  </r>
  <r>
    <d v="2012-05-17T00:00:00"/>
    <s v="017-2210-000"/>
    <s v="Liquor Sales"/>
    <n v="2545.2220000000002"/>
    <n v="0"/>
    <s v="Daily Sales Import"/>
    <n v="-2545.2220000000002"/>
    <n v="2545.2220000000002"/>
    <x v="1"/>
    <s v="2210"/>
    <s v="000"/>
    <x v="7"/>
    <x v="1"/>
  </r>
  <r>
    <d v="2012-05-17T00:00:00"/>
    <s v="017-2220-000"/>
    <s v="Beer Sales"/>
    <n v="854.20500000000004"/>
    <n v="0"/>
    <s v="Daily Sales Import"/>
    <n v="-854.20500000000004"/>
    <n v="854.20500000000004"/>
    <x v="1"/>
    <s v="2220"/>
    <s v="000"/>
    <x v="7"/>
    <x v="1"/>
  </r>
  <r>
    <d v="2012-05-17T00:00:00"/>
    <s v="017-2230-000"/>
    <s v="Wine Sales"/>
    <n v="99.791999999999987"/>
    <n v="0"/>
    <s v="Daily Sales Import"/>
    <n v="-99.791999999999987"/>
    <n v="99.791999999999987"/>
    <x v="1"/>
    <s v="2230"/>
    <s v="000"/>
    <x v="7"/>
    <x v="1"/>
  </r>
  <r>
    <d v="2012-05-18T00:00:00"/>
    <s v="017-2100-000"/>
    <s v="Food Sales"/>
    <n v="10343.715200000001"/>
    <n v="0"/>
    <s v="Daily Sales Import"/>
    <n v="-10343.715200000001"/>
    <n v="10343.715200000001"/>
    <x v="1"/>
    <s v="2100"/>
    <s v="000"/>
    <x v="7"/>
    <x v="1"/>
  </r>
  <r>
    <d v="2012-05-18T00:00:00"/>
    <s v="017-2210-000"/>
    <s v="Liquor Sales"/>
    <n v="2829.7750000000001"/>
    <n v="0"/>
    <s v="Daily Sales Import"/>
    <n v="-2829.7750000000001"/>
    <n v="2829.7750000000001"/>
    <x v="1"/>
    <s v="2210"/>
    <s v="000"/>
    <x v="7"/>
    <x v="1"/>
  </r>
  <r>
    <d v="2012-05-18T00:00:00"/>
    <s v="017-2220-000"/>
    <s v="Beer Sales"/>
    <n v="615.30999999999995"/>
    <n v="0"/>
    <s v="Daily Sales Import"/>
    <n v="-615.30999999999995"/>
    <n v="615.30999999999995"/>
    <x v="1"/>
    <s v="2220"/>
    <s v="000"/>
    <x v="7"/>
    <x v="1"/>
  </r>
  <r>
    <d v="2012-05-18T00:00:00"/>
    <s v="017-2230-000"/>
    <s v="Wine Sales"/>
    <n v="114.11399999999999"/>
    <n v="0"/>
    <s v="Daily Sales Import"/>
    <n v="-114.11399999999999"/>
    <n v="114.11399999999999"/>
    <x v="1"/>
    <s v="2230"/>
    <s v="000"/>
    <x v="7"/>
    <x v="1"/>
  </r>
  <r>
    <d v="2012-05-19T00:00:00"/>
    <s v="017-2100-000"/>
    <s v="Food Sales"/>
    <n v="10722.375"/>
    <n v="0"/>
    <s v="Daily Sales Import"/>
    <n v="-10722.375"/>
    <n v="10722.375"/>
    <x v="1"/>
    <s v="2100"/>
    <s v="000"/>
    <x v="7"/>
    <x v="1"/>
  </r>
  <r>
    <d v="2012-05-19T00:00:00"/>
    <s v="017-2210-000"/>
    <s v="Liquor Sales"/>
    <n v="1531.5575000000001"/>
    <n v="0"/>
    <s v="Daily Sales Import"/>
    <n v="-1531.5575000000001"/>
    <n v="1531.5575000000001"/>
    <x v="1"/>
    <s v="2210"/>
    <s v="000"/>
    <x v="7"/>
    <x v="1"/>
  </r>
  <r>
    <d v="2012-05-19T00:00:00"/>
    <s v="017-2220-000"/>
    <s v="Beer Sales"/>
    <n v="329.27"/>
    <n v="0"/>
    <s v="Daily Sales Import"/>
    <n v="-329.27"/>
    <n v="329.27"/>
    <x v="1"/>
    <s v="2220"/>
    <s v="000"/>
    <x v="7"/>
    <x v="1"/>
  </r>
  <r>
    <d v="2012-05-19T00:00:00"/>
    <s v="017-2230-000"/>
    <s v="Wine Sales"/>
    <n v="79.981999999999999"/>
    <n v="0"/>
    <s v="Daily Sales Import"/>
    <n v="-79.981999999999999"/>
    <n v="79.981999999999999"/>
    <x v="1"/>
    <s v="2230"/>
    <s v="000"/>
    <x v="7"/>
    <x v="1"/>
  </r>
  <r>
    <d v="2012-05-20T00:00:00"/>
    <s v="017-2100-000"/>
    <s v="Food Sales"/>
    <n v="6057.6470999999992"/>
    <n v="0"/>
    <s v="Daily Sales Import"/>
    <n v="-6057.6470999999992"/>
    <n v="6057.6470999999992"/>
    <x v="1"/>
    <s v="2100"/>
    <s v="000"/>
    <x v="7"/>
    <x v="1"/>
  </r>
  <r>
    <d v="2012-05-20T00:00:00"/>
    <s v="017-2210-000"/>
    <s v="Liquor Sales"/>
    <n v="1366.442"/>
    <n v="0"/>
    <s v="Daily Sales Import"/>
    <n v="-1366.442"/>
    <n v="1366.442"/>
    <x v="1"/>
    <s v="2210"/>
    <s v="000"/>
    <x v="7"/>
    <x v="1"/>
  </r>
  <r>
    <d v="2012-05-20T00:00:00"/>
    <s v="017-2220-000"/>
    <s v="Beer Sales"/>
    <n v="245.245"/>
    <n v="0"/>
    <s v="Daily Sales Import"/>
    <n v="-245.245"/>
    <n v="245.245"/>
    <x v="1"/>
    <s v="2220"/>
    <s v="000"/>
    <x v="7"/>
    <x v="1"/>
  </r>
  <r>
    <d v="2012-05-20T00:00:00"/>
    <s v="017-2230-000"/>
    <s v="Wine Sales"/>
    <n v="53.13"/>
    <n v="0"/>
    <s v="Daily Sales Import"/>
    <n v="-53.13"/>
    <n v="53.13"/>
    <x v="1"/>
    <s v="2230"/>
    <s v="000"/>
    <x v="7"/>
    <x v="1"/>
  </r>
  <r>
    <d v="2012-05-14T00:00:00"/>
    <s v="018-2100-000"/>
    <s v="Food Sales"/>
    <n v="4993.4250000000002"/>
    <n v="0"/>
    <s v="Daily Sales Import"/>
    <n v="-4993.4250000000002"/>
    <n v="4993.4250000000002"/>
    <x v="2"/>
    <s v="2100"/>
    <s v="000"/>
    <x v="7"/>
    <x v="1"/>
  </r>
  <r>
    <d v="2012-05-14T00:00:00"/>
    <s v="018-2210-000"/>
    <s v="Liquor Sales"/>
    <n v="292.75799999999998"/>
    <n v="0"/>
    <s v="Daily Sales Import"/>
    <n v="-292.75799999999998"/>
    <n v="292.75799999999998"/>
    <x v="2"/>
    <s v="2210"/>
    <s v="000"/>
    <x v="7"/>
    <x v="1"/>
  </r>
  <r>
    <d v="2012-05-14T00:00:00"/>
    <s v="018-2220-000"/>
    <s v="Beer Sales"/>
    <n v="242.26800000000003"/>
    <n v="0"/>
    <s v="Daily Sales Import"/>
    <n v="-242.26800000000003"/>
    <n v="242.26800000000003"/>
    <x v="2"/>
    <s v="2220"/>
    <s v="000"/>
    <x v="7"/>
    <x v="1"/>
  </r>
  <r>
    <d v="2012-05-14T00:00:00"/>
    <s v="018-2230-000"/>
    <s v="Wine Sales"/>
    <n v="21.141999999999999"/>
    <n v="0"/>
    <s v="Daily Sales Import"/>
    <n v="-21.141999999999999"/>
    <n v="21.141999999999999"/>
    <x v="2"/>
    <s v="2230"/>
    <s v="000"/>
    <x v="7"/>
    <x v="1"/>
  </r>
  <r>
    <d v="2012-05-15T00:00:00"/>
    <s v="018-2100-000"/>
    <s v="Food Sales"/>
    <n v="4410.7739999999994"/>
    <n v="0"/>
    <s v="Daily Sales Import"/>
    <n v="-4410.7739999999994"/>
    <n v="4410.7739999999994"/>
    <x v="2"/>
    <s v="2100"/>
    <s v="000"/>
    <x v="7"/>
    <x v="1"/>
  </r>
  <r>
    <d v="2012-05-15T00:00:00"/>
    <s v="018-2210-000"/>
    <s v="Liquor Sales"/>
    <n v="697.40300000000013"/>
    <n v="0"/>
    <s v="Daily Sales Import"/>
    <n v="-697.40300000000013"/>
    <n v="697.40300000000013"/>
    <x v="2"/>
    <s v="2210"/>
    <s v="000"/>
    <x v="7"/>
    <x v="1"/>
  </r>
  <r>
    <d v="2012-05-15T00:00:00"/>
    <s v="018-2220-000"/>
    <s v="Beer Sales"/>
    <n v="145.52549999999999"/>
    <n v="0"/>
    <s v="Daily Sales Import"/>
    <n v="-145.52549999999999"/>
    <n v="145.52549999999999"/>
    <x v="2"/>
    <s v="2220"/>
    <s v="000"/>
    <x v="7"/>
    <x v="1"/>
  </r>
  <r>
    <d v="2012-05-15T00:00:00"/>
    <s v="018-2230-000"/>
    <s v="Wine Sales"/>
    <n v="49.802500000000002"/>
    <n v="0"/>
    <s v="Daily Sales Import"/>
    <n v="-49.802500000000002"/>
    <n v="49.802500000000002"/>
    <x v="2"/>
    <s v="2230"/>
    <s v="000"/>
    <x v="7"/>
    <x v="1"/>
  </r>
  <r>
    <d v="2012-05-16T00:00:00"/>
    <s v="018-2100-000"/>
    <s v="Food Sales"/>
    <n v="4388.4592000000002"/>
    <n v="0"/>
    <s v="Daily Sales Import"/>
    <n v="-4388.4592000000002"/>
    <n v="4388.4592000000002"/>
    <x v="2"/>
    <s v="2100"/>
    <s v="000"/>
    <x v="7"/>
    <x v="1"/>
  </r>
  <r>
    <d v="2012-05-16T00:00:00"/>
    <s v="018-2210-000"/>
    <s v="Liquor Sales"/>
    <n v="899.26049999999998"/>
    <n v="0"/>
    <s v="Daily Sales Import"/>
    <n v="-899.26049999999998"/>
    <n v="899.26049999999998"/>
    <x v="2"/>
    <s v="2210"/>
    <s v="000"/>
    <x v="7"/>
    <x v="1"/>
  </r>
  <r>
    <d v="2012-05-16T00:00:00"/>
    <s v="018-2220-000"/>
    <s v="Beer Sales"/>
    <n v="268.07599999999996"/>
    <n v="0"/>
    <s v="Daily Sales Import"/>
    <n v="-268.07599999999996"/>
    <n v="268.07599999999996"/>
    <x v="2"/>
    <s v="2220"/>
    <s v="000"/>
    <x v="7"/>
    <x v="1"/>
  </r>
  <r>
    <d v="2012-05-16T00:00:00"/>
    <s v="018-2230-000"/>
    <s v="Wine Sales"/>
    <n v="8.7779999999999987"/>
    <n v="0"/>
    <s v="Daily Sales Import"/>
    <n v="-8.7779999999999987"/>
    <n v="8.7779999999999987"/>
    <x v="2"/>
    <s v="2230"/>
    <s v="000"/>
    <x v="7"/>
    <x v="1"/>
  </r>
  <r>
    <d v="2012-05-17T00:00:00"/>
    <s v="018-2100-000"/>
    <s v="Food Sales"/>
    <n v="5130.7709999999997"/>
    <n v="0"/>
    <s v="Daily Sales Import"/>
    <n v="-5130.7709999999997"/>
    <n v="5130.7709999999997"/>
    <x v="2"/>
    <s v="2100"/>
    <s v="000"/>
    <x v="7"/>
    <x v="1"/>
  </r>
  <r>
    <d v="2012-05-17T00:00:00"/>
    <s v="018-2210-000"/>
    <s v="Liquor Sales"/>
    <n v="893.34"/>
    <n v="0"/>
    <s v="Daily Sales Import"/>
    <n v="-893.34"/>
    <n v="893.34"/>
    <x v="2"/>
    <s v="2210"/>
    <s v="000"/>
    <x v="7"/>
    <x v="1"/>
  </r>
  <r>
    <d v="2012-05-17T00:00:00"/>
    <s v="018-2220-000"/>
    <s v="Beer Sales"/>
    <n v="293.92999999999995"/>
    <n v="0"/>
    <s v="Daily Sales Import"/>
    <n v="-293.92999999999995"/>
    <n v="293.92999999999995"/>
    <x v="2"/>
    <s v="2220"/>
    <s v="000"/>
    <x v="7"/>
    <x v="1"/>
  </r>
  <r>
    <d v="2012-05-17T00:00:00"/>
    <s v="018-2230-000"/>
    <s v="Wine Sales"/>
    <n v="77.263999999999996"/>
    <n v="0"/>
    <s v="Daily Sales Import"/>
    <n v="-77.263999999999996"/>
    <n v="77.263999999999996"/>
    <x v="2"/>
    <s v="2230"/>
    <s v="000"/>
    <x v="7"/>
    <x v="1"/>
  </r>
  <r>
    <d v="2012-05-18T00:00:00"/>
    <s v="018-2100-000"/>
    <s v="Food Sales"/>
    <n v="14000.9056"/>
    <n v="0"/>
    <s v="Daily Sales Import"/>
    <n v="-14000.9056"/>
    <n v="14000.9056"/>
    <x v="2"/>
    <s v="2100"/>
    <s v="000"/>
    <x v="7"/>
    <x v="1"/>
  </r>
  <r>
    <d v="2012-05-18T00:00:00"/>
    <s v="018-2210-000"/>
    <s v="Liquor Sales"/>
    <n v="2161.8389999999995"/>
    <n v="0"/>
    <s v="Daily Sales Import"/>
    <n v="-2161.8389999999995"/>
    <n v="2161.8389999999995"/>
    <x v="2"/>
    <s v="2210"/>
    <s v="000"/>
    <x v="7"/>
    <x v="1"/>
  </r>
  <r>
    <d v="2012-05-18T00:00:00"/>
    <s v="018-2220-000"/>
    <s v="Beer Sales"/>
    <n v="747.48750000000007"/>
    <n v="0"/>
    <s v="Daily Sales Import"/>
    <n v="-747.48750000000007"/>
    <n v="747.48750000000007"/>
    <x v="2"/>
    <s v="2220"/>
    <s v="000"/>
    <x v="7"/>
    <x v="1"/>
  </r>
  <r>
    <d v="2012-05-18T00:00:00"/>
    <s v="018-2230-000"/>
    <s v="Wine Sales"/>
    <n v="79.915499999999994"/>
    <n v="0"/>
    <s v="Daily Sales Import"/>
    <n v="-79.915499999999994"/>
    <n v="79.915499999999994"/>
    <x v="2"/>
    <s v="2230"/>
    <s v="000"/>
    <x v="7"/>
    <x v="1"/>
  </r>
  <r>
    <d v="2012-05-19T00:00:00"/>
    <s v="018-2100-000"/>
    <s v="Food Sales"/>
    <n v="14182.411500000002"/>
    <n v="0"/>
    <s v="Daily Sales Import"/>
    <n v="-14182.411500000002"/>
    <n v="14182.411500000002"/>
    <x v="2"/>
    <s v="2100"/>
    <s v="000"/>
    <x v="7"/>
    <x v="1"/>
  </r>
  <r>
    <d v="2012-05-19T00:00:00"/>
    <s v="018-2210-000"/>
    <s v="Liquor Sales"/>
    <n v="3102.9300000000003"/>
    <n v="0"/>
    <s v="Daily Sales Import"/>
    <n v="-3102.9300000000003"/>
    <n v="3102.9300000000003"/>
    <x v="2"/>
    <s v="2210"/>
    <s v="000"/>
    <x v="7"/>
    <x v="1"/>
  </r>
  <r>
    <d v="2012-05-19T00:00:00"/>
    <s v="018-2220-000"/>
    <s v="Beer Sales"/>
    <n v="472.23000000000008"/>
    <n v="0"/>
    <s v="Daily Sales Import"/>
    <n v="-472.23000000000008"/>
    <n v="472.23000000000008"/>
    <x v="2"/>
    <s v="2220"/>
    <s v="000"/>
    <x v="7"/>
    <x v="1"/>
  </r>
  <r>
    <d v="2012-05-19T00:00:00"/>
    <s v="018-2230-000"/>
    <s v="Wine Sales"/>
    <n v="91.868000000000009"/>
    <n v="0"/>
    <s v="Daily Sales Import"/>
    <n v="-91.868000000000009"/>
    <n v="91.868000000000009"/>
    <x v="2"/>
    <s v="2230"/>
    <s v="000"/>
    <x v="7"/>
    <x v="1"/>
  </r>
  <r>
    <d v="2012-05-20T00:00:00"/>
    <s v="018-2100-000"/>
    <s v="Food Sales"/>
    <n v="12089.404"/>
    <n v="0"/>
    <s v="Daily Sales Import"/>
    <n v="-12089.404"/>
    <n v="12089.404"/>
    <x v="2"/>
    <s v="2100"/>
    <s v="000"/>
    <x v="7"/>
    <x v="1"/>
  </r>
  <r>
    <d v="2012-05-20T00:00:00"/>
    <s v="018-2210-000"/>
    <s v="Liquor Sales"/>
    <n v="1376.076"/>
    <n v="0"/>
    <s v="Daily Sales Import"/>
    <n v="-1376.076"/>
    <n v="1376.076"/>
    <x v="2"/>
    <s v="2210"/>
    <s v="000"/>
    <x v="7"/>
    <x v="1"/>
  </r>
  <r>
    <d v="2012-05-20T00:00:00"/>
    <s v="018-2220-000"/>
    <s v="Beer Sales"/>
    <n v="388.31400000000002"/>
    <n v="0"/>
    <s v="Daily Sales Import"/>
    <n v="-388.31400000000002"/>
    <n v="388.31400000000002"/>
    <x v="2"/>
    <s v="2220"/>
    <s v="000"/>
    <x v="7"/>
    <x v="1"/>
  </r>
  <r>
    <d v="2012-05-20T00:00:00"/>
    <s v="018-2230-000"/>
    <s v="Wine Sales"/>
    <n v="66.924000000000007"/>
    <n v="0"/>
    <s v="Daily Sales Import"/>
    <n v="-66.924000000000007"/>
    <n v="66.924000000000007"/>
    <x v="2"/>
    <s v="2230"/>
    <s v="000"/>
    <x v="7"/>
    <x v="1"/>
  </r>
  <r>
    <d v="2012-05-21T00:00:00"/>
    <s v="016-2100-000"/>
    <s v="Food Sales"/>
    <n v="1548.1958000000002"/>
    <n v="0"/>
    <s v="Daily Sales Import"/>
    <n v="-1548.1958000000002"/>
    <n v="1548.1958000000002"/>
    <x v="0"/>
    <s v="2100"/>
    <s v="000"/>
    <x v="7"/>
    <x v="1"/>
  </r>
  <r>
    <d v="2012-05-21T00:00:00"/>
    <s v="016-2210-000"/>
    <s v="Liquor Sales"/>
    <n v="651.16800000000001"/>
    <n v="0"/>
    <s v="Daily Sales Import"/>
    <n v="-651.16800000000001"/>
    <n v="651.16800000000001"/>
    <x v="0"/>
    <s v="2210"/>
    <s v="000"/>
    <x v="7"/>
    <x v="1"/>
  </r>
  <r>
    <d v="2012-05-21T00:00:00"/>
    <s v="016-2220-000"/>
    <s v="Beer Sales"/>
    <n v="119.28750000000001"/>
    <n v="0"/>
    <s v="Daily Sales Import"/>
    <n v="-119.28750000000001"/>
    <n v="119.28750000000001"/>
    <x v="0"/>
    <s v="2220"/>
    <s v="000"/>
    <x v="7"/>
    <x v="1"/>
  </r>
  <r>
    <d v="2012-05-21T00:00:00"/>
    <s v="016-2230-000"/>
    <s v="Wine Sales"/>
    <n v="85.618000000000009"/>
    <n v="0"/>
    <s v="Daily Sales Import"/>
    <n v="-85.618000000000009"/>
    <n v="85.618000000000009"/>
    <x v="0"/>
    <s v="2230"/>
    <s v="000"/>
    <x v="7"/>
    <x v="1"/>
  </r>
  <r>
    <d v="2012-05-22T00:00:00"/>
    <s v="016-2100-000"/>
    <s v="Food Sales"/>
    <n v="3246.8669"/>
    <n v="0"/>
    <s v="Daily Sales Import"/>
    <n v="-3246.8669"/>
    <n v="3246.8669"/>
    <x v="0"/>
    <s v="2100"/>
    <s v="000"/>
    <x v="7"/>
    <x v="1"/>
  </r>
  <r>
    <d v="2012-05-22T00:00:00"/>
    <s v="016-2210-000"/>
    <s v="Liquor Sales"/>
    <n v="1145.7207000000001"/>
    <n v="0"/>
    <s v="Daily Sales Import"/>
    <n v="-1145.7207000000001"/>
    <n v="1145.7207000000001"/>
    <x v="0"/>
    <s v="2210"/>
    <s v="000"/>
    <x v="7"/>
    <x v="1"/>
  </r>
  <r>
    <d v="2012-05-22T00:00:00"/>
    <s v="016-2220-000"/>
    <s v="Beer Sales"/>
    <n v="316.92949999999996"/>
    <n v="0"/>
    <s v="Daily Sales Import"/>
    <n v="-316.92949999999996"/>
    <n v="316.92949999999996"/>
    <x v="0"/>
    <s v="2220"/>
    <s v="000"/>
    <x v="7"/>
    <x v="1"/>
  </r>
  <r>
    <d v="2012-05-22T00:00:00"/>
    <s v="016-2230-000"/>
    <s v="Wine Sales"/>
    <n v="113.98799999999999"/>
    <n v="0"/>
    <s v="Daily Sales Import"/>
    <n v="-113.98799999999999"/>
    <n v="113.98799999999999"/>
    <x v="0"/>
    <s v="2230"/>
    <s v="000"/>
    <x v="7"/>
    <x v="1"/>
  </r>
  <r>
    <d v="2012-05-23T00:00:00"/>
    <s v="016-2100-000"/>
    <s v="Food Sales"/>
    <n v="1890.5699999999997"/>
    <n v="0"/>
    <s v="Daily Sales Import"/>
    <n v="-1890.5699999999997"/>
    <n v="1890.5699999999997"/>
    <x v="0"/>
    <s v="2100"/>
    <s v="000"/>
    <x v="7"/>
    <x v="1"/>
  </r>
  <r>
    <d v="2012-05-23T00:00:00"/>
    <s v="016-2210-000"/>
    <s v="Liquor Sales"/>
    <n v="443.70299999999997"/>
    <n v="0"/>
    <s v="Daily Sales Import"/>
    <n v="-443.70299999999997"/>
    <n v="443.70299999999997"/>
    <x v="0"/>
    <s v="2210"/>
    <s v="000"/>
    <x v="7"/>
    <x v="1"/>
  </r>
  <r>
    <d v="2012-05-23T00:00:00"/>
    <s v="016-2220-000"/>
    <s v="Beer Sales"/>
    <n v="188.44200000000001"/>
    <n v="0"/>
    <s v="Daily Sales Import"/>
    <n v="-188.44200000000001"/>
    <n v="188.44200000000001"/>
    <x v="0"/>
    <s v="2220"/>
    <s v="000"/>
    <x v="7"/>
    <x v="1"/>
  </r>
  <r>
    <d v="2012-05-23T00:00:00"/>
    <s v="016-2230-000"/>
    <s v="Wine Sales"/>
    <n v="94.481999999999999"/>
    <n v="0"/>
    <s v="Daily Sales Import"/>
    <n v="-94.481999999999999"/>
    <n v="94.481999999999999"/>
    <x v="0"/>
    <s v="2230"/>
    <s v="000"/>
    <x v="7"/>
    <x v="1"/>
  </r>
  <r>
    <d v="2012-05-24T00:00:00"/>
    <s v="016-2100-000"/>
    <s v="Food Sales"/>
    <n v="3925.1523999999999"/>
    <n v="0"/>
    <s v="Daily Sales Import"/>
    <n v="-3925.1523999999999"/>
    <n v="3925.1523999999999"/>
    <x v="0"/>
    <s v="2100"/>
    <s v="000"/>
    <x v="7"/>
    <x v="1"/>
  </r>
  <r>
    <d v="2012-05-24T00:00:00"/>
    <s v="016-2210-000"/>
    <s v="Liquor Sales"/>
    <n v="1032.548"/>
    <n v="0"/>
    <s v="Daily Sales Import"/>
    <n v="-1032.548"/>
    <n v="1032.548"/>
    <x v="0"/>
    <s v="2210"/>
    <s v="000"/>
    <x v="7"/>
    <x v="1"/>
  </r>
  <r>
    <d v="2012-05-24T00:00:00"/>
    <s v="016-2220-000"/>
    <s v="Beer Sales"/>
    <n v="282.42399999999998"/>
    <n v="0"/>
    <s v="Daily Sales Import"/>
    <n v="-282.42399999999998"/>
    <n v="282.42399999999998"/>
    <x v="0"/>
    <s v="2220"/>
    <s v="000"/>
    <x v="7"/>
    <x v="1"/>
  </r>
  <r>
    <d v="2012-05-24T00:00:00"/>
    <s v="016-2230-000"/>
    <s v="Wine Sales"/>
    <n v="143.685"/>
    <n v="0"/>
    <s v="Daily Sales Import"/>
    <n v="-143.685"/>
    <n v="143.685"/>
    <x v="0"/>
    <s v="2230"/>
    <s v="000"/>
    <x v="7"/>
    <x v="1"/>
  </r>
  <r>
    <d v="2012-05-25T00:00:00"/>
    <s v="016-2100-000"/>
    <s v="Food Sales"/>
    <n v="5968.6859999999997"/>
    <n v="0"/>
    <s v="Daily Sales Import"/>
    <n v="-5968.6859999999997"/>
    <n v="5968.6859999999997"/>
    <x v="0"/>
    <s v="2100"/>
    <s v="000"/>
    <x v="7"/>
    <x v="1"/>
  </r>
  <r>
    <d v="2012-05-25T00:00:00"/>
    <s v="016-2210-000"/>
    <s v="Liquor Sales"/>
    <n v="1891.2995000000003"/>
    <n v="0"/>
    <s v="Daily Sales Import"/>
    <n v="-1891.2995000000003"/>
    <n v="1891.2995000000003"/>
    <x v="0"/>
    <s v="2210"/>
    <s v="000"/>
    <x v="7"/>
    <x v="1"/>
  </r>
  <r>
    <d v="2012-05-25T00:00:00"/>
    <s v="016-2220-000"/>
    <s v="Beer Sales"/>
    <n v="474.12400000000002"/>
    <n v="0"/>
    <s v="Daily Sales Import"/>
    <n v="-474.12400000000002"/>
    <n v="474.12400000000002"/>
    <x v="0"/>
    <s v="2220"/>
    <s v="000"/>
    <x v="7"/>
    <x v="1"/>
  </r>
  <r>
    <d v="2012-05-25T00:00:00"/>
    <s v="016-2230-000"/>
    <s v="Wine Sales"/>
    <n v="122.93100000000001"/>
    <n v="0"/>
    <s v="Daily Sales Import"/>
    <n v="-122.93100000000001"/>
    <n v="122.93100000000001"/>
    <x v="0"/>
    <s v="2230"/>
    <s v="000"/>
    <x v="7"/>
    <x v="1"/>
  </r>
  <r>
    <d v="2012-05-26T00:00:00"/>
    <s v="016-2100-000"/>
    <s v="Food Sales"/>
    <n v="6325.5940000000001"/>
    <n v="0"/>
    <s v="Daily Sales Import"/>
    <n v="-6325.5940000000001"/>
    <n v="6325.5940000000001"/>
    <x v="0"/>
    <s v="2100"/>
    <s v="000"/>
    <x v="7"/>
    <x v="1"/>
  </r>
  <r>
    <d v="2012-05-26T00:00:00"/>
    <s v="016-2210-000"/>
    <s v="Liquor Sales"/>
    <n v="2732.3865000000005"/>
    <n v="0"/>
    <s v="Daily Sales Import"/>
    <n v="-2732.3865000000005"/>
    <n v="2732.3865000000005"/>
    <x v="0"/>
    <s v="2210"/>
    <s v="000"/>
    <x v="7"/>
    <x v="1"/>
  </r>
  <r>
    <d v="2012-05-26T00:00:00"/>
    <s v="016-2220-000"/>
    <s v="Beer Sales"/>
    <n v="298.67099999999999"/>
    <n v="0"/>
    <s v="Daily Sales Import"/>
    <n v="-298.67099999999999"/>
    <n v="298.67099999999999"/>
    <x v="0"/>
    <s v="2220"/>
    <s v="000"/>
    <x v="7"/>
    <x v="1"/>
  </r>
  <r>
    <d v="2012-05-26T00:00:00"/>
    <s v="016-2230-000"/>
    <s v="Wine Sales"/>
    <n v="191.8545"/>
    <n v="0"/>
    <s v="Daily Sales Import"/>
    <n v="-191.8545"/>
    <n v="191.8545"/>
    <x v="0"/>
    <s v="2230"/>
    <s v="000"/>
    <x v="7"/>
    <x v="1"/>
  </r>
  <r>
    <d v="2012-05-27T00:00:00"/>
    <s v="016-2100-000"/>
    <s v="Food Sales"/>
    <n v="8295.3639999999996"/>
    <n v="0"/>
    <s v="Daily Sales Import"/>
    <n v="-8295.3639999999996"/>
    <n v="8295.3639999999996"/>
    <x v="0"/>
    <s v="2100"/>
    <s v="000"/>
    <x v="7"/>
    <x v="1"/>
  </r>
  <r>
    <d v="2012-05-27T00:00:00"/>
    <s v="016-2210-000"/>
    <s v="Liquor Sales"/>
    <n v="2132.5576000000001"/>
    <n v="0"/>
    <s v="Daily Sales Import"/>
    <n v="-2132.5576000000001"/>
    <n v="2132.5576000000001"/>
    <x v="0"/>
    <s v="2210"/>
    <s v="000"/>
    <x v="7"/>
    <x v="1"/>
  </r>
  <r>
    <d v="2012-05-27T00:00:00"/>
    <s v="016-2220-000"/>
    <s v="Beer Sales"/>
    <n v="426.834"/>
    <n v="0"/>
    <s v="Daily Sales Import"/>
    <n v="-426.834"/>
    <n v="426.834"/>
    <x v="0"/>
    <s v="2220"/>
    <s v="000"/>
    <x v="7"/>
    <x v="1"/>
  </r>
  <r>
    <d v="2012-05-27T00:00:00"/>
    <s v="016-2230-000"/>
    <s v="Wine Sales"/>
    <n v="139.98600000000002"/>
    <n v="0"/>
    <s v="Daily Sales Import"/>
    <n v="-139.98600000000002"/>
    <n v="139.98600000000002"/>
    <x v="0"/>
    <s v="2230"/>
    <s v="000"/>
    <x v="7"/>
    <x v="1"/>
  </r>
  <r>
    <d v="2012-05-21T00:00:00"/>
    <s v="017-2100-000"/>
    <s v="Food Sales"/>
    <n v="4609.201"/>
    <n v="0"/>
    <s v="Daily Sales Import"/>
    <n v="-4609.201"/>
    <n v="4609.201"/>
    <x v="1"/>
    <s v="2100"/>
    <s v="000"/>
    <x v="7"/>
    <x v="1"/>
  </r>
  <r>
    <d v="2012-05-21T00:00:00"/>
    <s v="017-2210-000"/>
    <s v="Liquor Sales"/>
    <n v="1148.6299999999999"/>
    <n v="0"/>
    <s v="Daily Sales Import"/>
    <n v="-1148.6299999999999"/>
    <n v="1148.6299999999999"/>
    <x v="1"/>
    <s v="2210"/>
    <s v="000"/>
    <x v="7"/>
    <x v="1"/>
  </r>
  <r>
    <d v="2012-05-21T00:00:00"/>
    <s v="017-2220-000"/>
    <s v="Beer Sales"/>
    <n v="497.7"/>
    <n v="0"/>
    <s v="Daily Sales Import"/>
    <n v="-497.7"/>
    <n v="497.7"/>
    <x v="1"/>
    <s v="2220"/>
    <s v="000"/>
    <x v="7"/>
    <x v="1"/>
  </r>
  <r>
    <d v="2012-05-21T00:00:00"/>
    <s v="017-2230-000"/>
    <s v="Wine Sales"/>
    <n v="91.165500000000009"/>
    <n v="0"/>
    <s v="Daily Sales Import"/>
    <n v="-91.165500000000009"/>
    <n v="91.165500000000009"/>
    <x v="1"/>
    <s v="2230"/>
    <s v="000"/>
    <x v="7"/>
    <x v="1"/>
  </r>
  <r>
    <d v="2012-05-22T00:00:00"/>
    <s v="017-2100-000"/>
    <s v="Food Sales"/>
    <n v="7853.9663999999993"/>
    <n v="0"/>
    <s v="Daily Sales Import"/>
    <n v="-7853.9663999999993"/>
    <n v="7853.9663999999993"/>
    <x v="1"/>
    <s v="2100"/>
    <s v="000"/>
    <x v="7"/>
    <x v="1"/>
  </r>
  <r>
    <d v="2012-05-22T00:00:00"/>
    <s v="017-2210-000"/>
    <s v="Liquor Sales"/>
    <n v="2625.9995000000004"/>
    <n v="0"/>
    <s v="Daily Sales Import"/>
    <n v="-2625.9995000000004"/>
    <n v="2625.9995000000004"/>
    <x v="1"/>
    <s v="2210"/>
    <s v="000"/>
    <x v="7"/>
    <x v="1"/>
  </r>
  <r>
    <d v="2012-05-22T00:00:00"/>
    <s v="017-2220-000"/>
    <s v="Beer Sales"/>
    <n v="571.95000000000005"/>
    <n v="0"/>
    <s v="Daily Sales Import"/>
    <n v="-571.95000000000005"/>
    <n v="571.95000000000005"/>
    <x v="1"/>
    <s v="2220"/>
    <s v="000"/>
    <x v="7"/>
    <x v="1"/>
  </r>
  <r>
    <d v="2012-05-22T00:00:00"/>
    <s v="017-2230-000"/>
    <s v="Wine Sales"/>
    <n v="154.24499999999998"/>
    <n v="0"/>
    <s v="Daily Sales Import"/>
    <n v="-154.24499999999998"/>
    <n v="154.24499999999998"/>
    <x v="1"/>
    <s v="2230"/>
    <s v="000"/>
    <x v="7"/>
    <x v="1"/>
  </r>
  <r>
    <d v="2012-05-23T00:00:00"/>
    <s v="017-2100-000"/>
    <s v="Food Sales"/>
    <n v="4178.4985000000006"/>
    <n v="0"/>
    <s v="Daily Sales Import"/>
    <n v="-4178.4985000000006"/>
    <n v="4178.4985000000006"/>
    <x v="1"/>
    <s v="2100"/>
    <s v="000"/>
    <x v="7"/>
    <x v="1"/>
  </r>
  <r>
    <d v="2012-05-23T00:00:00"/>
    <s v="017-2210-000"/>
    <s v="Liquor Sales"/>
    <n v="1485.9375"/>
    <n v="0"/>
    <s v="Daily Sales Import"/>
    <n v="-1485.9375"/>
    <n v="1485.9375"/>
    <x v="1"/>
    <s v="2210"/>
    <s v="000"/>
    <x v="7"/>
    <x v="1"/>
  </r>
  <r>
    <d v="2012-05-23T00:00:00"/>
    <s v="017-2220-000"/>
    <s v="Beer Sales"/>
    <n v="501.97500000000002"/>
    <n v="0"/>
    <s v="Daily Sales Import"/>
    <n v="-501.97500000000002"/>
    <n v="501.97500000000002"/>
    <x v="1"/>
    <s v="2220"/>
    <s v="000"/>
    <x v="7"/>
    <x v="1"/>
  </r>
  <r>
    <d v="2012-05-23T00:00:00"/>
    <s v="017-2230-000"/>
    <s v="Wine Sales"/>
    <n v="76.2"/>
    <n v="0"/>
    <s v="Daily Sales Import"/>
    <n v="-76.2"/>
    <n v="76.2"/>
    <x v="1"/>
    <s v="2230"/>
    <s v="000"/>
    <x v="7"/>
    <x v="1"/>
  </r>
  <r>
    <d v="2012-05-24T00:00:00"/>
    <s v="017-2100-000"/>
    <s v="Food Sales"/>
    <n v="7434.7484999999997"/>
    <n v="0"/>
    <s v="Daily Sales Import"/>
    <n v="-7434.7484999999997"/>
    <n v="7434.7484999999997"/>
    <x v="1"/>
    <s v="2100"/>
    <s v="000"/>
    <x v="7"/>
    <x v="1"/>
  </r>
  <r>
    <d v="2012-05-24T00:00:00"/>
    <s v="017-2210-000"/>
    <s v="Liquor Sales"/>
    <n v="2499.0309999999999"/>
    <n v="0"/>
    <s v="Daily Sales Import"/>
    <n v="-2499.0309999999999"/>
    <n v="2499.0309999999999"/>
    <x v="1"/>
    <s v="2210"/>
    <s v="000"/>
    <x v="7"/>
    <x v="1"/>
  </r>
  <r>
    <d v="2012-05-24T00:00:00"/>
    <s v="017-2220-000"/>
    <s v="Beer Sales"/>
    <n v="336.46250000000003"/>
    <n v="0"/>
    <s v="Daily Sales Import"/>
    <n v="-336.46250000000003"/>
    <n v="336.46250000000003"/>
    <x v="1"/>
    <s v="2220"/>
    <s v="000"/>
    <x v="7"/>
    <x v="1"/>
  </r>
  <r>
    <d v="2012-05-24T00:00:00"/>
    <s v="017-2230-000"/>
    <s v="Wine Sales"/>
    <n v="60.8536"/>
    <n v="0"/>
    <s v="Daily Sales Import"/>
    <n v="-60.8536"/>
    <n v="60.8536"/>
    <x v="1"/>
    <s v="2230"/>
    <s v="000"/>
    <x v="7"/>
    <x v="1"/>
  </r>
  <r>
    <d v="2012-05-25T00:00:00"/>
    <s v="017-2100-000"/>
    <s v="Food Sales"/>
    <n v="7461.6465000000007"/>
    <n v="0"/>
    <s v="Daily Sales Import"/>
    <n v="-7461.6465000000007"/>
    <n v="7461.6465000000007"/>
    <x v="1"/>
    <s v="2100"/>
    <s v="000"/>
    <x v="7"/>
    <x v="1"/>
  </r>
  <r>
    <d v="2012-05-25T00:00:00"/>
    <s v="017-2210-000"/>
    <s v="Liquor Sales"/>
    <n v="2307.3920000000003"/>
    <n v="0"/>
    <s v="Daily Sales Import"/>
    <n v="-2307.3920000000003"/>
    <n v="2307.3920000000003"/>
    <x v="1"/>
    <s v="2210"/>
    <s v="000"/>
    <x v="7"/>
    <x v="1"/>
  </r>
  <r>
    <d v="2012-05-25T00:00:00"/>
    <s v="017-2220-000"/>
    <s v="Beer Sales"/>
    <n v="482.25"/>
    <n v="0"/>
    <s v="Daily Sales Import"/>
    <n v="-482.25"/>
    <n v="482.25"/>
    <x v="1"/>
    <s v="2220"/>
    <s v="000"/>
    <x v="7"/>
    <x v="1"/>
  </r>
  <r>
    <d v="2012-05-25T00:00:00"/>
    <s v="017-2230-000"/>
    <s v="Wine Sales"/>
    <n v="74.715499999999992"/>
    <n v="0"/>
    <s v="Daily Sales Import"/>
    <n v="-74.715499999999992"/>
    <n v="74.715499999999992"/>
    <x v="1"/>
    <s v="2230"/>
    <s v="000"/>
    <x v="7"/>
    <x v="1"/>
  </r>
  <r>
    <d v="2012-05-26T00:00:00"/>
    <s v="017-2100-000"/>
    <s v="Food Sales"/>
    <n v="6616.1540999999997"/>
    <n v="0"/>
    <s v="Daily Sales Import"/>
    <n v="-6616.1540999999997"/>
    <n v="6616.1540999999997"/>
    <x v="1"/>
    <s v="2100"/>
    <s v="000"/>
    <x v="7"/>
    <x v="1"/>
  </r>
  <r>
    <d v="2012-05-26T00:00:00"/>
    <s v="017-2210-000"/>
    <s v="Liquor Sales"/>
    <n v="1466.7940000000003"/>
    <n v="0"/>
    <s v="Daily Sales Import"/>
    <n v="-1466.7940000000003"/>
    <n v="1466.7940000000003"/>
    <x v="1"/>
    <s v="2210"/>
    <s v="000"/>
    <x v="7"/>
    <x v="1"/>
  </r>
  <r>
    <d v="2012-05-26T00:00:00"/>
    <s v="017-2220-000"/>
    <s v="Beer Sales"/>
    <n v="308.91500000000002"/>
    <n v="0"/>
    <s v="Daily Sales Import"/>
    <n v="-308.91500000000002"/>
    <n v="308.91500000000002"/>
    <x v="1"/>
    <s v="2220"/>
    <s v="000"/>
    <x v="7"/>
    <x v="1"/>
  </r>
  <r>
    <d v="2012-05-26T00:00:00"/>
    <s v="017-2230-000"/>
    <s v="Wine Sales"/>
    <n v="21.868000000000002"/>
    <n v="0"/>
    <s v="Daily Sales Import"/>
    <n v="-21.868000000000002"/>
    <n v="21.868000000000002"/>
    <x v="1"/>
    <s v="2230"/>
    <s v="000"/>
    <x v="7"/>
    <x v="1"/>
  </r>
  <r>
    <d v="2012-05-27T00:00:00"/>
    <s v="017-2100-000"/>
    <s v="Food Sales"/>
    <n v="4947.8130000000001"/>
    <n v="0"/>
    <s v="Daily Sales Import"/>
    <n v="-4947.8130000000001"/>
    <n v="4947.8130000000001"/>
    <x v="1"/>
    <s v="2100"/>
    <s v="000"/>
    <x v="7"/>
    <x v="1"/>
  </r>
  <r>
    <d v="2012-05-27T00:00:00"/>
    <s v="017-2210-000"/>
    <s v="Liquor Sales"/>
    <n v="1208.1469999999999"/>
    <n v="0"/>
    <s v="Daily Sales Import"/>
    <n v="-1208.1469999999999"/>
    <n v="1208.1469999999999"/>
    <x v="1"/>
    <s v="2210"/>
    <s v="000"/>
    <x v="7"/>
    <x v="1"/>
  </r>
  <r>
    <d v="2012-05-27T00:00:00"/>
    <s v="017-2220-000"/>
    <s v="Beer Sales"/>
    <n v="265.95"/>
    <n v="0"/>
    <s v="Daily Sales Import"/>
    <n v="-265.95"/>
    <n v="265.95"/>
    <x v="1"/>
    <s v="2220"/>
    <s v="000"/>
    <x v="7"/>
    <x v="1"/>
  </r>
  <r>
    <d v="2012-05-27T00:00:00"/>
    <s v="017-2230-000"/>
    <s v="Wine Sales"/>
    <n v="73.14"/>
    <n v="0"/>
    <s v="Daily Sales Import"/>
    <n v="-73.14"/>
    <n v="73.14"/>
    <x v="1"/>
    <s v="2230"/>
    <s v="000"/>
    <x v="7"/>
    <x v="1"/>
  </r>
  <r>
    <d v="2012-05-21T00:00:00"/>
    <s v="018-2100-000"/>
    <s v="Food Sales"/>
    <n v="2651.2605000000003"/>
    <n v="0"/>
    <s v="Daily Sales Import"/>
    <n v="-2651.2605000000003"/>
    <n v="2651.2605000000003"/>
    <x v="2"/>
    <s v="2100"/>
    <s v="000"/>
    <x v="7"/>
    <x v="1"/>
  </r>
  <r>
    <d v="2012-05-21T00:00:00"/>
    <s v="018-2210-000"/>
    <s v="Liquor Sales"/>
    <n v="334.87999999999994"/>
    <n v="0"/>
    <s v="Daily Sales Import"/>
    <n v="-334.87999999999994"/>
    <n v="334.87999999999994"/>
    <x v="2"/>
    <s v="2210"/>
    <s v="000"/>
    <x v="7"/>
    <x v="1"/>
  </r>
  <r>
    <d v="2012-05-21T00:00:00"/>
    <s v="018-2220-000"/>
    <s v="Beer Sales"/>
    <n v="112.867"/>
    <n v="0"/>
    <s v="Daily Sales Import"/>
    <n v="-112.867"/>
    <n v="112.867"/>
    <x v="2"/>
    <s v="2220"/>
    <s v="000"/>
    <x v="7"/>
    <x v="1"/>
  </r>
  <r>
    <d v="2012-05-21T00:00:00"/>
    <s v="018-2230-000"/>
    <s v="Wine Sales"/>
    <n v="25.239000000000001"/>
    <n v="0"/>
    <s v="Daily Sales Import"/>
    <n v="-25.239000000000001"/>
    <n v="25.239000000000001"/>
    <x v="2"/>
    <s v="2230"/>
    <s v="000"/>
    <x v="7"/>
    <x v="1"/>
  </r>
  <r>
    <d v="2012-05-22T00:00:00"/>
    <s v="018-2100-000"/>
    <s v="Food Sales"/>
    <n v="3540.1309999999999"/>
    <n v="0"/>
    <s v="Daily Sales Import"/>
    <n v="-3540.1309999999999"/>
    <n v="3540.1309999999999"/>
    <x v="2"/>
    <s v="2100"/>
    <s v="000"/>
    <x v="7"/>
    <x v="1"/>
  </r>
  <r>
    <d v="2012-05-22T00:00:00"/>
    <s v="018-2210-000"/>
    <s v="Liquor Sales"/>
    <n v="597.58400000000006"/>
    <n v="0"/>
    <s v="Daily Sales Import"/>
    <n v="-597.58400000000006"/>
    <n v="597.58400000000006"/>
    <x v="2"/>
    <s v="2210"/>
    <s v="000"/>
    <x v="7"/>
    <x v="1"/>
  </r>
  <r>
    <d v="2012-05-22T00:00:00"/>
    <s v="018-2220-000"/>
    <s v="Beer Sales"/>
    <n v="192.654"/>
    <n v="0"/>
    <s v="Daily Sales Import"/>
    <n v="-192.654"/>
    <n v="192.654"/>
    <x v="2"/>
    <s v="2220"/>
    <s v="000"/>
    <x v="7"/>
    <x v="1"/>
  </r>
  <r>
    <d v="2012-05-22T00:00:00"/>
    <s v="018-2230-000"/>
    <s v="Wine Sales"/>
    <n v="46.410000000000004"/>
    <n v="0"/>
    <s v="Daily Sales Import"/>
    <n v="-46.410000000000004"/>
    <n v="46.410000000000004"/>
    <x v="2"/>
    <s v="2230"/>
    <s v="000"/>
    <x v="7"/>
    <x v="1"/>
  </r>
  <r>
    <d v="2012-05-23T00:00:00"/>
    <s v="018-2100-000"/>
    <s v="Food Sales"/>
    <n v="4302.165"/>
    <n v="0"/>
    <s v="Daily Sales Import"/>
    <n v="-4302.165"/>
    <n v="4302.165"/>
    <x v="2"/>
    <s v="2100"/>
    <s v="000"/>
    <x v="7"/>
    <x v="1"/>
  </r>
  <r>
    <d v="2012-05-23T00:00:00"/>
    <s v="018-2210-000"/>
    <s v="Liquor Sales"/>
    <n v="698.90750000000003"/>
    <n v="0"/>
    <s v="Daily Sales Import"/>
    <n v="-698.90750000000003"/>
    <n v="698.90750000000003"/>
    <x v="2"/>
    <s v="2210"/>
    <s v="000"/>
    <x v="7"/>
    <x v="1"/>
  </r>
  <r>
    <d v="2012-05-23T00:00:00"/>
    <s v="018-2220-000"/>
    <s v="Beer Sales"/>
    <n v="226.30500000000001"/>
    <n v="0"/>
    <s v="Daily Sales Import"/>
    <n v="-226.30500000000001"/>
    <n v="226.30500000000001"/>
    <x v="2"/>
    <s v="2220"/>
    <s v="000"/>
    <x v="7"/>
    <x v="1"/>
  </r>
  <r>
    <d v="2012-05-23T00:00:00"/>
    <s v="018-2230-000"/>
    <s v="Wine Sales"/>
    <n v="97.992500000000007"/>
    <n v="0"/>
    <s v="Daily Sales Import"/>
    <n v="-97.992500000000007"/>
    <n v="97.992500000000007"/>
    <x v="2"/>
    <s v="2230"/>
    <s v="000"/>
    <x v="7"/>
    <x v="1"/>
  </r>
  <r>
    <d v="2012-05-24T00:00:00"/>
    <s v="018-2100-000"/>
    <s v="Food Sales"/>
    <n v="3605.1610000000001"/>
    <n v="0"/>
    <s v="Daily Sales Import"/>
    <n v="-3605.1610000000001"/>
    <n v="3605.1610000000001"/>
    <x v="2"/>
    <s v="2100"/>
    <s v="000"/>
    <x v="7"/>
    <x v="1"/>
  </r>
  <r>
    <d v="2012-05-24T00:00:00"/>
    <s v="018-2210-000"/>
    <s v="Liquor Sales"/>
    <n v="1361.0174999999999"/>
    <n v="0"/>
    <s v="Daily Sales Import"/>
    <n v="-1361.0174999999999"/>
    <n v="1361.0174999999999"/>
    <x v="2"/>
    <s v="2210"/>
    <s v="000"/>
    <x v="7"/>
    <x v="1"/>
  </r>
  <r>
    <d v="2012-05-24T00:00:00"/>
    <s v="018-2220-000"/>
    <s v="Beer Sales"/>
    <n v="144.536"/>
    <n v="0"/>
    <s v="Daily Sales Import"/>
    <n v="-144.536"/>
    <n v="144.536"/>
    <x v="2"/>
    <s v="2220"/>
    <s v="000"/>
    <x v="7"/>
    <x v="1"/>
  </r>
  <r>
    <d v="2012-05-24T00:00:00"/>
    <s v="018-2230-000"/>
    <s v="Wine Sales"/>
    <n v="41.923999999999999"/>
    <n v="0"/>
    <s v="Daily Sales Import"/>
    <n v="-41.923999999999999"/>
    <n v="41.923999999999999"/>
    <x v="2"/>
    <s v="2230"/>
    <s v="000"/>
    <x v="7"/>
    <x v="1"/>
  </r>
  <r>
    <d v="2012-05-25T00:00:00"/>
    <s v="018-2100-000"/>
    <s v="Food Sales"/>
    <n v="8403.0505000000012"/>
    <n v="0"/>
    <s v="Daily Sales Import"/>
    <n v="-8403.0505000000012"/>
    <n v="8403.0505000000012"/>
    <x v="2"/>
    <s v="2100"/>
    <s v="000"/>
    <x v="7"/>
    <x v="1"/>
  </r>
  <r>
    <d v="2012-05-25T00:00:00"/>
    <s v="018-2210-000"/>
    <s v="Liquor Sales"/>
    <n v="2684.4479999999999"/>
    <n v="0"/>
    <s v="Daily Sales Import"/>
    <n v="-2684.4479999999999"/>
    <n v="2684.4479999999999"/>
    <x v="2"/>
    <s v="2210"/>
    <s v="000"/>
    <x v="7"/>
    <x v="1"/>
  </r>
  <r>
    <d v="2012-05-25T00:00:00"/>
    <s v="018-2220-000"/>
    <s v="Beer Sales"/>
    <n v="632.24699999999996"/>
    <n v="0"/>
    <s v="Daily Sales Import"/>
    <n v="-632.24699999999996"/>
    <n v="632.24699999999996"/>
    <x v="2"/>
    <s v="2220"/>
    <s v="000"/>
    <x v="7"/>
    <x v="1"/>
  </r>
  <r>
    <d v="2012-05-25T00:00:00"/>
    <s v="018-2230-000"/>
    <s v="Wine Sales"/>
    <n v="98.664999999999992"/>
    <n v="0"/>
    <s v="Daily Sales Import"/>
    <n v="-98.664999999999992"/>
    <n v="98.664999999999992"/>
    <x v="2"/>
    <s v="2230"/>
    <s v="000"/>
    <x v="7"/>
    <x v="1"/>
  </r>
  <r>
    <d v="2012-05-26T00:00:00"/>
    <s v="018-2100-000"/>
    <s v="Food Sales"/>
    <n v="11868.773999999999"/>
    <n v="0"/>
    <s v="Daily Sales Import"/>
    <n v="-11868.773999999999"/>
    <n v="11868.773999999999"/>
    <x v="2"/>
    <s v="2100"/>
    <s v="000"/>
    <x v="7"/>
    <x v="1"/>
  </r>
  <r>
    <d v="2012-05-26T00:00:00"/>
    <s v="018-2210-000"/>
    <s v="Liquor Sales"/>
    <n v="2839.7649999999999"/>
    <n v="0"/>
    <s v="Daily Sales Import"/>
    <n v="-2839.7649999999999"/>
    <n v="2839.7649999999999"/>
    <x v="2"/>
    <s v="2210"/>
    <s v="000"/>
    <x v="7"/>
    <x v="1"/>
  </r>
  <r>
    <d v="2012-05-26T00:00:00"/>
    <s v="018-2220-000"/>
    <s v="Beer Sales"/>
    <n v="393.49799999999999"/>
    <n v="0"/>
    <s v="Daily Sales Import"/>
    <n v="-393.49799999999999"/>
    <n v="393.49799999999999"/>
    <x v="2"/>
    <s v="2220"/>
    <s v="000"/>
    <x v="7"/>
    <x v="1"/>
  </r>
  <r>
    <d v="2012-05-26T00:00:00"/>
    <s v="018-2230-000"/>
    <s v="Wine Sales"/>
    <n v="50.162999999999997"/>
    <n v="0"/>
    <s v="Daily Sales Import"/>
    <n v="-50.162999999999997"/>
    <n v="50.162999999999997"/>
    <x v="2"/>
    <s v="2230"/>
    <s v="000"/>
    <x v="7"/>
    <x v="1"/>
  </r>
  <r>
    <d v="2012-05-27T00:00:00"/>
    <s v="018-2100-000"/>
    <s v="Food Sales"/>
    <n v="9163.7820000000011"/>
    <n v="0"/>
    <s v="Daily Sales Import"/>
    <n v="-9163.7820000000011"/>
    <n v="9163.7820000000011"/>
    <x v="2"/>
    <s v="2100"/>
    <s v="000"/>
    <x v="7"/>
    <x v="1"/>
  </r>
  <r>
    <d v="2012-05-27T00:00:00"/>
    <s v="018-2210-000"/>
    <s v="Liquor Sales"/>
    <n v="1076.0475000000001"/>
    <n v="0"/>
    <s v="Daily Sales Import"/>
    <n v="-1076.0475000000001"/>
    <n v="1076.0475000000001"/>
    <x v="2"/>
    <s v="2210"/>
    <s v="000"/>
    <x v="7"/>
    <x v="1"/>
  </r>
  <r>
    <d v="2012-05-27T00:00:00"/>
    <s v="018-2220-000"/>
    <s v="Beer Sales"/>
    <n v="460.6875"/>
    <n v="0"/>
    <s v="Daily Sales Import"/>
    <n v="-460.6875"/>
    <n v="460.6875"/>
    <x v="2"/>
    <s v="2220"/>
    <s v="000"/>
    <x v="7"/>
    <x v="1"/>
  </r>
  <r>
    <d v="2012-05-27T00:00:00"/>
    <s v="018-2230-000"/>
    <s v="Wine Sales"/>
    <n v="87.488"/>
    <n v="0"/>
    <s v="Daily Sales Import"/>
    <n v="-87.488"/>
    <n v="87.488"/>
    <x v="2"/>
    <s v="2230"/>
    <s v="000"/>
    <x v="7"/>
    <x v="1"/>
  </r>
  <r>
    <d v="2012-05-28T00:00:00"/>
    <s v="016-2100-000"/>
    <s v="Food Sales"/>
    <n v="5499.5733999999993"/>
    <n v="0"/>
    <s v="Daily Sales Import"/>
    <n v="-5499.5733999999993"/>
    <n v="5499.5733999999993"/>
    <x v="0"/>
    <s v="2100"/>
    <s v="000"/>
    <x v="7"/>
    <x v="1"/>
  </r>
  <r>
    <d v="2012-05-28T00:00:00"/>
    <s v="016-2210-000"/>
    <s v="Liquor Sales"/>
    <n v="1246.0150000000001"/>
    <n v="0"/>
    <s v="Daily Sales Import"/>
    <n v="-1246.0150000000001"/>
    <n v="1246.0150000000001"/>
    <x v="0"/>
    <s v="2210"/>
    <s v="000"/>
    <x v="7"/>
    <x v="1"/>
  </r>
  <r>
    <d v="2012-05-28T00:00:00"/>
    <s v="016-2220-000"/>
    <s v="Beer Sales"/>
    <n v="149.60000000000002"/>
    <n v="0"/>
    <s v="Daily Sales Import"/>
    <n v="-149.60000000000002"/>
    <n v="149.60000000000002"/>
    <x v="0"/>
    <s v="2220"/>
    <s v="000"/>
    <x v="7"/>
    <x v="1"/>
  </r>
  <r>
    <d v="2012-05-28T00:00:00"/>
    <s v="016-2230-000"/>
    <s v="Wine Sales"/>
    <n v="116.23399999999999"/>
    <n v="0"/>
    <s v="Daily Sales Import"/>
    <n v="-116.23399999999999"/>
    <n v="116.23399999999999"/>
    <x v="0"/>
    <s v="2230"/>
    <s v="000"/>
    <x v="7"/>
    <x v="1"/>
  </r>
  <r>
    <d v="2012-05-29T00:00:00"/>
    <s v="016-2100-000"/>
    <s v="Food Sales"/>
    <n v="3503.5083999999997"/>
    <n v="0"/>
    <s v="Daily Sales Import"/>
    <n v="-3503.5083999999997"/>
    <n v="3503.5083999999997"/>
    <x v="0"/>
    <s v="2100"/>
    <s v="000"/>
    <x v="7"/>
    <x v="1"/>
  </r>
  <r>
    <d v="2012-05-29T00:00:00"/>
    <s v="016-2210-000"/>
    <s v="Liquor Sales"/>
    <n v="1048.4921999999999"/>
    <n v="0"/>
    <s v="Daily Sales Import"/>
    <n v="-1048.4921999999999"/>
    <n v="1048.4921999999999"/>
    <x v="0"/>
    <s v="2210"/>
    <s v="000"/>
    <x v="7"/>
    <x v="1"/>
  </r>
  <r>
    <d v="2012-05-29T00:00:00"/>
    <s v="016-2220-000"/>
    <s v="Beer Sales"/>
    <n v="477.23799999999994"/>
    <n v="0"/>
    <s v="Daily Sales Import"/>
    <n v="-477.23799999999994"/>
    <n v="477.23799999999994"/>
    <x v="0"/>
    <s v="2220"/>
    <s v="000"/>
    <x v="7"/>
    <x v="1"/>
  </r>
  <r>
    <d v="2012-05-29T00:00:00"/>
    <s v="016-2230-000"/>
    <s v="Wine Sales"/>
    <n v="140.5615"/>
    <n v="0"/>
    <s v="Daily Sales Import"/>
    <n v="-140.5615"/>
    <n v="140.5615"/>
    <x v="0"/>
    <s v="2230"/>
    <s v="000"/>
    <x v="7"/>
    <x v="1"/>
  </r>
  <r>
    <d v="2012-05-30T00:00:00"/>
    <s v="016-2100-000"/>
    <s v="Food Sales"/>
    <n v="2335.3188"/>
    <n v="0"/>
    <s v="Daily Sales Import"/>
    <n v="-2335.3188"/>
    <n v="2335.3188"/>
    <x v="0"/>
    <s v="2100"/>
    <s v="000"/>
    <x v="7"/>
    <x v="1"/>
  </r>
  <r>
    <d v="2012-05-30T00:00:00"/>
    <s v="016-2210-000"/>
    <s v="Liquor Sales"/>
    <n v="792.21"/>
    <n v="0"/>
    <s v="Daily Sales Import"/>
    <n v="-792.21"/>
    <n v="792.21"/>
    <x v="0"/>
    <s v="2210"/>
    <s v="000"/>
    <x v="7"/>
    <x v="1"/>
  </r>
  <r>
    <d v="2012-05-30T00:00:00"/>
    <s v="016-2220-000"/>
    <s v="Beer Sales"/>
    <n v="156.64000000000001"/>
    <n v="0"/>
    <s v="Daily Sales Import"/>
    <n v="-156.64000000000001"/>
    <n v="156.64000000000001"/>
    <x v="0"/>
    <s v="2220"/>
    <s v="000"/>
    <x v="7"/>
    <x v="1"/>
  </r>
  <r>
    <d v="2012-05-30T00:00:00"/>
    <s v="016-2230-000"/>
    <s v="Wine Sales"/>
    <n v="116.69350000000001"/>
    <n v="0"/>
    <s v="Daily Sales Import"/>
    <n v="-116.69350000000001"/>
    <n v="116.69350000000001"/>
    <x v="0"/>
    <s v="2230"/>
    <s v="000"/>
    <x v="7"/>
    <x v="1"/>
  </r>
  <r>
    <d v="2012-05-31T00:00:00"/>
    <s v="016-2100-000"/>
    <s v="Food Sales"/>
    <n v="3844.1890000000003"/>
    <n v="0"/>
    <s v="Daily Sales Import"/>
    <n v="-3844.1890000000003"/>
    <n v="3844.1890000000003"/>
    <x v="0"/>
    <s v="2100"/>
    <s v="000"/>
    <x v="7"/>
    <x v="1"/>
  </r>
  <r>
    <d v="2012-05-31T00:00:00"/>
    <s v="016-2210-000"/>
    <s v="Liquor Sales"/>
    <n v="811.72699999999998"/>
    <n v="0"/>
    <s v="Daily Sales Import"/>
    <n v="-811.72699999999998"/>
    <n v="811.72699999999998"/>
    <x v="0"/>
    <s v="2210"/>
    <s v="000"/>
    <x v="7"/>
    <x v="1"/>
  </r>
  <r>
    <d v="2012-05-31T00:00:00"/>
    <s v="016-2220-000"/>
    <s v="Beer Sales"/>
    <n v="199.96250000000001"/>
    <n v="0"/>
    <s v="Daily Sales Import"/>
    <n v="-199.96250000000001"/>
    <n v="199.96250000000001"/>
    <x v="0"/>
    <s v="2220"/>
    <s v="000"/>
    <x v="7"/>
    <x v="1"/>
  </r>
  <r>
    <d v="2012-05-31T00:00:00"/>
    <s v="016-2230-000"/>
    <s v="Wine Sales"/>
    <n v="93.8125"/>
    <n v="0"/>
    <s v="Daily Sales Import"/>
    <n v="-93.8125"/>
    <n v="93.8125"/>
    <x v="0"/>
    <s v="2230"/>
    <s v="000"/>
    <x v="7"/>
    <x v="1"/>
  </r>
  <r>
    <d v="2012-06-01T00:00:00"/>
    <s v="016-2100-000"/>
    <s v="Food Sales"/>
    <n v="6069.7350000000006"/>
    <n v="0"/>
    <s v="Daily Sales Import"/>
    <n v="-6069.7350000000006"/>
    <n v="6069.7350000000006"/>
    <x v="0"/>
    <s v="2100"/>
    <s v="000"/>
    <x v="8"/>
    <x v="1"/>
  </r>
  <r>
    <d v="2012-06-01T00:00:00"/>
    <s v="016-2210-000"/>
    <s v="Liquor Sales"/>
    <n v="1515.87"/>
    <n v="0"/>
    <s v="Daily Sales Import"/>
    <n v="-1515.87"/>
    <n v="1515.87"/>
    <x v="0"/>
    <s v="2210"/>
    <s v="000"/>
    <x v="8"/>
    <x v="1"/>
  </r>
  <r>
    <d v="2012-06-01T00:00:00"/>
    <s v="016-2220-000"/>
    <s v="Beer Sales"/>
    <n v="402.81300000000005"/>
    <n v="0"/>
    <s v="Daily Sales Import"/>
    <n v="-402.81300000000005"/>
    <n v="402.81300000000005"/>
    <x v="0"/>
    <s v="2220"/>
    <s v="000"/>
    <x v="8"/>
    <x v="1"/>
  </r>
  <r>
    <d v="2012-06-01T00:00:00"/>
    <s v="016-2230-000"/>
    <s v="Wine Sales"/>
    <n v="250.785"/>
    <n v="0"/>
    <s v="Daily Sales Import"/>
    <n v="-250.785"/>
    <n v="250.785"/>
    <x v="0"/>
    <s v="2230"/>
    <s v="000"/>
    <x v="8"/>
    <x v="1"/>
  </r>
  <r>
    <d v="2012-06-02T00:00:00"/>
    <s v="016-2100-000"/>
    <s v="Food Sales"/>
    <n v="5222.8982999999998"/>
    <n v="0"/>
    <s v="Daily Sales Import"/>
    <n v="-5222.8982999999998"/>
    <n v="5222.8982999999998"/>
    <x v="0"/>
    <s v="2100"/>
    <s v="000"/>
    <x v="8"/>
    <x v="1"/>
  </r>
  <r>
    <d v="2012-06-02T00:00:00"/>
    <s v="016-2210-000"/>
    <s v="Liquor Sales"/>
    <n v="1986.8994999999998"/>
    <n v="0"/>
    <s v="Daily Sales Import"/>
    <n v="-1986.8994999999998"/>
    <n v="1986.8994999999998"/>
    <x v="0"/>
    <s v="2210"/>
    <s v="000"/>
    <x v="8"/>
    <x v="1"/>
  </r>
  <r>
    <d v="2012-06-02T00:00:00"/>
    <s v="016-2220-000"/>
    <s v="Beer Sales"/>
    <n v="310.47000000000003"/>
    <n v="0"/>
    <s v="Daily Sales Import"/>
    <n v="-310.47000000000003"/>
    <n v="310.47000000000003"/>
    <x v="0"/>
    <s v="2220"/>
    <s v="000"/>
    <x v="8"/>
    <x v="1"/>
  </r>
  <r>
    <d v="2012-06-02T00:00:00"/>
    <s v="016-2230-000"/>
    <s v="Wine Sales"/>
    <n v="136.14400000000001"/>
    <n v="0"/>
    <s v="Daily Sales Import"/>
    <n v="-136.14400000000001"/>
    <n v="136.14400000000001"/>
    <x v="0"/>
    <s v="2230"/>
    <s v="000"/>
    <x v="8"/>
    <x v="1"/>
  </r>
  <r>
    <d v="2012-06-03T00:00:00"/>
    <s v="016-2100-000"/>
    <s v="Food Sales"/>
    <n v="3682.89"/>
    <n v="0"/>
    <s v="Daily Sales Import"/>
    <n v="-3682.89"/>
    <n v="3682.89"/>
    <x v="0"/>
    <s v="2100"/>
    <s v="000"/>
    <x v="8"/>
    <x v="1"/>
  </r>
  <r>
    <d v="2012-06-03T00:00:00"/>
    <s v="016-2210-000"/>
    <s v="Liquor Sales"/>
    <n v="1480.0228"/>
    <n v="0"/>
    <s v="Daily Sales Import"/>
    <n v="-1480.0228"/>
    <n v="1480.0228"/>
    <x v="0"/>
    <s v="2210"/>
    <s v="000"/>
    <x v="8"/>
    <x v="1"/>
  </r>
  <r>
    <d v="2012-06-03T00:00:00"/>
    <s v="016-2220-000"/>
    <s v="Beer Sales"/>
    <n v="227.94300000000001"/>
    <n v="0"/>
    <s v="Daily Sales Import"/>
    <n v="-227.94300000000001"/>
    <n v="227.94300000000001"/>
    <x v="0"/>
    <s v="2220"/>
    <s v="000"/>
    <x v="8"/>
    <x v="1"/>
  </r>
  <r>
    <d v="2012-06-03T00:00:00"/>
    <s v="016-2230-000"/>
    <s v="Wine Sales"/>
    <n v="36.996499999999997"/>
    <n v="0"/>
    <s v="Daily Sales Import"/>
    <n v="-36.996499999999997"/>
    <n v="36.996499999999997"/>
    <x v="0"/>
    <s v="2230"/>
    <s v="000"/>
    <x v="8"/>
    <x v="1"/>
  </r>
  <r>
    <d v="2012-05-28T00:00:00"/>
    <s v="017-2100-000"/>
    <s v="Food Sales"/>
    <n v="2731.7766999999999"/>
    <n v="0"/>
    <s v="Daily Sales Import"/>
    <n v="-2731.7766999999999"/>
    <n v="2731.7766999999999"/>
    <x v="1"/>
    <s v="2100"/>
    <s v="000"/>
    <x v="7"/>
    <x v="1"/>
  </r>
  <r>
    <d v="2012-05-28T00:00:00"/>
    <s v="017-2210-000"/>
    <s v="Liquor Sales"/>
    <n v="1022.1630000000001"/>
    <n v="0"/>
    <s v="Daily Sales Import"/>
    <n v="-1022.1630000000001"/>
    <n v="1022.1630000000001"/>
    <x v="1"/>
    <s v="2210"/>
    <s v="000"/>
    <x v="7"/>
    <x v="1"/>
  </r>
  <r>
    <d v="2012-05-28T00:00:00"/>
    <s v="017-2220-000"/>
    <s v="Beer Sales"/>
    <n v="147.32499999999999"/>
    <n v="0"/>
    <s v="Daily Sales Import"/>
    <n v="-147.32499999999999"/>
    <n v="147.32499999999999"/>
    <x v="1"/>
    <s v="2220"/>
    <s v="000"/>
    <x v="7"/>
    <x v="1"/>
  </r>
  <r>
    <d v="2012-05-28T00:00:00"/>
    <s v="017-2230-000"/>
    <s v="Wine Sales"/>
    <n v="47.547500000000007"/>
    <n v="0"/>
    <s v="Daily Sales Import"/>
    <n v="-47.547500000000007"/>
    <n v="47.547500000000007"/>
    <x v="1"/>
    <s v="2230"/>
    <s v="000"/>
    <x v="7"/>
    <x v="1"/>
  </r>
  <r>
    <d v="2012-05-29T00:00:00"/>
    <s v="017-2100-000"/>
    <s v="Food Sales"/>
    <n v="5426.1647999999996"/>
    <n v="0"/>
    <s v="Daily Sales Import"/>
    <n v="-5426.1647999999996"/>
    <n v="5426.1647999999996"/>
    <x v="1"/>
    <s v="2100"/>
    <s v="000"/>
    <x v="7"/>
    <x v="1"/>
  </r>
  <r>
    <d v="2012-05-29T00:00:00"/>
    <s v="017-2210-000"/>
    <s v="Liquor Sales"/>
    <n v="1079.58"/>
    <n v="0"/>
    <s v="Daily Sales Import"/>
    <n v="-1079.58"/>
    <n v="1079.58"/>
    <x v="1"/>
    <s v="2210"/>
    <s v="000"/>
    <x v="7"/>
    <x v="1"/>
  </r>
  <r>
    <d v="2012-05-29T00:00:00"/>
    <s v="017-2220-000"/>
    <s v="Beer Sales"/>
    <n v="276.5675"/>
    <n v="0"/>
    <s v="Daily Sales Import"/>
    <n v="-276.5675"/>
    <n v="276.5675"/>
    <x v="1"/>
    <s v="2220"/>
    <s v="000"/>
    <x v="7"/>
    <x v="1"/>
  </r>
  <r>
    <d v="2012-05-29T00:00:00"/>
    <s v="017-2230-000"/>
    <s v="Wine Sales"/>
    <n v="60.448499999999996"/>
    <n v="0"/>
    <s v="Daily Sales Import"/>
    <n v="-60.448499999999996"/>
    <n v="60.448499999999996"/>
    <x v="1"/>
    <s v="2230"/>
    <s v="000"/>
    <x v="7"/>
    <x v="1"/>
  </r>
  <r>
    <d v="2012-05-30T00:00:00"/>
    <s v="017-2100-000"/>
    <s v="Food Sales"/>
    <n v="5580.4646999999995"/>
    <n v="0"/>
    <s v="Daily Sales Import"/>
    <n v="-5580.4646999999995"/>
    <n v="5580.4646999999995"/>
    <x v="1"/>
    <s v="2100"/>
    <s v="000"/>
    <x v="7"/>
    <x v="1"/>
  </r>
  <r>
    <d v="2012-05-30T00:00:00"/>
    <s v="017-2210-000"/>
    <s v="Liquor Sales"/>
    <n v="1067.9234999999999"/>
    <n v="0"/>
    <s v="Daily Sales Import"/>
    <n v="-1067.9234999999999"/>
    <n v="1067.9234999999999"/>
    <x v="1"/>
    <s v="2210"/>
    <s v="000"/>
    <x v="7"/>
    <x v="1"/>
  </r>
  <r>
    <d v="2012-05-30T00:00:00"/>
    <s v="017-2220-000"/>
    <s v="Beer Sales"/>
    <n v="330.33"/>
    <n v="0"/>
    <s v="Daily Sales Import"/>
    <n v="-330.33"/>
    <n v="330.33"/>
    <x v="1"/>
    <s v="2220"/>
    <s v="000"/>
    <x v="7"/>
    <x v="1"/>
  </r>
  <r>
    <d v="2012-05-30T00:00:00"/>
    <s v="017-2230-000"/>
    <s v="Wine Sales"/>
    <n v="111.852"/>
    <n v="0"/>
    <s v="Daily Sales Import"/>
    <n v="-111.852"/>
    <n v="111.852"/>
    <x v="1"/>
    <s v="2230"/>
    <s v="000"/>
    <x v="7"/>
    <x v="1"/>
  </r>
  <r>
    <d v="2012-05-31T00:00:00"/>
    <s v="017-2100-000"/>
    <s v="Food Sales"/>
    <n v="5916.2999999999993"/>
    <n v="0"/>
    <s v="Daily Sales Import"/>
    <n v="-5916.2999999999993"/>
    <n v="5916.2999999999993"/>
    <x v="1"/>
    <s v="2100"/>
    <s v="000"/>
    <x v="7"/>
    <x v="1"/>
  </r>
  <r>
    <d v="2012-05-31T00:00:00"/>
    <s v="017-2210-000"/>
    <s v="Liquor Sales"/>
    <n v="1748.2725"/>
    <n v="0"/>
    <s v="Daily Sales Import"/>
    <n v="-1748.2725"/>
    <n v="1748.2725"/>
    <x v="1"/>
    <s v="2210"/>
    <s v="000"/>
    <x v="7"/>
    <x v="1"/>
  </r>
  <r>
    <d v="2012-05-31T00:00:00"/>
    <s v="017-2220-000"/>
    <s v="Beer Sales"/>
    <n v="348.88000000000005"/>
    <n v="0"/>
    <s v="Daily Sales Import"/>
    <n v="-348.88000000000005"/>
    <n v="348.88000000000005"/>
    <x v="1"/>
    <s v="2220"/>
    <s v="000"/>
    <x v="7"/>
    <x v="1"/>
  </r>
  <r>
    <d v="2012-05-31T00:00:00"/>
    <s v="017-2230-000"/>
    <s v="Wine Sales"/>
    <n v="85.528999999999996"/>
    <n v="0"/>
    <s v="Daily Sales Import"/>
    <n v="-85.528999999999996"/>
    <n v="85.528999999999996"/>
    <x v="1"/>
    <s v="2230"/>
    <s v="000"/>
    <x v="7"/>
    <x v="1"/>
  </r>
  <r>
    <d v="2012-06-01T00:00:00"/>
    <s v="017-2100-000"/>
    <s v="Food Sales"/>
    <n v="8601.9395000000004"/>
    <n v="0"/>
    <s v="Daily Sales Import"/>
    <n v="-8601.9395000000004"/>
    <n v="8601.9395000000004"/>
    <x v="1"/>
    <s v="2100"/>
    <s v="000"/>
    <x v="8"/>
    <x v="1"/>
  </r>
  <r>
    <d v="2012-06-01T00:00:00"/>
    <s v="017-2210-000"/>
    <s v="Liquor Sales"/>
    <n v="3270.7840000000001"/>
    <n v="0"/>
    <s v="Daily Sales Import"/>
    <n v="-3270.7840000000001"/>
    <n v="3270.7840000000001"/>
    <x v="1"/>
    <s v="2210"/>
    <s v="000"/>
    <x v="8"/>
    <x v="1"/>
  </r>
  <r>
    <d v="2012-06-01T00:00:00"/>
    <s v="017-2220-000"/>
    <s v="Beer Sales"/>
    <n v="350.86499999999995"/>
    <n v="0"/>
    <s v="Daily Sales Import"/>
    <n v="-350.86499999999995"/>
    <n v="350.86499999999995"/>
    <x v="1"/>
    <s v="2220"/>
    <s v="000"/>
    <x v="8"/>
    <x v="1"/>
  </r>
  <r>
    <d v="2012-06-01T00:00:00"/>
    <s v="017-2230-000"/>
    <s v="Wine Sales"/>
    <n v="158.84799999999998"/>
    <n v="0"/>
    <s v="Daily Sales Import"/>
    <n v="-158.84799999999998"/>
    <n v="158.84799999999998"/>
    <x v="1"/>
    <s v="2230"/>
    <s v="000"/>
    <x v="8"/>
    <x v="1"/>
  </r>
  <r>
    <d v="2012-06-02T00:00:00"/>
    <s v="017-2100-000"/>
    <s v="Food Sales"/>
    <n v="5540.81"/>
    <n v="0"/>
    <s v="Daily Sales Import"/>
    <n v="-5540.81"/>
    <n v="5540.81"/>
    <x v="1"/>
    <s v="2100"/>
    <s v="000"/>
    <x v="8"/>
    <x v="1"/>
  </r>
  <r>
    <d v="2012-06-02T00:00:00"/>
    <s v="017-2210-000"/>
    <s v="Liquor Sales"/>
    <n v="1587.3330000000001"/>
    <n v="0"/>
    <s v="Daily Sales Import"/>
    <n v="-1587.3330000000001"/>
    <n v="1587.3330000000001"/>
    <x v="1"/>
    <s v="2210"/>
    <s v="000"/>
    <x v="8"/>
    <x v="1"/>
  </r>
  <r>
    <d v="2012-06-02T00:00:00"/>
    <s v="017-2220-000"/>
    <s v="Beer Sales"/>
    <n v="533.21499999999992"/>
    <n v="0"/>
    <s v="Daily Sales Import"/>
    <n v="-533.21499999999992"/>
    <n v="533.21499999999992"/>
    <x v="1"/>
    <s v="2220"/>
    <s v="000"/>
    <x v="8"/>
    <x v="1"/>
  </r>
  <r>
    <d v="2012-06-02T00:00:00"/>
    <s v="017-2230-000"/>
    <s v="Wine Sales"/>
    <n v="64.307999999999993"/>
    <n v="0"/>
    <s v="Daily Sales Import"/>
    <n v="-64.307999999999993"/>
    <n v="64.307999999999993"/>
    <x v="1"/>
    <s v="2230"/>
    <s v="000"/>
    <x v="8"/>
    <x v="1"/>
  </r>
  <r>
    <d v="2012-06-03T00:00:00"/>
    <s v="017-2100-000"/>
    <s v="Food Sales"/>
    <n v="4218.1155000000008"/>
    <n v="0"/>
    <s v="Daily Sales Import"/>
    <n v="-4218.1155000000008"/>
    <n v="4218.1155000000008"/>
    <x v="1"/>
    <s v="2100"/>
    <s v="000"/>
    <x v="8"/>
    <x v="1"/>
  </r>
  <r>
    <d v="2012-06-03T00:00:00"/>
    <s v="017-2210-000"/>
    <s v="Liquor Sales"/>
    <n v="1072.1565000000001"/>
    <n v="0"/>
    <s v="Daily Sales Import"/>
    <n v="-1072.1565000000001"/>
    <n v="1072.1565000000001"/>
    <x v="1"/>
    <s v="2210"/>
    <s v="000"/>
    <x v="8"/>
    <x v="1"/>
  </r>
  <r>
    <d v="2012-06-03T00:00:00"/>
    <s v="017-2220-000"/>
    <s v="Beer Sales"/>
    <n v="187.935"/>
    <n v="0"/>
    <s v="Daily Sales Import"/>
    <n v="-187.935"/>
    <n v="187.935"/>
    <x v="1"/>
    <s v="2220"/>
    <s v="000"/>
    <x v="8"/>
    <x v="1"/>
  </r>
  <r>
    <d v="2012-06-03T00:00:00"/>
    <s v="017-2230-000"/>
    <s v="Wine Sales"/>
    <n v="67.996000000000009"/>
    <n v="0"/>
    <s v="Daily Sales Import"/>
    <n v="-67.996000000000009"/>
    <n v="67.996000000000009"/>
    <x v="1"/>
    <s v="2230"/>
    <s v="000"/>
    <x v="8"/>
    <x v="1"/>
  </r>
  <r>
    <d v="2012-05-28T00:00:00"/>
    <s v="018-2100-000"/>
    <s v="Food Sales"/>
    <n v="5266.7449999999999"/>
    <n v="0"/>
    <s v="Daily Sales Import"/>
    <n v="-5266.7449999999999"/>
    <n v="5266.7449999999999"/>
    <x v="2"/>
    <s v="2100"/>
    <s v="000"/>
    <x v="7"/>
    <x v="1"/>
  </r>
  <r>
    <d v="2012-05-28T00:00:00"/>
    <s v="018-2210-000"/>
    <s v="Liquor Sales"/>
    <n v="1348.0955000000001"/>
    <n v="0"/>
    <s v="Daily Sales Import"/>
    <n v="-1348.0955000000001"/>
    <n v="1348.0955000000001"/>
    <x v="2"/>
    <s v="2210"/>
    <s v="000"/>
    <x v="7"/>
    <x v="1"/>
  </r>
  <r>
    <d v="2012-05-28T00:00:00"/>
    <s v="018-2220-000"/>
    <s v="Beer Sales"/>
    <n v="185.28"/>
    <n v="0"/>
    <s v="Daily Sales Import"/>
    <n v="-185.28"/>
    <n v="185.28"/>
    <x v="2"/>
    <s v="2220"/>
    <s v="000"/>
    <x v="7"/>
    <x v="1"/>
  </r>
  <r>
    <d v="2012-05-28T00:00:00"/>
    <s v="018-2230-000"/>
    <s v="Wine Sales"/>
    <n v="32.476500000000001"/>
    <n v="0"/>
    <s v="Daily Sales Import"/>
    <n v="-32.476500000000001"/>
    <n v="32.476500000000001"/>
    <x v="2"/>
    <s v="2230"/>
    <s v="000"/>
    <x v="7"/>
    <x v="1"/>
  </r>
  <r>
    <d v="2012-05-29T00:00:00"/>
    <s v="018-2100-000"/>
    <s v="Food Sales"/>
    <n v="4321.9980000000005"/>
    <n v="0"/>
    <s v="Daily Sales Import"/>
    <n v="-4321.9980000000005"/>
    <n v="4321.9980000000005"/>
    <x v="2"/>
    <s v="2100"/>
    <s v="000"/>
    <x v="7"/>
    <x v="1"/>
  </r>
  <r>
    <d v="2012-05-29T00:00:00"/>
    <s v="018-2210-000"/>
    <s v="Liquor Sales"/>
    <n v="787.81499999999994"/>
    <n v="0"/>
    <s v="Daily Sales Import"/>
    <n v="-787.81499999999994"/>
    <n v="787.81499999999994"/>
    <x v="2"/>
    <s v="2210"/>
    <s v="000"/>
    <x v="7"/>
    <x v="1"/>
  </r>
  <r>
    <d v="2012-05-29T00:00:00"/>
    <s v="018-2220-000"/>
    <s v="Beer Sales"/>
    <n v="173.69800000000001"/>
    <n v="0"/>
    <s v="Daily Sales Import"/>
    <n v="-173.69800000000001"/>
    <n v="173.69800000000001"/>
    <x v="2"/>
    <s v="2220"/>
    <s v="000"/>
    <x v="7"/>
    <x v="1"/>
  </r>
  <r>
    <d v="2012-05-29T00:00:00"/>
    <s v="018-2230-000"/>
    <s v="Wine Sales"/>
    <n v="86.86399999999999"/>
    <n v="0"/>
    <s v="Daily Sales Import"/>
    <n v="-86.86399999999999"/>
    <n v="86.86399999999999"/>
    <x v="2"/>
    <s v="2230"/>
    <s v="000"/>
    <x v="7"/>
    <x v="1"/>
  </r>
  <r>
    <d v="2012-05-30T00:00:00"/>
    <s v="018-2100-000"/>
    <s v="Food Sales"/>
    <n v="5029.8131999999996"/>
    <n v="0"/>
    <s v="Daily Sales Import"/>
    <n v="-5029.8131999999996"/>
    <n v="5029.8131999999996"/>
    <x v="2"/>
    <s v="2100"/>
    <s v="000"/>
    <x v="7"/>
    <x v="1"/>
  </r>
  <r>
    <d v="2012-05-30T00:00:00"/>
    <s v="018-2210-000"/>
    <s v="Liquor Sales"/>
    <n v="479.21600000000001"/>
    <n v="0"/>
    <s v="Daily Sales Import"/>
    <n v="-479.21600000000001"/>
    <n v="479.21600000000001"/>
    <x v="2"/>
    <s v="2210"/>
    <s v="000"/>
    <x v="7"/>
    <x v="1"/>
  </r>
  <r>
    <d v="2012-05-30T00:00:00"/>
    <s v="018-2220-000"/>
    <s v="Beer Sales"/>
    <n v="204.14449999999997"/>
    <n v="0"/>
    <s v="Daily Sales Import"/>
    <n v="-204.14449999999997"/>
    <n v="204.14449999999997"/>
    <x v="2"/>
    <s v="2220"/>
    <s v="000"/>
    <x v="7"/>
    <x v="1"/>
  </r>
  <r>
    <d v="2012-05-30T00:00:00"/>
    <s v="018-2230-000"/>
    <s v="Wine Sales"/>
    <n v="67.150000000000006"/>
    <n v="0"/>
    <s v="Daily Sales Import"/>
    <n v="-67.150000000000006"/>
    <n v="67.150000000000006"/>
    <x v="2"/>
    <s v="2230"/>
    <s v="000"/>
    <x v="7"/>
    <x v="1"/>
  </r>
  <r>
    <d v="2012-05-31T00:00:00"/>
    <s v="018-2100-000"/>
    <s v="Food Sales"/>
    <n v="7119.5208000000002"/>
    <n v="0"/>
    <s v="Daily Sales Import"/>
    <n v="-7119.5208000000002"/>
    <n v="7119.5208000000002"/>
    <x v="2"/>
    <s v="2100"/>
    <s v="000"/>
    <x v="7"/>
    <x v="1"/>
  </r>
  <r>
    <d v="2012-05-31T00:00:00"/>
    <s v="018-2210-000"/>
    <s v="Liquor Sales"/>
    <n v="1370.7540000000001"/>
    <n v="0"/>
    <s v="Daily Sales Import"/>
    <n v="-1370.7540000000001"/>
    <n v="1370.7540000000001"/>
    <x v="2"/>
    <s v="2210"/>
    <s v="000"/>
    <x v="7"/>
    <x v="1"/>
  </r>
  <r>
    <d v="2012-05-31T00:00:00"/>
    <s v="018-2220-000"/>
    <s v="Beer Sales"/>
    <n v="205.76999999999998"/>
    <n v="0"/>
    <s v="Daily Sales Import"/>
    <n v="-205.76999999999998"/>
    <n v="205.76999999999998"/>
    <x v="2"/>
    <s v="2220"/>
    <s v="000"/>
    <x v="7"/>
    <x v="1"/>
  </r>
  <r>
    <d v="2012-05-31T00:00:00"/>
    <s v="018-2230-000"/>
    <s v="Wine Sales"/>
    <n v="161.62300000000002"/>
    <n v="0"/>
    <s v="Daily Sales Import"/>
    <n v="-161.62300000000002"/>
    <n v="161.62300000000002"/>
    <x v="2"/>
    <s v="2230"/>
    <s v="000"/>
    <x v="7"/>
    <x v="1"/>
  </r>
  <r>
    <d v="2012-06-01T00:00:00"/>
    <s v="018-2100-000"/>
    <s v="Food Sales"/>
    <n v="6551.7259999999997"/>
    <n v="0"/>
    <s v="Daily Sales Import"/>
    <n v="-6551.7259999999997"/>
    <n v="6551.7259999999997"/>
    <x v="2"/>
    <s v="2100"/>
    <s v="000"/>
    <x v="8"/>
    <x v="1"/>
  </r>
  <r>
    <d v="2012-06-01T00:00:00"/>
    <s v="018-2210-000"/>
    <s v="Liquor Sales"/>
    <n v="1443.4110000000001"/>
    <n v="0"/>
    <s v="Daily Sales Import"/>
    <n v="-1443.4110000000001"/>
    <n v="1443.4110000000001"/>
    <x v="2"/>
    <s v="2210"/>
    <s v="000"/>
    <x v="8"/>
    <x v="1"/>
  </r>
  <r>
    <d v="2012-06-01T00:00:00"/>
    <s v="018-2220-000"/>
    <s v="Beer Sales"/>
    <n v="503.56799999999998"/>
    <n v="0"/>
    <s v="Daily Sales Import"/>
    <n v="-503.56799999999998"/>
    <n v="503.56799999999998"/>
    <x v="2"/>
    <s v="2220"/>
    <s v="000"/>
    <x v="8"/>
    <x v="1"/>
  </r>
  <r>
    <d v="2012-06-01T00:00:00"/>
    <s v="018-2230-000"/>
    <s v="Wine Sales"/>
    <n v="157.32599999999999"/>
    <n v="0"/>
    <s v="Daily Sales Import"/>
    <n v="-157.32599999999999"/>
    <n v="157.32599999999999"/>
    <x v="2"/>
    <s v="2230"/>
    <s v="000"/>
    <x v="8"/>
    <x v="1"/>
  </r>
  <r>
    <d v="2012-06-02T00:00:00"/>
    <s v="018-2100-000"/>
    <s v="Food Sales"/>
    <n v="11902.672999999999"/>
    <n v="0"/>
    <s v="Daily Sales Import"/>
    <n v="-11902.672999999999"/>
    <n v="11902.672999999999"/>
    <x v="2"/>
    <s v="2100"/>
    <s v="000"/>
    <x v="8"/>
    <x v="1"/>
  </r>
  <r>
    <d v="2012-06-02T00:00:00"/>
    <s v="018-2210-000"/>
    <s v="Liquor Sales"/>
    <n v="2473.3439999999996"/>
    <n v="0"/>
    <s v="Daily Sales Import"/>
    <n v="-2473.3439999999996"/>
    <n v="2473.3439999999996"/>
    <x v="2"/>
    <s v="2210"/>
    <s v="000"/>
    <x v="8"/>
    <x v="1"/>
  </r>
  <r>
    <d v="2012-06-02T00:00:00"/>
    <s v="018-2220-000"/>
    <s v="Beer Sales"/>
    <n v="747.26099999999997"/>
    <n v="0"/>
    <s v="Daily Sales Import"/>
    <n v="-747.26099999999997"/>
    <n v="747.26099999999997"/>
    <x v="2"/>
    <s v="2220"/>
    <s v="000"/>
    <x v="8"/>
    <x v="1"/>
  </r>
  <r>
    <d v="2012-06-02T00:00:00"/>
    <s v="018-2230-000"/>
    <s v="Wine Sales"/>
    <n v="54.842000000000006"/>
    <n v="0"/>
    <s v="Daily Sales Import"/>
    <n v="-54.842000000000006"/>
    <n v="54.842000000000006"/>
    <x v="2"/>
    <s v="2230"/>
    <s v="000"/>
    <x v="8"/>
    <x v="1"/>
  </r>
  <r>
    <d v="2012-06-03T00:00:00"/>
    <s v="018-2100-000"/>
    <s v="Food Sales"/>
    <n v="9034.9326000000001"/>
    <n v="0"/>
    <s v="Daily Sales Import"/>
    <n v="-9034.9326000000001"/>
    <n v="9034.9326000000001"/>
    <x v="2"/>
    <s v="2100"/>
    <s v="000"/>
    <x v="8"/>
    <x v="1"/>
  </r>
  <r>
    <d v="2012-06-03T00:00:00"/>
    <s v="018-2210-000"/>
    <s v="Liquor Sales"/>
    <n v="1333.4460000000001"/>
    <n v="0"/>
    <s v="Daily Sales Import"/>
    <n v="-1333.4460000000001"/>
    <n v="1333.4460000000001"/>
    <x v="2"/>
    <s v="2210"/>
    <s v="000"/>
    <x v="8"/>
    <x v="1"/>
  </r>
  <r>
    <d v="2012-06-03T00:00:00"/>
    <s v="018-2220-000"/>
    <s v="Beer Sales"/>
    <n v="376.74899999999997"/>
    <n v="0"/>
    <s v="Daily Sales Import"/>
    <n v="-376.74899999999997"/>
    <n v="376.74899999999997"/>
    <x v="2"/>
    <s v="2220"/>
    <s v="000"/>
    <x v="8"/>
    <x v="1"/>
  </r>
  <r>
    <d v="2012-06-03T00:00:00"/>
    <s v="018-2230-000"/>
    <s v="Wine Sales"/>
    <n v="32.549999999999997"/>
    <n v="0"/>
    <s v="Daily Sales Import"/>
    <n v="-32.549999999999997"/>
    <n v="32.549999999999997"/>
    <x v="2"/>
    <s v="2230"/>
    <s v="000"/>
    <x v="8"/>
    <x v="1"/>
  </r>
  <r>
    <d v="2012-06-04T00:00:00"/>
    <s v="016-2100-000"/>
    <s v="Food Sales"/>
    <n v="2218.5425"/>
    <n v="0"/>
    <s v="Daily Sales Import"/>
    <n v="-2218.5425"/>
    <n v="2218.5425"/>
    <x v="0"/>
    <s v="2100"/>
    <s v="000"/>
    <x v="8"/>
    <x v="1"/>
  </r>
  <r>
    <d v="2012-06-04T00:00:00"/>
    <s v="016-2210-000"/>
    <s v="Liquor Sales"/>
    <n v="491.35450000000003"/>
    <n v="0"/>
    <s v="Daily Sales Import"/>
    <n v="-491.35450000000003"/>
    <n v="491.35450000000003"/>
    <x v="0"/>
    <s v="2210"/>
    <s v="000"/>
    <x v="8"/>
    <x v="1"/>
  </r>
  <r>
    <d v="2012-06-04T00:00:00"/>
    <s v="016-2220-000"/>
    <s v="Beer Sales"/>
    <n v="106.64999999999999"/>
    <n v="0"/>
    <s v="Daily Sales Import"/>
    <n v="-106.64999999999999"/>
    <n v="106.64999999999999"/>
    <x v="0"/>
    <s v="2220"/>
    <s v="000"/>
    <x v="8"/>
    <x v="1"/>
  </r>
  <r>
    <d v="2012-06-04T00:00:00"/>
    <s v="016-2230-000"/>
    <s v="Wine Sales"/>
    <n v="109.49699999999999"/>
    <n v="0"/>
    <s v="Daily Sales Import"/>
    <n v="-109.49699999999999"/>
    <n v="109.49699999999999"/>
    <x v="0"/>
    <s v="2230"/>
    <s v="000"/>
    <x v="8"/>
    <x v="1"/>
  </r>
  <r>
    <d v="2012-06-05T00:00:00"/>
    <s v="016-2100-000"/>
    <s v="Food Sales"/>
    <n v="3655.2870000000003"/>
    <n v="0"/>
    <s v="Daily Sales Import"/>
    <n v="-3655.2870000000003"/>
    <n v="3655.2870000000003"/>
    <x v="0"/>
    <s v="2100"/>
    <s v="000"/>
    <x v="8"/>
    <x v="1"/>
  </r>
  <r>
    <d v="2012-06-05T00:00:00"/>
    <s v="016-2210-000"/>
    <s v="Liquor Sales"/>
    <n v="1422.4350000000002"/>
    <n v="0"/>
    <s v="Daily Sales Import"/>
    <n v="-1422.4350000000002"/>
    <n v="1422.4350000000002"/>
    <x v="0"/>
    <s v="2210"/>
    <s v="000"/>
    <x v="8"/>
    <x v="1"/>
  </r>
  <r>
    <d v="2012-06-05T00:00:00"/>
    <s v="016-2220-000"/>
    <s v="Beer Sales"/>
    <n v="336.10550000000001"/>
    <n v="0"/>
    <s v="Daily Sales Import"/>
    <n v="-336.10550000000001"/>
    <n v="336.10550000000001"/>
    <x v="0"/>
    <s v="2220"/>
    <s v="000"/>
    <x v="8"/>
    <x v="1"/>
  </r>
  <r>
    <d v="2012-06-05T00:00:00"/>
    <s v="016-2230-000"/>
    <s v="Wine Sales"/>
    <n v="123.12849999999999"/>
    <n v="0"/>
    <s v="Daily Sales Import"/>
    <n v="-123.12849999999999"/>
    <n v="123.12849999999999"/>
    <x v="0"/>
    <s v="2230"/>
    <s v="000"/>
    <x v="8"/>
    <x v="1"/>
  </r>
  <r>
    <d v="2012-06-06T00:00:00"/>
    <s v="016-2100-000"/>
    <s v="Food Sales"/>
    <n v="3789.6659999999997"/>
    <n v="0"/>
    <s v="Daily Sales Import"/>
    <n v="-3789.6659999999997"/>
    <n v="3789.6659999999997"/>
    <x v="0"/>
    <s v="2100"/>
    <s v="000"/>
    <x v="8"/>
    <x v="1"/>
  </r>
  <r>
    <d v="2012-06-06T00:00:00"/>
    <s v="016-2210-000"/>
    <s v="Liquor Sales"/>
    <n v="1000.0665000000001"/>
    <n v="0"/>
    <s v="Daily Sales Import"/>
    <n v="-1000.0665000000001"/>
    <n v="1000.0665000000001"/>
    <x v="0"/>
    <s v="2210"/>
    <s v="000"/>
    <x v="8"/>
    <x v="1"/>
  </r>
  <r>
    <d v="2012-06-06T00:00:00"/>
    <s v="016-2220-000"/>
    <s v="Beer Sales"/>
    <n v="214.50869999999998"/>
    <n v="0"/>
    <s v="Daily Sales Import"/>
    <n v="-214.50869999999998"/>
    <n v="214.50869999999998"/>
    <x v="0"/>
    <s v="2220"/>
    <s v="000"/>
    <x v="8"/>
    <x v="1"/>
  </r>
  <r>
    <d v="2012-06-06T00:00:00"/>
    <s v="016-2230-000"/>
    <s v="Wine Sales"/>
    <n v="67.744499999999988"/>
    <n v="0"/>
    <s v="Daily Sales Import"/>
    <n v="-67.744499999999988"/>
    <n v="67.744499999999988"/>
    <x v="0"/>
    <s v="2230"/>
    <s v="000"/>
    <x v="8"/>
    <x v="1"/>
  </r>
  <r>
    <d v="2012-06-07T00:00:00"/>
    <s v="016-2100-000"/>
    <s v="Food Sales"/>
    <n v="2873.4488999999999"/>
    <n v="0"/>
    <s v="Daily Sales Import"/>
    <n v="-2873.4488999999999"/>
    <n v="2873.4488999999999"/>
    <x v="0"/>
    <s v="2100"/>
    <s v="000"/>
    <x v="8"/>
    <x v="1"/>
  </r>
  <r>
    <d v="2012-06-07T00:00:00"/>
    <s v="016-2210-000"/>
    <s v="Liquor Sales"/>
    <n v="1274.9829999999999"/>
    <n v="0"/>
    <s v="Daily Sales Import"/>
    <n v="-1274.9829999999999"/>
    <n v="1274.9829999999999"/>
    <x v="0"/>
    <s v="2210"/>
    <s v="000"/>
    <x v="8"/>
    <x v="1"/>
  </r>
  <r>
    <d v="2012-06-07T00:00:00"/>
    <s v="016-2220-000"/>
    <s v="Beer Sales"/>
    <n v="335.85300000000001"/>
    <n v="0"/>
    <s v="Daily Sales Import"/>
    <n v="-335.85300000000001"/>
    <n v="335.85300000000001"/>
    <x v="0"/>
    <s v="2220"/>
    <s v="000"/>
    <x v="8"/>
    <x v="1"/>
  </r>
  <r>
    <d v="2012-06-07T00:00:00"/>
    <s v="016-2230-000"/>
    <s v="Wine Sales"/>
    <n v="133.285"/>
    <n v="0"/>
    <s v="Daily Sales Import"/>
    <n v="-133.285"/>
    <n v="133.285"/>
    <x v="0"/>
    <s v="2230"/>
    <s v="000"/>
    <x v="8"/>
    <x v="1"/>
  </r>
  <r>
    <d v="2012-06-08T00:00:00"/>
    <s v="016-2100-000"/>
    <s v="Food Sales"/>
    <n v="7550.9946"/>
    <n v="0"/>
    <s v="Daily Sales Import"/>
    <n v="-7550.9946"/>
    <n v="7550.9946"/>
    <x v="0"/>
    <s v="2100"/>
    <s v="000"/>
    <x v="8"/>
    <x v="1"/>
  </r>
  <r>
    <d v="2012-06-08T00:00:00"/>
    <s v="016-2210-000"/>
    <s v="Liquor Sales"/>
    <n v="1896.9119999999998"/>
    <n v="0"/>
    <s v="Daily Sales Import"/>
    <n v="-1896.9119999999998"/>
    <n v="1896.9119999999998"/>
    <x v="0"/>
    <s v="2210"/>
    <s v="000"/>
    <x v="8"/>
    <x v="1"/>
  </r>
  <r>
    <d v="2012-06-08T00:00:00"/>
    <s v="016-2220-000"/>
    <s v="Beer Sales"/>
    <n v="390.60900000000004"/>
    <n v="0"/>
    <s v="Daily Sales Import"/>
    <n v="-390.60900000000004"/>
    <n v="390.60900000000004"/>
    <x v="0"/>
    <s v="2220"/>
    <s v="000"/>
    <x v="8"/>
    <x v="1"/>
  </r>
  <r>
    <d v="2012-06-08T00:00:00"/>
    <s v="016-2230-000"/>
    <s v="Wine Sales"/>
    <n v="157.54500000000002"/>
    <n v="0"/>
    <s v="Daily Sales Import"/>
    <n v="-157.54500000000002"/>
    <n v="157.54500000000002"/>
    <x v="0"/>
    <s v="2230"/>
    <s v="000"/>
    <x v="8"/>
    <x v="1"/>
  </r>
  <r>
    <d v="2012-06-09T00:00:00"/>
    <s v="016-2100-000"/>
    <s v="Food Sales"/>
    <n v="5209.1200000000008"/>
    <n v="0"/>
    <s v="Daily Sales Import"/>
    <n v="-5209.1200000000008"/>
    <n v="5209.1200000000008"/>
    <x v="0"/>
    <s v="2100"/>
    <s v="000"/>
    <x v="8"/>
    <x v="1"/>
  </r>
  <r>
    <d v="2012-06-09T00:00:00"/>
    <s v="016-2210-000"/>
    <s v="Liquor Sales"/>
    <n v="2052.6000000000004"/>
    <n v="0"/>
    <s v="Daily Sales Import"/>
    <n v="-2052.6000000000004"/>
    <n v="2052.6000000000004"/>
    <x v="0"/>
    <s v="2210"/>
    <s v="000"/>
    <x v="8"/>
    <x v="1"/>
  </r>
  <r>
    <d v="2012-06-09T00:00:00"/>
    <s v="016-2220-000"/>
    <s v="Beer Sales"/>
    <n v="516.51600000000008"/>
    <n v="0"/>
    <s v="Daily Sales Import"/>
    <n v="-516.51600000000008"/>
    <n v="516.51600000000008"/>
    <x v="0"/>
    <s v="2220"/>
    <s v="000"/>
    <x v="8"/>
    <x v="1"/>
  </r>
  <r>
    <d v="2012-06-09T00:00:00"/>
    <s v="016-2230-000"/>
    <s v="Wine Sales"/>
    <n v="101.00250000000001"/>
    <n v="0"/>
    <s v="Daily Sales Import"/>
    <n v="-101.00250000000001"/>
    <n v="101.00250000000001"/>
    <x v="0"/>
    <s v="2230"/>
    <s v="000"/>
    <x v="8"/>
    <x v="1"/>
  </r>
  <r>
    <d v="2012-06-10T00:00:00"/>
    <s v="016-2100-000"/>
    <s v="Food Sales"/>
    <n v="5634.4167999999991"/>
    <n v="0"/>
    <s v="Daily Sales Import"/>
    <n v="-5634.4167999999991"/>
    <n v="5634.4167999999991"/>
    <x v="0"/>
    <s v="2100"/>
    <s v="000"/>
    <x v="8"/>
    <x v="1"/>
  </r>
  <r>
    <d v="2012-06-10T00:00:00"/>
    <s v="016-2210-000"/>
    <s v="Liquor Sales"/>
    <n v="1592.0709999999999"/>
    <n v="0"/>
    <s v="Daily Sales Import"/>
    <n v="-1592.0709999999999"/>
    <n v="1592.0709999999999"/>
    <x v="0"/>
    <s v="2210"/>
    <s v="000"/>
    <x v="8"/>
    <x v="1"/>
  </r>
  <r>
    <d v="2012-06-10T00:00:00"/>
    <s v="016-2220-000"/>
    <s v="Beer Sales"/>
    <n v="138.85649999999998"/>
    <n v="0"/>
    <s v="Daily Sales Import"/>
    <n v="-138.85649999999998"/>
    <n v="138.85649999999998"/>
    <x v="0"/>
    <s v="2220"/>
    <s v="000"/>
    <x v="8"/>
    <x v="1"/>
  </r>
  <r>
    <d v="2012-06-10T00:00:00"/>
    <s v="016-2230-000"/>
    <s v="Wine Sales"/>
    <n v="36.363"/>
    <n v="0"/>
    <s v="Daily Sales Import"/>
    <n v="-36.363"/>
    <n v="36.363"/>
    <x v="0"/>
    <s v="2230"/>
    <s v="000"/>
    <x v="8"/>
    <x v="1"/>
  </r>
  <r>
    <d v="2012-06-04T00:00:00"/>
    <s v="017-2100-000"/>
    <s v="Food Sales"/>
    <n v="3612.7174999999997"/>
    <n v="0"/>
    <s v="Daily Sales Import"/>
    <n v="-3612.7174999999997"/>
    <n v="3612.7174999999997"/>
    <x v="1"/>
    <s v="2100"/>
    <s v="000"/>
    <x v="8"/>
    <x v="1"/>
  </r>
  <r>
    <d v="2012-06-04T00:00:00"/>
    <s v="017-2210-000"/>
    <s v="Liquor Sales"/>
    <n v="908.19650000000001"/>
    <n v="0"/>
    <s v="Daily Sales Import"/>
    <n v="-908.19650000000001"/>
    <n v="908.19650000000001"/>
    <x v="1"/>
    <s v="2210"/>
    <s v="000"/>
    <x v="8"/>
    <x v="1"/>
  </r>
  <r>
    <d v="2012-06-04T00:00:00"/>
    <s v="017-2220-000"/>
    <s v="Beer Sales"/>
    <n v="330.32749999999999"/>
    <n v="0"/>
    <s v="Daily Sales Import"/>
    <n v="-330.32749999999999"/>
    <n v="330.32749999999999"/>
    <x v="1"/>
    <s v="2220"/>
    <s v="000"/>
    <x v="8"/>
    <x v="1"/>
  </r>
  <r>
    <d v="2012-06-04T00:00:00"/>
    <s v="017-2230-000"/>
    <s v="Wine Sales"/>
    <n v="52.092500000000001"/>
    <n v="0"/>
    <s v="Daily Sales Import"/>
    <n v="-52.092500000000001"/>
    <n v="52.092500000000001"/>
    <x v="1"/>
    <s v="2230"/>
    <s v="000"/>
    <x v="8"/>
    <x v="1"/>
  </r>
  <r>
    <d v="2012-06-05T00:00:00"/>
    <s v="017-2100-000"/>
    <s v="Food Sales"/>
    <n v="6324.0501000000004"/>
    <n v="0"/>
    <s v="Daily Sales Import"/>
    <n v="-6324.0501000000004"/>
    <n v="6324.0501000000004"/>
    <x v="1"/>
    <s v="2100"/>
    <s v="000"/>
    <x v="8"/>
    <x v="1"/>
  </r>
  <r>
    <d v="2012-06-05T00:00:00"/>
    <s v="017-2210-000"/>
    <s v="Liquor Sales"/>
    <n v="1437.54"/>
    <n v="0"/>
    <s v="Daily Sales Import"/>
    <n v="-1437.54"/>
    <n v="1437.54"/>
    <x v="1"/>
    <s v="2210"/>
    <s v="000"/>
    <x v="8"/>
    <x v="1"/>
  </r>
  <r>
    <d v="2012-06-05T00:00:00"/>
    <s v="017-2220-000"/>
    <s v="Beer Sales"/>
    <n v="641.70000000000005"/>
    <n v="0"/>
    <s v="Daily Sales Import"/>
    <n v="-641.70000000000005"/>
    <n v="641.70000000000005"/>
    <x v="1"/>
    <s v="2220"/>
    <s v="000"/>
    <x v="8"/>
    <x v="1"/>
  </r>
  <r>
    <d v="2012-06-05T00:00:00"/>
    <s v="017-2230-000"/>
    <s v="Wine Sales"/>
    <n v="166.18799999999999"/>
    <n v="0"/>
    <s v="Daily Sales Import"/>
    <n v="-166.18799999999999"/>
    <n v="166.18799999999999"/>
    <x v="1"/>
    <s v="2230"/>
    <s v="000"/>
    <x v="8"/>
    <x v="1"/>
  </r>
  <r>
    <d v="2012-06-06T00:00:00"/>
    <s v="017-2100-000"/>
    <s v="Food Sales"/>
    <n v="6710.5249999999996"/>
    <n v="0"/>
    <s v="Daily Sales Import"/>
    <n v="-6710.5249999999996"/>
    <n v="6710.5249999999996"/>
    <x v="1"/>
    <s v="2100"/>
    <s v="000"/>
    <x v="8"/>
    <x v="1"/>
  </r>
  <r>
    <d v="2012-06-06T00:00:00"/>
    <s v="017-2210-000"/>
    <s v="Liquor Sales"/>
    <n v="2707.92"/>
    <n v="0"/>
    <s v="Daily Sales Import"/>
    <n v="-2707.92"/>
    <n v="2707.92"/>
    <x v="1"/>
    <s v="2210"/>
    <s v="000"/>
    <x v="8"/>
    <x v="1"/>
  </r>
  <r>
    <d v="2012-06-06T00:00:00"/>
    <s v="017-2220-000"/>
    <s v="Beer Sales"/>
    <n v="592.11"/>
    <n v="0"/>
    <s v="Daily Sales Import"/>
    <n v="-592.11"/>
    <n v="592.11"/>
    <x v="1"/>
    <s v="2220"/>
    <s v="000"/>
    <x v="8"/>
    <x v="1"/>
  </r>
  <r>
    <d v="2012-06-06T00:00:00"/>
    <s v="017-2230-000"/>
    <s v="Wine Sales"/>
    <n v="210.78749999999999"/>
    <n v="0"/>
    <s v="Daily Sales Import"/>
    <n v="-210.78749999999999"/>
    <n v="210.78749999999999"/>
    <x v="1"/>
    <s v="2230"/>
    <s v="000"/>
    <x v="8"/>
    <x v="1"/>
  </r>
  <r>
    <d v="2012-06-07T00:00:00"/>
    <s v="017-2100-000"/>
    <s v="Food Sales"/>
    <n v="5500.9679999999998"/>
    <n v="0"/>
    <s v="Daily Sales Import"/>
    <n v="-5500.9679999999998"/>
    <n v="5500.9679999999998"/>
    <x v="1"/>
    <s v="2100"/>
    <s v="000"/>
    <x v="8"/>
    <x v="1"/>
  </r>
  <r>
    <d v="2012-06-07T00:00:00"/>
    <s v="017-2210-000"/>
    <s v="Liquor Sales"/>
    <n v="1474.2750000000001"/>
    <n v="0"/>
    <s v="Daily Sales Import"/>
    <n v="-1474.2750000000001"/>
    <n v="1474.2750000000001"/>
    <x v="1"/>
    <s v="2210"/>
    <s v="000"/>
    <x v="8"/>
    <x v="1"/>
  </r>
  <r>
    <d v="2012-06-07T00:00:00"/>
    <s v="017-2220-000"/>
    <s v="Beer Sales"/>
    <n v="487.39000000000004"/>
    <n v="0"/>
    <s v="Daily Sales Import"/>
    <n v="-487.39000000000004"/>
    <n v="487.39000000000004"/>
    <x v="1"/>
    <s v="2220"/>
    <s v="000"/>
    <x v="8"/>
    <x v="1"/>
  </r>
  <r>
    <d v="2012-06-07T00:00:00"/>
    <s v="017-2230-000"/>
    <s v="Wine Sales"/>
    <n v="115.88500000000001"/>
    <n v="0"/>
    <s v="Daily Sales Import"/>
    <n v="-115.88500000000001"/>
    <n v="115.88500000000001"/>
    <x v="1"/>
    <s v="2230"/>
    <s v="000"/>
    <x v="8"/>
    <x v="1"/>
  </r>
  <r>
    <d v="2012-06-08T00:00:00"/>
    <s v="017-2100-000"/>
    <s v="Food Sales"/>
    <n v="7650.0227999999997"/>
    <n v="0"/>
    <s v="Daily Sales Import"/>
    <n v="-7650.0227999999997"/>
    <n v="7650.0227999999997"/>
    <x v="1"/>
    <s v="2100"/>
    <s v="000"/>
    <x v="8"/>
    <x v="1"/>
  </r>
  <r>
    <d v="2012-06-08T00:00:00"/>
    <s v="017-2210-000"/>
    <s v="Liquor Sales"/>
    <n v="2952.5625"/>
    <n v="0"/>
    <s v="Daily Sales Import"/>
    <n v="-2952.5625"/>
    <n v="2952.5625"/>
    <x v="1"/>
    <s v="2210"/>
    <s v="000"/>
    <x v="8"/>
    <x v="1"/>
  </r>
  <r>
    <d v="2012-06-08T00:00:00"/>
    <s v="017-2220-000"/>
    <s v="Beer Sales"/>
    <n v="485.93249999999995"/>
    <n v="0"/>
    <s v="Daily Sales Import"/>
    <n v="-485.93249999999995"/>
    <n v="485.93249999999995"/>
    <x v="1"/>
    <s v="2220"/>
    <s v="000"/>
    <x v="8"/>
    <x v="1"/>
  </r>
  <r>
    <d v="2012-06-08T00:00:00"/>
    <s v="017-2230-000"/>
    <s v="Wine Sales"/>
    <n v="144.018"/>
    <n v="0"/>
    <s v="Daily Sales Import"/>
    <n v="-144.018"/>
    <n v="144.018"/>
    <x v="1"/>
    <s v="2230"/>
    <s v="000"/>
    <x v="8"/>
    <x v="1"/>
  </r>
  <r>
    <d v="2012-06-09T00:00:00"/>
    <s v="017-2100-000"/>
    <s v="Food Sales"/>
    <n v="6949.6960000000008"/>
    <n v="0"/>
    <s v="Daily Sales Import"/>
    <n v="-6949.6960000000008"/>
    <n v="6949.6960000000008"/>
    <x v="1"/>
    <s v="2100"/>
    <s v="000"/>
    <x v="8"/>
    <x v="1"/>
  </r>
  <r>
    <d v="2012-06-09T00:00:00"/>
    <s v="017-2210-000"/>
    <s v="Liquor Sales"/>
    <n v="2188.1369999999997"/>
    <n v="0"/>
    <s v="Daily Sales Import"/>
    <n v="-2188.1369999999997"/>
    <n v="2188.1369999999997"/>
    <x v="1"/>
    <s v="2210"/>
    <s v="000"/>
    <x v="8"/>
    <x v="1"/>
  </r>
  <r>
    <d v="2012-06-09T00:00:00"/>
    <s v="017-2220-000"/>
    <s v="Beer Sales"/>
    <n v="286.3075"/>
    <n v="0"/>
    <s v="Daily Sales Import"/>
    <n v="-286.3075"/>
    <n v="286.3075"/>
    <x v="1"/>
    <s v="2220"/>
    <s v="000"/>
    <x v="8"/>
    <x v="1"/>
  </r>
  <r>
    <d v="2012-06-09T00:00:00"/>
    <s v="017-2230-000"/>
    <s v="Wine Sales"/>
    <n v="114.66000000000001"/>
    <n v="0"/>
    <s v="Daily Sales Import"/>
    <n v="-114.66000000000001"/>
    <n v="114.66000000000001"/>
    <x v="1"/>
    <s v="2230"/>
    <s v="000"/>
    <x v="8"/>
    <x v="1"/>
  </r>
  <r>
    <d v="2012-06-10T00:00:00"/>
    <s v="017-2100-000"/>
    <s v="Food Sales"/>
    <n v="3952.2599999999998"/>
    <n v="0"/>
    <s v="Daily Sales Import"/>
    <n v="-3952.2599999999998"/>
    <n v="3952.2599999999998"/>
    <x v="1"/>
    <s v="2100"/>
    <s v="000"/>
    <x v="8"/>
    <x v="1"/>
  </r>
  <r>
    <d v="2012-06-10T00:00:00"/>
    <s v="017-2210-000"/>
    <s v="Liquor Sales"/>
    <n v="1074.2850000000001"/>
    <n v="0"/>
    <s v="Daily Sales Import"/>
    <n v="-1074.2850000000001"/>
    <n v="1074.2850000000001"/>
    <x v="1"/>
    <s v="2210"/>
    <s v="000"/>
    <x v="8"/>
    <x v="1"/>
  </r>
  <r>
    <d v="2012-06-10T00:00:00"/>
    <s v="017-2220-000"/>
    <s v="Beer Sales"/>
    <n v="153.1875"/>
    <n v="0"/>
    <s v="Daily Sales Import"/>
    <n v="-153.1875"/>
    <n v="153.1875"/>
    <x v="1"/>
    <s v="2220"/>
    <s v="000"/>
    <x v="8"/>
    <x v="1"/>
  </r>
  <r>
    <d v="2012-06-10T00:00:00"/>
    <s v="017-2230-000"/>
    <s v="Wine Sales"/>
    <n v="48.762499999999996"/>
    <n v="0"/>
    <s v="Daily Sales Import"/>
    <n v="-48.762499999999996"/>
    <n v="48.762499999999996"/>
    <x v="1"/>
    <s v="2230"/>
    <s v="000"/>
    <x v="8"/>
    <x v="1"/>
  </r>
  <r>
    <d v="2012-06-04T00:00:00"/>
    <s v="018-2100-000"/>
    <s v="Food Sales"/>
    <n v="3868.6986000000002"/>
    <n v="0"/>
    <s v="Daily Sales Import"/>
    <n v="-3868.6986000000002"/>
    <n v="3868.6986000000002"/>
    <x v="2"/>
    <s v="2100"/>
    <s v="000"/>
    <x v="8"/>
    <x v="1"/>
  </r>
  <r>
    <d v="2012-06-04T00:00:00"/>
    <s v="018-2210-000"/>
    <s v="Liquor Sales"/>
    <n v="607.62099999999998"/>
    <n v="0"/>
    <s v="Daily Sales Import"/>
    <n v="-607.62099999999998"/>
    <n v="607.62099999999998"/>
    <x v="2"/>
    <s v="2210"/>
    <s v="000"/>
    <x v="8"/>
    <x v="1"/>
  </r>
  <r>
    <d v="2012-06-04T00:00:00"/>
    <s v="018-2220-000"/>
    <s v="Beer Sales"/>
    <n v="174.4015"/>
    <n v="0"/>
    <s v="Daily Sales Import"/>
    <n v="-174.4015"/>
    <n v="174.4015"/>
    <x v="2"/>
    <s v="2220"/>
    <s v="000"/>
    <x v="8"/>
    <x v="1"/>
  </r>
  <r>
    <d v="2012-06-04T00:00:00"/>
    <s v="018-2230-000"/>
    <s v="Wine Sales"/>
    <n v="45.18"/>
    <n v="0"/>
    <s v="Daily Sales Import"/>
    <n v="-45.18"/>
    <n v="45.18"/>
    <x v="2"/>
    <s v="2230"/>
    <s v="000"/>
    <x v="8"/>
    <x v="1"/>
  </r>
  <r>
    <d v="2012-06-05T00:00:00"/>
    <s v="018-2100-000"/>
    <s v="Food Sales"/>
    <n v="4067.2846999999997"/>
    <n v="0"/>
    <s v="Daily Sales Import"/>
    <n v="-4067.2846999999997"/>
    <n v="4067.2846999999997"/>
    <x v="2"/>
    <s v="2100"/>
    <s v="000"/>
    <x v="8"/>
    <x v="1"/>
  </r>
  <r>
    <d v="2012-06-05T00:00:00"/>
    <s v="018-2210-000"/>
    <s v="Liquor Sales"/>
    <n v="575.31200000000001"/>
    <n v="0"/>
    <s v="Daily Sales Import"/>
    <n v="-575.31200000000001"/>
    <n v="575.31200000000001"/>
    <x v="2"/>
    <s v="2210"/>
    <s v="000"/>
    <x v="8"/>
    <x v="1"/>
  </r>
  <r>
    <d v="2012-06-05T00:00:00"/>
    <s v="018-2220-000"/>
    <s v="Beer Sales"/>
    <n v="113.456"/>
    <n v="0"/>
    <s v="Daily Sales Import"/>
    <n v="-113.456"/>
    <n v="113.456"/>
    <x v="2"/>
    <s v="2220"/>
    <s v="000"/>
    <x v="8"/>
    <x v="1"/>
  </r>
  <r>
    <d v="2012-06-05T00:00:00"/>
    <s v="018-2230-000"/>
    <s v="Wine Sales"/>
    <n v="63.861999999999995"/>
    <n v="0"/>
    <s v="Daily Sales Import"/>
    <n v="-63.861999999999995"/>
    <n v="63.861999999999995"/>
    <x v="2"/>
    <s v="2230"/>
    <s v="000"/>
    <x v="8"/>
    <x v="1"/>
  </r>
  <r>
    <d v="2012-06-06T00:00:00"/>
    <s v="018-2100-000"/>
    <s v="Food Sales"/>
    <n v="4505.7012000000004"/>
    <n v="0"/>
    <s v="Daily Sales Import"/>
    <n v="-4505.7012000000004"/>
    <n v="4505.7012000000004"/>
    <x v="2"/>
    <s v="2100"/>
    <s v="000"/>
    <x v="8"/>
    <x v="1"/>
  </r>
  <r>
    <d v="2012-06-06T00:00:00"/>
    <s v="018-2210-000"/>
    <s v="Liquor Sales"/>
    <n v="894.06400000000008"/>
    <n v="0"/>
    <s v="Daily Sales Import"/>
    <n v="-894.06400000000008"/>
    <n v="894.06400000000008"/>
    <x v="2"/>
    <s v="2210"/>
    <s v="000"/>
    <x v="8"/>
    <x v="1"/>
  </r>
  <r>
    <d v="2012-06-06T00:00:00"/>
    <s v="018-2220-000"/>
    <s v="Beer Sales"/>
    <n v="174.59399999999999"/>
    <n v="0"/>
    <s v="Daily Sales Import"/>
    <n v="-174.59399999999999"/>
    <n v="174.59399999999999"/>
    <x v="2"/>
    <s v="2220"/>
    <s v="000"/>
    <x v="8"/>
    <x v="1"/>
  </r>
  <r>
    <d v="2012-06-06T00:00:00"/>
    <s v="018-2230-000"/>
    <s v="Wine Sales"/>
    <n v="28.909999999999997"/>
    <n v="0"/>
    <s v="Daily Sales Import"/>
    <n v="-28.909999999999997"/>
    <n v="28.909999999999997"/>
    <x v="2"/>
    <s v="2230"/>
    <s v="000"/>
    <x v="8"/>
    <x v="1"/>
  </r>
  <r>
    <d v="2012-06-07T00:00:00"/>
    <s v="018-2100-000"/>
    <s v="Food Sales"/>
    <n v="5074.6876000000002"/>
    <n v="0"/>
    <s v="Daily Sales Import"/>
    <n v="-5074.6876000000002"/>
    <n v="5074.6876000000002"/>
    <x v="2"/>
    <s v="2100"/>
    <s v="000"/>
    <x v="8"/>
    <x v="1"/>
  </r>
  <r>
    <d v="2012-06-07T00:00:00"/>
    <s v="018-2210-000"/>
    <s v="Liquor Sales"/>
    <n v="993.06900000000007"/>
    <n v="0"/>
    <s v="Daily Sales Import"/>
    <n v="-993.06900000000007"/>
    <n v="993.06900000000007"/>
    <x v="2"/>
    <s v="2210"/>
    <s v="000"/>
    <x v="8"/>
    <x v="1"/>
  </r>
  <r>
    <d v="2012-06-07T00:00:00"/>
    <s v="018-2220-000"/>
    <s v="Beer Sales"/>
    <n v="314.56350000000003"/>
    <n v="0"/>
    <s v="Daily Sales Import"/>
    <n v="-314.56350000000003"/>
    <n v="314.56350000000003"/>
    <x v="2"/>
    <s v="2220"/>
    <s v="000"/>
    <x v="8"/>
    <x v="1"/>
  </r>
  <r>
    <d v="2012-06-07T00:00:00"/>
    <s v="018-2230-000"/>
    <s v="Wine Sales"/>
    <n v="78.622"/>
    <n v="0"/>
    <s v="Daily Sales Import"/>
    <n v="-78.622"/>
    <n v="78.622"/>
    <x v="2"/>
    <s v="2230"/>
    <s v="000"/>
    <x v="8"/>
    <x v="1"/>
  </r>
  <r>
    <d v="2012-06-08T00:00:00"/>
    <s v="018-2100-000"/>
    <s v="Food Sales"/>
    <n v="11598.175499999999"/>
    <n v="0"/>
    <s v="Daily Sales Import"/>
    <n v="-11598.175499999999"/>
    <n v="11598.175499999999"/>
    <x v="2"/>
    <s v="2100"/>
    <s v="000"/>
    <x v="8"/>
    <x v="1"/>
  </r>
  <r>
    <d v="2012-06-08T00:00:00"/>
    <s v="018-2210-000"/>
    <s v="Liquor Sales"/>
    <n v="3442.7289999999998"/>
    <n v="0"/>
    <s v="Daily Sales Import"/>
    <n v="-3442.7289999999998"/>
    <n v="3442.7289999999998"/>
    <x v="2"/>
    <s v="2210"/>
    <s v="000"/>
    <x v="8"/>
    <x v="1"/>
  </r>
  <r>
    <d v="2012-06-08T00:00:00"/>
    <s v="018-2220-000"/>
    <s v="Beer Sales"/>
    <n v="780.62"/>
    <n v="0"/>
    <s v="Daily Sales Import"/>
    <n v="-780.62"/>
    <n v="780.62"/>
    <x v="2"/>
    <s v="2220"/>
    <s v="000"/>
    <x v="8"/>
    <x v="1"/>
  </r>
  <r>
    <d v="2012-06-08T00:00:00"/>
    <s v="018-2230-000"/>
    <s v="Wine Sales"/>
    <n v="147.48749999999998"/>
    <n v="0"/>
    <s v="Daily Sales Import"/>
    <n v="-147.48749999999998"/>
    <n v="147.48749999999998"/>
    <x v="2"/>
    <s v="2230"/>
    <s v="000"/>
    <x v="8"/>
    <x v="1"/>
  </r>
  <r>
    <d v="2012-06-09T00:00:00"/>
    <s v="018-2100-000"/>
    <s v="Food Sales"/>
    <n v="12452.050500000001"/>
    <n v="0"/>
    <s v="Daily Sales Import"/>
    <n v="-12452.050500000001"/>
    <n v="12452.050500000001"/>
    <x v="2"/>
    <s v="2100"/>
    <s v="000"/>
    <x v="8"/>
    <x v="1"/>
  </r>
  <r>
    <d v="2012-06-09T00:00:00"/>
    <s v="018-2210-000"/>
    <s v="Liquor Sales"/>
    <n v="1960.9365"/>
    <n v="0"/>
    <s v="Daily Sales Import"/>
    <n v="-1960.9365"/>
    <n v="1960.9365"/>
    <x v="2"/>
    <s v="2210"/>
    <s v="000"/>
    <x v="8"/>
    <x v="1"/>
  </r>
  <r>
    <d v="2012-06-09T00:00:00"/>
    <s v="018-2220-000"/>
    <s v="Beer Sales"/>
    <n v="727.98"/>
    <n v="0"/>
    <s v="Daily Sales Import"/>
    <n v="-727.98"/>
    <n v="727.98"/>
    <x v="2"/>
    <s v="2220"/>
    <s v="000"/>
    <x v="8"/>
    <x v="1"/>
  </r>
  <r>
    <d v="2012-06-09T00:00:00"/>
    <s v="018-2230-000"/>
    <s v="Wine Sales"/>
    <n v="54.925000000000004"/>
    <n v="0"/>
    <s v="Daily Sales Import"/>
    <n v="-54.925000000000004"/>
    <n v="54.925000000000004"/>
    <x v="2"/>
    <s v="2230"/>
    <s v="000"/>
    <x v="8"/>
    <x v="1"/>
  </r>
  <r>
    <d v="2012-06-10T00:00:00"/>
    <s v="018-2100-000"/>
    <s v="Food Sales"/>
    <n v="10008.759"/>
    <n v="0"/>
    <s v="Daily Sales Import"/>
    <n v="-10008.759"/>
    <n v="10008.759"/>
    <x v="2"/>
    <s v="2100"/>
    <s v="000"/>
    <x v="8"/>
    <x v="1"/>
  </r>
  <r>
    <d v="2012-06-10T00:00:00"/>
    <s v="018-2210-000"/>
    <s v="Liquor Sales"/>
    <n v="1902.1970000000001"/>
    <n v="0"/>
    <s v="Daily Sales Import"/>
    <n v="-1902.1970000000001"/>
    <n v="1902.1970000000001"/>
    <x v="2"/>
    <s v="2210"/>
    <s v="000"/>
    <x v="8"/>
    <x v="1"/>
  </r>
  <r>
    <d v="2012-06-10T00:00:00"/>
    <s v="018-2220-000"/>
    <s v="Beer Sales"/>
    <n v="244.2825"/>
    <n v="0"/>
    <s v="Daily Sales Import"/>
    <n v="-244.2825"/>
    <n v="244.2825"/>
    <x v="2"/>
    <s v="2220"/>
    <s v="000"/>
    <x v="8"/>
    <x v="1"/>
  </r>
  <r>
    <d v="2012-06-10T00:00:00"/>
    <s v="018-2230-000"/>
    <s v="Wine Sales"/>
    <n v="54.432000000000009"/>
    <n v="0"/>
    <s v="Daily Sales Import"/>
    <n v="-54.432000000000009"/>
    <n v="54.432000000000009"/>
    <x v="2"/>
    <s v="2230"/>
    <s v="000"/>
    <x v="8"/>
    <x v="1"/>
  </r>
  <r>
    <d v="2012-06-11T00:00:00"/>
    <s v="016-2100-000"/>
    <s v="Food Sales"/>
    <n v="2497.393"/>
    <n v="0"/>
    <s v="Daily Sales Import"/>
    <n v="-2497.393"/>
    <n v="2497.393"/>
    <x v="0"/>
    <s v="2100"/>
    <s v="000"/>
    <x v="8"/>
    <x v="1"/>
  </r>
  <r>
    <d v="2012-06-11T00:00:00"/>
    <s v="016-2210-000"/>
    <s v="Liquor Sales"/>
    <n v="550.90719999999999"/>
    <n v="0"/>
    <s v="Daily Sales Import"/>
    <n v="-550.90719999999999"/>
    <n v="550.90719999999999"/>
    <x v="0"/>
    <s v="2210"/>
    <s v="000"/>
    <x v="8"/>
    <x v="1"/>
  </r>
  <r>
    <d v="2012-06-11T00:00:00"/>
    <s v="016-2220-000"/>
    <s v="Beer Sales"/>
    <n v="145.60679999999999"/>
    <n v="0"/>
    <s v="Daily Sales Import"/>
    <n v="-145.60679999999999"/>
    <n v="145.60679999999999"/>
    <x v="0"/>
    <s v="2220"/>
    <s v="000"/>
    <x v="8"/>
    <x v="1"/>
  </r>
  <r>
    <d v="2012-06-11T00:00:00"/>
    <s v="016-2230-000"/>
    <s v="Wine Sales"/>
    <n v="54.872999999999998"/>
    <n v="0"/>
    <s v="Daily Sales Import"/>
    <n v="-54.872999999999998"/>
    <n v="54.872999999999998"/>
    <x v="0"/>
    <s v="2230"/>
    <s v="000"/>
    <x v="8"/>
    <x v="1"/>
  </r>
  <r>
    <d v="2012-06-12T00:00:00"/>
    <s v="016-2100-000"/>
    <s v="Food Sales"/>
    <n v="3029.5719999999997"/>
    <n v="0"/>
    <s v="Daily Sales Import"/>
    <n v="-3029.5719999999997"/>
    <n v="3029.5719999999997"/>
    <x v="0"/>
    <s v="2100"/>
    <s v="000"/>
    <x v="8"/>
    <x v="1"/>
  </r>
  <r>
    <d v="2012-06-12T00:00:00"/>
    <s v="016-2210-000"/>
    <s v="Liquor Sales"/>
    <n v="1713.0645000000002"/>
    <n v="0"/>
    <s v="Daily Sales Import"/>
    <n v="-1713.0645000000002"/>
    <n v="1713.0645000000002"/>
    <x v="0"/>
    <s v="2210"/>
    <s v="000"/>
    <x v="8"/>
    <x v="1"/>
  </r>
  <r>
    <d v="2012-06-12T00:00:00"/>
    <s v="016-2220-000"/>
    <s v="Beer Sales"/>
    <n v="583.1099999999999"/>
    <n v="0"/>
    <s v="Daily Sales Import"/>
    <n v="-583.1099999999999"/>
    <n v="583.1099999999999"/>
    <x v="0"/>
    <s v="2220"/>
    <s v="000"/>
    <x v="8"/>
    <x v="1"/>
  </r>
  <r>
    <d v="2012-06-12T00:00:00"/>
    <s v="016-2230-000"/>
    <s v="Wine Sales"/>
    <n v="112.26600000000001"/>
    <n v="0"/>
    <s v="Daily Sales Import"/>
    <n v="-112.26600000000001"/>
    <n v="112.26600000000001"/>
    <x v="0"/>
    <s v="2230"/>
    <s v="000"/>
    <x v="8"/>
    <x v="1"/>
  </r>
  <r>
    <d v="2012-06-13T00:00:00"/>
    <s v="016-2100-000"/>
    <s v="Food Sales"/>
    <n v="2600.2673"/>
    <n v="0"/>
    <s v="Daily Sales Import"/>
    <n v="-2600.2673"/>
    <n v="2600.2673"/>
    <x v="0"/>
    <s v="2100"/>
    <s v="000"/>
    <x v="8"/>
    <x v="1"/>
  </r>
  <r>
    <d v="2012-06-13T00:00:00"/>
    <s v="016-2210-000"/>
    <s v="Liquor Sales"/>
    <n v="712.23649999999998"/>
    <n v="0"/>
    <s v="Daily Sales Import"/>
    <n v="-712.23649999999998"/>
    <n v="712.23649999999998"/>
    <x v="0"/>
    <s v="2210"/>
    <s v="000"/>
    <x v="8"/>
    <x v="1"/>
  </r>
  <r>
    <d v="2012-06-13T00:00:00"/>
    <s v="016-2220-000"/>
    <s v="Beer Sales"/>
    <n v="72.503999999999991"/>
    <n v="0"/>
    <s v="Daily Sales Import"/>
    <n v="-72.503999999999991"/>
    <n v="72.503999999999991"/>
    <x v="0"/>
    <s v="2220"/>
    <s v="000"/>
    <x v="8"/>
    <x v="1"/>
  </r>
  <r>
    <d v="2012-06-13T00:00:00"/>
    <s v="016-2230-000"/>
    <s v="Wine Sales"/>
    <n v="26.112000000000002"/>
    <n v="0"/>
    <s v="Daily Sales Import"/>
    <n v="-26.112000000000002"/>
    <n v="26.112000000000002"/>
    <x v="0"/>
    <s v="2230"/>
    <s v="000"/>
    <x v="8"/>
    <x v="1"/>
  </r>
  <r>
    <d v="2012-06-14T00:00:00"/>
    <s v="016-2100-000"/>
    <s v="Food Sales"/>
    <n v="3226.4778000000001"/>
    <n v="0"/>
    <s v="Daily Sales Import"/>
    <n v="-3226.4778000000001"/>
    <n v="3226.4778000000001"/>
    <x v="0"/>
    <s v="2100"/>
    <s v="000"/>
    <x v="8"/>
    <x v="1"/>
  </r>
  <r>
    <d v="2012-06-14T00:00:00"/>
    <s v="016-2210-000"/>
    <s v="Liquor Sales"/>
    <n v="1012.7026"/>
    <n v="0"/>
    <s v="Daily Sales Import"/>
    <n v="-1012.7026"/>
    <n v="1012.7026"/>
    <x v="0"/>
    <s v="2210"/>
    <s v="000"/>
    <x v="8"/>
    <x v="1"/>
  </r>
  <r>
    <d v="2012-06-14T00:00:00"/>
    <s v="016-2220-000"/>
    <s v="Beer Sales"/>
    <n v="208.6695"/>
    <n v="0"/>
    <s v="Daily Sales Import"/>
    <n v="-208.6695"/>
    <n v="208.6695"/>
    <x v="0"/>
    <s v="2220"/>
    <s v="000"/>
    <x v="8"/>
    <x v="1"/>
  </r>
  <r>
    <d v="2012-06-14T00:00:00"/>
    <s v="016-2230-000"/>
    <s v="Wine Sales"/>
    <n v="68.875"/>
    <n v="0"/>
    <s v="Daily Sales Import"/>
    <n v="-68.875"/>
    <n v="68.875"/>
    <x v="0"/>
    <s v="2230"/>
    <s v="000"/>
    <x v="8"/>
    <x v="1"/>
  </r>
  <r>
    <d v="2012-06-15T00:00:00"/>
    <s v="016-2100-000"/>
    <s v="Food Sales"/>
    <n v="7358.1989999999987"/>
    <n v="0"/>
    <s v="Daily Sales Import"/>
    <n v="-7358.1989999999987"/>
    <n v="7358.1989999999987"/>
    <x v="0"/>
    <s v="2100"/>
    <s v="000"/>
    <x v="8"/>
    <x v="1"/>
  </r>
  <r>
    <d v="2012-06-15T00:00:00"/>
    <s v="016-2210-000"/>
    <s v="Liquor Sales"/>
    <n v="1563.4840000000002"/>
    <n v="0"/>
    <s v="Daily Sales Import"/>
    <n v="-1563.4840000000002"/>
    <n v="1563.4840000000002"/>
    <x v="0"/>
    <s v="2210"/>
    <s v="000"/>
    <x v="8"/>
    <x v="1"/>
  </r>
  <r>
    <d v="2012-06-15T00:00:00"/>
    <s v="016-2220-000"/>
    <s v="Beer Sales"/>
    <n v="288.59849999999994"/>
    <n v="0"/>
    <s v="Daily Sales Import"/>
    <n v="-288.59849999999994"/>
    <n v="288.59849999999994"/>
    <x v="0"/>
    <s v="2220"/>
    <s v="000"/>
    <x v="8"/>
    <x v="1"/>
  </r>
  <r>
    <d v="2012-06-15T00:00:00"/>
    <s v="016-2230-000"/>
    <s v="Wine Sales"/>
    <n v="52.873000000000005"/>
    <n v="0"/>
    <s v="Daily Sales Import"/>
    <n v="-52.873000000000005"/>
    <n v="52.873000000000005"/>
    <x v="0"/>
    <s v="2230"/>
    <s v="000"/>
    <x v="8"/>
    <x v="1"/>
  </r>
  <r>
    <d v="2012-06-16T00:00:00"/>
    <s v="016-2100-000"/>
    <s v="Food Sales"/>
    <n v="9867.2163"/>
    <n v="0"/>
    <s v="Daily Sales Import"/>
    <n v="-9867.2163"/>
    <n v="9867.2163"/>
    <x v="0"/>
    <s v="2100"/>
    <s v="000"/>
    <x v="8"/>
    <x v="1"/>
  </r>
  <r>
    <d v="2012-06-16T00:00:00"/>
    <s v="016-2210-000"/>
    <s v="Liquor Sales"/>
    <n v="1979.0562000000002"/>
    <n v="0"/>
    <s v="Daily Sales Import"/>
    <n v="-1979.0562000000002"/>
    <n v="1979.0562000000002"/>
    <x v="0"/>
    <s v="2210"/>
    <s v="000"/>
    <x v="8"/>
    <x v="1"/>
  </r>
  <r>
    <d v="2012-06-16T00:00:00"/>
    <s v="016-2220-000"/>
    <s v="Beer Sales"/>
    <n v="368.49329999999998"/>
    <n v="0"/>
    <s v="Daily Sales Import"/>
    <n v="-368.49329999999998"/>
    <n v="368.49329999999998"/>
    <x v="0"/>
    <s v="2220"/>
    <s v="000"/>
    <x v="8"/>
    <x v="1"/>
  </r>
  <r>
    <d v="2012-06-16T00:00:00"/>
    <s v="016-2230-000"/>
    <s v="Wine Sales"/>
    <n v="121.53899999999999"/>
    <n v="0"/>
    <s v="Daily Sales Import"/>
    <n v="-121.53899999999999"/>
    <n v="121.53899999999999"/>
    <x v="0"/>
    <s v="2230"/>
    <s v="000"/>
    <x v="8"/>
    <x v="1"/>
  </r>
  <r>
    <d v="2012-06-17T00:00:00"/>
    <s v="016-2100-000"/>
    <s v="Food Sales"/>
    <n v="6583.5798999999997"/>
    <n v="0"/>
    <s v="Daily Sales Import"/>
    <n v="-6583.5798999999997"/>
    <n v="6583.5798999999997"/>
    <x v="0"/>
    <s v="2100"/>
    <s v="000"/>
    <x v="8"/>
    <x v="1"/>
  </r>
  <r>
    <d v="2012-06-17T00:00:00"/>
    <s v="016-2210-000"/>
    <s v="Liquor Sales"/>
    <n v="1666.8267999999998"/>
    <n v="0"/>
    <s v="Daily Sales Import"/>
    <n v="-1666.8267999999998"/>
    <n v="1666.8267999999998"/>
    <x v="0"/>
    <s v="2210"/>
    <s v="000"/>
    <x v="8"/>
    <x v="1"/>
  </r>
  <r>
    <d v="2012-06-17T00:00:00"/>
    <s v="016-2220-000"/>
    <s v="Beer Sales"/>
    <n v="518.36399999999992"/>
    <n v="0"/>
    <s v="Daily Sales Import"/>
    <n v="-518.36399999999992"/>
    <n v="518.36399999999992"/>
    <x v="0"/>
    <s v="2220"/>
    <s v="000"/>
    <x v="8"/>
    <x v="1"/>
  </r>
  <r>
    <d v="2012-06-17T00:00:00"/>
    <s v="016-2230-000"/>
    <s v="Wine Sales"/>
    <n v="122.976"/>
    <n v="0"/>
    <s v="Daily Sales Import"/>
    <n v="-122.976"/>
    <n v="122.976"/>
    <x v="0"/>
    <s v="2230"/>
    <s v="000"/>
    <x v="8"/>
    <x v="1"/>
  </r>
  <r>
    <d v="2012-06-11T00:00:00"/>
    <s v="017-2100-000"/>
    <s v="Food Sales"/>
    <n v="3950.3424"/>
    <n v="0"/>
    <s v="Daily Sales Import"/>
    <n v="-3950.3424"/>
    <n v="3950.3424"/>
    <x v="1"/>
    <s v="2100"/>
    <s v="000"/>
    <x v="8"/>
    <x v="1"/>
  </r>
  <r>
    <d v="2012-06-11T00:00:00"/>
    <s v="017-2210-000"/>
    <s v="Liquor Sales"/>
    <n v="979.08750000000009"/>
    <n v="0"/>
    <s v="Daily Sales Import"/>
    <n v="-979.08750000000009"/>
    <n v="979.08750000000009"/>
    <x v="1"/>
    <s v="2210"/>
    <s v="000"/>
    <x v="8"/>
    <x v="1"/>
  </r>
  <r>
    <d v="2012-06-11T00:00:00"/>
    <s v="017-2220-000"/>
    <s v="Beer Sales"/>
    <n v="324.11500000000001"/>
    <n v="0"/>
    <s v="Daily Sales Import"/>
    <n v="-324.11500000000001"/>
    <n v="324.11500000000001"/>
    <x v="1"/>
    <s v="2220"/>
    <s v="000"/>
    <x v="8"/>
    <x v="1"/>
  </r>
  <r>
    <d v="2012-06-11T00:00:00"/>
    <s v="017-2230-000"/>
    <s v="Wine Sales"/>
    <n v="56.317999999999991"/>
    <n v="0"/>
    <s v="Daily Sales Import"/>
    <n v="-56.317999999999991"/>
    <n v="56.317999999999991"/>
    <x v="1"/>
    <s v="2230"/>
    <s v="000"/>
    <x v="8"/>
    <x v="1"/>
  </r>
  <r>
    <d v="2012-06-12T00:00:00"/>
    <s v="017-2100-000"/>
    <s v="Food Sales"/>
    <n v="5242.440599999999"/>
    <n v="0"/>
    <s v="Daily Sales Import"/>
    <n v="-5242.440599999999"/>
    <n v="5242.440599999999"/>
    <x v="1"/>
    <s v="2100"/>
    <s v="000"/>
    <x v="8"/>
    <x v="1"/>
  </r>
  <r>
    <d v="2012-06-12T00:00:00"/>
    <s v="017-2210-000"/>
    <s v="Liquor Sales"/>
    <n v="1191.8320000000001"/>
    <n v="0"/>
    <s v="Daily Sales Import"/>
    <n v="-1191.8320000000001"/>
    <n v="1191.8320000000001"/>
    <x v="1"/>
    <s v="2210"/>
    <s v="000"/>
    <x v="8"/>
    <x v="1"/>
  </r>
  <r>
    <d v="2012-06-12T00:00:00"/>
    <s v="017-2220-000"/>
    <s v="Beer Sales"/>
    <n v="395.77"/>
    <n v="0"/>
    <s v="Daily Sales Import"/>
    <n v="-395.77"/>
    <n v="395.77"/>
    <x v="1"/>
    <s v="2220"/>
    <s v="000"/>
    <x v="8"/>
    <x v="1"/>
  </r>
  <r>
    <d v="2012-06-12T00:00:00"/>
    <s v="017-2230-000"/>
    <s v="Wine Sales"/>
    <n v="109.836"/>
    <n v="0"/>
    <s v="Daily Sales Import"/>
    <n v="-109.836"/>
    <n v="109.836"/>
    <x v="1"/>
    <s v="2230"/>
    <s v="000"/>
    <x v="8"/>
    <x v="1"/>
  </r>
  <r>
    <d v="2012-06-13T00:00:00"/>
    <s v="017-2100-000"/>
    <s v="Food Sales"/>
    <n v="9710.660100000001"/>
    <n v="0"/>
    <s v="Daily Sales Import"/>
    <n v="-9710.660100000001"/>
    <n v="9710.660100000001"/>
    <x v="1"/>
    <s v="2100"/>
    <s v="000"/>
    <x v="8"/>
    <x v="1"/>
  </r>
  <r>
    <d v="2012-06-13T00:00:00"/>
    <s v="017-2210-000"/>
    <s v="Liquor Sales"/>
    <n v="2175.6959999999999"/>
    <n v="0"/>
    <s v="Daily Sales Import"/>
    <n v="-2175.6959999999999"/>
    <n v="2175.6959999999999"/>
    <x v="1"/>
    <s v="2210"/>
    <s v="000"/>
    <x v="8"/>
    <x v="1"/>
  </r>
  <r>
    <d v="2012-06-13T00:00:00"/>
    <s v="017-2220-000"/>
    <s v="Beer Sales"/>
    <n v="682.84999999999991"/>
    <n v="0"/>
    <s v="Daily Sales Import"/>
    <n v="-682.84999999999991"/>
    <n v="682.84999999999991"/>
    <x v="1"/>
    <s v="2220"/>
    <s v="000"/>
    <x v="8"/>
    <x v="1"/>
  </r>
  <r>
    <d v="2012-06-13T00:00:00"/>
    <s v="017-2230-000"/>
    <s v="Wine Sales"/>
    <n v="96.41500000000002"/>
    <n v="0"/>
    <s v="Daily Sales Import"/>
    <n v="-96.41500000000002"/>
    <n v="96.41500000000002"/>
    <x v="1"/>
    <s v="2230"/>
    <s v="000"/>
    <x v="8"/>
    <x v="1"/>
  </r>
  <r>
    <d v="2012-06-14T00:00:00"/>
    <s v="017-2100-000"/>
    <s v="Food Sales"/>
    <n v="5471.7780000000012"/>
    <n v="0"/>
    <s v="Daily Sales Import"/>
    <n v="-5471.7780000000012"/>
    <n v="5471.7780000000012"/>
    <x v="1"/>
    <s v="2100"/>
    <s v="000"/>
    <x v="8"/>
    <x v="1"/>
  </r>
  <r>
    <d v="2012-06-14T00:00:00"/>
    <s v="017-2210-000"/>
    <s v="Liquor Sales"/>
    <n v="1619.2890000000002"/>
    <n v="0"/>
    <s v="Daily Sales Import"/>
    <n v="-1619.2890000000002"/>
    <n v="1619.2890000000002"/>
    <x v="1"/>
    <s v="2210"/>
    <s v="000"/>
    <x v="8"/>
    <x v="1"/>
  </r>
  <r>
    <d v="2012-06-14T00:00:00"/>
    <s v="017-2220-000"/>
    <s v="Beer Sales"/>
    <n v="613.80000000000007"/>
    <n v="0"/>
    <s v="Daily Sales Import"/>
    <n v="-613.80000000000007"/>
    <n v="613.80000000000007"/>
    <x v="1"/>
    <s v="2220"/>
    <s v="000"/>
    <x v="8"/>
    <x v="1"/>
  </r>
  <r>
    <d v="2012-06-14T00:00:00"/>
    <s v="017-2230-000"/>
    <s v="Wine Sales"/>
    <n v="218.07950000000002"/>
    <n v="0"/>
    <s v="Daily Sales Import"/>
    <n v="-218.07950000000002"/>
    <n v="218.07950000000002"/>
    <x v="1"/>
    <s v="2230"/>
    <s v="000"/>
    <x v="8"/>
    <x v="1"/>
  </r>
  <r>
    <d v="2012-06-15T00:00:00"/>
    <s v="017-2100-000"/>
    <s v="Food Sales"/>
    <n v="6008.3180999999995"/>
    <n v="0"/>
    <s v="Daily Sales Import"/>
    <n v="-6008.3180999999995"/>
    <n v="6008.3180999999995"/>
    <x v="1"/>
    <s v="2100"/>
    <s v="000"/>
    <x v="8"/>
    <x v="1"/>
  </r>
  <r>
    <d v="2012-06-15T00:00:00"/>
    <s v="017-2210-000"/>
    <s v="Liquor Sales"/>
    <n v="2641.6979999999999"/>
    <n v="0"/>
    <s v="Daily Sales Import"/>
    <n v="-2641.6979999999999"/>
    <n v="2641.6979999999999"/>
    <x v="1"/>
    <s v="2210"/>
    <s v="000"/>
    <x v="8"/>
    <x v="1"/>
  </r>
  <r>
    <d v="2012-06-15T00:00:00"/>
    <s v="017-2220-000"/>
    <s v="Beer Sales"/>
    <n v="496.91"/>
    <n v="0"/>
    <s v="Daily Sales Import"/>
    <n v="-496.91"/>
    <n v="496.91"/>
    <x v="1"/>
    <s v="2220"/>
    <s v="000"/>
    <x v="8"/>
    <x v="1"/>
  </r>
  <r>
    <d v="2012-06-15T00:00:00"/>
    <s v="017-2230-000"/>
    <s v="Wine Sales"/>
    <n v="126.23949999999999"/>
    <n v="0"/>
    <s v="Daily Sales Import"/>
    <n v="-126.23949999999999"/>
    <n v="126.23949999999999"/>
    <x v="1"/>
    <s v="2230"/>
    <s v="000"/>
    <x v="8"/>
    <x v="1"/>
  </r>
  <r>
    <d v="2012-06-16T00:00:00"/>
    <s v="017-2100-000"/>
    <s v="Food Sales"/>
    <n v="4803.640800000001"/>
    <n v="0"/>
    <s v="Daily Sales Import"/>
    <n v="-4803.640800000001"/>
    <n v="4803.640800000001"/>
    <x v="1"/>
    <s v="2100"/>
    <s v="000"/>
    <x v="8"/>
    <x v="1"/>
  </r>
  <r>
    <d v="2012-06-16T00:00:00"/>
    <s v="017-2210-000"/>
    <s v="Liquor Sales"/>
    <n v="3189.0909999999999"/>
    <n v="0"/>
    <s v="Daily Sales Import"/>
    <n v="-3189.0909999999999"/>
    <n v="3189.0909999999999"/>
    <x v="1"/>
    <s v="2210"/>
    <s v="000"/>
    <x v="8"/>
    <x v="1"/>
  </r>
  <r>
    <d v="2012-06-16T00:00:00"/>
    <s v="017-2220-000"/>
    <s v="Beer Sales"/>
    <n v="337.755"/>
    <n v="0"/>
    <s v="Daily Sales Import"/>
    <n v="-337.755"/>
    <n v="337.755"/>
    <x v="1"/>
    <s v="2220"/>
    <s v="000"/>
    <x v="8"/>
    <x v="1"/>
  </r>
  <r>
    <d v="2012-06-16T00:00:00"/>
    <s v="017-2230-000"/>
    <s v="Wine Sales"/>
    <n v="89.794000000000011"/>
    <n v="0"/>
    <s v="Daily Sales Import"/>
    <n v="-89.794000000000011"/>
    <n v="89.794000000000011"/>
    <x v="1"/>
    <s v="2230"/>
    <s v="000"/>
    <x v="8"/>
    <x v="1"/>
  </r>
  <r>
    <d v="2012-06-17T00:00:00"/>
    <s v="017-2100-000"/>
    <s v="Food Sales"/>
    <n v="5361.78"/>
    <n v="0"/>
    <s v="Daily Sales Import"/>
    <n v="-5361.78"/>
    <n v="5361.78"/>
    <x v="1"/>
    <s v="2100"/>
    <s v="000"/>
    <x v="8"/>
    <x v="1"/>
  </r>
  <r>
    <d v="2012-06-17T00:00:00"/>
    <s v="017-2210-000"/>
    <s v="Liquor Sales"/>
    <n v="968.65649999999982"/>
    <n v="0"/>
    <s v="Daily Sales Import"/>
    <n v="-968.65649999999982"/>
    <n v="968.65649999999982"/>
    <x v="1"/>
    <s v="2210"/>
    <s v="000"/>
    <x v="8"/>
    <x v="1"/>
  </r>
  <r>
    <d v="2012-06-17T00:00:00"/>
    <s v="017-2220-000"/>
    <s v="Beer Sales"/>
    <n v="278.95999999999998"/>
    <n v="0"/>
    <s v="Daily Sales Import"/>
    <n v="-278.95999999999998"/>
    <n v="278.95999999999998"/>
    <x v="1"/>
    <s v="2220"/>
    <s v="000"/>
    <x v="8"/>
    <x v="1"/>
  </r>
  <r>
    <d v="2012-06-17T00:00:00"/>
    <s v="017-2230-000"/>
    <s v="Wine Sales"/>
    <n v="63.619500000000002"/>
    <n v="0"/>
    <s v="Daily Sales Import"/>
    <n v="-63.619500000000002"/>
    <n v="63.619500000000002"/>
    <x v="1"/>
    <s v="2230"/>
    <s v="000"/>
    <x v="8"/>
    <x v="1"/>
  </r>
  <r>
    <d v="2012-06-11T00:00:00"/>
    <s v="018-2100-000"/>
    <s v="Food Sales"/>
    <n v="4810.9189999999999"/>
    <n v="0"/>
    <s v="Daily Sales Import"/>
    <n v="-4810.9189999999999"/>
    <n v="4810.9189999999999"/>
    <x v="2"/>
    <s v="2100"/>
    <s v="000"/>
    <x v="8"/>
    <x v="1"/>
  </r>
  <r>
    <d v="2012-06-11T00:00:00"/>
    <s v="018-2210-000"/>
    <s v="Liquor Sales"/>
    <n v="946.04399999999998"/>
    <n v="0"/>
    <s v="Daily Sales Import"/>
    <n v="-946.04399999999998"/>
    <n v="946.04399999999998"/>
    <x v="2"/>
    <s v="2210"/>
    <s v="000"/>
    <x v="8"/>
    <x v="1"/>
  </r>
  <r>
    <d v="2012-06-11T00:00:00"/>
    <s v="018-2220-000"/>
    <s v="Beer Sales"/>
    <n v="128.34900000000002"/>
    <n v="0"/>
    <s v="Daily Sales Import"/>
    <n v="-128.34900000000002"/>
    <n v="128.34900000000002"/>
    <x v="2"/>
    <s v="2220"/>
    <s v="000"/>
    <x v="8"/>
    <x v="1"/>
  </r>
  <r>
    <d v="2012-06-11T00:00:00"/>
    <s v="018-2230-000"/>
    <s v="Wine Sales"/>
    <n v="103.83499999999999"/>
    <n v="0"/>
    <s v="Daily Sales Import"/>
    <n v="-103.83499999999999"/>
    <n v="103.83499999999999"/>
    <x v="2"/>
    <s v="2230"/>
    <s v="000"/>
    <x v="8"/>
    <x v="1"/>
  </r>
  <r>
    <d v="2012-06-12T00:00:00"/>
    <s v="018-2100-000"/>
    <s v="Food Sales"/>
    <n v="6331.0127999999995"/>
    <n v="0"/>
    <s v="Daily Sales Import"/>
    <n v="-6331.0127999999995"/>
    <n v="6331.0127999999995"/>
    <x v="2"/>
    <s v="2100"/>
    <s v="000"/>
    <x v="8"/>
    <x v="1"/>
  </r>
  <r>
    <d v="2012-06-12T00:00:00"/>
    <s v="018-2210-000"/>
    <s v="Liquor Sales"/>
    <n v="812.83100000000013"/>
    <n v="0"/>
    <s v="Daily Sales Import"/>
    <n v="-812.83100000000013"/>
    <n v="812.83100000000013"/>
    <x v="2"/>
    <s v="2210"/>
    <s v="000"/>
    <x v="8"/>
    <x v="1"/>
  </r>
  <r>
    <d v="2012-06-12T00:00:00"/>
    <s v="018-2220-000"/>
    <s v="Beer Sales"/>
    <n v="165.2825"/>
    <n v="0"/>
    <s v="Daily Sales Import"/>
    <n v="-165.2825"/>
    <n v="165.2825"/>
    <x v="2"/>
    <s v="2220"/>
    <s v="000"/>
    <x v="8"/>
    <x v="1"/>
  </r>
  <r>
    <d v="2012-06-12T00:00:00"/>
    <s v="018-2230-000"/>
    <s v="Wine Sales"/>
    <n v="97.3245"/>
    <n v="0"/>
    <s v="Daily Sales Import"/>
    <n v="-97.3245"/>
    <n v="97.3245"/>
    <x v="2"/>
    <s v="2230"/>
    <s v="000"/>
    <x v="8"/>
    <x v="1"/>
  </r>
  <r>
    <d v="2012-06-13T00:00:00"/>
    <s v="018-2100-000"/>
    <s v="Food Sales"/>
    <n v="6147.0374999999995"/>
    <n v="0"/>
    <s v="Daily Sales Import"/>
    <n v="-6147.0374999999995"/>
    <n v="6147.0374999999995"/>
    <x v="2"/>
    <s v="2100"/>
    <s v="000"/>
    <x v="8"/>
    <x v="1"/>
  </r>
  <r>
    <d v="2012-06-13T00:00:00"/>
    <s v="018-2210-000"/>
    <s v="Liquor Sales"/>
    <n v="977.52149999999995"/>
    <n v="0"/>
    <s v="Daily Sales Import"/>
    <n v="-977.52149999999995"/>
    <n v="977.52149999999995"/>
    <x v="2"/>
    <s v="2210"/>
    <s v="000"/>
    <x v="8"/>
    <x v="1"/>
  </r>
  <r>
    <d v="2012-06-13T00:00:00"/>
    <s v="018-2220-000"/>
    <s v="Beer Sales"/>
    <n v="179.304"/>
    <n v="0"/>
    <s v="Daily Sales Import"/>
    <n v="-179.304"/>
    <n v="179.304"/>
    <x v="2"/>
    <s v="2220"/>
    <s v="000"/>
    <x v="8"/>
    <x v="1"/>
  </r>
  <r>
    <d v="2012-06-13T00:00:00"/>
    <s v="018-2230-000"/>
    <s v="Wine Sales"/>
    <n v="93.72999999999999"/>
    <n v="0"/>
    <s v="Daily Sales Import"/>
    <n v="-93.72999999999999"/>
    <n v="93.72999999999999"/>
    <x v="2"/>
    <s v="2230"/>
    <s v="000"/>
    <x v="8"/>
    <x v="1"/>
  </r>
  <r>
    <d v="2012-06-14T00:00:00"/>
    <s v="018-2100-000"/>
    <s v="Food Sales"/>
    <n v="9451.6365000000005"/>
    <n v="0"/>
    <s v="Daily Sales Import"/>
    <n v="-9451.6365000000005"/>
    <n v="9451.6365000000005"/>
    <x v="2"/>
    <s v="2100"/>
    <s v="000"/>
    <x v="8"/>
    <x v="1"/>
  </r>
  <r>
    <d v="2012-06-14T00:00:00"/>
    <s v="018-2210-000"/>
    <s v="Liquor Sales"/>
    <n v="1795.2624999999998"/>
    <n v="0"/>
    <s v="Daily Sales Import"/>
    <n v="-1795.2624999999998"/>
    <n v="1795.2624999999998"/>
    <x v="2"/>
    <s v="2210"/>
    <s v="000"/>
    <x v="8"/>
    <x v="1"/>
  </r>
  <r>
    <d v="2012-06-14T00:00:00"/>
    <s v="018-2220-000"/>
    <s v="Beer Sales"/>
    <n v="461.08250000000004"/>
    <n v="0"/>
    <s v="Daily Sales Import"/>
    <n v="-461.08250000000004"/>
    <n v="461.08250000000004"/>
    <x v="2"/>
    <s v="2220"/>
    <s v="000"/>
    <x v="8"/>
    <x v="1"/>
  </r>
  <r>
    <d v="2012-06-14T00:00:00"/>
    <s v="018-2230-000"/>
    <s v="Wine Sales"/>
    <n v="33.198500000000003"/>
    <n v="0"/>
    <s v="Daily Sales Import"/>
    <n v="-33.198500000000003"/>
    <n v="33.198500000000003"/>
    <x v="2"/>
    <s v="2230"/>
    <s v="000"/>
    <x v="8"/>
    <x v="1"/>
  </r>
  <r>
    <d v="2012-06-15T00:00:00"/>
    <s v="018-2100-000"/>
    <s v="Food Sales"/>
    <n v="15617.737800000001"/>
    <n v="0"/>
    <s v="Daily Sales Import"/>
    <n v="-15617.737800000001"/>
    <n v="15617.737800000001"/>
    <x v="2"/>
    <s v="2100"/>
    <s v="000"/>
    <x v="8"/>
    <x v="1"/>
  </r>
  <r>
    <d v="2012-06-15T00:00:00"/>
    <s v="018-2210-000"/>
    <s v="Liquor Sales"/>
    <n v="3705.6779999999999"/>
    <n v="0"/>
    <s v="Daily Sales Import"/>
    <n v="-3705.6779999999999"/>
    <n v="3705.6779999999999"/>
    <x v="2"/>
    <s v="2210"/>
    <s v="000"/>
    <x v="8"/>
    <x v="1"/>
  </r>
  <r>
    <d v="2012-06-15T00:00:00"/>
    <s v="018-2220-000"/>
    <s v="Beer Sales"/>
    <n v="861.82249999999999"/>
    <n v="0"/>
    <s v="Daily Sales Import"/>
    <n v="-861.82249999999999"/>
    <n v="861.82249999999999"/>
    <x v="2"/>
    <s v="2220"/>
    <s v="000"/>
    <x v="8"/>
    <x v="1"/>
  </r>
  <r>
    <d v="2012-06-15T00:00:00"/>
    <s v="018-2230-000"/>
    <s v="Wine Sales"/>
    <n v="190.935"/>
    <n v="0"/>
    <s v="Daily Sales Import"/>
    <n v="-190.935"/>
    <n v="190.935"/>
    <x v="2"/>
    <s v="2230"/>
    <s v="000"/>
    <x v="8"/>
    <x v="1"/>
  </r>
  <r>
    <d v="2012-06-16T00:00:00"/>
    <s v="018-2100-000"/>
    <s v="Food Sales"/>
    <n v="12190.925999999999"/>
    <n v="0"/>
    <s v="Daily Sales Import"/>
    <n v="-12190.925999999999"/>
    <n v="12190.925999999999"/>
    <x v="2"/>
    <s v="2100"/>
    <s v="000"/>
    <x v="8"/>
    <x v="1"/>
  </r>
  <r>
    <d v="2012-06-16T00:00:00"/>
    <s v="018-2210-000"/>
    <s v="Liquor Sales"/>
    <n v="2742.8719999999998"/>
    <n v="0"/>
    <s v="Daily Sales Import"/>
    <n v="-2742.8719999999998"/>
    <n v="2742.8719999999998"/>
    <x v="2"/>
    <s v="2210"/>
    <s v="000"/>
    <x v="8"/>
    <x v="1"/>
  </r>
  <r>
    <d v="2012-06-16T00:00:00"/>
    <s v="018-2220-000"/>
    <s v="Beer Sales"/>
    <n v="512.82000000000005"/>
    <n v="0"/>
    <s v="Daily Sales Import"/>
    <n v="-512.82000000000005"/>
    <n v="512.82000000000005"/>
    <x v="2"/>
    <s v="2220"/>
    <s v="000"/>
    <x v="8"/>
    <x v="1"/>
  </r>
  <r>
    <d v="2012-06-16T00:00:00"/>
    <s v="018-2230-000"/>
    <s v="Wine Sales"/>
    <n v="127.455"/>
    <n v="0"/>
    <s v="Daily Sales Import"/>
    <n v="-127.455"/>
    <n v="127.455"/>
    <x v="2"/>
    <s v="2230"/>
    <s v="000"/>
    <x v="8"/>
    <x v="1"/>
  </r>
  <r>
    <d v="2012-06-17T00:00:00"/>
    <s v="018-2100-000"/>
    <s v="Food Sales"/>
    <n v="17363.392"/>
    <n v="0"/>
    <s v="Daily Sales Import"/>
    <n v="-17363.392"/>
    <n v="17363.392"/>
    <x v="2"/>
    <s v="2100"/>
    <s v="000"/>
    <x v="8"/>
    <x v="1"/>
  </r>
  <r>
    <d v="2012-06-17T00:00:00"/>
    <s v="018-2210-000"/>
    <s v="Liquor Sales"/>
    <n v="2131.41"/>
    <n v="0"/>
    <s v="Daily Sales Import"/>
    <n v="-2131.41"/>
    <n v="2131.41"/>
    <x v="2"/>
    <s v="2210"/>
    <s v="000"/>
    <x v="8"/>
    <x v="1"/>
  </r>
  <r>
    <d v="2012-06-17T00:00:00"/>
    <s v="018-2220-000"/>
    <s v="Beer Sales"/>
    <n v="579.74400000000003"/>
    <n v="0"/>
    <s v="Daily Sales Import"/>
    <n v="-579.74400000000003"/>
    <n v="579.74400000000003"/>
    <x v="2"/>
    <s v="2220"/>
    <s v="000"/>
    <x v="8"/>
    <x v="1"/>
  </r>
  <r>
    <d v="2012-06-17T00:00:00"/>
    <s v="018-2230-000"/>
    <s v="Wine Sales"/>
    <n v="110.22699999999999"/>
    <n v="0"/>
    <s v="Daily Sales Import"/>
    <n v="-110.22699999999999"/>
    <n v="110.22699999999999"/>
    <x v="2"/>
    <s v="2230"/>
    <s v="000"/>
    <x v="8"/>
    <x v="1"/>
  </r>
  <r>
    <d v="2012-06-18T00:00:00"/>
    <s v="016-2100-000"/>
    <s v="Food Sales"/>
    <n v="2416.1592000000001"/>
    <n v="0"/>
    <s v="Daily Sales Import"/>
    <n v="-2416.1592000000001"/>
    <n v="2416.1592000000001"/>
    <x v="0"/>
    <s v="2100"/>
    <s v="000"/>
    <x v="8"/>
    <x v="1"/>
  </r>
  <r>
    <d v="2012-06-18T00:00:00"/>
    <s v="016-2210-000"/>
    <s v="Liquor Sales"/>
    <n v="704.67400000000009"/>
    <n v="0"/>
    <s v="Daily Sales Import"/>
    <n v="-704.67400000000009"/>
    <n v="704.67400000000009"/>
    <x v="0"/>
    <s v="2210"/>
    <s v="000"/>
    <x v="8"/>
    <x v="1"/>
  </r>
  <r>
    <d v="2012-06-18T00:00:00"/>
    <s v="016-2220-000"/>
    <s v="Beer Sales"/>
    <n v="102.255"/>
    <n v="0"/>
    <s v="Daily Sales Import"/>
    <n v="-102.255"/>
    <n v="102.255"/>
    <x v="0"/>
    <s v="2220"/>
    <s v="000"/>
    <x v="8"/>
    <x v="1"/>
  </r>
  <r>
    <d v="2012-06-18T00:00:00"/>
    <s v="016-2230-000"/>
    <s v="Wine Sales"/>
    <n v="49.404999999999994"/>
    <n v="0"/>
    <s v="Daily Sales Import"/>
    <n v="-49.404999999999994"/>
    <n v="49.404999999999994"/>
    <x v="0"/>
    <s v="2230"/>
    <s v="000"/>
    <x v="8"/>
    <x v="1"/>
  </r>
  <r>
    <d v="2012-06-19T00:00:00"/>
    <s v="016-2100-000"/>
    <s v="Food Sales"/>
    <n v="4537.6205"/>
    <n v="0"/>
    <s v="Daily Sales Import"/>
    <n v="-4537.6205"/>
    <n v="4537.6205"/>
    <x v="0"/>
    <s v="2100"/>
    <s v="000"/>
    <x v="8"/>
    <x v="1"/>
  </r>
  <r>
    <d v="2012-06-19T00:00:00"/>
    <s v="016-2210-000"/>
    <s v="Liquor Sales"/>
    <n v="1201.3625999999999"/>
    <n v="0"/>
    <s v="Daily Sales Import"/>
    <n v="-1201.3625999999999"/>
    <n v="1201.3625999999999"/>
    <x v="0"/>
    <s v="2210"/>
    <s v="000"/>
    <x v="8"/>
    <x v="1"/>
  </r>
  <r>
    <d v="2012-06-19T00:00:00"/>
    <s v="016-2220-000"/>
    <s v="Beer Sales"/>
    <n v="520.28549999999996"/>
    <n v="0"/>
    <s v="Daily Sales Import"/>
    <n v="-520.28549999999996"/>
    <n v="520.28549999999996"/>
    <x v="0"/>
    <s v="2220"/>
    <s v="000"/>
    <x v="8"/>
    <x v="1"/>
  </r>
  <r>
    <d v="2012-06-19T00:00:00"/>
    <s v="016-2230-000"/>
    <s v="Wine Sales"/>
    <n v="127.47"/>
    <n v="0"/>
    <s v="Daily Sales Import"/>
    <n v="-127.47"/>
    <n v="127.47"/>
    <x v="0"/>
    <s v="2230"/>
    <s v="000"/>
    <x v="8"/>
    <x v="1"/>
  </r>
  <r>
    <d v="2012-06-20T00:00:00"/>
    <s v="016-2100-000"/>
    <s v="Food Sales"/>
    <n v="2024.9333999999999"/>
    <n v="0"/>
    <s v="Daily Sales Import"/>
    <n v="-2024.9333999999999"/>
    <n v="2024.9333999999999"/>
    <x v="0"/>
    <s v="2100"/>
    <s v="000"/>
    <x v="8"/>
    <x v="1"/>
  </r>
  <r>
    <d v="2012-06-20T00:00:00"/>
    <s v="016-2210-000"/>
    <s v="Liquor Sales"/>
    <n v="464.78879999999998"/>
    <n v="0"/>
    <s v="Daily Sales Import"/>
    <n v="-464.78879999999998"/>
    <n v="464.78879999999998"/>
    <x v="0"/>
    <s v="2210"/>
    <s v="000"/>
    <x v="8"/>
    <x v="1"/>
  </r>
  <r>
    <d v="2012-06-20T00:00:00"/>
    <s v="016-2220-000"/>
    <s v="Beer Sales"/>
    <n v="59.959499999999998"/>
    <n v="0"/>
    <s v="Daily Sales Import"/>
    <n v="-59.959499999999998"/>
    <n v="59.959499999999998"/>
    <x v="0"/>
    <s v="2220"/>
    <s v="000"/>
    <x v="8"/>
    <x v="1"/>
  </r>
  <r>
    <d v="2012-06-20T00:00:00"/>
    <s v="016-2230-000"/>
    <s v="Wine Sales"/>
    <n v="79.314999999999998"/>
    <n v="0"/>
    <s v="Daily Sales Import"/>
    <n v="-79.314999999999998"/>
    <n v="79.314999999999998"/>
    <x v="0"/>
    <s v="2230"/>
    <s v="000"/>
    <x v="8"/>
    <x v="1"/>
  </r>
  <r>
    <d v="2012-06-21T00:00:00"/>
    <s v="016-2100-000"/>
    <s v="Food Sales"/>
    <n v="3140.5565999999999"/>
    <n v="0"/>
    <s v="Daily Sales Import"/>
    <n v="-3140.5565999999999"/>
    <n v="3140.5565999999999"/>
    <x v="0"/>
    <s v="2100"/>
    <s v="000"/>
    <x v="8"/>
    <x v="1"/>
  </r>
  <r>
    <d v="2012-06-21T00:00:00"/>
    <s v="016-2210-000"/>
    <s v="Liquor Sales"/>
    <n v="706.46250000000009"/>
    <n v="0"/>
    <s v="Daily Sales Import"/>
    <n v="-706.46250000000009"/>
    <n v="706.46250000000009"/>
    <x v="0"/>
    <s v="2210"/>
    <s v="000"/>
    <x v="8"/>
    <x v="1"/>
  </r>
  <r>
    <d v="2012-06-21T00:00:00"/>
    <s v="016-2220-000"/>
    <s v="Beer Sales"/>
    <n v="145.43100000000001"/>
    <n v="0"/>
    <s v="Daily Sales Import"/>
    <n v="-145.43100000000001"/>
    <n v="145.43100000000001"/>
    <x v="0"/>
    <s v="2220"/>
    <s v="000"/>
    <x v="8"/>
    <x v="1"/>
  </r>
  <r>
    <d v="2012-06-21T00:00:00"/>
    <s v="016-2230-000"/>
    <s v="Wine Sales"/>
    <n v="91.944999999999993"/>
    <n v="0"/>
    <s v="Daily Sales Import"/>
    <n v="-91.944999999999993"/>
    <n v="91.944999999999993"/>
    <x v="0"/>
    <s v="2230"/>
    <s v="000"/>
    <x v="8"/>
    <x v="1"/>
  </r>
  <r>
    <d v="2012-06-22T00:00:00"/>
    <s v="016-2100-000"/>
    <s v="Food Sales"/>
    <n v="3541.2275999999997"/>
    <n v="0"/>
    <s v="Daily Sales Import"/>
    <n v="-3541.2275999999997"/>
    <n v="3541.2275999999997"/>
    <x v="0"/>
    <s v="2100"/>
    <s v="000"/>
    <x v="8"/>
    <x v="1"/>
  </r>
  <r>
    <d v="2012-06-22T00:00:00"/>
    <s v="016-2210-000"/>
    <s v="Liquor Sales"/>
    <n v="1764.704"/>
    <n v="0"/>
    <s v="Daily Sales Import"/>
    <n v="-1764.704"/>
    <n v="1764.704"/>
    <x v="0"/>
    <s v="2210"/>
    <s v="000"/>
    <x v="8"/>
    <x v="1"/>
  </r>
  <r>
    <d v="2012-06-22T00:00:00"/>
    <s v="016-2220-000"/>
    <s v="Beer Sales"/>
    <n v="389.70899999999995"/>
    <n v="0"/>
    <s v="Daily Sales Import"/>
    <n v="-389.70899999999995"/>
    <n v="389.70899999999995"/>
    <x v="0"/>
    <s v="2220"/>
    <s v="000"/>
    <x v="8"/>
    <x v="1"/>
  </r>
  <r>
    <d v="2012-06-22T00:00:00"/>
    <s v="016-2230-000"/>
    <s v="Wine Sales"/>
    <n v="96.143000000000001"/>
    <n v="0"/>
    <s v="Daily Sales Import"/>
    <n v="-96.143000000000001"/>
    <n v="96.143000000000001"/>
    <x v="0"/>
    <s v="2230"/>
    <s v="000"/>
    <x v="8"/>
    <x v="1"/>
  </r>
  <r>
    <d v="2012-06-23T00:00:00"/>
    <s v="016-2100-000"/>
    <s v="Food Sales"/>
    <n v="5577.9849999999997"/>
    <n v="0"/>
    <s v="Daily Sales Import"/>
    <n v="-5577.9849999999997"/>
    <n v="5577.9849999999997"/>
    <x v="0"/>
    <s v="2100"/>
    <s v="000"/>
    <x v="8"/>
    <x v="1"/>
  </r>
  <r>
    <d v="2012-06-23T00:00:00"/>
    <s v="016-2210-000"/>
    <s v="Liquor Sales"/>
    <n v="2449.0395000000003"/>
    <n v="0"/>
    <s v="Daily Sales Import"/>
    <n v="-2449.0395000000003"/>
    <n v="2449.0395000000003"/>
    <x v="0"/>
    <s v="2210"/>
    <s v="000"/>
    <x v="8"/>
    <x v="1"/>
  </r>
  <r>
    <d v="2012-06-23T00:00:00"/>
    <s v="016-2220-000"/>
    <s v="Beer Sales"/>
    <n v="461.45700000000005"/>
    <n v="0"/>
    <s v="Daily Sales Import"/>
    <n v="-461.45700000000005"/>
    <n v="461.45700000000005"/>
    <x v="0"/>
    <s v="2220"/>
    <s v="000"/>
    <x v="8"/>
    <x v="1"/>
  </r>
  <r>
    <d v="2012-06-23T00:00:00"/>
    <s v="016-2230-000"/>
    <s v="Wine Sales"/>
    <n v="199.95400000000004"/>
    <n v="0"/>
    <s v="Daily Sales Import"/>
    <n v="-199.95400000000004"/>
    <n v="199.95400000000004"/>
    <x v="0"/>
    <s v="2230"/>
    <s v="000"/>
    <x v="8"/>
    <x v="1"/>
  </r>
  <r>
    <d v="2012-06-24T00:00:00"/>
    <s v="016-2100-000"/>
    <s v="Food Sales"/>
    <n v="2274.5393999999997"/>
    <n v="0"/>
    <s v="Daily Sales Import"/>
    <n v="-2274.5393999999997"/>
    <n v="2274.5393999999997"/>
    <x v="0"/>
    <s v="2100"/>
    <s v="000"/>
    <x v="8"/>
    <x v="1"/>
  </r>
  <r>
    <d v="2012-06-24T00:00:00"/>
    <s v="016-2210-000"/>
    <s v="Liquor Sales"/>
    <n v="1073.3034"/>
    <n v="0"/>
    <s v="Daily Sales Import"/>
    <n v="-1073.3034"/>
    <n v="1073.3034"/>
    <x v="0"/>
    <s v="2210"/>
    <s v="000"/>
    <x v="8"/>
    <x v="1"/>
  </r>
  <r>
    <d v="2012-06-24T00:00:00"/>
    <s v="016-2220-000"/>
    <s v="Beer Sales"/>
    <n v="103.05900000000001"/>
    <n v="0"/>
    <s v="Daily Sales Import"/>
    <n v="-103.05900000000001"/>
    <n v="103.05900000000001"/>
    <x v="0"/>
    <s v="2220"/>
    <s v="000"/>
    <x v="8"/>
    <x v="1"/>
  </r>
  <r>
    <d v="2012-06-24T00:00:00"/>
    <s v="016-2230-000"/>
    <s v="Wine Sales"/>
    <n v="76.817999999999998"/>
    <n v="0"/>
    <s v="Daily Sales Import"/>
    <n v="-76.817999999999998"/>
    <n v="76.817999999999998"/>
    <x v="0"/>
    <s v="2230"/>
    <s v="000"/>
    <x v="8"/>
    <x v="1"/>
  </r>
  <r>
    <d v="2012-06-18T00:00:00"/>
    <s v="017-2100-000"/>
    <s v="Food Sales"/>
    <n v="4878.2858000000006"/>
    <n v="0"/>
    <s v="Daily Sales Import"/>
    <n v="-4878.2858000000006"/>
    <n v="4878.2858000000006"/>
    <x v="1"/>
    <s v="2100"/>
    <s v="000"/>
    <x v="8"/>
    <x v="1"/>
  </r>
  <r>
    <d v="2012-06-18T00:00:00"/>
    <s v="017-2210-000"/>
    <s v="Liquor Sales"/>
    <n v="1377.3405"/>
    <n v="0"/>
    <s v="Daily Sales Import"/>
    <n v="-1377.3405"/>
    <n v="1377.3405"/>
    <x v="1"/>
    <s v="2210"/>
    <s v="000"/>
    <x v="8"/>
    <x v="1"/>
  </r>
  <r>
    <d v="2012-06-18T00:00:00"/>
    <s v="017-2220-000"/>
    <s v="Beer Sales"/>
    <n v="439.34"/>
    <n v="0"/>
    <s v="Daily Sales Import"/>
    <n v="-439.34"/>
    <n v="439.34"/>
    <x v="1"/>
    <s v="2220"/>
    <s v="000"/>
    <x v="8"/>
    <x v="1"/>
  </r>
  <r>
    <d v="2012-06-18T00:00:00"/>
    <s v="017-2230-000"/>
    <s v="Wine Sales"/>
    <n v="28.186499999999999"/>
    <n v="0"/>
    <s v="Daily Sales Import"/>
    <n v="-28.186499999999999"/>
    <n v="28.186499999999999"/>
    <x v="1"/>
    <s v="2230"/>
    <s v="000"/>
    <x v="8"/>
    <x v="1"/>
  </r>
  <r>
    <d v="2012-06-19T00:00:00"/>
    <s v="017-2100-000"/>
    <s v="Food Sales"/>
    <n v="4582.6696000000002"/>
    <n v="0"/>
    <s v="Daily Sales Import"/>
    <n v="-4582.6696000000002"/>
    <n v="4582.6696000000002"/>
    <x v="1"/>
    <s v="2100"/>
    <s v="000"/>
    <x v="8"/>
    <x v="1"/>
  </r>
  <r>
    <d v="2012-06-19T00:00:00"/>
    <s v="017-2210-000"/>
    <s v="Liquor Sales"/>
    <n v="1168.7655000000002"/>
    <n v="0"/>
    <s v="Daily Sales Import"/>
    <n v="-1168.7655000000002"/>
    <n v="1168.7655000000002"/>
    <x v="1"/>
    <s v="2210"/>
    <s v="000"/>
    <x v="8"/>
    <x v="1"/>
  </r>
  <r>
    <d v="2012-06-19T00:00:00"/>
    <s v="017-2220-000"/>
    <s v="Beer Sales"/>
    <n v="547.17000000000007"/>
    <n v="0"/>
    <s v="Daily Sales Import"/>
    <n v="-547.17000000000007"/>
    <n v="547.17000000000007"/>
    <x v="1"/>
    <s v="2220"/>
    <s v="000"/>
    <x v="8"/>
    <x v="1"/>
  </r>
  <r>
    <d v="2012-06-19T00:00:00"/>
    <s v="017-2230-000"/>
    <s v="Wine Sales"/>
    <n v="175.46199999999999"/>
    <n v="0"/>
    <s v="Daily Sales Import"/>
    <n v="-175.46199999999999"/>
    <n v="175.46199999999999"/>
    <x v="1"/>
    <s v="2230"/>
    <s v="000"/>
    <x v="8"/>
    <x v="1"/>
  </r>
  <r>
    <d v="2012-06-20T00:00:00"/>
    <s v="017-2100-000"/>
    <s v="Food Sales"/>
    <n v="5174.7773999999999"/>
    <n v="0"/>
    <s v="Daily Sales Import"/>
    <n v="-5174.7773999999999"/>
    <n v="5174.7773999999999"/>
    <x v="1"/>
    <s v="2100"/>
    <s v="000"/>
    <x v="8"/>
    <x v="1"/>
  </r>
  <r>
    <d v="2012-06-20T00:00:00"/>
    <s v="017-2210-000"/>
    <s v="Liquor Sales"/>
    <n v="1966.826"/>
    <n v="0"/>
    <s v="Daily Sales Import"/>
    <n v="-1966.826"/>
    <n v="1966.826"/>
    <x v="1"/>
    <s v="2210"/>
    <s v="000"/>
    <x v="8"/>
    <x v="1"/>
  </r>
  <r>
    <d v="2012-06-20T00:00:00"/>
    <s v="017-2220-000"/>
    <s v="Beer Sales"/>
    <n v="810.6"/>
    <n v="0"/>
    <s v="Daily Sales Import"/>
    <n v="-810.6"/>
    <n v="810.6"/>
    <x v="1"/>
    <s v="2220"/>
    <s v="000"/>
    <x v="8"/>
    <x v="1"/>
  </r>
  <r>
    <d v="2012-06-20T00:00:00"/>
    <s v="017-2230-000"/>
    <s v="Wine Sales"/>
    <n v="85.89"/>
    <n v="0"/>
    <s v="Daily Sales Import"/>
    <n v="-85.89"/>
    <n v="85.89"/>
    <x v="1"/>
    <s v="2230"/>
    <s v="000"/>
    <x v="8"/>
    <x v="1"/>
  </r>
  <r>
    <d v="2012-06-21T00:00:00"/>
    <s v="017-2100-000"/>
    <s v="Food Sales"/>
    <n v="8084.9557999999997"/>
    <n v="0"/>
    <s v="Daily Sales Import"/>
    <n v="-8084.9557999999997"/>
    <n v="8084.9557999999997"/>
    <x v="1"/>
    <s v="2100"/>
    <s v="000"/>
    <x v="8"/>
    <x v="1"/>
  </r>
  <r>
    <d v="2012-06-21T00:00:00"/>
    <s v="017-2210-000"/>
    <s v="Liquor Sales"/>
    <n v="1976.91"/>
    <n v="0"/>
    <s v="Daily Sales Import"/>
    <n v="-1976.91"/>
    <n v="1976.91"/>
    <x v="1"/>
    <s v="2210"/>
    <s v="000"/>
    <x v="8"/>
    <x v="1"/>
  </r>
  <r>
    <d v="2012-06-21T00:00:00"/>
    <s v="017-2220-000"/>
    <s v="Beer Sales"/>
    <n v="531.87750000000005"/>
    <n v="0"/>
    <s v="Daily Sales Import"/>
    <n v="-531.87750000000005"/>
    <n v="531.87750000000005"/>
    <x v="1"/>
    <s v="2220"/>
    <s v="000"/>
    <x v="8"/>
    <x v="1"/>
  </r>
  <r>
    <d v="2012-06-21T00:00:00"/>
    <s v="017-2230-000"/>
    <s v="Wine Sales"/>
    <n v="119.29"/>
    <n v="0"/>
    <s v="Daily Sales Import"/>
    <n v="-119.29"/>
    <n v="119.29"/>
    <x v="1"/>
    <s v="2230"/>
    <s v="000"/>
    <x v="8"/>
    <x v="1"/>
  </r>
  <r>
    <d v="2012-06-22T00:00:00"/>
    <s v="017-2100-000"/>
    <s v="Food Sales"/>
    <n v="7793.7199000000001"/>
    <n v="0"/>
    <s v="Daily Sales Import"/>
    <n v="-7793.7199000000001"/>
    <n v="7793.7199000000001"/>
    <x v="1"/>
    <s v="2100"/>
    <s v="000"/>
    <x v="8"/>
    <x v="1"/>
  </r>
  <r>
    <d v="2012-06-22T00:00:00"/>
    <s v="017-2210-000"/>
    <s v="Liquor Sales"/>
    <n v="1961.3825000000002"/>
    <n v="0"/>
    <s v="Daily Sales Import"/>
    <n v="-1961.3825000000002"/>
    <n v="1961.3825000000002"/>
    <x v="1"/>
    <s v="2210"/>
    <s v="000"/>
    <x v="8"/>
    <x v="1"/>
  </r>
  <r>
    <d v="2012-06-22T00:00:00"/>
    <s v="017-2220-000"/>
    <s v="Beer Sales"/>
    <n v="705.47750000000008"/>
    <n v="0"/>
    <s v="Daily Sales Import"/>
    <n v="-705.47750000000008"/>
    <n v="705.47750000000008"/>
    <x v="1"/>
    <s v="2220"/>
    <s v="000"/>
    <x v="8"/>
    <x v="1"/>
  </r>
  <r>
    <d v="2012-06-22T00:00:00"/>
    <s v="017-2230-000"/>
    <s v="Wine Sales"/>
    <n v="183.10400000000001"/>
    <n v="0"/>
    <s v="Daily Sales Import"/>
    <n v="-183.10400000000001"/>
    <n v="183.10400000000001"/>
    <x v="1"/>
    <s v="2230"/>
    <s v="000"/>
    <x v="8"/>
    <x v="1"/>
  </r>
  <r>
    <d v="2012-06-23T00:00:00"/>
    <s v="017-2100-000"/>
    <s v="Food Sales"/>
    <n v="8830.3411999999989"/>
    <n v="0"/>
    <s v="Daily Sales Import"/>
    <n v="-8830.3411999999989"/>
    <n v="8830.3411999999989"/>
    <x v="1"/>
    <s v="2100"/>
    <s v="000"/>
    <x v="8"/>
    <x v="1"/>
  </r>
  <r>
    <d v="2012-06-23T00:00:00"/>
    <s v="017-2210-000"/>
    <s v="Liquor Sales"/>
    <n v="1604.316"/>
    <n v="0"/>
    <s v="Daily Sales Import"/>
    <n v="-1604.316"/>
    <n v="1604.316"/>
    <x v="1"/>
    <s v="2210"/>
    <s v="000"/>
    <x v="8"/>
    <x v="1"/>
  </r>
  <r>
    <d v="2012-06-23T00:00:00"/>
    <s v="017-2220-000"/>
    <s v="Beer Sales"/>
    <n v="386.77500000000003"/>
    <n v="0"/>
    <s v="Daily Sales Import"/>
    <n v="-386.77500000000003"/>
    <n v="386.77500000000003"/>
    <x v="1"/>
    <s v="2220"/>
    <s v="000"/>
    <x v="8"/>
    <x v="1"/>
  </r>
  <r>
    <d v="2012-06-23T00:00:00"/>
    <s v="017-2230-000"/>
    <s v="Wine Sales"/>
    <n v="124.48050000000001"/>
    <n v="0"/>
    <s v="Daily Sales Import"/>
    <n v="-124.48050000000001"/>
    <n v="124.48050000000001"/>
    <x v="1"/>
    <s v="2230"/>
    <s v="000"/>
    <x v="8"/>
    <x v="1"/>
  </r>
  <r>
    <d v="2012-06-24T00:00:00"/>
    <s v="017-2100-000"/>
    <s v="Food Sales"/>
    <n v="3123.6912000000007"/>
    <n v="0"/>
    <s v="Daily Sales Import"/>
    <n v="-3123.6912000000007"/>
    <n v="3123.6912000000007"/>
    <x v="1"/>
    <s v="2100"/>
    <s v="000"/>
    <x v="8"/>
    <x v="1"/>
  </r>
  <r>
    <d v="2012-06-24T00:00:00"/>
    <s v="017-2210-000"/>
    <s v="Liquor Sales"/>
    <n v="882.35100000000011"/>
    <n v="0"/>
    <s v="Daily Sales Import"/>
    <n v="-882.35100000000011"/>
    <n v="882.35100000000011"/>
    <x v="1"/>
    <s v="2210"/>
    <s v="000"/>
    <x v="8"/>
    <x v="1"/>
  </r>
  <r>
    <d v="2012-06-24T00:00:00"/>
    <s v="017-2220-000"/>
    <s v="Beer Sales"/>
    <n v="293.47500000000002"/>
    <n v="0"/>
    <s v="Daily Sales Import"/>
    <n v="-293.47500000000002"/>
    <n v="293.47500000000002"/>
    <x v="1"/>
    <s v="2220"/>
    <s v="000"/>
    <x v="8"/>
    <x v="1"/>
  </r>
  <r>
    <d v="2012-06-24T00:00:00"/>
    <s v="017-2230-000"/>
    <s v="Wine Sales"/>
    <n v="44.256000000000007"/>
    <n v="0"/>
    <s v="Daily Sales Import"/>
    <n v="-44.256000000000007"/>
    <n v="44.256000000000007"/>
    <x v="1"/>
    <s v="2230"/>
    <s v="000"/>
    <x v="8"/>
    <x v="1"/>
  </r>
  <r>
    <d v="2012-06-18T00:00:00"/>
    <s v="018-2100-000"/>
    <s v="Food Sales"/>
    <n v="3765.8250000000003"/>
    <n v="0"/>
    <s v="Daily Sales Import"/>
    <n v="-3765.8250000000003"/>
    <n v="3765.8250000000003"/>
    <x v="2"/>
    <s v="2100"/>
    <s v="000"/>
    <x v="8"/>
    <x v="1"/>
  </r>
  <r>
    <d v="2012-06-18T00:00:00"/>
    <s v="018-2210-000"/>
    <s v="Liquor Sales"/>
    <n v="610.96350000000007"/>
    <n v="0"/>
    <s v="Daily Sales Import"/>
    <n v="-610.96350000000007"/>
    <n v="610.96350000000007"/>
    <x v="2"/>
    <s v="2210"/>
    <s v="000"/>
    <x v="8"/>
    <x v="1"/>
  </r>
  <r>
    <d v="2012-06-18T00:00:00"/>
    <s v="018-2220-000"/>
    <s v="Beer Sales"/>
    <n v="158.71299999999999"/>
    <n v="0"/>
    <s v="Daily Sales Import"/>
    <n v="-158.71299999999999"/>
    <n v="158.71299999999999"/>
    <x v="2"/>
    <s v="2220"/>
    <s v="000"/>
    <x v="8"/>
    <x v="1"/>
  </r>
  <r>
    <d v="2012-06-18T00:00:00"/>
    <s v="018-2230-000"/>
    <s v="Wine Sales"/>
    <n v="31.569999999999997"/>
    <n v="0"/>
    <s v="Daily Sales Import"/>
    <n v="-31.569999999999997"/>
    <n v="31.569999999999997"/>
    <x v="2"/>
    <s v="2230"/>
    <s v="000"/>
    <x v="8"/>
    <x v="1"/>
  </r>
  <r>
    <d v="2012-06-19T00:00:00"/>
    <s v="018-2100-000"/>
    <s v="Food Sales"/>
    <n v="4391.5264000000006"/>
    <n v="0"/>
    <s v="Daily Sales Import"/>
    <n v="-4391.5264000000006"/>
    <n v="4391.5264000000006"/>
    <x v="2"/>
    <s v="2100"/>
    <s v="000"/>
    <x v="8"/>
    <x v="1"/>
  </r>
  <r>
    <d v="2012-06-19T00:00:00"/>
    <s v="018-2210-000"/>
    <s v="Liquor Sales"/>
    <n v="1042.22"/>
    <n v="0"/>
    <s v="Daily Sales Import"/>
    <n v="-1042.22"/>
    <n v="1042.22"/>
    <x v="2"/>
    <s v="2210"/>
    <s v="000"/>
    <x v="8"/>
    <x v="1"/>
  </r>
  <r>
    <d v="2012-06-19T00:00:00"/>
    <s v="018-2220-000"/>
    <s v="Beer Sales"/>
    <n v="155.73599999999999"/>
    <n v="0"/>
    <s v="Daily Sales Import"/>
    <n v="-155.73599999999999"/>
    <n v="155.73599999999999"/>
    <x v="2"/>
    <s v="2220"/>
    <s v="000"/>
    <x v="8"/>
    <x v="1"/>
  </r>
  <r>
    <d v="2012-06-19T00:00:00"/>
    <s v="018-2230-000"/>
    <s v="Wine Sales"/>
    <n v="61.949999999999996"/>
    <n v="0"/>
    <s v="Daily Sales Import"/>
    <n v="-61.949999999999996"/>
    <n v="61.949999999999996"/>
    <x v="2"/>
    <s v="2230"/>
    <s v="000"/>
    <x v="8"/>
    <x v="1"/>
  </r>
  <r>
    <d v="2012-06-20T00:00:00"/>
    <s v="018-2100-000"/>
    <s v="Food Sales"/>
    <n v="5133.7903999999999"/>
    <n v="0"/>
    <s v="Daily Sales Import"/>
    <n v="-5133.7903999999999"/>
    <n v="5133.7903999999999"/>
    <x v="2"/>
    <s v="2100"/>
    <s v="000"/>
    <x v="8"/>
    <x v="1"/>
  </r>
  <r>
    <d v="2012-06-20T00:00:00"/>
    <s v="018-2210-000"/>
    <s v="Liquor Sales"/>
    <n v="824.66199999999992"/>
    <n v="0"/>
    <s v="Daily Sales Import"/>
    <n v="-824.66199999999992"/>
    <n v="824.66199999999992"/>
    <x v="2"/>
    <s v="2210"/>
    <s v="000"/>
    <x v="8"/>
    <x v="1"/>
  </r>
  <r>
    <d v="2012-06-20T00:00:00"/>
    <s v="018-2220-000"/>
    <s v="Beer Sales"/>
    <n v="160.85899999999998"/>
    <n v="0"/>
    <s v="Daily Sales Import"/>
    <n v="-160.85899999999998"/>
    <n v="160.85899999999998"/>
    <x v="2"/>
    <s v="2220"/>
    <s v="000"/>
    <x v="8"/>
    <x v="1"/>
  </r>
  <r>
    <d v="2012-06-20T00:00:00"/>
    <s v="018-2230-000"/>
    <s v="Wine Sales"/>
    <n v="48.212499999999999"/>
    <n v="0"/>
    <s v="Daily Sales Import"/>
    <n v="-48.212499999999999"/>
    <n v="48.212499999999999"/>
    <x v="2"/>
    <s v="2230"/>
    <s v="000"/>
    <x v="8"/>
    <x v="1"/>
  </r>
  <r>
    <d v="2012-06-21T00:00:00"/>
    <s v="018-2100-000"/>
    <s v="Food Sales"/>
    <n v="3966.1095999999998"/>
    <n v="0"/>
    <s v="Daily Sales Import"/>
    <n v="-3966.1095999999998"/>
    <n v="3966.1095999999998"/>
    <x v="2"/>
    <s v="2100"/>
    <s v="000"/>
    <x v="8"/>
    <x v="1"/>
  </r>
  <r>
    <d v="2012-06-21T00:00:00"/>
    <s v="018-2210-000"/>
    <s v="Liquor Sales"/>
    <n v="795.69"/>
    <n v="0"/>
    <s v="Daily Sales Import"/>
    <n v="-795.69"/>
    <n v="795.69"/>
    <x v="2"/>
    <s v="2210"/>
    <s v="000"/>
    <x v="8"/>
    <x v="1"/>
  </r>
  <r>
    <d v="2012-06-21T00:00:00"/>
    <s v="018-2220-000"/>
    <s v="Beer Sales"/>
    <n v="341.82299999999998"/>
    <n v="0"/>
    <s v="Daily Sales Import"/>
    <n v="-341.82299999999998"/>
    <n v="341.82299999999998"/>
    <x v="2"/>
    <s v="2220"/>
    <s v="000"/>
    <x v="8"/>
    <x v="1"/>
  </r>
  <r>
    <d v="2012-06-21T00:00:00"/>
    <s v="018-2230-000"/>
    <s v="Wine Sales"/>
    <n v="14.0715"/>
    <n v="0"/>
    <s v="Daily Sales Import"/>
    <n v="-14.0715"/>
    <n v="14.0715"/>
    <x v="2"/>
    <s v="2230"/>
    <s v="000"/>
    <x v="8"/>
    <x v="1"/>
  </r>
  <r>
    <d v="2012-06-22T00:00:00"/>
    <s v="018-2100-000"/>
    <s v="Food Sales"/>
    <n v="8123.3949999999995"/>
    <n v="0"/>
    <s v="Daily Sales Import"/>
    <n v="-8123.3949999999995"/>
    <n v="8123.3949999999995"/>
    <x v="2"/>
    <s v="2100"/>
    <s v="000"/>
    <x v="8"/>
    <x v="1"/>
  </r>
  <r>
    <d v="2012-06-22T00:00:00"/>
    <s v="018-2210-000"/>
    <s v="Liquor Sales"/>
    <n v="3105.4214999999999"/>
    <n v="0"/>
    <s v="Daily Sales Import"/>
    <n v="-3105.4214999999999"/>
    <n v="3105.4214999999999"/>
    <x v="2"/>
    <s v="2210"/>
    <s v="000"/>
    <x v="8"/>
    <x v="1"/>
  </r>
  <r>
    <d v="2012-06-22T00:00:00"/>
    <s v="018-2220-000"/>
    <s v="Beer Sales"/>
    <n v="465.24449999999996"/>
    <n v="0"/>
    <s v="Daily Sales Import"/>
    <n v="-465.24449999999996"/>
    <n v="465.24449999999996"/>
    <x v="2"/>
    <s v="2220"/>
    <s v="000"/>
    <x v="8"/>
    <x v="1"/>
  </r>
  <r>
    <d v="2012-06-22T00:00:00"/>
    <s v="018-2230-000"/>
    <s v="Wine Sales"/>
    <n v="141.626"/>
    <n v="0"/>
    <s v="Daily Sales Import"/>
    <n v="-141.626"/>
    <n v="141.626"/>
    <x v="2"/>
    <s v="2230"/>
    <s v="000"/>
    <x v="8"/>
    <x v="1"/>
  </r>
  <r>
    <d v="2012-06-23T00:00:00"/>
    <s v="018-2100-000"/>
    <s v="Food Sales"/>
    <n v="13322.491"/>
    <n v="0"/>
    <s v="Daily Sales Import"/>
    <n v="-13322.491"/>
    <n v="13322.491"/>
    <x v="2"/>
    <s v="2100"/>
    <s v="000"/>
    <x v="8"/>
    <x v="1"/>
  </r>
  <r>
    <d v="2012-06-23T00:00:00"/>
    <s v="018-2210-000"/>
    <s v="Liquor Sales"/>
    <n v="2659.2945"/>
    <n v="0"/>
    <s v="Daily Sales Import"/>
    <n v="-2659.2945"/>
    <n v="2659.2945"/>
    <x v="2"/>
    <s v="2210"/>
    <s v="000"/>
    <x v="8"/>
    <x v="1"/>
  </r>
  <r>
    <d v="2012-06-23T00:00:00"/>
    <s v="018-2220-000"/>
    <s v="Beer Sales"/>
    <n v="809.61299999999994"/>
    <n v="0"/>
    <s v="Daily Sales Import"/>
    <n v="-809.61299999999994"/>
    <n v="809.61299999999994"/>
    <x v="2"/>
    <s v="2220"/>
    <s v="000"/>
    <x v="8"/>
    <x v="1"/>
  </r>
  <r>
    <d v="2012-06-23T00:00:00"/>
    <s v="018-2230-000"/>
    <s v="Wine Sales"/>
    <n v="73.275000000000006"/>
    <n v="0"/>
    <s v="Daily Sales Import"/>
    <n v="-73.275000000000006"/>
    <n v="73.275000000000006"/>
    <x v="2"/>
    <s v="2230"/>
    <s v="000"/>
    <x v="8"/>
    <x v="1"/>
  </r>
  <r>
    <d v="2012-06-24T00:00:00"/>
    <s v="018-2100-000"/>
    <s v="Food Sales"/>
    <n v="9755.0145000000011"/>
    <n v="0"/>
    <s v="Daily Sales Import"/>
    <n v="-9755.0145000000011"/>
    <n v="9755.0145000000011"/>
    <x v="2"/>
    <s v="2100"/>
    <s v="000"/>
    <x v="8"/>
    <x v="1"/>
  </r>
  <r>
    <d v="2012-06-24T00:00:00"/>
    <s v="018-2210-000"/>
    <s v="Liquor Sales"/>
    <n v="1884.0779999999997"/>
    <n v="0"/>
    <s v="Daily Sales Import"/>
    <n v="-1884.0779999999997"/>
    <n v="1884.0779999999997"/>
    <x v="2"/>
    <s v="2210"/>
    <s v="000"/>
    <x v="8"/>
    <x v="1"/>
  </r>
  <r>
    <d v="2012-06-24T00:00:00"/>
    <s v="018-2220-000"/>
    <s v="Beer Sales"/>
    <n v="462.91500000000002"/>
    <n v="0"/>
    <s v="Daily Sales Import"/>
    <n v="-462.91500000000002"/>
    <n v="462.91500000000002"/>
    <x v="2"/>
    <s v="2220"/>
    <s v="000"/>
    <x v="8"/>
    <x v="1"/>
  </r>
  <r>
    <d v="2012-06-24T00:00:00"/>
    <s v="018-2230-000"/>
    <s v="Wine Sales"/>
    <n v="37.324000000000005"/>
    <n v="0"/>
    <s v="Daily Sales Import"/>
    <n v="-37.324000000000005"/>
    <n v="37.324000000000005"/>
    <x v="2"/>
    <s v="2230"/>
    <s v="000"/>
    <x v="8"/>
    <x v="1"/>
  </r>
  <r>
    <d v="2012-06-25T00:00:00"/>
    <s v="016-2100-000"/>
    <s v="Food Sales"/>
    <n v="3003.4213999999997"/>
    <n v="0"/>
    <s v="Daily Sales Import"/>
    <n v="-3003.4213999999997"/>
    <n v="3003.4213999999997"/>
    <x v="0"/>
    <s v="2100"/>
    <s v="000"/>
    <x v="8"/>
    <x v="1"/>
  </r>
  <r>
    <d v="2012-06-25T00:00:00"/>
    <s v="016-2210-000"/>
    <s v="Liquor Sales"/>
    <n v="725.3900000000001"/>
    <n v="0"/>
    <s v="Daily Sales Import"/>
    <n v="-725.3900000000001"/>
    <n v="725.3900000000001"/>
    <x v="0"/>
    <s v="2210"/>
    <s v="000"/>
    <x v="8"/>
    <x v="1"/>
  </r>
  <r>
    <d v="2012-06-25T00:00:00"/>
    <s v="016-2220-000"/>
    <s v="Beer Sales"/>
    <n v="122.01600000000001"/>
    <n v="0"/>
    <s v="Daily Sales Import"/>
    <n v="-122.01600000000001"/>
    <n v="122.01600000000001"/>
    <x v="0"/>
    <s v="2220"/>
    <s v="000"/>
    <x v="8"/>
    <x v="1"/>
  </r>
  <r>
    <d v="2012-06-25T00:00:00"/>
    <s v="016-2230-000"/>
    <s v="Wine Sales"/>
    <n v="130.364"/>
    <n v="0"/>
    <s v="Daily Sales Import"/>
    <n v="-130.364"/>
    <n v="130.364"/>
    <x v="0"/>
    <s v="2230"/>
    <s v="000"/>
    <x v="8"/>
    <x v="1"/>
  </r>
  <r>
    <d v="2012-06-26T00:00:00"/>
    <s v="016-2100-000"/>
    <s v="Food Sales"/>
    <n v="5683.6490999999996"/>
    <n v="0"/>
    <s v="Daily Sales Import"/>
    <n v="-5683.6490999999996"/>
    <n v="5683.6490999999996"/>
    <x v="0"/>
    <s v="2100"/>
    <s v="000"/>
    <x v="8"/>
    <x v="1"/>
  </r>
  <r>
    <d v="2012-06-26T00:00:00"/>
    <s v="016-2210-000"/>
    <s v="Liquor Sales"/>
    <n v="1919.346"/>
    <n v="0"/>
    <s v="Daily Sales Import"/>
    <n v="-1919.346"/>
    <n v="1919.346"/>
    <x v="0"/>
    <s v="2210"/>
    <s v="000"/>
    <x v="8"/>
    <x v="1"/>
  </r>
  <r>
    <d v="2012-06-26T00:00:00"/>
    <s v="016-2220-000"/>
    <s v="Beer Sales"/>
    <n v="564.34349999999995"/>
    <n v="0"/>
    <s v="Daily Sales Import"/>
    <n v="-564.34349999999995"/>
    <n v="564.34349999999995"/>
    <x v="0"/>
    <s v="2220"/>
    <s v="000"/>
    <x v="8"/>
    <x v="1"/>
  </r>
  <r>
    <d v="2012-06-26T00:00:00"/>
    <s v="016-2230-000"/>
    <s v="Wine Sales"/>
    <n v="149.85650000000001"/>
    <n v="0"/>
    <s v="Daily Sales Import"/>
    <n v="-149.85650000000001"/>
    <n v="149.85650000000001"/>
    <x v="0"/>
    <s v="2230"/>
    <s v="000"/>
    <x v="8"/>
    <x v="1"/>
  </r>
  <r>
    <d v="2012-06-27T00:00:00"/>
    <s v="016-2100-000"/>
    <s v="Food Sales"/>
    <n v="3055.1512999999995"/>
    <n v="0"/>
    <s v="Daily Sales Import"/>
    <n v="-3055.1512999999995"/>
    <n v="3055.1512999999995"/>
    <x v="0"/>
    <s v="2100"/>
    <s v="000"/>
    <x v="8"/>
    <x v="1"/>
  </r>
  <r>
    <d v="2012-06-27T00:00:00"/>
    <s v="016-2210-000"/>
    <s v="Liquor Sales"/>
    <n v="779.15050000000008"/>
    <n v="0"/>
    <s v="Daily Sales Import"/>
    <n v="-779.15050000000008"/>
    <n v="779.15050000000008"/>
    <x v="0"/>
    <s v="2210"/>
    <s v="000"/>
    <x v="8"/>
    <x v="1"/>
  </r>
  <r>
    <d v="2012-06-27T00:00:00"/>
    <s v="016-2220-000"/>
    <s v="Beer Sales"/>
    <n v="187.06950000000001"/>
    <n v="0"/>
    <s v="Daily Sales Import"/>
    <n v="-187.06950000000001"/>
    <n v="187.06950000000001"/>
    <x v="0"/>
    <s v="2220"/>
    <s v="000"/>
    <x v="8"/>
    <x v="1"/>
  </r>
  <r>
    <d v="2012-06-27T00:00:00"/>
    <s v="016-2230-000"/>
    <s v="Wine Sales"/>
    <n v="118.12800000000001"/>
    <n v="0"/>
    <s v="Daily Sales Import"/>
    <n v="-118.12800000000001"/>
    <n v="118.12800000000001"/>
    <x v="0"/>
    <s v="2230"/>
    <s v="000"/>
    <x v="8"/>
    <x v="1"/>
  </r>
  <r>
    <d v="2012-06-28T00:00:00"/>
    <s v="016-2100-000"/>
    <s v="Food Sales"/>
    <n v="4266.2190000000001"/>
    <n v="0"/>
    <s v="Daily Sales Import"/>
    <n v="-4266.2190000000001"/>
    <n v="4266.2190000000001"/>
    <x v="0"/>
    <s v="2100"/>
    <s v="000"/>
    <x v="8"/>
    <x v="1"/>
  </r>
  <r>
    <d v="2012-06-28T00:00:00"/>
    <s v="016-2210-000"/>
    <s v="Liquor Sales"/>
    <n v="1118.04"/>
    <n v="0"/>
    <s v="Daily Sales Import"/>
    <n v="-1118.04"/>
    <n v="1118.04"/>
    <x v="0"/>
    <s v="2210"/>
    <s v="000"/>
    <x v="8"/>
    <x v="1"/>
  </r>
  <r>
    <d v="2012-06-28T00:00:00"/>
    <s v="016-2220-000"/>
    <s v="Beer Sales"/>
    <n v="223.14599999999999"/>
    <n v="0"/>
    <s v="Daily Sales Import"/>
    <n v="-223.14599999999999"/>
    <n v="223.14599999999999"/>
    <x v="0"/>
    <s v="2220"/>
    <s v="000"/>
    <x v="8"/>
    <x v="1"/>
  </r>
  <r>
    <d v="2012-06-28T00:00:00"/>
    <s v="016-2230-000"/>
    <s v="Wine Sales"/>
    <n v="40.954499999999996"/>
    <n v="0"/>
    <s v="Daily Sales Import"/>
    <n v="-40.954499999999996"/>
    <n v="40.954499999999996"/>
    <x v="0"/>
    <s v="2230"/>
    <s v="000"/>
    <x v="8"/>
    <x v="1"/>
  </r>
  <r>
    <d v="2012-06-29T00:00:00"/>
    <s v="016-2100-000"/>
    <s v="Food Sales"/>
    <n v="6528.8973999999989"/>
    <n v="0"/>
    <s v="Daily Sales Import"/>
    <n v="-6528.8973999999989"/>
    <n v="6528.8973999999989"/>
    <x v="0"/>
    <s v="2100"/>
    <s v="000"/>
    <x v="8"/>
    <x v="1"/>
  </r>
  <r>
    <d v="2012-06-29T00:00:00"/>
    <s v="016-2210-000"/>
    <s v="Liquor Sales"/>
    <n v="1772.6424"/>
    <n v="0"/>
    <s v="Daily Sales Import"/>
    <n v="-1772.6424"/>
    <n v="1772.6424"/>
    <x v="0"/>
    <s v="2210"/>
    <s v="000"/>
    <x v="8"/>
    <x v="1"/>
  </r>
  <r>
    <d v="2012-06-29T00:00:00"/>
    <s v="016-2220-000"/>
    <s v="Beer Sales"/>
    <n v="498.411"/>
    <n v="0"/>
    <s v="Daily Sales Import"/>
    <n v="-498.411"/>
    <n v="498.411"/>
    <x v="0"/>
    <s v="2220"/>
    <s v="000"/>
    <x v="8"/>
    <x v="1"/>
  </r>
  <r>
    <d v="2012-06-29T00:00:00"/>
    <s v="016-2230-000"/>
    <s v="Wine Sales"/>
    <n v="94.402000000000001"/>
    <n v="0"/>
    <s v="Daily Sales Import"/>
    <n v="-94.402000000000001"/>
    <n v="94.402000000000001"/>
    <x v="0"/>
    <s v="2230"/>
    <s v="000"/>
    <x v="8"/>
    <x v="1"/>
  </r>
  <r>
    <d v="2012-06-30T00:00:00"/>
    <s v="016-2100-000"/>
    <s v="Food Sales"/>
    <n v="8551.4583000000002"/>
    <n v="0"/>
    <s v="Daily Sales Import"/>
    <n v="-8551.4583000000002"/>
    <n v="8551.4583000000002"/>
    <x v="0"/>
    <s v="2100"/>
    <s v="000"/>
    <x v="8"/>
    <x v="1"/>
  </r>
  <r>
    <d v="2012-06-30T00:00:00"/>
    <s v="016-2210-000"/>
    <s v="Liquor Sales"/>
    <n v="3635.875"/>
    <n v="0"/>
    <s v="Daily Sales Import"/>
    <n v="-3635.875"/>
    <n v="3635.875"/>
    <x v="0"/>
    <s v="2210"/>
    <s v="000"/>
    <x v="8"/>
    <x v="1"/>
  </r>
  <r>
    <d v="2012-06-30T00:00:00"/>
    <s v="016-2220-000"/>
    <s v="Beer Sales"/>
    <n v="556.12800000000004"/>
    <n v="0"/>
    <s v="Daily Sales Import"/>
    <n v="-556.12800000000004"/>
    <n v="556.12800000000004"/>
    <x v="0"/>
    <s v="2220"/>
    <s v="000"/>
    <x v="8"/>
    <x v="1"/>
  </r>
  <r>
    <d v="2012-06-30T00:00:00"/>
    <s v="016-2230-000"/>
    <s v="Wine Sales"/>
    <n v="204.96549999999999"/>
    <n v="0"/>
    <s v="Daily Sales Import"/>
    <n v="-204.96549999999999"/>
    <n v="204.96549999999999"/>
    <x v="0"/>
    <s v="2230"/>
    <s v="000"/>
    <x v="8"/>
    <x v="1"/>
  </r>
  <r>
    <d v="2012-07-01T00:00:00"/>
    <s v="016-2100-000"/>
    <s v="Food Sales"/>
    <n v="5075.8600000000006"/>
    <n v="0"/>
    <s v="Daily Sales Import"/>
    <n v="-5075.8600000000006"/>
    <n v="5075.8600000000006"/>
    <x v="0"/>
    <s v="2100"/>
    <s v="000"/>
    <x v="9"/>
    <x v="1"/>
  </r>
  <r>
    <d v="2012-07-01T00:00:00"/>
    <s v="016-2210-000"/>
    <s v="Liquor Sales"/>
    <n v="839.29099999999994"/>
    <n v="0"/>
    <s v="Daily Sales Import"/>
    <n v="-839.29099999999994"/>
    <n v="839.29099999999994"/>
    <x v="0"/>
    <s v="2210"/>
    <s v="000"/>
    <x v="9"/>
    <x v="1"/>
  </r>
  <r>
    <d v="2012-07-01T00:00:00"/>
    <s v="016-2220-000"/>
    <s v="Beer Sales"/>
    <n v="246.006"/>
    <n v="0"/>
    <s v="Daily Sales Import"/>
    <n v="-246.006"/>
    <n v="246.006"/>
    <x v="0"/>
    <s v="2220"/>
    <s v="000"/>
    <x v="9"/>
    <x v="1"/>
  </r>
  <r>
    <d v="2012-07-01T00:00:00"/>
    <s v="016-2230-000"/>
    <s v="Wine Sales"/>
    <n v="48.348000000000006"/>
    <n v="0"/>
    <s v="Daily Sales Import"/>
    <n v="-48.348000000000006"/>
    <n v="48.348000000000006"/>
    <x v="0"/>
    <s v="2230"/>
    <s v="000"/>
    <x v="9"/>
    <x v="1"/>
  </r>
  <r>
    <d v="2012-06-25T00:00:00"/>
    <s v="017-2100-000"/>
    <s v="Food Sales"/>
    <n v="6138.8873000000003"/>
    <n v="0"/>
    <s v="Daily Sales Import"/>
    <n v="-6138.8873000000003"/>
    <n v="6138.8873000000003"/>
    <x v="1"/>
    <s v="2100"/>
    <s v="000"/>
    <x v="8"/>
    <x v="1"/>
  </r>
  <r>
    <d v="2012-06-25T00:00:00"/>
    <s v="017-2210-000"/>
    <s v="Liquor Sales"/>
    <n v="1284.4124999999999"/>
    <n v="0"/>
    <s v="Daily Sales Import"/>
    <n v="-1284.4124999999999"/>
    <n v="1284.4124999999999"/>
    <x v="1"/>
    <s v="2210"/>
    <s v="000"/>
    <x v="8"/>
    <x v="1"/>
  </r>
  <r>
    <d v="2012-06-25T00:00:00"/>
    <s v="017-2220-000"/>
    <s v="Beer Sales"/>
    <n v="448.78250000000003"/>
    <n v="0"/>
    <s v="Daily Sales Import"/>
    <n v="-448.78250000000003"/>
    <n v="448.78250000000003"/>
    <x v="1"/>
    <s v="2220"/>
    <s v="000"/>
    <x v="8"/>
    <x v="1"/>
  </r>
  <r>
    <d v="2012-06-25T00:00:00"/>
    <s v="017-2230-000"/>
    <s v="Wine Sales"/>
    <n v="41.690000000000005"/>
    <n v="0"/>
    <s v="Daily Sales Import"/>
    <n v="-41.690000000000005"/>
    <n v="41.690000000000005"/>
    <x v="1"/>
    <s v="2230"/>
    <s v="000"/>
    <x v="8"/>
    <x v="1"/>
  </r>
  <r>
    <d v="2012-06-26T00:00:00"/>
    <s v="017-2100-000"/>
    <s v="Food Sales"/>
    <n v="6145.0635999999995"/>
    <n v="0"/>
    <s v="Daily Sales Import"/>
    <n v="-6145.0635999999995"/>
    <n v="6145.0635999999995"/>
    <x v="1"/>
    <s v="2100"/>
    <s v="000"/>
    <x v="8"/>
    <x v="1"/>
  </r>
  <r>
    <d v="2012-06-26T00:00:00"/>
    <s v="017-2210-000"/>
    <s v="Liquor Sales"/>
    <n v="2411.4640000000004"/>
    <n v="0"/>
    <s v="Daily Sales Import"/>
    <n v="-2411.4640000000004"/>
    <n v="2411.4640000000004"/>
    <x v="1"/>
    <s v="2210"/>
    <s v="000"/>
    <x v="8"/>
    <x v="1"/>
  </r>
  <r>
    <d v="2012-06-26T00:00:00"/>
    <s v="017-2220-000"/>
    <s v="Beer Sales"/>
    <n v="448.63000000000005"/>
    <n v="0"/>
    <s v="Daily Sales Import"/>
    <n v="-448.63000000000005"/>
    <n v="448.63000000000005"/>
    <x v="1"/>
    <s v="2220"/>
    <s v="000"/>
    <x v="8"/>
    <x v="1"/>
  </r>
  <r>
    <d v="2012-06-26T00:00:00"/>
    <s v="017-2230-000"/>
    <s v="Wine Sales"/>
    <n v="258.84000000000003"/>
    <n v="0"/>
    <s v="Daily Sales Import"/>
    <n v="-258.84000000000003"/>
    <n v="258.84000000000003"/>
    <x v="1"/>
    <s v="2230"/>
    <s v="000"/>
    <x v="8"/>
    <x v="1"/>
  </r>
  <r>
    <d v="2012-06-27T00:00:00"/>
    <s v="017-2100-000"/>
    <s v="Food Sales"/>
    <n v="7751.8987000000006"/>
    <n v="0"/>
    <s v="Daily Sales Import"/>
    <n v="-7751.8987000000006"/>
    <n v="7751.8987000000006"/>
    <x v="1"/>
    <s v="2100"/>
    <s v="000"/>
    <x v="8"/>
    <x v="1"/>
  </r>
  <r>
    <d v="2012-06-27T00:00:00"/>
    <s v="017-2210-000"/>
    <s v="Liquor Sales"/>
    <n v="2010.1319999999998"/>
    <n v="0"/>
    <s v="Daily Sales Import"/>
    <n v="-2010.1319999999998"/>
    <n v="2010.1319999999998"/>
    <x v="1"/>
    <s v="2210"/>
    <s v="000"/>
    <x v="8"/>
    <x v="1"/>
  </r>
  <r>
    <d v="2012-06-27T00:00:00"/>
    <s v="017-2220-000"/>
    <s v="Beer Sales"/>
    <n v="584.58749999999998"/>
    <n v="0"/>
    <s v="Daily Sales Import"/>
    <n v="-584.58749999999998"/>
    <n v="584.58749999999998"/>
    <x v="1"/>
    <s v="2220"/>
    <s v="000"/>
    <x v="8"/>
    <x v="1"/>
  </r>
  <r>
    <d v="2012-06-27T00:00:00"/>
    <s v="017-2230-000"/>
    <s v="Wine Sales"/>
    <n v="71.19"/>
    <n v="0"/>
    <s v="Daily Sales Import"/>
    <n v="-71.19"/>
    <n v="71.19"/>
    <x v="1"/>
    <s v="2230"/>
    <s v="000"/>
    <x v="8"/>
    <x v="1"/>
  </r>
  <r>
    <d v="2012-06-28T00:00:00"/>
    <s v="017-2100-000"/>
    <s v="Food Sales"/>
    <n v="8263.8629999999994"/>
    <n v="0"/>
    <s v="Daily Sales Import"/>
    <n v="-8263.8629999999994"/>
    <n v="8263.8629999999994"/>
    <x v="1"/>
    <s v="2100"/>
    <s v="000"/>
    <x v="8"/>
    <x v="1"/>
  </r>
  <r>
    <d v="2012-06-28T00:00:00"/>
    <s v="017-2210-000"/>
    <s v="Liquor Sales"/>
    <n v="3392.7245000000003"/>
    <n v="0"/>
    <s v="Daily Sales Import"/>
    <n v="-3392.7245000000003"/>
    <n v="3392.7245000000003"/>
    <x v="1"/>
    <s v="2210"/>
    <s v="000"/>
    <x v="8"/>
    <x v="1"/>
  </r>
  <r>
    <d v="2012-06-28T00:00:00"/>
    <s v="017-2220-000"/>
    <s v="Beer Sales"/>
    <n v="794.86"/>
    <n v="0"/>
    <s v="Daily Sales Import"/>
    <n v="-794.86"/>
    <n v="794.86"/>
    <x v="1"/>
    <s v="2220"/>
    <s v="000"/>
    <x v="8"/>
    <x v="1"/>
  </r>
  <r>
    <d v="2012-06-28T00:00:00"/>
    <s v="017-2230-000"/>
    <s v="Wine Sales"/>
    <n v="145.53750000000002"/>
    <n v="0"/>
    <s v="Daily Sales Import"/>
    <n v="-145.53750000000002"/>
    <n v="145.53750000000002"/>
    <x v="1"/>
    <s v="2230"/>
    <s v="000"/>
    <x v="8"/>
    <x v="1"/>
  </r>
  <r>
    <d v="2012-06-29T00:00:00"/>
    <s v="017-2100-000"/>
    <s v="Food Sales"/>
    <n v="10730.468499999999"/>
    <n v="0"/>
    <s v="Daily Sales Import"/>
    <n v="-10730.468499999999"/>
    <n v="10730.468499999999"/>
    <x v="1"/>
    <s v="2100"/>
    <s v="000"/>
    <x v="8"/>
    <x v="1"/>
  </r>
  <r>
    <d v="2012-06-29T00:00:00"/>
    <s v="017-2210-000"/>
    <s v="Liquor Sales"/>
    <n v="2847.6309999999999"/>
    <n v="0"/>
    <s v="Daily Sales Import"/>
    <n v="-2847.6309999999999"/>
    <n v="2847.6309999999999"/>
    <x v="1"/>
    <s v="2210"/>
    <s v="000"/>
    <x v="8"/>
    <x v="1"/>
  </r>
  <r>
    <d v="2012-06-29T00:00:00"/>
    <s v="017-2220-000"/>
    <s v="Beer Sales"/>
    <n v="506.34"/>
    <n v="0"/>
    <s v="Daily Sales Import"/>
    <n v="-506.34"/>
    <n v="506.34"/>
    <x v="1"/>
    <s v="2220"/>
    <s v="000"/>
    <x v="8"/>
    <x v="1"/>
  </r>
  <r>
    <d v="2012-06-29T00:00:00"/>
    <s v="017-2230-000"/>
    <s v="Wine Sales"/>
    <n v="122.54399999999998"/>
    <n v="0"/>
    <s v="Daily Sales Import"/>
    <n v="-122.54399999999998"/>
    <n v="122.54399999999998"/>
    <x v="1"/>
    <s v="2230"/>
    <s v="000"/>
    <x v="8"/>
    <x v="1"/>
  </r>
  <r>
    <d v="2012-06-30T00:00:00"/>
    <s v="017-2100-000"/>
    <s v="Food Sales"/>
    <n v="5437.5697999999993"/>
    <n v="0"/>
    <s v="Daily Sales Import"/>
    <n v="-5437.5697999999993"/>
    <n v="5437.5697999999993"/>
    <x v="1"/>
    <s v="2100"/>
    <s v="000"/>
    <x v="8"/>
    <x v="1"/>
  </r>
  <r>
    <d v="2012-06-30T00:00:00"/>
    <s v="017-2210-000"/>
    <s v="Liquor Sales"/>
    <n v="1759.4525000000001"/>
    <n v="0"/>
    <s v="Daily Sales Import"/>
    <n v="-1759.4525000000001"/>
    <n v="1759.4525000000001"/>
    <x v="1"/>
    <s v="2210"/>
    <s v="000"/>
    <x v="8"/>
    <x v="1"/>
  </r>
  <r>
    <d v="2012-06-30T00:00:00"/>
    <s v="017-2220-000"/>
    <s v="Beer Sales"/>
    <n v="471.92500000000001"/>
    <n v="0"/>
    <s v="Daily Sales Import"/>
    <n v="-471.92500000000001"/>
    <n v="471.92500000000001"/>
    <x v="1"/>
    <s v="2220"/>
    <s v="000"/>
    <x v="8"/>
    <x v="1"/>
  </r>
  <r>
    <d v="2012-06-30T00:00:00"/>
    <s v="017-2230-000"/>
    <s v="Wine Sales"/>
    <n v="105.556"/>
    <n v="0"/>
    <s v="Daily Sales Import"/>
    <n v="-105.556"/>
    <n v="105.556"/>
    <x v="1"/>
    <s v="2230"/>
    <s v="000"/>
    <x v="8"/>
    <x v="1"/>
  </r>
  <r>
    <d v="2012-07-01T00:00:00"/>
    <s v="017-2100-000"/>
    <s v="Food Sales"/>
    <n v="4813.3487999999998"/>
    <n v="0"/>
    <s v="Daily Sales Import"/>
    <n v="-4813.3487999999998"/>
    <n v="4813.3487999999998"/>
    <x v="1"/>
    <s v="2100"/>
    <s v="000"/>
    <x v="9"/>
    <x v="1"/>
  </r>
  <r>
    <d v="2012-07-01T00:00:00"/>
    <s v="017-2210-000"/>
    <s v="Liquor Sales"/>
    <n v="1081.3319999999999"/>
    <n v="0"/>
    <s v="Daily Sales Import"/>
    <n v="-1081.3319999999999"/>
    <n v="1081.3319999999999"/>
    <x v="1"/>
    <s v="2210"/>
    <s v="000"/>
    <x v="9"/>
    <x v="1"/>
  </r>
  <r>
    <d v="2012-07-01T00:00:00"/>
    <s v="017-2220-000"/>
    <s v="Beer Sales"/>
    <n v="155.1875"/>
    <n v="0"/>
    <s v="Daily Sales Import"/>
    <n v="-155.1875"/>
    <n v="155.1875"/>
    <x v="1"/>
    <s v="2220"/>
    <s v="000"/>
    <x v="9"/>
    <x v="1"/>
  </r>
  <r>
    <d v="2012-07-01T00:00:00"/>
    <s v="017-2230-000"/>
    <s v="Wine Sales"/>
    <n v="38.258000000000003"/>
    <n v="0"/>
    <s v="Daily Sales Import"/>
    <n v="-38.258000000000003"/>
    <n v="38.258000000000003"/>
    <x v="1"/>
    <s v="2230"/>
    <s v="000"/>
    <x v="9"/>
    <x v="1"/>
  </r>
  <r>
    <d v="2012-06-25T00:00:00"/>
    <s v="018-2100-000"/>
    <s v="Food Sales"/>
    <n v="4545.8920000000007"/>
    <n v="0"/>
    <s v="Daily Sales Import"/>
    <n v="-4545.8920000000007"/>
    <n v="4545.8920000000007"/>
    <x v="2"/>
    <s v="2100"/>
    <s v="000"/>
    <x v="8"/>
    <x v="1"/>
  </r>
  <r>
    <d v="2012-06-25T00:00:00"/>
    <s v="018-2210-000"/>
    <s v="Liquor Sales"/>
    <n v="1121.9285"/>
    <n v="0"/>
    <s v="Daily Sales Import"/>
    <n v="-1121.9285"/>
    <n v="1121.9285"/>
    <x v="2"/>
    <s v="2210"/>
    <s v="000"/>
    <x v="8"/>
    <x v="1"/>
  </r>
  <r>
    <d v="2012-06-25T00:00:00"/>
    <s v="018-2220-000"/>
    <s v="Beer Sales"/>
    <n v="146.40400000000002"/>
    <n v="0"/>
    <s v="Daily Sales Import"/>
    <n v="-146.40400000000002"/>
    <n v="146.40400000000002"/>
    <x v="2"/>
    <s v="2220"/>
    <s v="000"/>
    <x v="8"/>
    <x v="1"/>
  </r>
  <r>
    <d v="2012-06-25T00:00:00"/>
    <s v="018-2230-000"/>
    <s v="Wine Sales"/>
    <n v="126.36000000000001"/>
    <n v="0"/>
    <s v="Daily Sales Import"/>
    <n v="-126.36000000000001"/>
    <n v="126.36000000000001"/>
    <x v="2"/>
    <s v="2230"/>
    <s v="000"/>
    <x v="8"/>
    <x v="1"/>
  </r>
  <r>
    <d v="2012-06-26T00:00:00"/>
    <s v="018-2100-000"/>
    <s v="Food Sales"/>
    <n v="5196.8388000000004"/>
    <n v="0"/>
    <s v="Daily Sales Import"/>
    <n v="-5196.8388000000004"/>
    <n v="5196.8388000000004"/>
    <x v="2"/>
    <s v="2100"/>
    <s v="000"/>
    <x v="8"/>
    <x v="1"/>
  </r>
  <r>
    <d v="2012-06-26T00:00:00"/>
    <s v="018-2210-000"/>
    <s v="Liquor Sales"/>
    <n v="1375.2525000000001"/>
    <n v="0"/>
    <s v="Daily Sales Import"/>
    <n v="-1375.2525000000001"/>
    <n v="1375.2525000000001"/>
    <x v="2"/>
    <s v="2210"/>
    <s v="000"/>
    <x v="8"/>
    <x v="1"/>
  </r>
  <r>
    <d v="2012-06-26T00:00:00"/>
    <s v="018-2220-000"/>
    <s v="Beer Sales"/>
    <n v="273.90999999999997"/>
    <n v="0"/>
    <s v="Daily Sales Import"/>
    <n v="-273.90999999999997"/>
    <n v="273.90999999999997"/>
    <x v="2"/>
    <s v="2220"/>
    <s v="000"/>
    <x v="8"/>
    <x v="1"/>
  </r>
  <r>
    <d v="2012-06-26T00:00:00"/>
    <s v="018-2230-000"/>
    <s v="Wine Sales"/>
    <n v="46.575999999999993"/>
    <n v="0"/>
    <s v="Daily Sales Import"/>
    <n v="-46.575999999999993"/>
    <n v="46.575999999999993"/>
    <x v="2"/>
    <s v="2230"/>
    <s v="000"/>
    <x v="8"/>
    <x v="1"/>
  </r>
  <r>
    <d v="2012-06-27T00:00:00"/>
    <s v="018-2100-000"/>
    <s v="Food Sales"/>
    <n v="4736.5004999999992"/>
    <n v="0"/>
    <s v="Daily Sales Import"/>
    <n v="-4736.5004999999992"/>
    <n v="4736.5004999999992"/>
    <x v="2"/>
    <s v="2100"/>
    <s v="000"/>
    <x v="8"/>
    <x v="1"/>
  </r>
  <r>
    <d v="2012-06-27T00:00:00"/>
    <s v="018-2210-000"/>
    <s v="Liquor Sales"/>
    <n v="1043.971"/>
    <n v="0"/>
    <s v="Daily Sales Import"/>
    <n v="-1043.971"/>
    <n v="1043.971"/>
    <x v="2"/>
    <s v="2210"/>
    <s v="000"/>
    <x v="8"/>
    <x v="1"/>
  </r>
  <r>
    <d v="2012-06-27T00:00:00"/>
    <s v="018-2220-000"/>
    <s v="Beer Sales"/>
    <n v="208.12600000000003"/>
    <n v="0"/>
    <s v="Daily Sales Import"/>
    <n v="-208.12600000000003"/>
    <n v="208.12600000000003"/>
    <x v="2"/>
    <s v="2220"/>
    <s v="000"/>
    <x v="8"/>
    <x v="1"/>
  </r>
  <r>
    <d v="2012-06-27T00:00:00"/>
    <s v="018-2230-000"/>
    <s v="Wine Sales"/>
    <n v="30.684999999999999"/>
    <n v="0"/>
    <s v="Daily Sales Import"/>
    <n v="-30.684999999999999"/>
    <n v="30.684999999999999"/>
    <x v="2"/>
    <s v="2230"/>
    <s v="000"/>
    <x v="8"/>
    <x v="1"/>
  </r>
  <r>
    <d v="2012-06-28T00:00:00"/>
    <s v="018-2100-000"/>
    <s v="Food Sales"/>
    <n v="8532.5390000000007"/>
    <n v="0"/>
    <s v="Daily Sales Import"/>
    <n v="-8532.5390000000007"/>
    <n v="8532.5390000000007"/>
    <x v="2"/>
    <s v="2100"/>
    <s v="000"/>
    <x v="8"/>
    <x v="1"/>
  </r>
  <r>
    <d v="2012-06-28T00:00:00"/>
    <s v="018-2210-000"/>
    <s v="Liquor Sales"/>
    <n v="1898.48"/>
    <n v="0"/>
    <s v="Daily Sales Import"/>
    <n v="-1898.48"/>
    <n v="1898.48"/>
    <x v="2"/>
    <s v="2210"/>
    <s v="000"/>
    <x v="8"/>
    <x v="1"/>
  </r>
  <r>
    <d v="2012-06-28T00:00:00"/>
    <s v="018-2220-000"/>
    <s v="Beer Sales"/>
    <n v="248.98999999999998"/>
    <n v="0"/>
    <s v="Daily Sales Import"/>
    <n v="-248.98999999999998"/>
    <n v="248.98999999999998"/>
    <x v="2"/>
    <s v="2220"/>
    <s v="000"/>
    <x v="8"/>
    <x v="1"/>
  </r>
  <r>
    <d v="2012-06-28T00:00:00"/>
    <s v="018-2230-000"/>
    <s v="Wine Sales"/>
    <n v="35.429499999999997"/>
    <n v="0"/>
    <s v="Daily Sales Import"/>
    <n v="-35.429499999999997"/>
    <n v="35.429499999999997"/>
    <x v="2"/>
    <s v="2230"/>
    <s v="000"/>
    <x v="8"/>
    <x v="1"/>
  </r>
  <r>
    <d v="2012-06-29T00:00:00"/>
    <s v="018-2100-000"/>
    <s v="Food Sales"/>
    <n v="10622.156999999999"/>
    <n v="0"/>
    <s v="Daily Sales Import"/>
    <n v="-10622.156999999999"/>
    <n v="10622.156999999999"/>
    <x v="2"/>
    <s v="2100"/>
    <s v="000"/>
    <x v="8"/>
    <x v="1"/>
  </r>
  <r>
    <d v="2012-06-29T00:00:00"/>
    <s v="018-2210-000"/>
    <s v="Liquor Sales"/>
    <n v="2985.71"/>
    <n v="0"/>
    <s v="Daily Sales Import"/>
    <n v="-2985.71"/>
    <n v="2985.71"/>
    <x v="2"/>
    <s v="2210"/>
    <s v="000"/>
    <x v="8"/>
    <x v="1"/>
  </r>
  <r>
    <d v="2012-06-29T00:00:00"/>
    <s v="018-2220-000"/>
    <s v="Beer Sales"/>
    <n v="712.47600000000011"/>
    <n v="0"/>
    <s v="Daily Sales Import"/>
    <n v="-712.47600000000011"/>
    <n v="712.47600000000011"/>
    <x v="2"/>
    <s v="2220"/>
    <s v="000"/>
    <x v="8"/>
    <x v="1"/>
  </r>
  <r>
    <d v="2012-06-29T00:00:00"/>
    <s v="018-2230-000"/>
    <s v="Wine Sales"/>
    <n v="161.4015"/>
    <n v="0"/>
    <s v="Daily Sales Import"/>
    <n v="-161.4015"/>
    <n v="161.4015"/>
    <x v="2"/>
    <s v="2230"/>
    <s v="000"/>
    <x v="8"/>
    <x v="1"/>
  </r>
  <r>
    <d v="2012-06-30T00:00:00"/>
    <s v="018-2100-000"/>
    <s v="Food Sales"/>
    <n v="17154.204999999998"/>
    <n v="0"/>
    <s v="Daily Sales Import"/>
    <n v="-17154.204999999998"/>
    <n v="17154.204999999998"/>
    <x v="2"/>
    <s v="2100"/>
    <s v="000"/>
    <x v="8"/>
    <x v="1"/>
  </r>
  <r>
    <d v="2012-06-30T00:00:00"/>
    <s v="018-2210-000"/>
    <s v="Liquor Sales"/>
    <n v="3959.8"/>
    <n v="0"/>
    <s v="Daily Sales Import"/>
    <n v="-3959.8"/>
    <n v="3959.8"/>
    <x v="2"/>
    <s v="2210"/>
    <s v="000"/>
    <x v="8"/>
    <x v="1"/>
  </r>
  <r>
    <d v="2012-06-30T00:00:00"/>
    <s v="018-2220-000"/>
    <s v="Beer Sales"/>
    <n v="940.46399999999994"/>
    <n v="0"/>
    <s v="Daily Sales Import"/>
    <n v="-940.46399999999994"/>
    <n v="940.46399999999994"/>
    <x v="2"/>
    <s v="2220"/>
    <s v="000"/>
    <x v="8"/>
    <x v="1"/>
  </r>
  <r>
    <d v="2012-06-30T00:00:00"/>
    <s v="018-2230-000"/>
    <s v="Wine Sales"/>
    <n v="25.113999999999997"/>
    <n v="0"/>
    <s v="Daily Sales Import"/>
    <n v="-25.113999999999997"/>
    <n v="25.113999999999997"/>
    <x v="2"/>
    <s v="2230"/>
    <s v="000"/>
    <x v="8"/>
    <x v="1"/>
  </r>
  <r>
    <d v="2012-07-01T00:00:00"/>
    <s v="018-2100-000"/>
    <s v="Food Sales"/>
    <n v="14969.1428"/>
    <n v="0"/>
    <s v="Daily Sales Import"/>
    <n v="-14969.1428"/>
    <n v="14969.1428"/>
    <x v="2"/>
    <s v="2100"/>
    <s v="000"/>
    <x v="9"/>
    <x v="1"/>
  </r>
  <r>
    <d v="2012-07-01T00:00:00"/>
    <s v="018-2210-000"/>
    <s v="Liquor Sales"/>
    <n v="1744.316"/>
    <n v="0"/>
    <s v="Daily Sales Import"/>
    <n v="-1744.316"/>
    <n v="1744.316"/>
    <x v="2"/>
    <s v="2210"/>
    <s v="000"/>
    <x v="9"/>
    <x v="1"/>
  </r>
  <r>
    <d v="2012-07-01T00:00:00"/>
    <s v="018-2220-000"/>
    <s v="Beer Sales"/>
    <n v="332.37"/>
    <n v="0"/>
    <s v="Daily Sales Import"/>
    <n v="-332.37"/>
    <n v="332.37"/>
    <x v="2"/>
    <s v="2220"/>
    <s v="000"/>
    <x v="9"/>
    <x v="1"/>
  </r>
  <r>
    <d v="2012-07-01T00:00:00"/>
    <s v="018-2230-000"/>
    <s v="Wine Sales"/>
    <n v="104.37350000000001"/>
    <n v="0"/>
    <s v="Daily Sales Import"/>
    <n v="-104.37350000000001"/>
    <n v="104.37350000000001"/>
    <x v="2"/>
    <s v="2230"/>
    <s v="000"/>
    <x v="9"/>
    <x v="1"/>
  </r>
  <r>
    <d v="2012-07-02T00:00:00"/>
    <s v="016-2100-000"/>
    <s v="Food Sales"/>
    <n v="3431.357"/>
    <n v="0"/>
    <s v="Daily Sales Import"/>
    <n v="-3431.357"/>
    <n v="3431.357"/>
    <x v="0"/>
    <s v="2100"/>
    <s v="000"/>
    <x v="9"/>
    <x v="1"/>
  </r>
  <r>
    <d v="2012-07-02T00:00:00"/>
    <s v="016-2210-000"/>
    <s v="Liquor Sales"/>
    <n v="715.68"/>
    <n v="0"/>
    <s v="Daily Sales Import"/>
    <n v="-715.68"/>
    <n v="715.68"/>
    <x v="0"/>
    <s v="2210"/>
    <s v="000"/>
    <x v="9"/>
    <x v="1"/>
  </r>
  <r>
    <d v="2012-07-02T00:00:00"/>
    <s v="016-2220-000"/>
    <s v="Beer Sales"/>
    <n v="103.54049999999999"/>
    <n v="0"/>
    <s v="Daily Sales Import"/>
    <n v="-103.54049999999999"/>
    <n v="103.54049999999999"/>
    <x v="0"/>
    <s v="2220"/>
    <s v="000"/>
    <x v="9"/>
    <x v="1"/>
  </r>
  <r>
    <d v="2012-07-02T00:00:00"/>
    <s v="016-2230-000"/>
    <s v="Wine Sales"/>
    <n v="40.020000000000003"/>
    <n v="0"/>
    <s v="Daily Sales Import"/>
    <n v="-40.020000000000003"/>
    <n v="40.020000000000003"/>
    <x v="0"/>
    <s v="2230"/>
    <s v="000"/>
    <x v="9"/>
    <x v="1"/>
  </r>
  <r>
    <d v="2012-07-03T00:00:00"/>
    <s v="016-2100-000"/>
    <s v="Food Sales"/>
    <n v="5693.1909999999998"/>
    <n v="0"/>
    <s v="Daily Sales Import"/>
    <n v="-5693.1909999999998"/>
    <n v="5693.1909999999998"/>
    <x v="0"/>
    <s v="2100"/>
    <s v="000"/>
    <x v="9"/>
    <x v="1"/>
  </r>
  <r>
    <d v="2012-07-03T00:00:00"/>
    <s v="016-2210-000"/>
    <s v="Liquor Sales"/>
    <n v="2359.5796"/>
    <n v="0"/>
    <s v="Daily Sales Import"/>
    <n v="-2359.5796"/>
    <n v="2359.5796"/>
    <x v="0"/>
    <s v="2210"/>
    <s v="000"/>
    <x v="9"/>
    <x v="1"/>
  </r>
  <r>
    <d v="2012-07-03T00:00:00"/>
    <s v="016-2220-000"/>
    <s v="Beer Sales"/>
    <n v="789.63300000000004"/>
    <n v="0"/>
    <s v="Daily Sales Import"/>
    <n v="-789.63300000000004"/>
    <n v="789.63300000000004"/>
    <x v="0"/>
    <s v="2220"/>
    <s v="000"/>
    <x v="9"/>
    <x v="1"/>
  </r>
  <r>
    <d v="2012-07-03T00:00:00"/>
    <s v="016-2230-000"/>
    <s v="Wine Sales"/>
    <n v="127.64400000000001"/>
    <n v="0"/>
    <s v="Daily Sales Import"/>
    <n v="-127.64400000000001"/>
    <n v="127.64400000000001"/>
    <x v="0"/>
    <s v="2230"/>
    <s v="000"/>
    <x v="9"/>
    <x v="1"/>
  </r>
  <r>
    <d v="2012-07-04T00:00:00"/>
    <s v="016-2100-000"/>
    <s v="Food Sales"/>
    <n v="4743.2658000000001"/>
    <n v="0"/>
    <s v="Daily Sales Import"/>
    <n v="-4743.2658000000001"/>
    <n v="4743.2658000000001"/>
    <x v="0"/>
    <s v="2100"/>
    <s v="000"/>
    <x v="9"/>
    <x v="1"/>
  </r>
  <r>
    <d v="2012-07-04T00:00:00"/>
    <s v="016-2210-000"/>
    <s v="Liquor Sales"/>
    <n v="1056.0550000000001"/>
    <n v="0"/>
    <s v="Daily Sales Import"/>
    <n v="-1056.0550000000001"/>
    <n v="1056.0550000000001"/>
    <x v="0"/>
    <s v="2210"/>
    <s v="000"/>
    <x v="9"/>
    <x v="1"/>
  </r>
  <r>
    <d v="2012-07-04T00:00:00"/>
    <s v="016-2220-000"/>
    <s v="Beer Sales"/>
    <n v="135.11099999999999"/>
    <n v="0"/>
    <s v="Daily Sales Import"/>
    <n v="-135.11099999999999"/>
    <n v="135.11099999999999"/>
    <x v="0"/>
    <s v="2220"/>
    <s v="000"/>
    <x v="9"/>
    <x v="1"/>
  </r>
  <r>
    <d v="2012-07-04T00:00:00"/>
    <s v="016-2230-000"/>
    <s v="Wine Sales"/>
    <n v="67.112499999999997"/>
    <n v="0"/>
    <s v="Daily Sales Import"/>
    <n v="-67.112499999999997"/>
    <n v="67.112499999999997"/>
    <x v="0"/>
    <s v="2230"/>
    <s v="000"/>
    <x v="9"/>
    <x v="1"/>
  </r>
  <r>
    <d v="2012-07-05T00:00:00"/>
    <s v="016-2100-000"/>
    <s v="Food Sales"/>
    <n v="3575.9349999999999"/>
    <n v="0"/>
    <s v="Daily Sales Import"/>
    <n v="-3575.9349999999999"/>
    <n v="3575.9349999999999"/>
    <x v="0"/>
    <s v="2100"/>
    <s v="000"/>
    <x v="9"/>
    <x v="1"/>
  </r>
  <r>
    <d v="2012-07-05T00:00:00"/>
    <s v="016-2210-000"/>
    <s v="Liquor Sales"/>
    <n v="1069.8575000000001"/>
    <n v="0"/>
    <s v="Daily Sales Import"/>
    <n v="-1069.8575000000001"/>
    <n v="1069.8575000000001"/>
    <x v="0"/>
    <s v="2210"/>
    <s v="000"/>
    <x v="9"/>
    <x v="1"/>
  </r>
  <r>
    <d v="2012-07-05T00:00:00"/>
    <s v="016-2220-000"/>
    <s v="Beer Sales"/>
    <n v="153.60000000000002"/>
    <n v="0"/>
    <s v="Daily Sales Import"/>
    <n v="-153.60000000000002"/>
    <n v="153.60000000000002"/>
    <x v="0"/>
    <s v="2220"/>
    <s v="000"/>
    <x v="9"/>
    <x v="1"/>
  </r>
  <r>
    <d v="2012-07-05T00:00:00"/>
    <s v="016-2230-000"/>
    <s v="Wine Sales"/>
    <n v="25.55"/>
    <n v="0"/>
    <s v="Daily Sales Import"/>
    <n v="-25.55"/>
    <n v="25.55"/>
    <x v="0"/>
    <s v="2230"/>
    <s v="000"/>
    <x v="9"/>
    <x v="1"/>
  </r>
  <r>
    <d v="2012-07-06T00:00:00"/>
    <s v="016-2100-000"/>
    <s v="Food Sales"/>
    <n v="5377.1537999999991"/>
    <n v="0"/>
    <s v="Daily Sales Import"/>
    <n v="-5377.1537999999991"/>
    <n v="5377.1537999999991"/>
    <x v="0"/>
    <s v="2100"/>
    <s v="000"/>
    <x v="9"/>
    <x v="1"/>
  </r>
  <r>
    <d v="2012-07-06T00:00:00"/>
    <s v="016-2210-000"/>
    <s v="Liquor Sales"/>
    <n v="2247.7080000000001"/>
    <n v="0"/>
    <s v="Daily Sales Import"/>
    <n v="-2247.7080000000001"/>
    <n v="2247.7080000000001"/>
    <x v="0"/>
    <s v="2210"/>
    <s v="000"/>
    <x v="9"/>
    <x v="1"/>
  </r>
  <r>
    <d v="2012-07-06T00:00:00"/>
    <s v="016-2220-000"/>
    <s v="Beer Sales"/>
    <n v="345.25349999999997"/>
    <n v="0"/>
    <s v="Daily Sales Import"/>
    <n v="-345.25349999999997"/>
    <n v="345.25349999999997"/>
    <x v="0"/>
    <s v="2220"/>
    <s v="000"/>
    <x v="9"/>
    <x v="1"/>
  </r>
  <r>
    <d v="2012-07-06T00:00:00"/>
    <s v="016-2230-000"/>
    <s v="Wine Sales"/>
    <n v="109.88250000000001"/>
    <n v="0"/>
    <s v="Daily Sales Import"/>
    <n v="-109.88250000000001"/>
    <n v="109.88250000000001"/>
    <x v="0"/>
    <s v="2230"/>
    <s v="000"/>
    <x v="9"/>
    <x v="1"/>
  </r>
  <r>
    <d v="2012-07-07T00:00:00"/>
    <s v="016-2100-000"/>
    <s v="Food Sales"/>
    <n v="6136.3632000000007"/>
    <n v="0"/>
    <s v="Daily Sales Import"/>
    <n v="-6136.3632000000007"/>
    <n v="6136.3632000000007"/>
    <x v="0"/>
    <s v="2100"/>
    <s v="000"/>
    <x v="9"/>
    <x v="1"/>
  </r>
  <r>
    <d v="2012-07-07T00:00:00"/>
    <s v="016-2210-000"/>
    <s v="Liquor Sales"/>
    <n v="2422.3319999999999"/>
    <n v="0"/>
    <s v="Daily Sales Import"/>
    <n v="-2422.3319999999999"/>
    <n v="2422.3319999999999"/>
    <x v="0"/>
    <s v="2210"/>
    <s v="000"/>
    <x v="9"/>
    <x v="1"/>
  </r>
  <r>
    <d v="2012-07-07T00:00:00"/>
    <s v="016-2220-000"/>
    <s v="Beer Sales"/>
    <n v="399.05"/>
    <n v="0"/>
    <s v="Daily Sales Import"/>
    <n v="-399.05"/>
    <n v="399.05"/>
    <x v="0"/>
    <s v="2220"/>
    <s v="000"/>
    <x v="9"/>
    <x v="1"/>
  </r>
  <r>
    <d v="2012-07-07T00:00:00"/>
    <s v="016-2230-000"/>
    <s v="Wine Sales"/>
    <n v="138.38400000000001"/>
    <n v="0"/>
    <s v="Daily Sales Import"/>
    <n v="-138.38400000000001"/>
    <n v="138.38400000000001"/>
    <x v="0"/>
    <s v="2230"/>
    <s v="000"/>
    <x v="9"/>
    <x v="1"/>
  </r>
  <r>
    <d v="2012-07-08T00:00:00"/>
    <s v="016-2100-000"/>
    <s v="Food Sales"/>
    <n v="5180.5907999999999"/>
    <n v="0"/>
    <s v="Daily Sales Import"/>
    <n v="-5180.5907999999999"/>
    <n v="5180.5907999999999"/>
    <x v="0"/>
    <s v="2100"/>
    <s v="000"/>
    <x v="9"/>
    <x v="1"/>
  </r>
  <r>
    <d v="2012-07-08T00:00:00"/>
    <s v="016-2210-000"/>
    <s v="Liquor Sales"/>
    <n v="898.20749999999998"/>
    <n v="0"/>
    <s v="Daily Sales Import"/>
    <n v="-898.20749999999998"/>
    <n v="898.20749999999998"/>
    <x v="0"/>
    <s v="2210"/>
    <s v="000"/>
    <x v="9"/>
    <x v="1"/>
  </r>
  <r>
    <d v="2012-07-08T00:00:00"/>
    <s v="016-2220-000"/>
    <s v="Beer Sales"/>
    <n v="163.51829999999998"/>
    <n v="0"/>
    <s v="Daily Sales Import"/>
    <n v="-163.51829999999998"/>
    <n v="163.51829999999998"/>
    <x v="0"/>
    <s v="2220"/>
    <s v="000"/>
    <x v="9"/>
    <x v="1"/>
  </r>
  <r>
    <d v="2012-07-08T00:00:00"/>
    <s v="016-2230-000"/>
    <s v="Wine Sales"/>
    <n v="104.51700000000001"/>
    <n v="0"/>
    <s v="Daily Sales Import"/>
    <n v="-104.51700000000001"/>
    <n v="104.51700000000001"/>
    <x v="0"/>
    <s v="2230"/>
    <s v="000"/>
    <x v="9"/>
    <x v="1"/>
  </r>
  <r>
    <d v="2012-07-02T00:00:00"/>
    <s v="017-2100-000"/>
    <s v="Food Sales"/>
    <n v="4303.6776"/>
    <n v="0"/>
    <s v="Daily Sales Import"/>
    <n v="-4303.6776"/>
    <n v="4303.6776"/>
    <x v="1"/>
    <s v="2100"/>
    <s v="000"/>
    <x v="9"/>
    <x v="1"/>
  </r>
  <r>
    <d v="2012-07-02T00:00:00"/>
    <s v="017-2210-000"/>
    <s v="Liquor Sales"/>
    <n v="918.43550000000005"/>
    <n v="0"/>
    <s v="Daily Sales Import"/>
    <n v="-918.43550000000005"/>
    <n v="918.43550000000005"/>
    <x v="1"/>
    <s v="2210"/>
    <s v="000"/>
    <x v="9"/>
    <x v="1"/>
  </r>
  <r>
    <d v="2012-07-02T00:00:00"/>
    <s v="017-2220-000"/>
    <s v="Beer Sales"/>
    <n v="203.09"/>
    <n v="0"/>
    <s v="Daily Sales Import"/>
    <n v="-203.09"/>
    <n v="203.09"/>
    <x v="1"/>
    <s v="2220"/>
    <s v="000"/>
    <x v="9"/>
    <x v="1"/>
  </r>
  <r>
    <d v="2012-07-02T00:00:00"/>
    <s v="017-2230-000"/>
    <s v="Wine Sales"/>
    <n v="97.802499999999995"/>
    <n v="0"/>
    <s v="Daily Sales Import"/>
    <n v="-97.802499999999995"/>
    <n v="97.802499999999995"/>
    <x v="1"/>
    <s v="2230"/>
    <s v="000"/>
    <x v="9"/>
    <x v="1"/>
  </r>
  <r>
    <d v="2012-07-03T00:00:00"/>
    <s v="017-2100-000"/>
    <s v="Food Sales"/>
    <n v="5611.3764000000001"/>
    <n v="0"/>
    <s v="Daily Sales Import"/>
    <n v="-5611.3764000000001"/>
    <n v="5611.3764000000001"/>
    <x v="1"/>
    <s v="2100"/>
    <s v="000"/>
    <x v="9"/>
    <x v="1"/>
  </r>
  <r>
    <d v="2012-07-03T00:00:00"/>
    <s v="017-2210-000"/>
    <s v="Liquor Sales"/>
    <n v="1199.52"/>
    <n v="0"/>
    <s v="Daily Sales Import"/>
    <n v="-1199.52"/>
    <n v="1199.52"/>
    <x v="1"/>
    <s v="2210"/>
    <s v="000"/>
    <x v="9"/>
    <x v="1"/>
  </r>
  <r>
    <d v="2012-07-03T00:00:00"/>
    <s v="017-2220-000"/>
    <s v="Beer Sales"/>
    <n v="357.5"/>
    <n v="0"/>
    <s v="Daily Sales Import"/>
    <n v="-357.5"/>
    <n v="357.5"/>
    <x v="1"/>
    <s v="2220"/>
    <s v="000"/>
    <x v="9"/>
    <x v="1"/>
  </r>
  <r>
    <d v="2012-07-03T00:00:00"/>
    <s v="017-2230-000"/>
    <s v="Wine Sales"/>
    <n v="105.78249999999998"/>
    <n v="0"/>
    <s v="Daily Sales Import"/>
    <n v="-105.78249999999998"/>
    <n v="105.78249999999998"/>
    <x v="1"/>
    <s v="2230"/>
    <s v="000"/>
    <x v="9"/>
    <x v="1"/>
  </r>
  <r>
    <d v="2012-07-04T00:00:00"/>
    <s v="017-2100-000"/>
    <s v="Food Sales"/>
    <n v="2863.1898000000001"/>
    <n v="0"/>
    <s v="Daily Sales Import"/>
    <n v="-2863.1898000000001"/>
    <n v="2863.1898000000001"/>
    <x v="1"/>
    <s v="2100"/>
    <s v="000"/>
    <x v="9"/>
    <x v="1"/>
  </r>
  <r>
    <d v="2012-07-04T00:00:00"/>
    <s v="017-2210-000"/>
    <s v="Liquor Sales"/>
    <n v="825.87099999999998"/>
    <n v="0"/>
    <s v="Daily Sales Import"/>
    <n v="-825.87099999999998"/>
    <n v="825.87099999999998"/>
    <x v="1"/>
    <s v="2210"/>
    <s v="000"/>
    <x v="9"/>
    <x v="1"/>
  </r>
  <r>
    <d v="2012-07-04T00:00:00"/>
    <s v="017-2220-000"/>
    <s v="Beer Sales"/>
    <n v="244.75"/>
    <n v="0"/>
    <s v="Daily Sales Import"/>
    <n v="-244.75"/>
    <n v="244.75"/>
    <x v="1"/>
    <s v="2220"/>
    <s v="000"/>
    <x v="9"/>
    <x v="1"/>
  </r>
  <r>
    <d v="2012-07-04T00:00:00"/>
    <s v="017-2230-000"/>
    <s v="Wine Sales"/>
    <n v="63.891000000000005"/>
    <n v="0"/>
    <s v="Daily Sales Import"/>
    <n v="-63.891000000000005"/>
    <n v="63.891000000000005"/>
    <x v="1"/>
    <s v="2230"/>
    <s v="000"/>
    <x v="9"/>
    <x v="1"/>
  </r>
  <r>
    <d v="2012-07-05T00:00:00"/>
    <s v="017-2100-000"/>
    <s v="Food Sales"/>
    <n v="5208.6823999999997"/>
    <n v="0"/>
    <s v="Daily Sales Import"/>
    <n v="-5208.6823999999997"/>
    <n v="5208.6823999999997"/>
    <x v="1"/>
    <s v="2100"/>
    <s v="000"/>
    <x v="9"/>
    <x v="1"/>
  </r>
  <r>
    <d v="2012-07-05T00:00:00"/>
    <s v="017-2210-000"/>
    <s v="Liquor Sales"/>
    <n v="1006.33"/>
    <n v="0"/>
    <s v="Daily Sales Import"/>
    <n v="-1006.33"/>
    <n v="1006.33"/>
    <x v="1"/>
    <s v="2210"/>
    <s v="000"/>
    <x v="9"/>
    <x v="1"/>
  </r>
  <r>
    <d v="2012-07-05T00:00:00"/>
    <s v="017-2220-000"/>
    <s v="Beer Sales"/>
    <n v="176.715"/>
    <n v="0"/>
    <s v="Daily Sales Import"/>
    <n v="-176.715"/>
    <n v="176.715"/>
    <x v="1"/>
    <s v="2220"/>
    <s v="000"/>
    <x v="9"/>
    <x v="1"/>
  </r>
  <r>
    <d v="2012-07-05T00:00:00"/>
    <s v="017-2230-000"/>
    <s v="Wine Sales"/>
    <n v="45.636499999999991"/>
    <n v="0"/>
    <s v="Daily Sales Import"/>
    <n v="-45.636499999999991"/>
    <n v="45.636499999999991"/>
    <x v="1"/>
    <s v="2230"/>
    <s v="000"/>
    <x v="9"/>
    <x v="1"/>
  </r>
  <r>
    <d v="2012-07-06T00:00:00"/>
    <s v="017-2100-000"/>
    <s v="Food Sales"/>
    <n v="6683.3927999999996"/>
    <n v="0"/>
    <s v="Daily Sales Import"/>
    <n v="-6683.3927999999996"/>
    <n v="6683.3927999999996"/>
    <x v="1"/>
    <s v="2100"/>
    <s v="000"/>
    <x v="9"/>
    <x v="1"/>
  </r>
  <r>
    <d v="2012-07-06T00:00:00"/>
    <s v="017-2210-000"/>
    <s v="Liquor Sales"/>
    <n v="2496.69"/>
    <n v="0"/>
    <s v="Daily Sales Import"/>
    <n v="-2496.69"/>
    <n v="2496.69"/>
    <x v="1"/>
    <s v="2210"/>
    <s v="000"/>
    <x v="9"/>
    <x v="1"/>
  </r>
  <r>
    <d v="2012-07-06T00:00:00"/>
    <s v="017-2220-000"/>
    <s v="Beer Sales"/>
    <n v="249.47749999999999"/>
    <n v="0"/>
    <s v="Daily Sales Import"/>
    <n v="-249.47749999999999"/>
    <n v="249.47749999999999"/>
    <x v="1"/>
    <s v="2220"/>
    <s v="000"/>
    <x v="9"/>
    <x v="1"/>
  </r>
  <r>
    <d v="2012-07-06T00:00:00"/>
    <s v="017-2230-000"/>
    <s v="Wine Sales"/>
    <n v="97.02"/>
    <n v="0"/>
    <s v="Daily Sales Import"/>
    <n v="-97.02"/>
    <n v="97.02"/>
    <x v="1"/>
    <s v="2230"/>
    <s v="000"/>
    <x v="9"/>
    <x v="1"/>
  </r>
  <r>
    <d v="2012-07-07T00:00:00"/>
    <s v="017-2100-000"/>
    <s v="Food Sales"/>
    <n v="7002.2480000000005"/>
    <n v="0"/>
    <s v="Daily Sales Import"/>
    <n v="-7002.2480000000005"/>
    <n v="7002.2480000000005"/>
    <x v="1"/>
    <s v="2100"/>
    <s v="000"/>
    <x v="9"/>
    <x v="1"/>
  </r>
  <r>
    <d v="2012-07-07T00:00:00"/>
    <s v="017-2210-000"/>
    <s v="Liquor Sales"/>
    <n v="1713.2445"/>
    <n v="0"/>
    <s v="Daily Sales Import"/>
    <n v="-1713.2445"/>
    <n v="1713.2445"/>
    <x v="1"/>
    <s v="2210"/>
    <s v="000"/>
    <x v="9"/>
    <x v="1"/>
  </r>
  <r>
    <d v="2012-07-07T00:00:00"/>
    <s v="017-2220-000"/>
    <s v="Beer Sales"/>
    <n v="273.15000000000003"/>
    <n v="0"/>
    <s v="Daily Sales Import"/>
    <n v="-273.15000000000003"/>
    <n v="273.15000000000003"/>
    <x v="1"/>
    <s v="2220"/>
    <s v="000"/>
    <x v="9"/>
    <x v="1"/>
  </r>
  <r>
    <d v="2012-07-07T00:00:00"/>
    <s v="017-2230-000"/>
    <s v="Wine Sales"/>
    <n v="47.008999999999993"/>
    <n v="0"/>
    <s v="Daily Sales Import"/>
    <n v="-47.008999999999993"/>
    <n v="47.008999999999993"/>
    <x v="1"/>
    <s v="2230"/>
    <s v="000"/>
    <x v="9"/>
    <x v="1"/>
  </r>
  <r>
    <d v="2012-07-08T00:00:00"/>
    <s v="017-2100-000"/>
    <s v="Food Sales"/>
    <n v="3933.8441999999995"/>
    <n v="0"/>
    <s v="Daily Sales Import"/>
    <n v="-3933.8441999999995"/>
    <n v="3933.8441999999995"/>
    <x v="1"/>
    <s v="2100"/>
    <s v="000"/>
    <x v="9"/>
    <x v="1"/>
  </r>
  <r>
    <d v="2012-07-08T00:00:00"/>
    <s v="017-2210-000"/>
    <s v="Liquor Sales"/>
    <n v="839.35599999999999"/>
    <n v="0"/>
    <s v="Daily Sales Import"/>
    <n v="-839.35599999999999"/>
    <n v="839.35599999999999"/>
    <x v="1"/>
    <s v="2210"/>
    <s v="000"/>
    <x v="9"/>
    <x v="1"/>
  </r>
  <r>
    <d v="2012-07-08T00:00:00"/>
    <s v="017-2220-000"/>
    <s v="Beer Sales"/>
    <n v="200.02499999999998"/>
    <n v="0"/>
    <s v="Daily Sales Import"/>
    <n v="-200.02499999999998"/>
    <n v="200.02499999999998"/>
    <x v="1"/>
    <s v="2220"/>
    <s v="000"/>
    <x v="9"/>
    <x v="1"/>
  </r>
  <r>
    <d v="2012-07-08T00:00:00"/>
    <s v="017-2230-000"/>
    <s v="Wine Sales"/>
    <n v="194.86199999999999"/>
    <n v="0"/>
    <s v="Daily Sales Import"/>
    <n v="-194.86199999999999"/>
    <n v="194.86199999999999"/>
    <x v="1"/>
    <s v="2230"/>
    <s v="000"/>
    <x v="9"/>
    <x v="1"/>
  </r>
  <r>
    <d v="2012-07-02T00:00:00"/>
    <s v="018-2100-000"/>
    <s v="Food Sales"/>
    <n v="5748.2479999999996"/>
    <n v="0"/>
    <s v="Daily Sales Import"/>
    <n v="-5748.2479999999996"/>
    <n v="5748.2479999999996"/>
    <x v="2"/>
    <s v="2100"/>
    <s v="000"/>
    <x v="9"/>
    <x v="1"/>
  </r>
  <r>
    <d v="2012-07-02T00:00:00"/>
    <s v="018-2210-000"/>
    <s v="Liquor Sales"/>
    <n v="849.45249999999999"/>
    <n v="0"/>
    <s v="Daily Sales Import"/>
    <n v="-849.45249999999999"/>
    <n v="849.45249999999999"/>
    <x v="2"/>
    <s v="2210"/>
    <s v="000"/>
    <x v="9"/>
    <x v="1"/>
  </r>
  <r>
    <d v="2012-07-02T00:00:00"/>
    <s v="018-2220-000"/>
    <s v="Beer Sales"/>
    <n v="260.61"/>
    <n v="0"/>
    <s v="Daily Sales Import"/>
    <n v="-260.61"/>
    <n v="260.61"/>
    <x v="2"/>
    <s v="2220"/>
    <s v="000"/>
    <x v="9"/>
    <x v="1"/>
  </r>
  <r>
    <d v="2012-07-02T00:00:00"/>
    <s v="018-2230-000"/>
    <s v="Wine Sales"/>
    <n v="93.527500000000003"/>
    <n v="0"/>
    <s v="Daily Sales Import"/>
    <n v="-93.527500000000003"/>
    <n v="93.527500000000003"/>
    <x v="2"/>
    <s v="2230"/>
    <s v="000"/>
    <x v="9"/>
    <x v="1"/>
  </r>
  <r>
    <d v="2012-07-03T00:00:00"/>
    <s v="018-2100-000"/>
    <s v="Food Sales"/>
    <n v="7362.3329999999996"/>
    <n v="0"/>
    <s v="Daily Sales Import"/>
    <n v="-7362.3329999999996"/>
    <n v="7362.3329999999996"/>
    <x v="2"/>
    <s v="2100"/>
    <s v="000"/>
    <x v="9"/>
    <x v="1"/>
  </r>
  <r>
    <d v="2012-07-03T00:00:00"/>
    <s v="018-2210-000"/>
    <s v="Liquor Sales"/>
    <n v="1844.8149999999998"/>
    <n v="0"/>
    <s v="Daily Sales Import"/>
    <n v="-1844.8149999999998"/>
    <n v="1844.8149999999998"/>
    <x v="2"/>
    <s v="2210"/>
    <s v="000"/>
    <x v="9"/>
    <x v="1"/>
  </r>
  <r>
    <d v="2012-07-03T00:00:00"/>
    <s v="018-2220-000"/>
    <s v="Beer Sales"/>
    <n v="340.7525"/>
    <n v="0"/>
    <s v="Daily Sales Import"/>
    <n v="-340.7525"/>
    <n v="340.7525"/>
    <x v="2"/>
    <s v="2220"/>
    <s v="000"/>
    <x v="9"/>
    <x v="1"/>
  </r>
  <r>
    <d v="2012-07-03T00:00:00"/>
    <s v="018-2230-000"/>
    <s v="Wine Sales"/>
    <n v="135.113"/>
    <n v="0"/>
    <s v="Daily Sales Import"/>
    <n v="-135.113"/>
    <n v="135.113"/>
    <x v="2"/>
    <s v="2230"/>
    <s v="000"/>
    <x v="9"/>
    <x v="1"/>
  </r>
  <r>
    <d v="2012-07-04T00:00:00"/>
    <s v="018-2100-000"/>
    <s v="Food Sales"/>
    <n v="4229.6100000000006"/>
    <n v="0"/>
    <s v="Daily Sales Import"/>
    <n v="-4229.6100000000006"/>
    <n v="4229.6100000000006"/>
    <x v="2"/>
    <s v="2100"/>
    <s v="000"/>
    <x v="9"/>
    <x v="1"/>
  </r>
  <r>
    <d v="2012-07-04T00:00:00"/>
    <s v="018-2210-000"/>
    <s v="Liquor Sales"/>
    <n v="1011.275"/>
    <n v="0"/>
    <s v="Daily Sales Import"/>
    <n v="-1011.275"/>
    <n v="1011.275"/>
    <x v="2"/>
    <s v="2210"/>
    <s v="000"/>
    <x v="9"/>
    <x v="1"/>
  </r>
  <r>
    <d v="2012-07-04T00:00:00"/>
    <s v="018-2220-000"/>
    <s v="Beer Sales"/>
    <n v="151.36000000000001"/>
    <n v="0"/>
    <s v="Daily Sales Import"/>
    <n v="-151.36000000000001"/>
    <n v="151.36000000000001"/>
    <x v="2"/>
    <s v="2220"/>
    <s v="000"/>
    <x v="9"/>
    <x v="1"/>
  </r>
  <r>
    <d v="2012-07-04T00:00:00"/>
    <s v="018-2230-000"/>
    <s v="Wine Sales"/>
    <n v="17.655000000000001"/>
    <n v="0"/>
    <s v="Daily Sales Import"/>
    <n v="-17.655000000000001"/>
    <n v="17.655000000000001"/>
    <x v="2"/>
    <s v="2230"/>
    <s v="000"/>
    <x v="9"/>
    <x v="1"/>
  </r>
  <r>
    <d v="2012-07-05T00:00:00"/>
    <s v="018-2100-000"/>
    <s v="Food Sales"/>
    <n v="4667.8099999999995"/>
    <n v="0"/>
    <s v="Daily Sales Import"/>
    <n v="-4667.8099999999995"/>
    <n v="4667.8099999999995"/>
    <x v="2"/>
    <s v="2100"/>
    <s v="000"/>
    <x v="9"/>
    <x v="1"/>
  </r>
  <r>
    <d v="2012-07-05T00:00:00"/>
    <s v="018-2210-000"/>
    <s v="Liquor Sales"/>
    <n v="705.28150000000005"/>
    <n v="0"/>
    <s v="Daily Sales Import"/>
    <n v="-705.28150000000005"/>
    <n v="705.28150000000005"/>
    <x v="2"/>
    <s v="2210"/>
    <s v="000"/>
    <x v="9"/>
    <x v="1"/>
  </r>
  <r>
    <d v="2012-07-05T00:00:00"/>
    <s v="018-2220-000"/>
    <s v="Beer Sales"/>
    <n v="154.55049999999997"/>
    <n v="0"/>
    <s v="Daily Sales Import"/>
    <n v="-154.55049999999997"/>
    <n v="154.55049999999997"/>
    <x v="2"/>
    <s v="2220"/>
    <s v="000"/>
    <x v="9"/>
    <x v="1"/>
  </r>
  <r>
    <d v="2012-07-06T00:00:00"/>
    <s v="018-2100-000"/>
    <s v="Food Sales"/>
    <n v="8288.7844000000005"/>
    <n v="0"/>
    <s v="Daily Sales Import"/>
    <n v="-8288.7844000000005"/>
    <n v="8288.7844000000005"/>
    <x v="2"/>
    <s v="2100"/>
    <s v="000"/>
    <x v="9"/>
    <x v="1"/>
  </r>
  <r>
    <d v="2012-07-06T00:00:00"/>
    <s v="018-2210-000"/>
    <s v="Liquor Sales"/>
    <n v="3214.8479999999995"/>
    <n v="0"/>
    <s v="Daily Sales Import"/>
    <n v="-3214.8479999999995"/>
    <n v="3214.8479999999995"/>
    <x v="2"/>
    <s v="2210"/>
    <s v="000"/>
    <x v="9"/>
    <x v="1"/>
  </r>
  <r>
    <d v="2012-07-06T00:00:00"/>
    <s v="018-2220-000"/>
    <s v="Beer Sales"/>
    <n v="362.94300000000004"/>
    <n v="0"/>
    <s v="Daily Sales Import"/>
    <n v="-362.94300000000004"/>
    <n v="362.94300000000004"/>
    <x v="2"/>
    <s v="2220"/>
    <s v="000"/>
    <x v="9"/>
    <x v="1"/>
  </r>
  <r>
    <d v="2012-07-06T00:00:00"/>
    <s v="018-2230-000"/>
    <s v="Wine Sales"/>
    <n v="83.167500000000004"/>
    <n v="0"/>
    <s v="Daily Sales Import"/>
    <n v="-83.167500000000004"/>
    <n v="83.167500000000004"/>
    <x v="2"/>
    <s v="2230"/>
    <s v="000"/>
    <x v="9"/>
    <x v="1"/>
  </r>
  <r>
    <d v="2012-07-07T00:00:00"/>
    <s v="018-2100-000"/>
    <s v="Food Sales"/>
    <n v="10675.445000000002"/>
    <n v="0"/>
    <s v="Daily Sales Import"/>
    <n v="-10675.445000000002"/>
    <n v="10675.445000000002"/>
    <x v="2"/>
    <s v="2100"/>
    <s v="000"/>
    <x v="9"/>
    <x v="1"/>
  </r>
  <r>
    <d v="2012-07-07T00:00:00"/>
    <s v="018-2210-000"/>
    <s v="Liquor Sales"/>
    <n v="2505.5279999999998"/>
    <n v="0"/>
    <s v="Daily Sales Import"/>
    <n v="-2505.5279999999998"/>
    <n v="2505.5279999999998"/>
    <x v="2"/>
    <s v="2210"/>
    <s v="000"/>
    <x v="9"/>
    <x v="1"/>
  </r>
  <r>
    <d v="2012-07-07T00:00:00"/>
    <s v="018-2220-000"/>
    <s v="Beer Sales"/>
    <n v="776.25"/>
    <n v="0"/>
    <s v="Daily Sales Import"/>
    <n v="-776.25"/>
    <n v="776.25"/>
    <x v="2"/>
    <s v="2220"/>
    <s v="000"/>
    <x v="9"/>
    <x v="1"/>
  </r>
  <r>
    <d v="2012-07-07T00:00:00"/>
    <s v="018-2230-000"/>
    <s v="Wine Sales"/>
    <n v="44.633499999999998"/>
    <n v="0"/>
    <s v="Daily Sales Import"/>
    <n v="-44.633499999999998"/>
    <n v="44.633499999999998"/>
    <x v="2"/>
    <s v="2230"/>
    <s v="000"/>
    <x v="9"/>
    <x v="1"/>
  </r>
  <r>
    <d v="2012-07-08T00:00:00"/>
    <s v="018-2100-000"/>
    <s v="Food Sales"/>
    <n v="6312.4324999999999"/>
    <n v="0"/>
    <s v="Daily Sales Import"/>
    <n v="-6312.4324999999999"/>
    <n v="6312.4324999999999"/>
    <x v="2"/>
    <s v="2100"/>
    <s v="000"/>
    <x v="9"/>
    <x v="1"/>
  </r>
  <r>
    <d v="2012-07-08T00:00:00"/>
    <s v="018-2210-000"/>
    <s v="Liquor Sales"/>
    <n v="1295.136"/>
    <n v="0"/>
    <s v="Daily Sales Import"/>
    <n v="-1295.136"/>
    <n v="1295.136"/>
    <x v="2"/>
    <s v="2210"/>
    <s v="000"/>
    <x v="9"/>
    <x v="1"/>
  </r>
  <r>
    <d v="2012-07-08T00:00:00"/>
    <s v="018-2220-000"/>
    <s v="Beer Sales"/>
    <n v="207.71200000000002"/>
    <n v="0"/>
    <s v="Daily Sales Import"/>
    <n v="-207.71200000000002"/>
    <n v="207.71200000000002"/>
    <x v="2"/>
    <s v="2220"/>
    <s v="000"/>
    <x v="9"/>
    <x v="1"/>
  </r>
  <r>
    <d v="2012-07-08T00:00:00"/>
    <s v="018-2230-000"/>
    <s v="Wine Sales"/>
    <n v="52.038000000000004"/>
    <n v="0"/>
    <s v="Daily Sales Import"/>
    <n v="-52.038000000000004"/>
    <n v="52.038000000000004"/>
    <x v="2"/>
    <s v="2230"/>
    <s v="000"/>
    <x v="9"/>
    <x v="1"/>
  </r>
  <r>
    <d v="2012-07-09T00:00:00"/>
    <s v="016-2100-000"/>
    <s v="Food Sales"/>
    <n v="2299.6947"/>
    <n v="0"/>
    <s v="Daily Sales Import"/>
    <n v="-2299.6947"/>
    <n v="2299.6947"/>
    <x v="0"/>
    <s v="2100"/>
    <s v="000"/>
    <x v="9"/>
    <x v="1"/>
  </r>
  <r>
    <d v="2012-07-09T00:00:00"/>
    <s v="016-2210-000"/>
    <s v="Liquor Sales"/>
    <n v="608.61"/>
    <n v="0"/>
    <s v="Daily Sales Import"/>
    <n v="-608.61"/>
    <n v="608.61"/>
    <x v="0"/>
    <s v="2210"/>
    <s v="000"/>
    <x v="9"/>
    <x v="1"/>
  </r>
  <r>
    <d v="2012-07-09T00:00:00"/>
    <s v="016-2220-000"/>
    <s v="Beer Sales"/>
    <n v="65.28"/>
    <n v="0"/>
    <s v="Daily Sales Import"/>
    <n v="-65.28"/>
    <n v="65.28"/>
    <x v="0"/>
    <s v="2220"/>
    <s v="000"/>
    <x v="9"/>
    <x v="1"/>
  </r>
  <r>
    <d v="2012-07-09T00:00:00"/>
    <s v="016-2230-000"/>
    <s v="Wine Sales"/>
    <n v="40.204999999999998"/>
    <n v="0"/>
    <s v="Daily Sales Import"/>
    <n v="-40.204999999999998"/>
    <n v="40.204999999999998"/>
    <x v="0"/>
    <s v="2230"/>
    <s v="000"/>
    <x v="9"/>
    <x v="1"/>
  </r>
  <r>
    <d v="2012-07-10T00:00:00"/>
    <s v="016-2100-000"/>
    <s v="Food Sales"/>
    <n v="6381.7865000000002"/>
    <n v="0"/>
    <s v="Daily Sales Import"/>
    <n v="-6381.7865000000002"/>
    <n v="6381.7865000000002"/>
    <x v="0"/>
    <s v="2100"/>
    <s v="000"/>
    <x v="9"/>
    <x v="1"/>
  </r>
  <r>
    <d v="2012-07-10T00:00:00"/>
    <s v="016-2210-000"/>
    <s v="Liquor Sales"/>
    <n v="2293.2126000000003"/>
    <n v="0"/>
    <s v="Daily Sales Import"/>
    <n v="-2293.2126000000003"/>
    <n v="2293.2126000000003"/>
    <x v="0"/>
    <s v="2210"/>
    <s v="000"/>
    <x v="9"/>
    <x v="1"/>
  </r>
  <r>
    <d v="2012-07-10T00:00:00"/>
    <s v="016-2220-000"/>
    <s v="Beer Sales"/>
    <n v="429.27750000000003"/>
    <n v="0"/>
    <s v="Daily Sales Import"/>
    <n v="-429.27750000000003"/>
    <n v="429.27750000000003"/>
    <x v="0"/>
    <s v="2220"/>
    <s v="000"/>
    <x v="9"/>
    <x v="1"/>
  </r>
  <r>
    <d v="2012-07-10T00:00:00"/>
    <s v="016-2230-000"/>
    <s v="Wine Sales"/>
    <n v="184.22400000000002"/>
    <n v="0"/>
    <s v="Daily Sales Import"/>
    <n v="-184.22400000000002"/>
    <n v="184.22400000000002"/>
    <x v="0"/>
    <s v="2230"/>
    <s v="000"/>
    <x v="9"/>
    <x v="1"/>
  </r>
  <r>
    <d v="2012-07-11T00:00:00"/>
    <s v="016-2100-000"/>
    <s v="Food Sales"/>
    <n v="3159.5829999999996"/>
    <n v="0"/>
    <s v="Daily Sales Import"/>
    <n v="-3159.5829999999996"/>
    <n v="3159.5829999999996"/>
    <x v="0"/>
    <s v="2100"/>
    <s v="000"/>
    <x v="9"/>
    <x v="1"/>
  </r>
  <r>
    <d v="2012-07-11T00:00:00"/>
    <s v="016-2210-000"/>
    <s v="Liquor Sales"/>
    <n v="775.38749999999993"/>
    <n v="0"/>
    <s v="Daily Sales Import"/>
    <n v="-775.38749999999993"/>
    <n v="775.38749999999993"/>
    <x v="0"/>
    <s v="2210"/>
    <s v="000"/>
    <x v="9"/>
    <x v="1"/>
  </r>
  <r>
    <d v="2012-07-11T00:00:00"/>
    <s v="016-2220-000"/>
    <s v="Beer Sales"/>
    <n v="154.64250000000001"/>
    <n v="0"/>
    <s v="Daily Sales Import"/>
    <n v="-154.64250000000001"/>
    <n v="154.64250000000001"/>
    <x v="0"/>
    <s v="2220"/>
    <s v="000"/>
    <x v="9"/>
    <x v="1"/>
  </r>
  <r>
    <d v="2012-07-11T00:00:00"/>
    <s v="016-2230-000"/>
    <s v="Wine Sales"/>
    <n v="100.91999999999999"/>
    <n v="0"/>
    <s v="Daily Sales Import"/>
    <n v="-100.91999999999999"/>
    <n v="100.91999999999999"/>
    <x v="0"/>
    <s v="2230"/>
    <s v="000"/>
    <x v="9"/>
    <x v="1"/>
  </r>
  <r>
    <d v="2012-07-12T00:00:00"/>
    <s v="016-2100-000"/>
    <s v="Food Sales"/>
    <n v="2851.8685"/>
    <n v="0"/>
    <s v="Daily Sales Import"/>
    <n v="-2851.8685"/>
    <n v="2851.8685"/>
    <x v="0"/>
    <s v="2100"/>
    <s v="000"/>
    <x v="9"/>
    <x v="1"/>
  </r>
  <r>
    <d v="2012-07-12T00:00:00"/>
    <s v="016-2210-000"/>
    <s v="Liquor Sales"/>
    <n v="1333.9234999999999"/>
    <n v="0"/>
    <s v="Daily Sales Import"/>
    <n v="-1333.9234999999999"/>
    <n v="1333.9234999999999"/>
    <x v="0"/>
    <s v="2210"/>
    <s v="000"/>
    <x v="9"/>
    <x v="1"/>
  </r>
  <r>
    <d v="2012-07-12T00:00:00"/>
    <s v="016-2220-000"/>
    <s v="Beer Sales"/>
    <n v="170.27250000000001"/>
    <n v="0"/>
    <s v="Daily Sales Import"/>
    <n v="-170.27250000000001"/>
    <n v="170.27250000000001"/>
    <x v="0"/>
    <s v="2220"/>
    <s v="000"/>
    <x v="9"/>
    <x v="1"/>
  </r>
  <r>
    <d v="2012-07-12T00:00:00"/>
    <s v="016-2230-000"/>
    <s v="Wine Sales"/>
    <n v="127.491"/>
    <n v="0"/>
    <s v="Daily Sales Import"/>
    <n v="-127.491"/>
    <n v="127.491"/>
    <x v="0"/>
    <s v="2230"/>
    <s v="000"/>
    <x v="9"/>
    <x v="1"/>
  </r>
  <r>
    <d v="2012-07-13T00:00:00"/>
    <s v="016-2100-000"/>
    <s v="Food Sales"/>
    <n v="8026.5362000000005"/>
    <n v="0"/>
    <s v="Daily Sales Import"/>
    <n v="-8026.5362000000005"/>
    <n v="8026.5362000000005"/>
    <x v="0"/>
    <s v="2100"/>
    <s v="000"/>
    <x v="9"/>
    <x v="1"/>
  </r>
  <r>
    <d v="2012-07-13T00:00:00"/>
    <s v="016-2210-000"/>
    <s v="Liquor Sales"/>
    <n v="2250.297"/>
    <n v="0"/>
    <s v="Daily Sales Import"/>
    <n v="-2250.297"/>
    <n v="2250.297"/>
    <x v="0"/>
    <s v="2210"/>
    <s v="000"/>
    <x v="9"/>
    <x v="1"/>
  </r>
  <r>
    <d v="2012-07-13T00:00:00"/>
    <s v="016-2220-000"/>
    <s v="Beer Sales"/>
    <n v="418.72499999999997"/>
    <n v="0"/>
    <s v="Daily Sales Import"/>
    <n v="-418.72499999999997"/>
    <n v="418.72499999999997"/>
    <x v="0"/>
    <s v="2220"/>
    <s v="000"/>
    <x v="9"/>
    <x v="1"/>
  </r>
  <r>
    <d v="2012-07-13T00:00:00"/>
    <s v="016-2230-000"/>
    <s v="Wine Sales"/>
    <n v="157.852"/>
    <n v="0"/>
    <s v="Daily Sales Import"/>
    <n v="-157.852"/>
    <n v="157.852"/>
    <x v="0"/>
    <s v="2230"/>
    <s v="000"/>
    <x v="9"/>
    <x v="1"/>
  </r>
  <r>
    <d v="2012-07-14T00:00:00"/>
    <s v="016-2100-000"/>
    <s v="Food Sales"/>
    <n v="6489.5680000000002"/>
    <n v="0"/>
    <s v="Daily Sales Import"/>
    <n v="-6489.5680000000002"/>
    <n v="6489.5680000000002"/>
    <x v="0"/>
    <s v="2100"/>
    <s v="000"/>
    <x v="9"/>
    <x v="1"/>
  </r>
  <r>
    <d v="2012-07-14T00:00:00"/>
    <s v="016-2210-000"/>
    <s v="Liquor Sales"/>
    <n v="2055.5535"/>
    <n v="0"/>
    <s v="Daily Sales Import"/>
    <n v="-2055.5535"/>
    <n v="2055.5535"/>
    <x v="0"/>
    <s v="2210"/>
    <s v="000"/>
    <x v="9"/>
    <x v="1"/>
  </r>
  <r>
    <d v="2012-07-14T00:00:00"/>
    <s v="016-2220-000"/>
    <s v="Beer Sales"/>
    <n v="614.42200000000003"/>
    <n v="0"/>
    <s v="Daily Sales Import"/>
    <n v="-614.42200000000003"/>
    <n v="614.42200000000003"/>
    <x v="0"/>
    <s v="2220"/>
    <s v="000"/>
    <x v="9"/>
    <x v="1"/>
  </r>
  <r>
    <d v="2012-07-14T00:00:00"/>
    <s v="016-2230-000"/>
    <s v="Wine Sales"/>
    <n v="133.446"/>
    <n v="0"/>
    <s v="Daily Sales Import"/>
    <n v="-133.446"/>
    <n v="133.446"/>
    <x v="0"/>
    <s v="2230"/>
    <s v="000"/>
    <x v="9"/>
    <x v="1"/>
  </r>
  <r>
    <d v="2012-07-15T00:00:00"/>
    <s v="016-2100-000"/>
    <s v="Food Sales"/>
    <n v="4686.66"/>
    <n v="0"/>
    <s v="Daily Sales Import"/>
    <n v="-4686.66"/>
    <n v="4686.66"/>
    <x v="0"/>
    <s v="2100"/>
    <s v="000"/>
    <x v="9"/>
    <x v="1"/>
  </r>
  <r>
    <d v="2012-07-15T00:00:00"/>
    <s v="016-2210-000"/>
    <s v="Liquor Sales"/>
    <n v="1329.2539999999999"/>
    <n v="0"/>
    <s v="Daily Sales Import"/>
    <n v="-1329.2539999999999"/>
    <n v="1329.2539999999999"/>
    <x v="0"/>
    <s v="2210"/>
    <s v="000"/>
    <x v="9"/>
    <x v="1"/>
  </r>
  <r>
    <d v="2012-07-15T00:00:00"/>
    <s v="016-2220-000"/>
    <s v="Beer Sales"/>
    <n v="133.91999999999999"/>
    <n v="0"/>
    <s v="Daily Sales Import"/>
    <n v="-133.91999999999999"/>
    <n v="133.91999999999999"/>
    <x v="0"/>
    <s v="2220"/>
    <s v="000"/>
    <x v="9"/>
    <x v="1"/>
  </r>
  <r>
    <d v="2012-07-15T00:00:00"/>
    <s v="016-2230-000"/>
    <s v="Wine Sales"/>
    <n v="139.50300000000001"/>
    <n v="0"/>
    <s v="Daily Sales Import"/>
    <n v="-139.50300000000001"/>
    <n v="139.50300000000001"/>
    <x v="0"/>
    <s v="2230"/>
    <s v="000"/>
    <x v="9"/>
    <x v="1"/>
  </r>
  <r>
    <d v="2012-07-09T00:00:00"/>
    <s v="017-2100-000"/>
    <s v="Food Sales"/>
    <n v="6110.3175000000001"/>
    <n v="0"/>
    <s v="Daily Sales Import"/>
    <n v="-6110.3175000000001"/>
    <n v="6110.3175000000001"/>
    <x v="1"/>
    <s v="2100"/>
    <s v="000"/>
    <x v="9"/>
    <x v="1"/>
  </r>
  <r>
    <d v="2012-07-09T00:00:00"/>
    <s v="017-2210-000"/>
    <s v="Liquor Sales"/>
    <n v="1543.4550000000002"/>
    <n v="0"/>
    <s v="Daily Sales Import"/>
    <n v="-1543.4550000000002"/>
    <n v="1543.4550000000002"/>
    <x v="1"/>
    <s v="2210"/>
    <s v="000"/>
    <x v="9"/>
    <x v="1"/>
  </r>
  <r>
    <d v="2012-07-09T00:00:00"/>
    <s v="017-2220-000"/>
    <s v="Beer Sales"/>
    <n v="459.59999999999997"/>
    <n v="0"/>
    <s v="Daily Sales Import"/>
    <n v="-459.59999999999997"/>
    <n v="459.59999999999997"/>
    <x v="1"/>
    <s v="2220"/>
    <s v="000"/>
    <x v="9"/>
    <x v="1"/>
  </r>
  <r>
    <d v="2012-07-09T00:00:00"/>
    <s v="017-2230-000"/>
    <s v="Wine Sales"/>
    <n v="100.73"/>
    <n v="0"/>
    <s v="Daily Sales Import"/>
    <n v="-100.73"/>
    <n v="100.73"/>
    <x v="1"/>
    <s v="2230"/>
    <s v="000"/>
    <x v="9"/>
    <x v="1"/>
  </r>
  <r>
    <d v="2012-07-10T00:00:00"/>
    <s v="017-2100-000"/>
    <s v="Food Sales"/>
    <n v="6691.7774000000009"/>
    <n v="0"/>
    <s v="Daily Sales Import"/>
    <n v="-6691.7774000000009"/>
    <n v="6691.7774000000009"/>
    <x v="1"/>
    <s v="2100"/>
    <s v="000"/>
    <x v="9"/>
    <x v="1"/>
  </r>
  <r>
    <d v="2012-07-10T00:00:00"/>
    <s v="017-2210-000"/>
    <s v="Liquor Sales"/>
    <n v="1230.624"/>
    <n v="0"/>
    <s v="Daily Sales Import"/>
    <n v="-1230.624"/>
    <n v="1230.624"/>
    <x v="1"/>
    <s v="2210"/>
    <s v="000"/>
    <x v="9"/>
    <x v="1"/>
  </r>
  <r>
    <d v="2012-07-10T00:00:00"/>
    <s v="017-2220-000"/>
    <s v="Beer Sales"/>
    <n v="500.41249999999997"/>
    <n v="0"/>
    <s v="Daily Sales Import"/>
    <n v="-500.41249999999997"/>
    <n v="500.41249999999997"/>
    <x v="1"/>
    <s v="2220"/>
    <s v="000"/>
    <x v="9"/>
    <x v="1"/>
  </r>
  <r>
    <d v="2012-07-10T00:00:00"/>
    <s v="017-2230-000"/>
    <s v="Wine Sales"/>
    <n v="60.536000000000001"/>
    <n v="0"/>
    <s v="Daily Sales Import"/>
    <n v="-60.536000000000001"/>
    <n v="60.536000000000001"/>
    <x v="1"/>
    <s v="2230"/>
    <s v="000"/>
    <x v="9"/>
    <x v="1"/>
  </r>
  <r>
    <d v="2012-07-11T00:00:00"/>
    <s v="017-2100-000"/>
    <s v="Food Sales"/>
    <n v="6293.5635999999995"/>
    <n v="0"/>
    <s v="Daily Sales Import"/>
    <n v="-6293.5635999999995"/>
    <n v="6293.5635999999995"/>
    <x v="1"/>
    <s v="2100"/>
    <s v="000"/>
    <x v="9"/>
    <x v="1"/>
  </r>
  <r>
    <d v="2012-07-11T00:00:00"/>
    <s v="017-2210-000"/>
    <s v="Liquor Sales"/>
    <n v="1188.5775000000001"/>
    <n v="0"/>
    <s v="Daily Sales Import"/>
    <n v="-1188.5775000000001"/>
    <n v="1188.5775000000001"/>
    <x v="1"/>
    <s v="2210"/>
    <s v="000"/>
    <x v="9"/>
    <x v="1"/>
  </r>
  <r>
    <d v="2012-07-11T00:00:00"/>
    <s v="017-2220-000"/>
    <s v="Beer Sales"/>
    <n v="325.875"/>
    <n v="0"/>
    <s v="Daily Sales Import"/>
    <n v="-325.875"/>
    <n v="325.875"/>
    <x v="1"/>
    <s v="2220"/>
    <s v="000"/>
    <x v="9"/>
    <x v="1"/>
  </r>
  <r>
    <d v="2012-07-11T00:00:00"/>
    <s v="017-2230-000"/>
    <s v="Wine Sales"/>
    <n v="76.4315"/>
    <n v="0"/>
    <s v="Daily Sales Import"/>
    <n v="-76.4315"/>
    <n v="76.4315"/>
    <x v="1"/>
    <s v="2230"/>
    <s v="000"/>
    <x v="9"/>
    <x v="1"/>
  </r>
  <r>
    <d v="2012-07-12T00:00:00"/>
    <s v="017-2100-000"/>
    <s v="Food Sales"/>
    <n v="8213.5388999999996"/>
    <n v="0"/>
    <s v="Daily Sales Import"/>
    <n v="-8213.5388999999996"/>
    <n v="8213.5388999999996"/>
    <x v="1"/>
    <s v="2100"/>
    <s v="000"/>
    <x v="9"/>
    <x v="1"/>
  </r>
  <r>
    <d v="2012-07-12T00:00:00"/>
    <s v="017-2210-000"/>
    <s v="Liquor Sales"/>
    <n v="2677.9189999999999"/>
    <n v="0"/>
    <s v="Daily Sales Import"/>
    <n v="-2677.9189999999999"/>
    <n v="2677.9189999999999"/>
    <x v="1"/>
    <s v="2210"/>
    <s v="000"/>
    <x v="9"/>
    <x v="1"/>
  </r>
  <r>
    <d v="2012-07-12T00:00:00"/>
    <s v="017-2220-000"/>
    <s v="Beer Sales"/>
    <n v="459.68"/>
    <n v="0"/>
    <s v="Daily Sales Import"/>
    <n v="-459.68"/>
    <n v="459.68"/>
    <x v="1"/>
    <s v="2220"/>
    <s v="000"/>
    <x v="9"/>
    <x v="1"/>
  </r>
  <r>
    <d v="2012-07-12T00:00:00"/>
    <s v="017-2230-000"/>
    <s v="Wine Sales"/>
    <n v="147.90600000000001"/>
    <n v="0"/>
    <s v="Daily Sales Import"/>
    <n v="-147.90600000000001"/>
    <n v="147.90600000000001"/>
    <x v="1"/>
    <s v="2230"/>
    <s v="000"/>
    <x v="9"/>
    <x v="1"/>
  </r>
  <r>
    <d v="2012-07-13T00:00:00"/>
    <s v="017-2100-000"/>
    <s v="Food Sales"/>
    <n v="9080.3274000000001"/>
    <n v="0"/>
    <s v="Daily Sales Import"/>
    <n v="-9080.3274000000001"/>
    <n v="9080.3274000000001"/>
    <x v="1"/>
    <s v="2100"/>
    <s v="000"/>
    <x v="9"/>
    <x v="1"/>
  </r>
  <r>
    <d v="2012-07-13T00:00:00"/>
    <s v="017-2210-000"/>
    <s v="Liquor Sales"/>
    <n v="1878.2720000000002"/>
    <n v="0"/>
    <s v="Daily Sales Import"/>
    <n v="-1878.2720000000002"/>
    <n v="1878.2720000000002"/>
    <x v="1"/>
    <s v="2210"/>
    <s v="000"/>
    <x v="9"/>
    <x v="1"/>
  </r>
  <r>
    <d v="2012-07-13T00:00:00"/>
    <s v="017-2220-000"/>
    <s v="Beer Sales"/>
    <n v="492.03000000000003"/>
    <n v="0"/>
    <s v="Daily Sales Import"/>
    <n v="-492.03000000000003"/>
    <n v="492.03000000000003"/>
    <x v="1"/>
    <s v="2220"/>
    <s v="000"/>
    <x v="9"/>
    <x v="1"/>
  </r>
  <r>
    <d v="2012-07-13T00:00:00"/>
    <s v="017-2230-000"/>
    <s v="Wine Sales"/>
    <n v="164.196"/>
    <n v="0"/>
    <s v="Daily Sales Import"/>
    <n v="-164.196"/>
    <n v="164.196"/>
    <x v="1"/>
    <s v="2230"/>
    <s v="000"/>
    <x v="9"/>
    <x v="1"/>
  </r>
  <r>
    <d v="2012-07-14T00:00:00"/>
    <s v="017-2100-000"/>
    <s v="Food Sales"/>
    <n v="7659.8829999999998"/>
    <n v="0"/>
    <s v="Daily Sales Import"/>
    <n v="-7659.8829999999998"/>
    <n v="7659.8829999999998"/>
    <x v="1"/>
    <s v="2100"/>
    <s v="000"/>
    <x v="9"/>
    <x v="1"/>
  </r>
  <r>
    <d v="2012-07-14T00:00:00"/>
    <s v="017-2210-000"/>
    <s v="Liquor Sales"/>
    <n v="2426.9410000000003"/>
    <n v="0"/>
    <s v="Daily Sales Import"/>
    <n v="-2426.9410000000003"/>
    <n v="2426.9410000000003"/>
    <x v="1"/>
    <s v="2210"/>
    <s v="000"/>
    <x v="9"/>
    <x v="1"/>
  </r>
  <r>
    <d v="2012-07-14T00:00:00"/>
    <s v="017-2220-000"/>
    <s v="Beer Sales"/>
    <n v="355.78249999999997"/>
    <n v="0"/>
    <s v="Daily Sales Import"/>
    <n v="-355.78249999999997"/>
    <n v="355.78249999999997"/>
    <x v="1"/>
    <s v="2220"/>
    <s v="000"/>
    <x v="9"/>
    <x v="1"/>
  </r>
  <r>
    <d v="2012-07-14T00:00:00"/>
    <s v="017-2230-000"/>
    <s v="Wine Sales"/>
    <n v="81.509999999999991"/>
    <n v="0"/>
    <s v="Daily Sales Import"/>
    <n v="-81.509999999999991"/>
    <n v="81.509999999999991"/>
    <x v="1"/>
    <s v="2230"/>
    <s v="000"/>
    <x v="9"/>
    <x v="1"/>
  </r>
  <r>
    <d v="2012-07-15T00:00:00"/>
    <s v="017-2100-000"/>
    <s v="Food Sales"/>
    <n v="4996.5312000000004"/>
    <n v="0"/>
    <s v="Daily Sales Import"/>
    <n v="-4996.5312000000004"/>
    <n v="4996.5312000000004"/>
    <x v="1"/>
    <s v="2100"/>
    <s v="000"/>
    <x v="9"/>
    <x v="1"/>
  </r>
  <r>
    <d v="2012-07-15T00:00:00"/>
    <s v="017-2210-000"/>
    <s v="Liquor Sales"/>
    <n v="697.90000000000009"/>
    <n v="0"/>
    <s v="Daily Sales Import"/>
    <n v="-697.90000000000009"/>
    <n v="697.90000000000009"/>
    <x v="1"/>
    <s v="2210"/>
    <s v="000"/>
    <x v="9"/>
    <x v="1"/>
  </r>
  <r>
    <d v="2012-07-15T00:00:00"/>
    <s v="017-2220-000"/>
    <s v="Beer Sales"/>
    <n v="321.315"/>
    <n v="0"/>
    <s v="Daily Sales Import"/>
    <n v="-321.315"/>
    <n v="321.315"/>
    <x v="1"/>
    <s v="2220"/>
    <s v="000"/>
    <x v="9"/>
    <x v="1"/>
  </r>
  <r>
    <d v="2012-07-15T00:00:00"/>
    <s v="017-2230-000"/>
    <s v="Wine Sales"/>
    <n v="41.819000000000003"/>
    <n v="0"/>
    <s v="Daily Sales Import"/>
    <n v="-41.819000000000003"/>
    <n v="41.819000000000003"/>
    <x v="1"/>
    <s v="2230"/>
    <s v="000"/>
    <x v="9"/>
    <x v="1"/>
  </r>
  <r>
    <d v="2012-07-09T00:00:00"/>
    <s v="018-2100-000"/>
    <s v="Food Sales"/>
    <n v="3348.4288000000001"/>
    <n v="0"/>
    <s v="Daily Sales Import"/>
    <n v="-3348.4288000000001"/>
    <n v="3348.4288000000001"/>
    <x v="2"/>
    <s v="2100"/>
    <s v="000"/>
    <x v="9"/>
    <x v="1"/>
  </r>
  <r>
    <d v="2012-07-09T00:00:00"/>
    <s v="018-2210-000"/>
    <s v="Liquor Sales"/>
    <n v="619.32150000000001"/>
    <n v="0"/>
    <s v="Daily Sales Import"/>
    <n v="-619.32150000000001"/>
    <n v="619.32150000000001"/>
    <x v="2"/>
    <s v="2210"/>
    <s v="000"/>
    <x v="9"/>
    <x v="1"/>
  </r>
  <r>
    <d v="2012-07-09T00:00:00"/>
    <s v="018-2220-000"/>
    <s v="Beer Sales"/>
    <n v="133.26949999999999"/>
    <n v="0"/>
    <s v="Daily Sales Import"/>
    <n v="-133.26949999999999"/>
    <n v="133.26949999999999"/>
    <x v="2"/>
    <s v="2220"/>
    <s v="000"/>
    <x v="9"/>
    <x v="1"/>
  </r>
  <r>
    <d v="2012-07-09T00:00:00"/>
    <s v="018-2230-000"/>
    <s v="Wine Sales"/>
    <n v="29.939999999999998"/>
    <n v="0"/>
    <s v="Daily Sales Import"/>
    <n v="-29.939999999999998"/>
    <n v="29.939999999999998"/>
    <x v="2"/>
    <s v="2230"/>
    <s v="000"/>
    <x v="9"/>
    <x v="1"/>
  </r>
  <r>
    <d v="2012-07-10T00:00:00"/>
    <s v="018-2100-000"/>
    <s v="Food Sales"/>
    <n v="3965.0679999999998"/>
    <n v="0"/>
    <s v="Daily Sales Import"/>
    <n v="-3965.0679999999998"/>
    <n v="3965.0679999999998"/>
    <x v="2"/>
    <s v="2100"/>
    <s v="000"/>
    <x v="9"/>
    <x v="1"/>
  </r>
  <r>
    <d v="2012-07-10T00:00:00"/>
    <s v="018-2210-000"/>
    <s v="Liquor Sales"/>
    <n v="1094.3620000000001"/>
    <n v="0"/>
    <s v="Daily Sales Import"/>
    <n v="-1094.3620000000001"/>
    <n v="1094.3620000000001"/>
    <x v="2"/>
    <s v="2210"/>
    <s v="000"/>
    <x v="9"/>
    <x v="1"/>
  </r>
  <r>
    <d v="2012-07-10T00:00:00"/>
    <s v="018-2220-000"/>
    <s v="Beer Sales"/>
    <n v="183.05500000000001"/>
    <n v="0"/>
    <s v="Daily Sales Import"/>
    <n v="-183.05500000000001"/>
    <n v="183.05500000000001"/>
    <x v="2"/>
    <s v="2220"/>
    <s v="000"/>
    <x v="9"/>
    <x v="1"/>
  </r>
  <r>
    <d v="2012-07-10T00:00:00"/>
    <s v="018-2230-000"/>
    <s v="Wine Sales"/>
    <n v="20.340000000000003"/>
    <n v="0"/>
    <s v="Daily Sales Import"/>
    <n v="-20.340000000000003"/>
    <n v="20.340000000000003"/>
    <x v="2"/>
    <s v="2230"/>
    <s v="000"/>
    <x v="9"/>
    <x v="1"/>
  </r>
  <r>
    <d v="2012-07-11T00:00:00"/>
    <s v="018-2100-000"/>
    <s v="Food Sales"/>
    <n v="4862.8059999999996"/>
    <n v="0"/>
    <s v="Daily Sales Import"/>
    <n v="-4862.8059999999996"/>
    <n v="4862.8059999999996"/>
    <x v="2"/>
    <s v="2100"/>
    <s v="000"/>
    <x v="9"/>
    <x v="1"/>
  </r>
  <r>
    <d v="2012-07-11T00:00:00"/>
    <s v="018-2210-000"/>
    <s v="Liquor Sales"/>
    <n v="1390.8150000000001"/>
    <n v="0"/>
    <s v="Daily Sales Import"/>
    <n v="-1390.8150000000001"/>
    <n v="1390.8150000000001"/>
    <x v="2"/>
    <s v="2210"/>
    <s v="000"/>
    <x v="9"/>
    <x v="1"/>
  </r>
  <r>
    <d v="2012-07-11T00:00:00"/>
    <s v="018-2220-000"/>
    <s v="Beer Sales"/>
    <n v="181.90200000000002"/>
    <n v="0"/>
    <s v="Daily Sales Import"/>
    <n v="-181.90200000000002"/>
    <n v="181.90200000000002"/>
    <x v="2"/>
    <s v="2220"/>
    <s v="000"/>
    <x v="9"/>
    <x v="1"/>
  </r>
  <r>
    <d v="2012-07-11T00:00:00"/>
    <s v="018-2230-000"/>
    <s v="Wine Sales"/>
    <n v="43.228499999999997"/>
    <n v="0"/>
    <s v="Daily Sales Import"/>
    <n v="-43.228499999999997"/>
    <n v="43.228499999999997"/>
    <x v="2"/>
    <s v="2230"/>
    <s v="000"/>
    <x v="9"/>
    <x v="1"/>
  </r>
  <r>
    <d v="2012-07-12T00:00:00"/>
    <s v="018-2100-000"/>
    <s v="Food Sales"/>
    <n v="6882.6230000000005"/>
    <n v="0"/>
    <s v="Daily Sales Import"/>
    <n v="-6882.6230000000005"/>
    <n v="6882.6230000000005"/>
    <x v="2"/>
    <s v="2100"/>
    <s v="000"/>
    <x v="9"/>
    <x v="1"/>
  </r>
  <r>
    <d v="2012-07-12T00:00:00"/>
    <s v="018-2210-000"/>
    <s v="Liquor Sales"/>
    <n v="1049.5965000000001"/>
    <n v="0"/>
    <s v="Daily Sales Import"/>
    <n v="-1049.5965000000001"/>
    <n v="1049.5965000000001"/>
    <x v="2"/>
    <s v="2210"/>
    <s v="000"/>
    <x v="9"/>
    <x v="1"/>
  </r>
  <r>
    <d v="2012-07-12T00:00:00"/>
    <s v="018-2220-000"/>
    <s v="Beer Sales"/>
    <n v="309.49599999999998"/>
    <n v="0"/>
    <s v="Daily Sales Import"/>
    <n v="-309.49599999999998"/>
    <n v="309.49599999999998"/>
    <x v="2"/>
    <s v="2220"/>
    <s v="000"/>
    <x v="9"/>
    <x v="1"/>
  </r>
  <r>
    <d v="2012-07-12T00:00:00"/>
    <s v="018-2230-000"/>
    <s v="Wine Sales"/>
    <n v="55.215000000000003"/>
    <n v="0"/>
    <s v="Daily Sales Import"/>
    <n v="-55.215000000000003"/>
    <n v="55.215000000000003"/>
    <x v="2"/>
    <s v="2230"/>
    <s v="000"/>
    <x v="9"/>
    <x v="1"/>
  </r>
  <r>
    <d v="2012-07-13T00:00:00"/>
    <s v="018-2100-000"/>
    <s v="Food Sales"/>
    <n v="12884.137499999999"/>
    <n v="0"/>
    <s v="Daily Sales Import"/>
    <n v="-12884.137499999999"/>
    <n v="12884.137499999999"/>
    <x v="2"/>
    <s v="2100"/>
    <s v="000"/>
    <x v="9"/>
    <x v="1"/>
  </r>
  <r>
    <d v="2012-07-13T00:00:00"/>
    <s v="018-2210-000"/>
    <s v="Liquor Sales"/>
    <n v="2632.991"/>
    <n v="0"/>
    <s v="Daily Sales Import"/>
    <n v="-2632.991"/>
    <n v="2632.991"/>
    <x v="2"/>
    <s v="2210"/>
    <s v="000"/>
    <x v="9"/>
    <x v="1"/>
  </r>
  <r>
    <d v="2012-07-13T00:00:00"/>
    <s v="018-2220-000"/>
    <s v="Beer Sales"/>
    <n v="702.3549999999999"/>
    <n v="0"/>
    <s v="Daily Sales Import"/>
    <n v="-702.3549999999999"/>
    <n v="702.3549999999999"/>
    <x v="2"/>
    <s v="2220"/>
    <s v="000"/>
    <x v="9"/>
    <x v="1"/>
  </r>
  <r>
    <d v="2012-07-13T00:00:00"/>
    <s v="018-2230-000"/>
    <s v="Wine Sales"/>
    <n v="77.120999999999995"/>
    <n v="0"/>
    <s v="Daily Sales Import"/>
    <n v="-77.120999999999995"/>
    <n v="77.120999999999995"/>
    <x v="2"/>
    <s v="2230"/>
    <s v="000"/>
    <x v="9"/>
    <x v="1"/>
  </r>
  <r>
    <d v="2012-07-14T00:00:00"/>
    <s v="018-2100-000"/>
    <s v="Food Sales"/>
    <n v="14168.602499999999"/>
    <n v="0"/>
    <s v="Daily Sales Import"/>
    <n v="-14168.602499999999"/>
    <n v="14168.602499999999"/>
    <x v="2"/>
    <s v="2100"/>
    <s v="000"/>
    <x v="9"/>
    <x v="1"/>
  </r>
  <r>
    <d v="2012-07-14T00:00:00"/>
    <s v="018-2210-000"/>
    <s v="Liquor Sales"/>
    <n v="2984.3924999999999"/>
    <n v="0"/>
    <s v="Daily Sales Import"/>
    <n v="-2984.3924999999999"/>
    <n v="2984.3924999999999"/>
    <x v="2"/>
    <s v="2210"/>
    <s v="000"/>
    <x v="9"/>
    <x v="1"/>
  </r>
  <r>
    <d v="2012-07-14T00:00:00"/>
    <s v="018-2220-000"/>
    <s v="Beer Sales"/>
    <n v="568.94749999999999"/>
    <n v="0"/>
    <s v="Daily Sales Import"/>
    <n v="-568.94749999999999"/>
    <n v="568.94749999999999"/>
    <x v="2"/>
    <s v="2220"/>
    <s v="000"/>
    <x v="9"/>
    <x v="1"/>
  </r>
  <r>
    <d v="2012-07-14T00:00:00"/>
    <s v="018-2230-000"/>
    <s v="Wine Sales"/>
    <n v="128.43600000000001"/>
    <n v="0"/>
    <s v="Daily Sales Import"/>
    <n v="-128.43600000000001"/>
    <n v="128.43600000000001"/>
    <x v="2"/>
    <s v="2230"/>
    <s v="000"/>
    <x v="9"/>
    <x v="1"/>
  </r>
  <r>
    <d v="2012-07-15T00:00:00"/>
    <s v="018-2100-000"/>
    <s v="Food Sales"/>
    <n v="6262.4759999999987"/>
    <n v="0"/>
    <s v="Daily Sales Import"/>
    <n v="-6262.4759999999987"/>
    <n v="6262.4759999999987"/>
    <x v="2"/>
    <s v="2100"/>
    <s v="000"/>
    <x v="9"/>
    <x v="1"/>
  </r>
  <r>
    <d v="2012-07-15T00:00:00"/>
    <s v="018-2210-000"/>
    <s v="Liquor Sales"/>
    <n v="1594.125"/>
    <n v="0"/>
    <s v="Daily Sales Import"/>
    <n v="-1594.125"/>
    <n v="1594.125"/>
    <x v="2"/>
    <s v="2210"/>
    <s v="000"/>
    <x v="9"/>
    <x v="1"/>
  </r>
  <r>
    <d v="2012-07-15T00:00:00"/>
    <s v="018-2220-000"/>
    <s v="Beer Sales"/>
    <n v="333.36"/>
    <n v="0"/>
    <s v="Daily Sales Import"/>
    <n v="-333.36"/>
    <n v="333.36"/>
    <x v="2"/>
    <s v="2220"/>
    <s v="000"/>
    <x v="9"/>
    <x v="1"/>
  </r>
  <r>
    <d v="2012-07-15T00:00:00"/>
    <s v="018-2230-000"/>
    <s v="Wine Sales"/>
    <n v="53.328000000000003"/>
    <n v="0"/>
    <s v="Daily Sales Import"/>
    <n v="-53.328000000000003"/>
    <n v="53.328000000000003"/>
    <x v="2"/>
    <s v="2230"/>
    <s v="000"/>
    <x v="9"/>
    <x v="1"/>
  </r>
  <r>
    <d v="2012-07-16T00:00:00"/>
    <s v="016-2100-000"/>
    <s v="Food Sales"/>
    <n v="1970.6938999999998"/>
    <n v="0"/>
    <s v="Daily Sales Import"/>
    <n v="-1970.6938999999998"/>
    <n v="1970.6938999999998"/>
    <x v="0"/>
    <s v="2100"/>
    <s v="000"/>
    <x v="9"/>
    <x v="1"/>
  </r>
  <r>
    <d v="2012-07-16T00:00:00"/>
    <s v="016-2210-000"/>
    <s v="Liquor Sales"/>
    <n v="580.04100000000005"/>
    <n v="0"/>
    <s v="Daily Sales Import"/>
    <n v="-580.04100000000005"/>
    <n v="580.04100000000005"/>
    <x v="0"/>
    <s v="2210"/>
    <s v="000"/>
    <x v="9"/>
    <x v="1"/>
  </r>
  <r>
    <d v="2012-07-16T00:00:00"/>
    <s v="016-2220-000"/>
    <s v="Beer Sales"/>
    <n v="143.09100000000001"/>
    <n v="0"/>
    <s v="Daily Sales Import"/>
    <n v="-143.09100000000001"/>
    <n v="143.09100000000001"/>
    <x v="0"/>
    <s v="2220"/>
    <s v="000"/>
    <x v="9"/>
    <x v="1"/>
  </r>
  <r>
    <d v="2012-07-16T00:00:00"/>
    <s v="016-2230-000"/>
    <s v="Wine Sales"/>
    <n v="34.555500000000002"/>
    <n v="0"/>
    <s v="Daily Sales Import"/>
    <n v="-34.555500000000002"/>
    <n v="34.555500000000002"/>
    <x v="0"/>
    <s v="2230"/>
    <s v="000"/>
    <x v="9"/>
    <x v="1"/>
  </r>
  <r>
    <d v="2012-07-17T00:00:00"/>
    <s v="016-2100-000"/>
    <s v="Food Sales"/>
    <n v="4745.8356000000003"/>
    <n v="0"/>
    <s v="Daily Sales Import"/>
    <n v="-4745.8356000000003"/>
    <n v="4745.8356000000003"/>
    <x v="0"/>
    <s v="2100"/>
    <s v="000"/>
    <x v="9"/>
    <x v="1"/>
  </r>
  <r>
    <d v="2012-07-17T00:00:00"/>
    <s v="016-2210-000"/>
    <s v="Liquor Sales"/>
    <n v="1951.2639999999999"/>
    <n v="0"/>
    <s v="Daily Sales Import"/>
    <n v="-1951.2639999999999"/>
    <n v="1951.2639999999999"/>
    <x v="0"/>
    <s v="2210"/>
    <s v="000"/>
    <x v="9"/>
    <x v="1"/>
  </r>
  <r>
    <d v="2012-07-17T00:00:00"/>
    <s v="016-2220-000"/>
    <s v="Beer Sales"/>
    <n v="497.11799999999999"/>
    <n v="0"/>
    <s v="Daily Sales Import"/>
    <n v="-497.11799999999999"/>
    <n v="497.11799999999999"/>
    <x v="0"/>
    <s v="2220"/>
    <s v="000"/>
    <x v="9"/>
    <x v="1"/>
  </r>
  <r>
    <d v="2012-07-17T00:00:00"/>
    <s v="016-2230-000"/>
    <s v="Wine Sales"/>
    <n v="145.43550000000002"/>
    <n v="0"/>
    <s v="Daily Sales Import"/>
    <n v="-145.43550000000002"/>
    <n v="145.43550000000002"/>
    <x v="0"/>
    <s v="2230"/>
    <s v="000"/>
    <x v="9"/>
    <x v="1"/>
  </r>
  <r>
    <d v="2012-07-18T00:00:00"/>
    <s v="016-2100-000"/>
    <s v="Food Sales"/>
    <n v="3520.9098000000004"/>
    <n v="0"/>
    <s v="Daily Sales Import"/>
    <n v="-3520.9098000000004"/>
    <n v="3520.9098000000004"/>
    <x v="0"/>
    <s v="2100"/>
    <s v="000"/>
    <x v="9"/>
    <x v="1"/>
  </r>
  <r>
    <d v="2012-07-18T00:00:00"/>
    <s v="016-2210-000"/>
    <s v="Liquor Sales"/>
    <n v="848.99700000000007"/>
    <n v="0"/>
    <s v="Daily Sales Import"/>
    <n v="-848.99700000000007"/>
    <n v="848.99700000000007"/>
    <x v="0"/>
    <s v="2210"/>
    <s v="000"/>
    <x v="9"/>
    <x v="1"/>
  </r>
  <r>
    <d v="2012-07-18T00:00:00"/>
    <s v="016-2220-000"/>
    <s v="Beer Sales"/>
    <n v="158.286"/>
    <n v="0"/>
    <s v="Daily Sales Import"/>
    <n v="-158.286"/>
    <n v="158.286"/>
    <x v="0"/>
    <s v="2220"/>
    <s v="000"/>
    <x v="9"/>
    <x v="1"/>
  </r>
  <r>
    <d v="2012-07-18T00:00:00"/>
    <s v="016-2230-000"/>
    <s v="Wine Sales"/>
    <n v="37.219000000000001"/>
    <n v="0"/>
    <s v="Daily Sales Import"/>
    <n v="-37.219000000000001"/>
    <n v="37.219000000000001"/>
    <x v="0"/>
    <s v="2230"/>
    <s v="000"/>
    <x v="9"/>
    <x v="1"/>
  </r>
  <r>
    <d v="2012-07-19T00:00:00"/>
    <s v="016-2100-000"/>
    <s v="Food Sales"/>
    <n v="3785.3274000000001"/>
    <n v="0"/>
    <s v="Daily Sales Import"/>
    <n v="-3785.3274000000001"/>
    <n v="3785.3274000000001"/>
    <x v="0"/>
    <s v="2100"/>
    <s v="000"/>
    <x v="9"/>
    <x v="1"/>
  </r>
  <r>
    <d v="2012-07-19T00:00:00"/>
    <s v="016-2210-000"/>
    <s v="Liquor Sales"/>
    <n v="1148.3995"/>
    <n v="0"/>
    <s v="Daily Sales Import"/>
    <n v="-1148.3995"/>
    <n v="1148.3995"/>
    <x v="0"/>
    <s v="2210"/>
    <s v="000"/>
    <x v="9"/>
    <x v="1"/>
  </r>
  <r>
    <d v="2012-07-19T00:00:00"/>
    <s v="016-2220-000"/>
    <s v="Beer Sales"/>
    <n v="214.60560000000001"/>
    <n v="0"/>
    <s v="Daily Sales Import"/>
    <n v="-214.60560000000001"/>
    <n v="214.60560000000001"/>
    <x v="0"/>
    <s v="2220"/>
    <s v="000"/>
    <x v="9"/>
    <x v="1"/>
  </r>
  <r>
    <d v="2012-07-19T00:00:00"/>
    <s v="016-2230-000"/>
    <s v="Wine Sales"/>
    <n v="66.12"/>
    <n v="0"/>
    <s v="Daily Sales Import"/>
    <n v="-66.12"/>
    <n v="66.12"/>
    <x v="0"/>
    <s v="2230"/>
    <s v="000"/>
    <x v="9"/>
    <x v="1"/>
  </r>
  <r>
    <d v="2012-07-20T00:00:00"/>
    <s v="016-2100-000"/>
    <s v="Food Sales"/>
    <n v="5896.6566000000003"/>
    <n v="0"/>
    <s v="Daily Sales Import"/>
    <n v="-5896.6566000000003"/>
    <n v="5896.6566000000003"/>
    <x v="0"/>
    <s v="2100"/>
    <s v="000"/>
    <x v="9"/>
    <x v="1"/>
  </r>
  <r>
    <d v="2012-07-20T00:00:00"/>
    <s v="016-2210-000"/>
    <s v="Liquor Sales"/>
    <n v="2347.8200000000002"/>
    <n v="0"/>
    <s v="Daily Sales Import"/>
    <n v="-2347.8200000000002"/>
    <n v="2347.8200000000002"/>
    <x v="0"/>
    <s v="2210"/>
    <s v="000"/>
    <x v="9"/>
    <x v="1"/>
  </r>
  <r>
    <d v="2012-07-20T00:00:00"/>
    <s v="016-2220-000"/>
    <s v="Beer Sales"/>
    <n v="345.31199999999995"/>
    <n v="0"/>
    <s v="Daily Sales Import"/>
    <n v="-345.31199999999995"/>
    <n v="345.31199999999995"/>
    <x v="0"/>
    <s v="2220"/>
    <s v="000"/>
    <x v="9"/>
    <x v="1"/>
  </r>
  <r>
    <d v="2012-07-20T00:00:00"/>
    <s v="016-2230-000"/>
    <s v="Wine Sales"/>
    <n v="86.570000000000007"/>
    <n v="0"/>
    <s v="Daily Sales Import"/>
    <n v="-86.570000000000007"/>
    <n v="86.570000000000007"/>
    <x v="0"/>
    <s v="2230"/>
    <s v="000"/>
    <x v="9"/>
    <x v="1"/>
  </r>
  <r>
    <d v="2012-07-21T00:00:00"/>
    <s v="016-2100-000"/>
    <s v="Food Sales"/>
    <n v="9787.9336000000003"/>
    <n v="0"/>
    <s v="Daily Sales Import"/>
    <n v="-9787.9336000000003"/>
    <n v="9787.9336000000003"/>
    <x v="0"/>
    <s v="2100"/>
    <s v="000"/>
    <x v="9"/>
    <x v="1"/>
  </r>
  <r>
    <d v="2012-07-21T00:00:00"/>
    <s v="016-2210-000"/>
    <s v="Liquor Sales"/>
    <n v="2734.6501999999996"/>
    <n v="0"/>
    <s v="Daily Sales Import"/>
    <n v="-2734.6501999999996"/>
    <n v="2734.6501999999996"/>
    <x v="0"/>
    <s v="2210"/>
    <s v="000"/>
    <x v="9"/>
    <x v="1"/>
  </r>
  <r>
    <d v="2012-07-21T00:00:00"/>
    <s v="016-2220-000"/>
    <s v="Beer Sales"/>
    <n v="398.51550000000003"/>
    <n v="0"/>
    <s v="Daily Sales Import"/>
    <n v="-398.51550000000003"/>
    <n v="398.51550000000003"/>
    <x v="0"/>
    <s v="2220"/>
    <s v="000"/>
    <x v="9"/>
    <x v="1"/>
  </r>
  <r>
    <d v="2012-07-21T00:00:00"/>
    <s v="016-2230-000"/>
    <s v="Wine Sales"/>
    <n v="232.01499999999999"/>
    <n v="0"/>
    <s v="Daily Sales Import"/>
    <n v="-232.01499999999999"/>
    <n v="232.01499999999999"/>
    <x v="0"/>
    <s v="2230"/>
    <s v="000"/>
    <x v="9"/>
    <x v="1"/>
  </r>
  <r>
    <d v="2012-07-22T00:00:00"/>
    <s v="016-2100-000"/>
    <s v="Food Sales"/>
    <n v="4574.3098999999993"/>
    <n v="0"/>
    <s v="Daily Sales Import"/>
    <n v="-4574.3098999999993"/>
    <n v="4574.3098999999993"/>
    <x v="0"/>
    <s v="2100"/>
    <s v="000"/>
    <x v="9"/>
    <x v="1"/>
  </r>
  <r>
    <d v="2012-07-22T00:00:00"/>
    <s v="016-2210-000"/>
    <s v="Liquor Sales"/>
    <n v="967.24200000000008"/>
    <n v="0"/>
    <s v="Daily Sales Import"/>
    <n v="-967.24200000000008"/>
    <n v="967.24200000000008"/>
    <x v="0"/>
    <s v="2210"/>
    <s v="000"/>
    <x v="9"/>
    <x v="1"/>
  </r>
  <r>
    <d v="2012-07-22T00:00:00"/>
    <s v="016-2220-000"/>
    <s v="Beer Sales"/>
    <n v="139.04999999999998"/>
    <n v="0"/>
    <s v="Daily Sales Import"/>
    <n v="-139.04999999999998"/>
    <n v="139.04999999999998"/>
    <x v="0"/>
    <s v="2220"/>
    <s v="000"/>
    <x v="9"/>
    <x v="1"/>
  </r>
  <r>
    <d v="2012-07-22T00:00:00"/>
    <s v="016-2230-000"/>
    <s v="Wine Sales"/>
    <n v="25.296000000000003"/>
    <n v="0"/>
    <s v="Daily Sales Import"/>
    <n v="-25.296000000000003"/>
    <n v="25.296000000000003"/>
    <x v="0"/>
    <s v="2230"/>
    <s v="000"/>
    <x v="9"/>
    <x v="1"/>
  </r>
  <r>
    <d v="2012-07-16T00:00:00"/>
    <s v="017-2100-000"/>
    <s v="Food Sales"/>
    <n v="4053.0839999999998"/>
    <n v="0"/>
    <s v="Daily Sales Import"/>
    <n v="-4053.0839999999998"/>
    <n v="4053.0839999999998"/>
    <x v="1"/>
    <s v="2100"/>
    <s v="000"/>
    <x v="9"/>
    <x v="1"/>
  </r>
  <r>
    <d v="2012-07-16T00:00:00"/>
    <s v="017-2210-000"/>
    <s v="Liquor Sales"/>
    <n v="1368.2375"/>
    <n v="0"/>
    <s v="Daily Sales Import"/>
    <n v="-1368.2375"/>
    <n v="1368.2375"/>
    <x v="1"/>
    <s v="2210"/>
    <s v="000"/>
    <x v="9"/>
    <x v="1"/>
  </r>
  <r>
    <d v="2012-07-16T00:00:00"/>
    <s v="017-2220-000"/>
    <s v="Beer Sales"/>
    <n v="276.64"/>
    <n v="0"/>
    <s v="Daily Sales Import"/>
    <n v="-276.64"/>
    <n v="276.64"/>
    <x v="1"/>
    <s v="2220"/>
    <s v="000"/>
    <x v="9"/>
    <x v="1"/>
  </r>
  <r>
    <d v="2012-07-16T00:00:00"/>
    <s v="017-2230-000"/>
    <s v="Wine Sales"/>
    <n v="111.07949999999998"/>
    <n v="0"/>
    <s v="Daily Sales Import"/>
    <n v="-111.07949999999998"/>
    <n v="111.07949999999998"/>
    <x v="1"/>
    <s v="2230"/>
    <s v="000"/>
    <x v="9"/>
    <x v="1"/>
  </r>
  <r>
    <d v="2012-07-17T00:00:00"/>
    <s v="017-2100-000"/>
    <s v="Food Sales"/>
    <n v="7341.5409999999993"/>
    <n v="0"/>
    <s v="Daily Sales Import"/>
    <n v="-7341.5409999999993"/>
    <n v="7341.5409999999993"/>
    <x v="1"/>
    <s v="2100"/>
    <s v="000"/>
    <x v="9"/>
    <x v="1"/>
  </r>
  <r>
    <d v="2012-07-17T00:00:00"/>
    <s v="017-2210-000"/>
    <s v="Liquor Sales"/>
    <n v="1593.9970000000001"/>
    <n v="0"/>
    <s v="Daily Sales Import"/>
    <n v="-1593.9970000000001"/>
    <n v="1593.9970000000001"/>
    <x v="1"/>
    <s v="2210"/>
    <s v="000"/>
    <x v="9"/>
    <x v="1"/>
  </r>
  <r>
    <d v="2012-07-17T00:00:00"/>
    <s v="017-2220-000"/>
    <s v="Beer Sales"/>
    <n v="608.16"/>
    <n v="0"/>
    <s v="Daily Sales Import"/>
    <n v="-608.16"/>
    <n v="608.16"/>
    <x v="1"/>
    <s v="2220"/>
    <s v="000"/>
    <x v="9"/>
    <x v="1"/>
  </r>
  <r>
    <d v="2012-07-17T00:00:00"/>
    <s v="017-2230-000"/>
    <s v="Wine Sales"/>
    <n v="223.81350000000003"/>
    <n v="0"/>
    <s v="Daily Sales Import"/>
    <n v="-223.81350000000003"/>
    <n v="223.81350000000003"/>
    <x v="1"/>
    <s v="2230"/>
    <s v="000"/>
    <x v="9"/>
    <x v="1"/>
  </r>
  <r>
    <d v="2012-07-18T00:00:00"/>
    <s v="017-2100-000"/>
    <s v="Food Sales"/>
    <n v="5640.9607999999998"/>
    <n v="0"/>
    <s v="Daily Sales Import"/>
    <n v="-5640.9607999999998"/>
    <n v="5640.9607999999998"/>
    <x v="1"/>
    <s v="2100"/>
    <s v="000"/>
    <x v="9"/>
    <x v="1"/>
  </r>
  <r>
    <d v="2012-07-18T00:00:00"/>
    <s v="017-2210-000"/>
    <s v="Liquor Sales"/>
    <n v="1588.704"/>
    <n v="0"/>
    <s v="Daily Sales Import"/>
    <n v="-1588.704"/>
    <n v="1588.704"/>
    <x v="1"/>
    <s v="2210"/>
    <s v="000"/>
    <x v="9"/>
    <x v="1"/>
  </r>
  <r>
    <d v="2012-07-18T00:00:00"/>
    <s v="017-2220-000"/>
    <s v="Beer Sales"/>
    <n v="421.75"/>
    <n v="0"/>
    <s v="Daily Sales Import"/>
    <n v="-421.75"/>
    <n v="421.75"/>
    <x v="1"/>
    <s v="2220"/>
    <s v="000"/>
    <x v="9"/>
    <x v="1"/>
  </r>
  <r>
    <d v="2012-07-18T00:00:00"/>
    <s v="017-2230-000"/>
    <s v="Wine Sales"/>
    <n v="113.03599999999999"/>
    <n v="0"/>
    <s v="Daily Sales Import"/>
    <n v="-113.03599999999999"/>
    <n v="113.03599999999999"/>
    <x v="1"/>
    <s v="2230"/>
    <s v="000"/>
    <x v="9"/>
    <x v="1"/>
  </r>
  <r>
    <d v="2012-07-19T00:00:00"/>
    <s v="017-2100-000"/>
    <s v="Food Sales"/>
    <n v="4500.0074999999997"/>
    <n v="0"/>
    <s v="Daily Sales Import"/>
    <n v="-4500.0074999999997"/>
    <n v="4500.0074999999997"/>
    <x v="1"/>
    <s v="2100"/>
    <s v="000"/>
    <x v="9"/>
    <x v="1"/>
  </r>
  <r>
    <d v="2012-07-19T00:00:00"/>
    <s v="017-2210-000"/>
    <s v="Liquor Sales"/>
    <n v="1196.2874999999999"/>
    <n v="0"/>
    <s v="Daily Sales Import"/>
    <n v="-1196.2874999999999"/>
    <n v="1196.2874999999999"/>
    <x v="1"/>
    <s v="2210"/>
    <s v="000"/>
    <x v="9"/>
    <x v="1"/>
  </r>
  <r>
    <d v="2012-07-19T00:00:00"/>
    <s v="017-2220-000"/>
    <s v="Beer Sales"/>
    <n v="466.65249999999997"/>
    <n v="0"/>
    <s v="Daily Sales Import"/>
    <n v="-466.65249999999997"/>
    <n v="466.65249999999997"/>
    <x v="1"/>
    <s v="2220"/>
    <s v="000"/>
    <x v="9"/>
    <x v="1"/>
  </r>
  <r>
    <d v="2012-07-19T00:00:00"/>
    <s v="017-2230-000"/>
    <s v="Wine Sales"/>
    <n v="123.11999999999999"/>
    <n v="0"/>
    <s v="Daily Sales Import"/>
    <n v="-123.11999999999999"/>
    <n v="123.11999999999999"/>
    <x v="1"/>
    <s v="2230"/>
    <s v="000"/>
    <x v="9"/>
    <x v="1"/>
  </r>
  <r>
    <d v="2012-07-20T00:00:00"/>
    <s v="017-2100-000"/>
    <s v="Food Sales"/>
    <n v="10647.201399999998"/>
    <n v="0"/>
    <s v="Daily Sales Import"/>
    <n v="-10647.201399999998"/>
    <n v="10647.201399999998"/>
    <x v="1"/>
    <s v="2100"/>
    <s v="000"/>
    <x v="9"/>
    <x v="1"/>
  </r>
  <r>
    <d v="2012-07-20T00:00:00"/>
    <s v="017-2210-000"/>
    <s v="Liquor Sales"/>
    <n v="2658.7"/>
    <n v="0"/>
    <s v="Daily Sales Import"/>
    <n v="-2658.7"/>
    <n v="2658.7"/>
    <x v="1"/>
    <s v="2210"/>
    <s v="000"/>
    <x v="9"/>
    <x v="1"/>
  </r>
  <r>
    <d v="2012-07-20T00:00:00"/>
    <s v="017-2220-000"/>
    <s v="Beer Sales"/>
    <n v="331.42"/>
    <n v="0"/>
    <s v="Daily Sales Import"/>
    <n v="-331.42"/>
    <n v="331.42"/>
    <x v="1"/>
    <s v="2220"/>
    <s v="000"/>
    <x v="9"/>
    <x v="1"/>
  </r>
  <r>
    <d v="2012-07-20T00:00:00"/>
    <s v="017-2230-000"/>
    <s v="Wine Sales"/>
    <n v="18.299999999999997"/>
    <n v="0"/>
    <s v="Daily Sales Import"/>
    <n v="-18.299999999999997"/>
    <n v="18.299999999999997"/>
    <x v="1"/>
    <s v="2230"/>
    <s v="000"/>
    <x v="9"/>
    <x v="1"/>
  </r>
  <r>
    <d v="2012-07-21T00:00:00"/>
    <s v="017-2100-000"/>
    <s v="Food Sales"/>
    <n v="7104.6287999999995"/>
    <n v="0"/>
    <s v="Daily Sales Import"/>
    <n v="-7104.6287999999995"/>
    <n v="7104.6287999999995"/>
    <x v="1"/>
    <s v="2100"/>
    <s v="000"/>
    <x v="9"/>
    <x v="1"/>
  </r>
  <r>
    <d v="2012-07-21T00:00:00"/>
    <s v="017-2210-000"/>
    <s v="Liquor Sales"/>
    <n v="1883.826"/>
    <n v="0"/>
    <s v="Daily Sales Import"/>
    <n v="-1883.826"/>
    <n v="1883.826"/>
    <x v="1"/>
    <s v="2210"/>
    <s v="000"/>
    <x v="9"/>
    <x v="1"/>
  </r>
  <r>
    <d v="2012-07-21T00:00:00"/>
    <s v="017-2220-000"/>
    <s v="Beer Sales"/>
    <n v="332.08500000000004"/>
    <n v="0"/>
    <s v="Daily Sales Import"/>
    <n v="-332.08500000000004"/>
    <n v="332.08500000000004"/>
    <x v="1"/>
    <s v="2220"/>
    <s v="000"/>
    <x v="9"/>
    <x v="1"/>
  </r>
  <r>
    <d v="2012-07-21T00:00:00"/>
    <s v="017-2230-000"/>
    <s v="Wine Sales"/>
    <n v="77.291999999999987"/>
    <n v="0"/>
    <s v="Daily Sales Import"/>
    <n v="-77.291999999999987"/>
    <n v="77.291999999999987"/>
    <x v="1"/>
    <s v="2230"/>
    <s v="000"/>
    <x v="9"/>
    <x v="1"/>
  </r>
  <r>
    <d v="2012-07-22T00:00:00"/>
    <s v="017-2100-000"/>
    <s v="Food Sales"/>
    <n v="5540.2098999999998"/>
    <n v="0"/>
    <s v="Daily Sales Import"/>
    <n v="-5540.2098999999998"/>
    <n v="5540.2098999999998"/>
    <x v="1"/>
    <s v="2100"/>
    <s v="000"/>
    <x v="9"/>
    <x v="1"/>
  </r>
  <r>
    <d v="2012-07-22T00:00:00"/>
    <s v="017-2210-000"/>
    <s v="Liquor Sales"/>
    <n v="1027.1200000000001"/>
    <n v="0"/>
    <s v="Daily Sales Import"/>
    <n v="-1027.1200000000001"/>
    <n v="1027.1200000000001"/>
    <x v="1"/>
    <s v="2210"/>
    <s v="000"/>
    <x v="9"/>
    <x v="1"/>
  </r>
  <r>
    <d v="2012-07-22T00:00:00"/>
    <s v="017-2220-000"/>
    <s v="Beer Sales"/>
    <n v="142.86250000000001"/>
    <n v="0"/>
    <s v="Daily Sales Import"/>
    <n v="-142.86250000000001"/>
    <n v="142.86250000000001"/>
    <x v="1"/>
    <s v="2220"/>
    <s v="000"/>
    <x v="9"/>
    <x v="1"/>
  </r>
  <r>
    <d v="2012-07-22T00:00:00"/>
    <s v="017-2230-000"/>
    <s v="Wine Sales"/>
    <n v="66.994499999999988"/>
    <n v="0"/>
    <s v="Daily Sales Import"/>
    <n v="-66.994499999999988"/>
    <n v="66.994499999999988"/>
    <x v="1"/>
    <s v="2230"/>
    <s v="000"/>
    <x v="9"/>
    <x v="1"/>
  </r>
  <r>
    <d v="2012-07-16T00:00:00"/>
    <s v="018-2100-000"/>
    <s v="Food Sales"/>
    <n v="4272.1139999999996"/>
    <n v="0"/>
    <s v="Daily Sales Import"/>
    <n v="-4272.1139999999996"/>
    <n v="4272.1139999999996"/>
    <x v="2"/>
    <s v="2100"/>
    <s v="000"/>
    <x v="9"/>
    <x v="1"/>
  </r>
  <r>
    <d v="2012-07-16T00:00:00"/>
    <s v="018-2210-000"/>
    <s v="Liquor Sales"/>
    <n v="506.57999999999993"/>
    <n v="0"/>
    <s v="Daily Sales Import"/>
    <n v="-506.57999999999993"/>
    <n v="506.57999999999993"/>
    <x v="2"/>
    <s v="2210"/>
    <s v="000"/>
    <x v="9"/>
    <x v="1"/>
  </r>
  <r>
    <d v="2012-07-16T00:00:00"/>
    <s v="018-2220-000"/>
    <s v="Beer Sales"/>
    <n v="188.08199999999999"/>
    <n v="0"/>
    <s v="Daily Sales Import"/>
    <n v="-188.08199999999999"/>
    <n v="188.08199999999999"/>
    <x v="2"/>
    <s v="2220"/>
    <s v="000"/>
    <x v="9"/>
    <x v="1"/>
  </r>
  <r>
    <d v="2012-07-16T00:00:00"/>
    <s v="018-2230-000"/>
    <s v="Wine Sales"/>
    <n v="39.835000000000001"/>
    <n v="0"/>
    <s v="Daily Sales Import"/>
    <n v="-39.835000000000001"/>
    <n v="39.835000000000001"/>
    <x v="2"/>
    <s v="2230"/>
    <s v="000"/>
    <x v="9"/>
    <x v="1"/>
  </r>
  <r>
    <d v="2012-07-17T00:00:00"/>
    <s v="018-2100-000"/>
    <s v="Food Sales"/>
    <n v="4873.8620000000001"/>
    <n v="0"/>
    <s v="Daily Sales Import"/>
    <n v="-4873.8620000000001"/>
    <n v="4873.8620000000001"/>
    <x v="2"/>
    <s v="2100"/>
    <s v="000"/>
    <x v="9"/>
    <x v="1"/>
  </r>
  <r>
    <d v="2012-07-17T00:00:00"/>
    <s v="018-2210-000"/>
    <s v="Liquor Sales"/>
    <n v="690.31600000000003"/>
    <n v="0"/>
    <s v="Daily Sales Import"/>
    <n v="-690.31600000000003"/>
    <n v="690.31600000000003"/>
    <x v="2"/>
    <s v="2210"/>
    <s v="000"/>
    <x v="9"/>
    <x v="1"/>
  </r>
  <r>
    <d v="2012-07-17T00:00:00"/>
    <s v="018-2220-000"/>
    <s v="Beer Sales"/>
    <n v="115.25649999999999"/>
    <n v="0"/>
    <s v="Daily Sales Import"/>
    <n v="-115.25649999999999"/>
    <n v="115.25649999999999"/>
    <x v="2"/>
    <s v="2220"/>
    <s v="000"/>
    <x v="9"/>
    <x v="1"/>
  </r>
  <r>
    <d v="2012-07-17T00:00:00"/>
    <s v="018-2230-000"/>
    <s v="Wine Sales"/>
    <n v="15.437999999999999"/>
    <n v="0"/>
    <s v="Daily Sales Import"/>
    <n v="-15.437999999999999"/>
    <n v="15.437999999999999"/>
    <x v="2"/>
    <s v="2230"/>
    <s v="000"/>
    <x v="9"/>
    <x v="1"/>
  </r>
  <r>
    <d v="2012-07-18T00:00:00"/>
    <s v="018-2100-000"/>
    <s v="Food Sales"/>
    <n v="3720.6122999999998"/>
    <n v="0"/>
    <s v="Daily Sales Import"/>
    <n v="-3720.6122999999998"/>
    <n v="3720.6122999999998"/>
    <x v="2"/>
    <s v="2100"/>
    <s v="000"/>
    <x v="9"/>
    <x v="1"/>
  </r>
  <r>
    <d v="2012-07-18T00:00:00"/>
    <s v="018-2210-000"/>
    <s v="Liquor Sales"/>
    <n v="827.54199999999992"/>
    <n v="0"/>
    <s v="Daily Sales Import"/>
    <n v="-827.54199999999992"/>
    <n v="827.54199999999992"/>
    <x v="2"/>
    <s v="2210"/>
    <s v="000"/>
    <x v="9"/>
    <x v="1"/>
  </r>
  <r>
    <d v="2012-07-18T00:00:00"/>
    <s v="018-2220-000"/>
    <s v="Beer Sales"/>
    <n v="236.89799999999997"/>
    <n v="0"/>
    <s v="Daily Sales Import"/>
    <n v="-236.89799999999997"/>
    <n v="236.89799999999997"/>
    <x v="2"/>
    <s v="2220"/>
    <s v="000"/>
    <x v="9"/>
    <x v="1"/>
  </r>
  <r>
    <d v="2012-07-18T00:00:00"/>
    <s v="018-2230-000"/>
    <s v="Wine Sales"/>
    <n v="55.768999999999998"/>
    <n v="0"/>
    <s v="Daily Sales Import"/>
    <n v="-55.768999999999998"/>
    <n v="55.768999999999998"/>
    <x v="2"/>
    <s v="2230"/>
    <s v="000"/>
    <x v="9"/>
    <x v="1"/>
  </r>
  <r>
    <d v="2012-07-19T00:00:00"/>
    <s v="018-2100-000"/>
    <s v="Food Sales"/>
    <n v="7648.3757999999989"/>
    <n v="0"/>
    <s v="Daily Sales Import"/>
    <n v="-7648.3757999999989"/>
    <n v="7648.3757999999989"/>
    <x v="2"/>
    <s v="2100"/>
    <s v="000"/>
    <x v="9"/>
    <x v="1"/>
  </r>
  <r>
    <d v="2012-07-19T00:00:00"/>
    <s v="018-2210-000"/>
    <s v="Liquor Sales"/>
    <n v="1010.9099999999999"/>
    <n v="0"/>
    <s v="Daily Sales Import"/>
    <n v="-1010.9099999999999"/>
    <n v="1010.9099999999999"/>
    <x v="2"/>
    <s v="2210"/>
    <s v="000"/>
    <x v="9"/>
    <x v="1"/>
  </r>
  <r>
    <d v="2012-07-19T00:00:00"/>
    <s v="018-2220-000"/>
    <s v="Beer Sales"/>
    <n v="262.20799999999997"/>
    <n v="0"/>
    <s v="Daily Sales Import"/>
    <n v="-262.20799999999997"/>
    <n v="262.20799999999997"/>
    <x v="2"/>
    <s v="2220"/>
    <s v="000"/>
    <x v="9"/>
    <x v="1"/>
  </r>
  <r>
    <d v="2012-07-19T00:00:00"/>
    <s v="018-2230-000"/>
    <s v="Wine Sales"/>
    <n v="93.600000000000009"/>
    <n v="0"/>
    <s v="Daily Sales Import"/>
    <n v="-93.600000000000009"/>
    <n v="93.600000000000009"/>
    <x v="2"/>
    <s v="2230"/>
    <s v="000"/>
    <x v="9"/>
    <x v="1"/>
  </r>
  <r>
    <d v="2012-07-20T00:00:00"/>
    <s v="018-2100-000"/>
    <s v="Food Sales"/>
    <n v="8034.7302000000009"/>
    <n v="0"/>
    <s v="Daily Sales Import"/>
    <n v="-8034.7302000000009"/>
    <n v="8034.7302000000009"/>
    <x v="2"/>
    <s v="2100"/>
    <s v="000"/>
    <x v="9"/>
    <x v="1"/>
  </r>
  <r>
    <d v="2012-07-20T00:00:00"/>
    <s v="018-2210-000"/>
    <s v="Liquor Sales"/>
    <n v="2064.1039999999998"/>
    <n v="0"/>
    <s v="Daily Sales Import"/>
    <n v="-2064.1039999999998"/>
    <n v="2064.1039999999998"/>
    <x v="2"/>
    <s v="2210"/>
    <s v="000"/>
    <x v="9"/>
    <x v="1"/>
  </r>
  <r>
    <d v="2012-07-20T00:00:00"/>
    <s v="018-2220-000"/>
    <s v="Beer Sales"/>
    <n v="360.29699999999997"/>
    <n v="0"/>
    <s v="Daily Sales Import"/>
    <n v="-360.29699999999997"/>
    <n v="360.29699999999997"/>
    <x v="2"/>
    <s v="2220"/>
    <s v="000"/>
    <x v="9"/>
    <x v="1"/>
  </r>
  <r>
    <d v="2012-07-20T00:00:00"/>
    <s v="018-2230-000"/>
    <s v="Wine Sales"/>
    <n v="75.167999999999992"/>
    <n v="0"/>
    <s v="Daily Sales Import"/>
    <n v="-75.167999999999992"/>
    <n v="75.167999999999992"/>
    <x v="2"/>
    <s v="2230"/>
    <s v="000"/>
    <x v="9"/>
    <x v="1"/>
  </r>
  <r>
    <d v="2012-07-21T00:00:00"/>
    <s v="018-2100-000"/>
    <s v="Food Sales"/>
    <n v="9549.1530000000002"/>
    <n v="0"/>
    <s v="Daily Sales Import"/>
    <n v="-9549.1530000000002"/>
    <n v="9549.1530000000002"/>
    <x v="2"/>
    <s v="2100"/>
    <s v="000"/>
    <x v="9"/>
    <x v="1"/>
  </r>
  <r>
    <d v="2012-07-21T00:00:00"/>
    <s v="018-2210-000"/>
    <s v="Liquor Sales"/>
    <n v="3704.2875000000004"/>
    <n v="0"/>
    <s v="Daily Sales Import"/>
    <n v="-3704.2875000000004"/>
    <n v="3704.2875000000004"/>
    <x v="2"/>
    <s v="2210"/>
    <s v="000"/>
    <x v="9"/>
    <x v="1"/>
  </r>
  <r>
    <d v="2012-07-21T00:00:00"/>
    <s v="018-2220-000"/>
    <s v="Beer Sales"/>
    <n v="974.74950000000001"/>
    <n v="0"/>
    <s v="Daily Sales Import"/>
    <n v="-974.74950000000001"/>
    <n v="974.74950000000001"/>
    <x v="2"/>
    <s v="2220"/>
    <s v="000"/>
    <x v="9"/>
    <x v="1"/>
  </r>
  <r>
    <d v="2012-07-21T00:00:00"/>
    <s v="018-2230-000"/>
    <s v="Wine Sales"/>
    <n v="140.23100000000002"/>
    <n v="0"/>
    <s v="Daily Sales Import"/>
    <n v="-140.23100000000002"/>
    <n v="140.23100000000002"/>
    <x v="2"/>
    <s v="2230"/>
    <s v="000"/>
    <x v="9"/>
    <x v="1"/>
  </r>
  <r>
    <d v="2012-07-22T00:00:00"/>
    <s v="018-2100-000"/>
    <s v="Food Sales"/>
    <n v="8254.6380000000008"/>
    <n v="0"/>
    <s v="Daily Sales Import"/>
    <n v="-8254.6380000000008"/>
    <n v="8254.6380000000008"/>
    <x v="2"/>
    <s v="2100"/>
    <s v="000"/>
    <x v="9"/>
    <x v="1"/>
  </r>
  <r>
    <d v="2012-07-22T00:00:00"/>
    <s v="018-2210-000"/>
    <s v="Liquor Sales"/>
    <n v="1227.1659999999999"/>
    <n v="0"/>
    <s v="Daily Sales Import"/>
    <n v="-1227.1659999999999"/>
    <n v="1227.1659999999999"/>
    <x v="2"/>
    <s v="2210"/>
    <s v="000"/>
    <x v="9"/>
    <x v="1"/>
  </r>
  <r>
    <d v="2012-07-22T00:00:00"/>
    <s v="018-2220-000"/>
    <s v="Beer Sales"/>
    <n v="266.91299999999995"/>
    <n v="0"/>
    <s v="Daily Sales Import"/>
    <n v="-266.91299999999995"/>
    <n v="266.91299999999995"/>
    <x v="2"/>
    <s v="2220"/>
    <s v="000"/>
    <x v="9"/>
    <x v="1"/>
  </r>
  <r>
    <d v="2012-07-22T00:00:00"/>
    <s v="018-2230-000"/>
    <s v="Wine Sales"/>
    <n v="56.101500000000001"/>
    <n v="0"/>
    <s v="Daily Sales Import"/>
    <n v="-56.101500000000001"/>
    <n v="56.101500000000001"/>
    <x v="2"/>
    <s v="2230"/>
    <s v="000"/>
    <x v="9"/>
    <x v="1"/>
  </r>
  <r>
    <d v="2012-07-23T00:00:00"/>
    <s v="016-2100-000"/>
    <s v="Food Sales"/>
    <n v="1288.3308"/>
    <n v="0"/>
    <s v="Daily Sales Import"/>
    <n v="-1288.3308"/>
    <n v="1288.3308"/>
    <x v="0"/>
    <s v="2100"/>
    <s v="000"/>
    <x v="9"/>
    <x v="1"/>
  </r>
  <r>
    <d v="2012-07-23T00:00:00"/>
    <s v="016-2210-000"/>
    <s v="Liquor Sales"/>
    <n v="345.28999999999996"/>
    <n v="0"/>
    <s v="Daily Sales Import"/>
    <n v="-345.28999999999996"/>
    <n v="345.28999999999996"/>
    <x v="0"/>
    <s v="2210"/>
    <s v="000"/>
    <x v="9"/>
    <x v="1"/>
  </r>
  <r>
    <d v="2012-07-23T00:00:00"/>
    <s v="016-2220-000"/>
    <s v="Beer Sales"/>
    <n v="35.04"/>
    <n v="0"/>
    <s v="Daily Sales Import"/>
    <n v="-35.04"/>
    <n v="35.04"/>
    <x v="0"/>
    <s v="2220"/>
    <s v="000"/>
    <x v="9"/>
    <x v="1"/>
  </r>
  <r>
    <d v="2012-07-23T00:00:00"/>
    <s v="016-2230-000"/>
    <s v="Wine Sales"/>
    <n v="25.063500000000001"/>
    <n v="0"/>
    <s v="Daily Sales Import"/>
    <n v="-25.063500000000001"/>
    <n v="25.063500000000001"/>
    <x v="0"/>
    <s v="2230"/>
    <s v="000"/>
    <x v="9"/>
    <x v="1"/>
  </r>
  <r>
    <d v="2012-07-24T00:00:00"/>
    <s v="016-2100-000"/>
    <s v="Food Sales"/>
    <n v="3957.0832000000005"/>
    <n v="0"/>
    <s v="Daily Sales Import"/>
    <n v="-3957.0832000000005"/>
    <n v="3957.0832000000005"/>
    <x v="0"/>
    <s v="2100"/>
    <s v="000"/>
    <x v="9"/>
    <x v="1"/>
  </r>
  <r>
    <d v="2012-07-24T00:00:00"/>
    <s v="016-2210-000"/>
    <s v="Liquor Sales"/>
    <n v="2833.5501000000004"/>
    <n v="0"/>
    <s v="Daily Sales Import"/>
    <n v="-2833.5501000000004"/>
    <n v="2833.5501000000004"/>
    <x v="0"/>
    <s v="2210"/>
    <s v="000"/>
    <x v="9"/>
    <x v="1"/>
  </r>
  <r>
    <d v="2012-07-24T00:00:00"/>
    <s v="016-2220-000"/>
    <s v="Beer Sales"/>
    <n v="558.65940000000012"/>
    <n v="0"/>
    <s v="Daily Sales Import"/>
    <n v="-558.65940000000012"/>
    <n v="558.65940000000012"/>
    <x v="0"/>
    <s v="2220"/>
    <s v="000"/>
    <x v="9"/>
    <x v="1"/>
  </r>
  <r>
    <d v="2012-07-24T00:00:00"/>
    <s v="016-2230-000"/>
    <s v="Wine Sales"/>
    <n v="149.036"/>
    <n v="0"/>
    <s v="Daily Sales Import"/>
    <n v="-149.036"/>
    <n v="149.036"/>
    <x v="0"/>
    <s v="2230"/>
    <s v="000"/>
    <x v="9"/>
    <x v="1"/>
  </r>
  <r>
    <d v="2012-07-25T00:00:00"/>
    <s v="016-2100-000"/>
    <s v="Food Sales"/>
    <n v="2318.5920000000001"/>
    <n v="0"/>
    <s v="Daily Sales Import"/>
    <n v="-2318.5920000000001"/>
    <n v="2318.5920000000001"/>
    <x v="0"/>
    <s v="2100"/>
    <s v="000"/>
    <x v="9"/>
    <x v="1"/>
  </r>
  <r>
    <d v="2012-07-25T00:00:00"/>
    <s v="016-2210-000"/>
    <s v="Liquor Sales"/>
    <n v="1015.7460000000001"/>
    <n v="0"/>
    <s v="Daily Sales Import"/>
    <n v="-1015.7460000000001"/>
    <n v="1015.7460000000001"/>
    <x v="0"/>
    <s v="2210"/>
    <s v="000"/>
    <x v="9"/>
    <x v="1"/>
  </r>
  <r>
    <d v="2012-07-25T00:00:00"/>
    <s v="016-2220-000"/>
    <s v="Beer Sales"/>
    <n v="262.20599999999996"/>
    <n v="0"/>
    <s v="Daily Sales Import"/>
    <n v="-262.20599999999996"/>
    <n v="262.20599999999996"/>
    <x v="0"/>
    <s v="2220"/>
    <s v="000"/>
    <x v="9"/>
    <x v="1"/>
  </r>
  <r>
    <d v="2012-07-25T00:00:00"/>
    <s v="016-2230-000"/>
    <s v="Wine Sales"/>
    <n v="37.417000000000002"/>
    <n v="0"/>
    <s v="Daily Sales Import"/>
    <n v="-37.417000000000002"/>
    <n v="37.417000000000002"/>
    <x v="0"/>
    <s v="2230"/>
    <s v="000"/>
    <x v="9"/>
    <x v="1"/>
  </r>
  <r>
    <d v="2012-07-26T00:00:00"/>
    <s v="016-2100-000"/>
    <s v="Food Sales"/>
    <n v="3946.0230000000001"/>
    <n v="0"/>
    <s v="Daily Sales Import"/>
    <n v="-3946.0230000000001"/>
    <n v="3946.0230000000001"/>
    <x v="0"/>
    <s v="2100"/>
    <s v="000"/>
    <x v="9"/>
    <x v="1"/>
  </r>
  <r>
    <d v="2012-07-26T00:00:00"/>
    <s v="016-2210-000"/>
    <s v="Liquor Sales"/>
    <n v="925.96199999999999"/>
    <n v="0"/>
    <s v="Daily Sales Import"/>
    <n v="-925.96199999999999"/>
    <n v="925.96199999999999"/>
    <x v="0"/>
    <s v="2210"/>
    <s v="000"/>
    <x v="9"/>
    <x v="1"/>
  </r>
  <r>
    <d v="2012-07-26T00:00:00"/>
    <s v="016-2220-000"/>
    <s v="Beer Sales"/>
    <n v="196.977"/>
    <n v="0"/>
    <s v="Daily Sales Import"/>
    <n v="-196.977"/>
    <n v="196.977"/>
    <x v="0"/>
    <s v="2220"/>
    <s v="000"/>
    <x v="9"/>
    <x v="1"/>
  </r>
  <r>
    <d v="2012-07-26T00:00:00"/>
    <s v="016-2230-000"/>
    <s v="Wine Sales"/>
    <n v="35.539500000000004"/>
    <n v="0"/>
    <s v="Daily Sales Import"/>
    <n v="-35.539500000000004"/>
    <n v="35.539500000000004"/>
    <x v="0"/>
    <s v="2230"/>
    <s v="000"/>
    <x v="9"/>
    <x v="1"/>
  </r>
  <r>
    <d v="2012-07-27T00:00:00"/>
    <s v="016-2100-000"/>
    <s v="Food Sales"/>
    <n v="9319.5360000000001"/>
    <n v="0"/>
    <s v="Daily Sales Import"/>
    <n v="-9319.5360000000001"/>
    <n v="9319.5360000000001"/>
    <x v="0"/>
    <s v="2100"/>
    <s v="000"/>
    <x v="9"/>
    <x v="1"/>
  </r>
  <r>
    <d v="2012-07-27T00:00:00"/>
    <s v="016-2210-000"/>
    <s v="Liquor Sales"/>
    <n v="3007.4830000000002"/>
    <n v="0"/>
    <s v="Daily Sales Import"/>
    <n v="-3007.4830000000002"/>
    <n v="3007.4830000000002"/>
    <x v="0"/>
    <s v="2210"/>
    <s v="000"/>
    <x v="9"/>
    <x v="1"/>
  </r>
  <r>
    <d v="2012-07-27T00:00:00"/>
    <s v="016-2220-000"/>
    <s v="Beer Sales"/>
    <n v="890.04449999999997"/>
    <n v="0"/>
    <s v="Daily Sales Import"/>
    <n v="-890.04449999999997"/>
    <n v="890.04449999999997"/>
    <x v="0"/>
    <s v="2220"/>
    <s v="000"/>
    <x v="9"/>
    <x v="1"/>
  </r>
  <r>
    <d v="2012-07-27T00:00:00"/>
    <s v="016-2230-000"/>
    <s v="Wine Sales"/>
    <n v="248.20250000000001"/>
    <n v="0"/>
    <s v="Daily Sales Import"/>
    <n v="-248.20250000000001"/>
    <n v="248.20250000000001"/>
    <x v="0"/>
    <s v="2230"/>
    <s v="000"/>
    <x v="9"/>
    <x v="1"/>
  </r>
  <r>
    <d v="2012-07-28T00:00:00"/>
    <s v="016-2100-000"/>
    <s v="Food Sales"/>
    <n v="6131.0700000000006"/>
    <n v="0"/>
    <s v="Daily Sales Import"/>
    <n v="-6131.0700000000006"/>
    <n v="6131.0700000000006"/>
    <x v="0"/>
    <s v="2100"/>
    <s v="000"/>
    <x v="9"/>
    <x v="1"/>
  </r>
  <r>
    <d v="2012-07-28T00:00:00"/>
    <s v="016-2210-000"/>
    <s v="Liquor Sales"/>
    <n v="2902.4380000000001"/>
    <n v="0"/>
    <s v="Daily Sales Import"/>
    <n v="-2902.4380000000001"/>
    <n v="2902.4380000000001"/>
    <x v="0"/>
    <s v="2210"/>
    <s v="000"/>
    <x v="9"/>
    <x v="1"/>
  </r>
  <r>
    <d v="2012-07-28T00:00:00"/>
    <s v="016-2220-000"/>
    <s v="Beer Sales"/>
    <n v="520.65"/>
    <n v="0"/>
    <s v="Daily Sales Import"/>
    <n v="-520.65"/>
    <n v="520.65"/>
    <x v="0"/>
    <s v="2220"/>
    <s v="000"/>
    <x v="9"/>
    <x v="1"/>
  </r>
  <r>
    <d v="2012-07-28T00:00:00"/>
    <s v="016-2230-000"/>
    <s v="Wine Sales"/>
    <n v="142.00200000000001"/>
    <n v="0"/>
    <s v="Daily Sales Import"/>
    <n v="-142.00200000000001"/>
    <n v="142.00200000000001"/>
    <x v="0"/>
    <s v="2230"/>
    <s v="000"/>
    <x v="9"/>
    <x v="1"/>
  </r>
  <r>
    <d v="2012-07-29T00:00:00"/>
    <s v="016-2100-000"/>
    <s v="Food Sales"/>
    <n v="5426.9182000000001"/>
    <n v="0"/>
    <s v="Daily Sales Import"/>
    <n v="-5426.9182000000001"/>
    <n v="5426.9182000000001"/>
    <x v="0"/>
    <s v="2100"/>
    <s v="000"/>
    <x v="9"/>
    <x v="1"/>
  </r>
  <r>
    <d v="2012-07-29T00:00:00"/>
    <s v="016-2210-000"/>
    <s v="Liquor Sales"/>
    <n v="1459.1999999999998"/>
    <n v="0"/>
    <s v="Daily Sales Import"/>
    <n v="-1459.1999999999998"/>
    <n v="1459.1999999999998"/>
    <x v="0"/>
    <s v="2210"/>
    <s v="000"/>
    <x v="9"/>
    <x v="1"/>
  </r>
  <r>
    <d v="2012-07-29T00:00:00"/>
    <s v="016-2220-000"/>
    <s v="Beer Sales"/>
    <n v="144.44999999999999"/>
    <n v="0"/>
    <s v="Daily Sales Import"/>
    <n v="-144.44999999999999"/>
    <n v="144.44999999999999"/>
    <x v="0"/>
    <s v="2220"/>
    <s v="000"/>
    <x v="9"/>
    <x v="1"/>
  </r>
  <r>
    <d v="2012-07-29T00:00:00"/>
    <s v="016-2230-000"/>
    <s v="Wine Sales"/>
    <n v="115.623"/>
    <n v="0"/>
    <s v="Daily Sales Import"/>
    <n v="-115.623"/>
    <n v="115.623"/>
    <x v="0"/>
    <s v="2230"/>
    <s v="000"/>
    <x v="9"/>
    <x v="1"/>
  </r>
  <r>
    <d v="2012-07-23T00:00:00"/>
    <s v="017-2100-000"/>
    <s v="Food Sales"/>
    <n v="6407.5192999999999"/>
    <n v="0"/>
    <s v="Daily Sales Import"/>
    <n v="-6407.5192999999999"/>
    <n v="6407.5192999999999"/>
    <x v="1"/>
    <s v="2100"/>
    <s v="000"/>
    <x v="9"/>
    <x v="1"/>
  </r>
  <r>
    <d v="2012-07-23T00:00:00"/>
    <s v="017-2210-000"/>
    <s v="Liquor Sales"/>
    <n v="1038.3100000000002"/>
    <n v="0"/>
    <s v="Daily Sales Import"/>
    <n v="-1038.3100000000002"/>
    <n v="1038.3100000000002"/>
    <x v="1"/>
    <s v="2210"/>
    <s v="000"/>
    <x v="9"/>
    <x v="1"/>
  </r>
  <r>
    <d v="2012-07-23T00:00:00"/>
    <s v="017-2220-000"/>
    <s v="Beer Sales"/>
    <n v="372"/>
    <n v="0"/>
    <s v="Daily Sales Import"/>
    <n v="-372"/>
    <n v="372"/>
    <x v="1"/>
    <s v="2220"/>
    <s v="000"/>
    <x v="9"/>
    <x v="1"/>
  </r>
  <r>
    <d v="2012-07-23T00:00:00"/>
    <s v="017-2230-000"/>
    <s v="Wine Sales"/>
    <n v="68.841500000000011"/>
    <n v="0"/>
    <s v="Daily Sales Import"/>
    <n v="-68.841500000000011"/>
    <n v="68.841500000000011"/>
    <x v="1"/>
    <s v="2230"/>
    <s v="000"/>
    <x v="9"/>
    <x v="1"/>
  </r>
  <r>
    <d v="2012-07-24T00:00:00"/>
    <s v="017-2100-000"/>
    <s v="Food Sales"/>
    <n v="10632.0669"/>
    <n v="0"/>
    <s v="Daily Sales Import"/>
    <n v="-10632.0669"/>
    <n v="10632.0669"/>
    <x v="1"/>
    <s v="2100"/>
    <s v="000"/>
    <x v="9"/>
    <x v="1"/>
  </r>
  <r>
    <d v="2012-07-24T00:00:00"/>
    <s v="017-2210-000"/>
    <s v="Liquor Sales"/>
    <n v="3140.0669999999996"/>
    <n v="0"/>
    <s v="Daily Sales Import"/>
    <n v="-3140.0669999999996"/>
    <n v="3140.0669999999996"/>
    <x v="1"/>
    <s v="2210"/>
    <s v="000"/>
    <x v="9"/>
    <x v="1"/>
  </r>
  <r>
    <d v="2012-07-24T00:00:00"/>
    <s v="017-2220-000"/>
    <s v="Beer Sales"/>
    <n v="721.80000000000007"/>
    <n v="0"/>
    <s v="Daily Sales Import"/>
    <n v="-721.80000000000007"/>
    <n v="721.80000000000007"/>
    <x v="1"/>
    <s v="2220"/>
    <s v="000"/>
    <x v="9"/>
    <x v="1"/>
  </r>
  <r>
    <d v="2012-07-24T00:00:00"/>
    <s v="017-2230-000"/>
    <s v="Wine Sales"/>
    <n v="110.6545"/>
    <n v="0"/>
    <s v="Daily Sales Import"/>
    <n v="-110.6545"/>
    <n v="110.6545"/>
    <x v="1"/>
    <s v="2230"/>
    <s v="000"/>
    <x v="9"/>
    <x v="1"/>
  </r>
  <r>
    <d v="2012-07-25T00:00:00"/>
    <s v="017-2100-000"/>
    <s v="Food Sales"/>
    <n v="6049.5383999999995"/>
    <n v="0"/>
    <s v="Daily Sales Import"/>
    <n v="-6049.5383999999995"/>
    <n v="6049.5383999999995"/>
    <x v="1"/>
    <s v="2100"/>
    <s v="000"/>
    <x v="9"/>
    <x v="1"/>
  </r>
  <r>
    <d v="2012-07-25T00:00:00"/>
    <s v="017-2210-000"/>
    <s v="Liquor Sales"/>
    <n v="1584.4360000000001"/>
    <n v="0"/>
    <s v="Daily Sales Import"/>
    <n v="-1584.4360000000001"/>
    <n v="1584.4360000000001"/>
    <x v="1"/>
    <s v="2210"/>
    <s v="000"/>
    <x v="9"/>
    <x v="1"/>
  </r>
  <r>
    <d v="2012-07-25T00:00:00"/>
    <s v="017-2220-000"/>
    <s v="Beer Sales"/>
    <n v="497.75249999999994"/>
    <n v="0"/>
    <s v="Daily Sales Import"/>
    <n v="-497.75249999999994"/>
    <n v="497.75249999999994"/>
    <x v="1"/>
    <s v="2220"/>
    <s v="000"/>
    <x v="9"/>
    <x v="1"/>
  </r>
  <r>
    <d v="2012-07-25T00:00:00"/>
    <s v="017-2230-000"/>
    <s v="Wine Sales"/>
    <n v="121.29"/>
    <n v="0"/>
    <s v="Daily Sales Import"/>
    <n v="-121.29"/>
    <n v="121.29"/>
    <x v="1"/>
    <s v="2230"/>
    <s v="000"/>
    <x v="9"/>
    <x v="1"/>
  </r>
  <r>
    <d v="2012-07-26T00:00:00"/>
    <s v="017-2100-000"/>
    <s v="Food Sales"/>
    <n v="4673.8859999999995"/>
    <n v="0"/>
    <s v="Daily Sales Import"/>
    <n v="-4673.8859999999995"/>
    <n v="4673.8859999999995"/>
    <x v="1"/>
    <s v="2100"/>
    <s v="000"/>
    <x v="9"/>
    <x v="1"/>
  </r>
  <r>
    <d v="2012-07-26T00:00:00"/>
    <s v="017-2210-000"/>
    <s v="Liquor Sales"/>
    <n v="2816.9820000000004"/>
    <n v="0"/>
    <s v="Daily Sales Import"/>
    <n v="-2816.9820000000004"/>
    <n v="2816.9820000000004"/>
    <x v="1"/>
    <s v="2210"/>
    <s v="000"/>
    <x v="9"/>
    <x v="1"/>
  </r>
  <r>
    <d v="2012-07-26T00:00:00"/>
    <s v="017-2220-000"/>
    <s v="Beer Sales"/>
    <n v="587.57499999999993"/>
    <n v="0"/>
    <s v="Daily Sales Import"/>
    <n v="-587.57499999999993"/>
    <n v="587.57499999999993"/>
    <x v="1"/>
    <s v="2220"/>
    <s v="000"/>
    <x v="9"/>
    <x v="1"/>
  </r>
  <r>
    <d v="2012-07-26T00:00:00"/>
    <s v="017-2230-000"/>
    <s v="Wine Sales"/>
    <n v="153.30149999999998"/>
    <n v="0"/>
    <s v="Daily Sales Import"/>
    <n v="-153.30149999999998"/>
    <n v="153.30149999999998"/>
    <x v="1"/>
    <s v="2230"/>
    <s v="000"/>
    <x v="9"/>
    <x v="1"/>
  </r>
  <r>
    <d v="2012-07-27T00:00:00"/>
    <s v="017-2100-000"/>
    <s v="Food Sales"/>
    <n v="9358.9721000000009"/>
    <n v="0"/>
    <s v="Daily Sales Import"/>
    <n v="-9358.9721000000009"/>
    <n v="9358.9721000000009"/>
    <x v="1"/>
    <s v="2100"/>
    <s v="000"/>
    <x v="9"/>
    <x v="1"/>
  </r>
  <r>
    <d v="2012-07-27T00:00:00"/>
    <s v="017-2210-000"/>
    <s v="Liquor Sales"/>
    <n v="1443.31"/>
    <n v="0"/>
    <s v="Daily Sales Import"/>
    <n v="-1443.31"/>
    <n v="1443.31"/>
    <x v="1"/>
    <s v="2210"/>
    <s v="000"/>
    <x v="9"/>
    <x v="1"/>
  </r>
  <r>
    <d v="2012-07-27T00:00:00"/>
    <s v="017-2220-000"/>
    <s v="Beer Sales"/>
    <n v="358.78500000000003"/>
    <n v="0"/>
    <s v="Daily Sales Import"/>
    <n v="-358.78500000000003"/>
    <n v="358.78500000000003"/>
    <x v="1"/>
    <s v="2220"/>
    <s v="000"/>
    <x v="9"/>
    <x v="1"/>
  </r>
  <r>
    <d v="2012-07-27T00:00:00"/>
    <s v="017-2230-000"/>
    <s v="Wine Sales"/>
    <n v="82.237500000000011"/>
    <n v="0"/>
    <s v="Daily Sales Import"/>
    <n v="-82.237500000000011"/>
    <n v="82.237500000000011"/>
    <x v="1"/>
    <s v="2230"/>
    <s v="000"/>
    <x v="9"/>
    <x v="1"/>
  </r>
  <r>
    <d v="2012-07-28T00:00:00"/>
    <s v="017-2100-000"/>
    <s v="Food Sales"/>
    <n v="6582.7876000000006"/>
    <n v="0"/>
    <s v="Daily Sales Import"/>
    <n v="-6582.7876000000006"/>
    <n v="6582.7876000000006"/>
    <x v="1"/>
    <s v="2100"/>
    <s v="000"/>
    <x v="9"/>
    <x v="1"/>
  </r>
  <r>
    <d v="2012-07-28T00:00:00"/>
    <s v="017-2210-000"/>
    <s v="Liquor Sales"/>
    <n v="2124.36"/>
    <n v="0"/>
    <s v="Daily Sales Import"/>
    <n v="-2124.36"/>
    <n v="2124.36"/>
    <x v="1"/>
    <s v="2210"/>
    <s v="000"/>
    <x v="9"/>
    <x v="1"/>
  </r>
  <r>
    <d v="2012-07-28T00:00:00"/>
    <s v="017-2220-000"/>
    <s v="Beer Sales"/>
    <n v="319.90000000000003"/>
    <n v="0"/>
    <s v="Daily Sales Import"/>
    <n v="-319.90000000000003"/>
    <n v="319.90000000000003"/>
    <x v="1"/>
    <s v="2220"/>
    <s v="000"/>
    <x v="9"/>
    <x v="1"/>
  </r>
  <r>
    <d v="2012-07-28T00:00:00"/>
    <s v="017-2230-000"/>
    <s v="Wine Sales"/>
    <n v="95.175000000000011"/>
    <n v="0"/>
    <s v="Daily Sales Import"/>
    <n v="-95.175000000000011"/>
    <n v="95.175000000000011"/>
    <x v="1"/>
    <s v="2230"/>
    <s v="000"/>
    <x v="9"/>
    <x v="1"/>
  </r>
  <r>
    <d v="2012-07-29T00:00:00"/>
    <s v="017-2100-000"/>
    <s v="Food Sales"/>
    <n v="6103.6830000000009"/>
    <n v="0"/>
    <s v="Daily Sales Import"/>
    <n v="-6103.6830000000009"/>
    <n v="6103.6830000000009"/>
    <x v="1"/>
    <s v="2100"/>
    <s v="000"/>
    <x v="9"/>
    <x v="1"/>
  </r>
  <r>
    <d v="2012-07-29T00:00:00"/>
    <s v="017-2210-000"/>
    <s v="Liquor Sales"/>
    <n v="817.54200000000003"/>
    <n v="0"/>
    <s v="Daily Sales Import"/>
    <n v="-817.54200000000003"/>
    <n v="817.54200000000003"/>
    <x v="1"/>
    <s v="2210"/>
    <s v="000"/>
    <x v="9"/>
    <x v="1"/>
  </r>
  <r>
    <d v="2012-07-29T00:00:00"/>
    <s v="017-2220-000"/>
    <s v="Beer Sales"/>
    <n v="129.375"/>
    <n v="0"/>
    <s v="Daily Sales Import"/>
    <n v="-129.375"/>
    <n v="129.375"/>
    <x v="1"/>
    <s v="2220"/>
    <s v="000"/>
    <x v="9"/>
    <x v="1"/>
  </r>
  <r>
    <d v="2012-07-29T00:00:00"/>
    <s v="017-2230-000"/>
    <s v="Wine Sales"/>
    <n v="91.085999999999999"/>
    <n v="0"/>
    <s v="Daily Sales Import"/>
    <n v="-91.085999999999999"/>
    <n v="91.085999999999999"/>
    <x v="1"/>
    <s v="2230"/>
    <s v="000"/>
    <x v="9"/>
    <x v="1"/>
  </r>
  <r>
    <d v="2012-07-23T00:00:00"/>
    <s v="018-2100-000"/>
    <s v="Food Sales"/>
    <n v="4700.3149999999996"/>
    <n v="0"/>
    <s v="Daily Sales Import"/>
    <n v="-4700.3149999999996"/>
    <n v="4700.3149999999996"/>
    <x v="2"/>
    <s v="2100"/>
    <s v="000"/>
    <x v="9"/>
    <x v="1"/>
  </r>
  <r>
    <d v="2012-07-23T00:00:00"/>
    <s v="018-2210-000"/>
    <s v="Liquor Sales"/>
    <n v="809.48099999999988"/>
    <n v="0"/>
    <s v="Daily Sales Import"/>
    <n v="-809.48099999999988"/>
    <n v="809.48099999999988"/>
    <x v="2"/>
    <s v="2210"/>
    <s v="000"/>
    <x v="9"/>
    <x v="1"/>
  </r>
  <r>
    <d v="2012-07-23T00:00:00"/>
    <s v="018-2220-000"/>
    <s v="Beer Sales"/>
    <n v="263.50399999999996"/>
    <n v="0"/>
    <s v="Daily Sales Import"/>
    <n v="-263.50399999999996"/>
    <n v="263.50399999999996"/>
    <x v="2"/>
    <s v="2220"/>
    <s v="000"/>
    <x v="9"/>
    <x v="1"/>
  </r>
  <r>
    <d v="2012-07-23T00:00:00"/>
    <s v="018-2230-000"/>
    <s v="Wine Sales"/>
    <n v="42.77"/>
    <n v="0"/>
    <s v="Daily Sales Import"/>
    <n v="-42.77"/>
    <n v="42.77"/>
    <x v="2"/>
    <s v="2230"/>
    <s v="000"/>
    <x v="9"/>
    <x v="1"/>
  </r>
  <r>
    <d v="2012-07-24T00:00:00"/>
    <s v="018-2100-000"/>
    <s v="Food Sales"/>
    <n v="5357.1419999999998"/>
    <n v="0"/>
    <s v="Daily Sales Import"/>
    <n v="-5357.1419999999998"/>
    <n v="5357.1419999999998"/>
    <x v="2"/>
    <s v="2100"/>
    <s v="000"/>
    <x v="9"/>
    <x v="1"/>
  </r>
  <r>
    <d v="2012-07-24T00:00:00"/>
    <s v="018-2210-000"/>
    <s v="Liquor Sales"/>
    <n v="503.65199999999999"/>
    <n v="0"/>
    <s v="Daily Sales Import"/>
    <n v="-503.65199999999999"/>
    <n v="503.65199999999999"/>
    <x v="2"/>
    <s v="2210"/>
    <s v="000"/>
    <x v="9"/>
    <x v="1"/>
  </r>
  <r>
    <d v="2012-07-24T00:00:00"/>
    <s v="018-2220-000"/>
    <s v="Beer Sales"/>
    <n v="173.21249999999998"/>
    <n v="0"/>
    <s v="Daily Sales Import"/>
    <n v="-173.21249999999998"/>
    <n v="173.21249999999998"/>
    <x v="2"/>
    <s v="2220"/>
    <s v="000"/>
    <x v="9"/>
    <x v="1"/>
  </r>
  <r>
    <d v="2012-07-24T00:00:00"/>
    <s v="018-2230-000"/>
    <s v="Wine Sales"/>
    <n v="76.760000000000005"/>
    <n v="0"/>
    <s v="Daily Sales Import"/>
    <n v="-76.760000000000005"/>
    <n v="76.760000000000005"/>
    <x v="2"/>
    <s v="2230"/>
    <s v="000"/>
    <x v="9"/>
    <x v="1"/>
  </r>
  <r>
    <d v="2012-07-25T00:00:00"/>
    <s v="018-2100-000"/>
    <s v="Food Sales"/>
    <n v="5319.0619999999999"/>
    <n v="0"/>
    <s v="Daily Sales Import"/>
    <n v="-5319.0619999999999"/>
    <n v="5319.0619999999999"/>
    <x v="2"/>
    <s v="2100"/>
    <s v="000"/>
    <x v="9"/>
    <x v="1"/>
  </r>
  <r>
    <d v="2012-07-25T00:00:00"/>
    <s v="018-2210-000"/>
    <s v="Liquor Sales"/>
    <n v="1061.0720000000001"/>
    <n v="0"/>
    <s v="Daily Sales Import"/>
    <n v="-1061.0720000000001"/>
    <n v="1061.0720000000001"/>
    <x v="2"/>
    <s v="2210"/>
    <s v="000"/>
    <x v="9"/>
    <x v="1"/>
  </r>
  <r>
    <d v="2012-07-25T00:00:00"/>
    <s v="018-2220-000"/>
    <s v="Beer Sales"/>
    <n v="140.89600000000002"/>
    <n v="0"/>
    <s v="Daily Sales Import"/>
    <n v="-140.89600000000002"/>
    <n v="140.89600000000002"/>
    <x v="2"/>
    <s v="2220"/>
    <s v="000"/>
    <x v="9"/>
    <x v="1"/>
  </r>
  <r>
    <d v="2012-07-25T00:00:00"/>
    <s v="018-2230-000"/>
    <s v="Wine Sales"/>
    <n v="29.23"/>
    <n v="0"/>
    <s v="Daily Sales Import"/>
    <n v="-29.23"/>
    <n v="29.23"/>
    <x v="2"/>
    <s v="2230"/>
    <s v="000"/>
    <x v="9"/>
    <x v="1"/>
  </r>
  <r>
    <d v="2012-07-26T00:00:00"/>
    <s v="018-2100-000"/>
    <s v="Food Sales"/>
    <n v="3843.5650000000005"/>
    <n v="0"/>
    <s v="Daily Sales Import"/>
    <n v="-3843.5650000000005"/>
    <n v="3843.5650000000005"/>
    <x v="2"/>
    <s v="2100"/>
    <s v="000"/>
    <x v="9"/>
    <x v="1"/>
  </r>
  <r>
    <d v="2012-07-26T00:00:00"/>
    <s v="018-2210-000"/>
    <s v="Liquor Sales"/>
    <n v="1619.8105"/>
    <n v="0"/>
    <s v="Daily Sales Import"/>
    <n v="-1619.8105"/>
    <n v="1619.8105"/>
    <x v="2"/>
    <s v="2210"/>
    <s v="000"/>
    <x v="9"/>
    <x v="1"/>
  </r>
  <r>
    <d v="2012-07-26T00:00:00"/>
    <s v="018-2220-000"/>
    <s v="Beer Sales"/>
    <n v="448.30650000000003"/>
    <n v="0"/>
    <s v="Daily Sales Import"/>
    <n v="-448.30650000000003"/>
    <n v="448.30650000000003"/>
    <x v="2"/>
    <s v="2220"/>
    <s v="000"/>
    <x v="9"/>
    <x v="1"/>
  </r>
  <r>
    <d v="2012-07-26T00:00:00"/>
    <s v="018-2230-000"/>
    <s v="Wine Sales"/>
    <n v="38.625500000000002"/>
    <n v="0"/>
    <s v="Daily Sales Import"/>
    <n v="-38.625500000000002"/>
    <n v="38.625500000000002"/>
    <x v="2"/>
    <s v="2230"/>
    <s v="000"/>
    <x v="9"/>
    <x v="1"/>
  </r>
  <r>
    <d v="2012-07-27T00:00:00"/>
    <s v="018-2100-000"/>
    <s v="Food Sales"/>
    <n v="10551.325199999999"/>
    <n v="0"/>
    <s v="Daily Sales Import"/>
    <n v="-10551.325199999999"/>
    <n v="10551.325199999999"/>
    <x v="2"/>
    <s v="2100"/>
    <s v="000"/>
    <x v="9"/>
    <x v="1"/>
  </r>
  <r>
    <d v="2012-07-27T00:00:00"/>
    <s v="018-2210-000"/>
    <s v="Liquor Sales"/>
    <n v="1807.5215000000001"/>
    <n v="0"/>
    <s v="Daily Sales Import"/>
    <n v="-1807.5215000000001"/>
    <n v="1807.5215000000001"/>
    <x v="2"/>
    <s v="2210"/>
    <s v="000"/>
    <x v="9"/>
    <x v="1"/>
  </r>
  <r>
    <d v="2012-07-27T00:00:00"/>
    <s v="018-2220-000"/>
    <s v="Beer Sales"/>
    <n v="821.04"/>
    <n v="0"/>
    <s v="Daily Sales Import"/>
    <n v="-821.04"/>
    <n v="821.04"/>
    <x v="2"/>
    <s v="2220"/>
    <s v="000"/>
    <x v="9"/>
    <x v="1"/>
  </r>
  <r>
    <d v="2012-07-27T00:00:00"/>
    <s v="018-2230-000"/>
    <s v="Wine Sales"/>
    <n v="95.004000000000019"/>
    <n v="0"/>
    <s v="Daily Sales Import"/>
    <n v="-95.004000000000019"/>
    <n v="95.004000000000019"/>
    <x v="2"/>
    <s v="2230"/>
    <s v="000"/>
    <x v="9"/>
    <x v="1"/>
  </r>
  <r>
    <d v="2012-07-28T00:00:00"/>
    <s v="018-2100-000"/>
    <s v="Food Sales"/>
    <n v="13903.279999999999"/>
    <n v="0"/>
    <s v="Daily Sales Import"/>
    <n v="-13903.279999999999"/>
    <n v="13903.279999999999"/>
    <x v="2"/>
    <s v="2100"/>
    <s v="000"/>
    <x v="9"/>
    <x v="1"/>
  </r>
  <r>
    <d v="2012-07-28T00:00:00"/>
    <s v="018-2210-000"/>
    <s v="Liquor Sales"/>
    <n v="2685.8799999999997"/>
    <n v="0"/>
    <s v="Daily Sales Import"/>
    <n v="-2685.8799999999997"/>
    <n v="2685.8799999999997"/>
    <x v="2"/>
    <s v="2210"/>
    <s v="000"/>
    <x v="9"/>
    <x v="1"/>
  </r>
  <r>
    <d v="2012-07-28T00:00:00"/>
    <s v="018-2220-000"/>
    <s v="Beer Sales"/>
    <n v="385.315"/>
    <n v="0"/>
    <s v="Daily Sales Import"/>
    <n v="-385.315"/>
    <n v="385.315"/>
    <x v="2"/>
    <s v="2220"/>
    <s v="000"/>
    <x v="9"/>
    <x v="1"/>
  </r>
  <r>
    <d v="2012-07-28T00:00:00"/>
    <s v="018-2230-000"/>
    <s v="Wine Sales"/>
    <n v="75.890999999999991"/>
    <n v="0"/>
    <s v="Daily Sales Import"/>
    <n v="-75.890999999999991"/>
    <n v="75.890999999999991"/>
    <x v="2"/>
    <s v="2230"/>
    <s v="000"/>
    <x v="9"/>
    <x v="1"/>
  </r>
  <r>
    <d v="2012-07-29T00:00:00"/>
    <s v="018-2100-000"/>
    <s v="Food Sales"/>
    <n v="7422.8220000000001"/>
    <n v="0"/>
    <s v="Daily Sales Import"/>
    <n v="-7422.8220000000001"/>
    <n v="7422.8220000000001"/>
    <x v="2"/>
    <s v="2100"/>
    <s v="000"/>
    <x v="9"/>
    <x v="1"/>
  </r>
  <r>
    <d v="2012-07-29T00:00:00"/>
    <s v="018-2210-000"/>
    <s v="Liquor Sales"/>
    <n v="1083.7450000000001"/>
    <n v="0"/>
    <s v="Daily Sales Import"/>
    <n v="-1083.7450000000001"/>
    <n v="1083.7450000000001"/>
    <x v="2"/>
    <s v="2210"/>
    <s v="000"/>
    <x v="9"/>
    <x v="1"/>
  </r>
  <r>
    <d v="2012-07-29T00:00:00"/>
    <s v="018-2220-000"/>
    <s v="Beer Sales"/>
    <n v="367.49700000000001"/>
    <n v="0"/>
    <s v="Daily Sales Import"/>
    <n v="-367.49700000000001"/>
    <n v="367.49700000000001"/>
    <x v="2"/>
    <s v="2220"/>
    <s v="000"/>
    <x v="9"/>
    <x v="1"/>
  </r>
  <r>
    <d v="2012-07-29T00:00:00"/>
    <s v="018-2230-000"/>
    <s v="Wine Sales"/>
    <n v="51.611000000000004"/>
    <n v="0"/>
    <s v="Daily Sales Import"/>
    <n v="-51.611000000000004"/>
    <n v="51.611000000000004"/>
    <x v="2"/>
    <s v="2230"/>
    <s v="000"/>
    <x v="9"/>
    <x v="1"/>
  </r>
  <r>
    <d v="2012-07-30T00:00:00"/>
    <s v="016-2100-000"/>
    <s v="Food Sales"/>
    <n v="3370.0211999999997"/>
    <n v="0"/>
    <s v="Daily Sales Import"/>
    <n v="-3370.0211999999997"/>
    <n v="3370.0211999999997"/>
    <x v="0"/>
    <s v="2100"/>
    <s v="000"/>
    <x v="9"/>
    <x v="1"/>
  </r>
  <r>
    <d v="2012-07-30T00:00:00"/>
    <s v="016-2210-000"/>
    <s v="Liquor Sales"/>
    <n v="553.11300000000006"/>
    <n v="0"/>
    <s v="Daily Sales Import"/>
    <n v="-553.11300000000006"/>
    <n v="553.11300000000006"/>
    <x v="0"/>
    <s v="2210"/>
    <s v="000"/>
    <x v="9"/>
    <x v="1"/>
  </r>
  <r>
    <d v="2012-07-30T00:00:00"/>
    <s v="016-2220-000"/>
    <s v="Beer Sales"/>
    <n v="175.98749999999998"/>
    <n v="0"/>
    <s v="Daily Sales Import"/>
    <n v="-175.98749999999998"/>
    <n v="175.98749999999998"/>
    <x v="0"/>
    <s v="2220"/>
    <s v="000"/>
    <x v="9"/>
    <x v="1"/>
  </r>
  <r>
    <d v="2012-07-30T00:00:00"/>
    <s v="016-2230-000"/>
    <s v="Wine Sales"/>
    <n v="140.55599999999998"/>
    <n v="0"/>
    <s v="Daily Sales Import"/>
    <n v="-140.55599999999998"/>
    <n v="140.55599999999998"/>
    <x v="0"/>
    <s v="2230"/>
    <s v="000"/>
    <x v="9"/>
    <x v="1"/>
  </r>
  <r>
    <d v="2012-07-31T00:00:00"/>
    <s v="016-2100-000"/>
    <s v="Food Sales"/>
    <n v="4577.4560000000001"/>
    <n v="0"/>
    <s v="Daily Sales Import"/>
    <n v="-4577.4560000000001"/>
    <n v="4577.4560000000001"/>
    <x v="0"/>
    <s v="2100"/>
    <s v="000"/>
    <x v="9"/>
    <x v="1"/>
  </r>
  <r>
    <d v="2012-07-31T00:00:00"/>
    <s v="016-2210-000"/>
    <s v="Liquor Sales"/>
    <n v="2534.6000000000004"/>
    <n v="0"/>
    <s v="Daily Sales Import"/>
    <n v="-2534.6000000000004"/>
    <n v="2534.6000000000004"/>
    <x v="0"/>
    <s v="2210"/>
    <s v="000"/>
    <x v="9"/>
    <x v="1"/>
  </r>
  <r>
    <d v="2012-07-31T00:00:00"/>
    <s v="016-2220-000"/>
    <s v="Beer Sales"/>
    <n v="494.17860000000007"/>
    <n v="0"/>
    <s v="Daily Sales Import"/>
    <n v="-494.17860000000007"/>
    <n v="494.17860000000007"/>
    <x v="0"/>
    <s v="2220"/>
    <s v="000"/>
    <x v="9"/>
    <x v="1"/>
  </r>
  <r>
    <d v="2012-07-31T00:00:00"/>
    <s v="016-2230-000"/>
    <s v="Wine Sales"/>
    <n v="142.10350000000003"/>
    <n v="0"/>
    <s v="Daily Sales Import"/>
    <n v="-142.10350000000003"/>
    <n v="142.10350000000003"/>
    <x v="0"/>
    <s v="2230"/>
    <s v="000"/>
    <x v="9"/>
    <x v="1"/>
  </r>
  <r>
    <d v="2012-08-01T00:00:00"/>
    <s v="016-2100-000"/>
    <s v="Food Sales"/>
    <n v="3260.9265000000005"/>
    <n v="0"/>
    <s v="Daily Sales Import"/>
    <n v="-3260.9265000000005"/>
    <n v="3260.9265000000005"/>
    <x v="0"/>
    <s v="2100"/>
    <s v="000"/>
    <x v="10"/>
    <x v="1"/>
  </r>
  <r>
    <d v="2012-08-01T00:00:00"/>
    <s v="016-2210-000"/>
    <s v="Liquor Sales"/>
    <n v="1054.0620000000001"/>
    <n v="0"/>
    <s v="Daily Sales Import"/>
    <n v="-1054.0620000000001"/>
    <n v="1054.0620000000001"/>
    <x v="0"/>
    <s v="2210"/>
    <s v="000"/>
    <x v="10"/>
    <x v="1"/>
  </r>
  <r>
    <d v="2012-08-01T00:00:00"/>
    <s v="016-2220-000"/>
    <s v="Beer Sales"/>
    <n v="174.804"/>
    <n v="0"/>
    <s v="Daily Sales Import"/>
    <n v="-174.804"/>
    <n v="174.804"/>
    <x v="0"/>
    <s v="2220"/>
    <s v="000"/>
    <x v="10"/>
    <x v="1"/>
  </r>
  <r>
    <d v="2012-08-01T00:00:00"/>
    <s v="016-2230-000"/>
    <s v="Wine Sales"/>
    <n v="79.264799999999994"/>
    <n v="0"/>
    <s v="Daily Sales Import"/>
    <n v="-79.264799999999994"/>
    <n v="79.264799999999994"/>
    <x v="0"/>
    <s v="2230"/>
    <s v="000"/>
    <x v="10"/>
    <x v="1"/>
  </r>
  <r>
    <d v="2012-08-02T00:00:00"/>
    <s v="016-2100-000"/>
    <s v="Food Sales"/>
    <n v="2467.413"/>
    <n v="0"/>
    <s v="Daily Sales Import"/>
    <n v="-2467.413"/>
    <n v="2467.413"/>
    <x v="0"/>
    <s v="2100"/>
    <s v="000"/>
    <x v="10"/>
    <x v="1"/>
  </r>
  <r>
    <d v="2012-08-02T00:00:00"/>
    <s v="016-2210-000"/>
    <s v="Liquor Sales"/>
    <n v="846.28449999999998"/>
    <n v="0"/>
    <s v="Daily Sales Import"/>
    <n v="-846.28449999999998"/>
    <n v="846.28449999999998"/>
    <x v="0"/>
    <s v="2210"/>
    <s v="000"/>
    <x v="10"/>
    <x v="1"/>
  </r>
  <r>
    <d v="2012-08-02T00:00:00"/>
    <s v="016-2220-000"/>
    <s v="Beer Sales"/>
    <n v="56.595000000000006"/>
    <n v="0"/>
    <s v="Daily Sales Import"/>
    <n v="-56.595000000000006"/>
    <n v="56.595000000000006"/>
    <x v="0"/>
    <s v="2220"/>
    <s v="000"/>
    <x v="10"/>
    <x v="1"/>
  </r>
  <r>
    <d v="2012-08-02T00:00:00"/>
    <s v="016-2230-000"/>
    <s v="Wine Sales"/>
    <n v="18.154499999999999"/>
    <n v="0"/>
    <s v="Daily Sales Import"/>
    <n v="-18.154499999999999"/>
    <n v="18.154499999999999"/>
    <x v="0"/>
    <s v="2230"/>
    <s v="000"/>
    <x v="10"/>
    <x v="1"/>
  </r>
  <r>
    <d v="2012-08-03T00:00:00"/>
    <s v="016-2100-000"/>
    <s v="Food Sales"/>
    <n v="5487.9632999999994"/>
    <n v="0"/>
    <s v="Daily Sales Import"/>
    <n v="-5487.9632999999994"/>
    <n v="5487.9632999999994"/>
    <x v="0"/>
    <s v="2100"/>
    <s v="000"/>
    <x v="10"/>
    <x v="1"/>
  </r>
  <r>
    <d v="2012-08-03T00:00:00"/>
    <s v="016-2210-000"/>
    <s v="Liquor Sales"/>
    <n v="1794.8519999999999"/>
    <n v="0"/>
    <s v="Daily Sales Import"/>
    <n v="-1794.8519999999999"/>
    <n v="1794.8519999999999"/>
    <x v="0"/>
    <s v="2210"/>
    <s v="000"/>
    <x v="10"/>
    <x v="1"/>
  </r>
  <r>
    <d v="2012-08-03T00:00:00"/>
    <s v="016-2220-000"/>
    <s v="Beer Sales"/>
    <n v="591.18150000000003"/>
    <n v="0"/>
    <s v="Daily Sales Import"/>
    <n v="-591.18150000000003"/>
    <n v="591.18150000000003"/>
    <x v="0"/>
    <s v="2220"/>
    <s v="000"/>
    <x v="10"/>
    <x v="1"/>
  </r>
  <r>
    <d v="2012-08-03T00:00:00"/>
    <s v="016-2230-000"/>
    <s v="Wine Sales"/>
    <n v="204.732"/>
    <n v="0"/>
    <s v="Daily Sales Import"/>
    <n v="-204.732"/>
    <n v="204.732"/>
    <x v="0"/>
    <s v="2230"/>
    <s v="000"/>
    <x v="10"/>
    <x v="1"/>
  </r>
  <r>
    <d v="2012-08-04T00:00:00"/>
    <s v="016-2100-000"/>
    <s v="Food Sales"/>
    <n v="6579.3500999999997"/>
    <n v="0"/>
    <s v="Daily Sales Import"/>
    <n v="-6579.3500999999997"/>
    <n v="6579.3500999999997"/>
    <x v="0"/>
    <s v="2100"/>
    <s v="000"/>
    <x v="10"/>
    <x v="1"/>
  </r>
  <r>
    <d v="2012-08-04T00:00:00"/>
    <s v="016-2210-000"/>
    <s v="Liquor Sales"/>
    <n v="1986.6869999999999"/>
    <n v="0"/>
    <s v="Daily Sales Import"/>
    <n v="-1986.6869999999999"/>
    <n v="1986.6869999999999"/>
    <x v="0"/>
    <s v="2210"/>
    <s v="000"/>
    <x v="10"/>
    <x v="1"/>
  </r>
  <r>
    <d v="2012-08-04T00:00:00"/>
    <s v="016-2220-000"/>
    <s v="Beer Sales"/>
    <n v="523.85969999999998"/>
    <n v="0"/>
    <s v="Daily Sales Import"/>
    <n v="-523.85969999999998"/>
    <n v="523.85969999999998"/>
    <x v="0"/>
    <s v="2220"/>
    <s v="000"/>
    <x v="10"/>
    <x v="1"/>
  </r>
  <r>
    <d v="2012-08-04T00:00:00"/>
    <s v="016-2230-000"/>
    <s v="Wine Sales"/>
    <n v="155.88199999999998"/>
    <n v="0"/>
    <s v="Daily Sales Import"/>
    <n v="-155.88199999999998"/>
    <n v="155.88199999999998"/>
    <x v="0"/>
    <s v="2230"/>
    <s v="000"/>
    <x v="10"/>
    <x v="1"/>
  </r>
  <r>
    <d v="2012-08-05T00:00:00"/>
    <s v="016-2100-000"/>
    <s v="Food Sales"/>
    <n v="4223.9356000000007"/>
    <n v="0"/>
    <s v="Daily Sales Import"/>
    <n v="-4223.9356000000007"/>
    <n v="4223.9356000000007"/>
    <x v="0"/>
    <s v="2100"/>
    <s v="000"/>
    <x v="10"/>
    <x v="1"/>
  </r>
  <r>
    <d v="2012-08-05T00:00:00"/>
    <s v="016-2210-000"/>
    <s v="Liquor Sales"/>
    <n v="1324.0559999999998"/>
    <n v="0"/>
    <s v="Daily Sales Import"/>
    <n v="-1324.0559999999998"/>
    <n v="1324.0559999999998"/>
    <x v="0"/>
    <s v="2210"/>
    <s v="000"/>
    <x v="10"/>
    <x v="1"/>
  </r>
  <r>
    <d v="2012-08-05T00:00:00"/>
    <s v="016-2220-000"/>
    <s v="Beer Sales"/>
    <n v="153.21600000000004"/>
    <n v="0"/>
    <s v="Daily Sales Import"/>
    <n v="-153.21600000000004"/>
    <n v="153.21600000000004"/>
    <x v="0"/>
    <s v="2220"/>
    <s v="000"/>
    <x v="10"/>
    <x v="1"/>
  </r>
  <r>
    <d v="2012-08-05T00:00:00"/>
    <s v="016-2230-000"/>
    <s v="Wine Sales"/>
    <n v="23.997999999999998"/>
    <n v="0"/>
    <s v="Daily Sales Import"/>
    <n v="-23.997999999999998"/>
    <n v="23.997999999999998"/>
    <x v="0"/>
    <s v="2230"/>
    <s v="000"/>
    <x v="10"/>
    <x v="1"/>
  </r>
  <r>
    <d v="2012-07-30T00:00:00"/>
    <s v="017-2100-000"/>
    <s v="Food Sales"/>
    <n v="3639.5226000000002"/>
    <n v="0"/>
    <s v="Daily Sales Import"/>
    <n v="-3639.5226000000002"/>
    <n v="3639.5226000000002"/>
    <x v="1"/>
    <s v="2100"/>
    <s v="000"/>
    <x v="9"/>
    <x v="1"/>
  </r>
  <r>
    <d v="2012-07-30T00:00:00"/>
    <s v="017-2210-000"/>
    <s v="Liquor Sales"/>
    <n v="905.25000000000011"/>
    <n v="0"/>
    <s v="Daily Sales Import"/>
    <n v="-905.25000000000011"/>
    <n v="905.25000000000011"/>
    <x v="1"/>
    <s v="2210"/>
    <s v="000"/>
    <x v="9"/>
    <x v="1"/>
  </r>
  <r>
    <d v="2012-07-30T00:00:00"/>
    <s v="017-2220-000"/>
    <s v="Beer Sales"/>
    <n v="227.01"/>
    <n v="0"/>
    <s v="Daily Sales Import"/>
    <n v="-227.01"/>
    <n v="227.01"/>
    <x v="1"/>
    <s v="2220"/>
    <s v="000"/>
    <x v="9"/>
    <x v="1"/>
  </r>
  <r>
    <d v="2012-07-30T00:00:00"/>
    <s v="017-2230-000"/>
    <s v="Wine Sales"/>
    <n v="58.025999999999996"/>
    <n v="0"/>
    <s v="Daily Sales Import"/>
    <n v="-58.025999999999996"/>
    <n v="58.025999999999996"/>
    <x v="1"/>
    <s v="2230"/>
    <s v="000"/>
    <x v="9"/>
    <x v="1"/>
  </r>
  <r>
    <d v="2012-07-31T00:00:00"/>
    <s v="017-2100-000"/>
    <s v="Food Sales"/>
    <n v="5580.4800999999998"/>
    <n v="0"/>
    <s v="Daily Sales Import"/>
    <n v="-5580.4800999999998"/>
    <n v="5580.4800999999998"/>
    <x v="1"/>
    <s v="2100"/>
    <s v="000"/>
    <x v="9"/>
    <x v="1"/>
  </r>
  <r>
    <d v="2012-07-31T00:00:00"/>
    <s v="017-2210-000"/>
    <s v="Liquor Sales"/>
    <n v="1145.1445000000001"/>
    <n v="0"/>
    <s v="Daily Sales Import"/>
    <n v="-1145.1445000000001"/>
    <n v="1145.1445000000001"/>
    <x v="1"/>
    <s v="2210"/>
    <s v="000"/>
    <x v="9"/>
    <x v="1"/>
  </r>
  <r>
    <d v="2012-07-31T00:00:00"/>
    <s v="017-2220-000"/>
    <s v="Beer Sales"/>
    <n v="223.3"/>
    <n v="0"/>
    <s v="Daily Sales Import"/>
    <n v="-223.3"/>
    <n v="223.3"/>
    <x v="1"/>
    <s v="2220"/>
    <s v="000"/>
    <x v="9"/>
    <x v="1"/>
  </r>
  <r>
    <d v="2012-07-31T00:00:00"/>
    <s v="017-2230-000"/>
    <s v="Wine Sales"/>
    <n v="72.189000000000007"/>
    <n v="0"/>
    <s v="Daily Sales Import"/>
    <n v="-72.189000000000007"/>
    <n v="72.189000000000007"/>
    <x v="1"/>
    <s v="2230"/>
    <s v="000"/>
    <x v="9"/>
    <x v="1"/>
  </r>
  <r>
    <d v="2012-08-01T00:00:00"/>
    <s v="017-2100-000"/>
    <s v="Food Sales"/>
    <n v="7644.2168000000001"/>
    <n v="0"/>
    <s v="Daily Sales Import"/>
    <n v="-7644.2168000000001"/>
    <n v="7644.2168000000001"/>
    <x v="1"/>
    <s v="2100"/>
    <s v="000"/>
    <x v="10"/>
    <x v="1"/>
  </r>
  <r>
    <d v="2012-08-01T00:00:00"/>
    <s v="017-2210-000"/>
    <s v="Liquor Sales"/>
    <n v="1782.9519999999998"/>
    <n v="0"/>
    <s v="Daily Sales Import"/>
    <n v="-1782.9519999999998"/>
    <n v="1782.9519999999998"/>
    <x v="1"/>
    <s v="2210"/>
    <s v="000"/>
    <x v="10"/>
    <x v="1"/>
  </r>
  <r>
    <d v="2012-08-01T00:00:00"/>
    <s v="017-2220-000"/>
    <s v="Beer Sales"/>
    <n v="581.59"/>
    <n v="0"/>
    <s v="Daily Sales Import"/>
    <n v="-581.59"/>
    <n v="581.59"/>
    <x v="1"/>
    <s v="2220"/>
    <s v="000"/>
    <x v="10"/>
    <x v="1"/>
  </r>
  <r>
    <d v="2012-08-01T00:00:00"/>
    <s v="017-2230-000"/>
    <s v="Wine Sales"/>
    <n v="79.952999999999989"/>
    <n v="0"/>
    <s v="Daily Sales Import"/>
    <n v="-79.952999999999989"/>
    <n v="79.952999999999989"/>
    <x v="1"/>
    <s v="2230"/>
    <s v="000"/>
    <x v="10"/>
    <x v="1"/>
  </r>
  <r>
    <d v="2012-08-02T00:00:00"/>
    <s v="017-2100-000"/>
    <s v="Food Sales"/>
    <n v="5065.7046"/>
    <n v="0"/>
    <s v="Daily Sales Import"/>
    <n v="-5065.7046"/>
    <n v="5065.7046"/>
    <x v="1"/>
    <s v="2100"/>
    <s v="000"/>
    <x v="10"/>
    <x v="1"/>
  </r>
  <r>
    <d v="2012-08-02T00:00:00"/>
    <s v="017-2210-000"/>
    <s v="Liquor Sales"/>
    <n v="1590.4449999999999"/>
    <n v="0"/>
    <s v="Daily Sales Import"/>
    <n v="-1590.4449999999999"/>
    <n v="1590.4449999999999"/>
    <x v="1"/>
    <s v="2210"/>
    <s v="000"/>
    <x v="10"/>
    <x v="1"/>
  </r>
  <r>
    <d v="2012-08-02T00:00:00"/>
    <s v="017-2220-000"/>
    <s v="Beer Sales"/>
    <n v="399.73500000000001"/>
    <n v="0"/>
    <s v="Daily Sales Import"/>
    <n v="-399.73500000000001"/>
    <n v="399.73500000000001"/>
    <x v="1"/>
    <s v="2220"/>
    <s v="000"/>
    <x v="10"/>
    <x v="1"/>
  </r>
  <r>
    <d v="2012-08-02T00:00:00"/>
    <s v="017-2230-000"/>
    <s v="Wine Sales"/>
    <n v="189.99900000000002"/>
    <n v="0"/>
    <s v="Daily Sales Import"/>
    <n v="-189.99900000000002"/>
    <n v="189.99900000000002"/>
    <x v="1"/>
    <s v="2230"/>
    <s v="000"/>
    <x v="10"/>
    <x v="1"/>
  </r>
  <r>
    <d v="2012-08-03T00:00:00"/>
    <s v="017-2100-000"/>
    <s v="Food Sales"/>
    <n v="5978.442"/>
    <n v="0"/>
    <s v="Daily Sales Import"/>
    <n v="-5978.442"/>
    <n v="5978.442"/>
    <x v="1"/>
    <s v="2100"/>
    <s v="000"/>
    <x v="10"/>
    <x v="1"/>
  </r>
  <r>
    <d v="2012-08-03T00:00:00"/>
    <s v="017-2210-000"/>
    <s v="Liquor Sales"/>
    <n v="2803.7745"/>
    <n v="0"/>
    <s v="Daily Sales Import"/>
    <n v="-2803.7745"/>
    <n v="2803.7745"/>
    <x v="1"/>
    <s v="2210"/>
    <s v="000"/>
    <x v="10"/>
    <x v="1"/>
  </r>
  <r>
    <d v="2012-08-03T00:00:00"/>
    <s v="017-2220-000"/>
    <s v="Beer Sales"/>
    <n v="275.5"/>
    <n v="0"/>
    <s v="Daily Sales Import"/>
    <n v="-275.5"/>
    <n v="275.5"/>
    <x v="1"/>
    <s v="2220"/>
    <s v="000"/>
    <x v="10"/>
    <x v="1"/>
  </r>
  <r>
    <d v="2012-08-03T00:00:00"/>
    <s v="017-2230-000"/>
    <s v="Wine Sales"/>
    <n v="135.93799999999999"/>
    <n v="0"/>
    <s v="Daily Sales Import"/>
    <n v="-135.93799999999999"/>
    <n v="135.93799999999999"/>
    <x v="1"/>
    <s v="2230"/>
    <s v="000"/>
    <x v="10"/>
    <x v="1"/>
  </r>
  <r>
    <d v="2012-08-04T00:00:00"/>
    <s v="017-2100-000"/>
    <s v="Food Sales"/>
    <n v="6283.9348999999993"/>
    <n v="0"/>
    <s v="Daily Sales Import"/>
    <n v="-6283.9348999999993"/>
    <n v="6283.9348999999993"/>
    <x v="1"/>
    <s v="2100"/>
    <s v="000"/>
    <x v="10"/>
    <x v="1"/>
  </r>
  <r>
    <d v="2012-08-04T00:00:00"/>
    <s v="017-2210-000"/>
    <s v="Liquor Sales"/>
    <n v="1355.3095000000001"/>
    <n v="0"/>
    <s v="Daily Sales Import"/>
    <n v="-1355.3095000000001"/>
    <n v="1355.3095000000001"/>
    <x v="1"/>
    <s v="2210"/>
    <s v="000"/>
    <x v="10"/>
    <x v="1"/>
  </r>
  <r>
    <d v="2012-08-04T00:00:00"/>
    <s v="017-2220-000"/>
    <s v="Beer Sales"/>
    <n v="391.565"/>
    <n v="0"/>
    <s v="Daily Sales Import"/>
    <n v="-391.565"/>
    <n v="391.565"/>
    <x v="1"/>
    <s v="2220"/>
    <s v="000"/>
    <x v="10"/>
    <x v="1"/>
  </r>
  <r>
    <d v="2012-08-04T00:00:00"/>
    <s v="017-2230-000"/>
    <s v="Wine Sales"/>
    <n v="63.755999999999993"/>
    <n v="0"/>
    <s v="Daily Sales Import"/>
    <n v="-63.755999999999993"/>
    <n v="63.755999999999993"/>
    <x v="1"/>
    <s v="2230"/>
    <s v="000"/>
    <x v="10"/>
    <x v="1"/>
  </r>
  <r>
    <d v="2012-08-05T00:00:00"/>
    <s v="017-2100-000"/>
    <s v="Food Sales"/>
    <n v="3570.6440000000002"/>
    <n v="0"/>
    <s v="Daily Sales Import"/>
    <n v="-3570.6440000000002"/>
    <n v="3570.6440000000002"/>
    <x v="1"/>
    <s v="2100"/>
    <s v="000"/>
    <x v="10"/>
    <x v="1"/>
  </r>
  <r>
    <d v="2012-08-05T00:00:00"/>
    <s v="017-2210-000"/>
    <s v="Liquor Sales"/>
    <n v="762.32299999999987"/>
    <n v="0"/>
    <s v="Daily Sales Import"/>
    <n v="-762.32299999999987"/>
    <n v="762.32299999999987"/>
    <x v="1"/>
    <s v="2210"/>
    <s v="000"/>
    <x v="10"/>
    <x v="1"/>
  </r>
  <r>
    <d v="2012-08-05T00:00:00"/>
    <s v="017-2220-000"/>
    <s v="Beer Sales"/>
    <n v="239.70000000000002"/>
    <n v="0"/>
    <s v="Daily Sales Import"/>
    <n v="-239.70000000000002"/>
    <n v="239.70000000000002"/>
    <x v="1"/>
    <s v="2220"/>
    <s v="000"/>
    <x v="10"/>
    <x v="1"/>
  </r>
  <r>
    <d v="2012-08-05T00:00:00"/>
    <s v="017-2230-000"/>
    <s v="Wine Sales"/>
    <n v="50.75"/>
    <n v="0"/>
    <s v="Daily Sales Import"/>
    <n v="-50.75"/>
    <n v="50.75"/>
    <x v="1"/>
    <s v="2230"/>
    <s v="000"/>
    <x v="10"/>
    <x v="1"/>
  </r>
  <r>
    <d v="2012-07-30T00:00:00"/>
    <s v="018-2100-000"/>
    <s v="Food Sales"/>
    <n v="3520.4560000000001"/>
    <n v="0"/>
    <s v="Daily Sales Import"/>
    <n v="-3520.4560000000001"/>
    <n v="3520.4560000000001"/>
    <x v="2"/>
    <s v="2100"/>
    <s v="000"/>
    <x v="9"/>
    <x v="1"/>
  </r>
  <r>
    <d v="2012-07-30T00:00:00"/>
    <s v="018-2210-000"/>
    <s v="Liquor Sales"/>
    <n v="574.82650000000001"/>
    <n v="0"/>
    <s v="Daily Sales Import"/>
    <n v="-574.82650000000001"/>
    <n v="574.82650000000001"/>
    <x v="2"/>
    <s v="2210"/>
    <s v="000"/>
    <x v="9"/>
    <x v="1"/>
  </r>
  <r>
    <d v="2012-07-30T00:00:00"/>
    <s v="018-2220-000"/>
    <s v="Beer Sales"/>
    <n v="174.62449999999998"/>
    <n v="0"/>
    <s v="Daily Sales Import"/>
    <n v="-174.62449999999998"/>
    <n v="174.62449999999998"/>
    <x v="2"/>
    <s v="2220"/>
    <s v="000"/>
    <x v="9"/>
    <x v="1"/>
  </r>
  <r>
    <d v="2012-07-30T00:00:00"/>
    <s v="018-2230-000"/>
    <s v="Wine Sales"/>
    <n v="47.400000000000006"/>
    <n v="0"/>
    <s v="Daily Sales Import"/>
    <n v="-47.400000000000006"/>
    <n v="47.400000000000006"/>
    <x v="2"/>
    <s v="2230"/>
    <s v="000"/>
    <x v="9"/>
    <x v="1"/>
  </r>
  <r>
    <d v="2012-07-31T00:00:00"/>
    <s v="018-2100-000"/>
    <s v="Food Sales"/>
    <n v="4105.4080000000004"/>
    <n v="0"/>
    <s v="Daily Sales Import"/>
    <n v="-4105.4080000000004"/>
    <n v="4105.4080000000004"/>
    <x v="2"/>
    <s v="2100"/>
    <s v="000"/>
    <x v="9"/>
    <x v="1"/>
  </r>
  <r>
    <d v="2012-07-31T00:00:00"/>
    <s v="018-2210-000"/>
    <s v="Liquor Sales"/>
    <n v="1320.8010000000002"/>
    <n v="0"/>
    <s v="Daily Sales Import"/>
    <n v="-1320.8010000000002"/>
    <n v="1320.8010000000002"/>
    <x v="2"/>
    <s v="2210"/>
    <s v="000"/>
    <x v="9"/>
    <x v="1"/>
  </r>
  <r>
    <d v="2012-07-31T00:00:00"/>
    <s v="018-2220-000"/>
    <s v="Beer Sales"/>
    <n v="189.92600000000002"/>
    <n v="0"/>
    <s v="Daily Sales Import"/>
    <n v="-189.92600000000002"/>
    <n v="189.92600000000002"/>
    <x v="2"/>
    <s v="2220"/>
    <s v="000"/>
    <x v="9"/>
    <x v="1"/>
  </r>
  <r>
    <d v="2012-07-31T00:00:00"/>
    <s v="018-2230-000"/>
    <s v="Wine Sales"/>
    <n v="28.924000000000003"/>
    <n v="0"/>
    <s v="Daily Sales Import"/>
    <n v="-28.924000000000003"/>
    <n v="28.924000000000003"/>
    <x v="2"/>
    <s v="2230"/>
    <s v="000"/>
    <x v="9"/>
    <x v="1"/>
  </r>
  <r>
    <d v="2012-08-01T00:00:00"/>
    <s v="018-2100-000"/>
    <s v="Food Sales"/>
    <n v="5899.8938000000007"/>
    <n v="0"/>
    <s v="Daily Sales Import"/>
    <n v="-5899.8938000000007"/>
    <n v="5899.8938000000007"/>
    <x v="2"/>
    <s v="2100"/>
    <s v="000"/>
    <x v="10"/>
    <x v="1"/>
  </r>
  <r>
    <d v="2012-08-01T00:00:00"/>
    <s v="018-2210-000"/>
    <s v="Liquor Sales"/>
    <n v="633.42500000000007"/>
    <n v="0"/>
    <s v="Daily Sales Import"/>
    <n v="-633.42500000000007"/>
    <n v="633.42500000000007"/>
    <x v="2"/>
    <s v="2210"/>
    <s v="000"/>
    <x v="10"/>
    <x v="1"/>
  </r>
  <r>
    <d v="2012-08-01T00:00:00"/>
    <s v="018-2220-000"/>
    <s v="Beer Sales"/>
    <n v="222.71200000000002"/>
    <n v="0"/>
    <s v="Daily Sales Import"/>
    <n v="-222.71200000000002"/>
    <n v="222.71200000000002"/>
    <x v="2"/>
    <s v="2220"/>
    <s v="000"/>
    <x v="10"/>
    <x v="1"/>
  </r>
  <r>
    <d v="2012-08-01T00:00:00"/>
    <s v="018-2230-000"/>
    <s v="Wine Sales"/>
    <n v="41.754999999999995"/>
    <n v="0"/>
    <s v="Daily Sales Import"/>
    <n v="-41.754999999999995"/>
    <n v="41.754999999999995"/>
    <x v="2"/>
    <s v="2230"/>
    <s v="000"/>
    <x v="10"/>
    <x v="1"/>
  </r>
  <r>
    <d v="2012-08-02T00:00:00"/>
    <s v="018-2100-000"/>
    <s v="Food Sales"/>
    <n v="5428.6100000000006"/>
    <n v="0"/>
    <s v="Daily Sales Import"/>
    <n v="-5428.6100000000006"/>
    <n v="5428.6100000000006"/>
    <x v="2"/>
    <s v="2100"/>
    <s v="000"/>
    <x v="10"/>
    <x v="1"/>
  </r>
  <r>
    <d v="2012-08-02T00:00:00"/>
    <s v="018-2210-000"/>
    <s v="Liquor Sales"/>
    <n v="831.65600000000006"/>
    <n v="0"/>
    <s v="Daily Sales Import"/>
    <n v="-831.65600000000006"/>
    <n v="831.65600000000006"/>
    <x v="2"/>
    <s v="2210"/>
    <s v="000"/>
    <x v="10"/>
    <x v="1"/>
  </r>
  <r>
    <d v="2012-08-02T00:00:00"/>
    <s v="018-2220-000"/>
    <s v="Beer Sales"/>
    <n v="331.12799999999999"/>
    <n v="0"/>
    <s v="Daily Sales Import"/>
    <n v="-331.12799999999999"/>
    <n v="331.12799999999999"/>
    <x v="2"/>
    <s v="2220"/>
    <s v="000"/>
    <x v="10"/>
    <x v="1"/>
  </r>
  <r>
    <d v="2012-08-02T00:00:00"/>
    <s v="018-2230-000"/>
    <s v="Wine Sales"/>
    <n v="11.4245"/>
    <n v="0"/>
    <s v="Daily Sales Import"/>
    <n v="-11.4245"/>
    <n v="11.4245"/>
    <x v="2"/>
    <s v="2230"/>
    <s v="000"/>
    <x v="10"/>
    <x v="1"/>
  </r>
  <r>
    <d v="2012-08-03T00:00:00"/>
    <s v="018-2100-000"/>
    <s v="Food Sales"/>
    <n v="12184.0695"/>
    <n v="0"/>
    <s v="Daily Sales Import"/>
    <n v="-12184.0695"/>
    <n v="12184.0695"/>
    <x v="2"/>
    <s v="2100"/>
    <s v="000"/>
    <x v="10"/>
    <x v="1"/>
  </r>
  <r>
    <d v="2012-08-03T00:00:00"/>
    <s v="018-2210-000"/>
    <s v="Liquor Sales"/>
    <n v="2242.1439999999998"/>
    <n v="0"/>
    <s v="Daily Sales Import"/>
    <n v="-2242.1439999999998"/>
    <n v="2242.1439999999998"/>
    <x v="2"/>
    <s v="2210"/>
    <s v="000"/>
    <x v="10"/>
    <x v="1"/>
  </r>
  <r>
    <d v="2012-08-03T00:00:00"/>
    <s v="018-2220-000"/>
    <s v="Beer Sales"/>
    <n v="510.69599999999997"/>
    <n v="0"/>
    <s v="Daily Sales Import"/>
    <n v="-510.69599999999997"/>
    <n v="510.69599999999997"/>
    <x v="2"/>
    <s v="2220"/>
    <s v="000"/>
    <x v="10"/>
    <x v="1"/>
  </r>
  <r>
    <d v="2012-08-03T00:00:00"/>
    <s v="018-2230-000"/>
    <s v="Wine Sales"/>
    <n v="81.244"/>
    <n v="0"/>
    <s v="Daily Sales Import"/>
    <n v="-81.244"/>
    <n v="81.244"/>
    <x v="2"/>
    <s v="2230"/>
    <s v="000"/>
    <x v="10"/>
    <x v="1"/>
  </r>
  <r>
    <d v="2012-08-04T00:00:00"/>
    <s v="018-2100-000"/>
    <s v="Food Sales"/>
    <n v="10685.949500000001"/>
    <n v="0"/>
    <s v="Daily Sales Import"/>
    <n v="-10685.949500000001"/>
    <n v="10685.949500000001"/>
    <x v="2"/>
    <s v="2100"/>
    <s v="000"/>
    <x v="10"/>
    <x v="1"/>
  </r>
  <r>
    <d v="2012-08-04T00:00:00"/>
    <s v="018-2210-000"/>
    <s v="Liquor Sales"/>
    <n v="3475.9215000000004"/>
    <n v="0"/>
    <s v="Daily Sales Import"/>
    <n v="-3475.9215000000004"/>
    <n v="3475.9215000000004"/>
    <x v="2"/>
    <s v="2210"/>
    <s v="000"/>
    <x v="10"/>
    <x v="1"/>
  </r>
  <r>
    <d v="2012-08-04T00:00:00"/>
    <s v="018-2220-000"/>
    <s v="Beer Sales"/>
    <n v="825.55199999999991"/>
    <n v="0"/>
    <s v="Daily Sales Import"/>
    <n v="-825.55199999999991"/>
    <n v="825.55199999999991"/>
    <x v="2"/>
    <s v="2220"/>
    <s v="000"/>
    <x v="10"/>
    <x v="1"/>
  </r>
  <r>
    <d v="2012-08-04T00:00:00"/>
    <s v="018-2230-000"/>
    <s v="Wine Sales"/>
    <n v="88.44"/>
    <n v="0"/>
    <s v="Daily Sales Import"/>
    <n v="-88.44"/>
    <n v="88.44"/>
    <x v="2"/>
    <s v="2230"/>
    <s v="000"/>
    <x v="10"/>
    <x v="1"/>
  </r>
  <r>
    <d v="2012-08-05T00:00:00"/>
    <s v="018-2100-000"/>
    <s v="Food Sales"/>
    <n v="7021.3450000000003"/>
    <n v="0"/>
    <s v="Daily Sales Import"/>
    <n v="-7021.3450000000003"/>
    <n v="7021.3450000000003"/>
    <x v="2"/>
    <s v="2100"/>
    <s v="000"/>
    <x v="10"/>
    <x v="1"/>
  </r>
  <r>
    <d v="2012-08-05T00:00:00"/>
    <s v="018-2210-000"/>
    <s v="Liquor Sales"/>
    <n v="1395.6670000000001"/>
    <n v="0"/>
    <s v="Daily Sales Import"/>
    <n v="-1395.6670000000001"/>
    <n v="1395.6670000000001"/>
    <x v="2"/>
    <s v="2210"/>
    <s v="000"/>
    <x v="10"/>
    <x v="1"/>
  </r>
  <r>
    <d v="2012-08-05T00:00:00"/>
    <s v="018-2220-000"/>
    <s v="Beer Sales"/>
    <n v="315.68400000000003"/>
    <n v="0"/>
    <s v="Daily Sales Import"/>
    <n v="-315.68400000000003"/>
    <n v="315.68400000000003"/>
    <x v="2"/>
    <s v="2220"/>
    <s v="000"/>
    <x v="10"/>
    <x v="1"/>
  </r>
  <r>
    <d v="2012-08-05T00:00:00"/>
    <s v="018-2230-000"/>
    <s v="Wine Sales"/>
    <n v="44.075000000000003"/>
    <n v="0"/>
    <s v="Daily Sales Import"/>
    <n v="-44.075000000000003"/>
    <n v="44.075000000000003"/>
    <x v="2"/>
    <s v="2230"/>
    <s v="000"/>
    <x v="10"/>
    <x v="1"/>
  </r>
  <r>
    <d v="2012-08-06T00:00:00"/>
    <s v="016-2100-000"/>
    <s v="Food Sales"/>
    <n v="2851.8217"/>
    <n v="0"/>
    <s v="Daily Sales Import"/>
    <n v="-2851.8217"/>
    <n v="2851.8217"/>
    <x v="0"/>
    <s v="2100"/>
    <s v="000"/>
    <x v="10"/>
    <x v="1"/>
  </r>
  <r>
    <d v="2012-08-06T00:00:00"/>
    <s v="016-2210-000"/>
    <s v="Liquor Sales"/>
    <n v="661.47900000000004"/>
    <n v="0"/>
    <s v="Daily Sales Import"/>
    <n v="-661.47900000000004"/>
    <n v="661.47900000000004"/>
    <x v="0"/>
    <s v="2210"/>
    <s v="000"/>
    <x v="10"/>
    <x v="1"/>
  </r>
  <r>
    <d v="2012-08-06T00:00:00"/>
    <s v="016-2220-000"/>
    <s v="Beer Sales"/>
    <n v="61.236000000000004"/>
    <n v="0"/>
    <s v="Daily Sales Import"/>
    <n v="-61.236000000000004"/>
    <n v="61.236000000000004"/>
    <x v="0"/>
    <s v="2220"/>
    <s v="000"/>
    <x v="10"/>
    <x v="1"/>
  </r>
  <r>
    <d v="2012-08-06T00:00:00"/>
    <s v="016-2230-000"/>
    <s v="Wine Sales"/>
    <n v="42.808500000000002"/>
    <n v="0"/>
    <s v="Daily Sales Import"/>
    <n v="-42.808500000000002"/>
    <n v="42.808500000000002"/>
    <x v="0"/>
    <s v="2230"/>
    <s v="000"/>
    <x v="10"/>
    <x v="1"/>
  </r>
  <r>
    <d v="2012-08-07T00:00:00"/>
    <s v="016-2100-000"/>
    <s v="Food Sales"/>
    <n v="4157.9364999999998"/>
    <n v="0"/>
    <s v="Daily Sales Import"/>
    <n v="-4157.9364999999998"/>
    <n v="4157.9364999999998"/>
    <x v="0"/>
    <s v="2100"/>
    <s v="000"/>
    <x v="10"/>
    <x v="1"/>
  </r>
  <r>
    <d v="2012-08-07T00:00:00"/>
    <s v="016-2210-000"/>
    <s v="Liquor Sales"/>
    <n v="1852.48"/>
    <n v="0"/>
    <s v="Daily Sales Import"/>
    <n v="-1852.48"/>
    <n v="1852.48"/>
    <x v="0"/>
    <s v="2210"/>
    <s v="000"/>
    <x v="10"/>
    <x v="1"/>
  </r>
  <r>
    <d v="2012-08-07T00:00:00"/>
    <s v="016-2220-000"/>
    <s v="Beer Sales"/>
    <n v="618.51599999999996"/>
    <n v="0"/>
    <s v="Daily Sales Import"/>
    <n v="-618.51599999999996"/>
    <n v="618.51599999999996"/>
    <x v="0"/>
    <s v="2220"/>
    <s v="000"/>
    <x v="10"/>
    <x v="1"/>
  </r>
  <r>
    <d v="2012-08-07T00:00:00"/>
    <s v="016-2230-000"/>
    <s v="Wine Sales"/>
    <n v="119.59499999999998"/>
    <n v="0"/>
    <s v="Daily Sales Import"/>
    <n v="-119.59499999999998"/>
    <n v="119.59499999999998"/>
    <x v="0"/>
    <s v="2230"/>
    <s v="000"/>
    <x v="10"/>
    <x v="1"/>
  </r>
  <r>
    <d v="2012-08-08T00:00:00"/>
    <s v="016-2100-000"/>
    <s v="Food Sales"/>
    <n v="4385.7773999999999"/>
    <n v="0"/>
    <s v="Daily Sales Import"/>
    <n v="-4385.7773999999999"/>
    <n v="4385.7773999999999"/>
    <x v="0"/>
    <s v="2100"/>
    <s v="000"/>
    <x v="10"/>
    <x v="1"/>
  </r>
  <r>
    <d v="2012-08-08T00:00:00"/>
    <s v="016-2210-000"/>
    <s v="Liquor Sales"/>
    <n v="1256.4974999999999"/>
    <n v="0"/>
    <s v="Daily Sales Import"/>
    <n v="-1256.4974999999999"/>
    <n v="1256.4974999999999"/>
    <x v="0"/>
    <s v="2210"/>
    <s v="000"/>
    <x v="10"/>
    <x v="1"/>
  </r>
  <r>
    <d v="2012-08-08T00:00:00"/>
    <s v="016-2220-000"/>
    <s v="Beer Sales"/>
    <n v="206.33759999999998"/>
    <n v="0"/>
    <s v="Daily Sales Import"/>
    <n v="-206.33759999999998"/>
    <n v="206.33759999999998"/>
    <x v="0"/>
    <s v="2220"/>
    <s v="000"/>
    <x v="10"/>
    <x v="1"/>
  </r>
  <r>
    <d v="2012-08-08T00:00:00"/>
    <s v="016-2230-000"/>
    <s v="Wine Sales"/>
    <n v="122.11199999999999"/>
    <n v="0"/>
    <s v="Daily Sales Import"/>
    <n v="-122.11199999999999"/>
    <n v="122.11199999999999"/>
    <x v="0"/>
    <s v="2230"/>
    <s v="000"/>
    <x v="10"/>
    <x v="1"/>
  </r>
  <r>
    <d v="2012-08-09T00:00:00"/>
    <s v="016-2100-000"/>
    <s v="Food Sales"/>
    <n v="4156.7927999999993"/>
    <n v="0"/>
    <s v="Daily Sales Import"/>
    <n v="-4156.7927999999993"/>
    <n v="4156.7927999999993"/>
    <x v="0"/>
    <s v="2100"/>
    <s v="000"/>
    <x v="10"/>
    <x v="1"/>
  </r>
  <r>
    <d v="2012-08-09T00:00:00"/>
    <s v="016-2210-000"/>
    <s v="Liquor Sales"/>
    <n v="1011.7549999999999"/>
    <n v="0"/>
    <s v="Daily Sales Import"/>
    <n v="-1011.7549999999999"/>
    <n v="1011.7549999999999"/>
    <x v="0"/>
    <s v="2210"/>
    <s v="000"/>
    <x v="10"/>
    <x v="1"/>
  </r>
  <r>
    <d v="2012-08-09T00:00:00"/>
    <s v="016-2220-000"/>
    <s v="Beer Sales"/>
    <n v="157.74749999999997"/>
    <n v="0"/>
    <s v="Daily Sales Import"/>
    <n v="-157.74749999999997"/>
    <n v="157.74749999999997"/>
    <x v="0"/>
    <s v="2220"/>
    <s v="000"/>
    <x v="10"/>
    <x v="1"/>
  </r>
  <r>
    <d v="2012-08-09T00:00:00"/>
    <s v="016-2230-000"/>
    <s v="Wine Sales"/>
    <n v="22.33"/>
    <n v="0"/>
    <s v="Daily Sales Import"/>
    <n v="-22.33"/>
    <n v="22.33"/>
    <x v="0"/>
    <s v="2230"/>
    <s v="000"/>
    <x v="10"/>
    <x v="1"/>
  </r>
  <r>
    <d v="2012-08-10T00:00:00"/>
    <s v="016-2100-000"/>
    <s v="Food Sales"/>
    <n v="5086.4519999999993"/>
    <n v="0"/>
    <s v="Daily Sales Import"/>
    <n v="-5086.4519999999993"/>
    <n v="5086.4519999999993"/>
    <x v="0"/>
    <s v="2100"/>
    <s v="000"/>
    <x v="10"/>
    <x v="1"/>
  </r>
  <r>
    <d v="2012-08-10T00:00:00"/>
    <s v="016-2210-000"/>
    <s v="Liquor Sales"/>
    <n v="2502.11"/>
    <n v="0"/>
    <s v="Daily Sales Import"/>
    <n v="-2502.11"/>
    <n v="2502.11"/>
    <x v="0"/>
    <s v="2210"/>
    <s v="000"/>
    <x v="10"/>
    <x v="1"/>
  </r>
  <r>
    <d v="2012-08-10T00:00:00"/>
    <s v="016-2220-000"/>
    <s v="Beer Sales"/>
    <n v="307.69200000000001"/>
    <n v="0"/>
    <s v="Daily Sales Import"/>
    <n v="-307.69200000000001"/>
    <n v="307.69200000000001"/>
    <x v="0"/>
    <s v="2220"/>
    <s v="000"/>
    <x v="10"/>
    <x v="1"/>
  </r>
  <r>
    <d v="2012-08-10T00:00:00"/>
    <s v="016-2230-000"/>
    <s v="Wine Sales"/>
    <n v="181.46299999999999"/>
    <n v="0"/>
    <s v="Daily Sales Import"/>
    <n v="-181.46299999999999"/>
    <n v="181.46299999999999"/>
    <x v="0"/>
    <s v="2230"/>
    <s v="000"/>
    <x v="10"/>
    <x v="1"/>
  </r>
  <r>
    <d v="2012-08-11T00:00:00"/>
    <s v="016-2100-000"/>
    <s v="Food Sales"/>
    <n v="5095.3971000000001"/>
    <n v="0"/>
    <s v="Daily Sales Import"/>
    <n v="-5095.3971000000001"/>
    <n v="5095.3971000000001"/>
    <x v="0"/>
    <s v="2100"/>
    <s v="000"/>
    <x v="10"/>
    <x v="1"/>
  </r>
  <r>
    <d v="2012-08-11T00:00:00"/>
    <s v="016-2210-000"/>
    <s v="Liquor Sales"/>
    <n v="2618.4674"/>
    <n v="0"/>
    <s v="Daily Sales Import"/>
    <n v="-2618.4674"/>
    <n v="2618.4674"/>
    <x v="0"/>
    <s v="2210"/>
    <s v="000"/>
    <x v="10"/>
    <x v="1"/>
  </r>
  <r>
    <d v="2012-08-11T00:00:00"/>
    <s v="016-2220-000"/>
    <s v="Beer Sales"/>
    <n v="284.54400000000004"/>
    <n v="0"/>
    <s v="Daily Sales Import"/>
    <n v="-284.54400000000004"/>
    <n v="284.54400000000004"/>
    <x v="0"/>
    <s v="2220"/>
    <s v="000"/>
    <x v="10"/>
    <x v="1"/>
  </r>
  <r>
    <d v="2012-08-11T00:00:00"/>
    <s v="016-2230-000"/>
    <s v="Wine Sales"/>
    <n v="160.97899999999998"/>
    <n v="0"/>
    <s v="Daily Sales Import"/>
    <n v="-160.97899999999998"/>
    <n v="160.97899999999998"/>
    <x v="0"/>
    <s v="2230"/>
    <s v="000"/>
    <x v="10"/>
    <x v="1"/>
  </r>
  <r>
    <d v="2012-08-12T00:00:00"/>
    <s v="016-2100-000"/>
    <s v="Food Sales"/>
    <n v="2882.6134999999999"/>
    <n v="0"/>
    <s v="Daily Sales Import"/>
    <n v="-2882.6134999999999"/>
    <n v="2882.6134999999999"/>
    <x v="0"/>
    <s v="2100"/>
    <s v="000"/>
    <x v="10"/>
    <x v="1"/>
  </r>
  <r>
    <d v="2012-08-12T00:00:00"/>
    <s v="016-2210-000"/>
    <s v="Liquor Sales"/>
    <n v="453.58199999999999"/>
    <n v="0"/>
    <s v="Daily Sales Import"/>
    <n v="-453.58199999999999"/>
    <n v="453.58199999999999"/>
    <x v="0"/>
    <s v="2210"/>
    <s v="000"/>
    <x v="10"/>
    <x v="1"/>
  </r>
  <r>
    <d v="2012-08-12T00:00:00"/>
    <s v="016-2220-000"/>
    <s v="Beer Sales"/>
    <n v="95.50800000000001"/>
    <n v="0"/>
    <s v="Daily Sales Import"/>
    <n v="-95.50800000000001"/>
    <n v="95.50800000000001"/>
    <x v="0"/>
    <s v="2220"/>
    <s v="000"/>
    <x v="10"/>
    <x v="1"/>
  </r>
  <r>
    <d v="2012-08-12T00:00:00"/>
    <s v="016-2230-000"/>
    <s v="Wine Sales"/>
    <n v="41.800000000000004"/>
    <n v="0"/>
    <s v="Daily Sales Import"/>
    <n v="-41.800000000000004"/>
    <n v="41.800000000000004"/>
    <x v="0"/>
    <s v="2230"/>
    <s v="000"/>
    <x v="10"/>
    <x v="1"/>
  </r>
  <r>
    <d v="2012-08-06T00:00:00"/>
    <s v="017-2100-000"/>
    <s v="Food Sales"/>
    <n v="3574.1238000000003"/>
    <n v="0"/>
    <s v="Daily Sales Import"/>
    <n v="-3574.1238000000003"/>
    <n v="3574.1238000000003"/>
    <x v="1"/>
    <s v="2100"/>
    <s v="000"/>
    <x v="10"/>
    <x v="1"/>
  </r>
  <r>
    <d v="2012-08-06T00:00:00"/>
    <s v="017-2210-000"/>
    <s v="Liquor Sales"/>
    <n v="552.53800000000001"/>
    <n v="0"/>
    <s v="Daily Sales Import"/>
    <n v="-552.53800000000001"/>
    <n v="552.53800000000001"/>
    <x v="1"/>
    <s v="2210"/>
    <s v="000"/>
    <x v="10"/>
    <x v="1"/>
  </r>
  <r>
    <d v="2012-08-06T00:00:00"/>
    <s v="017-2220-000"/>
    <s v="Beer Sales"/>
    <n v="206.90999999999997"/>
    <n v="0"/>
    <s v="Daily Sales Import"/>
    <n v="-206.90999999999997"/>
    <n v="206.90999999999997"/>
    <x v="1"/>
    <s v="2220"/>
    <s v="000"/>
    <x v="10"/>
    <x v="1"/>
  </r>
  <r>
    <d v="2012-08-06T00:00:00"/>
    <s v="017-2230-000"/>
    <s v="Wine Sales"/>
    <n v="191.0085"/>
    <n v="0"/>
    <s v="Daily Sales Import"/>
    <n v="-191.0085"/>
    <n v="191.0085"/>
    <x v="1"/>
    <s v="2230"/>
    <s v="000"/>
    <x v="10"/>
    <x v="1"/>
  </r>
  <r>
    <d v="2012-08-07T00:00:00"/>
    <s v="017-2100-000"/>
    <s v="Food Sales"/>
    <n v="4924.6361999999999"/>
    <n v="0"/>
    <s v="Daily Sales Import"/>
    <n v="-4924.6361999999999"/>
    <n v="4924.6361999999999"/>
    <x v="1"/>
    <s v="2100"/>
    <s v="000"/>
    <x v="10"/>
    <x v="1"/>
  </r>
  <r>
    <d v="2012-08-07T00:00:00"/>
    <s v="017-2210-000"/>
    <s v="Liquor Sales"/>
    <n v="1574.415"/>
    <n v="0"/>
    <s v="Daily Sales Import"/>
    <n v="-1574.415"/>
    <n v="1574.415"/>
    <x v="1"/>
    <s v="2210"/>
    <s v="000"/>
    <x v="10"/>
    <x v="1"/>
  </r>
  <r>
    <d v="2012-08-07T00:00:00"/>
    <s v="017-2220-000"/>
    <s v="Beer Sales"/>
    <n v="312.46000000000004"/>
    <n v="0"/>
    <s v="Daily Sales Import"/>
    <n v="-312.46000000000004"/>
    <n v="312.46000000000004"/>
    <x v="1"/>
    <s v="2220"/>
    <s v="000"/>
    <x v="10"/>
    <x v="1"/>
  </r>
  <r>
    <d v="2012-08-07T00:00:00"/>
    <s v="017-2230-000"/>
    <s v="Wine Sales"/>
    <n v="97.209000000000003"/>
    <n v="0"/>
    <s v="Daily Sales Import"/>
    <n v="-97.209000000000003"/>
    <n v="97.209000000000003"/>
    <x v="1"/>
    <s v="2230"/>
    <s v="000"/>
    <x v="10"/>
    <x v="1"/>
  </r>
  <r>
    <d v="2012-08-08T00:00:00"/>
    <s v="017-2100-000"/>
    <s v="Food Sales"/>
    <n v="6326.5754999999999"/>
    <n v="0"/>
    <s v="Daily Sales Import"/>
    <n v="-6326.5754999999999"/>
    <n v="6326.5754999999999"/>
    <x v="1"/>
    <s v="2100"/>
    <s v="000"/>
    <x v="10"/>
    <x v="1"/>
  </r>
  <r>
    <d v="2012-08-08T00:00:00"/>
    <s v="017-2210-000"/>
    <s v="Liquor Sales"/>
    <n v="1862.4775"/>
    <n v="0"/>
    <s v="Daily Sales Import"/>
    <n v="-1862.4775"/>
    <n v="1862.4775"/>
    <x v="1"/>
    <s v="2210"/>
    <s v="000"/>
    <x v="10"/>
    <x v="1"/>
  </r>
  <r>
    <d v="2012-08-08T00:00:00"/>
    <s v="017-2220-000"/>
    <s v="Beer Sales"/>
    <n v="397.44"/>
    <n v="0"/>
    <s v="Daily Sales Import"/>
    <n v="-397.44"/>
    <n v="397.44"/>
    <x v="1"/>
    <s v="2220"/>
    <s v="000"/>
    <x v="10"/>
    <x v="1"/>
  </r>
  <r>
    <d v="2012-08-08T00:00:00"/>
    <s v="017-2230-000"/>
    <s v="Wine Sales"/>
    <n v="82.842500000000001"/>
    <n v="0"/>
    <s v="Daily Sales Import"/>
    <n v="-82.842500000000001"/>
    <n v="82.842500000000001"/>
    <x v="1"/>
    <s v="2230"/>
    <s v="000"/>
    <x v="10"/>
    <x v="1"/>
  </r>
  <r>
    <d v="2012-08-09T00:00:00"/>
    <s v="017-2100-000"/>
    <s v="Food Sales"/>
    <n v="5263.8651"/>
    <n v="0"/>
    <s v="Daily Sales Import"/>
    <n v="-5263.8651"/>
    <n v="5263.8651"/>
    <x v="1"/>
    <s v="2100"/>
    <s v="000"/>
    <x v="10"/>
    <x v="1"/>
  </r>
  <r>
    <d v="2012-08-09T00:00:00"/>
    <s v="017-2210-000"/>
    <s v="Liquor Sales"/>
    <n v="1403.3534999999999"/>
    <n v="0"/>
    <s v="Daily Sales Import"/>
    <n v="-1403.3534999999999"/>
    <n v="1403.3534999999999"/>
    <x v="1"/>
    <s v="2210"/>
    <s v="000"/>
    <x v="10"/>
    <x v="1"/>
  </r>
  <r>
    <d v="2012-08-09T00:00:00"/>
    <s v="017-2220-000"/>
    <s v="Beer Sales"/>
    <n v="474.59250000000003"/>
    <n v="0"/>
    <s v="Daily Sales Import"/>
    <n v="-474.59250000000003"/>
    <n v="474.59250000000003"/>
    <x v="1"/>
    <s v="2220"/>
    <s v="000"/>
    <x v="10"/>
    <x v="1"/>
  </r>
  <r>
    <d v="2012-08-09T00:00:00"/>
    <s v="017-2230-000"/>
    <s v="Wine Sales"/>
    <n v="69.055499999999995"/>
    <n v="0"/>
    <s v="Daily Sales Import"/>
    <n v="-69.055499999999995"/>
    <n v="69.055499999999995"/>
    <x v="1"/>
    <s v="2230"/>
    <s v="000"/>
    <x v="10"/>
    <x v="1"/>
  </r>
  <r>
    <d v="2012-08-10T00:00:00"/>
    <s v="017-2100-000"/>
    <s v="Food Sales"/>
    <n v="7057.7474000000002"/>
    <n v="0"/>
    <s v="Daily Sales Import"/>
    <n v="-7057.7474000000002"/>
    <n v="7057.7474000000002"/>
    <x v="1"/>
    <s v="2100"/>
    <s v="000"/>
    <x v="10"/>
    <x v="1"/>
  </r>
  <r>
    <d v="2012-08-10T00:00:00"/>
    <s v="017-2210-000"/>
    <s v="Liquor Sales"/>
    <n v="2749.0994999999998"/>
    <n v="0"/>
    <s v="Daily Sales Import"/>
    <n v="-2749.0994999999998"/>
    <n v="2749.0994999999998"/>
    <x v="1"/>
    <s v="2210"/>
    <s v="000"/>
    <x v="10"/>
    <x v="1"/>
  </r>
  <r>
    <d v="2012-08-10T00:00:00"/>
    <s v="017-2220-000"/>
    <s v="Beer Sales"/>
    <n v="771.66750000000002"/>
    <n v="0"/>
    <s v="Daily Sales Import"/>
    <n v="-771.66750000000002"/>
    <n v="771.66750000000002"/>
    <x v="1"/>
    <s v="2220"/>
    <s v="000"/>
    <x v="10"/>
    <x v="1"/>
  </r>
  <r>
    <d v="2012-08-10T00:00:00"/>
    <s v="017-2230-000"/>
    <s v="Wine Sales"/>
    <n v="107.1"/>
    <n v="0"/>
    <s v="Daily Sales Import"/>
    <n v="-107.1"/>
    <n v="107.1"/>
    <x v="1"/>
    <s v="2230"/>
    <s v="000"/>
    <x v="10"/>
    <x v="1"/>
  </r>
  <r>
    <d v="2012-08-11T00:00:00"/>
    <s v="017-2100-000"/>
    <s v="Food Sales"/>
    <n v="9082.1040000000012"/>
    <n v="0"/>
    <s v="Daily Sales Import"/>
    <n v="-9082.1040000000012"/>
    <n v="9082.1040000000012"/>
    <x v="1"/>
    <s v="2100"/>
    <s v="000"/>
    <x v="10"/>
    <x v="1"/>
  </r>
  <r>
    <d v="2012-08-11T00:00:00"/>
    <s v="017-2210-000"/>
    <s v="Liquor Sales"/>
    <n v="2791.8319999999999"/>
    <n v="0"/>
    <s v="Daily Sales Import"/>
    <n v="-2791.8319999999999"/>
    <n v="2791.8319999999999"/>
    <x v="1"/>
    <s v="2210"/>
    <s v="000"/>
    <x v="10"/>
    <x v="1"/>
  </r>
  <r>
    <d v="2012-08-11T00:00:00"/>
    <s v="017-2220-000"/>
    <s v="Beer Sales"/>
    <n v="574.86"/>
    <n v="0"/>
    <s v="Daily Sales Import"/>
    <n v="-574.86"/>
    <n v="574.86"/>
    <x v="1"/>
    <s v="2220"/>
    <s v="000"/>
    <x v="10"/>
    <x v="1"/>
  </r>
  <r>
    <d v="2012-08-11T00:00:00"/>
    <s v="017-2230-000"/>
    <s v="Wine Sales"/>
    <n v="240.51300000000001"/>
    <n v="0"/>
    <s v="Daily Sales Import"/>
    <n v="-240.51300000000001"/>
    <n v="240.51300000000001"/>
    <x v="1"/>
    <s v="2230"/>
    <s v="000"/>
    <x v="10"/>
    <x v="1"/>
  </r>
  <r>
    <d v="2012-08-12T00:00:00"/>
    <s v="017-2100-000"/>
    <s v="Food Sales"/>
    <n v="5544.8951999999999"/>
    <n v="0"/>
    <s v="Daily Sales Import"/>
    <n v="-5544.8951999999999"/>
    <n v="5544.8951999999999"/>
    <x v="1"/>
    <s v="2100"/>
    <s v="000"/>
    <x v="10"/>
    <x v="1"/>
  </r>
  <r>
    <d v="2012-08-12T00:00:00"/>
    <s v="017-2210-000"/>
    <s v="Liquor Sales"/>
    <n v="1342.442"/>
    <n v="0"/>
    <s v="Daily Sales Import"/>
    <n v="-1342.442"/>
    <n v="1342.442"/>
    <x v="1"/>
    <s v="2210"/>
    <s v="000"/>
    <x v="10"/>
    <x v="1"/>
  </r>
  <r>
    <d v="2012-08-12T00:00:00"/>
    <s v="017-2220-000"/>
    <s v="Beer Sales"/>
    <n v="146.4675"/>
    <n v="0"/>
    <s v="Daily Sales Import"/>
    <n v="-146.4675"/>
    <n v="146.4675"/>
    <x v="1"/>
    <s v="2220"/>
    <s v="000"/>
    <x v="10"/>
    <x v="1"/>
  </r>
  <r>
    <d v="2012-08-12T00:00:00"/>
    <s v="017-2230-000"/>
    <s v="Wine Sales"/>
    <n v="30.849"/>
    <n v="0"/>
    <s v="Daily Sales Import"/>
    <n v="-30.849"/>
    <n v="30.849"/>
    <x v="1"/>
    <s v="2230"/>
    <s v="000"/>
    <x v="10"/>
    <x v="1"/>
  </r>
  <r>
    <d v="2012-08-06T00:00:00"/>
    <s v="018-2100-000"/>
    <s v="Food Sales"/>
    <n v="3411.1672000000003"/>
    <n v="0"/>
    <s v="Daily Sales Import"/>
    <n v="-3411.1672000000003"/>
    <n v="3411.1672000000003"/>
    <x v="2"/>
    <s v="2100"/>
    <s v="000"/>
    <x v="10"/>
    <x v="1"/>
  </r>
  <r>
    <d v="2012-08-06T00:00:00"/>
    <s v="018-2210-000"/>
    <s v="Liquor Sales"/>
    <n v="744.04899999999986"/>
    <n v="0"/>
    <s v="Daily Sales Import"/>
    <n v="-744.04899999999986"/>
    <n v="744.04899999999986"/>
    <x v="2"/>
    <s v="2210"/>
    <s v="000"/>
    <x v="10"/>
    <x v="1"/>
  </r>
  <r>
    <d v="2012-08-06T00:00:00"/>
    <s v="018-2220-000"/>
    <s v="Beer Sales"/>
    <n v="239.74199999999999"/>
    <n v="0"/>
    <s v="Daily Sales Import"/>
    <n v="-239.74199999999999"/>
    <n v="239.74199999999999"/>
    <x v="2"/>
    <s v="2220"/>
    <s v="000"/>
    <x v="10"/>
    <x v="1"/>
  </r>
  <r>
    <d v="2012-08-06T00:00:00"/>
    <s v="018-2230-000"/>
    <s v="Wine Sales"/>
    <n v="53.465999999999994"/>
    <n v="0"/>
    <s v="Daily Sales Import"/>
    <n v="-53.465999999999994"/>
    <n v="53.465999999999994"/>
    <x v="2"/>
    <s v="2230"/>
    <s v="000"/>
    <x v="10"/>
    <x v="1"/>
  </r>
  <r>
    <d v="2012-08-07T00:00:00"/>
    <s v="018-2100-000"/>
    <s v="Food Sales"/>
    <n v="4496.3599999999997"/>
    <n v="0"/>
    <s v="Daily Sales Import"/>
    <n v="-4496.3599999999997"/>
    <n v="4496.3599999999997"/>
    <x v="2"/>
    <s v="2100"/>
    <s v="000"/>
    <x v="10"/>
    <x v="1"/>
  </r>
  <r>
    <d v="2012-08-07T00:00:00"/>
    <s v="018-2210-000"/>
    <s v="Liquor Sales"/>
    <n v="661.22699999999986"/>
    <n v="0"/>
    <s v="Daily Sales Import"/>
    <n v="-661.22699999999986"/>
    <n v="661.22699999999986"/>
    <x v="2"/>
    <s v="2210"/>
    <s v="000"/>
    <x v="10"/>
    <x v="1"/>
  </r>
  <r>
    <d v="2012-08-07T00:00:00"/>
    <s v="018-2220-000"/>
    <s v="Beer Sales"/>
    <n v="124.63749999999999"/>
    <n v="0"/>
    <s v="Daily Sales Import"/>
    <n v="-124.63749999999999"/>
    <n v="124.63749999999999"/>
    <x v="2"/>
    <s v="2220"/>
    <s v="000"/>
    <x v="10"/>
    <x v="1"/>
  </r>
  <r>
    <d v="2012-08-07T00:00:00"/>
    <s v="018-2230-000"/>
    <s v="Wine Sales"/>
    <n v="43.418000000000006"/>
    <n v="0"/>
    <s v="Daily Sales Import"/>
    <n v="-43.418000000000006"/>
    <n v="43.418000000000006"/>
    <x v="2"/>
    <s v="2230"/>
    <s v="000"/>
    <x v="10"/>
    <x v="1"/>
  </r>
  <r>
    <d v="2012-08-08T00:00:00"/>
    <s v="018-2100-000"/>
    <s v="Food Sales"/>
    <n v="3825.3319999999994"/>
    <n v="0"/>
    <s v="Daily Sales Import"/>
    <n v="-3825.3319999999994"/>
    <n v="3825.3319999999994"/>
    <x v="2"/>
    <s v="2100"/>
    <s v="000"/>
    <x v="10"/>
    <x v="1"/>
  </r>
  <r>
    <d v="2012-08-08T00:00:00"/>
    <s v="018-2210-000"/>
    <s v="Liquor Sales"/>
    <n v="1091.306"/>
    <n v="0"/>
    <s v="Daily Sales Import"/>
    <n v="-1091.306"/>
    <n v="1091.306"/>
    <x v="2"/>
    <s v="2210"/>
    <s v="000"/>
    <x v="10"/>
    <x v="1"/>
  </r>
  <r>
    <d v="2012-08-08T00:00:00"/>
    <s v="018-2220-000"/>
    <s v="Beer Sales"/>
    <n v="195.61399999999998"/>
    <n v="0"/>
    <s v="Daily Sales Import"/>
    <n v="-195.61399999999998"/>
    <n v="195.61399999999998"/>
    <x v="2"/>
    <s v="2220"/>
    <s v="000"/>
    <x v="10"/>
    <x v="1"/>
  </r>
  <r>
    <d v="2012-08-08T00:00:00"/>
    <s v="018-2230-000"/>
    <s v="Wine Sales"/>
    <n v="63.595000000000006"/>
    <n v="0"/>
    <s v="Daily Sales Import"/>
    <n v="-63.595000000000006"/>
    <n v="63.595000000000006"/>
    <x v="2"/>
    <s v="2230"/>
    <s v="000"/>
    <x v="10"/>
    <x v="1"/>
  </r>
  <r>
    <d v="2012-08-09T00:00:00"/>
    <s v="018-2100-000"/>
    <s v="Food Sales"/>
    <n v="4532.9759999999997"/>
    <n v="0"/>
    <s v="Daily Sales Import"/>
    <n v="-4532.9759999999997"/>
    <n v="4532.9759999999997"/>
    <x v="2"/>
    <s v="2100"/>
    <s v="000"/>
    <x v="10"/>
    <x v="1"/>
  </r>
  <r>
    <d v="2012-08-09T00:00:00"/>
    <s v="018-2210-000"/>
    <s v="Liquor Sales"/>
    <n v="1089.9679999999998"/>
    <n v="0"/>
    <s v="Daily Sales Import"/>
    <n v="-1089.9679999999998"/>
    <n v="1089.9679999999998"/>
    <x v="2"/>
    <s v="2210"/>
    <s v="000"/>
    <x v="10"/>
    <x v="1"/>
  </r>
  <r>
    <d v="2012-08-09T00:00:00"/>
    <s v="018-2220-000"/>
    <s v="Beer Sales"/>
    <n v="162.86949999999999"/>
    <n v="0"/>
    <s v="Daily Sales Import"/>
    <n v="-162.86949999999999"/>
    <n v="162.86949999999999"/>
    <x v="2"/>
    <s v="2220"/>
    <s v="000"/>
    <x v="10"/>
    <x v="1"/>
  </r>
  <r>
    <d v="2012-08-09T00:00:00"/>
    <s v="018-2230-000"/>
    <s v="Wine Sales"/>
    <n v="40.947500000000005"/>
    <n v="0"/>
    <s v="Daily Sales Import"/>
    <n v="-40.947500000000005"/>
    <n v="40.947500000000005"/>
    <x v="2"/>
    <s v="2230"/>
    <s v="000"/>
    <x v="10"/>
    <x v="1"/>
  </r>
  <r>
    <d v="2012-08-10T00:00:00"/>
    <s v="018-2100-000"/>
    <s v="Food Sales"/>
    <n v="12332.205000000002"/>
    <n v="0"/>
    <s v="Daily Sales Import"/>
    <n v="-12332.205000000002"/>
    <n v="12332.205000000002"/>
    <x v="2"/>
    <s v="2100"/>
    <s v="000"/>
    <x v="10"/>
    <x v="1"/>
  </r>
  <r>
    <d v="2012-08-10T00:00:00"/>
    <s v="018-2210-000"/>
    <s v="Liquor Sales"/>
    <n v="3622.4874999999997"/>
    <n v="0"/>
    <s v="Daily Sales Import"/>
    <n v="-3622.4874999999997"/>
    <n v="3622.4874999999997"/>
    <x v="2"/>
    <s v="2210"/>
    <s v="000"/>
    <x v="10"/>
    <x v="1"/>
  </r>
  <r>
    <d v="2012-08-10T00:00:00"/>
    <s v="018-2220-000"/>
    <s v="Beer Sales"/>
    <n v="526.79"/>
    <n v="0"/>
    <s v="Daily Sales Import"/>
    <n v="-526.79"/>
    <n v="526.79"/>
    <x v="2"/>
    <s v="2220"/>
    <s v="000"/>
    <x v="10"/>
    <x v="1"/>
  </r>
  <r>
    <d v="2012-08-10T00:00:00"/>
    <s v="018-2230-000"/>
    <s v="Wine Sales"/>
    <n v="70.55"/>
    <n v="0"/>
    <s v="Daily Sales Import"/>
    <n v="-70.55"/>
    <n v="70.55"/>
    <x v="2"/>
    <s v="2230"/>
    <s v="000"/>
    <x v="10"/>
    <x v="1"/>
  </r>
  <r>
    <d v="2012-08-11T00:00:00"/>
    <s v="018-2100-000"/>
    <s v="Food Sales"/>
    <n v="11139.36"/>
    <n v="0"/>
    <s v="Daily Sales Import"/>
    <n v="-11139.36"/>
    <n v="11139.36"/>
    <x v="2"/>
    <s v="2100"/>
    <s v="000"/>
    <x v="10"/>
    <x v="1"/>
  </r>
  <r>
    <d v="2012-08-11T00:00:00"/>
    <s v="018-2210-000"/>
    <s v="Liquor Sales"/>
    <n v="2035.6460000000002"/>
    <n v="0"/>
    <s v="Daily Sales Import"/>
    <n v="-2035.6460000000002"/>
    <n v="2035.6460000000002"/>
    <x v="2"/>
    <s v="2210"/>
    <s v="000"/>
    <x v="10"/>
    <x v="1"/>
  </r>
  <r>
    <d v="2012-08-11T00:00:00"/>
    <s v="018-2220-000"/>
    <s v="Beer Sales"/>
    <n v="663.6869999999999"/>
    <n v="0"/>
    <s v="Daily Sales Import"/>
    <n v="-663.6869999999999"/>
    <n v="663.6869999999999"/>
    <x v="2"/>
    <s v="2220"/>
    <s v="000"/>
    <x v="10"/>
    <x v="1"/>
  </r>
  <r>
    <d v="2012-08-11T00:00:00"/>
    <s v="018-2230-000"/>
    <s v="Wine Sales"/>
    <n v="99.151499999999984"/>
    <n v="0"/>
    <s v="Daily Sales Import"/>
    <n v="-99.151499999999984"/>
    <n v="99.151499999999984"/>
    <x v="2"/>
    <s v="2230"/>
    <s v="000"/>
    <x v="10"/>
    <x v="1"/>
  </r>
  <r>
    <d v="2012-08-12T00:00:00"/>
    <s v="018-2100-000"/>
    <s v="Food Sales"/>
    <n v="8815.3742000000002"/>
    <n v="0"/>
    <s v="Daily Sales Import"/>
    <n v="-8815.3742000000002"/>
    <n v="8815.3742000000002"/>
    <x v="2"/>
    <s v="2100"/>
    <s v="000"/>
    <x v="10"/>
    <x v="1"/>
  </r>
  <r>
    <d v="2012-08-12T00:00:00"/>
    <s v="018-2210-000"/>
    <s v="Liquor Sales"/>
    <n v="1319.8020000000001"/>
    <n v="0"/>
    <s v="Daily Sales Import"/>
    <n v="-1319.8020000000001"/>
    <n v="1319.8020000000001"/>
    <x v="2"/>
    <s v="2210"/>
    <s v="000"/>
    <x v="10"/>
    <x v="1"/>
  </r>
  <r>
    <d v="2012-08-12T00:00:00"/>
    <s v="018-2220-000"/>
    <s v="Beer Sales"/>
    <n v="288.23099999999999"/>
    <n v="0"/>
    <s v="Daily Sales Import"/>
    <n v="-288.23099999999999"/>
    <n v="288.23099999999999"/>
    <x v="2"/>
    <s v="2220"/>
    <s v="000"/>
    <x v="10"/>
    <x v="1"/>
  </r>
  <r>
    <d v="2012-08-12T00:00:00"/>
    <s v="018-2230-000"/>
    <s v="Wine Sales"/>
    <n v="110.52799999999999"/>
    <n v="0"/>
    <s v="Daily Sales Import"/>
    <n v="-110.52799999999999"/>
    <n v="110.52799999999999"/>
    <x v="2"/>
    <s v="2230"/>
    <s v="000"/>
    <x v="10"/>
    <x v="1"/>
  </r>
  <r>
    <d v="2012-08-13T00:00:00"/>
    <s v="016-2100-000"/>
    <s v="Food Sales"/>
    <n v="2757.2532000000001"/>
    <n v="0"/>
    <s v="Daily Sales Import"/>
    <n v="-2757.2532000000001"/>
    <n v="2757.2532000000001"/>
    <x v="0"/>
    <s v="2100"/>
    <s v="000"/>
    <x v="10"/>
    <x v="1"/>
  </r>
  <r>
    <d v="2012-08-13T00:00:00"/>
    <s v="016-2210-000"/>
    <s v="Liquor Sales"/>
    <n v="561.17880000000002"/>
    <n v="0"/>
    <s v="Daily Sales Import"/>
    <n v="-561.17880000000002"/>
    <n v="561.17880000000002"/>
    <x v="0"/>
    <s v="2210"/>
    <s v="000"/>
    <x v="10"/>
    <x v="1"/>
  </r>
  <r>
    <d v="2012-08-13T00:00:00"/>
    <s v="016-2220-000"/>
    <s v="Beer Sales"/>
    <n v="126.67500000000001"/>
    <n v="0"/>
    <s v="Daily Sales Import"/>
    <n v="-126.67500000000001"/>
    <n v="126.67500000000001"/>
    <x v="0"/>
    <s v="2220"/>
    <s v="000"/>
    <x v="10"/>
    <x v="1"/>
  </r>
  <r>
    <d v="2012-08-13T00:00:00"/>
    <s v="016-2230-000"/>
    <s v="Wine Sales"/>
    <n v="16.218000000000004"/>
    <n v="0"/>
    <s v="Daily Sales Import"/>
    <n v="-16.218000000000004"/>
    <n v="16.218000000000004"/>
    <x v="0"/>
    <s v="2230"/>
    <s v="000"/>
    <x v="10"/>
    <x v="1"/>
  </r>
  <r>
    <d v="2012-08-14T00:00:00"/>
    <s v="016-2100-000"/>
    <s v="Food Sales"/>
    <n v="5783.2709999999997"/>
    <n v="0"/>
    <s v="Daily Sales Import"/>
    <n v="-5783.2709999999997"/>
    <n v="5783.2709999999997"/>
    <x v="0"/>
    <s v="2100"/>
    <s v="000"/>
    <x v="10"/>
    <x v="1"/>
  </r>
  <r>
    <d v="2012-08-14T00:00:00"/>
    <s v="016-2210-000"/>
    <s v="Liquor Sales"/>
    <n v="1661.1645000000001"/>
    <n v="0"/>
    <s v="Daily Sales Import"/>
    <n v="-1661.1645000000001"/>
    <n v="1661.1645000000001"/>
    <x v="0"/>
    <s v="2210"/>
    <s v="000"/>
    <x v="10"/>
    <x v="1"/>
  </r>
  <r>
    <d v="2012-08-14T00:00:00"/>
    <s v="016-2220-000"/>
    <s v="Beer Sales"/>
    <n v="588.39300000000003"/>
    <n v="0"/>
    <s v="Daily Sales Import"/>
    <n v="-588.39300000000003"/>
    <n v="588.39300000000003"/>
    <x v="0"/>
    <s v="2220"/>
    <s v="000"/>
    <x v="10"/>
    <x v="1"/>
  </r>
  <r>
    <d v="2012-08-14T00:00:00"/>
    <s v="016-2230-000"/>
    <s v="Wine Sales"/>
    <n v="197.73599999999999"/>
    <n v="0"/>
    <s v="Daily Sales Import"/>
    <n v="-197.73599999999999"/>
    <n v="197.73599999999999"/>
    <x v="0"/>
    <s v="2230"/>
    <s v="000"/>
    <x v="10"/>
    <x v="1"/>
  </r>
  <r>
    <d v="2012-08-15T00:00:00"/>
    <s v="016-2100-000"/>
    <s v="Food Sales"/>
    <n v="4406.1284000000005"/>
    <n v="0"/>
    <s v="Daily Sales Import"/>
    <n v="-4406.1284000000005"/>
    <n v="4406.1284000000005"/>
    <x v="0"/>
    <s v="2100"/>
    <s v="000"/>
    <x v="10"/>
    <x v="1"/>
  </r>
  <r>
    <d v="2012-08-15T00:00:00"/>
    <s v="016-2210-000"/>
    <s v="Liquor Sales"/>
    <n v="929.99400000000003"/>
    <n v="0"/>
    <s v="Daily Sales Import"/>
    <n v="-929.99400000000003"/>
    <n v="929.99400000000003"/>
    <x v="0"/>
    <s v="2210"/>
    <s v="000"/>
    <x v="10"/>
    <x v="1"/>
  </r>
  <r>
    <d v="2012-08-15T00:00:00"/>
    <s v="016-2220-000"/>
    <s v="Beer Sales"/>
    <n v="124.52399999999999"/>
    <n v="0"/>
    <s v="Daily Sales Import"/>
    <n v="-124.52399999999999"/>
    <n v="124.52399999999999"/>
    <x v="0"/>
    <s v="2220"/>
    <s v="000"/>
    <x v="10"/>
    <x v="1"/>
  </r>
  <r>
    <d v="2012-08-15T00:00:00"/>
    <s v="016-2230-000"/>
    <s v="Wine Sales"/>
    <n v="75.037499999999994"/>
    <n v="0"/>
    <s v="Daily Sales Import"/>
    <n v="-75.037499999999994"/>
    <n v="75.037499999999994"/>
    <x v="0"/>
    <s v="2230"/>
    <s v="000"/>
    <x v="10"/>
    <x v="1"/>
  </r>
  <r>
    <d v="2012-08-16T00:00:00"/>
    <s v="016-2100-000"/>
    <s v="Food Sales"/>
    <n v="4602.0990000000002"/>
    <n v="0"/>
    <s v="Daily Sales Import"/>
    <n v="-4602.0990000000002"/>
    <n v="4602.0990000000002"/>
    <x v="0"/>
    <s v="2100"/>
    <s v="000"/>
    <x v="10"/>
    <x v="1"/>
  </r>
  <r>
    <d v="2012-08-16T00:00:00"/>
    <s v="016-2210-000"/>
    <s v="Liquor Sales"/>
    <n v="1738.8150000000001"/>
    <n v="0"/>
    <s v="Daily Sales Import"/>
    <n v="-1738.8150000000001"/>
    <n v="1738.8150000000001"/>
    <x v="0"/>
    <s v="2210"/>
    <s v="000"/>
    <x v="10"/>
    <x v="1"/>
  </r>
  <r>
    <d v="2012-08-16T00:00:00"/>
    <s v="016-2220-000"/>
    <s v="Beer Sales"/>
    <n v="246.57599999999999"/>
    <n v="0"/>
    <s v="Daily Sales Import"/>
    <n v="-246.57599999999999"/>
    <n v="246.57599999999999"/>
    <x v="0"/>
    <s v="2220"/>
    <s v="000"/>
    <x v="10"/>
    <x v="1"/>
  </r>
  <r>
    <d v="2012-08-16T00:00:00"/>
    <s v="016-2230-000"/>
    <s v="Wine Sales"/>
    <n v="103.791"/>
    <n v="0"/>
    <s v="Daily Sales Import"/>
    <n v="-103.791"/>
    <n v="103.791"/>
    <x v="0"/>
    <s v="2230"/>
    <s v="000"/>
    <x v="10"/>
    <x v="1"/>
  </r>
  <r>
    <d v="2012-08-17T00:00:00"/>
    <s v="016-2100-000"/>
    <s v="Food Sales"/>
    <n v="6646.6781999999994"/>
    <n v="0"/>
    <s v="Daily Sales Import"/>
    <n v="-6646.6781999999994"/>
    <n v="6646.6781999999994"/>
    <x v="0"/>
    <s v="2100"/>
    <s v="000"/>
    <x v="10"/>
    <x v="1"/>
  </r>
  <r>
    <d v="2012-08-17T00:00:00"/>
    <s v="016-2210-000"/>
    <s v="Liquor Sales"/>
    <n v="2007.48"/>
    <n v="0"/>
    <s v="Daily Sales Import"/>
    <n v="-2007.48"/>
    <n v="2007.48"/>
    <x v="0"/>
    <s v="2210"/>
    <s v="000"/>
    <x v="10"/>
    <x v="1"/>
  </r>
  <r>
    <d v="2012-08-17T00:00:00"/>
    <s v="016-2220-000"/>
    <s v="Beer Sales"/>
    <n v="276.13799999999998"/>
    <n v="0"/>
    <s v="Daily Sales Import"/>
    <n v="-276.13799999999998"/>
    <n v="276.13799999999998"/>
    <x v="0"/>
    <s v="2220"/>
    <s v="000"/>
    <x v="10"/>
    <x v="1"/>
  </r>
  <r>
    <d v="2012-08-17T00:00:00"/>
    <s v="016-2230-000"/>
    <s v="Wine Sales"/>
    <n v="89.662499999999994"/>
    <n v="0"/>
    <s v="Daily Sales Import"/>
    <n v="-89.662499999999994"/>
    <n v="89.662499999999994"/>
    <x v="0"/>
    <s v="2230"/>
    <s v="000"/>
    <x v="10"/>
    <x v="1"/>
  </r>
  <r>
    <d v="2012-08-18T00:00:00"/>
    <s v="016-2100-000"/>
    <s v="Food Sales"/>
    <n v="5853.2025000000003"/>
    <n v="0"/>
    <s v="Daily Sales Import"/>
    <n v="-5853.2025000000003"/>
    <n v="5853.2025000000003"/>
    <x v="0"/>
    <s v="2100"/>
    <s v="000"/>
    <x v="10"/>
    <x v="1"/>
  </r>
  <r>
    <d v="2012-08-18T00:00:00"/>
    <s v="016-2210-000"/>
    <s v="Liquor Sales"/>
    <n v="1669.068"/>
    <n v="0"/>
    <s v="Daily Sales Import"/>
    <n v="-1669.068"/>
    <n v="1669.068"/>
    <x v="0"/>
    <s v="2210"/>
    <s v="000"/>
    <x v="10"/>
    <x v="1"/>
  </r>
  <r>
    <d v="2012-08-18T00:00:00"/>
    <s v="016-2220-000"/>
    <s v="Beer Sales"/>
    <n v="210.33"/>
    <n v="0"/>
    <s v="Daily Sales Import"/>
    <n v="-210.33"/>
    <n v="210.33"/>
    <x v="0"/>
    <s v="2220"/>
    <s v="000"/>
    <x v="10"/>
    <x v="1"/>
  </r>
  <r>
    <d v="2012-08-18T00:00:00"/>
    <s v="016-2230-000"/>
    <s v="Wine Sales"/>
    <n v="69.45"/>
    <n v="0"/>
    <s v="Daily Sales Import"/>
    <n v="-69.45"/>
    <n v="69.45"/>
    <x v="0"/>
    <s v="2230"/>
    <s v="000"/>
    <x v="10"/>
    <x v="1"/>
  </r>
  <r>
    <d v="2012-08-19T00:00:00"/>
    <s v="016-2100-000"/>
    <s v="Food Sales"/>
    <n v="5909.6400999999996"/>
    <n v="0"/>
    <s v="Daily Sales Import"/>
    <n v="-5909.6400999999996"/>
    <n v="5909.6400999999996"/>
    <x v="0"/>
    <s v="2100"/>
    <s v="000"/>
    <x v="10"/>
    <x v="1"/>
  </r>
  <r>
    <d v="2012-08-19T00:00:00"/>
    <s v="016-2210-000"/>
    <s v="Liquor Sales"/>
    <n v="1150.7650000000001"/>
    <n v="0"/>
    <s v="Daily Sales Import"/>
    <n v="-1150.7650000000001"/>
    <n v="1150.7650000000001"/>
    <x v="0"/>
    <s v="2210"/>
    <s v="000"/>
    <x v="10"/>
    <x v="1"/>
  </r>
  <r>
    <d v="2012-08-19T00:00:00"/>
    <s v="016-2220-000"/>
    <s v="Beer Sales"/>
    <n v="258.78149999999999"/>
    <n v="0"/>
    <s v="Daily Sales Import"/>
    <n v="-258.78149999999999"/>
    <n v="258.78149999999999"/>
    <x v="0"/>
    <s v="2220"/>
    <s v="000"/>
    <x v="10"/>
    <x v="1"/>
  </r>
  <r>
    <d v="2012-08-19T00:00:00"/>
    <s v="016-2230-000"/>
    <s v="Wine Sales"/>
    <n v="38.556000000000004"/>
    <n v="0"/>
    <s v="Daily Sales Import"/>
    <n v="-38.556000000000004"/>
    <n v="38.556000000000004"/>
    <x v="0"/>
    <s v="2230"/>
    <s v="000"/>
    <x v="10"/>
    <x v="1"/>
  </r>
  <r>
    <d v="2012-08-13T00:00:00"/>
    <s v="017-2100-000"/>
    <s v="Food Sales"/>
    <n v="3159.4626000000003"/>
    <n v="0"/>
    <s v="Daily Sales Import"/>
    <n v="-3159.4626000000003"/>
    <n v="3159.4626000000003"/>
    <x v="1"/>
    <s v="2100"/>
    <s v="000"/>
    <x v="10"/>
    <x v="1"/>
  </r>
  <r>
    <d v="2012-08-13T00:00:00"/>
    <s v="017-2210-000"/>
    <s v="Liquor Sales"/>
    <n v="749.67200000000003"/>
    <n v="0"/>
    <s v="Daily Sales Import"/>
    <n v="-749.67200000000003"/>
    <n v="749.67200000000003"/>
    <x v="1"/>
    <s v="2210"/>
    <s v="000"/>
    <x v="10"/>
    <x v="1"/>
  </r>
  <r>
    <d v="2012-08-13T00:00:00"/>
    <s v="017-2220-000"/>
    <s v="Beer Sales"/>
    <n v="209.02"/>
    <n v="0"/>
    <s v="Daily Sales Import"/>
    <n v="-209.02"/>
    <n v="209.02"/>
    <x v="1"/>
    <s v="2220"/>
    <s v="000"/>
    <x v="10"/>
    <x v="1"/>
  </r>
  <r>
    <d v="2012-08-13T00:00:00"/>
    <s v="017-2230-000"/>
    <s v="Wine Sales"/>
    <n v="34.125"/>
    <n v="0"/>
    <s v="Daily Sales Import"/>
    <n v="-34.125"/>
    <n v="34.125"/>
    <x v="1"/>
    <s v="2230"/>
    <s v="000"/>
    <x v="10"/>
    <x v="1"/>
  </r>
  <r>
    <d v="2012-08-14T00:00:00"/>
    <s v="017-2100-000"/>
    <s v="Food Sales"/>
    <n v="5734.085"/>
    <n v="0"/>
    <s v="Daily Sales Import"/>
    <n v="-5734.085"/>
    <n v="5734.085"/>
    <x v="1"/>
    <s v="2100"/>
    <s v="000"/>
    <x v="10"/>
    <x v="1"/>
  </r>
  <r>
    <d v="2012-08-14T00:00:00"/>
    <s v="017-2210-000"/>
    <s v="Liquor Sales"/>
    <n v="2144.6999999999998"/>
    <n v="0"/>
    <s v="Daily Sales Import"/>
    <n v="-2144.6999999999998"/>
    <n v="2144.6999999999998"/>
    <x v="1"/>
    <s v="2210"/>
    <s v="000"/>
    <x v="10"/>
    <x v="1"/>
  </r>
  <r>
    <d v="2012-08-14T00:00:00"/>
    <s v="017-2220-000"/>
    <s v="Beer Sales"/>
    <n v="625.6"/>
    <n v="0"/>
    <s v="Daily Sales Import"/>
    <n v="-625.6"/>
    <n v="625.6"/>
    <x v="1"/>
    <s v="2220"/>
    <s v="000"/>
    <x v="10"/>
    <x v="1"/>
  </r>
  <r>
    <d v="2012-08-14T00:00:00"/>
    <s v="017-2230-000"/>
    <s v="Wine Sales"/>
    <n v="374.09850000000006"/>
    <n v="0"/>
    <s v="Daily Sales Import"/>
    <n v="-374.09850000000006"/>
    <n v="374.09850000000006"/>
    <x v="1"/>
    <s v="2230"/>
    <s v="000"/>
    <x v="10"/>
    <x v="1"/>
  </r>
  <r>
    <d v="2012-08-15T00:00:00"/>
    <s v="017-2100-000"/>
    <s v="Food Sales"/>
    <n v="6525.0612000000001"/>
    <n v="0"/>
    <s v="Daily Sales Import"/>
    <n v="-6525.0612000000001"/>
    <n v="6525.0612000000001"/>
    <x v="1"/>
    <s v="2100"/>
    <s v="000"/>
    <x v="10"/>
    <x v="1"/>
  </r>
  <r>
    <d v="2012-08-15T00:00:00"/>
    <s v="017-2210-000"/>
    <s v="Liquor Sales"/>
    <n v="2069.6879999999996"/>
    <n v="0"/>
    <s v="Daily Sales Import"/>
    <n v="-2069.6879999999996"/>
    <n v="2069.6879999999996"/>
    <x v="1"/>
    <s v="2210"/>
    <s v="000"/>
    <x v="10"/>
    <x v="1"/>
  </r>
  <r>
    <d v="2012-08-15T00:00:00"/>
    <s v="017-2220-000"/>
    <s v="Beer Sales"/>
    <n v="436.38000000000005"/>
    <n v="0"/>
    <s v="Daily Sales Import"/>
    <n v="-436.38000000000005"/>
    <n v="436.38000000000005"/>
    <x v="1"/>
    <s v="2220"/>
    <s v="000"/>
    <x v="10"/>
    <x v="1"/>
  </r>
  <r>
    <d v="2012-08-15T00:00:00"/>
    <s v="017-2230-000"/>
    <s v="Wine Sales"/>
    <n v="180.726"/>
    <n v="0"/>
    <s v="Daily Sales Import"/>
    <n v="-180.726"/>
    <n v="180.726"/>
    <x v="1"/>
    <s v="2230"/>
    <s v="000"/>
    <x v="10"/>
    <x v="1"/>
  </r>
  <r>
    <d v="2012-08-16T00:00:00"/>
    <s v="017-2100-000"/>
    <s v="Food Sales"/>
    <n v="5008.25"/>
    <n v="0"/>
    <s v="Daily Sales Import"/>
    <n v="-5008.25"/>
    <n v="5008.25"/>
    <x v="1"/>
    <s v="2100"/>
    <s v="000"/>
    <x v="10"/>
    <x v="1"/>
  </r>
  <r>
    <d v="2012-08-16T00:00:00"/>
    <s v="017-2210-000"/>
    <s v="Liquor Sales"/>
    <n v="1656.18"/>
    <n v="0"/>
    <s v="Daily Sales Import"/>
    <n v="-1656.18"/>
    <n v="1656.18"/>
    <x v="1"/>
    <s v="2210"/>
    <s v="000"/>
    <x v="10"/>
    <x v="1"/>
  </r>
  <r>
    <d v="2012-08-16T00:00:00"/>
    <s v="017-2220-000"/>
    <s v="Beer Sales"/>
    <n v="420.53749999999997"/>
    <n v="0"/>
    <s v="Daily Sales Import"/>
    <n v="-420.53749999999997"/>
    <n v="420.53749999999997"/>
    <x v="1"/>
    <s v="2220"/>
    <s v="000"/>
    <x v="10"/>
    <x v="1"/>
  </r>
  <r>
    <d v="2012-08-16T00:00:00"/>
    <s v="017-2230-000"/>
    <s v="Wine Sales"/>
    <n v="45.827999999999996"/>
    <n v="0"/>
    <s v="Daily Sales Import"/>
    <n v="-45.827999999999996"/>
    <n v="45.827999999999996"/>
    <x v="1"/>
    <s v="2230"/>
    <s v="000"/>
    <x v="10"/>
    <x v="1"/>
  </r>
  <r>
    <d v="2012-08-17T00:00:00"/>
    <s v="017-2100-000"/>
    <s v="Food Sales"/>
    <n v="6012.2535000000007"/>
    <n v="0"/>
    <s v="Daily Sales Import"/>
    <n v="-6012.2535000000007"/>
    <n v="6012.2535000000007"/>
    <x v="1"/>
    <s v="2100"/>
    <s v="000"/>
    <x v="10"/>
    <x v="1"/>
  </r>
  <r>
    <d v="2012-08-17T00:00:00"/>
    <s v="017-2210-000"/>
    <s v="Liquor Sales"/>
    <n v="1906.2720000000002"/>
    <n v="0"/>
    <s v="Daily Sales Import"/>
    <n v="-1906.2720000000002"/>
    <n v="1906.2720000000002"/>
    <x v="1"/>
    <s v="2210"/>
    <s v="000"/>
    <x v="10"/>
    <x v="1"/>
  </r>
  <r>
    <d v="2012-08-17T00:00:00"/>
    <s v="017-2220-000"/>
    <s v="Beer Sales"/>
    <n v="478.55500000000001"/>
    <n v="0"/>
    <s v="Daily Sales Import"/>
    <n v="-478.55500000000001"/>
    <n v="478.55500000000001"/>
    <x v="1"/>
    <s v="2220"/>
    <s v="000"/>
    <x v="10"/>
    <x v="1"/>
  </r>
  <r>
    <d v="2012-08-17T00:00:00"/>
    <s v="017-2230-000"/>
    <s v="Wine Sales"/>
    <n v="109.34000000000002"/>
    <n v="0"/>
    <s v="Daily Sales Import"/>
    <n v="-109.34000000000002"/>
    <n v="109.34000000000002"/>
    <x v="1"/>
    <s v="2230"/>
    <s v="000"/>
    <x v="10"/>
    <x v="1"/>
  </r>
  <r>
    <d v="2012-08-18T00:00:00"/>
    <s v="017-2100-000"/>
    <s v="Food Sales"/>
    <n v="5159.1819999999998"/>
    <n v="0"/>
    <s v="Daily Sales Import"/>
    <n v="-5159.1819999999998"/>
    <n v="5159.1819999999998"/>
    <x v="1"/>
    <s v="2100"/>
    <s v="000"/>
    <x v="10"/>
    <x v="1"/>
  </r>
  <r>
    <d v="2012-08-18T00:00:00"/>
    <s v="017-2210-000"/>
    <s v="Liquor Sales"/>
    <n v="1206.576"/>
    <n v="0"/>
    <s v="Daily Sales Import"/>
    <n v="-1206.576"/>
    <n v="1206.576"/>
    <x v="1"/>
    <s v="2210"/>
    <s v="000"/>
    <x v="10"/>
    <x v="1"/>
  </r>
  <r>
    <d v="2012-08-18T00:00:00"/>
    <s v="017-2220-000"/>
    <s v="Beer Sales"/>
    <n v="205.05749999999998"/>
    <n v="0"/>
    <s v="Daily Sales Import"/>
    <n v="-205.05749999999998"/>
    <n v="205.05749999999998"/>
    <x v="1"/>
    <s v="2220"/>
    <s v="000"/>
    <x v="10"/>
    <x v="1"/>
  </r>
  <r>
    <d v="2012-08-18T00:00:00"/>
    <s v="017-2230-000"/>
    <s v="Wine Sales"/>
    <n v="54.904499999999999"/>
    <n v="0"/>
    <s v="Daily Sales Import"/>
    <n v="-54.904499999999999"/>
    <n v="54.904499999999999"/>
    <x v="1"/>
    <s v="2230"/>
    <s v="000"/>
    <x v="10"/>
    <x v="1"/>
  </r>
  <r>
    <d v="2012-08-19T00:00:00"/>
    <s v="017-2100-000"/>
    <s v="Food Sales"/>
    <n v="3726.2040000000002"/>
    <n v="0"/>
    <s v="Daily Sales Import"/>
    <n v="-3726.2040000000002"/>
    <n v="3726.2040000000002"/>
    <x v="1"/>
    <s v="2100"/>
    <s v="000"/>
    <x v="10"/>
    <x v="1"/>
  </r>
  <r>
    <d v="2012-08-19T00:00:00"/>
    <s v="017-2210-000"/>
    <s v="Liquor Sales"/>
    <n v="930.85199999999986"/>
    <n v="0"/>
    <s v="Daily Sales Import"/>
    <n v="-930.85199999999986"/>
    <n v="930.85199999999986"/>
    <x v="1"/>
    <s v="2210"/>
    <s v="000"/>
    <x v="10"/>
    <x v="1"/>
  </r>
  <r>
    <d v="2012-08-19T00:00:00"/>
    <s v="017-2220-000"/>
    <s v="Beer Sales"/>
    <n v="260.97499999999997"/>
    <n v="0"/>
    <s v="Daily Sales Import"/>
    <n v="-260.97499999999997"/>
    <n v="260.97499999999997"/>
    <x v="1"/>
    <s v="2220"/>
    <s v="000"/>
    <x v="10"/>
    <x v="1"/>
  </r>
  <r>
    <d v="2012-08-19T00:00:00"/>
    <s v="017-2230-000"/>
    <s v="Wine Sales"/>
    <n v="62.648000000000003"/>
    <n v="0"/>
    <s v="Daily Sales Import"/>
    <n v="-62.648000000000003"/>
    <n v="62.648000000000003"/>
    <x v="1"/>
    <s v="2230"/>
    <s v="000"/>
    <x v="10"/>
    <x v="1"/>
  </r>
  <r>
    <d v="2012-08-13T00:00:00"/>
    <s v="018-2100-000"/>
    <s v="Food Sales"/>
    <n v="4509.0583999999999"/>
    <n v="0"/>
    <s v="Daily Sales Import"/>
    <n v="-4509.0583999999999"/>
    <n v="4509.0583999999999"/>
    <x v="2"/>
    <s v="2100"/>
    <s v="000"/>
    <x v="10"/>
    <x v="1"/>
  </r>
  <r>
    <d v="2012-08-13T00:00:00"/>
    <s v="018-2210-000"/>
    <s v="Liquor Sales"/>
    <n v="705.91500000000008"/>
    <n v="0"/>
    <s v="Daily Sales Import"/>
    <n v="-705.91500000000008"/>
    <n v="705.91500000000008"/>
    <x v="2"/>
    <s v="2210"/>
    <s v="000"/>
    <x v="10"/>
    <x v="1"/>
  </r>
  <r>
    <d v="2012-08-13T00:00:00"/>
    <s v="018-2220-000"/>
    <s v="Beer Sales"/>
    <n v="113.664"/>
    <n v="0"/>
    <s v="Daily Sales Import"/>
    <n v="-113.664"/>
    <n v="113.664"/>
    <x v="2"/>
    <s v="2220"/>
    <s v="000"/>
    <x v="10"/>
    <x v="1"/>
  </r>
  <r>
    <d v="2012-08-13T00:00:00"/>
    <s v="018-2230-000"/>
    <s v="Wine Sales"/>
    <n v="36.887999999999998"/>
    <n v="0"/>
    <s v="Daily Sales Import"/>
    <n v="-36.887999999999998"/>
    <n v="36.887999999999998"/>
    <x v="2"/>
    <s v="2230"/>
    <s v="000"/>
    <x v="10"/>
    <x v="1"/>
  </r>
  <r>
    <d v="2012-08-14T00:00:00"/>
    <s v="018-2100-000"/>
    <s v="Food Sales"/>
    <n v="5592.3174999999992"/>
    <n v="0"/>
    <s v="Daily Sales Import"/>
    <n v="-5592.3174999999992"/>
    <n v="5592.3174999999992"/>
    <x v="2"/>
    <s v="2100"/>
    <s v="000"/>
    <x v="10"/>
    <x v="1"/>
  </r>
  <r>
    <d v="2012-08-14T00:00:00"/>
    <s v="018-2210-000"/>
    <s v="Liquor Sales"/>
    <n v="1104.7590000000002"/>
    <n v="0"/>
    <s v="Daily Sales Import"/>
    <n v="-1104.7590000000002"/>
    <n v="1104.7590000000002"/>
    <x v="2"/>
    <s v="2210"/>
    <s v="000"/>
    <x v="10"/>
    <x v="1"/>
  </r>
  <r>
    <d v="2012-08-14T00:00:00"/>
    <s v="018-2220-000"/>
    <s v="Beer Sales"/>
    <n v="147.71549999999999"/>
    <n v="0"/>
    <s v="Daily Sales Import"/>
    <n v="-147.71549999999999"/>
    <n v="147.71549999999999"/>
    <x v="2"/>
    <s v="2220"/>
    <s v="000"/>
    <x v="10"/>
    <x v="1"/>
  </r>
  <r>
    <d v="2012-08-14T00:00:00"/>
    <s v="018-2230-000"/>
    <s v="Wine Sales"/>
    <n v="65.454999999999998"/>
    <n v="0"/>
    <s v="Daily Sales Import"/>
    <n v="-65.454999999999998"/>
    <n v="65.454999999999998"/>
    <x v="2"/>
    <s v="2230"/>
    <s v="000"/>
    <x v="10"/>
    <x v="1"/>
  </r>
  <r>
    <d v="2012-08-15T00:00:00"/>
    <s v="018-2100-000"/>
    <s v="Food Sales"/>
    <n v="4389.7246999999998"/>
    <n v="0"/>
    <s v="Daily Sales Import"/>
    <n v="-4389.7246999999998"/>
    <n v="4389.7246999999998"/>
    <x v="2"/>
    <s v="2100"/>
    <s v="000"/>
    <x v="10"/>
    <x v="1"/>
  </r>
  <r>
    <d v="2012-08-15T00:00:00"/>
    <s v="018-2210-000"/>
    <s v="Liquor Sales"/>
    <n v="2001.0435000000002"/>
    <n v="0"/>
    <s v="Daily Sales Import"/>
    <n v="-2001.0435000000002"/>
    <n v="2001.0435000000002"/>
    <x v="2"/>
    <s v="2210"/>
    <s v="000"/>
    <x v="10"/>
    <x v="1"/>
  </r>
  <r>
    <d v="2012-08-15T00:00:00"/>
    <s v="018-2220-000"/>
    <s v="Beer Sales"/>
    <n v="387.65999999999997"/>
    <n v="0"/>
    <s v="Daily Sales Import"/>
    <n v="-387.65999999999997"/>
    <n v="387.65999999999997"/>
    <x v="2"/>
    <s v="2220"/>
    <s v="000"/>
    <x v="10"/>
    <x v="1"/>
  </r>
  <r>
    <d v="2012-08-15T00:00:00"/>
    <s v="018-2230-000"/>
    <s v="Wine Sales"/>
    <n v="44.900500000000001"/>
    <n v="0"/>
    <s v="Daily Sales Import"/>
    <n v="-44.900500000000001"/>
    <n v="44.900500000000001"/>
    <x v="2"/>
    <s v="2230"/>
    <s v="000"/>
    <x v="10"/>
    <x v="1"/>
  </r>
  <r>
    <d v="2012-08-16T00:00:00"/>
    <s v="018-2100-000"/>
    <s v="Food Sales"/>
    <n v="5592.96"/>
    <n v="0"/>
    <s v="Daily Sales Import"/>
    <n v="-5592.96"/>
    <n v="5592.96"/>
    <x v="2"/>
    <s v="2100"/>
    <s v="000"/>
    <x v="10"/>
    <x v="1"/>
  </r>
  <r>
    <d v="2012-08-16T00:00:00"/>
    <s v="018-2210-000"/>
    <s v="Liquor Sales"/>
    <n v="1185.182"/>
    <n v="0"/>
    <s v="Daily Sales Import"/>
    <n v="-1185.182"/>
    <n v="1185.182"/>
    <x v="2"/>
    <s v="2210"/>
    <s v="000"/>
    <x v="10"/>
    <x v="1"/>
  </r>
  <r>
    <d v="2012-08-16T00:00:00"/>
    <s v="018-2220-000"/>
    <s v="Beer Sales"/>
    <n v="313.02600000000001"/>
    <n v="0"/>
    <s v="Daily Sales Import"/>
    <n v="-313.02600000000001"/>
    <n v="313.02600000000001"/>
    <x v="2"/>
    <s v="2220"/>
    <s v="000"/>
    <x v="10"/>
    <x v="1"/>
  </r>
  <r>
    <d v="2012-08-16T00:00:00"/>
    <s v="018-2230-000"/>
    <s v="Wine Sales"/>
    <n v="59.364000000000004"/>
    <n v="0"/>
    <s v="Daily Sales Import"/>
    <n v="-59.364000000000004"/>
    <n v="59.364000000000004"/>
    <x v="2"/>
    <s v="2230"/>
    <s v="000"/>
    <x v="10"/>
    <x v="1"/>
  </r>
  <r>
    <d v="2012-08-17T00:00:00"/>
    <s v="018-2100-000"/>
    <s v="Food Sales"/>
    <n v="12479.657500000001"/>
    <n v="0"/>
    <s v="Daily Sales Import"/>
    <n v="-12479.657500000001"/>
    <n v="12479.657500000001"/>
    <x v="2"/>
    <s v="2100"/>
    <s v="000"/>
    <x v="10"/>
    <x v="1"/>
  </r>
  <r>
    <d v="2012-08-17T00:00:00"/>
    <s v="018-2210-000"/>
    <s v="Liquor Sales"/>
    <n v="1827.36"/>
    <n v="0"/>
    <s v="Daily Sales Import"/>
    <n v="-1827.36"/>
    <n v="1827.36"/>
    <x v="2"/>
    <s v="2210"/>
    <s v="000"/>
    <x v="10"/>
    <x v="1"/>
  </r>
  <r>
    <d v="2012-08-17T00:00:00"/>
    <s v="018-2220-000"/>
    <s v="Beer Sales"/>
    <n v="705.83400000000006"/>
    <n v="0"/>
    <s v="Daily Sales Import"/>
    <n v="-705.83400000000006"/>
    <n v="705.83400000000006"/>
    <x v="2"/>
    <s v="2220"/>
    <s v="000"/>
    <x v="10"/>
    <x v="1"/>
  </r>
  <r>
    <d v="2012-08-17T00:00:00"/>
    <s v="018-2230-000"/>
    <s v="Wine Sales"/>
    <n v="140.31"/>
    <n v="0"/>
    <s v="Daily Sales Import"/>
    <n v="-140.31"/>
    <n v="140.31"/>
    <x v="2"/>
    <s v="2230"/>
    <s v="000"/>
    <x v="10"/>
    <x v="1"/>
  </r>
  <r>
    <d v="2012-08-18T00:00:00"/>
    <s v="018-2100-000"/>
    <s v="Food Sales"/>
    <n v="13647.647999999999"/>
    <n v="0"/>
    <s v="Daily Sales Import"/>
    <n v="-13647.647999999999"/>
    <n v="13647.647999999999"/>
    <x v="2"/>
    <s v="2100"/>
    <s v="000"/>
    <x v="10"/>
    <x v="1"/>
  </r>
  <r>
    <d v="2012-08-18T00:00:00"/>
    <s v="018-2210-000"/>
    <s v="Liquor Sales"/>
    <n v="2451.8074999999999"/>
    <n v="0"/>
    <s v="Daily Sales Import"/>
    <n v="-2451.8074999999999"/>
    <n v="2451.8074999999999"/>
    <x v="2"/>
    <s v="2210"/>
    <s v="000"/>
    <x v="10"/>
    <x v="1"/>
  </r>
  <r>
    <d v="2012-08-18T00:00:00"/>
    <s v="018-2220-000"/>
    <s v="Beer Sales"/>
    <n v="576.67949999999996"/>
    <n v="0"/>
    <s v="Daily Sales Import"/>
    <n v="-576.67949999999996"/>
    <n v="576.67949999999996"/>
    <x v="2"/>
    <s v="2220"/>
    <s v="000"/>
    <x v="10"/>
    <x v="1"/>
  </r>
  <r>
    <d v="2012-08-18T00:00:00"/>
    <s v="018-2230-000"/>
    <s v="Wine Sales"/>
    <n v="134.93700000000001"/>
    <n v="0"/>
    <s v="Daily Sales Import"/>
    <n v="-134.93700000000001"/>
    <n v="134.93700000000001"/>
    <x v="2"/>
    <s v="2230"/>
    <s v="000"/>
    <x v="10"/>
    <x v="1"/>
  </r>
  <r>
    <d v="2012-08-19T00:00:00"/>
    <s v="018-2100-000"/>
    <s v="Food Sales"/>
    <n v="6815.474400000001"/>
    <n v="0"/>
    <s v="Daily Sales Import"/>
    <n v="-6815.474400000001"/>
    <n v="6815.474400000001"/>
    <x v="2"/>
    <s v="2100"/>
    <s v="000"/>
    <x v="10"/>
    <x v="1"/>
  </r>
  <r>
    <d v="2012-08-19T00:00:00"/>
    <s v="018-2210-000"/>
    <s v="Liquor Sales"/>
    <n v="1127.6400000000001"/>
    <n v="0"/>
    <s v="Daily Sales Import"/>
    <n v="-1127.6400000000001"/>
    <n v="1127.6400000000001"/>
    <x v="2"/>
    <s v="2210"/>
    <s v="000"/>
    <x v="10"/>
    <x v="1"/>
  </r>
  <r>
    <d v="2012-08-19T00:00:00"/>
    <s v="018-2220-000"/>
    <s v="Beer Sales"/>
    <n v="310.5"/>
    <n v="0"/>
    <s v="Daily Sales Import"/>
    <n v="-310.5"/>
    <n v="310.5"/>
    <x v="2"/>
    <s v="2220"/>
    <s v="000"/>
    <x v="10"/>
    <x v="1"/>
  </r>
  <r>
    <d v="2012-08-19T00:00:00"/>
    <s v="018-2230-000"/>
    <s v="Wine Sales"/>
    <n v="82.45"/>
    <n v="0"/>
    <s v="Daily Sales Import"/>
    <n v="-82.45"/>
    <n v="82.45"/>
    <x v="2"/>
    <s v="2230"/>
    <s v="000"/>
    <x v="10"/>
    <x v="1"/>
  </r>
  <r>
    <d v="2012-08-20T00:00:00"/>
    <s v="016-2100-000"/>
    <s v="Food Sales"/>
    <n v="1604.2880000000002"/>
    <n v="0"/>
    <s v="Daily Sales Import"/>
    <n v="-1604.2880000000002"/>
    <n v="1604.2880000000002"/>
    <x v="0"/>
    <s v="2100"/>
    <s v="000"/>
    <x v="10"/>
    <x v="1"/>
  </r>
  <r>
    <d v="2012-08-20T00:00:00"/>
    <s v="016-2210-000"/>
    <s v="Liquor Sales"/>
    <n v="466.70499999999998"/>
    <n v="0"/>
    <s v="Daily Sales Import"/>
    <n v="-466.70499999999998"/>
    <n v="466.70499999999998"/>
    <x v="0"/>
    <s v="2210"/>
    <s v="000"/>
    <x v="10"/>
    <x v="1"/>
  </r>
  <r>
    <d v="2012-08-20T00:00:00"/>
    <s v="016-2220-000"/>
    <s v="Beer Sales"/>
    <n v="61.792500000000004"/>
    <n v="0"/>
    <s v="Daily Sales Import"/>
    <n v="-61.792500000000004"/>
    <n v="61.792500000000004"/>
    <x v="0"/>
    <s v="2220"/>
    <s v="000"/>
    <x v="10"/>
    <x v="1"/>
  </r>
  <r>
    <d v="2012-08-20T00:00:00"/>
    <s v="016-2230-000"/>
    <s v="Wine Sales"/>
    <n v="120.33"/>
    <n v="0"/>
    <s v="Daily Sales Import"/>
    <n v="-120.33"/>
    <n v="120.33"/>
    <x v="0"/>
    <s v="2230"/>
    <s v="000"/>
    <x v="10"/>
    <x v="1"/>
  </r>
  <r>
    <d v="2012-08-21T00:00:00"/>
    <s v="016-2100-000"/>
    <s v="Food Sales"/>
    <n v="4874.5917000000009"/>
    <n v="0"/>
    <s v="Daily Sales Import"/>
    <n v="-4874.5917000000009"/>
    <n v="4874.5917000000009"/>
    <x v="0"/>
    <s v="2100"/>
    <s v="000"/>
    <x v="10"/>
    <x v="1"/>
  </r>
  <r>
    <d v="2012-08-21T00:00:00"/>
    <s v="016-2210-000"/>
    <s v="Liquor Sales"/>
    <n v="1571.9459999999999"/>
    <n v="0"/>
    <s v="Daily Sales Import"/>
    <n v="-1571.9459999999999"/>
    <n v="1571.9459999999999"/>
    <x v="0"/>
    <s v="2210"/>
    <s v="000"/>
    <x v="10"/>
    <x v="1"/>
  </r>
  <r>
    <d v="2012-08-21T00:00:00"/>
    <s v="016-2220-000"/>
    <s v="Beer Sales"/>
    <n v="704.72609999999997"/>
    <n v="0"/>
    <s v="Daily Sales Import"/>
    <n v="-704.72609999999997"/>
    <n v="704.72609999999997"/>
    <x v="0"/>
    <s v="2220"/>
    <s v="000"/>
    <x v="10"/>
    <x v="1"/>
  </r>
  <r>
    <d v="2012-08-21T00:00:00"/>
    <s v="016-2230-000"/>
    <s v="Wine Sales"/>
    <n v="129.92899999999997"/>
    <n v="0"/>
    <s v="Daily Sales Import"/>
    <n v="-129.92899999999997"/>
    <n v="129.92899999999997"/>
    <x v="0"/>
    <s v="2230"/>
    <s v="000"/>
    <x v="10"/>
    <x v="1"/>
  </r>
  <r>
    <d v="2012-08-22T00:00:00"/>
    <s v="016-2100-000"/>
    <s v="Food Sales"/>
    <n v="2341.5728999999997"/>
    <n v="0"/>
    <s v="Daily Sales Import"/>
    <n v="-2341.5728999999997"/>
    <n v="2341.5728999999997"/>
    <x v="0"/>
    <s v="2100"/>
    <s v="000"/>
    <x v="10"/>
    <x v="1"/>
  </r>
  <r>
    <d v="2012-08-22T00:00:00"/>
    <s v="016-2210-000"/>
    <s v="Liquor Sales"/>
    <n v="1000.9090000000001"/>
    <n v="0"/>
    <s v="Daily Sales Import"/>
    <n v="-1000.9090000000001"/>
    <n v="1000.9090000000001"/>
    <x v="0"/>
    <s v="2210"/>
    <s v="000"/>
    <x v="10"/>
    <x v="1"/>
  </r>
  <r>
    <d v="2012-08-22T00:00:00"/>
    <s v="016-2220-000"/>
    <s v="Beer Sales"/>
    <n v="68.72699999999999"/>
    <n v="0"/>
    <s v="Daily Sales Import"/>
    <n v="-68.72699999999999"/>
    <n v="68.72699999999999"/>
    <x v="0"/>
    <s v="2220"/>
    <s v="000"/>
    <x v="10"/>
    <x v="1"/>
  </r>
  <r>
    <d v="2012-08-22T00:00:00"/>
    <s v="016-2230-000"/>
    <s v="Wine Sales"/>
    <n v="32.064999999999998"/>
    <n v="0"/>
    <s v="Daily Sales Import"/>
    <n v="-32.064999999999998"/>
    <n v="32.064999999999998"/>
    <x v="0"/>
    <s v="2230"/>
    <s v="000"/>
    <x v="10"/>
    <x v="1"/>
  </r>
  <r>
    <d v="2012-08-23T00:00:00"/>
    <s v="016-2100-000"/>
    <s v="Food Sales"/>
    <n v="3203.0567999999994"/>
    <n v="0"/>
    <s v="Daily Sales Import"/>
    <n v="-3203.0567999999994"/>
    <n v="3203.0567999999994"/>
    <x v="0"/>
    <s v="2100"/>
    <s v="000"/>
    <x v="10"/>
    <x v="1"/>
  </r>
  <r>
    <d v="2012-08-23T00:00:00"/>
    <s v="016-2210-000"/>
    <s v="Liquor Sales"/>
    <n v="837.68"/>
    <n v="0"/>
    <s v="Daily Sales Import"/>
    <n v="-837.68"/>
    <n v="837.68"/>
    <x v="0"/>
    <s v="2210"/>
    <s v="000"/>
    <x v="10"/>
    <x v="1"/>
  </r>
  <r>
    <d v="2012-08-23T00:00:00"/>
    <s v="016-2220-000"/>
    <s v="Beer Sales"/>
    <n v="173.988"/>
    <n v="0"/>
    <s v="Daily Sales Import"/>
    <n v="-173.988"/>
    <n v="173.988"/>
    <x v="0"/>
    <s v="2220"/>
    <s v="000"/>
    <x v="10"/>
    <x v="1"/>
  </r>
  <r>
    <d v="2012-08-23T00:00:00"/>
    <s v="016-2230-000"/>
    <s v="Wine Sales"/>
    <n v="125.96999999999998"/>
    <n v="0"/>
    <s v="Daily Sales Import"/>
    <n v="-125.96999999999998"/>
    <n v="125.96999999999998"/>
    <x v="0"/>
    <s v="2230"/>
    <s v="000"/>
    <x v="10"/>
    <x v="1"/>
  </r>
  <r>
    <d v="2012-08-24T00:00:00"/>
    <s v="016-2100-000"/>
    <s v="Food Sales"/>
    <n v="6012.1838999999991"/>
    <n v="0"/>
    <s v="Daily Sales Import"/>
    <n v="-6012.1838999999991"/>
    <n v="6012.1838999999991"/>
    <x v="0"/>
    <s v="2100"/>
    <s v="000"/>
    <x v="10"/>
    <x v="1"/>
  </r>
  <r>
    <d v="2012-08-24T00:00:00"/>
    <s v="016-2210-000"/>
    <s v="Liquor Sales"/>
    <n v="2372.6559999999999"/>
    <n v="0"/>
    <s v="Daily Sales Import"/>
    <n v="-2372.6559999999999"/>
    <n v="2372.6559999999999"/>
    <x v="0"/>
    <s v="2210"/>
    <s v="000"/>
    <x v="10"/>
    <x v="1"/>
  </r>
  <r>
    <d v="2012-08-24T00:00:00"/>
    <s v="016-2220-000"/>
    <s v="Beer Sales"/>
    <n v="559.59749999999997"/>
    <n v="0"/>
    <s v="Daily Sales Import"/>
    <n v="-559.59749999999997"/>
    <n v="559.59749999999997"/>
    <x v="0"/>
    <s v="2220"/>
    <s v="000"/>
    <x v="10"/>
    <x v="1"/>
  </r>
  <r>
    <d v="2012-08-24T00:00:00"/>
    <s v="016-2230-000"/>
    <s v="Wine Sales"/>
    <n v="168.14999999999998"/>
    <n v="0"/>
    <s v="Daily Sales Import"/>
    <n v="-168.14999999999998"/>
    <n v="168.14999999999998"/>
    <x v="0"/>
    <s v="2230"/>
    <s v="000"/>
    <x v="10"/>
    <x v="1"/>
  </r>
  <r>
    <d v="2012-08-25T00:00:00"/>
    <s v="016-2100-000"/>
    <s v="Food Sales"/>
    <n v="7198.7697000000007"/>
    <n v="0"/>
    <s v="Daily Sales Import"/>
    <n v="-7198.7697000000007"/>
    <n v="7198.7697000000007"/>
    <x v="0"/>
    <s v="2100"/>
    <s v="000"/>
    <x v="10"/>
    <x v="1"/>
  </r>
  <r>
    <d v="2012-08-25T00:00:00"/>
    <s v="016-2210-000"/>
    <s v="Liquor Sales"/>
    <n v="2747.6849999999999"/>
    <n v="0"/>
    <s v="Daily Sales Import"/>
    <n v="-2747.6849999999999"/>
    <n v="2747.6849999999999"/>
    <x v="0"/>
    <s v="2210"/>
    <s v="000"/>
    <x v="10"/>
    <x v="1"/>
  </r>
  <r>
    <d v="2012-08-25T00:00:00"/>
    <s v="016-2220-000"/>
    <s v="Beer Sales"/>
    <n v="302.49599999999998"/>
    <n v="0"/>
    <s v="Daily Sales Import"/>
    <n v="-302.49599999999998"/>
    <n v="302.49599999999998"/>
    <x v="0"/>
    <s v="2220"/>
    <s v="000"/>
    <x v="10"/>
    <x v="1"/>
  </r>
  <r>
    <d v="2012-08-25T00:00:00"/>
    <s v="016-2230-000"/>
    <s v="Wine Sales"/>
    <n v="90.847999999999999"/>
    <n v="0"/>
    <s v="Daily Sales Import"/>
    <n v="-90.847999999999999"/>
    <n v="90.847999999999999"/>
    <x v="0"/>
    <s v="2230"/>
    <s v="000"/>
    <x v="10"/>
    <x v="1"/>
  </r>
  <r>
    <d v="2012-08-26T00:00:00"/>
    <s v="016-2100-000"/>
    <s v="Food Sales"/>
    <n v="1118.2649999999999"/>
    <n v="0"/>
    <s v="Daily Sales Import"/>
    <n v="-1118.2649999999999"/>
    <n v="1118.2649999999999"/>
    <x v="0"/>
    <s v="2100"/>
    <s v="000"/>
    <x v="10"/>
    <x v="1"/>
  </r>
  <r>
    <d v="2012-08-26T00:00:00"/>
    <s v="016-2210-000"/>
    <s v="Liquor Sales"/>
    <n v="248.24799999999999"/>
    <n v="0"/>
    <s v="Daily Sales Import"/>
    <n v="-248.24799999999999"/>
    <n v="248.24799999999999"/>
    <x v="0"/>
    <s v="2210"/>
    <s v="000"/>
    <x v="10"/>
    <x v="1"/>
  </r>
  <r>
    <d v="2012-08-26T00:00:00"/>
    <s v="016-2220-000"/>
    <s v="Beer Sales"/>
    <n v="43.375499999999995"/>
    <n v="0"/>
    <s v="Daily Sales Import"/>
    <n v="-43.375499999999995"/>
    <n v="43.375499999999995"/>
    <x v="0"/>
    <s v="2220"/>
    <s v="000"/>
    <x v="10"/>
    <x v="1"/>
  </r>
  <r>
    <d v="2012-08-26T00:00:00"/>
    <s v="016-2230-000"/>
    <s v="Wine Sales"/>
    <n v="21.975999999999999"/>
    <n v="0"/>
    <s v="Daily Sales Import"/>
    <n v="-21.975999999999999"/>
    <n v="21.975999999999999"/>
    <x v="0"/>
    <s v="2230"/>
    <s v="000"/>
    <x v="10"/>
    <x v="1"/>
  </r>
  <r>
    <d v="2012-08-20T00:00:00"/>
    <s v="017-2100-000"/>
    <s v="Food Sales"/>
    <n v="3340.81"/>
    <n v="0"/>
    <s v="Daily Sales Import"/>
    <n v="-3340.81"/>
    <n v="3340.81"/>
    <x v="1"/>
    <s v="2100"/>
    <s v="000"/>
    <x v="10"/>
    <x v="1"/>
  </r>
  <r>
    <d v="2012-08-20T00:00:00"/>
    <s v="017-2210-000"/>
    <s v="Liquor Sales"/>
    <n v="951.048"/>
    <n v="0"/>
    <s v="Daily Sales Import"/>
    <n v="-951.048"/>
    <n v="951.048"/>
    <x v="1"/>
    <s v="2210"/>
    <s v="000"/>
    <x v="10"/>
    <x v="1"/>
  </r>
  <r>
    <d v="2012-08-20T00:00:00"/>
    <s v="017-2220-000"/>
    <s v="Beer Sales"/>
    <n v="229.79999999999998"/>
    <n v="0"/>
    <s v="Daily Sales Import"/>
    <n v="-229.79999999999998"/>
    <n v="229.79999999999998"/>
    <x v="1"/>
    <s v="2220"/>
    <s v="000"/>
    <x v="10"/>
    <x v="1"/>
  </r>
  <r>
    <d v="2012-08-20T00:00:00"/>
    <s v="017-2230-000"/>
    <s v="Wine Sales"/>
    <n v="39.855999999999995"/>
    <n v="0"/>
    <s v="Daily Sales Import"/>
    <n v="-39.855999999999995"/>
    <n v="39.855999999999995"/>
    <x v="1"/>
    <s v="2230"/>
    <s v="000"/>
    <x v="10"/>
    <x v="1"/>
  </r>
  <r>
    <d v="2012-08-21T00:00:00"/>
    <s v="017-2100-000"/>
    <s v="Food Sales"/>
    <n v="6530.0824999999995"/>
    <n v="0"/>
    <s v="Daily Sales Import"/>
    <n v="-6530.0824999999995"/>
    <n v="6530.0824999999995"/>
    <x v="1"/>
    <s v="2100"/>
    <s v="000"/>
    <x v="10"/>
    <x v="1"/>
  </r>
  <r>
    <d v="2012-08-21T00:00:00"/>
    <s v="017-2210-000"/>
    <s v="Liquor Sales"/>
    <n v="2507.9249999999997"/>
    <n v="0"/>
    <s v="Daily Sales Import"/>
    <n v="-2507.9249999999997"/>
    <n v="2507.9249999999997"/>
    <x v="1"/>
    <s v="2210"/>
    <s v="000"/>
    <x v="10"/>
    <x v="1"/>
  </r>
  <r>
    <d v="2012-08-21T00:00:00"/>
    <s v="017-2220-000"/>
    <s v="Beer Sales"/>
    <n v="445.76"/>
    <n v="0"/>
    <s v="Daily Sales Import"/>
    <n v="-445.76"/>
    <n v="445.76"/>
    <x v="1"/>
    <s v="2220"/>
    <s v="000"/>
    <x v="10"/>
    <x v="1"/>
  </r>
  <r>
    <d v="2012-08-21T00:00:00"/>
    <s v="017-2230-000"/>
    <s v="Wine Sales"/>
    <n v="99.179000000000002"/>
    <n v="0"/>
    <s v="Daily Sales Import"/>
    <n v="-99.179000000000002"/>
    <n v="99.179000000000002"/>
    <x v="1"/>
    <s v="2230"/>
    <s v="000"/>
    <x v="10"/>
    <x v="1"/>
  </r>
  <r>
    <d v="2012-08-22T00:00:00"/>
    <s v="017-2100-000"/>
    <s v="Food Sales"/>
    <n v="8595.2551000000003"/>
    <n v="0"/>
    <s v="Daily Sales Import"/>
    <n v="-8595.2551000000003"/>
    <n v="8595.2551000000003"/>
    <x v="1"/>
    <s v="2100"/>
    <s v="000"/>
    <x v="10"/>
    <x v="1"/>
  </r>
  <r>
    <d v="2012-08-22T00:00:00"/>
    <s v="017-2210-000"/>
    <s v="Liquor Sales"/>
    <n v="1628.8219999999999"/>
    <n v="0"/>
    <s v="Daily Sales Import"/>
    <n v="-1628.8219999999999"/>
    <n v="1628.8219999999999"/>
    <x v="1"/>
    <s v="2210"/>
    <s v="000"/>
    <x v="10"/>
    <x v="1"/>
  </r>
  <r>
    <d v="2012-08-22T00:00:00"/>
    <s v="017-2220-000"/>
    <s v="Beer Sales"/>
    <n v="465.79500000000002"/>
    <n v="0"/>
    <s v="Daily Sales Import"/>
    <n v="-465.79500000000002"/>
    <n v="465.79500000000002"/>
    <x v="1"/>
    <s v="2220"/>
    <s v="000"/>
    <x v="10"/>
    <x v="1"/>
  </r>
  <r>
    <d v="2012-08-22T00:00:00"/>
    <s v="017-2230-000"/>
    <s v="Wine Sales"/>
    <n v="73.871999999999986"/>
    <n v="0"/>
    <s v="Daily Sales Import"/>
    <n v="-73.871999999999986"/>
    <n v="73.871999999999986"/>
    <x v="1"/>
    <s v="2230"/>
    <s v="000"/>
    <x v="10"/>
    <x v="1"/>
  </r>
  <r>
    <d v="2012-08-23T00:00:00"/>
    <s v="017-2100-000"/>
    <s v="Food Sales"/>
    <n v="4142.1819999999998"/>
    <n v="0"/>
    <s v="Daily Sales Import"/>
    <n v="-4142.1819999999998"/>
    <n v="4142.1819999999998"/>
    <x v="1"/>
    <s v="2100"/>
    <s v="000"/>
    <x v="10"/>
    <x v="1"/>
  </r>
  <r>
    <d v="2012-08-23T00:00:00"/>
    <s v="017-2210-000"/>
    <s v="Liquor Sales"/>
    <n v="1246.4404999999999"/>
    <n v="0"/>
    <s v="Daily Sales Import"/>
    <n v="-1246.4404999999999"/>
    <n v="1246.4404999999999"/>
    <x v="1"/>
    <s v="2210"/>
    <s v="000"/>
    <x v="10"/>
    <x v="1"/>
  </r>
  <r>
    <d v="2012-08-23T00:00:00"/>
    <s v="017-2220-000"/>
    <s v="Beer Sales"/>
    <n v="559.54999999999995"/>
    <n v="0"/>
    <s v="Daily Sales Import"/>
    <n v="-559.54999999999995"/>
    <n v="559.54999999999995"/>
    <x v="1"/>
    <s v="2220"/>
    <s v="000"/>
    <x v="10"/>
    <x v="1"/>
  </r>
  <r>
    <d v="2012-08-23T00:00:00"/>
    <s v="017-2230-000"/>
    <s v="Wine Sales"/>
    <n v="80.037499999999994"/>
    <n v="0"/>
    <s v="Daily Sales Import"/>
    <n v="-80.037499999999994"/>
    <n v="80.037499999999994"/>
    <x v="1"/>
    <s v="2230"/>
    <s v="000"/>
    <x v="10"/>
    <x v="1"/>
  </r>
  <r>
    <d v="2012-08-24T00:00:00"/>
    <s v="017-2100-000"/>
    <s v="Food Sales"/>
    <n v="6594.1707999999999"/>
    <n v="0"/>
    <s v="Daily Sales Import"/>
    <n v="-6594.1707999999999"/>
    <n v="6594.1707999999999"/>
    <x v="1"/>
    <s v="2100"/>
    <s v="000"/>
    <x v="10"/>
    <x v="1"/>
  </r>
  <r>
    <d v="2012-08-24T00:00:00"/>
    <s v="017-2210-000"/>
    <s v="Liquor Sales"/>
    <n v="2449.48"/>
    <n v="0"/>
    <s v="Daily Sales Import"/>
    <n v="-2449.48"/>
    <n v="2449.48"/>
    <x v="1"/>
    <s v="2210"/>
    <s v="000"/>
    <x v="10"/>
    <x v="1"/>
  </r>
  <r>
    <d v="2012-08-24T00:00:00"/>
    <s v="017-2220-000"/>
    <s v="Beer Sales"/>
    <n v="521.85"/>
    <n v="0"/>
    <s v="Daily Sales Import"/>
    <n v="-521.85"/>
    <n v="521.85"/>
    <x v="1"/>
    <s v="2220"/>
    <s v="000"/>
    <x v="10"/>
    <x v="1"/>
  </r>
  <r>
    <d v="2012-08-24T00:00:00"/>
    <s v="017-2230-000"/>
    <s v="Wine Sales"/>
    <n v="117.40649999999999"/>
    <n v="0"/>
    <s v="Daily Sales Import"/>
    <n v="-117.40649999999999"/>
    <n v="117.40649999999999"/>
    <x v="1"/>
    <s v="2230"/>
    <s v="000"/>
    <x v="10"/>
    <x v="1"/>
  </r>
  <r>
    <d v="2012-08-25T00:00:00"/>
    <s v="017-2100-000"/>
    <s v="Food Sales"/>
    <n v="6845.4126000000006"/>
    <n v="0"/>
    <s v="Daily Sales Import"/>
    <n v="-6845.4126000000006"/>
    <n v="6845.4126000000006"/>
    <x v="1"/>
    <s v="2100"/>
    <s v="000"/>
    <x v="10"/>
    <x v="1"/>
  </r>
  <r>
    <d v="2012-08-25T00:00:00"/>
    <s v="017-2210-000"/>
    <s v="Liquor Sales"/>
    <n v="1441.221"/>
    <n v="0"/>
    <s v="Daily Sales Import"/>
    <n v="-1441.221"/>
    <n v="1441.221"/>
    <x v="1"/>
    <s v="2210"/>
    <s v="000"/>
    <x v="10"/>
    <x v="1"/>
  </r>
  <r>
    <d v="2012-08-25T00:00:00"/>
    <s v="017-2220-000"/>
    <s v="Beer Sales"/>
    <n v="554.32499999999993"/>
    <n v="0"/>
    <s v="Daily Sales Import"/>
    <n v="-554.32499999999993"/>
    <n v="554.32499999999993"/>
    <x v="1"/>
    <s v="2220"/>
    <s v="000"/>
    <x v="10"/>
    <x v="1"/>
  </r>
  <r>
    <d v="2012-08-25T00:00:00"/>
    <s v="017-2230-000"/>
    <s v="Wine Sales"/>
    <n v="111.49199999999999"/>
    <n v="0"/>
    <s v="Daily Sales Import"/>
    <n v="-111.49199999999999"/>
    <n v="111.49199999999999"/>
    <x v="1"/>
    <s v="2230"/>
    <s v="000"/>
    <x v="10"/>
    <x v="1"/>
  </r>
  <r>
    <d v="2012-08-26T00:00:00"/>
    <s v="017-2100-000"/>
    <s v="Food Sales"/>
    <n v="5692.3923999999997"/>
    <n v="0"/>
    <s v="Daily Sales Import"/>
    <n v="-5692.3923999999997"/>
    <n v="5692.3923999999997"/>
    <x v="1"/>
    <s v="2100"/>
    <s v="000"/>
    <x v="10"/>
    <x v="1"/>
  </r>
  <r>
    <d v="2012-08-26T00:00:00"/>
    <s v="017-2210-000"/>
    <s v="Liquor Sales"/>
    <n v="1172.1099999999999"/>
    <n v="0"/>
    <s v="Daily Sales Import"/>
    <n v="-1172.1099999999999"/>
    <n v="1172.1099999999999"/>
    <x v="1"/>
    <s v="2210"/>
    <s v="000"/>
    <x v="10"/>
    <x v="1"/>
  </r>
  <r>
    <d v="2012-08-26T00:00:00"/>
    <s v="017-2220-000"/>
    <s v="Beer Sales"/>
    <n v="144.84"/>
    <n v="0"/>
    <s v="Daily Sales Import"/>
    <n v="-144.84"/>
    <n v="144.84"/>
    <x v="1"/>
    <s v="2220"/>
    <s v="000"/>
    <x v="10"/>
    <x v="1"/>
  </r>
  <r>
    <d v="2012-08-26T00:00:00"/>
    <s v="017-2230-000"/>
    <s v="Wine Sales"/>
    <n v="71.72"/>
    <n v="0"/>
    <s v="Daily Sales Import"/>
    <n v="-71.72"/>
    <n v="71.72"/>
    <x v="1"/>
    <s v="2230"/>
    <s v="000"/>
    <x v="10"/>
    <x v="1"/>
  </r>
  <r>
    <d v="2012-08-20T00:00:00"/>
    <s v="018-2100-000"/>
    <s v="Food Sales"/>
    <n v="4722.2865999999995"/>
    <n v="0"/>
    <s v="Daily Sales Import"/>
    <n v="-4722.2865999999995"/>
    <n v="4722.2865999999995"/>
    <x v="2"/>
    <s v="2100"/>
    <s v="000"/>
    <x v="10"/>
    <x v="1"/>
  </r>
  <r>
    <d v="2012-08-20T00:00:00"/>
    <s v="018-2210-000"/>
    <s v="Liquor Sales"/>
    <n v="751.63199999999995"/>
    <n v="0"/>
    <s v="Daily Sales Import"/>
    <n v="-751.63199999999995"/>
    <n v="751.63199999999995"/>
    <x v="2"/>
    <s v="2210"/>
    <s v="000"/>
    <x v="10"/>
    <x v="1"/>
  </r>
  <r>
    <d v="2012-08-20T00:00:00"/>
    <s v="018-2220-000"/>
    <s v="Beer Sales"/>
    <n v="173.41649999999998"/>
    <n v="0"/>
    <s v="Daily Sales Import"/>
    <n v="-173.41649999999998"/>
    <n v="173.41649999999998"/>
    <x v="2"/>
    <s v="2220"/>
    <s v="000"/>
    <x v="10"/>
    <x v="1"/>
  </r>
  <r>
    <d v="2012-08-20T00:00:00"/>
    <s v="018-2230-000"/>
    <s v="Wine Sales"/>
    <n v="26.076000000000001"/>
    <n v="0"/>
    <s v="Daily Sales Import"/>
    <n v="-26.076000000000001"/>
    <n v="26.076000000000001"/>
    <x v="2"/>
    <s v="2230"/>
    <s v="000"/>
    <x v="10"/>
    <x v="1"/>
  </r>
  <r>
    <d v="2012-08-21T00:00:00"/>
    <s v="018-2100-000"/>
    <s v="Food Sales"/>
    <n v="4643.8404"/>
    <n v="0"/>
    <s v="Daily Sales Import"/>
    <n v="-4643.8404"/>
    <n v="4643.8404"/>
    <x v="2"/>
    <s v="2100"/>
    <s v="000"/>
    <x v="10"/>
    <x v="1"/>
  </r>
  <r>
    <d v="2012-08-21T00:00:00"/>
    <s v="018-2210-000"/>
    <s v="Liquor Sales"/>
    <n v="1109.2279999999998"/>
    <n v="0"/>
    <s v="Daily Sales Import"/>
    <n v="-1109.2279999999998"/>
    <n v="1109.2279999999998"/>
    <x v="2"/>
    <s v="2210"/>
    <s v="000"/>
    <x v="10"/>
    <x v="1"/>
  </r>
  <r>
    <d v="2012-08-21T00:00:00"/>
    <s v="018-2220-000"/>
    <s v="Beer Sales"/>
    <n v="135.72999999999999"/>
    <n v="0"/>
    <s v="Daily Sales Import"/>
    <n v="-135.72999999999999"/>
    <n v="135.72999999999999"/>
    <x v="2"/>
    <s v="2220"/>
    <s v="000"/>
    <x v="10"/>
    <x v="1"/>
  </r>
  <r>
    <d v="2012-08-21T00:00:00"/>
    <s v="018-2230-000"/>
    <s v="Wine Sales"/>
    <n v="49.149000000000001"/>
    <n v="0"/>
    <s v="Daily Sales Import"/>
    <n v="-49.149000000000001"/>
    <n v="49.149000000000001"/>
    <x v="2"/>
    <s v="2230"/>
    <s v="000"/>
    <x v="10"/>
    <x v="1"/>
  </r>
  <r>
    <d v="2012-08-22T00:00:00"/>
    <s v="018-2100-000"/>
    <s v="Food Sales"/>
    <n v="5580.7887999999994"/>
    <n v="0"/>
    <s v="Daily Sales Import"/>
    <n v="-5580.7887999999994"/>
    <n v="5580.7887999999994"/>
    <x v="2"/>
    <s v="2100"/>
    <s v="000"/>
    <x v="10"/>
    <x v="1"/>
  </r>
  <r>
    <d v="2012-08-22T00:00:00"/>
    <s v="018-2210-000"/>
    <s v="Liquor Sales"/>
    <n v="673.93999999999994"/>
    <n v="0"/>
    <s v="Daily Sales Import"/>
    <n v="-673.93999999999994"/>
    <n v="673.93999999999994"/>
    <x v="2"/>
    <s v="2210"/>
    <s v="000"/>
    <x v="10"/>
    <x v="1"/>
  </r>
  <r>
    <d v="2012-08-22T00:00:00"/>
    <s v="018-2220-000"/>
    <s v="Beer Sales"/>
    <n v="165.42000000000002"/>
    <n v="0"/>
    <s v="Daily Sales Import"/>
    <n v="-165.42000000000002"/>
    <n v="165.42000000000002"/>
    <x v="2"/>
    <s v="2220"/>
    <s v="000"/>
    <x v="10"/>
    <x v="1"/>
  </r>
  <r>
    <d v="2012-08-22T00:00:00"/>
    <s v="018-2230-000"/>
    <s v="Wine Sales"/>
    <n v="84.64500000000001"/>
    <n v="0"/>
    <s v="Daily Sales Import"/>
    <n v="-84.64500000000001"/>
    <n v="84.64500000000001"/>
    <x v="2"/>
    <s v="2230"/>
    <s v="000"/>
    <x v="10"/>
    <x v="1"/>
  </r>
  <r>
    <d v="2012-08-23T00:00:00"/>
    <s v="018-2100-000"/>
    <s v="Food Sales"/>
    <n v="5921.2001"/>
    <n v="0"/>
    <s v="Daily Sales Import"/>
    <n v="-5921.2001"/>
    <n v="5921.2001"/>
    <x v="2"/>
    <s v="2100"/>
    <s v="000"/>
    <x v="10"/>
    <x v="1"/>
  </r>
  <r>
    <d v="2012-08-23T00:00:00"/>
    <s v="018-2210-000"/>
    <s v="Liquor Sales"/>
    <n v="1056.9805000000001"/>
    <n v="0"/>
    <s v="Daily Sales Import"/>
    <n v="-1056.9805000000001"/>
    <n v="1056.9805000000001"/>
    <x v="2"/>
    <s v="2210"/>
    <s v="000"/>
    <x v="10"/>
    <x v="1"/>
  </r>
  <r>
    <d v="2012-08-23T00:00:00"/>
    <s v="018-2220-000"/>
    <s v="Beer Sales"/>
    <n v="193.8425"/>
    <n v="0"/>
    <s v="Daily Sales Import"/>
    <n v="-193.8425"/>
    <n v="193.8425"/>
    <x v="2"/>
    <s v="2220"/>
    <s v="000"/>
    <x v="10"/>
    <x v="1"/>
  </r>
  <r>
    <d v="2012-08-23T00:00:00"/>
    <s v="018-2230-000"/>
    <s v="Wine Sales"/>
    <n v="21.713999999999999"/>
    <n v="0"/>
    <s v="Daily Sales Import"/>
    <n v="-21.713999999999999"/>
    <n v="21.713999999999999"/>
    <x v="2"/>
    <s v="2230"/>
    <s v="000"/>
    <x v="10"/>
    <x v="1"/>
  </r>
  <r>
    <d v="2012-08-24T00:00:00"/>
    <s v="018-2100-000"/>
    <s v="Food Sales"/>
    <n v="10066.039999999999"/>
    <n v="0"/>
    <s v="Daily Sales Import"/>
    <n v="-10066.039999999999"/>
    <n v="10066.039999999999"/>
    <x v="2"/>
    <s v="2100"/>
    <s v="000"/>
    <x v="10"/>
    <x v="1"/>
  </r>
  <r>
    <d v="2012-08-24T00:00:00"/>
    <s v="018-2210-000"/>
    <s v="Liquor Sales"/>
    <n v="2254.8015"/>
    <n v="0"/>
    <s v="Daily Sales Import"/>
    <n v="-2254.8015"/>
    <n v="2254.8015"/>
    <x v="2"/>
    <s v="2210"/>
    <s v="000"/>
    <x v="10"/>
    <x v="1"/>
  </r>
  <r>
    <d v="2012-08-24T00:00:00"/>
    <s v="018-2220-000"/>
    <s v="Beer Sales"/>
    <n v="446.66249999999997"/>
    <n v="0"/>
    <s v="Daily Sales Import"/>
    <n v="-446.66249999999997"/>
    <n v="446.66249999999997"/>
    <x v="2"/>
    <s v="2220"/>
    <s v="000"/>
    <x v="10"/>
    <x v="1"/>
  </r>
  <r>
    <d v="2012-08-24T00:00:00"/>
    <s v="018-2230-000"/>
    <s v="Wine Sales"/>
    <n v="47.908000000000001"/>
    <n v="0"/>
    <s v="Daily Sales Import"/>
    <n v="-47.908000000000001"/>
    <n v="47.908000000000001"/>
    <x v="2"/>
    <s v="2230"/>
    <s v="000"/>
    <x v="10"/>
    <x v="1"/>
  </r>
  <r>
    <d v="2012-08-25T00:00:00"/>
    <s v="018-2100-000"/>
    <s v="Food Sales"/>
    <n v="8671.1827999999987"/>
    <n v="0"/>
    <s v="Daily Sales Import"/>
    <n v="-8671.1827999999987"/>
    <n v="8671.1827999999987"/>
    <x v="2"/>
    <s v="2100"/>
    <s v="000"/>
    <x v="10"/>
    <x v="1"/>
  </r>
  <r>
    <d v="2012-08-25T00:00:00"/>
    <s v="018-2210-000"/>
    <s v="Liquor Sales"/>
    <n v="1716.825"/>
    <n v="0"/>
    <s v="Daily Sales Import"/>
    <n v="-1716.825"/>
    <n v="1716.825"/>
    <x v="2"/>
    <s v="2210"/>
    <s v="000"/>
    <x v="10"/>
    <x v="1"/>
  </r>
  <r>
    <d v="2012-08-25T00:00:00"/>
    <s v="018-2220-000"/>
    <s v="Beer Sales"/>
    <n v="468.57600000000002"/>
    <n v="0"/>
    <s v="Daily Sales Import"/>
    <n v="-468.57600000000002"/>
    <n v="468.57600000000002"/>
    <x v="2"/>
    <s v="2220"/>
    <s v="000"/>
    <x v="10"/>
    <x v="1"/>
  </r>
  <r>
    <d v="2012-08-25T00:00:00"/>
    <s v="018-2230-000"/>
    <s v="Wine Sales"/>
    <n v="87.233999999999995"/>
    <n v="0"/>
    <s v="Daily Sales Import"/>
    <n v="-87.233999999999995"/>
    <n v="87.233999999999995"/>
    <x v="2"/>
    <s v="2230"/>
    <s v="000"/>
    <x v="10"/>
    <x v="1"/>
  </r>
  <r>
    <d v="2012-08-26T00:00:00"/>
    <s v="018-2100-000"/>
    <s v="Food Sales"/>
    <n v="8453.0392000000011"/>
    <n v="0"/>
    <s v="Daily Sales Import"/>
    <n v="-8453.0392000000011"/>
    <n v="8453.0392000000011"/>
    <x v="2"/>
    <s v="2100"/>
    <s v="000"/>
    <x v="10"/>
    <x v="1"/>
  </r>
  <r>
    <d v="2012-08-26T00:00:00"/>
    <s v="018-2210-000"/>
    <s v="Liquor Sales"/>
    <n v="1419.5214999999998"/>
    <n v="0"/>
    <s v="Daily Sales Import"/>
    <n v="-1419.5214999999998"/>
    <n v="1419.5214999999998"/>
    <x v="2"/>
    <s v="2210"/>
    <s v="000"/>
    <x v="10"/>
    <x v="1"/>
  </r>
  <r>
    <d v="2012-08-26T00:00:00"/>
    <s v="018-2220-000"/>
    <s v="Beer Sales"/>
    <n v="246.56199999999998"/>
    <n v="0"/>
    <s v="Daily Sales Import"/>
    <n v="-246.56199999999998"/>
    <n v="246.56199999999998"/>
    <x v="2"/>
    <s v="2220"/>
    <s v="000"/>
    <x v="10"/>
    <x v="1"/>
  </r>
  <r>
    <d v="2012-08-26T00:00:00"/>
    <s v="018-2230-000"/>
    <s v="Wine Sales"/>
    <n v="33.515999999999998"/>
    <n v="0"/>
    <s v="Daily Sales Import"/>
    <n v="-33.515999999999998"/>
    <n v="33.515999999999998"/>
    <x v="2"/>
    <s v="2230"/>
    <s v="000"/>
    <x v="10"/>
    <x v="1"/>
  </r>
  <r>
    <d v="2012-08-27T00:00:00"/>
    <s v="016-2100-000"/>
    <s v="Food Sales"/>
    <n v="2255.7369999999996"/>
    <n v="0"/>
    <s v="Daily Sales Import"/>
    <n v="-2255.7369999999996"/>
    <n v="2255.7369999999996"/>
    <x v="0"/>
    <s v="2100"/>
    <s v="000"/>
    <x v="10"/>
    <x v="1"/>
  </r>
  <r>
    <d v="2012-08-27T00:00:00"/>
    <s v="016-2210-000"/>
    <s v="Liquor Sales"/>
    <n v="559.72299999999996"/>
    <n v="0"/>
    <s v="Daily Sales Import"/>
    <n v="-559.72299999999996"/>
    <n v="559.72299999999996"/>
    <x v="0"/>
    <s v="2210"/>
    <s v="000"/>
    <x v="10"/>
    <x v="1"/>
  </r>
  <r>
    <d v="2012-08-27T00:00:00"/>
    <s v="016-2220-000"/>
    <s v="Beer Sales"/>
    <n v="105.651"/>
    <n v="0"/>
    <s v="Daily Sales Import"/>
    <n v="-105.651"/>
    <n v="105.651"/>
    <x v="0"/>
    <s v="2220"/>
    <s v="000"/>
    <x v="10"/>
    <x v="1"/>
  </r>
  <r>
    <d v="2012-08-27T00:00:00"/>
    <s v="016-2230-000"/>
    <s v="Wine Sales"/>
    <n v="21.58"/>
    <n v="0"/>
    <s v="Daily Sales Import"/>
    <n v="-21.58"/>
    <n v="21.58"/>
    <x v="0"/>
    <s v="2230"/>
    <s v="000"/>
    <x v="10"/>
    <x v="1"/>
  </r>
  <r>
    <d v="2012-08-28T00:00:00"/>
    <s v="016-2100-000"/>
    <s v="Food Sales"/>
    <n v="6101.4096"/>
    <n v="0"/>
    <s v="Daily Sales Import"/>
    <n v="-6101.4096"/>
    <n v="6101.4096"/>
    <x v="0"/>
    <s v="2100"/>
    <s v="000"/>
    <x v="10"/>
    <x v="1"/>
  </r>
  <r>
    <d v="2012-08-28T00:00:00"/>
    <s v="016-2210-000"/>
    <s v="Liquor Sales"/>
    <n v="1374.9766"/>
    <n v="0"/>
    <s v="Daily Sales Import"/>
    <n v="-1374.9766"/>
    <n v="1374.9766"/>
    <x v="0"/>
    <s v="2210"/>
    <s v="000"/>
    <x v="10"/>
    <x v="1"/>
  </r>
  <r>
    <d v="2012-08-28T00:00:00"/>
    <s v="016-2220-000"/>
    <s v="Beer Sales"/>
    <n v="535.76909999999998"/>
    <n v="0"/>
    <s v="Daily Sales Import"/>
    <n v="-535.76909999999998"/>
    <n v="535.76909999999998"/>
    <x v="0"/>
    <s v="2220"/>
    <s v="000"/>
    <x v="10"/>
    <x v="1"/>
  </r>
  <r>
    <d v="2012-08-28T00:00:00"/>
    <s v="016-2230-000"/>
    <s v="Wine Sales"/>
    <n v="202.08899999999997"/>
    <n v="0"/>
    <s v="Daily Sales Import"/>
    <n v="-202.08899999999997"/>
    <n v="202.08899999999997"/>
    <x v="0"/>
    <s v="2230"/>
    <s v="000"/>
    <x v="10"/>
    <x v="1"/>
  </r>
  <r>
    <d v="2012-08-29T00:00:00"/>
    <s v="016-2100-000"/>
    <s v="Food Sales"/>
    <n v="2717.8180000000002"/>
    <n v="0"/>
    <s v="Daily Sales Import"/>
    <n v="-2717.8180000000002"/>
    <n v="2717.8180000000002"/>
    <x v="0"/>
    <s v="2100"/>
    <s v="000"/>
    <x v="10"/>
    <x v="1"/>
  </r>
  <r>
    <d v="2012-08-29T00:00:00"/>
    <s v="016-2210-000"/>
    <s v="Liquor Sales"/>
    <n v="507.92999999999995"/>
    <n v="0"/>
    <s v="Daily Sales Import"/>
    <n v="-507.92999999999995"/>
    <n v="507.92999999999995"/>
    <x v="0"/>
    <s v="2210"/>
    <s v="000"/>
    <x v="10"/>
    <x v="1"/>
  </r>
  <r>
    <d v="2012-08-29T00:00:00"/>
    <s v="016-2220-000"/>
    <s v="Beer Sales"/>
    <n v="126.477"/>
    <n v="0"/>
    <s v="Daily Sales Import"/>
    <n v="-126.477"/>
    <n v="126.477"/>
    <x v="0"/>
    <s v="2220"/>
    <s v="000"/>
    <x v="10"/>
    <x v="1"/>
  </r>
  <r>
    <d v="2012-08-29T00:00:00"/>
    <s v="016-2230-000"/>
    <s v="Wine Sales"/>
    <n v="63.637999999999998"/>
    <n v="0"/>
    <s v="Daily Sales Import"/>
    <n v="-63.637999999999998"/>
    <n v="63.637999999999998"/>
    <x v="0"/>
    <s v="2230"/>
    <s v="000"/>
    <x v="10"/>
    <x v="1"/>
  </r>
  <r>
    <d v="2012-08-30T00:00:00"/>
    <s v="016-2100-000"/>
    <s v="Food Sales"/>
    <n v="2605.1974"/>
    <n v="0"/>
    <s v="Daily Sales Import"/>
    <n v="-2605.1974"/>
    <n v="2605.1974"/>
    <x v="0"/>
    <s v="2100"/>
    <s v="000"/>
    <x v="10"/>
    <x v="1"/>
  </r>
  <r>
    <d v="2012-08-30T00:00:00"/>
    <s v="016-2210-000"/>
    <s v="Liquor Sales"/>
    <n v="671.32799999999997"/>
    <n v="0"/>
    <s v="Daily Sales Import"/>
    <n v="-671.32799999999997"/>
    <n v="671.32799999999997"/>
    <x v="0"/>
    <s v="2210"/>
    <s v="000"/>
    <x v="10"/>
    <x v="1"/>
  </r>
  <r>
    <d v="2012-08-30T00:00:00"/>
    <s v="016-2220-000"/>
    <s v="Beer Sales"/>
    <n v="90.349500000000006"/>
    <n v="0"/>
    <s v="Daily Sales Import"/>
    <n v="-90.349500000000006"/>
    <n v="90.349500000000006"/>
    <x v="0"/>
    <s v="2220"/>
    <s v="000"/>
    <x v="10"/>
    <x v="1"/>
  </r>
  <r>
    <d v="2012-08-30T00:00:00"/>
    <s v="016-2230-000"/>
    <s v="Wine Sales"/>
    <n v="40.235999999999997"/>
    <n v="0"/>
    <s v="Daily Sales Import"/>
    <n v="-40.235999999999997"/>
    <n v="40.235999999999997"/>
    <x v="0"/>
    <s v="2230"/>
    <s v="000"/>
    <x v="10"/>
    <x v="1"/>
  </r>
  <r>
    <d v="2012-08-31T00:00:00"/>
    <s v="016-2100-000"/>
    <s v="Food Sales"/>
    <n v="4576.1201000000001"/>
    <n v="0"/>
    <s v="Daily Sales Import"/>
    <n v="-4576.1201000000001"/>
    <n v="4576.1201000000001"/>
    <x v="0"/>
    <s v="2100"/>
    <s v="000"/>
    <x v="10"/>
    <x v="1"/>
  </r>
  <r>
    <d v="2012-08-31T00:00:00"/>
    <s v="016-2210-000"/>
    <s v="Liquor Sales"/>
    <n v="1848.4892999999997"/>
    <n v="0"/>
    <s v="Daily Sales Import"/>
    <n v="-1848.4892999999997"/>
    <n v="1848.4892999999997"/>
    <x v="0"/>
    <s v="2210"/>
    <s v="000"/>
    <x v="10"/>
    <x v="1"/>
  </r>
  <r>
    <d v="2012-08-31T00:00:00"/>
    <s v="016-2220-000"/>
    <s v="Beer Sales"/>
    <n v="398.57400000000001"/>
    <n v="0"/>
    <s v="Daily Sales Import"/>
    <n v="-398.57400000000001"/>
    <n v="398.57400000000001"/>
    <x v="0"/>
    <s v="2220"/>
    <s v="000"/>
    <x v="10"/>
    <x v="1"/>
  </r>
  <r>
    <d v="2012-08-31T00:00:00"/>
    <s v="016-2230-000"/>
    <s v="Wine Sales"/>
    <n v="141.33799999999999"/>
    <n v="0"/>
    <s v="Daily Sales Import"/>
    <n v="-141.33799999999999"/>
    <n v="141.33799999999999"/>
    <x v="0"/>
    <s v="2230"/>
    <s v="000"/>
    <x v="10"/>
    <x v="1"/>
  </r>
  <r>
    <d v="2012-09-01T00:00:00"/>
    <s v="016-2100-000"/>
    <s v="Food Sales"/>
    <n v="8144.7678000000005"/>
    <n v="0"/>
    <s v="Daily Sales Import"/>
    <n v="-8144.7678000000005"/>
    <n v="8144.7678000000005"/>
    <x v="0"/>
    <s v="2100"/>
    <s v="000"/>
    <x v="11"/>
    <x v="1"/>
  </r>
  <r>
    <d v="2012-09-01T00:00:00"/>
    <s v="016-2210-000"/>
    <s v="Liquor Sales"/>
    <n v="1692.6524999999999"/>
    <n v="0"/>
    <s v="Daily Sales Import"/>
    <n v="-1692.6524999999999"/>
    <n v="1692.6524999999999"/>
    <x v="0"/>
    <s v="2210"/>
    <s v="000"/>
    <x v="11"/>
    <x v="1"/>
  </r>
  <r>
    <d v="2012-09-01T00:00:00"/>
    <s v="016-2220-000"/>
    <s v="Beer Sales"/>
    <n v="393.32370000000003"/>
    <n v="0"/>
    <s v="Daily Sales Import"/>
    <n v="-393.32370000000003"/>
    <n v="393.32370000000003"/>
    <x v="0"/>
    <s v="2220"/>
    <s v="000"/>
    <x v="11"/>
    <x v="1"/>
  </r>
  <r>
    <d v="2012-09-01T00:00:00"/>
    <s v="016-2230-000"/>
    <s v="Wine Sales"/>
    <n v="100.28699999999999"/>
    <n v="0"/>
    <s v="Daily Sales Import"/>
    <n v="-100.28699999999999"/>
    <n v="100.28699999999999"/>
    <x v="0"/>
    <s v="2230"/>
    <s v="000"/>
    <x v="11"/>
    <x v="1"/>
  </r>
  <r>
    <d v="2012-09-02T00:00:00"/>
    <s v="016-2100-000"/>
    <s v="Food Sales"/>
    <n v="5231.7251999999999"/>
    <n v="0"/>
    <s v="Daily Sales Import"/>
    <n v="-5231.7251999999999"/>
    <n v="5231.7251999999999"/>
    <x v="0"/>
    <s v="2100"/>
    <s v="000"/>
    <x v="11"/>
    <x v="1"/>
  </r>
  <r>
    <d v="2012-09-02T00:00:00"/>
    <s v="016-2210-000"/>
    <s v="Liquor Sales"/>
    <n v="1006.226"/>
    <n v="0"/>
    <s v="Daily Sales Import"/>
    <n v="-1006.226"/>
    <n v="1006.226"/>
    <x v="0"/>
    <s v="2210"/>
    <s v="000"/>
    <x v="11"/>
    <x v="1"/>
  </r>
  <r>
    <d v="2012-09-02T00:00:00"/>
    <s v="016-2220-000"/>
    <s v="Beer Sales"/>
    <n v="171.477"/>
    <n v="0"/>
    <s v="Daily Sales Import"/>
    <n v="-171.477"/>
    <n v="171.477"/>
    <x v="0"/>
    <s v="2220"/>
    <s v="000"/>
    <x v="11"/>
    <x v="1"/>
  </r>
  <r>
    <d v="2012-09-02T00:00:00"/>
    <s v="016-2230-000"/>
    <s v="Wine Sales"/>
    <n v="156.97500000000002"/>
    <n v="0"/>
    <s v="Daily Sales Import"/>
    <n v="-156.97500000000002"/>
    <n v="156.97500000000002"/>
    <x v="0"/>
    <s v="2230"/>
    <s v="000"/>
    <x v="11"/>
    <x v="1"/>
  </r>
  <r>
    <d v="2012-08-27T00:00:00"/>
    <s v="017-2100-000"/>
    <s v="Food Sales"/>
    <n v="4116.6383999999998"/>
    <n v="0"/>
    <s v="Daily Sales Import"/>
    <n v="-4116.6383999999998"/>
    <n v="4116.6383999999998"/>
    <x v="1"/>
    <s v="2100"/>
    <s v="000"/>
    <x v="10"/>
    <x v="1"/>
  </r>
  <r>
    <d v="2012-08-27T00:00:00"/>
    <s v="017-2210-000"/>
    <s v="Liquor Sales"/>
    <n v="1081.6715000000002"/>
    <n v="0"/>
    <s v="Daily Sales Import"/>
    <n v="-1081.6715000000002"/>
    <n v="1081.6715000000002"/>
    <x v="1"/>
    <s v="2210"/>
    <s v="000"/>
    <x v="10"/>
    <x v="1"/>
  </r>
  <r>
    <d v="2012-08-27T00:00:00"/>
    <s v="017-2220-000"/>
    <s v="Beer Sales"/>
    <n v="254.54250000000002"/>
    <n v="0"/>
    <s v="Daily Sales Import"/>
    <n v="-254.54250000000002"/>
    <n v="254.54250000000002"/>
    <x v="1"/>
    <s v="2220"/>
    <s v="000"/>
    <x v="10"/>
    <x v="1"/>
  </r>
  <r>
    <d v="2012-08-27T00:00:00"/>
    <s v="017-2230-000"/>
    <s v="Wine Sales"/>
    <n v="24.586000000000002"/>
    <n v="0"/>
    <s v="Daily Sales Import"/>
    <n v="-24.586000000000002"/>
    <n v="24.586000000000002"/>
    <x v="1"/>
    <s v="2230"/>
    <s v="000"/>
    <x v="10"/>
    <x v="1"/>
  </r>
  <r>
    <d v="2012-08-28T00:00:00"/>
    <s v="017-2100-000"/>
    <s v="Food Sales"/>
    <n v="4617.7349999999997"/>
    <n v="0"/>
    <s v="Daily Sales Import"/>
    <n v="-4617.7349999999997"/>
    <n v="4617.7349999999997"/>
    <x v="1"/>
    <s v="2100"/>
    <s v="000"/>
    <x v="10"/>
    <x v="1"/>
  </r>
  <r>
    <d v="2012-08-28T00:00:00"/>
    <s v="017-2210-000"/>
    <s v="Liquor Sales"/>
    <n v="1273.92"/>
    <n v="0"/>
    <s v="Daily Sales Import"/>
    <n v="-1273.92"/>
    <n v="1273.92"/>
    <x v="1"/>
    <s v="2210"/>
    <s v="000"/>
    <x v="10"/>
    <x v="1"/>
  </r>
  <r>
    <d v="2012-08-28T00:00:00"/>
    <s v="017-2220-000"/>
    <s v="Beer Sales"/>
    <n v="262.69749999999999"/>
    <n v="0"/>
    <s v="Daily Sales Import"/>
    <n v="-262.69749999999999"/>
    <n v="262.69749999999999"/>
    <x v="1"/>
    <s v="2220"/>
    <s v="000"/>
    <x v="10"/>
    <x v="1"/>
  </r>
  <r>
    <d v="2012-08-28T00:00:00"/>
    <s v="017-2230-000"/>
    <s v="Wine Sales"/>
    <n v="126.11250000000001"/>
    <n v="0"/>
    <s v="Daily Sales Import"/>
    <n v="-126.11250000000001"/>
    <n v="126.11250000000001"/>
    <x v="1"/>
    <s v="2230"/>
    <s v="000"/>
    <x v="10"/>
    <x v="1"/>
  </r>
  <r>
    <d v="2012-08-29T00:00:00"/>
    <s v="017-2100-000"/>
    <s v="Food Sales"/>
    <n v="8025.1968000000015"/>
    <n v="0"/>
    <s v="Daily Sales Import"/>
    <n v="-8025.1968000000015"/>
    <n v="8025.1968000000015"/>
    <x v="1"/>
    <s v="2100"/>
    <s v="000"/>
    <x v="10"/>
    <x v="1"/>
  </r>
  <r>
    <d v="2012-08-29T00:00:00"/>
    <s v="017-2210-000"/>
    <s v="Liquor Sales"/>
    <n v="1783.7674999999999"/>
    <n v="0"/>
    <s v="Daily Sales Import"/>
    <n v="-1783.7674999999999"/>
    <n v="1783.7674999999999"/>
    <x v="1"/>
    <s v="2210"/>
    <s v="000"/>
    <x v="10"/>
    <x v="1"/>
  </r>
  <r>
    <d v="2012-08-29T00:00:00"/>
    <s v="017-2220-000"/>
    <s v="Beer Sales"/>
    <n v="557.09500000000003"/>
    <n v="0"/>
    <s v="Daily Sales Import"/>
    <n v="-557.09500000000003"/>
    <n v="557.09500000000003"/>
    <x v="1"/>
    <s v="2220"/>
    <s v="000"/>
    <x v="10"/>
    <x v="1"/>
  </r>
  <r>
    <d v="2012-08-29T00:00:00"/>
    <s v="017-2230-000"/>
    <s v="Wine Sales"/>
    <n v="79.18950000000001"/>
    <n v="0"/>
    <s v="Daily Sales Import"/>
    <n v="-79.18950000000001"/>
    <n v="79.18950000000001"/>
    <x v="1"/>
    <s v="2230"/>
    <s v="000"/>
    <x v="10"/>
    <x v="1"/>
  </r>
  <r>
    <d v="2012-08-30T00:00:00"/>
    <s v="017-2100-000"/>
    <s v="Food Sales"/>
    <n v="4835.1397000000006"/>
    <n v="0"/>
    <s v="Daily Sales Import"/>
    <n v="-4835.1397000000006"/>
    <n v="4835.1397000000006"/>
    <x v="1"/>
    <s v="2100"/>
    <s v="000"/>
    <x v="10"/>
    <x v="1"/>
  </r>
  <r>
    <d v="2012-08-30T00:00:00"/>
    <s v="017-2210-000"/>
    <s v="Liquor Sales"/>
    <n v="1474.308"/>
    <n v="0"/>
    <s v="Daily Sales Import"/>
    <n v="-1474.308"/>
    <n v="1474.308"/>
    <x v="1"/>
    <s v="2210"/>
    <s v="000"/>
    <x v="10"/>
    <x v="1"/>
  </r>
  <r>
    <d v="2012-08-30T00:00:00"/>
    <s v="017-2220-000"/>
    <s v="Beer Sales"/>
    <n v="386.82"/>
    <n v="0"/>
    <s v="Daily Sales Import"/>
    <n v="-386.82"/>
    <n v="386.82"/>
    <x v="1"/>
    <s v="2220"/>
    <s v="000"/>
    <x v="10"/>
    <x v="1"/>
  </r>
  <r>
    <d v="2012-08-30T00:00:00"/>
    <s v="017-2230-000"/>
    <s v="Wine Sales"/>
    <n v="88.366500000000002"/>
    <n v="0"/>
    <s v="Daily Sales Import"/>
    <n v="-88.366500000000002"/>
    <n v="88.366500000000002"/>
    <x v="1"/>
    <s v="2230"/>
    <s v="000"/>
    <x v="10"/>
    <x v="1"/>
  </r>
  <r>
    <d v="2012-08-31T00:00:00"/>
    <s v="017-2100-000"/>
    <s v="Food Sales"/>
    <n v="8633.5580999999984"/>
    <n v="0"/>
    <s v="Daily Sales Import"/>
    <n v="-8633.5580999999984"/>
    <n v="8633.5580999999984"/>
    <x v="1"/>
    <s v="2100"/>
    <s v="000"/>
    <x v="10"/>
    <x v="1"/>
  </r>
  <r>
    <d v="2012-08-31T00:00:00"/>
    <s v="017-2210-000"/>
    <s v="Liquor Sales"/>
    <n v="2057.1680000000001"/>
    <n v="0"/>
    <s v="Daily Sales Import"/>
    <n v="-2057.1680000000001"/>
    <n v="2057.1680000000001"/>
    <x v="1"/>
    <s v="2210"/>
    <s v="000"/>
    <x v="10"/>
    <x v="1"/>
  </r>
  <r>
    <d v="2012-08-31T00:00:00"/>
    <s v="017-2220-000"/>
    <s v="Beer Sales"/>
    <n v="563.59249999999997"/>
    <n v="0"/>
    <s v="Daily Sales Import"/>
    <n v="-563.59249999999997"/>
    <n v="563.59249999999997"/>
    <x v="1"/>
    <s v="2220"/>
    <s v="000"/>
    <x v="10"/>
    <x v="1"/>
  </r>
  <r>
    <d v="2012-08-31T00:00:00"/>
    <s v="017-2230-000"/>
    <s v="Wine Sales"/>
    <n v="83.954499999999996"/>
    <n v="0"/>
    <s v="Daily Sales Import"/>
    <n v="-83.954499999999996"/>
    <n v="83.954499999999996"/>
    <x v="1"/>
    <s v="2230"/>
    <s v="000"/>
    <x v="10"/>
    <x v="1"/>
  </r>
  <r>
    <d v="2012-09-01T00:00:00"/>
    <s v="017-2100-000"/>
    <s v="Food Sales"/>
    <n v="7577.1112000000012"/>
    <n v="0"/>
    <s v="Daily Sales Import"/>
    <n v="-7577.1112000000012"/>
    <n v="7577.1112000000012"/>
    <x v="1"/>
    <s v="2100"/>
    <s v="000"/>
    <x v="11"/>
    <x v="1"/>
  </r>
  <r>
    <d v="2012-09-01T00:00:00"/>
    <s v="017-2210-000"/>
    <s v="Liquor Sales"/>
    <n v="2197.6259999999997"/>
    <n v="0"/>
    <s v="Daily Sales Import"/>
    <n v="-2197.6259999999997"/>
    <n v="2197.6259999999997"/>
    <x v="1"/>
    <s v="2210"/>
    <s v="000"/>
    <x v="11"/>
    <x v="1"/>
  </r>
  <r>
    <d v="2012-09-01T00:00:00"/>
    <s v="017-2220-000"/>
    <s v="Beer Sales"/>
    <n v="425.24250000000001"/>
    <n v="0"/>
    <s v="Daily Sales Import"/>
    <n v="-425.24250000000001"/>
    <n v="425.24250000000001"/>
    <x v="1"/>
    <s v="2220"/>
    <s v="000"/>
    <x v="11"/>
    <x v="1"/>
  </r>
  <r>
    <d v="2012-09-01T00:00:00"/>
    <s v="017-2230-000"/>
    <s v="Wine Sales"/>
    <n v="45.941999999999993"/>
    <n v="0"/>
    <s v="Daily Sales Import"/>
    <n v="-45.941999999999993"/>
    <n v="45.941999999999993"/>
    <x v="1"/>
    <s v="2230"/>
    <s v="000"/>
    <x v="11"/>
    <x v="1"/>
  </r>
  <r>
    <d v="2012-09-02T00:00:00"/>
    <s v="017-2100-000"/>
    <s v="Food Sales"/>
    <n v="5031.5640000000003"/>
    <n v="0"/>
    <s v="Daily Sales Import"/>
    <n v="-5031.5640000000003"/>
    <n v="5031.5640000000003"/>
    <x v="1"/>
    <s v="2100"/>
    <s v="000"/>
    <x v="11"/>
    <x v="1"/>
  </r>
  <r>
    <d v="2012-09-02T00:00:00"/>
    <s v="017-2210-000"/>
    <s v="Liquor Sales"/>
    <n v="1275.211"/>
    <n v="0"/>
    <s v="Daily Sales Import"/>
    <n v="-1275.211"/>
    <n v="1275.211"/>
    <x v="1"/>
    <s v="2210"/>
    <s v="000"/>
    <x v="11"/>
    <x v="1"/>
  </r>
  <r>
    <d v="2012-09-02T00:00:00"/>
    <s v="017-2220-000"/>
    <s v="Beer Sales"/>
    <n v="192.76749999999998"/>
    <n v="0"/>
    <s v="Daily Sales Import"/>
    <n v="-192.76749999999998"/>
    <n v="192.76749999999998"/>
    <x v="1"/>
    <s v="2220"/>
    <s v="000"/>
    <x v="11"/>
    <x v="1"/>
  </r>
  <r>
    <d v="2012-09-02T00:00:00"/>
    <s v="017-2230-000"/>
    <s v="Wine Sales"/>
    <n v="12.843999999999999"/>
    <n v="0"/>
    <s v="Daily Sales Import"/>
    <n v="-12.843999999999999"/>
    <n v="12.843999999999999"/>
    <x v="1"/>
    <s v="2230"/>
    <s v="000"/>
    <x v="11"/>
    <x v="1"/>
  </r>
  <r>
    <d v="2012-08-27T00:00:00"/>
    <s v="018-2100-000"/>
    <s v="Food Sales"/>
    <n v="3878.4960000000001"/>
    <n v="0"/>
    <s v="Daily Sales Import"/>
    <n v="-3878.4960000000001"/>
    <n v="3878.4960000000001"/>
    <x v="2"/>
    <s v="2100"/>
    <s v="000"/>
    <x v="10"/>
    <x v="1"/>
  </r>
  <r>
    <d v="2012-08-27T00:00:00"/>
    <s v="018-2210-000"/>
    <s v="Liquor Sales"/>
    <n v="861.678"/>
    <n v="0"/>
    <s v="Daily Sales Import"/>
    <n v="-861.678"/>
    <n v="861.678"/>
    <x v="2"/>
    <s v="2210"/>
    <s v="000"/>
    <x v="10"/>
    <x v="1"/>
  </r>
  <r>
    <d v="2012-08-27T00:00:00"/>
    <s v="018-2220-000"/>
    <s v="Beer Sales"/>
    <n v="184.77550000000002"/>
    <n v="0"/>
    <s v="Daily Sales Import"/>
    <n v="-184.77550000000002"/>
    <n v="184.77550000000002"/>
    <x v="2"/>
    <s v="2220"/>
    <s v="000"/>
    <x v="10"/>
    <x v="1"/>
  </r>
  <r>
    <d v="2012-08-27T00:00:00"/>
    <s v="018-2230-000"/>
    <s v="Wine Sales"/>
    <n v="10.6945"/>
    <n v="0"/>
    <s v="Daily Sales Import"/>
    <n v="-10.6945"/>
    <n v="10.6945"/>
    <x v="2"/>
    <s v="2230"/>
    <s v="000"/>
    <x v="10"/>
    <x v="1"/>
  </r>
  <r>
    <d v="2012-08-28T00:00:00"/>
    <s v="018-2100-000"/>
    <s v="Food Sales"/>
    <n v="4450.0069999999996"/>
    <n v="0"/>
    <s v="Daily Sales Import"/>
    <n v="-4450.0069999999996"/>
    <n v="4450.0069999999996"/>
    <x v="2"/>
    <s v="2100"/>
    <s v="000"/>
    <x v="10"/>
    <x v="1"/>
  </r>
  <r>
    <d v="2012-08-28T00:00:00"/>
    <s v="018-2210-000"/>
    <s v="Liquor Sales"/>
    <n v="1145.4065000000001"/>
    <n v="0"/>
    <s v="Daily Sales Import"/>
    <n v="-1145.4065000000001"/>
    <n v="1145.4065000000001"/>
    <x v="2"/>
    <s v="2210"/>
    <s v="000"/>
    <x v="10"/>
    <x v="1"/>
  </r>
  <r>
    <d v="2012-08-28T00:00:00"/>
    <s v="018-2220-000"/>
    <s v="Beer Sales"/>
    <n v="300.52"/>
    <n v="0"/>
    <s v="Daily Sales Import"/>
    <n v="-300.52"/>
    <n v="300.52"/>
    <x v="2"/>
    <s v="2220"/>
    <s v="000"/>
    <x v="10"/>
    <x v="1"/>
  </r>
  <r>
    <d v="2012-08-28T00:00:00"/>
    <s v="018-2230-000"/>
    <s v="Wine Sales"/>
    <n v="70.644000000000005"/>
    <n v="0"/>
    <s v="Daily Sales Import"/>
    <n v="-70.644000000000005"/>
    <n v="70.644000000000005"/>
    <x v="2"/>
    <s v="2230"/>
    <s v="000"/>
    <x v="10"/>
    <x v="1"/>
  </r>
  <r>
    <d v="2012-08-29T00:00:00"/>
    <s v="018-2100-000"/>
    <s v="Food Sales"/>
    <n v="4529.8440000000001"/>
    <n v="0"/>
    <s v="Daily Sales Import"/>
    <n v="-4529.8440000000001"/>
    <n v="4529.8440000000001"/>
    <x v="2"/>
    <s v="2100"/>
    <s v="000"/>
    <x v="10"/>
    <x v="1"/>
  </r>
  <r>
    <d v="2012-08-29T00:00:00"/>
    <s v="018-2210-000"/>
    <s v="Liquor Sales"/>
    <n v="741.08550000000002"/>
    <n v="0"/>
    <s v="Daily Sales Import"/>
    <n v="-741.08550000000002"/>
    <n v="741.08550000000002"/>
    <x v="2"/>
    <s v="2210"/>
    <s v="000"/>
    <x v="10"/>
    <x v="1"/>
  </r>
  <r>
    <d v="2012-08-29T00:00:00"/>
    <s v="018-2220-000"/>
    <s v="Beer Sales"/>
    <n v="299.80799999999999"/>
    <n v="0"/>
    <s v="Daily Sales Import"/>
    <n v="-299.80799999999999"/>
    <n v="299.80799999999999"/>
    <x v="2"/>
    <s v="2220"/>
    <s v="000"/>
    <x v="10"/>
    <x v="1"/>
  </r>
  <r>
    <d v="2012-08-29T00:00:00"/>
    <s v="018-2230-000"/>
    <s v="Wine Sales"/>
    <n v="43.1145"/>
    <n v="0"/>
    <s v="Daily Sales Import"/>
    <n v="-43.1145"/>
    <n v="43.1145"/>
    <x v="2"/>
    <s v="2230"/>
    <s v="000"/>
    <x v="10"/>
    <x v="1"/>
  </r>
  <r>
    <d v="2012-08-30T00:00:00"/>
    <s v="018-2100-000"/>
    <s v="Food Sales"/>
    <n v="5217.1350000000002"/>
    <n v="0"/>
    <s v="Daily Sales Import"/>
    <n v="-5217.1350000000002"/>
    <n v="5217.1350000000002"/>
    <x v="2"/>
    <s v="2100"/>
    <s v="000"/>
    <x v="10"/>
    <x v="1"/>
  </r>
  <r>
    <d v="2012-08-30T00:00:00"/>
    <s v="018-2210-000"/>
    <s v="Liquor Sales"/>
    <n v="988.04549999999995"/>
    <n v="0"/>
    <s v="Daily Sales Import"/>
    <n v="-988.04549999999995"/>
    <n v="988.04549999999995"/>
    <x v="2"/>
    <s v="2210"/>
    <s v="000"/>
    <x v="10"/>
    <x v="1"/>
  </r>
  <r>
    <d v="2012-08-30T00:00:00"/>
    <s v="018-2220-000"/>
    <s v="Beer Sales"/>
    <n v="240.471"/>
    <n v="0"/>
    <s v="Daily Sales Import"/>
    <n v="-240.471"/>
    <n v="240.471"/>
    <x v="2"/>
    <s v="2220"/>
    <s v="000"/>
    <x v="10"/>
    <x v="1"/>
  </r>
  <r>
    <d v="2012-08-30T00:00:00"/>
    <s v="018-2230-000"/>
    <s v="Wine Sales"/>
    <n v="32.740499999999997"/>
    <n v="0"/>
    <s v="Daily Sales Import"/>
    <n v="-32.740499999999997"/>
    <n v="32.740499999999997"/>
    <x v="2"/>
    <s v="2230"/>
    <s v="000"/>
    <x v="10"/>
    <x v="1"/>
  </r>
  <r>
    <d v="2012-08-31T00:00:00"/>
    <s v="018-2100-000"/>
    <s v="Food Sales"/>
    <n v="13176.855000000001"/>
    <n v="0"/>
    <s v="Daily Sales Import"/>
    <n v="-13176.855000000001"/>
    <n v="13176.855000000001"/>
    <x v="2"/>
    <s v="2100"/>
    <s v="000"/>
    <x v="10"/>
    <x v="1"/>
  </r>
  <r>
    <d v="2012-08-31T00:00:00"/>
    <s v="018-2210-000"/>
    <s v="Liquor Sales"/>
    <n v="2950.5060000000003"/>
    <n v="0"/>
    <s v="Daily Sales Import"/>
    <n v="-2950.5060000000003"/>
    <n v="2950.5060000000003"/>
    <x v="2"/>
    <s v="2210"/>
    <s v="000"/>
    <x v="10"/>
    <x v="1"/>
  </r>
  <r>
    <d v="2012-08-31T00:00:00"/>
    <s v="018-2220-000"/>
    <s v="Beer Sales"/>
    <n v="856.56600000000003"/>
    <n v="0"/>
    <s v="Daily Sales Import"/>
    <n v="-856.56600000000003"/>
    <n v="856.56600000000003"/>
    <x v="2"/>
    <s v="2220"/>
    <s v="000"/>
    <x v="10"/>
    <x v="1"/>
  </r>
  <r>
    <d v="2012-08-31T00:00:00"/>
    <s v="018-2230-000"/>
    <s v="Wine Sales"/>
    <n v="86.35199999999999"/>
    <n v="0"/>
    <s v="Daily Sales Import"/>
    <n v="-86.35199999999999"/>
    <n v="86.35199999999999"/>
    <x v="2"/>
    <s v="2230"/>
    <s v="000"/>
    <x v="10"/>
    <x v="1"/>
  </r>
  <r>
    <d v="2012-09-01T00:00:00"/>
    <s v="018-2100-000"/>
    <s v="Food Sales"/>
    <n v="13303.522000000001"/>
    <n v="0"/>
    <s v="Daily Sales Import"/>
    <n v="-13303.522000000001"/>
    <n v="13303.522000000001"/>
    <x v="2"/>
    <s v="2100"/>
    <s v="000"/>
    <x v="11"/>
    <x v="1"/>
  </r>
  <r>
    <d v="2012-09-01T00:00:00"/>
    <s v="018-2210-000"/>
    <s v="Liquor Sales"/>
    <n v="2638.7679999999996"/>
    <n v="0"/>
    <s v="Daily Sales Import"/>
    <n v="-2638.7679999999996"/>
    <n v="2638.7679999999996"/>
    <x v="2"/>
    <s v="2210"/>
    <s v="000"/>
    <x v="11"/>
    <x v="1"/>
  </r>
  <r>
    <d v="2012-09-01T00:00:00"/>
    <s v="018-2220-000"/>
    <s v="Beer Sales"/>
    <n v="563.61149999999998"/>
    <n v="0"/>
    <s v="Daily Sales Import"/>
    <n v="-563.61149999999998"/>
    <n v="563.61149999999998"/>
    <x v="2"/>
    <s v="2220"/>
    <s v="000"/>
    <x v="11"/>
    <x v="1"/>
  </r>
  <r>
    <d v="2012-09-01T00:00:00"/>
    <s v="018-2230-000"/>
    <s v="Wine Sales"/>
    <n v="91.02"/>
    <n v="0"/>
    <s v="Daily Sales Import"/>
    <n v="-91.02"/>
    <n v="91.02"/>
    <x v="2"/>
    <s v="2230"/>
    <s v="000"/>
    <x v="11"/>
    <x v="1"/>
  </r>
  <r>
    <d v="2012-09-02T00:00:00"/>
    <s v="018-2100-000"/>
    <s v="Food Sales"/>
    <n v="10379.292000000001"/>
    <n v="0"/>
    <s v="Daily Sales Import"/>
    <n v="-10379.292000000001"/>
    <n v="10379.292000000001"/>
    <x v="2"/>
    <s v="2100"/>
    <s v="000"/>
    <x v="11"/>
    <x v="1"/>
  </r>
  <r>
    <d v="2012-09-02T00:00:00"/>
    <s v="018-2210-000"/>
    <s v="Liquor Sales"/>
    <n v="1860.4949999999999"/>
    <n v="0"/>
    <s v="Daily Sales Import"/>
    <n v="-1860.4949999999999"/>
    <n v="1860.4949999999999"/>
    <x v="2"/>
    <s v="2210"/>
    <s v="000"/>
    <x v="11"/>
    <x v="1"/>
  </r>
  <r>
    <d v="2012-09-02T00:00:00"/>
    <s v="018-2220-000"/>
    <s v="Beer Sales"/>
    <n v="482.89349999999996"/>
    <n v="0"/>
    <s v="Daily Sales Import"/>
    <n v="-482.89349999999996"/>
    <n v="482.89349999999996"/>
    <x v="2"/>
    <s v="2220"/>
    <s v="000"/>
    <x v="11"/>
    <x v="1"/>
  </r>
  <r>
    <d v="2012-09-02T00:00:00"/>
    <s v="018-2230-000"/>
    <s v="Wine Sales"/>
    <n v="65.701999999999998"/>
    <n v="0"/>
    <s v="Daily Sales Import"/>
    <n v="-65.701999999999998"/>
    <n v="65.701999999999998"/>
    <x v="2"/>
    <s v="2230"/>
    <s v="000"/>
    <x v="11"/>
    <x v="1"/>
  </r>
  <r>
    <d v="2012-09-03T00:00:00"/>
    <s v="016-2100-000"/>
    <s v="Food Sales"/>
    <n v="3788.3019999999997"/>
    <n v="0"/>
    <s v="Daily Sales Import"/>
    <n v="-3788.3019999999997"/>
    <n v="3788.3019999999997"/>
    <x v="0"/>
    <s v="2100"/>
    <s v="000"/>
    <x v="11"/>
    <x v="1"/>
  </r>
  <r>
    <d v="2012-09-03T00:00:00"/>
    <s v="016-2210-000"/>
    <s v="Liquor Sales"/>
    <n v="988.84500000000003"/>
    <n v="0"/>
    <s v="Daily Sales Import"/>
    <n v="-988.84500000000003"/>
    <n v="988.84500000000003"/>
    <x v="0"/>
    <s v="2210"/>
    <s v="000"/>
    <x v="11"/>
    <x v="1"/>
  </r>
  <r>
    <d v="2012-09-03T00:00:00"/>
    <s v="016-2220-000"/>
    <s v="Beer Sales"/>
    <n v="270.91800000000001"/>
    <n v="0"/>
    <s v="Daily Sales Import"/>
    <n v="-270.91800000000001"/>
    <n v="270.91800000000001"/>
    <x v="0"/>
    <s v="2220"/>
    <s v="000"/>
    <x v="11"/>
    <x v="1"/>
  </r>
  <r>
    <d v="2012-09-03T00:00:00"/>
    <s v="016-2230-000"/>
    <s v="Wine Sales"/>
    <n v="92.644000000000005"/>
    <n v="0"/>
    <s v="Daily Sales Import"/>
    <n v="-92.644000000000005"/>
    <n v="92.644000000000005"/>
    <x v="0"/>
    <s v="2230"/>
    <s v="000"/>
    <x v="11"/>
    <x v="1"/>
  </r>
  <r>
    <d v="2012-09-04T00:00:00"/>
    <s v="016-2100-000"/>
    <s v="Food Sales"/>
    <n v="3129.6354999999999"/>
    <n v="0"/>
    <s v="Daily Sales Import"/>
    <n v="-3129.6354999999999"/>
    <n v="3129.6354999999999"/>
    <x v="0"/>
    <s v="2100"/>
    <s v="000"/>
    <x v="11"/>
    <x v="1"/>
  </r>
  <r>
    <d v="2012-09-04T00:00:00"/>
    <s v="016-2210-000"/>
    <s v="Liquor Sales"/>
    <n v="938.7639999999999"/>
    <n v="0"/>
    <s v="Daily Sales Import"/>
    <n v="-938.7639999999999"/>
    <n v="938.7639999999999"/>
    <x v="0"/>
    <s v="2210"/>
    <s v="000"/>
    <x v="11"/>
    <x v="1"/>
  </r>
  <r>
    <d v="2012-09-04T00:00:00"/>
    <s v="016-2220-000"/>
    <s v="Beer Sales"/>
    <n v="263.50500000000005"/>
    <n v="0"/>
    <s v="Daily Sales Import"/>
    <n v="-263.50500000000005"/>
    <n v="263.50500000000005"/>
    <x v="0"/>
    <s v="2220"/>
    <s v="000"/>
    <x v="11"/>
    <x v="1"/>
  </r>
  <r>
    <d v="2012-09-04T00:00:00"/>
    <s v="016-2230-000"/>
    <s v="Wine Sales"/>
    <n v="93.86"/>
    <n v="0"/>
    <s v="Daily Sales Import"/>
    <n v="-93.86"/>
    <n v="93.86"/>
    <x v="0"/>
    <s v="2230"/>
    <s v="000"/>
    <x v="11"/>
    <x v="1"/>
  </r>
  <r>
    <d v="2012-09-05T00:00:00"/>
    <s v="016-2100-000"/>
    <s v="Food Sales"/>
    <n v="5912.9135000000006"/>
    <n v="0"/>
    <s v="Daily Sales Import"/>
    <n v="-5912.9135000000006"/>
    <n v="5912.9135000000006"/>
    <x v="0"/>
    <s v="2100"/>
    <s v="000"/>
    <x v="11"/>
    <x v="1"/>
  </r>
  <r>
    <d v="2012-09-05T00:00:00"/>
    <s v="016-2210-000"/>
    <s v="Liquor Sales"/>
    <n v="3760.9740000000002"/>
    <n v="0"/>
    <s v="Daily Sales Import"/>
    <n v="-3760.9740000000002"/>
    <n v="3760.9740000000002"/>
    <x v="0"/>
    <s v="2210"/>
    <s v="000"/>
    <x v="11"/>
    <x v="1"/>
  </r>
  <r>
    <d v="2012-09-05T00:00:00"/>
    <s v="016-2220-000"/>
    <s v="Beer Sales"/>
    <n v="1122.1210000000001"/>
    <n v="0"/>
    <s v="Daily Sales Import"/>
    <n v="-1122.1210000000001"/>
    <n v="1122.1210000000001"/>
    <x v="0"/>
    <s v="2220"/>
    <s v="000"/>
    <x v="11"/>
    <x v="1"/>
  </r>
  <r>
    <d v="2012-09-05T00:00:00"/>
    <s v="016-2230-000"/>
    <s v="Wine Sales"/>
    <n v="310.75"/>
    <n v="0"/>
    <s v="Daily Sales Import"/>
    <n v="-310.75"/>
    <n v="310.75"/>
    <x v="0"/>
    <s v="2230"/>
    <s v="000"/>
    <x v="11"/>
    <x v="1"/>
  </r>
  <r>
    <d v="2012-09-06T00:00:00"/>
    <s v="016-2100-000"/>
    <s v="Food Sales"/>
    <n v="1802.2593999999999"/>
    <n v="0"/>
    <s v="Daily Sales Import"/>
    <n v="-1802.2593999999999"/>
    <n v="1802.2593999999999"/>
    <x v="0"/>
    <s v="2100"/>
    <s v="000"/>
    <x v="11"/>
    <x v="1"/>
  </r>
  <r>
    <d v="2012-09-06T00:00:00"/>
    <s v="016-2210-000"/>
    <s v="Liquor Sales"/>
    <n v="483.44399999999996"/>
    <n v="0"/>
    <s v="Daily Sales Import"/>
    <n v="-483.44399999999996"/>
    <n v="483.44399999999996"/>
    <x v="0"/>
    <s v="2210"/>
    <s v="000"/>
    <x v="11"/>
    <x v="1"/>
  </r>
  <r>
    <d v="2012-09-06T00:00:00"/>
    <s v="016-2220-000"/>
    <s v="Beer Sales"/>
    <n v="163.56"/>
    <n v="0"/>
    <s v="Daily Sales Import"/>
    <n v="-163.56"/>
    <n v="163.56"/>
    <x v="0"/>
    <s v="2220"/>
    <s v="000"/>
    <x v="11"/>
    <x v="1"/>
  </r>
  <r>
    <d v="2012-09-06T00:00:00"/>
    <s v="016-2230-000"/>
    <s v="Wine Sales"/>
    <n v="45.353000000000002"/>
    <n v="0"/>
    <s v="Daily Sales Import"/>
    <n v="-45.353000000000002"/>
    <n v="45.353000000000002"/>
    <x v="0"/>
    <s v="2230"/>
    <s v="000"/>
    <x v="11"/>
    <x v="1"/>
  </r>
  <r>
    <d v="2012-09-07T00:00:00"/>
    <s v="016-2100-000"/>
    <s v="Food Sales"/>
    <n v="5034.1668000000009"/>
    <n v="0"/>
    <s v="Daily Sales Import"/>
    <n v="-5034.1668000000009"/>
    <n v="5034.1668000000009"/>
    <x v="0"/>
    <s v="2100"/>
    <s v="000"/>
    <x v="11"/>
    <x v="1"/>
  </r>
  <r>
    <d v="2012-09-07T00:00:00"/>
    <s v="016-2210-000"/>
    <s v="Liquor Sales"/>
    <n v="1593.7697000000001"/>
    <n v="0"/>
    <s v="Daily Sales Import"/>
    <n v="-1593.7697000000001"/>
    <n v="1593.7697000000001"/>
    <x v="0"/>
    <s v="2210"/>
    <s v="000"/>
    <x v="11"/>
    <x v="1"/>
  </r>
  <r>
    <d v="2012-09-07T00:00:00"/>
    <s v="016-2220-000"/>
    <s v="Beer Sales"/>
    <n v="276.2688"/>
    <n v="0"/>
    <s v="Daily Sales Import"/>
    <n v="-276.2688"/>
    <n v="276.2688"/>
    <x v="0"/>
    <s v="2220"/>
    <s v="000"/>
    <x v="11"/>
    <x v="1"/>
  </r>
  <r>
    <d v="2012-09-07T00:00:00"/>
    <s v="016-2230-000"/>
    <s v="Wine Sales"/>
    <n v="145.30500000000001"/>
    <n v="0"/>
    <s v="Daily Sales Import"/>
    <n v="-145.30500000000001"/>
    <n v="145.30500000000001"/>
    <x v="0"/>
    <s v="2230"/>
    <s v="000"/>
    <x v="11"/>
    <x v="1"/>
  </r>
  <r>
    <d v="2012-09-08T00:00:00"/>
    <s v="016-2100-000"/>
    <s v="Food Sales"/>
    <n v="7183.1269999999995"/>
    <n v="0"/>
    <s v="Daily Sales Import"/>
    <n v="-7183.1269999999995"/>
    <n v="7183.1269999999995"/>
    <x v="0"/>
    <s v="2100"/>
    <s v="000"/>
    <x v="11"/>
    <x v="1"/>
  </r>
  <r>
    <d v="2012-09-08T00:00:00"/>
    <s v="016-2210-000"/>
    <s v="Liquor Sales"/>
    <n v="1748.704"/>
    <n v="0"/>
    <s v="Daily Sales Import"/>
    <n v="-1748.704"/>
    <n v="1748.704"/>
    <x v="0"/>
    <s v="2210"/>
    <s v="000"/>
    <x v="11"/>
    <x v="1"/>
  </r>
  <r>
    <d v="2012-09-08T00:00:00"/>
    <s v="016-2220-000"/>
    <s v="Beer Sales"/>
    <n v="341.86049999999994"/>
    <n v="0"/>
    <s v="Daily Sales Import"/>
    <n v="-341.86049999999994"/>
    <n v="341.86049999999994"/>
    <x v="0"/>
    <s v="2220"/>
    <s v="000"/>
    <x v="11"/>
    <x v="1"/>
  </r>
  <r>
    <d v="2012-09-08T00:00:00"/>
    <s v="016-2230-000"/>
    <s v="Wine Sales"/>
    <n v="183.32999999999998"/>
    <n v="0"/>
    <s v="Daily Sales Import"/>
    <n v="-183.32999999999998"/>
    <n v="183.32999999999998"/>
    <x v="0"/>
    <s v="2230"/>
    <s v="000"/>
    <x v="11"/>
    <x v="1"/>
  </r>
  <r>
    <d v="2012-09-09T00:00:00"/>
    <s v="016-2100-000"/>
    <s v="Food Sales"/>
    <n v="3521.3667"/>
    <n v="0"/>
    <s v="Daily Sales Import"/>
    <n v="-3521.3667"/>
    <n v="3521.3667"/>
    <x v="0"/>
    <s v="2100"/>
    <s v="000"/>
    <x v="11"/>
    <x v="1"/>
  </r>
  <r>
    <d v="2012-09-09T00:00:00"/>
    <s v="016-2210-000"/>
    <s v="Liquor Sales"/>
    <n v="662.45540000000005"/>
    <n v="0"/>
    <s v="Daily Sales Import"/>
    <n v="-662.45540000000005"/>
    <n v="662.45540000000005"/>
    <x v="0"/>
    <s v="2210"/>
    <s v="000"/>
    <x v="11"/>
    <x v="1"/>
  </r>
  <r>
    <d v="2012-09-09T00:00:00"/>
    <s v="016-2220-000"/>
    <s v="Beer Sales"/>
    <n v="169.9425"/>
    <n v="0"/>
    <s v="Daily Sales Import"/>
    <n v="-169.9425"/>
    <n v="169.9425"/>
    <x v="0"/>
    <s v="2220"/>
    <s v="000"/>
    <x v="11"/>
    <x v="1"/>
  </r>
  <r>
    <d v="2012-09-09T00:00:00"/>
    <s v="016-2230-000"/>
    <s v="Wine Sales"/>
    <n v="58.14"/>
    <n v="0"/>
    <s v="Daily Sales Import"/>
    <n v="-58.14"/>
    <n v="58.14"/>
    <x v="0"/>
    <s v="2230"/>
    <s v="000"/>
    <x v="11"/>
    <x v="1"/>
  </r>
  <r>
    <d v="2012-09-03T00:00:00"/>
    <s v="017-2100-000"/>
    <s v="Food Sales"/>
    <n v="3563.712"/>
    <n v="0"/>
    <s v="Daily Sales Import"/>
    <n v="-3563.712"/>
    <n v="3563.712"/>
    <x v="1"/>
    <s v="2100"/>
    <s v="000"/>
    <x v="11"/>
    <x v="1"/>
  </r>
  <r>
    <d v="2012-09-03T00:00:00"/>
    <s v="017-2210-000"/>
    <s v="Liquor Sales"/>
    <n v="817.42750000000001"/>
    <n v="0"/>
    <s v="Daily Sales Import"/>
    <n v="-817.42750000000001"/>
    <n v="817.42750000000001"/>
    <x v="1"/>
    <s v="2210"/>
    <s v="000"/>
    <x v="11"/>
    <x v="1"/>
  </r>
  <r>
    <d v="2012-09-03T00:00:00"/>
    <s v="017-2220-000"/>
    <s v="Beer Sales"/>
    <n v="154.36499999999998"/>
    <n v="0"/>
    <s v="Daily Sales Import"/>
    <n v="-154.36499999999998"/>
    <n v="154.36499999999998"/>
    <x v="1"/>
    <s v="2220"/>
    <s v="000"/>
    <x v="11"/>
    <x v="1"/>
  </r>
  <r>
    <d v="2012-09-03T00:00:00"/>
    <s v="017-2230-000"/>
    <s v="Wine Sales"/>
    <n v="39.367999999999995"/>
    <n v="0"/>
    <s v="Daily Sales Import"/>
    <n v="-39.367999999999995"/>
    <n v="39.367999999999995"/>
    <x v="1"/>
    <s v="2230"/>
    <s v="000"/>
    <x v="11"/>
    <x v="1"/>
  </r>
  <r>
    <d v="2012-09-04T00:00:00"/>
    <s v="017-2100-000"/>
    <s v="Food Sales"/>
    <n v="3953.1760000000004"/>
    <n v="0"/>
    <s v="Daily Sales Import"/>
    <n v="-3953.1760000000004"/>
    <n v="3953.1760000000004"/>
    <x v="1"/>
    <s v="2100"/>
    <s v="000"/>
    <x v="11"/>
    <x v="1"/>
  </r>
  <r>
    <d v="2012-09-04T00:00:00"/>
    <s v="017-2210-000"/>
    <s v="Liquor Sales"/>
    <n v="423.97600000000006"/>
    <n v="0"/>
    <s v="Daily Sales Import"/>
    <n v="-423.97600000000006"/>
    <n v="423.97600000000006"/>
    <x v="1"/>
    <s v="2210"/>
    <s v="000"/>
    <x v="11"/>
    <x v="1"/>
  </r>
  <r>
    <d v="2012-09-04T00:00:00"/>
    <s v="017-2220-000"/>
    <s v="Beer Sales"/>
    <n v="230.76999999999998"/>
    <n v="0"/>
    <s v="Daily Sales Import"/>
    <n v="-230.76999999999998"/>
    <n v="230.76999999999998"/>
    <x v="1"/>
    <s v="2220"/>
    <s v="000"/>
    <x v="11"/>
    <x v="1"/>
  </r>
  <r>
    <d v="2012-09-04T00:00:00"/>
    <s v="017-2230-000"/>
    <s v="Wine Sales"/>
    <n v="17.578000000000003"/>
    <n v="0"/>
    <s v="Daily Sales Import"/>
    <n v="-17.578000000000003"/>
    <n v="17.578000000000003"/>
    <x v="1"/>
    <s v="2230"/>
    <s v="000"/>
    <x v="11"/>
    <x v="1"/>
  </r>
  <r>
    <d v="2012-09-05T00:00:00"/>
    <s v="017-2100-000"/>
    <s v="Food Sales"/>
    <n v="5884.4663999999993"/>
    <n v="0"/>
    <s v="Daily Sales Import"/>
    <n v="-5884.4663999999993"/>
    <n v="5884.4663999999993"/>
    <x v="1"/>
    <s v="2100"/>
    <s v="000"/>
    <x v="11"/>
    <x v="1"/>
  </r>
  <r>
    <d v="2012-09-05T00:00:00"/>
    <s v="017-2210-000"/>
    <s v="Liquor Sales"/>
    <n v="1156.3364999999999"/>
    <n v="0"/>
    <s v="Daily Sales Import"/>
    <n v="-1156.3364999999999"/>
    <n v="1156.3364999999999"/>
    <x v="1"/>
    <s v="2210"/>
    <s v="000"/>
    <x v="11"/>
    <x v="1"/>
  </r>
  <r>
    <d v="2012-09-05T00:00:00"/>
    <s v="017-2220-000"/>
    <s v="Beer Sales"/>
    <n v="288.95249999999999"/>
    <n v="0"/>
    <s v="Daily Sales Import"/>
    <n v="-288.95249999999999"/>
    <n v="288.95249999999999"/>
    <x v="1"/>
    <s v="2220"/>
    <s v="000"/>
    <x v="11"/>
    <x v="1"/>
  </r>
  <r>
    <d v="2012-09-05T00:00:00"/>
    <s v="017-2230-000"/>
    <s v="Wine Sales"/>
    <n v="38.4375"/>
    <n v="0"/>
    <s v="Daily Sales Import"/>
    <n v="-38.4375"/>
    <n v="38.4375"/>
    <x v="1"/>
    <s v="2230"/>
    <s v="000"/>
    <x v="11"/>
    <x v="1"/>
  </r>
  <r>
    <d v="2012-09-06T00:00:00"/>
    <s v="017-2100-000"/>
    <s v="Food Sales"/>
    <n v="3984.8798999999999"/>
    <n v="0"/>
    <s v="Daily Sales Import"/>
    <n v="-3984.8798999999999"/>
    <n v="3984.8798999999999"/>
    <x v="1"/>
    <s v="2100"/>
    <s v="000"/>
    <x v="11"/>
    <x v="1"/>
  </r>
  <r>
    <d v="2012-09-06T00:00:00"/>
    <s v="017-2210-000"/>
    <s v="Liquor Sales"/>
    <n v="742.83499999999992"/>
    <n v="0"/>
    <s v="Daily Sales Import"/>
    <n v="-742.83499999999992"/>
    <n v="742.83499999999992"/>
    <x v="1"/>
    <s v="2210"/>
    <s v="000"/>
    <x v="11"/>
    <x v="1"/>
  </r>
  <r>
    <d v="2012-09-06T00:00:00"/>
    <s v="017-2220-000"/>
    <s v="Beer Sales"/>
    <n v="437.85"/>
    <n v="0"/>
    <s v="Daily Sales Import"/>
    <n v="-437.85"/>
    <n v="437.85"/>
    <x v="1"/>
    <s v="2220"/>
    <s v="000"/>
    <x v="11"/>
    <x v="1"/>
  </r>
  <r>
    <d v="2012-09-06T00:00:00"/>
    <s v="017-2230-000"/>
    <s v="Wine Sales"/>
    <n v="38.835999999999999"/>
    <n v="0"/>
    <s v="Daily Sales Import"/>
    <n v="-38.835999999999999"/>
    <n v="38.835999999999999"/>
    <x v="1"/>
    <s v="2230"/>
    <s v="000"/>
    <x v="11"/>
    <x v="1"/>
  </r>
  <r>
    <d v="2012-09-07T00:00:00"/>
    <s v="017-2100-000"/>
    <s v="Food Sales"/>
    <n v="7252.8584000000001"/>
    <n v="0"/>
    <s v="Daily Sales Import"/>
    <n v="-7252.8584000000001"/>
    <n v="7252.8584000000001"/>
    <x v="1"/>
    <s v="2100"/>
    <s v="000"/>
    <x v="11"/>
    <x v="1"/>
  </r>
  <r>
    <d v="2012-09-07T00:00:00"/>
    <s v="017-2210-000"/>
    <s v="Liquor Sales"/>
    <n v="2276.8985000000002"/>
    <n v="0"/>
    <s v="Daily Sales Import"/>
    <n v="-2276.8985000000002"/>
    <n v="2276.8985000000002"/>
    <x v="1"/>
    <s v="2210"/>
    <s v="000"/>
    <x v="11"/>
    <x v="1"/>
  </r>
  <r>
    <d v="2012-09-07T00:00:00"/>
    <s v="017-2220-000"/>
    <s v="Beer Sales"/>
    <n v="506.99250000000001"/>
    <n v="0"/>
    <s v="Daily Sales Import"/>
    <n v="-506.99250000000001"/>
    <n v="506.99250000000001"/>
    <x v="1"/>
    <s v="2220"/>
    <s v="000"/>
    <x v="11"/>
    <x v="1"/>
  </r>
  <r>
    <d v="2012-09-07T00:00:00"/>
    <s v="017-2230-000"/>
    <s v="Wine Sales"/>
    <n v="87.836999999999989"/>
    <n v="0"/>
    <s v="Daily Sales Import"/>
    <n v="-87.836999999999989"/>
    <n v="87.836999999999989"/>
    <x v="1"/>
    <s v="2230"/>
    <s v="000"/>
    <x v="11"/>
    <x v="1"/>
  </r>
  <r>
    <d v="2012-09-08T00:00:00"/>
    <s v="017-2100-000"/>
    <s v="Food Sales"/>
    <n v="4544.7929999999997"/>
    <n v="0"/>
    <s v="Daily Sales Import"/>
    <n v="-4544.7929999999997"/>
    <n v="4544.7929999999997"/>
    <x v="1"/>
    <s v="2100"/>
    <s v="000"/>
    <x v="11"/>
    <x v="1"/>
  </r>
  <r>
    <d v="2012-09-08T00:00:00"/>
    <s v="017-2210-000"/>
    <s v="Liquor Sales"/>
    <n v="1196.8110000000001"/>
    <n v="0"/>
    <s v="Daily Sales Import"/>
    <n v="-1196.8110000000001"/>
    <n v="1196.8110000000001"/>
    <x v="1"/>
    <s v="2210"/>
    <s v="000"/>
    <x v="11"/>
    <x v="1"/>
  </r>
  <r>
    <d v="2012-09-08T00:00:00"/>
    <s v="017-2220-000"/>
    <s v="Beer Sales"/>
    <n v="321.54000000000002"/>
    <n v="0"/>
    <s v="Daily Sales Import"/>
    <n v="-321.54000000000002"/>
    <n v="321.54000000000002"/>
    <x v="1"/>
    <s v="2220"/>
    <s v="000"/>
    <x v="11"/>
    <x v="1"/>
  </r>
  <r>
    <d v="2012-09-08T00:00:00"/>
    <s v="017-2230-000"/>
    <s v="Wine Sales"/>
    <n v="98.259999999999991"/>
    <n v="0"/>
    <s v="Daily Sales Import"/>
    <n v="-98.259999999999991"/>
    <n v="98.259999999999991"/>
    <x v="1"/>
    <s v="2230"/>
    <s v="000"/>
    <x v="11"/>
    <x v="1"/>
  </r>
  <r>
    <d v="2012-09-09T00:00:00"/>
    <s v="017-2100-000"/>
    <s v="Food Sales"/>
    <n v="3845.8847999999998"/>
    <n v="0"/>
    <s v="Daily Sales Import"/>
    <n v="-3845.8847999999998"/>
    <n v="3845.8847999999998"/>
    <x v="1"/>
    <s v="2100"/>
    <s v="000"/>
    <x v="11"/>
    <x v="1"/>
  </r>
  <r>
    <d v="2012-09-09T00:00:00"/>
    <s v="017-2210-000"/>
    <s v="Liquor Sales"/>
    <n v="1027.4375"/>
    <n v="0"/>
    <s v="Daily Sales Import"/>
    <n v="-1027.4375"/>
    <n v="1027.4375"/>
    <x v="1"/>
    <s v="2210"/>
    <s v="000"/>
    <x v="11"/>
    <x v="1"/>
  </r>
  <r>
    <d v="2012-09-09T00:00:00"/>
    <s v="017-2220-000"/>
    <s v="Beer Sales"/>
    <n v="222.31"/>
    <n v="0"/>
    <s v="Daily Sales Import"/>
    <n v="-222.31"/>
    <n v="222.31"/>
    <x v="1"/>
    <s v="2220"/>
    <s v="000"/>
    <x v="11"/>
    <x v="1"/>
  </r>
  <r>
    <d v="2012-09-09T00:00:00"/>
    <s v="017-2230-000"/>
    <s v="Wine Sales"/>
    <n v="53.156999999999996"/>
    <n v="0"/>
    <s v="Daily Sales Import"/>
    <n v="-53.156999999999996"/>
    <n v="53.156999999999996"/>
    <x v="1"/>
    <s v="2230"/>
    <s v="000"/>
    <x v="11"/>
    <x v="1"/>
  </r>
  <r>
    <d v="2012-09-03T00:00:00"/>
    <s v="018-2100-000"/>
    <s v="Food Sales"/>
    <n v="8234.1283999999996"/>
    <n v="0"/>
    <s v="Daily Sales Import"/>
    <n v="-8234.1283999999996"/>
    <n v="8234.1283999999996"/>
    <x v="2"/>
    <s v="2100"/>
    <s v="000"/>
    <x v="11"/>
    <x v="1"/>
  </r>
  <r>
    <d v="2012-09-03T00:00:00"/>
    <s v="018-2210-000"/>
    <s v="Liquor Sales"/>
    <n v="1101.789"/>
    <n v="0"/>
    <s v="Daily Sales Import"/>
    <n v="-1101.789"/>
    <n v="1101.789"/>
    <x v="2"/>
    <s v="2210"/>
    <s v="000"/>
    <x v="11"/>
    <x v="1"/>
  </r>
  <r>
    <d v="2012-09-03T00:00:00"/>
    <s v="018-2220-000"/>
    <s v="Beer Sales"/>
    <n v="150.57900000000001"/>
    <n v="0"/>
    <s v="Daily Sales Import"/>
    <n v="-150.57900000000001"/>
    <n v="150.57900000000001"/>
    <x v="2"/>
    <s v="2220"/>
    <s v="000"/>
    <x v="11"/>
    <x v="1"/>
  </r>
  <r>
    <d v="2012-09-03T00:00:00"/>
    <s v="018-2230-000"/>
    <s v="Wine Sales"/>
    <n v="31.979999999999997"/>
    <n v="0"/>
    <s v="Daily Sales Import"/>
    <n v="-31.979999999999997"/>
    <n v="31.979999999999997"/>
    <x v="2"/>
    <s v="2230"/>
    <s v="000"/>
    <x v="11"/>
    <x v="1"/>
  </r>
  <r>
    <d v="2012-09-04T00:00:00"/>
    <s v="018-2100-000"/>
    <s v="Food Sales"/>
    <n v="2507.8289999999997"/>
    <n v="0"/>
    <s v="Daily Sales Import"/>
    <n v="-2507.8289999999997"/>
    <n v="2507.8289999999997"/>
    <x v="2"/>
    <s v="2100"/>
    <s v="000"/>
    <x v="11"/>
    <x v="1"/>
  </r>
  <r>
    <d v="2012-09-04T00:00:00"/>
    <s v="018-2210-000"/>
    <s v="Liquor Sales"/>
    <n v="523.65449999999998"/>
    <n v="0"/>
    <s v="Daily Sales Import"/>
    <n v="-523.65449999999998"/>
    <n v="523.65449999999998"/>
    <x v="2"/>
    <s v="2210"/>
    <s v="000"/>
    <x v="11"/>
    <x v="1"/>
  </r>
  <r>
    <d v="2012-09-04T00:00:00"/>
    <s v="018-2220-000"/>
    <s v="Beer Sales"/>
    <n v="150.07499999999999"/>
    <n v="0"/>
    <s v="Daily Sales Import"/>
    <n v="-150.07499999999999"/>
    <n v="150.07499999999999"/>
    <x v="2"/>
    <s v="2220"/>
    <s v="000"/>
    <x v="11"/>
    <x v="1"/>
  </r>
  <r>
    <d v="2012-09-04T00:00:00"/>
    <s v="018-2230-000"/>
    <s v="Wine Sales"/>
    <n v="33.822499999999998"/>
    <n v="0"/>
    <s v="Daily Sales Import"/>
    <n v="-33.822499999999998"/>
    <n v="33.822499999999998"/>
    <x v="2"/>
    <s v="2230"/>
    <s v="000"/>
    <x v="11"/>
    <x v="1"/>
  </r>
  <r>
    <d v="2012-09-05T00:00:00"/>
    <s v="018-2100-000"/>
    <s v="Food Sales"/>
    <n v="3046.77"/>
    <n v="0"/>
    <s v="Daily Sales Import"/>
    <n v="-3046.77"/>
    <n v="3046.77"/>
    <x v="2"/>
    <s v="2100"/>
    <s v="000"/>
    <x v="11"/>
    <x v="1"/>
  </r>
  <r>
    <d v="2012-09-05T00:00:00"/>
    <s v="018-2210-000"/>
    <s v="Liquor Sales"/>
    <n v="1028.2545"/>
    <n v="0"/>
    <s v="Daily Sales Import"/>
    <n v="-1028.2545"/>
    <n v="1028.2545"/>
    <x v="2"/>
    <s v="2210"/>
    <s v="000"/>
    <x v="11"/>
    <x v="1"/>
  </r>
  <r>
    <d v="2012-09-05T00:00:00"/>
    <s v="018-2220-000"/>
    <s v="Beer Sales"/>
    <n v="337.35"/>
    <n v="0"/>
    <s v="Daily Sales Import"/>
    <n v="-337.35"/>
    <n v="337.35"/>
    <x v="2"/>
    <s v="2220"/>
    <s v="000"/>
    <x v="11"/>
    <x v="1"/>
  </r>
  <r>
    <d v="2012-09-05T00:00:00"/>
    <s v="018-2230-000"/>
    <s v="Wine Sales"/>
    <n v="54.706000000000003"/>
    <n v="0"/>
    <s v="Daily Sales Import"/>
    <n v="-54.706000000000003"/>
    <n v="54.706000000000003"/>
    <x v="2"/>
    <s v="2230"/>
    <s v="000"/>
    <x v="11"/>
    <x v="1"/>
  </r>
  <r>
    <d v="2012-09-06T00:00:00"/>
    <s v="018-2100-000"/>
    <s v="Food Sales"/>
    <n v="4602.1840000000002"/>
    <n v="0"/>
    <s v="Daily Sales Import"/>
    <n v="-4602.1840000000002"/>
    <n v="4602.1840000000002"/>
    <x v="2"/>
    <s v="2100"/>
    <s v="000"/>
    <x v="11"/>
    <x v="1"/>
  </r>
  <r>
    <d v="2012-09-06T00:00:00"/>
    <s v="018-2210-000"/>
    <s v="Liquor Sales"/>
    <n v="1333.7415000000001"/>
    <n v="0"/>
    <s v="Daily Sales Import"/>
    <n v="-1333.7415000000001"/>
    <n v="1333.7415000000001"/>
    <x v="2"/>
    <s v="2210"/>
    <s v="000"/>
    <x v="11"/>
    <x v="1"/>
  </r>
  <r>
    <d v="2012-09-06T00:00:00"/>
    <s v="018-2220-000"/>
    <s v="Beer Sales"/>
    <n v="358.44749999999999"/>
    <n v="0"/>
    <s v="Daily Sales Import"/>
    <n v="-358.44749999999999"/>
    <n v="358.44749999999999"/>
    <x v="2"/>
    <s v="2220"/>
    <s v="000"/>
    <x v="11"/>
    <x v="1"/>
  </r>
  <r>
    <d v="2012-09-06T00:00:00"/>
    <s v="018-2230-000"/>
    <s v="Wine Sales"/>
    <n v="29.224999999999998"/>
    <n v="0"/>
    <s v="Daily Sales Import"/>
    <n v="-29.224999999999998"/>
    <n v="29.224999999999998"/>
    <x v="2"/>
    <s v="2230"/>
    <s v="000"/>
    <x v="11"/>
    <x v="1"/>
  </r>
  <r>
    <d v="2012-09-07T00:00:00"/>
    <s v="018-2100-000"/>
    <s v="Food Sales"/>
    <n v="12387.8325"/>
    <n v="0"/>
    <s v="Daily Sales Import"/>
    <n v="-12387.8325"/>
    <n v="12387.8325"/>
    <x v="2"/>
    <s v="2100"/>
    <s v="000"/>
    <x v="11"/>
    <x v="1"/>
  </r>
  <r>
    <d v="2012-09-07T00:00:00"/>
    <s v="018-2210-000"/>
    <s v="Liquor Sales"/>
    <n v="3762.2700000000004"/>
    <n v="0"/>
    <s v="Daily Sales Import"/>
    <n v="-3762.2700000000004"/>
    <n v="3762.2700000000004"/>
    <x v="2"/>
    <s v="2210"/>
    <s v="000"/>
    <x v="11"/>
    <x v="1"/>
  </r>
  <r>
    <d v="2012-09-07T00:00:00"/>
    <s v="018-2220-000"/>
    <s v="Beer Sales"/>
    <n v="828.97749999999996"/>
    <n v="0"/>
    <s v="Daily Sales Import"/>
    <n v="-828.97749999999996"/>
    <n v="828.97749999999996"/>
    <x v="2"/>
    <s v="2220"/>
    <s v="000"/>
    <x v="11"/>
    <x v="1"/>
  </r>
  <r>
    <d v="2012-09-07T00:00:00"/>
    <s v="018-2230-000"/>
    <s v="Wine Sales"/>
    <n v="105.15200000000002"/>
    <n v="0"/>
    <s v="Daily Sales Import"/>
    <n v="-105.15200000000002"/>
    <n v="105.15200000000002"/>
    <x v="2"/>
    <s v="2230"/>
    <s v="000"/>
    <x v="11"/>
    <x v="1"/>
  </r>
  <r>
    <d v="2012-09-08T00:00:00"/>
    <s v="018-2100-000"/>
    <s v="Food Sales"/>
    <n v="11269.3392"/>
    <n v="0"/>
    <s v="Daily Sales Import"/>
    <n v="-11269.3392"/>
    <n v="11269.3392"/>
    <x v="2"/>
    <s v="2100"/>
    <s v="000"/>
    <x v="11"/>
    <x v="1"/>
  </r>
  <r>
    <d v="2012-09-08T00:00:00"/>
    <s v="018-2210-000"/>
    <s v="Liquor Sales"/>
    <n v="2388.2354999999998"/>
    <n v="0"/>
    <s v="Daily Sales Import"/>
    <n v="-2388.2354999999998"/>
    <n v="2388.2354999999998"/>
    <x v="2"/>
    <s v="2210"/>
    <s v="000"/>
    <x v="11"/>
    <x v="1"/>
  </r>
  <r>
    <d v="2012-09-08T00:00:00"/>
    <s v="018-2220-000"/>
    <s v="Beer Sales"/>
    <n v="618.048"/>
    <n v="0"/>
    <s v="Daily Sales Import"/>
    <n v="-618.048"/>
    <n v="618.048"/>
    <x v="2"/>
    <s v="2220"/>
    <s v="000"/>
    <x v="11"/>
    <x v="1"/>
  </r>
  <r>
    <d v="2012-09-08T00:00:00"/>
    <s v="018-2230-000"/>
    <s v="Wine Sales"/>
    <n v="118.68799999999999"/>
    <n v="0"/>
    <s v="Daily Sales Import"/>
    <n v="-118.68799999999999"/>
    <n v="118.68799999999999"/>
    <x v="2"/>
    <s v="2230"/>
    <s v="000"/>
    <x v="11"/>
    <x v="1"/>
  </r>
  <r>
    <d v="2012-09-09T00:00:00"/>
    <s v="018-2100-000"/>
    <s v="Food Sales"/>
    <n v="8375.9279999999999"/>
    <n v="0"/>
    <s v="Daily Sales Import"/>
    <n v="-8375.9279999999999"/>
    <n v="8375.9279999999999"/>
    <x v="2"/>
    <s v="2100"/>
    <s v="000"/>
    <x v="11"/>
    <x v="1"/>
  </r>
  <r>
    <d v="2012-09-09T00:00:00"/>
    <s v="018-2210-000"/>
    <s v="Liquor Sales"/>
    <n v="1615.24"/>
    <n v="0"/>
    <s v="Daily Sales Import"/>
    <n v="-1615.24"/>
    <n v="1615.24"/>
    <x v="2"/>
    <s v="2210"/>
    <s v="000"/>
    <x v="11"/>
    <x v="1"/>
  </r>
  <r>
    <d v="2012-09-09T00:00:00"/>
    <s v="018-2220-000"/>
    <s v="Beer Sales"/>
    <n v="272.90250000000003"/>
    <n v="0"/>
    <s v="Daily Sales Import"/>
    <n v="-272.90250000000003"/>
    <n v="272.90250000000003"/>
    <x v="2"/>
    <s v="2220"/>
    <s v="000"/>
    <x v="11"/>
    <x v="1"/>
  </r>
  <r>
    <d v="2012-09-09T00:00:00"/>
    <s v="018-2230-000"/>
    <s v="Wine Sales"/>
    <n v="73.881500000000003"/>
    <n v="0"/>
    <s v="Daily Sales Import"/>
    <n v="-73.881500000000003"/>
    <n v="73.881500000000003"/>
    <x v="2"/>
    <s v="2230"/>
    <s v="000"/>
    <x v="11"/>
    <x v="1"/>
  </r>
  <r>
    <d v="2012-09-10T00:00:00"/>
    <s v="016-2100-000"/>
    <s v="Food Sales"/>
    <n v="1450.4723999999999"/>
    <n v="0"/>
    <s v="Daily Sales Import"/>
    <n v="-1450.4723999999999"/>
    <n v="1450.4723999999999"/>
    <x v="0"/>
    <s v="2100"/>
    <s v="000"/>
    <x v="11"/>
    <x v="1"/>
  </r>
  <r>
    <d v="2012-09-10T00:00:00"/>
    <s v="016-2210-000"/>
    <s v="Liquor Sales"/>
    <n v="406.78000000000003"/>
    <n v="0"/>
    <s v="Daily Sales Import"/>
    <n v="-406.78000000000003"/>
    <n v="406.78000000000003"/>
    <x v="0"/>
    <s v="2210"/>
    <s v="000"/>
    <x v="11"/>
    <x v="1"/>
  </r>
  <r>
    <d v="2012-09-10T00:00:00"/>
    <s v="016-2220-000"/>
    <s v="Beer Sales"/>
    <n v="48.994499999999995"/>
    <n v="0"/>
    <s v="Daily Sales Import"/>
    <n v="-48.994499999999995"/>
    <n v="48.994499999999995"/>
    <x v="0"/>
    <s v="2220"/>
    <s v="000"/>
    <x v="11"/>
    <x v="1"/>
  </r>
  <r>
    <d v="2012-09-11T00:00:00"/>
    <s v="016-2100-000"/>
    <s v="Food Sales"/>
    <n v="3420.3267000000001"/>
    <n v="0"/>
    <s v="Daily Sales Import"/>
    <n v="-3420.3267000000001"/>
    <n v="3420.3267000000001"/>
    <x v="0"/>
    <s v="2100"/>
    <s v="000"/>
    <x v="11"/>
    <x v="1"/>
  </r>
  <r>
    <d v="2012-09-11T00:00:00"/>
    <s v="016-2210-000"/>
    <s v="Liquor Sales"/>
    <n v="1779.8340000000001"/>
    <n v="0"/>
    <s v="Daily Sales Import"/>
    <n v="-1779.8340000000001"/>
    <n v="1779.8340000000001"/>
    <x v="0"/>
    <s v="2210"/>
    <s v="000"/>
    <x v="11"/>
    <x v="1"/>
  </r>
  <r>
    <d v="2012-09-11T00:00:00"/>
    <s v="016-2220-000"/>
    <s v="Beer Sales"/>
    <n v="464.44650000000001"/>
    <n v="0"/>
    <s v="Daily Sales Import"/>
    <n v="-464.44650000000001"/>
    <n v="464.44650000000001"/>
    <x v="0"/>
    <s v="2220"/>
    <s v="000"/>
    <x v="11"/>
    <x v="1"/>
  </r>
  <r>
    <d v="2012-09-11T00:00:00"/>
    <s v="016-2230-000"/>
    <s v="Wine Sales"/>
    <n v="115.3425"/>
    <n v="0"/>
    <s v="Daily Sales Import"/>
    <n v="-115.3425"/>
    <n v="115.3425"/>
    <x v="0"/>
    <s v="2230"/>
    <s v="000"/>
    <x v="11"/>
    <x v="1"/>
  </r>
  <r>
    <d v="2012-09-12T00:00:00"/>
    <s v="016-2100-000"/>
    <s v="Food Sales"/>
    <n v="3347.011"/>
    <n v="0"/>
    <s v="Daily Sales Import"/>
    <n v="-3347.011"/>
    <n v="3347.011"/>
    <x v="0"/>
    <s v="2100"/>
    <s v="000"/>
    <x v="11"/>
    <x v="1"/>
  </r>
  <r>
    <d v="2012-09-12T00:00:00"/>
    <s v="016-2210-000"/>
    <s v="Liquor Sales"/>
    <n v="467.85200000000009"/>
    <n v="0"/>
    <s v="Daily Sales Import"/>
    <n v="-467.85200000000009"/>
    <n v="467.85200000000009"/>
    <x v="0"/>
    <s v="2210"/>
    <s v="000"/>
    <x v="11"/>
    <x v="1"/>
  </r>
  <r>
    <d v="2012-09-12T00:00:00"/>
    <s v="016-2220-000"/>
    <s v="Beer Sales"/>
    <n v="84.924000000000007"/>
    <n v="0"/>
    <s v="Daily Sales Import"/>
    <n v="-84.924000000000007"/>
    <n v="84.924000000000007"/>
    <x v="0"/>
    <s v="2220"/>
    <s v="000"/>
    <x v="11"/>
    <x v="1"/>
  </r>
  <r>
    <d v="2012-09-12T00:00:00"/>
    <s v="016-2230-000"/>
    <s v="Wine Sales"/>
    <n v="9.7199999999999989"/>
    <n v="0"/>
    <s v="Daily Sales Import"/>
    <n v="-9.7199999999999989"/>
    <n v="9.7199999999999989"/>
    <x v="0"/>
    <s v="2230"/>
    <s v="000"/>
    <x v="11"/>
    <x v="1"/>
  </r>
  <r>
    <d v="2012-09-13T00:00:00"/>
    <s v="016-2100-000"/>
    <s v="Food Sales"/>
    <n v="2391.7860999999998"/>
    <n v="0"/>
    <s v="Daily Sales Import"/>
    <n v="-2391.7860999999998"/>
    <n v="2391.7860999999998"/>
    <x v="0"/>
    <s v="2100"/>
    <s v="000"/>
    <x v="11"/>
    <x v="1"/>
  </r>
  <r>
    <d v="2012-09-13T00:00:00"/>
    <s v="016-2210-000"/>
    <s v="Liquor Sales"/>
    <n v="563.976"/>
    <n v="0"/>
    <s v="Daily Sales Import"/>
    <n v="-563.976"/>
    <n v="563.976"/>
    <x v="0"/>
    <s v="2210"/>
    <s v="000"/>
    <x v="11"/>
    <x v="1"/>
  </r>
  <r>
    <d v="2012-09-13T00:00:00"/>
    <s v="016-2220-000"/>
    <s v="Beer Sales"/>
    <n v="130.34520000000001"/>
    <n v="0"/>
    <s v="Daily Sales Import"/>
    <n v="-130.34520000000001"/>
    <n v="130.34520000000001"/>
    <x v="0"/>
    <s v="2220"/>
    <s v="000"/>
    <x v="11"/>
    <x v="1"/>
  </r>
  <r>
    <d v="2012-09-13T00:00:00"/>
    <s v="016-2230-000"/>
    <s v="Wine Sales"/>
    <n v="35.31"/>
    <n v="0"/>
    <s v="Daily Sales Import"/>
    <n v="-35.31"/>
    <n v="35.31"/>
    <x v="0"/>
    <s v="2230"/>
    <s v="000"/>
    <x v="11"/>
    <x v="1"/>
  </r>
  <r>
    <d v="2012-09-14T00:00:00"/>
    <s v="016-2100-000"/>
    <s v="Food Sales"/>
    <n v="7059.7764000000006"/>
    <n v="0"/>
    <s v="Daily Sales Import"/>
    <n v="-7059.7764000000006"/>
    <n v="7059.7764000000006"/>
    <x v="0"/>
    <s v="2100"/>
    <s v="000"/>
    <x v="11"/>
    <x v="1"/>
  </r>
  <r>
    <d v="2012-09-14T00:00:00"/>
    <s v="016-2210-000"/>
    <s v="Liquor Sales"/>
    <n v="2003.2079999999996"/>
    <n v="0"/>
    <s v="Daily Sales Import"/>
    <n v="-2003.2079999999996"/>
    <n v="2003.2079999999996"/>
    <x v="0"/>
    <s v="2210"/>
    <s v="000"/>
    <x v="11"/>
    <x v="1"/>
  </r>
  <r>
    <d v="2012-09-14T00:00:00"/>
    <s v="016-2220-000"/>
    <s v="Beer Sales"/>
    <n v="309.99599999999998"/>
    <n v="0"/>
    <s v="Daily Sales Import"/>
    <n v="-309.99599999999998"/>
    <n v="309.99599999999998"/>
    <x v="0"/>
    <s v="2220"/>
    <s v="000"/>
    <x v="11"/>
    <x v="1"/>
  </r>
  <r>
    <d v="2012-09-14T00:00:00"/>
    <s v="016-2230-000"/>
    <s v="Wine Sales"/>
    <n v="90.86"/>
    <n v="0"/>
    <s v="Daily Sales Import"/>
    <n v="-90.86"/>
    <n v="90.86"/>
    <x v="0"/>
    <s v="2230"/>
    <s v="000"/>
    <x v="11"/>
    <x v="1"/>
  </r>
  <r>
    <d v="2012-09-15T00:00:00"/>
    <s v="016-2100-000"/>
    <s v="Food Sales"/>
    <n v="8970.5650000000005"/>
    <n v="0"/>
    <s v="Daily Sales Import"/>
    <n v="-8970.5650000000005"/>
    <n v="8970.5650000000005"/>
    <x v="0"/>
    <s v="2100"/>
    <s v="000"/>
    <x v="11"/>
    <x v="1"/>
  </r>
  <r>
    <d v="2012-09-15T00:00:00"/>
    <s v="016-2210-000"/>
    <s v="Liquor Sales"/>
    <n v="2775.4780000000001"/>
    <n v="0"/>
    <s v="Daily Sales Import"/>
    <n v="-2775.4780000000001"/>
    <n v="2775.4780000000001"/>
    <x v="0"/>
    <s v="2210"/>
    <s v="000"/>
    <x v="11"/>
    <x v="1"/>
  </r>
  <r>
    <d v="2012-09-15T00:00:00"/>
    <s v="016-2220-000"/>
    <s v="Beer Sales"/>
    <n v="539.48699999999997"/>
    <n v="0"/>
    <s v="Daily Sales Import"/>
    <n v="-539.48699999999997"/>
    <n v="539.48699999999997"/>
    <x v="0"/>
    <s v="2220"/>
    <s v="000"/>
    <x v="11"/>
    <x v="1"/>
  </r>
  <r>
    <d v="2012-09-15T00:00:00"/>
    <s v="016-2230-000"/>
    <s v="Wine Sales"/>
    <n v="125.8725"/>
    <n v="0"/>
    <s v="Daily Sales Import"/>
    <n v="-125.8725"/>
    <n v="125.8725"/>
    <x v="0"/>
    <s v="2230"/>
    <s v="000"/>
    <x v="11"/>
    <x v="1"/>
  </r>
  <r>
    <d v="2012-09-16T00:00:00"/>
    <s v="016-2100-000"/>
    <s v="Food Sales"/>
    <n v="2892.4337"/>
    <n v="0"/>
    <s v="Daily Sales Import"/>
    <n v="-2892.4337"/>
    <n v="2892.4337"/>
    <x v="0"/>
    <s v="2100"/>
    <s v="000"/>
    <x v="11"/>
    <x v="1"/>
  </r>
  <r>
    <d v="2012-09-16T00:00:00"/>
    <s v="016-2210-000"/>
    <s v="Liquor Sales"/>
    <n v="642.52979999999991"/>
    <n v="0"/>
    <s v="Daily Sales Import"/>
    <n v="-642.52979999999991"/>
    <n v="642.52979999999991"/>
    <x v="0"/>
    <s v="2210"/>
    <s v="000"/>
    <x v="11"/>
    <x v="1"/>
  </r>
  <r>
    <d v="2012-09-16T00:00:00"/>
    <s v="016-2220-000"/>
    <s v="Beer Sales"/>
    <n v="137.04599999999999"/>
    <n v="0"/>
    <s v="Daily Sales Import"/>
    <n v="-137.04599999999999"/>
    <n v="137.04599999999999"/>
    <x v="0"/>
    <s v="2220"/>
    <s v="000"/>
    <x v="11"/>
    <x v="1"/>
  </r>
  <r>
    <d v="2012-09-16T00:00:00"/>
    <s v="016-2230-000"/>
    <s v="Wine Sales"/>
    <n v="78.688500000000005"/>
    <n v="0"/>
    <s v="Daily Sales Import"/>
    <n v="-78.688500000000005"/>
    <n v="78.688500000000005"/>
    <x v="0"/>
    <s v="2230"/>
    <s v="000"/>
    <x v="11"/>
    <x v="1"/>
  </r>
  <r>
    <d v="2012-09-10T00:00:00"/>
    <s v="017-2100-000"/>
    <s v="Food Sales"/>
    <n v="5198.9400000000005"/>
    <n v="0"/>
    <s v="Daily Sales Import"/>
    <n v="-5198.9400000000005"/>
    <n v="5198.9400000000005"/>
    <x v="1"/>
    <s v="2100"/>
    <s v="000"/>
    <x v="11"/>
    <x v="1"/>
  </r>
  <r>
    <d v="2012-09-10T00:00:00"/>
    <s v="017-2210-000"/>
    <s v="Liquor Sales"/>
    <n v="920.47199999999998"/>
    <n v="0"/>
    <s v="Daily Sales Import"/>
    <n v="-920.47199999999998"/>
    <n v="920.47199999999998"/>
    <x v="1"/>
    <s v="2210"/>
    <s v="000"/>
    <x v="11"/>
    <x v="1"/>
  </r>
  <r>
    <d v="2012-09-10T00:00:00"/>
    <s v="017-2220-000"/>
    <s v="Beer Sales"/>
    <n v="222.11500000000001"/>
    <n v="0"/>
    <s v="Daily Sales Import"/>
    <n v="-222.11500000000001"/>
    <n v="222.11500000000001"/>
    <x v="1"/>
    <s v="2220"/>
    <s v="000"/>
    <x v="11"/>
    <x v="1"/>
  </r>
  <r>
    <d v="2012-09-10T00:00:00"/>
    <s v="017-2230-000"/>
    <s v="Wine Sales"/>
    <n v="74.028000000000006"/>
    <n v="0"/>
    <s v="Daily Sales Import"/>
    <n v="-74.028000000000006"/>
    <n v="74.028000000000006"/>
    <x v="1"/>
    <s v="2230"/>
    <s v="000"/>
    <x v="11"/>
    <x v="1"/>
  </r>
  <r>
    <d v="2012-09-11T00:00:00"/>
    <s v="017-2100-000"/>
    <s v="Food Sales"/>
    <n v="5254.5586000000003"/>
    <n v="0"/>
    <s v="Daily Sales Import"/>
    <n v="-5254.5586000000003"/>
    <n v="5254.5586000000003"/>
    <x v="1"/>
    <s v="2100"/>
    <s v="000"/>
    <x v="11"/>
    <x v="1"/>
  </r>
  <r>
    <d v="2012-09-11T00:00:00"/>
    <s v="017-2210-000"/>
    <s v="Liquor Sales"/>
    <n v="1172.6005"/>
    <n v="0"/>
    <s v="Daily Sales Import"/>
    <n v="-1172.6005"/>
    <n v="1172.6005"/>
    <x v="1"/>
    <s v="2210"/>
    <s v="000"/>
    <x v="11"/>
    <x v="1"/>
  </r>
  <r>
    <d v="2012-09-11T00:00:00"/>
    <s v="017-2220-000"/>
    <s v="Beer Sales"/>
    <n v="439.66"/>
    <n v="0"/>
    <s v="Daily Sales Import"/>
    <n v="-439.66"/>
    <n v="439.66"/>
    <x v="1"/>
    <s v="2220"/>
    <s v="000"/>
    <x v="11"/>
    <x v="1"/>
  </r>
  <r>
    <d v="2012-09-11T00:00:00"/>
    <s v="017-2230-000"/>
    <s v="Wine Sales"/>
    <n v="64.621500000000012"/>
    <n v="0"/>
    <s v="Daily Sales Import"/>
    <n v="-64.621500000000012"/>
    <n v="64.621500000000012"/>
    <x v="1"/>
    <s v="2230"/>
    <s v="000"/>
    <x v="11"/>
    <x v="1"/>
  </r>
  <r>
    <d v="2012-09-12T00:00:00"/>
    <s v="017-2100-000"/>
    <s v="Food Sales"/>
    <n v="7414.4850000000006"/>
    <n v="0"/>
    <s v="Daily Sales Import"/>
    <n v="-7414.4850000000006"/>
    <n v="7414.4850000000006"/>
    <x v="1"/>
    <s v="2100"/>
    <s v="000"/>
    <x v="11"/>
    <x v="1"/>
  </r>
  <r>
    <d v="2012-09-12T00:00:00"/>
    <s v="017-2210-000"/>
    <s v="Liquor Sales"/>
    <n v="2478.0720000000001"/>
    <n v="0"/>
    <s v="Daily Sales Import"/>
    <n v="-2478.0720000000001"/>
    <n v="2478.0720000000001"/>
    <x v="1"/>
    <s v="2210"/>
    <s v="000"/>
    <x v="11"/>
    <x v="1"/>
  </r>
  <r>
    <d v="2012-09-12T00:00:00"/>
    <s v="017-2220-000"/>
    <s v="Beer Sales"/>
    <n v="451.77750000000003"/>
    <n v="0"/>
    <s v="Daily Sales Import"/>
    <n v="-451.77750000000003"/>
    <n v="451.77750000000003"/>
    <x v="1"/>
    <s v="2220"/>
    <s v="000"/>
    <x v="11"/>
    <x v="1"/>
  </r>
  <r>
    <d v="2012-09-12T00:00:00"/>
    <s v="017-2230-000"/>
    <s v="Wine Sales"/>
    <n v="161.70400000000001"/>
    <n v="0"/>
    <s v="Daily Sales Import"/>
    <n v="-161.70400000000001"/>
    <n v="161.70400000000001"/>
    <x v="1"/>
    <s v="2230"/>
    <s v="000"/>
    <x v="11"/>
    <x v="1"/>
  </r>
  <r>
    <d v="2012-09-13T00:00:00"/>
    <s v="017-2100-000"/>
    <s v="Food Sales"/>
    <n v="4484.5433000000003"/>
    <n v="0"/>
    <s v="Daily Sales Import"/>
    <n v="-4484.5433000000003"/>
    <n v="4484.5433000000003"/>
    <x v="1"/>
    <s v="2100"/>
    <s v="000"/>
    <x v="11"/>
    <x v="1"/>
  </r>
  <r>
    <d v="2012-09-13T00:00:00"/>
    <s v="017-2210-000"/>
    <s v="Liquor Sales"/>
    <n v="1166.2355000000002"/>
    <n v="0"/>
    <s v="Daily Sales Import"/>
    <n v="-1166.2355000000002"/>
    <n v="1166.2355000000002"/>
    <x v="1"/>
    <s v="2210"/>
    <s v="000"/>
    <x v="11"/>
    <x v="1"/>
  </r>
  <r>
    <d v="2012-09-13T00:00:00"/>
    <s v="017-2220-000"/>
    <s v="Beer Sales"/>
    <n v="579.82500000000005"/>
    <n v="0"/>
    <s v="Daily Sales Import"/>
    <n v="-579.82500000000005"/>
    <n v="579.82500000000005"/>
    <x v="1"/>
    <s v="2220"/>
    <s v="000"/>
    <x v="11"/>
    <x v="1"/>
  </r>
  <r>
    <d v="2012-09-13T00:00:00"/>
    <s v="017-2230-000"/>
    <s v="Wine Sales"/>
    <n v="74.669999999999987"/>
    <n v="0"/>
    <s v="Daily Sales Import"/>
    <n v="-74.669999999999987"/>
    <n v="74.669999999999987"/>
    <x v="1"/>
    <s v="2230"/>
    <s v="000"/>
    <x v="11"/>
    <x v="1"/>
  </r>
  <r>
    <d v="2012-09-14T00:00:00"/>
    <s v="017-2100-000"/>
    <s v="Food Sales"/>
    <n v="9933.534599999999"/>
    <n v="0"/>
    <s v="Daily Sales Import"/>
    <n v="-9933.534599999999"/>
    <n v="9933.534599999999"/>
    <x v="1"/>
    <s v="2100"/>
    <s v="000"/>
    <x v="11"/>
    <x v="1"/>
  </r>
  <r>
    <d v="2012-09-14T00:00:00"/>
    <s v="017-2210-000"/>
    <s v="Liquor Sales"/>
    <n v="2759.6969999999997"/>
    <n v="0"/>
    <s v="Daily Sales Import"/>
    <n v="-2759.6969999999997"/>
    <n v="2759.6969999999997"/>
    <x v="1"/>
    <s v="2210"/>
    <s v="000"/>
    <x v="11"/>
    <x v="1"/>
  </r>
  <r>
    <d v="2012-09-14T00:00:00"/>
    <s v="017-2220-000"/>
    <s v="Beer Sales"/>
    <n v="640.06499999999994"/>
    <n v="0"/>
    <s v="Daily Sales Import"/>
    <n v="-640.06499999999994"/>
    <n v="640.06499999999994"/>
    <x v="1"/>
    <s v="2220"/>
    <s v="000"/>
    <x v="11"/>
    <x v="1"/>
  </r>
  <r>
    <d v="2012-09-14T00:00:00"/>
    <s v="017-2230-000"/>
    <s v="Wine Sales"/>
    <n v="121.1925"/>
    <n v="0"/>
    <s v="Daily Sales Import"/>
    <n v="-121.1925"/>
    <n v="121.1925"/>
    <x v="1"/>
    <s v="2230"/>
    <s v="000"/>
    <x v="11"/>
    <x v="1"/>
  </r>
  <r>
    <d v="2012-09-15T00:00:00"/>
    <s v="017-2100-000"/>
    <s v="Food Sales"/>
    <n v="6877.9919999999993"/>
    <n v="0"/>
    <s v="Daily Sales Import"/>
    <n v="-6877.9919999999993"/>
    <n v="6877.9919999999993"/>
    <x v="1"/>
    <s v="2100"/>
    <s v="000"/>
    <x v="11"/>
    <x v="1"/>
  </r>
  <r>
    <d v="2012-09-15T00:00:00"/>
    <s v="017-2210-000"/>
    <s v="Liquor Sales"/>
    <n v="1552.9119999999998"/>
    <n v="0"/>
    <s v="Daily Sales Import"/>
    <n v="-1552.9119999999998"/>
    <n v="1552.9119999999998"/>
    <x v="1"/>
    <s v="2210"/>
    <s v="000"/>
    <x v="11"/>
    <x v="1"/>
  </r>
  <r>
    <d v="2012-09-15T00:00:00"/>
    <s v="017-2220-000"/>
    <s v="Beer Sales"/>
    <n v="228.38750000000002"/>
    <n v="0"/>
    <s v="Daily Sales Import"/>
    <n v="-228.38750000000002"/>
    <n v="228.38750000000002"/>
    <x v="1"/>
    <s v="2220"/>
    <s v="000"/>
    <x v="11"/>
    <x v="1"/>
  </r>
  <r>
    <d v="2012-09-15T00:00:00"/>
    <s v="017-2230-000"/>
    <s v="Wine Sales"/>
    <n v="88.44"/>
    <n v="0"/>
    <s v="Daily Sales Import"/>
    <n v="-88.44"/>
    <n v="88.44"/>
    <x v="1"/>
    <s v="2230"/>
    <s v="000"/>
    <x v="11"/>
    <x v="1"/>
  </r>
  <r>
    <d v="2012-09-16T00:00:00"/>
    <s v="017-2100-000"/>
    <s v="Food Sales"/>
    <n v="5691.8231999999998"/>
    <n v="0"/>
    <s v="Daily Sales Import"/>
    <n v="-5691.8231999999998"/>
    <n v="5691.8231999999998"/>
    <x v="1"/>
    <s v="2100"/>
    <s v="000"/>
    <x v="11"/>
    <x v="1"/>
  </r>
  <r>
    <d v="2012-09-16T00:00:00"/>
    <s v="017-2210-000"/>
    <s v="Liquor Sales"/>
    <n v="853.95249999999999"/>
    <n v="0"/>
    <s v="Daily Sales Import"/>
    <n v="-853.95249999999999"/>
    <n v="853.95249999999999"/>
    <x v="1"/>
    <s v="2210"/>
    <s v="000"/>
    <x v="11"/>
    <x v="1"/>
  </r>
  <r>
    <d v="2012-09-16T00:00:00"/>
    <s v="017-2220-000"/>
    <s v="Beer Sales"/>
    <n v="145.08750000000001"/>
    <n v="0"/>
    <s v="Daily Sales Import"/>
    <n v="-145.08750000000001"/>
    <n v="145.08750000000001"/>
    <x v="1"/>
    <s v="2220"/>
    <s v="000"/>
    <x v="11"/>
    <x v="1"/>
  </r>
  <r>
    <d v="2012-09-16T00:00:00"/>
    <s v="017-2230-000"/>
    <s v="Wine Sales"/>
    <n v="74.338999999999999"/>
    <n v="0"/>
    <s v="Daily Sales Import"/>
    <n v="-74.338999999999999"/>
    <n v="74.338999999999999"/>
    <x v="1"/>
    <s v="2230"/>
    <s v="000"/>
    <x v="11"/>
    <x v="1"/>
  </r>
  <r>
    <d v="2012-09-10T00:00:00"/>
    <s v="018-2100-000"/>
    <s v="Food Sales"/>
    <n v="2997.567"/>
    <n v="0"/>
    <s v="Daily Sales Import"/>
    <n v="-2997.567"/>
    <n v="2997.567"/>
    <x v="2"/>
    <s v="2100"/>
    <s v="000"/>
    <x v="11"/>
    <x v="1"/>
  </r>
  <r>
    <d v="2012-09-10T00:00:00"/>
    <s v="018-2210-000"/>
    <s v="Liquor Sales"/>
    <n v="584.39499999999998"/>
    <n v="0"/>
    <s v="Daily Sales Import"/>
    <n v="-584.39499999999998"/>
    <n v="584.39499999999998"/>
    <x v="2"/>
    <s v="2210"/>
    <s v="000"/>
    <x v="11"/>
    <x v="1"/>
  </r>
  <r>
    <d v="2012-09-10T00:00:00"/>
    <s v="018-2220-000"/>
    <s v="Beer Sales"/>
    <n v="94.034500000000008"/>
    <n v="0"/>
    <s v="Daily Sales Import"/>
    <n v="-94.034500000000008"/>
    <n v="94.034500000000008"/>
    <x v="2"/>
    <s v="2220"/>
    <s v="000"/>
    <x v="11"/>
    <x v="1"/>
  </r>
  <r>
    <d v="2012-09-10T00:00:00"/>
    <s v="018-2230-000"/>
    <s v="Wine Sales"/>
    <n v="11.154"/>
    <n v="0"/>
    <s v="Daily Sales Import"/>
    <n v="-11.154"/>
    <n v="11.154"/>
    <x v="2"/>
    <s v="2230"/>
    <s v="000"/>
    <x v="11"/>
    <x v="1"/>
  </r>
  <r>
    <d v="2012-09-11T00:00:00"/>
    <s v="018-2100-000"/>
    <s v="Food Sales"/>
    <n v="4970.8019999999997"/>
    <n v="0"/>
    <s v="Daily Sales Import"/>
    <n v="-4970.8019999999997"/>
    <n v="4970.8019999999997"/>
    <x v="2"/>
    <s v="2100"/>
    <s v="000"/>
    <x v="11"/>
    <x v="1"/>
  </r>
  <r>
    <d v="2012-09-11T00:00:00"/>
    <s v="018-2210-000"/>
    <s v="Liquor Sales"/>
    <n v="1168.2920000000001"/>
    <n v="0"/>
    <s v="Daily Sales Import"/>
    <n v="-1168.2920000000001"/>
    <n v="1168.2920000000001"/>
    <x v="2"/>
    <s v="2210"/>
    <s v="000"/>
    <x v="11"/>
    <x v="1"/>
  </r>
  <r>
    <d v="2012-09-11T00:00:00"/>
    <s v="018-2220-000"/>
    <s v="Beer Sales"/>
    <n v="266.4785"/>
    <n v="0"/>
    <s v="Daily Sales Import"/>
    <n v="-266.4785"/>
    <n v="266.4785"/>
    <x v="2"/>
    <s v="2220"/>
    <s v="000"/>
    <x v="11"/>
    <x v="1"/>
  </r>
  <r>
    <d v="2012-09-11T00:00:00"/>
    <s v="018-2230-000"/>
    <s v="Wine Sales"/>
    <n v="18.175999999999998"/>
    <n v="0"/>
    <s v="Daily Sales Import"/>
    <n v="-18.175999999999998"/>
    <n v="18.175999999999998"/>
    <x v="2"/>
    <s v="2230"/>
    <s v="000"/>
    <x v="11"/>
    <x v="1"/>
  </r>
  <r>
    <d v="2012-09-12T00:00:00"/>
    <s v="018-2100-000"/>
    <s v="Food Sales"/>
    <n v="2955.5460000000003"/>
    <n v="0"/>
    <s v="Daily Sales Import"/>
    <n v="-2955.5460000000003"/>
    <n v="2955.5460000000003"/>
    <x v="2"/>
    <s v="2100"/>
    <s v="000"/>
    <x v="11"/>
    <x v="1"/>
  </r>
  <r>
    <d v="2012-09-12T00:00:00"/>
    <s v="018-2210-000"/>
    <s v="Liquor Sales"/>
    <n v="742.34999999999991"/>
    <n v="0"/>
    <s v="Daily Sales Import"/>
    <n v="-742.34999999999991"/>
    <n v="742.34999999999991"/>
    <x v="2"/>
    <s v="2210"/>
    <s v="000"/>
    <x v="11"/>
    <x v="1"/>
  </r>
  <r>
    <d v="2012-09-12T00:00:00"/>
    <s v="018-2220-000"/>
    <s v="Beer Sales"/>
    <n v="199.95300000000003"/>
    <n v="0"/>
    <s v="Daily Sales Import"/>
    <n v="-199.95300000000003"/>
    <n v="199.95300000000003"/>
    <x v="2"/>
    <s v="2220"/>
    <s v="000"/>
    <x v="11"/>
    <x v="1"/>
  </r>
  <r>
    <d v="2012-09-12T00:00:00"/>
    <s v="018-2230-000"/>
    <s v="Wine Sales"/>
    <n v="82.294000000000011"/>
    <n v="0"/>
    <s v="Daily Sales Import"/>
    <n v="-82.294000000000011"/>
    <n v="82.294000000000011"/>
    <x v="2"/>
    <s v="2230"/>
    <s v="000"/>
    <x v="11"/>
    <x v="1"/>
  </r>
  <r>
    <d v="2012-09-13T00:00:00"/>
    <s v="018-2100-000"/>
    <s v="Food Sales"/>
    <n v="5284.6639999999998"/>
    <n v="0"/>
    <s v="Daily Sales Import"/>
    <n v="-5284.6639999999998"/>
    <n v="5284.6639999999998"/>
    <x v="2"/>
    <s v="2100"/>
    <s v="000"/>
    <x v="11"/>
    <x v="1"/>
  </r>
  <r>
    <d v="2012-09-13T00:00:00"/>
    <s v="018-2210-000"/>
    <s v="Liquor Sales"/>
    <n v="1081.498"/>
    <n v="0"/>
    <s v="Daily Sales Import"/>
    <n v="-1081.498"/>
    <n v="1081.498"/>
    <x v="2"/>
    <s v="2210"/>
    <s v="000"/>
    <x v="11"/>
    <x v="1"/>
  </r>
  <r>
    <d v="2012-09-13T00:00:00"/>
    <s v="018-2220-000"/>
    <s v="Beer Sales"/>
    <n v="268.55799999999999"/>
    <n v="0"/>
    <s v="Daily Sales Import"/>
    <n v="-268.55799999999999"/>
    <n v="268.55799999999999"/>
    <x v="2"/>
    <s v="2220"/>
    <s v="000"/>
    <x v="11"/>
    <x v="1"/>
  </r>
  <r>
    <d v="2012-09-13T00:00:00"/>
    <s v="018-2230-000"/>
    <s v="Wine Sales"/>
    <n v="33.510999999999996"/>
    <n v="0"/>
    <s v="Daily Sales Import"/>
    <n v="-33.510999999999996"/>
    <n v="33.510999999999996"/>
    <x v="2"/>
    <s v="2230"/>
    <s v="000"/>
    <x v="11"/>
    <x v="1"/>
  </r>
  <r>
    <d v="2012-09-14T00:00:00"/>
    <s v="018-2100-000"/>
    <s v="Food Sales"/>
    <n v="12499.010799999998"/>
    <n v="0"/>
    <s v="Daily Sales Import"/>
    <n v="-12499.010799999998"/>
    <n v="12499.010799999998"/>
    <x v="2"/>
    <s v="2100"/>
    <s v="000"/>
    <x v="11"/>
    <x v="1"/>
  </r>
  <r>
    <d v="2012-09-14T00:00:00"/>
    <s v="018-2210-000"/>
    <s v="Liquor Sales"/>
    <n v="2616.11"/>
    <n v="0"/>
    <s v="Daily Sales Import"/>
    <n v="-2616.11"/>
    <n v="2616.11"/>
    <x v="2"/>
    <s v="2210"/>
    <s v="000"/>
    <x v="11"/>
    <x v="1"/>
  </r>
  <r>
    <d v="2012-09-14T00:00:00"/>
    <s v="018-2220-000"/>
    <s v="Beer Sales"/>
    <n v="635.03300000000002"/>
    <n v="0"/>
    <s v="Daily Sales Import"/>
    <n v="-635.03300000000002"/>
    <n v="635.03300000000002"/>
    <x v="2"/>
    <s v="2220"/>
    <s v="000"/>
    <x v="11"/>
    <x v="1"/>
  </r>
  <r>
    <d v="2012-09-14T00:00:00"/>
    <s v="018-2230-000"/>
    <s v="Wine Sales"/>
    <n v="235.7475"/>
    <n v="0"/>
    <s v="Daily Sales Import"/>
    <n v="-235.7475"/>
    <n v="235.7475"/>
    <x v="2"/>
    <s v="2230"/>
    <s v="000"/>
    <x v="11"/>
    <x v="1"/>
  </r>
  <r>
    <d v="2012-09-15T00:00:00"/>
    <s v="018-2100-000"/>
    <s v="Food Sales"/>
    <n v="13256.434999999999"/>
    <n v="0"/>
    <s v="Daily Sales Import"/>
    <n v="-13256.434999999999"/>
    <n v="13256.434999999999"/>
    <x v="2"/>
    <s v="2100"/>
    <s v="000"/>
    <x v="11"/>
    <x v="1"/>
  </r>
  <r>
    <d v="2012-09-15T00:00:00"/>
    <s v="018-2210-000"/>
    <s v="Liquor Sales"/>
    <n v="2771.4160000000002"/>
    <n v="0"/>
    <s v="Daily Sales Import"/>
    <n v="-2771.4160000000002"/>
    <n v="2771.4160000000002"/>
    <x v="2"/>
    <s v="2210"/>
    <s v="000"/>
    <x v="11"/>
    <x v="1"/>
  </r>
  <r>
    <d v="2012-09-15T00:00:00"/>
    <s v="018-2220-000"/>
    <s v="Beer Sales"/>
    <n v="472.98600000000005"/>
    <n v="0"/>
    <s v="Daily Sales Import"/>
    <n v="-472.98600000000005"/>
    <n v="472.98600000000005"/>
    <x v="2"/>
    <s v="2220"/>
    <s v="000"/>
    <x v="11"/>
    <x v="1"/>
  </r>
  <r>
    <d v="2012-09-15T00:00:00"/>
    <s v="018-2230-000"/>
    <s v="Wine Sales"/>
    <n v="213.46499999999997"/>
    <n v="0"/>
    <s v="Daily Sales Import"/>
    <n v="-213.46499999999997"/>
    <n v="213.46499999999997"/>
    <x v="2"/>
    <s v="2230"/>
    <s v="000"/>
    <x v="11"/>
    <x v="1"/>
  </r>
  <r>
    <d v="2012-09-16T00:00:00"/>
    <s v="018-2100-000"/>
    <s v="Food Sales"/>
    <n v="6876.3110000000006"/>
    <n v="0"/>
    <s v="Daily Sales Import"/>
    <n v="-6876.3110000000006"/>
    <n v="6876.3110000000006"/>
    <x v="2"/>
    <s v="2100"/>
    <s v="000"/>
    <x v="11"/>
    <x v="1"/>
  </r>
  <r>
    <d v="2012-09-16T00:00:00"/>
    <s v="018-2210-000"/>
    <s v="Liquor Sales"/>
    <n v="779.18399999999997"/>
    <n v="0"/>
    <s v="Daily Sales Import"/>
    <n v="-779.18399999999997"/>
    <n v="779.18399999999997"/>
    <x v="2"/>
    <s v="2210"/>
    <s v="000"/>
    <x v="11"/>
    <x v="1"/>
  </r>
  <r>
    <d v="2012-09-16T00:00:00"/>
    <s v="018-2220-000"/>
    <s v="Beer Sales"/>
    <n v="348.12900000000002"/>
    <n v="0"/>
    <s v="Daily Sales Import"/>
    <n v="-348.12900000000002"/>
    <n v="348.12900000000002"/>
    <x v="2"/>
    <s v="2220"/>
    <s v="000"/>
    <x v="11"/>
    <x v="1"/>
  </r>
  <r>
    <d v="2012-09-16T00:00:00"/>
    <s v="018-2230-000"/>
    <s v="Wine Sales"/>
    <n v="183.26250000000002"/>
    <n v="0"/>
    <s v="Daily Sales Import"/>
    <n v="-183.26250000000002"/>
    <n v="183.26250000000002"/>
    <x v="2"/>
    <s v="2230"/>
    <s v="000"/>
    <x v="11"/>
    <x v="1"/>
  </r>
  <r>
    <d v="2012-09-17T00:00:00"/>
    <s v="016-2100-000"/>
    <s v="Food Sales"/>
    <n v="2829.57"/>
    <n v="0"/>
    <s v="Daily Sales Import"/>
    <n v="-2829.57"/>
    <n v="2829.57"/>
    <x v="0"/>
    <s v="2100"/>
    <s v="000"/>
    <x v="11"/>
    <x v="1"/>
  </r>
  <r>
    <d v="2012-09-17T00:00:00"/>
    <s v="016-2210-000"/>
    <s v="Liquor Sales"/>
    <n v="432.9975"/>
    <n v="0"/>
    <s v="Daily Sales Import"/>
    <n v="-432.9975"/>
    <n v="432.9975"/>
    <x v="0"/>
    <s v="2210"/>
    <s v="000"/>
    <x v="11"/>
    <x v="1"/>
  </r>
  <r>
    <d v="2012-09-17T00:00:00"/>
    <s v="016-2220-000"/>
    <s v="Beer Sales"/>
    <n v="90.557999999999993"/>
    <n v="0"/>
    <s v="Daily Sales Import"/>
    <n v="-90.557999999999993"/>
    <n v="90.557999999999993"/>
    <x v="0"/>
    <s v="2220"/>
    <s v="000"/>
    <x v="11"/>
    <x v="1"/>
  </r>
  <r>
    <d v="2012-09-17T00:00:00"/>
    <s v="016-2230-000"/>
    <s v="Wine Sales"/>
    <n v="6.08"/>
    <n v="0"/>
    <s v="Daily Sales Import"/>
    <n v="-6.08"/>
    <n v="6.08"/>
    <x v="0"/>
    <s v="2230"/>
    <s v="000"/>
    <x v="11"/>
    <x v="1"/>
  </r>
  <r>
    <d v="2012-09-18T00:00:00"/>
    <s v="016-2100-000"/>
    <s v="Food Sales"/>
    <n v="4310.7479999999996"/>
    <n v="0"/>
    <s v="Daily Sales Import"/>
    <n v="-4310.7479999999996"/>
    <n v="4310.7479999999996"/>
    <x v="0"/>
    <s v="2100"/>
    <s v="000"/>
    <x v="11"/>
    <x v="1"/>
  </r>
  <r>
    <d v="2012-09-18T00:00:00"/>
    <s v="016-2210-000"/>
    <s v="Liquor Sales"/>
    <n v="1585.9899999999998"/>
    <n v="0"/>
    <s v="Daily Sales Import"/>
    <n v="-1585.9899999999998"/>
    <n v="1585.9899999999998"/>
    <x v="0"/>
    <s v="2210"/>
    <s v="000"/>
    <x v="11"/>
    <x v="1"/>
  </r>
  <r>
    <d v="2012-09-18T00:00:00"/>
    <s v="016-2220-000"/>
    <s v="Beer Sales"/>
    <n v="330.447"/>
    <n v="0"/>
    <s v="Daily Sales Import"/>
    <n v="-330.447"/>
    <n v="330.447"/>
    <x v="0"/>
    <s v="2220"/>
    <s v="000"/>
    <x v="11"/>
    <x v="1"/>
  </r>
  <r>
    <d v="2012-09-18T00:00:00"/>
    <s v="016-2230-000"/>
    <s v="Wine Sales"/>
    <n v="106.3635"/>
    <n v="0"/>
    <s v="Daily Sales Import"/>
    <n v="-106.3635"/>
    <n v="106.3635"/>
    <x v="0"/>
    <s v="2230"/>
    <s v="000"/>
    <x v="11"/>
    <x v="1"/>
  </r>
  <r>
    <d v="2012-09-19T00:00:00"/>
    <s v="016-2100-000"/>
    <s v="Food Sales"/>
    <n v="3702.9636"/>
    <n v="0"/>
    <s v="Daily Sales Import"/>
    <n v="-3702.9636"/>
    <n v="3702.9636"/>
    <x v="0"/>
    <s v="2100"/>
    <s v="000"/>
    <x v="11"/>
    <x v="1"/>
  </r>
  <r>
    <d v="2012-09-19T00:00:00"/>
    <s v="016-2210-000"/>
    <s v="Liquor Sales"/>
    <n v="864.16199999999992"/>
    <n v="0"/>
    <s v="Daily Sales Import"/>
    <n v="-864.16199999999992"/>
    <n v="864.16199999999992"/>
    <x v="0"/>
    <s v="2210"/>
    <s v="000"/>
    <x v="11"/>
    <x v="1"/>
  </r>
  <r>
    <d v="2012-09-19T00:00:00"/>
    <s v="016-2220-000"/>
    <s v="Beer Sales"/>
    <n v="147.79799999999997"/>
    <n v="0"/>
    <s v="Daily Sales Import"/>
    <n v="-147.79799999999997"/>
    <n v="147.79799999999997"/>
    <x v="0"/>
    <s v="2220"/>
    <s v="000"/>
    <x v="11"/>
    <x v="1"/>
  </r>
  <r>
    <d v="2012-09-19T00:00:00"/>
    <s v="016-2230-000"/>
    <s v="Wine Sales"/>
    <n v="119.27249999999999"/>
    <n v="0"/>
    <s v="Daily Sales Import"/>
    <n v="-119.27249999999999"/>
    <n v="119.27249999999999"/>
    <x v="0"/>
    <s v="2230"/>
    <s v="000"/>
    <x v="11"/>
    <x v="1"/>
  </r>
  <r>
    <d v="2012-09-20T00:00:00"/>
    <s v="016-2100-000"/>
    <s v="Food Sales"/>
    <n v="2619.9479999999999"/>
    <n v="0"/>
    <s v="Daily Sales Import"/>
    <n v="-2619.9479999999999"/>
    <n v="2619.9479999999999"/>
    <x v="0"/>
    <s v="2100"/>
    <s v="000"/>
    <x v="11"/>
    <x v="1"/>
  </r>
  <r>
    <d v="2012-09-20T00:00:00"/>
    <s v="016-2210-000"/>
    <s v="Liquor Sales"/>
    <n v="548.80899999999997"/>
    <n v="0"/>
    <s v="Daily Sales Import"/>
    <n v="-548.80899999999997"/>
    <n v="548.80899999999997"/>
    <x v="0"/>
    <s v="2210"/>
    <s v="000"/>
    <x v="11"/>
    <x v="1"/>
  </r>
  <r>
    <d v="2012-09-20T00:00:00"/>
    <s v="016-2220-000"/>
    <s v="Beer Sales"/>
    <n v="94.370999999999995"/>
    <n v="0"/>
    <s v="Daily Sales Import"/>
    <n v="-94.370999999999995"/>
    <n v="94.370999999999995"/>
    <x v="0"/>
    <s v="2220"/>
    <s v="000"/>
    <x v="11"/>
    <x v="1"/>
  </r>
  <r>
    <d v="2012-09-20T00:00:00"/>
    <s v="016-2230-000"/>
    <s v="Wine Sales"/>
    <n v="52.92"/>
    <n v="0"/>
    <s v="Daily Sales Import"/>
    <n v="-52.92"/>
    <n v="52.92"/>
    <x v="0"/>
    <s v="2230"/>
    <s v="000"/>
    <x v="11"/>
    <x v="1"/>
  </r>
  <r>
    <d v="2012-09-21T00:00:00"/>
    <s v="016-2100-000"/>
    <s v="Food Sales"/>
    <n v="6047.7329999999993"/>
    <n v="0"/>
    <s v="Daily Sales Import"/>
    <n v="-6047.7329999999993"/>
    <n v="6047.7329999999993"/>
    <x v="0"/>
    <s v="2100"/>
    <s v="000"/>
    <x v="11"/>
    <x v="1"/>
  </r>
  <r>
    <d v="2012-09-21T00:00:00"/>
    <s v="016-2210-000"/>
    <s v="Liquor Sales"/>
    <n v="1464.8448000000001"/>
    <n v="0"/>
    <s v="Daily Sales Import"/>
    <n v="-1464.8448000000001"/>
    <n v="1464.8448000000001"/>
    <x v="0"/>
    <s v="2210"/>
    <s v="000"/>
    <x v="11"/>
    <x v="1"/>
  </r>
  <r>
    <d v="2012-09-21T00:00:00"/>
    <s v="016-2220-000"/>
    <s v="Beer Sales"/>
    <n v="210.9"/>
    <n v="0"/>
    <s v="Daily Sales Import"/>
    <n v="-210.9"/>
    <n v="210.9"/>
    <x v="0"/>
    <s v="2220"/>
    <s v="000"/>
    <x v="11"/>
    <x v="1"/>
  </r>
  <r>
    <d v="2012-09-21T00:00:00"/>
    <s v="016-2230-000"/>
    <s v="Wine Sales"/>
    <n v="101.00750000000001"/>
    <n v="0"/>
    <s v="Daily Sales Import"/>
    <n v="-101.00750000000001"/>
    <n v="101.00750000000001"/>
    <x v="0"/>
    <s v="2230"/>
    <s v="000"/>
    <x v="11"/>
    <x v="1"/>
  </r>
  <r>
    <d v="2012-09-22T00:00:00"/>
    <s v="016-2100-000"/>
    <s v="Food Sales"/>
    <n v="7083.1718000000001"/>
    <n v="0"/>
    <s v="Daily Sales Import"/>
    <n v="-7083.1718000000001"/>
    <n v="7083.1718000000001"/>
    <x v="0"/>
    <s v="2100"/>
    <s v="000"/>
    <x v="11"/>
    <x v="1"/>
  </r>
  <r>
    <d v="2012-09-22T00:00:00"/>
    <s v="016-2210-000"/>
    <s v="Liquor Sales"/>
    <n v="1764.3465000000001"/>
    <n v="0"/>
    <s v="Daily Sales Import"/>
    <n v="-1764.3465000000001"/>
    <n v="1764.3465000000001"/>
    <x v="0"/>
    <s v="2210"/>
    <s v="000"/>
    <x v="11"/>
    <x v="1"/>
  </r>
  <r>
    <d v="2012-09-22T00:00:00"/>
    <s v="016-2220-000"/>
    <s v="Beer Sales"/>
    <n v="398.952"/>
    <n v="0"/>
    <s v="Daily Sales Import"/>
    <n v="-398.952"/>
    <n v="398.952"/>
    <x v="0"/>
    <s v="2220"/>
    <s v="000"/>
    <x v="11"/>
    <x v="1"/>
  </r>
  <r>
    <d v="2012-09-22T00:00:00"/>
    <s v="016-2230-000"/>
    <s v="Wine Sales"/>
    <n v="151.99250000000004"/>
    <n v="0"/>
    <s v="Daily Sales Import"/>
    <n v="-151.99250000000004"/>
    <n v="151.99250000000004"/>
    <x v="0"/>
    <s v="2230"/>
    <s v="000"/>
    <x v="11"/>
    <x v="1"/>
  </r>
  <r>
    <d v="2012-09-17T00:00:00"/>
    <s v="017-2100-000"/>
    <s v="Food Sales"/>
    <n v="2132.9267"/>
    <n v="0"/>
    <s v="Daily Sales Import"/>
    <n v="-2132.9267"/>
    <n v="2132.9267"/>
    <x v="1"/>
    <s v="2100"/>
    <s v="000"/>
    <x v="11"/>
    <x v="1"/>
  </r>
  <r>
    <d v="2012-09-17T00:00:00"/>
    <s v="017-2210-000"/>
    <s v="Liquor Sales"/>
    <n v="373.02749999999997"/>
    <n v="0"/>
    <s v="Daily Sales Import"/>
    <n v="-373.02749999999997"/>
    <n v="373.02749999999997"/>
    <x v="1"/>
    <s v="2210"/>
    <s v="000"/>
    <x v="11"/>
    <x v="1"/>
  </r>
  <r>
    <d v="2012-09-17T00:00:00"/>
    <s v="017-2220-000"/>
    <s v="Beer Sales"/>
    <n v="134.96"/>
    <n v="0"/>
    <s v="Daily Sales Import"/>
    <n v="-134.96"/>
    <n v="134.96"/>
    <x v="1"/>
    <s v="2220"/>
    <s v="000"/>
    <x v="11"/>
    <x v="1"/>
  </r>
  <r>
    <d v="2012-09-17T00:00:00"/>
    <s v="017-2230-000"/>
    <s v="Wine Sales"/>
    <n v="15.912000000000001"/>
    <n v="0"/>
    <s v="Daily Sales Import"/>
    <n v="-15.912000000000001"/>
    <n v="15.912000000000001"/>
    <x v="1"/>
    <s v="2230"/>
    <s v="000"/>
    <x v="11"/>
    <x v="1"/>
  </r>
  <r>
    <d v="2012-09-18T00:00:00"/>
    <s v="017-2100-000"/>
    <s v="Food Sales"/>
    <n v="7897.4287999999997"/>
    <n v="0"/>
    <s v="Daily Sales Import"/>
    <n v="-7897.4287999999997"/>
    <n v="7897.4287999999997"/>
    <x v="1"/>
    <s v="2100"/>
    <s v="000"/>
    <x v="11"/>
    <x v="1"/>
  </r>
  <r>
    <d v="2012-09-18T00:00:00"/>
    <s v="017-2210-000"/>
    <s v="Liquor Sales"/>
    <n v="1314.6840000000002"/>
    <n v="0"/>
    <s v="Daily Sales Import"/>
    <n v="-1314.6840000000002"/>
    <n v="1314.6840000000002"/>
    <x v="1"/>
    <s v="2210"/>
    <s v="000"/>
    <x v="11"/>
    <x v="1"/>
  </r>
  <r>
    <d v="2012-09-18T00:00:00"/>
    <s v="017-2220-000"/>
    <s v="Beer Sales"/>
    <n v="654.07499999999993"/>
    <n v="0"/>
    <s v="Daily Sales Import"/>
    <n v="-654.07499999999993"/>
    <n v="654.07499999999993"/>
    <x v="1"/>
    <s v="2220"/>
    <s v="000"/>
    <x v="11"/>
    <x v="1"/>
  </r>
  <r>
    <d v="2012-09-18T00:00:00"/>
    <s v="017-2230-000"/>
    <s v="Wine Sales"/>
    <n v="77.646499999999989"/>
    <n v="0"/>
    <s v="Daily Sales Import"/>
    <n v="-77.646499999999989"/>
    <n v="77.646499999999989"/>
    <x v="1"/>
    <s v="2230"/>
    <s v="000"/>
    <x v="11"/>
    <x v="1"/>
  </r>
  <r>
    <d v="2012-09-19T00:00:00"/>
    <s v="017-2100-000"/>
    <s v="Food Sales"/>
    <n v="6966.3375000000005"/>
    <n v="0"/>
    <s v="Daily Sales Import"/>
    <n v="-6966.3375000000005"/>
    <n v="6966.3375000000005"/>
    <x v="1"/>
    <s v="2100"/>
    <s v="000"/>
    <x v="11"/>
    <x v="1"/>
  </r>
  <r>
    <d v="2012-09-19T00:00:00"/>
    <s v="017-2210-000"/>
    <s v="Liquor Sales"/>
    <n v="2704.6160000000004"/>
    <n v="0"/>
    <s v="Daily Sales Import"/>
    <n v="-2704.6160000000004"/>
    <n v="2704.6160000000004"/>
    <x v="1"/>
    <s v="2210"/>
    <s v="000"/>
    <x v="11"/>
    <x v="1"/>
  </r>
  <r>
    <d v="2012-09-19T00:00:00"/>
    <s v="017-2220-000"/>
    <s v="Beer Sales"/>
    <n v="332.7"/>
    <n v="0"/>
    <s v="Daily Sales Import"/>
    <n v="-332.7"/>
    <n v="332.7"/>
    <x v="1"/>
    <s v="2220"/>
    <s v="000"/>
    <x v="11"/>
    <x v="1"/>
  </r>
  <r>
    <d v="2012-09-19T00:00:00"/>
    <s v="017-2230-000"/>
    <s v="Wine Sales"/>
    <n v="113.82"/>
    <n v="0"/>
    <s v="Daily Sales Import"/>
    <n v="-113.82"/>
    <n v="113.82"/>
    <x v="1"/>
    <s v="2230"/>
    <s v="000"/>
    <x v="11"/>
    <x v="1"/>
  </r>
  <r>
    <d v="2012-09-20T00:00:00"/>
    <s v="017-2100-000"/>
    <s v="Food Sales"/>
    <n v="6479.3701000000001"/>
    <n v="0"/>
    <s v="Daily Sales Import"/>
    <n v="-6479.3701000000001"/>
    <n v="6479.3701000000001"/>
    <x v="1"/>
    <s v="2100"/>
    <s v="000"/>
    <x v="11"/>
    <x v="1"/>
  </r>
  <r>
    <d v="2012-09-20T00:00:00"/>
    <s v="017-2210-000"/>
    <s v="Liquor Sales"/>
    <n v="1386.2399999999998"/>
    <n v="0"/>
    <s v="Daily Sales Import"/>
    <n v="-1386.2399999999998"/>
    <n v="1386.2399999999998"/>
    <x v="1"/>
    <s v="2210"/>
    <s v="000"/>
    <x v="11"/>
    <x v="1"/>
  </r>
  <r>
    <d v="2012-09-20T00:00:00"/>
    <s v="017-2220-000"/>
    <s v="Beer Sales"/>
    <n v="673.85500000000002"/>
    <n v="0"/>
    <s v="Daily Sales Import"/>
    <n v="-673.85500000000002"/>
    <n v="673.85500000000002"/>
    <x v="1"/>
    <s v="2220"/>
    <s v="000"/>
    <x v="11"/>
    <x v="1"/>
  </r>
  <r>
    <d v="2012-09-20T00:00:00"/>
    <s v="017-2230-000"/>
    <s v="Wine Sales"/>
    <n v="116.69799999999999"/>
    <n v="0"/>
    <s v="Daily Sales Import"/>
    <n v="-116.69799999999999"/>
    <n v="116.69799999999999"/>
    <x v="1"/>
    <s v="2230"/>
    <s v="000"/>
    <x v="11"/>
    <x v="1"/>
  </r>
  <r>
    <d v="2012-09-21T00:00:00"/>
    <s v="017-2100-000"/>
    <s v="Food Sales"/>
    <n v="10097.3727"/>
    <n v="0"/>
    <s v="Daily Sales Import"/>
    <n v="-10097.3727"/>
    <n v="10097.3727"/>
    <x v="1"/>
    <s v="2100"/>
    <s v="000"/>
    <x v="11"/>
    <x v="1"/>
  </r>
  <r>
    <d v="2012-09-21T00:00:00"/>
    <s v="017-2210-000"/>
    <s v="Liquor Sales"/>
    <n v="2463.6150000000002"/>
    <n v="0"/>
    <s v="Daily Sales Import"/>
    <n v="-2463.6150000000002"/>
    <n v="2463.6150000000002"/>
    <x v="1"/>
    <s v="2210"/>
    <s v="000"/>
    <x v="11"/>
    <x v="1"/>
  </r>
  <r>
    <d v="2012-09-21T00:00:00"/>
    <s v="017-2220-000"/>
    <s v="Beer Sales"/>
    <n v="469"/>
    <n v="0"/>
    <s v="Daily Sales Import"/>
    <n v="-469"/>
    <n v="469"/>
    <x v="1"/>
    <s v="2220"/>
    <s v="000"/>
    <x v="11"/>
    <x v="1"/>
  </r>
  <r>
    <d v="2012-09-21T00:00:00"/>
    <s v="017-2230-000"/>
    <s v="Wine Sales"/>
    <n v="189.85950000000003"/>
    <n v="0"/>
    <s v="Daily Sales Import"/>
    <n v="-189.85950000000003"/>
    <n v="189.85950000000003"/>
    <x v="1"/>
    <s v="2230"/>
    <s v="000"/>
    <x v="11"/>
    <x v="1"/>
  </r>
  <r>
    <d v="2012-09-22T00:00:00"/>
    <s v="017-2100-000"/>
    <s v="Food Sales"/>
    <n v="8020.6795999999995"/>
    <n v="0"/>
    <s v="Daily Sales Import"/>
    <n v="-8020.6795999999995"/>
    <n v="8020.6795999999995"/>
    <x v="1"/>
    <s v="2100"/>
    <s v="000"/>
    <x v="11"/>
    <x v="1"/>
  </r>
  <r>
    <d v="2012-09-22T00:00:00"/>
    <s v="017-2210-000"/>
    <s v="Liquor Sales"/>
    <n v="1296.6134999999999"/>
    <n v="0"/>
    <s v="Daily Sales Import"/>
    <n v="-1296.6134999999999"/>
    <n v="1296.6134999999999"/>
    <x v="1"/>
    <s v="2210"/>
    <s v="000"/>
    <x v="11"/>
    <x v="1"/>
  </r>
  <r>
    <d v="2012-09-22T00:00:00"/>
    <s v="017-2220-000"/>
    <s v="Beer Sales"/>
    <n v="398.15999999999997"/>
    <n v="0"/>
    <s v="Daily Sales Import"/>
    <n v="-398.15999999999997"/>
    <n v="398.15999999999997"/>
    <x v="1"/>
    <s v="2220"/>
    <s v="000"/>
    <x v="11"/>
    <x v="1"/>
  </r>
  <r>
    <d v="2012-09-22T00:00:00"/>
    <s v="017-2230-000"/>
    <s v="Wine Sales"/>
    <n v="102.46599999999999"/>
    <n v="0"/>
    <s v="Daily Sales Import"/>
    <n v="-102.46599999999999"/>
    <n v="102.46599999999999"/>
    <x v="1"/>
    <s v="2230"/>
    <s v="000"/>
    <x v="11"/>
    <x v="1"/>
  </r>
  <r>
    <d v="2012-09-17T00:00:00"/>
    <s v="018-2100-000"/>
    <s v="Food Sales"/>
    <n v="2883.4650000000001"/>
    <n v="0"/>
    <s v="Daily Sales Import"/>
    <n v="-2883.4650000000001"/>
    <n v="2883.4650000000001"/>
    <x v="2"/>
    <s v="2100"/>
    <s v="000"/>
    <x v="11"/>
    <x v="1"/>
  </r>
  <r>
    <d v="2012-09-17T00:00:00"/>
    <s v="018-2210-000"/>
    <s v="Liquor Sales"/>
    <n v="468.74650000000003"/>
    <n v="0"/>
    <s v="Daily Sales Import"/>
    <n v="-468.74650000000003"/>
    <n v="468.74650000000003"/>
    <x v="2"/>
    <s v="2210"/>
    <s v="000"/>
    <x v="11"/>
    <x v="1"/>
  </r>
  <r>
    <d v="2012-09-17T00:00:00"/>
    <s v="018-2220-000"/>
    <s v="Beer Sales"/>
    <n v="108.69600000000001"/>
    <n v="0"/>
    <s v="Daily Sales Import"/>
    <n v="-108.69600000000001"/>
    <n v="108.69600000000001"/>
    <x v="2"/>
    <s v="2220"/>
    <s v="000"/>
    <x v="11"/>
    <x v="1"/>
  </r>
  <r>
    <d v="2012-09-17T00:00:00"/>
    <s v="018-2230-000"/>
    <s v="Wine Sales"/>
    <n v="23.759999999999998"/>
    <n v="0"/>
    <s v="Daily Sales Import"/>
    <n v="-23.759999999999998"/>
    <n v="23.759999999999998"/>
    <x v="2"/>
    <s v="2230"/>
    <s v="000"/>
    <x v="11"/>
    <x v="1"/>
  </r>
  <r>
    <d v="2012-09-18T00:00:00"/>
    <s v="018-2100-000"/>
    <s v="Food Sales"/>
    <n v="3791.9094999999998"/>
    <n v="0"/>
    <s v="Daily Sales Import"/>
    <n v="-3791.9094999999998"/>
    <n v="3791.9094999999998"/>
    <x v="2"/>
    <s v="2100"/>
    <s v="000"/>
    <x v="11"/>
    <x v="1"/>
  </r>
  <r>
    <d v="2012-09-18T00:00:00"/>
    <s v="018-2210-000"/>
    <s v="Liquor Sales"/>
    <n v="704.24900000000002"/>
    <n v="0"/>
    <s v="Daily Sales Import"/>
    <n v="-704.24900000000002"/>
    <n v="704.24900000000002"/>
    <x v="2"/>
    <s v="2210"/>
    <s v="000"/>
    <x v="11"/>
    <x v="1"/>
  </r>
  <r>
    <d v="2012-09-18T00:00:00"/>
    <s v="018-2220-000"/>
    <s v="Beer Sales"/>
    <n v="223.18799999999999"/>
    <n v="0"/>
    <s v="Daily Sales Import"/>
    <n v="-223.18799999999999"/>
    <n v="223.18799999999999"/>
    <x v="2"/>
    <s v="2220"/>
    <s v="000"/>
    <x v="11"/>
    <x v="1"/>
  </r>
  <r>
    <d v="2012-09-18T00:00:00"/>
    <s v="018-2230-000"/>
    <s v="Wine Sales"/>
    <n v="15.677"/>
    <n v="0"/>
    <s v="Daily Sales Import"/>
    <n v="-15.677"/>
    <n v="15.677"/>
    <x v="2"/>
    <s v="2230"/>
    <s v="000"/>
    <x v="11"/>
    <x v="1"/>
  </r>
  <r>
    <d v="2012-09-19T00:00:00"/>
    <s v="018-2100-000"/>
    <s v="Food Sales"/>
    <n v="4658.4629999999997"/>
    <n v="0"/>
    <s v="Daily Sales Import"/>
    <n v="-4658.4629999999997"/>
    <n v="4658.4629999999997"/>
    <x v="2"/>
    <s v="2100"/>
    <s v="000"/>
    <x v="11"/>
    <x v="1"/>
  </r>
  <r>
    <d v="2012-09-19T00:00:00"/>
    <s v="018-2210-000"/>
    <s v="Liquor Sales"/>
    <n v="998.26"/>
    <n v="0"/>
    <s v="Daily Sales Import"/>
    <n v="-998.26"/>
    <n v="998.26"/>
    <x v="2"/>
    <s v="2210"/>
    <s v="000"/>
    <x v="11"/>
    <x v="1"/>
  </r>
  <r>
    <d v="2012-09-19T00:00:00"/>
    <s v="018-2220-000"/>
    <s v="Beer Sales"/>
    <n v="230.58750000000001"/>
    <n v="0"/>
    <s v="Daily Sales Import"/>
    <n v="-230.58750000000001"/>
    <n v="230.58750000000001"/>
    <x v="2"/>
    <s v="2220"/>
    <s v="000"/>
    <x v="11"/>
    <x v="1"/>
  </r>
  <r>
    <d v="2012-09-19T00:00:00"/>
    <s v="018-2230-000"/>
    <s v="Wine Sales"/>
    <n v="87.4"/>
    <n v="0"/>
    <s v="Daily Sales Import"/>
    <n v="-87.4"/>
    <n v="87.4"/>
    <x v="2"/>
    <s v="2230"/>
    <s v="000"/>
    <x v="11"/>
    <x v="1"/>
  </r>
  <r>
    <d v="2012-09-20T00:00:00"/>
    <s v="018-2100-000"/>
    <s v="Food Sales"/>
    <n v="6126.0866999999998"/>
    <n v="0"/>
    <s v="Daily Sales Import"/>
    <n v="-6126.0866999999998"/>
    <n v="6126.0866999999998"/>
    <x v="2"/>
    <s v="2100"/>
    <s v="000"/>
    <x v="11"/>
    <x v="1"/>
  </r>
  <r>
    <d v="2012-09-20T00:00:00"/>
    <s v="018-2210-000"/>
    <s v="Liquor Sales"/>
    <n v="1294.3800000000001"/>
    <n v="0"/>
    <s v="Daily Sales Import"/>
    <n v="-1294.3800000000001"/>
    <n v="1294.3800000000001"/>
    <x v="2"/>
    <s v="2210"/>
    <s v="000"/>
    <x v="11"/>
    <x v="1"/>
  </r>
  <r>
    <d v="2012-09-20T00:00:00"/>
    <s v="018-2220-000"/>
    <s v="Beer Sales"/>
    <n v="386.1275"/>
    <n v="0"/>
    <s v="Daily Sales Import"/>
    <n v="-386.1275"/>
    <n v="386.1275"/>
    <x v="2"/>
    <s v="2220"/>
    <s v="000"/>
    <x v="11"/>
    <x v="1"/>
  </r>
  <r>
    <d v="2012-09-20T00:00:00"/>
    <s v="018-2230-000"/>
    <s v="Wine Sales"/>
    <n v="15.773999999999999"/>
    <n v="0"/>
    <s v="Daily Sales Import"/>
    <n v="-15.773999999999999"/>
    <n v="15.773999999999999"/>
    <x v="2"/>
    <s v="2230"/>
    <s v="000"/>
    <x v="11"/>
    <x v="1"/>
  </r>
  <r>
    <d v="2012-09-21T00:00:00"/>
    <s v="018-2100-000"/>
    <s v="Food Sales"/>
    <n v="10260.615"/>
    <n v="0"/>
    <s v="Daily Sales Import"/>
    <n v="-10260.615"/>
    <n v="10260.615"/>
    <x v="2"/>
    <s v="2100"/>
    <s v="000"/>
    <x v="11"/>
    <x v="1"/>
  </r>
  <r>
    <d v="2012-09-21T00:00:00"/>
    <s v="018-2210-000"/>
    <s v="Liquor Sales"/>
    <n v="3259.7879999999996"/>
    <n v="0"/>
    <s v="Daily Sales Import"/>
    <n v="-3259.7879999999996"/>
    <n v="3259.7879999999996"/>
    <x v="2"/>
    <s v="2210"/>
    <s v="000"/>
    <x v="11"/>
    <x v="1"/>
  </r>
  <r>
    <d v="2012-09-21T00:00:00"/>
    <s v="018-2220-000"/>
    <s v="Beer Sales"/>
    <n v="661.89199999999994"/>
    <n v="0"/>
    <s v="Daily Sales Import"/>
    <n v="-661.89199999999994"/>
    <n v="661.89199999999994"/>
    <x v="2"/>
    <s v="2220"/>
    <s v="000"/>
    <x v="11"/>
    <x v="1"/>
  </r>
  <r>
    <d v="2012-09-21T00:00:00"/>
    <s v="018-2230-000"/>
    <s v="Wine Sales"/>
    <n v="148.78049999999999"/>
    <n v="0"/>
    <s v="Daily Sales Import"/>
    <n v="-148.78049999999999"/>
    <n v="148.78049999999999"/>
    <x v="2"/>
    <s v="2230"/>
    <s v="000"/>
    <x v="11"/>
    <x v="1"/>
  </r>
  <r>
    <d v="2012-09-22T00:00:00"/>
    <s v="018-2100-000"/>
    <s v="Food Sales"/>
    <n v="14761.804500000002"/>
    <n v="0"/>
    <s v="Daily Sales Import"/>
    <n v="-14761.804500000002"/>
    <n v="14761.804500000002"/>
    <x v="2"/>
    <s v="2100"/>
    <s v="000"/>
    <x v="11"/>
    <x v="1"/>
  </r>
  <r>
    <d v="2012-09-22T00:00:00"/>
    <s v="018-2210-000"/>
    <s v="Liquor Sales"/>
    <n v="3752.1039999999998"/>
    <n v="0"/>
    <s v="Daily Sales Import"/>
    <n v="-3752.1039999999998"/>
    <n v="3752.1039999999998"/>
    <x v="2"/>
    <s v="2210"/>
    <s v="000"/>
    <x v="11"/>
    <x v="1"/>
  </r>
  <r>
    <d v="2012-09-22T00:00:00"/>
    <s v="018-2220-000"/>
    <s v="Beer Sales"/>
    <n v="810.21600000000001"/>
    <n v="0"/>
    <s v="Daily Sales Import"/>
    <n v="-810.21600000000001"/>
    <n v="810.21600000000001"/>
    <x v="2"/>
    <s v="2220"/>
    <s v="000"/>
    <x v="11"/>
    <x v="1"/>
  </r>
  <r>
    <d v="2012-09-22T00:00:00"/>
    <s v="018-2230-000"/>
    <s v="Wine Sales"/>
    <n v="116.14400000000002"/>
    <n v="0"/>
    <s v="Daily Sales Import"/>
    <n v="-116.14400000000002"/>
    <n v="116.14400000000002"/>
    <x v="2"/>
    <s v="2230"/>
    <s v="000"/>
    <x v="11"/>
    <x v="1"/>
  </r>
  <r>
    <d v="2012-09-23T00:00:00"/>
    <s v="016-2100-000"/>
    <s v="Food Sales"/>
    <n v="4602.5280000000002"/>
    <n v="0"/>
    <s v="Daily Sales Import"/>
    <n v="-4602.5280000000002"/>
    <n v="4602.5280000000002"/>
    <x v="0"/>
    <s v="2100"/>
    <s v="000"/>
    <x v="11"/>
    <x v="1"/>
  </r>
  <r>
    <d v="2012-09-23T00:00:00"/>
    <s v="016-2210-000"/>
    <s v="Liquor Sales"/>
    <n v="623.77"/>
    <n v="0"/>
    <s v="Daily Sales Import"/>
    <n v="-623.77"/>
    <n v="623.77"/>
    <x v="0"/>
    <s v="2210"/>
    <s v="000"/>
    <x v="11"/>
    <x v="1"/>
  </r>
  <r>
    <d v="2012-09-23T00:00:00"/>
    <s v="016-2220-000"/>
    <s v="Beer Sales"/>
    <n v="120.4875"/>
    <n v="0"/>
    <s v="Daily Sales Import"/>
    <n v="-120.4875"/>
    <n v="120.4875"/>
    <x v="0"/>
    <s v="2220"/>
    <s v="000"/>
    <x v="11"/>
    <x v="1"/>
  </r>
  <r>
    <d v="2012-09-23T00:00:00"/>
    <s v="016-2230-000"/>
    <s v="Wine Sales"/>
    <n v="30.7545"/>
    <n v="0"/>
    <s v="Daily Sales Import"/>
    <n v="-30.7545"/>
    <n v="30.7545"/>
    <x v="0"/>
    <s v="2230"/>
    <s v="000"/>
    <x v="11"/>
    <x v="1"/>
  </r>
  <r>
    <d v="2012-09-23T00:00:00"/>
    <s v="017-2100-000"/>
    <s v="Food Sales"/>
    <n v="4896.7946000000002"/>
    <n v="0"/>
    <s v="Daily Sales Import"/>
    <n v="-4896.7946000000002"/>
    <n v="4896.7946000000002"/>
    <x v="1"/>
    <s v="2100"/>
    <s v="000"/>
    <x v="11"/>
    <x v="1"/>
  </r>
  <r>
    <d v="2012-09-23T00:00:00"/>
    <s v="017-2210-000"/>
    <s v="Liquor Sales"/>
    <n v="1049.8399999999999"/>
    <n v="0"/>
    <s v="Daily Sales Import"/>
    <n v="-1049.8399999999999"/>
    <n v="1049.8399999999999"/>
    <x v="1"/>
    <s v="2210"/>
    <s v="000"/>
    <x v="11"/>
    <x v="1"/>
  </r>
  <r>
    <d v="2012-09-23T00:00:00"/>
    <s v="017-2220-000"/>
    <s v="Beer Sales"/>
    <n v="151.69999999999999"/>
    <n v="0"/>
    <s v="Daily Sales Import"/>
    <n v="-151.69999999999999"/>
    <n v="151.69999999999999"/>
    <x v="1"/>
    <s v="2220"/>
    <s v="000"/>
    <x v="11"/>
    <x v="1"/>
  </r>
  <r>
    <d v="2012-09-23T00:00:00"/>
    <s v="017-2230-000"/>
    <s v="Wine Sales"/>
    <n v="58.012499999999996"/>
    <n v="0"/>
    <s v="Daily Sales Import"/>
    <n v="-58.012499999999996"/>
    <n v="58.012499999999996"/>
    <x v="1"/>
    <s v="2230"/>
    <s v="000"/>
    <x v="11"/>
    <x v="1"/>
  </r>
  <r>
    <d v="2012-09-23T00:00:00"/>
    <s v="018-2100-000"/>
    <s v="Food Sales"/>
    <n v="8414.9025000000001"/>
    <n v="0"/>
    <s v="Daily Sales Import"/>
    <n v="-8414.9025000000001"/>
    <n v="8414.9025000000001"/>
    <x v="2"/>
    <s v="2100"/>
    <s v="000"/>
    <x v="11"/>
    <x v="1"/>
  </r>
  <r>
    <d v="2012-09-23T00:00:00"/>
    <s v="018-2210-000"/>
    <s v="Liquor Sales"/>
    <n v="1054.9069999999999"/>
    <n v="0"/>
    <s v="Daily Sales Import"/>
    <n v="-1054.9069999999999"/>
    <n v="1054.9069999999999"/>
    <x v="2"/>
    <s v="2210"/>
    <s v="000"/>
    <x v="11"/>
    <x v="1"/>
  </r>
  <r>
    <d v="2012-09-23T00:00:00"/>
    <s v="018-2220-000"/>
    <s v="Beer Sales"/>
    <n v="148.149"/>
    <n v="0"/>
    <s v="Daily Sales Import"/>
    <n v="-148.149"/>
    <n v="148.149"/>
    <x v="2"/>
    <s v="2220"/>
    <s v="000"/>
    <x v="11"/>
    <x v="1"/>
  </r>
  <r>
    <d v="2012-09-23T00:00:00"/>
    <s v="018-2230-000"/>
    <s v="Wine Sales"/>
    <n v="63.9375"/>
    <n v="0"/>
    <s v="Daily Sales Import"/>
    <n v="-63.9375"/>
    <n v="63.9375"/>
    <x v="2"/>
    <s v="2230"/>
    <s v="000"/>
    <x v="11"/>
    <x v="1"/>
  </r>
  <r>
    <d v="2012-09-24T00:00:00"/>
    <s v="016-2100-000"/>
    <s v="Food Sales"/>
    <n v="1342.74"/>
    <n v="0"/>
    <s v="Daily Sales Import"/>
    <n v="-1342.74"/>
    <n v="1342.74"/>
    <x v="0"/>
    <s v="2100"/>
    <s v="000"/>
    <x v="11"/>
    <x v="1"/>
  </r>
  <r>
    <d v="2012-09-24T00:00:00"/>
    <s v="016-2210-000"/>
    <s v="Liquor Sales"/>
    <n v="344.31700000000001"/>
    <n v="0"/>
    <s v="Daily Sales Import"/>
    <n v="-344.31700000000001"/>
    <n v="344.31700000000001"/>
    <x v="0"/>
    <s v="2210"/>
    <s v="000"/>
    <x v="11"/>
    <x v="1"/>
  </r>
  <r>
    <d v="2012-09-24T00:00:00"/>
    <s v="016-2220-000"/>
    <s v="Beer Sales"/>
    <n v="48.649499999999989"/>
    <n v="0"/>
    <s v="Daily Sales Import"/>
    <n v="-48.649499999999989"/>
    <n v="48.649499999999989"/>
    <x v="0"/>
    <s v="2220"/>
    <s v="000"/>
    <x v="11"/>
    <x v="1"/>
  </r>
  <r>
    <d v="2012-09-24T00:00:00"/>
    <s v="016-2230-000"/>
    <s v="Wine Sales"/>
    <n v="4.62"/>
    <n v="0"/>
    <s v="Daily Sales Import"/>
    <n v="-4.62"/>
    <n v="4.62"/>
    <x v="0"/>
    <s v="2230"/>
    <s v="000"/>
    <x v="11"/>
    <x v="1"/>
  </r>
  <r>
    <d v="2012-09-25T00:00:00"/>
    <s v="016-2100-000"/>
    <s v="Food Sales"/>
    <n v="5420.4595999999992"/>
    <n v="0"/>
    <s v="Daily Sales Import"/>
    <n v="-5420.4595999999992"/>
    <n v="5420.4595999999992"/>
    <x v="0"/>
    <s v="2100"/>
    <s v="000"/>
    <x v="11"/>
    <x v="1"/>
  </r>
  <r>
    <d v="2012-09-25T00:00:00"/>
    <s v="016-2210-000"/>
    <s v="Liquor Sales"/>
    <n v="1327.0752"/>
    <n v="0"/>
    <s v="Daily Sales Import"/>
    <n v="-1327.0752"/>
    <n v="1327.0752"/>
    <x v="0"/>
    <s v="2210"/>
    <s v="000"/>
    <x v="11"/>
    <x v="1"/>
  </r>
  <r>
    <d v="2012-09-25T00:00:00"/>
    <s v="016-2220-000"/>
    <s v="Beer Sales"/>
    <n v="486.21"/>
    <n v="0"/>
    <s v="Daily Sales Import"/>
    <n v="-486.21"/>
    <n v="486.21"/>
    <x v="0"/>
    <s v="2220"/>
    <s v="000"/>
    <x v="11"/>
    <x v="1"/>
  </r>
  <r>
    <d v="2012-09-25T00:00:00"/>
    <s v="016-2230-000"/>
    <s v="Wine Sales"/>
    <n v="117.105"/>
    <n v="0"/>
    <s v="Daily Sales Import"/>
    <n v="-117.105"/>
    <n v="117.105"/>
    <x v="0"/>
    <s v="2230"/>
    <s v="000"/>
    <x v="11"/>
    <x v="1"/>
  </r>
  <r>
    <d v="2012-09-26T00:00:00"/>
    <s v="016-2100-000"/>
    <s v="Food Sales"/>
    <n v="3160.17"/>
    <n v="0"/>
    <s v="Daily Sales Import"/>
    <n v="-3160.17"/>
    <n v="3160.17"/>
    <x v="0"/>
    <s v="2100"/>
    <s v="000"/>
    <x v="11"/>
    <x v="1"/>
  </r>
  <r>
    <d v="2012-09-26T00:00:00"/>
    <s v="016-2210-000"/>
    <s v="Liquor Sales"/>
    <n v="599.12250000000006"/>
    <n v="0"/>
    <s v="Daily Sales Import"/>
    <n v="-599.12250000000006"/>
    <n v="599.12250000000006"/>
    <x v="0"/>
    <s v="2210"/>
    <s v="000"/>
    <x v="11"/>
    <x v="1"/>
  </r>
  <r>
    <d v="2012-09-26T00:00:00"/>
    <s v="016-2220-000"/>
    <s v="Beer Sales"/>
    <n v="142.179"/>
    <n v="0"/>
    <s v="Daily Sales Import"/>
    <n v="-142.179"/>
    <n v="142.179"/>
    <x v="0"/>
    <s v="2220"/>
    <s v="000"/>
    <x v="11"/>
    <x v="1"/>
  </r>
  <r>
    <d v="2012-09-26T00:00:00"/>
    <s v="016-2230-000"/>
    <s v="Wine Sales"/>
    <n v="67.405000000000001"/>
    <n v="0"/>
    <s v="Daily Sales Import"/>
    <n v="-67.405000000000001"/>
    <n v="67.405000000000001"/>
    <x v="0"/>
    <s v="2230"/>
    <s v="000"/>
    <x v="11"/>
    <x v="1"/>
  </r>
  <r>
    <d v="2012-09-27T00:00:00"/>
    <s v="016-2100-000"/>
    <s v="Food Sales"/>
    <n v="1958.04"/>
    <n v="0"/>
    <s v="Daily Sales Import"/>
    <n v="-1958.04"/>
    <n v="1958.04"/>
    <x v="0"/>
    <s v="2100"/>
    <s v="000"/>
    <x v="11"/>
    <x v="1"/>
  </r>
  <r>
    <d v="2012-09-27T00:00:00"/>
    <s v="016-2210-000"/>
    <s v="Liquor Sales"/>
    <n v="430.49249999999995"/>
    <n v="0"/>
    <s v="Daily Sales Import"/>
    <n v="-430.49249999999995"/>
    <n v="430.49249999999995"/>
    <x v="0"/>
    <s v="2210"/>
    <s v="000"/>
    <x v="11"/>
    <x v="1"/>
  </r>
  <r>
    <d v="2012-09-27T00:00:00"/>
    <s v="016-2220-000"/>
    <s v="Beer Sales"/>
    <n v="85.522499999999994"/>
    <n v="0"/>
    <s v="Daily Sales Import"/>
    <n v="-85.522499999999994"/>
    <n v="85.522499999999994"/>
    <x v="0"/>
    <s v="2220"/>
    <s v="000"/>
    <x v="11"/>
    <x v="1"/>
  </r>
  <r>
    <d v="2012-09-27T00:00:00"/>
    <s v="016-2230-000"/>
    <s v="Wine Sales"/>
    <n v="70.122"/>
    <n v="0"/>
    <s v="Daily Sales Import"/>
    <n v="-70.122"/>
    <n v="70.122"/>
    <x v="0"/>
    <s v="2230"/>
    <s v="000"/>
    <x v="11"/>
    <x v="1"/>
  </r>
  <r>
    <d v="2012-09-28T00:00:00"/>
    <s v="016-2100-000"/>
    <s v="Food Sales"/>
    <n v="4182.9480000000003"/>
    <n v="0"/>
    <s v="Daily Sales Import"/>
    <n v="-4182.9480000000003"/>
    <n v="4182.9480000000003"/>
    <x v="0"/>
    <s v="2100"/>
    <s v="000"/>
    <x v="11"/>
    <x v="1"/>
  </r>
  <r>
    <d v="2012-09-28T00:00:00"/>
    <s v="016-2210-000"/>
    <s v="Liquor Sales"/>
    <n v="1183.68"/>
    <n v="0"/>
    <s v="Daily Sales Import"/>
    <n v="-1183.68"/>
    <n v="1183.68"/>
    <x v="0"/>
    <s v="2210"/>
    <s v="000"/>
    <x v="11"/>
    <x v="1"/>
  </r>
  <r>
    <d v="2012-09-28T00:00:00"/>
    <s v="016-2220-000"/>
    <s v="Beer Sales"/>
    <n v="253.66770000000002"/>
    <n v="0"/>
    <s v="Daily Sales Import"/>
    <n v="-253.66770000000002"/>
    <n v="253.66770000000002"/>
    <x v="0"/>
    <s v="2220"/>
    <s v="000"/>
    <x v="11"/>
    <x v="1"/>
  </r>
  <r>
    <d v="2012-09-28T00:00:00"/>
    <s v="016-2230-000"/>
    <s v="Wine Sales"/>
    <n v="136.804"/>
    <n v="0"/>
    <s v="Daily Sales Import"/>
    <n v="-136.804"/>
    <n v="136.804"/>
    <x v="0"/>
    <s v="2230"/>
    <s v="000"/>
    <x v="11"/>
    <x v="1"/>
  </r>
  <r>
    <d v="2012-09-29T00:00:00"/>
    <s v="016-2100-000"/>
    <s v="Food Sales"/>
    <n v="6179.1190999999999"/>
    <n v="0"/>
    <s v="Daily Sales Import"/>
    <n v="-6179.1190999999999"/>
    <n v="6179.1190999999999"/>
    <x v="0"/>
    <s v="2100"/>
    <s v="000"/>
    <x v="11"/>
    <x v="1"/>
  </r>
  <r>
    <d v="2012-09-29T00:00:00"/>
    <s v="016-2210-000"/>
    <s v="Liquor Sales"/>
    <n v="2139.5"/>
    <n v="0"/>
    <s v="Daily Sales Import"/>
    <n v="-2139.5"/>
    <n v="2139.5"/>
    <x v="0"/>
    <s v="2210"/>
    <s v="000"/>
    <x v="11"/>
    <x v="1"/>
  </r>
  <r>
    <d v="2012-09-29T00:00:00"/>
    <s v="016-2220-000"/>
    <s v="Beer Sales"/>
    <n v="466.98300000000006"/>
    <n v="0"/>
    <s v="Daily Sales Import"/>
    <n v="-466.98300000000006"/>
    <n v="466.98300000000006"/>
    <x v="0"/>
    <s v="2220"/>
    <s v="000"/>
    <x v="11"/>
    <x v="1"/>
  </r>
  <r>
    <d v="2012-09-29T00:00:00"/>
    <s v="016-2230-000"/>
    <s v="Wine Sales"/>
    <n v="120.536"/>
    <n v="0"/>
    <s v="Daily Sales Import"/>
    <n v="-120.536"/>
    <n v="120.536"/>
    <x v="0"/>
    <s v="2230"/>
    <s v="000"/>
    <x v="11"/>
    <x v="1"/>
  </r>
  <r>
    <d v="2012-09-24T00:00:00"/>
    <s v="017-2100-000"/>
    <s v="Food Sales"/>
    <n v="4996.6880000000001"/>
    <n v="0"/>
    <s v="Daily Sales Import"/>
    <n v="-4996.6880000000001"/>
    <n v="4996.6880000000001"/>
    <x v="1"/>
    <s v="2100"/>
    <s v="000"/>
    <x v="11"/>
    <x v="1"/>
  </r>
  <r>
    <d v="2012-09-24T00:00:00"/>
    <s v="017-2210-000"/>
    <s v="Liquor Sales"/>
    <n v="648.61649999999997"/>
    <n v="0"/>
    <s v="Daily Sales Import"/>
    <n v="-648.61649999999997"/>
    <n v="648.61649999999997"/>
    <x v="1"/>
    <s v="2210"/>
    <s v="000"/>
    <x v="11"/>
    <x v="1"/>
  </r>
  <r>
    <d v="2012-09-24T00:00:00"/>
    <s v="017-2220-000"/>
    <s v="Beer Sales"/>
    <n v="154.32749999999999"/>
    <n v="0"/>
    <s v="Daily Sales Import"/>
    <n v="-154.32749999999999"/>
    <n v="154.32749999999999"/>
    <x v="1"/>
    <s v="2220"/>
    <s v="000"/>
    <x v="11"/>
    <x v="1"/>
  </r>
  <r>
    <d v="2012-09-24T00:00:00"/>
    <s v="017-2230-000"/>
    <s v="Wine Sales"/>
    <n v="84.73"/>
    <n v="0"/>
    <s v="Daily Sales Import"/>
    <n v="-84.73"/>
    <n v="84.73"/>
    <x v="1"/>
    <s v="2230"/>
    <s v="000"/>
    <x v="11"/>
    <x v="1"/>
  </r>
  <r>
    <d v="2012-09-25T00:00:00"/>
    <s v="017-2100-000"/>
    <s v="Food Sales"/>
    <n v="4927.3934999999992"/>
    <n v="0"/>
    <s v="Daily Sales Import"/>
    <n v="-4927.3934999999992"/>
    <n v="4927.3934999999992"/>
    <x v="1"/>
    <s v="2100"/>
    <s v="000"/>
    <x v="11"/>
    <x v="1"/>
  </r>
  <r>
    <d v="2012-09-25T00:00:00"/>
    <s v="017-2210-000"/>
    <s v="Liquor Sales"/>
    <n v="759.07499999999993"/>
    <n v="0"/>
    <s v="Daily Sales Import"/>
    <n v="-759.07499999999993"/>
    <n v="759.07499999999993"/>
    <x v="1"/>
    <s v="2210"/>
    <s v="000"/>
    <x v="11"/>
    <x v="1"/>
  </r>
  <r>
    <d v="2012-09-25T00:00:00"/>
    <s v="017-2220-000"/>
    <s v="Beer Sales"/>
    <n v="411.0575"/>
    <n v="0"/>
    <s v="Daily Sales Import"/>
    <n v="-411.0575"/>
    <n v="411.0575"/>
    <x v="1"/>
    <s v="2220"/>
    <s v="000"/>
    <x v="11"/>
    <x v="1"/>
  </r>
  <r>
    <d v="2012-09-25T00:00:00"/>
    <s v="017-2230-000"/>
    <s v="Wine Sales"/>
    <n v="111.033"/>
    <n v="0"/>
    <s v="Daily Sales Import"/>
    <n v="-111.033"/>
    <n v="111.033"/>
    <x v="1"/>
    <s v="2230"/>
    <s v="000"/>
    <x v="11"/>
    <x v="1"/>
  </r>
  <r>
    <d v="2012-09-26T00:00:00"/>
    <s v="017-2100-000"/>
    <s v="Food Sales"/>
    <n v="6194.5752000000002"/>
    <n v="0"/>
    <s v="Daily Sales Import"/>
    <n v="-6194.5752000000002"/>
    <n v="6194.5752000000002"/>
    <x v="1"/>
    <s v="2100"/>
    <s v="000"/>
    <x v="11"/>
    <x v="1"/>
  </r>
  <r>
    <d v="2012-09-26T00:00:00"/>
    <s v="017-2210-000"/>
    <s v="Liquor Sales"/>
    <n v="1639.9849999999999"/>
    <n v="0"/>
    <s v="Daily Sales Import"/>
    <n v="-1639.9849999999999"/>
    <n v="1639.9849999999999"/>
    <x v="1"/>
    <s v="2210"/>
    <s v="000"/>
    <x v="11"/>
    <x v="1"/>
  </r>
  <r>
    <d v="2012-09-26T00:00:00"/>
    <s v="017-2220-000"/>
    <s v="Beer Sales"/>
    <n v="311.20000000000005"/>
    <n v="0"/>
    <s v="Daily Sales Import"/>
    <n v="-311.20000000000005"/>
    <n v="311.20000000000005"/>
    <x v="1"/>
    <s v="2220"/>
    <s v="000"/>
    <x v="11"/>
    <x v="1"/>
  </r>
  <r>
    <d v="2012-09-26T00:00:00"/>
    <s v="017-2230-000"/>
    <s v="Wine Sales"/>
    <n v="36.3735"/>
    <n v="0"/>
    <s v="Daily Sales Import"/>
    <n v="-36.3735"/>
    <n v="36.3735"/>
    <x v="1"/>
    <s v="2230"/>
    <s v="000"/>
    <x v="11"/>
    <x v="1"/>
  </r>
  <r>
    <d v="2012-09-27T00:00:00"/>
    <s v="017-2100-000"/>
    <s v="Food Sales"/>
    <n v="6282.7920000000004"/>
    <n v="0"/>
    <s v="Daily Sales Import"/>
    <n v="-6282.7920000000004"/>
    <n v="6282.7920000000004"/>
    <x v="1"/>
    <s v="2100"/>
    <s v="000"/>
    <x v="11"/>
    <x v="1"/>
  </r>
  <r>
    <d v="2012-09-27T00:00:00"/>
    <s v="017-2210-000"/>
    <s v="Liquor Sales"/>
    <n v="1749.0045"/>
    <n v="0"/>
    <s v="Daily Sales Import"/>
    <n v="-1749.0045"/>
    <n v="1749.0045"/>
    <x v="1"/>
    <s v="2210"/>
    <s v="000"/>
    <x v="11"/>
    <x v="1"/>
  </r>
  <r>
    <d v="2012-09-27T00:00:00"/>
    <s v="017-2220-000"/>
    <s v="Beer Sales"/>
    <n v="396.94"/>
    <n v="0"/>
    <s v="Daily Sales Import"/>
    <n v="-396.94"/>
    <n v="396.94"/>
    <x v="1"/>
    <s v="2220"/>
    <s v="000"/>
    <x v="11"/>
    <x v="1"/>
  </r>
  <r>
    <d v="2012-09-27T00:00:00"/>
    <s v="017-2230-000"/>
    <s v="Wine Sales"/>
    <n v="97.289999999999992"/>
    <n v="0"/>
    <s v="Daily Sales Import"/>
    <n v="-97.289999999999992"/>
    <n v="97.289999999999992"/>
    <x v="1"/>
    <s v="2230"/>
    <s v="000"/>
    <x v="11"/>
    <x v="1"/>
  </r>
  <r>
    <d v="2012-09-28T00:00:00"/>
    <s v="017-2100-000"/>
    <s v="Food Sales"/>
    <n v="7687.3636000000006"/>
    <n v="0"/>
    <s v="Daily Sales Import"/>
    <n v="-7687.3636000000006"/>
    <n v="7687.3636000000006"/>
    <x v="1"/>
    <s v="2100"/>
    <s v="000"/>
    <x v="11"/>
    <x v="1"/>
  </r>
  <r>
    <d v="2012-09-28T00:00:00"/>
    <s v="017-2210-000"/>
    <s v="Liquor Sales"/>
    <n v="1708.2449999999999"/>
    <n v="0"/>
    <s v="Daily Sales Import"/>
    <n v="-1708.2449999999999"/>
    <n v="1708.2449999999999"/>
    <x v="1"/>
    <s v="2210"/>
    <s v="000"/>
    <x v="11"/>
    <x v="1"/>
  </r>
  <r>
    <d v="2012-09-28T00:00:00"/>
    <s v="017-2220-000"/>
    <s v="Beer Sales"/>
    <n v="548.1"/>
    <n v="0"/>
    <s v="Daily Sales Import"/>
    <n v="-548.1"/>
    <n v="548.1"/>
    <x v="1"/>
    <s v="2220"/>
    <s v="000"/>
    <x v="11"/>
    <x v="1"/>
  </r>
  <r>
    <d v="2012-09-28T00:00:00"/>
    <s v="017-2230-000"/>
    <s v="Wine Sales"/>
    <n v="62.524000000000008"/>
    <n v="0"/>
    <s v="Daily Sales Import"/>
    <n v="-62.524000000000008"/>
    <n v="62.524000000000008"/>
    <x v="1"/>
    <s v="2230"/>
    <s v="000"/>
    <x v="11"/>
    <x v="1"/>
  </r>
  <r>
    <d v="2012-09-29T00:00:00"/>
    <s v="017-2100-000"/>
    <s v="Food Sales"/>
    <n v="4649.5994999999994"/>
    <n v="0"/>
    <s v="Daily Sales Import"/>
    <n v="-4649.5994999999994"/>
    <n v="4649.5994999999994"/>
    <x v="1"/>
    <s v="2100"/>
    <s v="000"/>
    <x v="11"/>
    <x v="1"/>
  </r>
  <r>
    <d v="2012-09-29T00:00:00"/>
    <s v="017-2210-000"/>
    <s v="Liquor Sales"/>
    <n v="1494.867"/>
    <n v="0"/>
    <s v="Daily Sales Import"/>
    <n v="-1494.867"/>
    <n v="1494.867"/>
    <x v="1"/>
    <s v="2210"/>
    <s v="000"/>
    <x v="11"/>
    <x v="1"/>
  </r>
  <r>
    <d v="2012-09-29T00:00:00"/>
    <s v="017-2220-000"/>
    <s v="Beer Sales"/>
    <n v="272.38750000000005"/>
    <n v="0"/>
    <s v="Daily Sales Import"/>
    <n v="-272.38750000000005"/>
    <n v="272.38750000000005"/>
    <x v="1"/>
    <s v="2220"/>
    <s v="000"/>
    <x v="11"/>
    <x v="1"/>
  </r>
  <r>
    <d v="2012-09-29T00:00:00"/>
    <s v="017-2230-000"/>
    <s v="Wine Sales"/>
    <n v="47.385999999999996"/>
    <n v="0"/>
    <s v="Daily Sales Import"/>
    <n v="-47.385999999999996"/>
    <n v="47.385999999999996"/>
    <x v="1"/>
    <s v="2230"/>
    <s v="000"/>
    <x v="11"/>
    <x v="1"/>
  </r>
  <r>
    <d v="2012-09-24T00:00:00"/>
    <s v="018-2100-000"/>
    <s v="Food Sales"/>
    <n v="4162.9264000000003"/>
    <n v="0"/>
    <s v="Daily Sales Import"/>
    <n v="-4162.9264000000003"/>
    <n v="4162.9264000000003"/>
    <x v="2"/>
    <s v="2100"/>
    <s v="000"/>
    <x v="11"/>
    <x v="1"/>
  </r>
  <r>
    <d v="2012-09-24T00:00:00"/>
    <s v="018-2210-000"/>
    <s v="Liquor Sales"/>
    <n v="382.23249999999996"/>
    <n v="0"/>
    <s v="Daily Sales Import"/>
    <n v="-382.23249999999996"/>
    <n v="382.23249999999996"/>
    <x v="2"/>
    <s v="2210"/>
    <s v="000"/>
    <x v="11"/>
    <x v="1"/>
  </r>
  <r>
    <d v="2012-09-24T00:00:00"/>
    <s v="018-2220-000"/>
    <s v="Beer Sales"/>
    <n v="171.17399999999998"/>
    <n v="0"/>
    <s v="Daily Sales Import"/>
    <n v="-171.17399999999998"/>
    <n v="171.17399999999998"/>
    <x v="2"/>
    <s v="2220"/>
    <s v="000"/>
    <x v="11"/>
    <x v="1"/>
  </r>
  <r>
    <d v="2012-09-24T00:00:00"/>
    <s v="018-2230-000"/>
    <s v="Wine Sales"/>
    <n v="16.802500000000002"/>
    <n v="0"/>
    <s v="Daily Sales Import"/>
    <n v="-16.802500000000002"/>
    <n v="16.802500000000002"/>
    <x v="2"/>
    <s v="2230"/>
    <s v="000"/>
    <x v="11"/>
    <x v="1"/>
  </r>
  <r>
    <d v="2012-09-25T00:00:00"/>
    <s v="018-2100-000"/>
    <s v="Food Sales"/>
    <n v="3899.0259000000001"/>
    <n v="0"/>
    <s v="Daily Sales Import"/>
    <n v="-3899.0259000000001"/>
    <n v="3899.0259000000001"/>
    <x v="2"/>
    <s v="2100"/>
    <s v="000"/>
    <x v="11"/>
    <x v="1"/>
  </r>
  <r>
    <d v="2012-09-25T00:00:00"/>
    <s v="018-2210-000"/>
    <s v="Liquor Sales"/>
    <n v="1099.3724999999999"/>
    <n v="0"/>
    <s v="Daily Sales Import"/>
    <n v="-1099.3724999999999"/>
    <n v="1099.3724999999999"/>
    <x v="2"/>
    <s v="2210"/>
    <s v="000"/>
    <x v="11"/>
    <x v="1"/>
  </r>
  <r>
    <d v="2012-09-25T00:00:00"/>
    <s v="018-2220-000"/>
    <s v="Beer Sales"/>
    <n v="266.18900000000002"/>
    <n v="0"/>
    <s v="Daily Sales Import"/>
    <n v="-266.18900000000002"/>
    <n v="266.18900000000002"/>
    <x v="2"/>
    <s v="2220"/>
    <s v="000"/>
    <x v="11"/>
    <x v="1"/>
  </r>
  <r>
    <d v="2012-09-25T00:00:00"/>
    <s v="018-2230-000"/>
    <s v="Wine Sales"/>
    <n v="76.043000000000006"/>
    <n v="0"/>
    <s v="Daily Sales Import"/>
    <n v="-76.043000000000006"/>
    <n v="76.043000000000006"/>
    <x v="2"/>
    <s v="2230"/>
    <s v="000"/>
    <x v="11"/>
    <x v="1"/>
  </r>
  <r>
    <d v="2012-09-26T00:00:00"/>
    <s v="018-2100-000"/>
    <s v="Food Sales"/>
    <n v="6392.7114999999994"/>
    <n v="0"/>
    <s v="Daily Sales Import"/>
    <n v="-6392.7114999999994"/>
    <n v="6392.7114999999994"/>
    <x v="2"/>
    <s v="2100"/>
    <s v="000"/>
    <x v="11"/>
    <x v="1"/>
  </r>
  <r>
    <d v="2012-09-26T00:00:00"/>
    <s v="018-2210-000"/>
    <s v="Liquor Sales"/>
    <n v="939.01499999999999"/>
    <n v="0"/>
    <s v="Daily Sales Import"/>
    <n v="-939.01499999999999"/>
    <n v="939.01499999999999"/>
    <x v="2"/>
    <s v="2210"/>
    <s v="000"/>
    <x v="11"/>
    <x v="1"/>
  </r>
  <r>
    <d v="2012-09-26T00:00:00"/>
    <s v="018-2220-000"/>
    <s v="Beer Sales"/>
    <n v="146.42099999999999"/>
    <n v="0"/>
    <s v="Daily Sales Import"/>
    <n v="-146.42099999999999"/>
    <n v="146.42099999999999"/>
    <x v="2"/>
    <s v="2220"/>
    <s v="000"/>
    <x v="11"/>
    <x v="1"/>
  </r>
  <r>
    <d v="2012-09-26T00:00:00"/>
    <s v="018-2230-000"/>
    <s v="Wine Sales"/>
    <n v="30.155000000000001"/>
    <n v="0"/>
    <s v="Daily Sales Import"/>
    <n v="-30.155000000000001"/>
    <n v="30.155000000000001"/>
    <x v="2"/>
    <s v="2230"/>
    <s v="000"/>
    <x v="11"/>
    <x v="1"/>
  </r>
  <r>
    <d v="2012-09-27T00:00:00"/>
    <s v="018-2100-000"/>
    <s v="Food Sales"/>
    <n v="5504.058"/>
    <n v="0"/>
    <s v="Daily Sales Import"/>
    <n v="-5504.058"/>
    <n v="5504.058"/>
    <x v="2"/>
    <s v="2100"/>
    <s v="000"/>
    <x v="11"/>
    <x v="1"/>
  </r>
  <r>
    <d v="2012-09-27T00:00:00"/>
    <s v="018-2210-000"/>
    <s v="Liquor Sales"/>
    <n v="1088.7949999999998"/>
    <n v="0"/>
    <s v="Daily Sales Import"/>
    <n v="-1088.7949999999998"/>
    <n v="1088.7949999999998"/>
    <x v="2"/>
    <s v="2210"/>
    <s v="000"/>
    <x v="11"/>
    <x v="1"/>
  </r>
  <r>
    <d v="2012-09-27T00:00:00"/>
    <s v="018-2220-000"/>
    <s v="Beer Sales"/>
    <n v="228.89700000000002"/>
    <n v="0"/>
    <s v="Daily Sales Import"/>
    <n v="-228.89700000000002"/>
    <n v="228.89700000000002"/>
    <x v="2"/>
    <s v="2220"/>
    <s v="000"/>
    <x v="11"/>
    <x v="1"/>
  </r>
  <r>
    <d v="2012-09-27T00:00:00"/>
    <s v="018-2230-000"/>
    <s v="Wine Sales"/>
    <n v="66.960999999999999"/>
    <n v="0"/>
    <s v="Daily Sales Import"/>
    <n v="-66.960999999999999"/>
    <n v="66.960999999999999"/>
    <x v="2"/>
    <s v="2230"/>
    <s v="000"/>
    <x v="11"/>
    <x v="1"/>
  </r>
  <r>
    <d v="2012-09-28T00:00:00"/>
    <s v="018-2100-000"/>
    <s v="Food Sales"/>
    <n v="11901.189999999999"/>
    <n v="0"/>
    <s v="Daily Sales Import"/>
    <n v="-11901.189999999999"/>
    <n v="11901.189999999999"/>
    <x v="2"/>
    <s v="2100"/>
    <s v="000"/>
    <x v="11"/>
    <x v="1"/>
  </r>
  <r>
    <d v="2012-09-28T00:00:00"/>
    <s v="018-2210-000"/>
    <s v="Liquor Sales"/>
    <n v="3237.6880000000001"/>
    <n v="0"/>
    <s v="Daily Sales Import"/>
    <n v="-3237.6880000000001"/>
    <n v="3237.6880000000001"/>
    <x v="2"/>
    <s v="2210"/>
    <s v="000"/>
    <x v="11"/>
    <x v="1"/>
  </r>
  <r>
    <d v="2012-09-28T00:00:00"/>
    <s v="018-2220-000"/>
    <s v="Beer Sales"/>
    <n v="721.798"/>
    <n v="0"/>
    <s v="Daily Sales Import"/>
    <n v="-721.798"/>
    <n v="721.798"/>
    <x v="2"/>
    <s v="2220"/>
    <s v="000"/>
    <x v="11"/>
    <x v="1"/>
  </r>
  <r>
    <d v="2012-09-28T00:00:00"/>
    <s v="018-2230-000"/>
    <s v="Wine Sales"/>
    <n v="72.996000000000009"/>
    <n v="0"/>
    <s v="Daily Sales Import"/>
    <n v="-72.996000000000009"/>
    <n v="72.996000000000009"/>
    <x v="2"/>
    <s v="2230"/>
    <s v="000"/>
    <x v="11"/>
    <x v="1"/>
  </r>
  <r>
    <d v="2012-09-29T00:00:00"/>
    <s v="018-2100-000"/>
    <s v="Food Sales"/>
    <n v="16031.491999999998"/>
    <n v="0"/>
    <s v="Daily Sales Import"/>
    <n v="-16031.491999999998"/>
    <n v="16031.491999999998"/>
    <x v="2"/>
    <s v="2100"/>
    <s v="000"/>
    <x v="11"/>
    <x v="1"/>
  </r>
  <r>
    <d v="2012-09-29T00:00:00"/>
    <s v="018-2210-000"/>
    <s v="Liquor Sales"/>
    <n v="4003.4640000000004"/>
    <n v="0"/>
    <s v="Daily Sales Import"/>
    <n v="-4003.4640000000004"/>
    <n v="4003.4640000000004"/>
    <x v="2"/>
    <s v="2210"/>
    <s v="000"/>
    <x v="11"/>
    <x v="1"/>
  </r>
  <r>
    <d v="2012-09-29T00:00:00"/>
    <s v="018-2220-000"/>
    <s v="Beer Sales"/>
    <n v="1020.681"/>
    <n v="0"/>
    <s v="Daily Sales Import"/>
    <n v="-1020.681"/>
    <n v="1020.681"/>
    <x v="2"/>
    <s v="2220"/>
    <s v="000"/>
    <x v="11"/>
    <x v="1"/>
  </r>
  <r>
    <d v="2012-09-29T00:00:00"/>
    <s v="018-2230-000"/>
    <s v="Wine Sales"/>
    <n v="109.5825"/>
    <n v="0"/>
    <s v="Daily Sales Import"/>
    <n v="-109.5825"/>
    <n v="109.5825"/>
    <x v="2"/>
    <s v="2230"/>
    <s v="000"/>
    <x v="11"/>
    <x v="1"/>
  </r>
  <r>
    <d v="2012-09-30T00:00:00"/>
    <s v="016-2100-000"/>
    <s v="Food Sales"/>
    <n v="2812.6000000000004"/>
    <n v="0"/>
    <s v="Daily Sales Import"/>
    <n v="-2812.6000000000004"/>
    <n v="2812.6000000000004"/>
    <x v="0"/>
    <s v="2100"/>
    <s v="000"/>
    <x v="11"/>
    <x v="1"/>
  </r>
  <r>
    <d v="2012-09-30T00:00:00"/>
    <s v="016-2210-000"/>
    <s v="Liquor Sales"/>
    <n v="758.85040000000004"/>
    <n v="0"/>
    <s v="Daily Sales Import"/>
    <n v="-758.85040000000004"/>
    <n v="758.85040000000004"/>
    <x v="0"/>
    <s v="2210"/>
    <s v="000"/>
    <x v="11"/>
    <x v="1"/>
  </r>
  <r>
    <d v="2012-09-30T00:00:00"/>
    <s v="016-2220-000"/>
    <s v="Beer Sales"/>
    <n v="116.82000000000001"/>
    <n v="0"/>
    <s v="Daily Sales Import"/>
    <n v="-116.82000000000001"/>
    <n v="116.82000000000001"/>
    <x v="0"/>
    <s v="2220"/>
    <s v="000"/>
    <x v="11"/>
    <x v="1"/>
  </r>
  <r>
    <d v="2012-09-30T00:00:00"/>
    <s v="016-2230-000"/>
    <s v="Wine Sales"/>
    <n v="56.313999999999993"/>
    <n v="0"/>
    <s v="Daily Sales Import"/>
    <n v="-56.313999999999993"/>
    <n v="56.313999999999993"/>
    <x v="0"/>
    <s v="2230"/>
    <s v="000"/>
    <x v="11"/>
    <x v="1"/>
  </r>
  <r>
    <d v="2012-09-30T00:00:00"/>
    <s v="017-2100-000"/>
    <s v="Food Sales"/>
    <n v="3368.4659999999994"/>
    <n v="0"/>
    <s v="Daily Sales Import"/>
    <n v="-3368.4659999999994"/>
    <n v="3368.4659999999994"/>
    <x v="1"/>
    <s v="2100"/>
    <s v="000"/>
    <x v="11"/>
    <x v="1"/>
  </r>
  <r>
    <d v="2012-09-30T00:00:00"/>
    <s v="017-2210-000"/>
    <s v="Liquor Sales"/>
    <n v="996.15000000000009"/>
    <n v="0"/>
    <s v="Daily Sales Import"/>
    <n v="-996.15000000000009"/>
    <n v="996.15000000000009"/>
    <x v="1"/>
    <s v="2210"/>
    <s v="000"/>
    <x v="11"/>
    <x v="1"/>
  </r>
  <r>
    <d v="2012-09-30T00:00:00"/>
    <s v="017-2220-000"/>
    <s v="Beer Sales"/>
    <n v="134.30000000000001"/>
    <n v="0"/>
    <s v="Daily Sales Import"/>
    <n v="-134.30000000000001"/>
    <n v="134.30000000000001"/>
    <x v="1"/>
    <s v="2220"/>
    <s v="000"/>
    <x v="11"/>
    <x v="1"/>
  </r>
  <r>
    <d v="2012-09-30T00:00:00"/>
    <s v="017-2230-000"/>
    <s v="Wine Sales"/>
    <n v="44.890999999999998"/>
    <n v="0"/>
    <s v="Daily Sales Import"/>
    <n v="-44.890999999999998"/>
    <n v="44.890999999999998"/>
    <x v="1"/>
    <s v="2230"/>
    <s v="000"/>
    <x v="11"/>
    <x v="1"/>
  </r>
  <r>
    <d v="2012-09-30T00:00:00"/>
    <s v="018-2100-000"/>
    <s v="Food Sales"/>
    <n v="8314.8799999999992"/>
    <n v="0"/>
    <s v="Daily Sales Import"/>
    <n v="-8314.8799999999992"/>
    <n v="8314.8799999999992"/>
    <x v="2"/>
    <s v="2100"/>
    <s v="000"/>
    <x v="11"/>
    <x v="1"/>
  </r>
  <r>
    <d v="2012-09-30T00:00:00"/>
    <s v="018-2210-000"/>
    <s v="Liquor Sales"/>
    <n v="1461.5269999999998"/>
    <n v="0"/>
    <s v="Daily Sales Import"/>
    <n v="-1461.5269999999998"/>
    <n v="1461.5269999999998"/>
    <x v="2"/>
    <s v="2210"/>
    <s v="000"/>
    <x v="11"/>
    <x v="1"/>
  </r>
  <r>
    <d v="2012-09-30T00:00:00"/>
    <s v="018-2220-000"/>
    <s v="Beer Sales"/>
    <n v="326.80799999999999"/>
    <n v="0"/>
    <s v="Daily Sales Import"/>
    <n v="-326.80799999999999"/>
    <n v="326.80799999999999"/>
    <x v="2"/>
    <s v="2220"/>
    <s v="000"/>
    <x v="11"/>
    <x v="1"/>
  </r>
  <r>
    <d v="2012-09-30T00:00:00"/>
    <s v="018-2230-000"/>
    <s v="Wine Sales"/>
    <n v="53.43"/>
    <n v="0"/>
    <s v="Daily Sales Import"/>
    <n v="-53.43"/>
    <n v="53.43"/>
    <x v="2"/>
    <s v="2230"/>
    <s v="000"/>
    <x v="11"/>
    <x v="1"/>
  </r>
  <r>
    <d v="2012-10-01T00:00:00"/>
    <s v="016-2100-000"/>
    <s v="Food Sales"/>
    <n v="1425.8475000000001"/>
    <n v="0"/>
    <s v="Daily Sales Import"/>
    <n v="-1425.8475000000001"/>
    <n v="1425.8475000000001"/>
    <x v="0"/>
    <s v="2100"/>
    <s v="000"/>
    <x v="0"/>
    <x v="1"/>
  </r>
  <r>
    <d v="2012-10-01T00:00:00"/>
    <s v="016-2210-000"/>
    <s v="Liquor Sales"/>
    <n v="181.63200000000001"/>
    <n v="0"/>
    <s v="Daily Sales Import"/>
    <n v="-181.63200000000001"/>
    <n v="181.63200000000001"/>
    <x v="0"/>
    <s v="2210"/>
    <s v="000"/>
    <x v="0"/>
    <x v="1"/>
  </r>
  <r>
    <d v="2012-10-01T00:00:00"/>
    <s v="016-2220-000"/>
    <s v="Beer Sales"/>
    <n v="75.275999999999996"/>
    <n v="0"/>
    <s v="Daily Sales Import"/>
    <n v="-75.275999999999996"/>
    <n v="75.275999999999996"/>
    <x v="0"/>
    <s v="2220"/>
    <s v="000"/>
    <x v="0"/>
    <x v="1"/>
  </r>
  <r>
    <d v="2012-10-01T00:00:00"/>
    <s v="016-2230-000"/>
    <s v="Wine Sales"/>
    <n v="6.2649999999999988"/>
    <n v="0"/>
    <s v="Daily Sales Import"/>
    <n v="-6.2649999999999988"/>
    <n v="6.2649999999999988"/>
    <x v="0"/>
    <s v="2230"/>
    <s v="000"/>
    <x v="0"/>
    <x v="1"/>
  </r>
  <r>
    <d v="2012-10-02T00:00:00"/>
    <s v="016-2100-000"/>
    <s v="Food Sales"/>
    <n v="5124.8393999999998"/>
    <n v="0"/>
    <s v="Daily Sales Import"/>
    <n v="-5124.8393999999998"/>
    <n v="5124.8393999999998"/>
    <x v="0"/>
    <s v="2100"/>
    <s v="000"/>
    <x v="0"/>
    <x v="1"/>
  </r>
  <r>
    <d v="2012-10-02T00:00:00"/>
    <s v="016-2210-000"/>
    <s v="Liquor Sales"/>
    <n v="1666.9364999999998"/>
    <n v="0"/>
    <s v="Daily Sales Import"/>
    <n v="-1666.9364999999998"/>
    <n v="1666.9364999999998"/>
    <x v="0"/>
    <s v="2210"/>
    <s v="000"/>
    <x v="0"/>
    <x v="1"/>
  </r>
  <r>
    <d v="2012-10-02T00:00:00"/>
    <s v="016-2220-000"/>
    <s v="Beer Sales"/>
    <n v="490.34829999999999"/>
    <n v="0"/>
    <s v="Daily Sales Import"/>
    <n v="-490.34829999999999"/>
    <n v="490.34829999999999"/>
    <x v="0"/>
    <s v="2220"/>
    <s v="000"/>
    <x v="0"/>
    <x v="1"/>
  </r>
  <r>
    <d v="2012-10-02T00:00:00"/>
    <s v="016-2230-000"/>
    <s v="Wine Sales"/>
    <n v="66.5595"/>
    <n v="0"/>
    <s v="Daily Sales Import"/>
    <n v="-66.5595"/>
    <n v="66.5595"/>
    <x v="0"/>
    <s v="2230"/>
    <s v="000"/>
    <x v="0"/>
    <x v="1"/>
  </r>
  <r>
    <d v="2012-10-03T00:00:00"/>
    <s v="016-2100-000"/>
    <s v="Food Sales"/>
    <n v="1424.8574999999998"/>
    <n v="0"/>
    <s v="Daily Sales Import"/>
    <n v="-1424.8574999999998"/>
    <n v="1424.8574999999998"/>
    <x v="0"/>
    <s v="2100"/>
    <s v="000"/>
    <x v="0"/>
    <x v="1"/>
  </r>
  <r>
    <d v="2012-10-03T00:00:00"/>
    <s v="016-2210-000"/>
    <s v="Liquor Sales"/>
    <n v="538.60900000000004"/>
    <n v="0"/>
    <s v="Daily Sales Import"/>
    <n v="-538.60900000000004"/>
    <n v="538.60900000000004"/>
    <x v="0"/>
    <s v="2210"/>
    <s v="000"/>
    <x v="0"/>
    <x v="1"/>
  </r>
  <r>
    <d v="2012-10-03T00:00:00"/>
    <s v="016-2220-000"/>
    <s v="Beer Sales"/>
    <n v="79.02"/>
    <n v="0"/>
    <s v="Daily Sales Import"/>
    <n v="-79.02"/>
    <n v="79.02"/>
    <x v="0"/>
    <s v="2220"/>
    <s v="000"/>
    <x v="0"/>
    <x v="1"/>
  </r>
  <r>
    <d v="2012-10-03T00:00:00"/>
    <s v="016-2230-000"/>
    <s v="Wine Sales"/>
    <n v="25.721"/>
    <n v="0"/>
    <s v="Daily Sales Import"/>
    <n v="-25.721"/>
    <n v="25.721"/>
    <x v="0"/>
    <s v="2230"/>
    <s v="000"/>
    <x v="0"/>
    <x v="1"/>
  </r>
  <r>
    <d v="2012-10-04T00:00:00"/>
    <s v="016-2100-000"/>
    <s v="Food Sales"/>
    <n v="3103.4526000000001"/>
    <n v="0"/>
    <s v="Daily Sales Import"/>
    <n v="-3103.4526000000001"/>
    <n v="3103.4526000000001"/>
    <x v="0"/>
    <s v="2100"/>
    <s v="000"/>
    <x v="0"/>
    <x v="1"/>
  </r>
  <r>
    <d v="2012-10-04T00:00:00"/>
    <s v="016-2210-000"/>
    <s v="Liquor Sales"/>
    <n v="913.6305000000001"/>
    <n v="0"/>
    <s v="Daily Sales Import"/>
    <n v="-913.6305000000001"/>
    <n v="913.6305000000001"/>
    <x v="0"/>
    <s v="2210"/>
    <s v="000"/>
    <x v="0"/>
    <x v="1"/>
  </r>
  <r>
    <d v="2012-10-04T00:00:00"/>
    <s v="016-2220-000"/>
    <s v="Beer Sales"/>
    <n v="112.65569999999998"/>
    <n v="0"/>
    <s v="Daily Sales Import"/>
    <n v="-112.65569999999998"/>
    <n v="112.65569999999998"/>
    <x v="0"/>
    <s v="2220"/>
    <s v="000"/>
    <x v="0"/>
    <x v="1"/>
  </r>
  <r>
    <d v="2012-10-04T00:00:00"/>
    <s v="016-2230-000"/>
    <s v="Wine Sales"/>
    <n v="37.757999999999996"/>
    <n v="0"/>
    <s v="Daily Sales Import"/>
    <n v="-37.757999999999996"/>
    <n v="37.757999999999996"/>
    <x v="0"/>
    <s v="2230"/>
    <s v="000"/>
    <x v="0"/>
    <x v="1"/>
  </r>
  <r>
    <d v="2012-10-05T00:00:00"/>
    <s v="016-2100-000"/>
    <s v="Food Sales"/>
    <n v="8117.2273000000005"/>
    <n v="0"/>
    <s v="Daily Sales Import"/>
    <n v="-8117.2273000000005"/>
    <n v="8117.2273000000005"/>
    <x v="0"/>
    <s v="2100"/>
    <s v="000"/>
    <x v="0"/>
    <x v="1"/>
  </r>
  <r>
    <d v="2012-10-05T00:00:00"/>
    <s v="016-2210-000"/>
    <s v="Liquor Sales"/>
    <n v="3270.0659999999998"/>
    <n v="0"/>
    <s v="Daily Sales Import"/>
    <n v="-3270.0659999999998"/>
    <n v="3270.0659999999998"/>
    <x v="0"/>
    <s v="2210"/>
    <s v="000"/>
    <x v="0"/>
    <x v="1"/>
  </r>
  <r>
    <d v="2012-10-05T00:00:00"/>
    <s v="016-2220-000"/>
    <s v="Beer Sales"/>
    <n v="399.72149999999999"/>
    <n v="0"/>
    <s v="Daily Sales Import"/>
    <n v="-399.72149999999999"/>
    <n v="399.72149999999999"/>
    <x v="0"/>
    <s v="2220"/>
    <s v="000"/>
    <x v="0"/>
    <x v="1"/>
  </r>
  <r>
    <d v="2012-10-05T00:00:00"/>
    <s v="016-2230-000"/>
    <s v="Wine Sales"/>
    <n v="358.245"/>
    <n v="0"/>
    <s v="Daily Sales Import"/>
    <n v="-358.245"/>
    <n v="358.245"/>
    <x v="0"/>
    <s v="2230"/>
    <s v="000"/>
    <x v="0"/>
    <x v="1"/>
  </r>
  <r>
    <d v="2012-10-06T00:00:00"/>
    <s v="016-2100-000"/>
    <s v="Food Sales"/>
    <n v="5325.8613999999998"/>
    <n v="0"/>
    <s v="Daily Sales Import"/>
    <n v="-5325.8613999999998"/>
    <n v="5325.8613999999998"/>
    <x v="0"/>
    <s v="2100"/>
    <s v="000"/>
    <x v="0"/>
    <x v="1"/>
  </r>
  <r>
    <d v="2012-10-06T00:00:00"/>
    <s v="016-2210-000"/>
    <s v="Liquor Sales"/>
    <n v="1580.04"/>
    <n v="0"/>
    <s v="Daily Sales Import"/>
    <n v="-1580.04"/>
    <n v="1580.04"/>
    <x v="0"/>
    <s v="2210"/>
    <s v="000"/>
    <x v="0"/>
    <x v="1"/>
  </r>
  <r>
    <d v="2012-10-06T00:00:00"/>
    <s v="016-2220-000"/>
    <s v="Beer Sales"/>
    <n v="350.28449999999998"/>
    <n v="0"/>
    <s v="Daily Sales Import"/>
    <n v="-350.28449999999998"/>
    <n v="350.28449999999998"/>
    <x v="0"/>
    <s v="2220"/>
    <s v="000"/>
    <x v="0"/>
    <x v="1"/>
  </r>
  <r>
    <d v="2012-10-06T00:00:00"/>
    <s v="016-2230-000"/>
    <s v="Wine Sales"/>
    <n v="133.01"/>
    <n v="0"/>
    <s v="Daily Sales Import"/>
    <n v="-133.01"/>
    <n v="133.01"/>
    <x v="0"/>
    <s v="2230"/>
    <s v="000"/>
    <x v="0"/>
    <x v="1"/>
  </r>
  <r>
    <d v="2012-10-07T00:00:00"/>
    <s v="016-2100-000"/>
    <s v="Food Sales"/>
    <n v="2860.3937000000001"/>
    <n v="0"/>
    <s v="Daily Sales Import"/>
    <n v="-2860.3937000000001"/>
    <n v="2860.3937000000001"/>
    <x v="0"/>
    <s v="2100"/>
    <s v="000"/>
    <x v="0"/>
    <x v="1"/>
  </r>
  <r>
    <d v="2012-10-07T00:00:00"/>
    <s v="016-2210-000"/>
    <s v="Liquor Sales"/>
    <n v="1110.5319999999999"/>
    <n v="0"/>
    <s v="Daily Sales Import"/>
    <n v="-1110.5319999999999"/>
    <n v="1110.5319999999999"/>
    <x v="0"/>
    <s v="2210"/>
    <s v="000"/>
    <x v="0"/>
    <x v="1"/>
  </r>
  <r>
    <d v="2012-10-07T00:00:00"/>
    <s v="016-2220-000"/>
    <s v="Beer Sales"/>
    <n v="151.56"/>
    <n v="0"/>
    <s v="Daily Sales Import"/>
    <n v="-151.56"/>
    <n v="151.56"/>
    <x v="0"/>
    <s v="2220"/>
    <s v="000"/>
    <x v="0"/>
    <x v="1"/>
  </r>
  <r>
    <d v="2012-10-07T00:00:00"/>
    <s v="016-2230-000"/>
    <s v="Wine Sales"/>
    <n v="73.358999999999995"/>
    <n v="0"/>
    <s v="Daily Sales Import"/>
    <n v="-73.358999999999995"/>
    <n v="73.358999999999995"/>
    <x v="0"/>
    <s v="2230"/>
    <s v="000"/>
    <x v="0"/>
    <x v="1"/>
  </r>
  <r>
    <d v="2012-10-01T00:00:00"/>
    <s v="017-2100-000"/>
    <s v="Food Sales"/>
    <n v="3697.1592000000001"/>
    <n v="0"/>
    <s v="Daily Sales Import"/>
    <n v="-3697.1592000000001"/>
    <n v="3697.1592000000001"/>
    <x v="1"/>
    <s v="2100"/>
    <s v="000"/>
    <x v="0"/>
    <x v="1"/>
  </r>
  <r>
    <d v="2012-10-01T00:00:00"/>
    <s v="017-2210-000"/>
    <s v="Liquor Sales"/>
    <n v="854.61599999999999"/>
    <n v="0"/>
    <s v="Daily Sales Import"/>
    <n v="-854.61599999999999"/>
    <n v="854.61599999999999"/>
    <x v="1"/>
    <s v="2210"/>
    <s v="000"/>
    <x v="0"/>
    <x v="1"/>
  </r>
  <r>
    <d v="2012-10-01T00:00:00"/>
    <s v="017-2220-000"/>
    <s v="Beer Sales"/>
    <n v="275.02499999999998"/>
    <n v="0"/>
    <s v="Daily Sales Import"/>
    <n v="-275.02499999999998"/>
    <n v="275.02499999999998"/>
    <x v="1"/>
    <s v="2220"/>
    <s v="000"/>
    <x v="0"/>
    <x v="1"/>
  </r>
  <r>
    <d v="2012-10-01T00:00:00"/>
    <s v="017-2230-000"/>
    <s v="Wine Sales"/>
    <n v="97.313999999999993"/>
    <n v="0"/>
    <s v="Daily Sales Import"/>
    <n v="-97.313999999999993"/>
    <n v="97.313999999999993"/>
    <x v="1"/>
    <s v="2230"/>
    <s v="000"/>
    <x v="0"/>
    <x v="1"/>
  </r>
  <r>
    <d v="2012-10-02T00:00:00"/>
    <s v="017-2100-000"/>
    <s v="Food Sales"/>
    <n v="5546.799"/>
    <n v="0"/>
    <s v="Daily Sales Import"/>
    <n v="-5546.799"/>
    <n v="5546.799"/>
    <x v="1"/>
    <s v="2100"/>
    <s v="000"/>
    <x v="0"/>
    <x v="1"/>
  </r>
  <r>
    <d v="2012-10-02T00:00:00"/>
    <s v="017-2210-000"/>
    <s v="Liquor Sales"/>
    <n v="869.10749999999996"/>
    <n v="0"/>
    <s v="Daily Sales Import"/>
    <n v="-869.10749999999996"/>
    <n v="869.10749999999996"/>
    <x v="1"/>
    <s v="2210"/>
    <s v="000"/>
    <x v="0"/>
    <x v="1"/>
  </r>
  <r>
    <d v="2012-10-02T00:00:00"/>
    <s v="017-2220-000"/>
    <s v="Beer Sales"/>
    <n v="329.35500000000002"/>
    <n v="0"/>
    <s v="Daily Sales Import"/>
    <n v="-329.35500000000002"/>
    <n v="329.35500000000002"/>
    <x v="1"/>
    <s v="2220"/>
    <s v="000"/>
    <x v="0"/>
    <x v="1"/>
  </r>
  <r>
    <d v="2012-10-02T00:00:00"/>
    <s v="017-2230-000"/>
    <s v="Wine Sales"/>
    <n v="209.03399999999999"/>
    <n v="0"/>
    <s v="Daily Sales Import"/>
    <n v="-209.03399999999999"/>
    <n v="209.03399999999999"/>
    <x v="1"/>
    <s v="2230"/>
    <s v="000"/>
    <x v="0"/>
    <x v="1"/>
  </r>
  <r>
    <d v="2012-10-03T00:00:00"/>
    <s v="017-2100-000"/>
    <s v="Food Sales"/>
    <n v="8181.4569999999994"/>
    <n v="0"/>
    <s v="Daily Sales Import"/>
    <n v="-8181.4569999999994"/>
    <n v="8181.4569999999994"/>
    <x v="1"/>
    <s v="2100"/>
    <s v="000"/>
    <x v="0"/>
    <x v="1"/>
  </r>
  <r>
    <d v="2012-10-03T00:00:00"/>
    <s v="017-2210-000"/>
    <s v="Liquor Sales"/>
    <n v="2081.3910000000001"/>
    <n v="0"/>
    <s v="Daily Sales Import"/>
    <n v="-2081.3910000000001"/>
    <n v="2081.3910000000001"/>
    <x v="1"/>
    <s v="2210"/>
    <s v="000"/>
    <x v="0"/>
    <x v="1"/>
  </r>
  <r>
    <d v="2012-10-03T00:00:00"/>
    <s v="017-2220-000"/>
    <s v="Beer Sales"/>
    <n v="324.35249999999996"/>
    <n v="0"/>
    <s v="Daily Sales Import"/>
    <n v="-324.35249999999996"/>
    <n v="324.35249999999996"/>
    <x v="1"/>
    <s v="2220"/>
    <s v="000"/>
    <x v="0"/>
    <x v="1"/>
  </r>
  <r>
    <d v="2012-10-03T00:00:00"/>
    <s v="017-2230-000"/>
    <s v="Wine Sales"/>
    <n v="114.899"/>
    <n v="0"/>
    <s v="Daily Sales Import"/>
    <n v="-114.899"/>
    <n v="114.899"/>
    <x v="1"/>
    <s v="2230"/>
    <s v="000"/>
    <x v="0"/>
    <x v="1"/>
  </r>
  <r>
    <d v="2012-10-04T00:00:00"/>
    <s v="017-2100-000"/>
    <s v="Food Sales"/>
    <n v="4040.1639999999998"/>
    <n v="0"/>
    <s v="Daily Sales Import"/>
    <n v="-4040.1639999999998"/>
    <n v="4040.1639999999998"/>
    <x v="1"/>
    <s v="2100"/>
    <s v="000"/>
    <x v="0"/>
    <x v="1"/>
  </r>
  <r>
    <d v="2012-10-04T00:00:00"/>
    <s v="017-2210-000"/>
    <s v="Liquor Sales"/>
    <n v="2343.2220000000002"/>
    <n v="0"/>
    <s v="Daily Sales Import"/>
    <n v="-2343.2220000000002"/>
    <n v="2343.2220000000002"/>
    <x v="1"/>
    <s v="2210"/>
    <s v="000"/>
    <x v="0"/>
    <x v="1"/>
  </r>
  <r>
    <d v="2012-10-04T00:00:00"/>
    <s v="017-2220-000"/>
    <s v="Beer Sales"/>
    <n v="580.58000000000004"/>
    <n v="0"/>
    <s v="Daily Sales Import"/>
    <n v="-580.58000000000004"/>
    <n v="580.58000000000004"/>
    <x v="1"/>
    <s v="2220"/>
    <s v="000"/>
    <x v="0"/>
    <x v="1"/>
  </r>
  <r>
    <d v="2012-10-04T00:00:00"/>
    <s v="017-2230-000"/>
    <s v="Wine Sales"/>
    <n v="83.386499999999984"/>
    <n v="0"/>
    <s v="Daily Sales Import"/>
    <n v="-83.386499999999984"/>
    <n v="83.386499999999984"/>
    <x v="1"/>
    <s v="2230"/>
    <s v="000"/>
    <x v="0"/>
    <x v="1"/>
  </r>
  <r>
    <d v="2012-10-05T00:00:00"/>
    <s v="017-2100-000"/>
    <s v="Food Sales"/>
    <n v="8425.0334999999995"/>
    <n v="0"/>
    <s v="Daily Sales Import"/>
    <n v="-8425.0334999999995"/>
    <n v="8425.0334999999995"/>
    <x v="1"/>
    <s v="2100"/>
    <s v="000"/>
    <x v="0"/>
    <x v="1"/>
  </r>
  <r>
    <d v="2012-10-05T00:00:00"/>
    <s v="017-2210-000"/>
    <s v="Liquor Sales"/>
    <n v="3455.5679999999998"/>
    <n v="0"/>
    <s v="Daily Sales Import"/>
    <n v="-3455.5679999999998"/>
    <n v="3455.5679999999998"/>
    <x v="1"/>
    <s v="2210"/>
    <s v="000"/>
    <x v="0"/>
    <x v="1"/>
  </r>
  <r>
    <d v="2012-10-05T00:00:00"/>
    <s v="017-2220-000"/>
    <s v="Beer Sales"/>
    <n v="438.1"/>
    <n v="0"/>
    <s v="Daily Sales Import"/>
    <n v="-438.1"/>
    <n v="438.1"/>
    <x v="1"/>
    <s v="2220"/>
    <s v="000"/>
    <x v="0"/>
    <x v="1"/>
  </r>
  <r>
    <d v="2012-10-05T00:00:00"/>
    <s v="017-2230-000"/>
    <s v="Wine Sales"/>
    <n v="121.045"/>
    <n v="0"/>
    <s v="Daily Sales Import"/>
    <n v="-121.045"/>
    <n v="121.045"/>
    <x v="1"/>
    <s v="2230"/>
    <s v="000"/>
    <x v="0"/>
    <x v="1"/>
  </r>
  <r>
    <d v="2012-10-06T00:00:00"/>
    <s v="017-2100-000"/>
    <s v="Food Sales"/>
    <n v="4601.7196000000004"/>
    <n v="0"/>
    <s v="Daily Sales Import"/>
    <n v="-4601.7196000000004"/>
    <n v="4601.7196000000004"/>
    <x v="1"/>
    <s v="2100"/>
    <s v="000"/>
    <x v="0"/>
    <x v="1"/>
  </r>
  <r>
    <d v="2012-10-06T00:00:00"/>
    <s v="017-2210-000"/>
    <s v="Liquor Sales"/>
    <n v="1738.8675000000001"/>
    <n v="0"/>
    <s v="Daily Sales Import"/>
    <n v="-1738.8675000000001"/>
    <n v="1738.8675000000001"/>
    <x v="1"/>
    <s v="2210"/>
    <s v="000"/>
    <x v="0"/>
    <x v="1"/>
  </r>
  <r>
    <d v="2012-10-06T00:00:00"/>
    <s v="017-2220-000"/>
    <s v="Beer Sales"/>
    <n v="179.41"/>
    <n v="0"/>
    <s v="Daily Sales Import"/>
    <n v="-179.41"/>
    <n v="179.41"/>
    <x v="1"/>
    <s v="2220"/>
    <s v="000"/>
    <x v="0"/>
    <x v="1"/>
  </r>
  <r>
    <d v="2012-10-06T00:00:00"/>
    <s v="017-2230-000"/>
    <s v="Wine Sales"/>
    <n v="97.350000000000009"/>
    <n v="0"/>
    <s v="Daily Sales Import"/>
    <n v="-97.350000000000009"/>
    <n v="97.350000000000009"/>
    <x v="1"/>
    <s v="2230"/>
    <s v="000"/>
    <x v="0"/>
    <x v="1"/>
  </r>
  <r>
    <d v="2012-10-07T00:00:00"/>
    <s v="017-2100-000"/>
    <s v="Food Sales"/>
    <n v="3448.5619999999999"/>
    <n v="0"/>
    <s v="Daily Sales Import"/>
    <n v="-3448.5619999999999"/>
    <n v="3448.5619999999999"/>
    <x v="1"/>
    <s v="2100"/>
    <s v="000"/>
    <x v="0"/>
    <x v="1"/>
  </r>
  <r>
    <d v="2012-10-07T00:00:00"/>
    <s v="017-2210-000"/>
    <s v="Liquor Sales"/>
    <n v="723.51499999999999"/>
    <n v="0"/>
    <s v="Daily Sales Import"/>
    <n v="-723.51499999999999"/>
    <n v="723.51499999999999"/>
    <x v="1"/>
    <s v="2210"/>
    <s v="000"/>
    <x v="0"/>
    <x v="1"/>
  </r>
  <r>
    <d v="2012-10-07T00:00:00"/>
    <s v="017-2220-000"/>
    <s v="Beer Sales"/>
    <n v="97.625000000000014"/>
    <n v="0"/>
    <s v="Daily Sales Import"/>
    <n v="-97.625000000000014"/>
    <n v="97.625000000000014"/>
    <x v="1"/>
    <s v="2220"/>
    <s v="000"/>
    <x v="0"/>
    <x v="1"/>
  </r>
  <r>
    <d v="2012-10-07T00:00:00"/>
    <s v="017-2230-000"/>
    <s v="Wine Sales"/>
    <n v="52.3215"/>
    <n v="0"/>
    <s v="Daily Sales Import"/>
    <n v="-52.3215"/>
    <n v="52.3215"/>
    <x v="1"/>
    <s v="2230"/>
    <s v="000"/>
    <x v="0"/>
    <x v="1"/>
  </r>
  <r>
    <d v="2012-10-01T00:00:00"/>
    <s v="018-2100-000"/>
    <s v="Food Sales"/>
    <n v="6011.7424999999994"/>
    <n v="0"/>
    <s v="Daily Sales Import"/>
    <n v="-6011.7424999999994"/>
    <n v="6011.7424999999994"/>
    <x v="2"/>
    <s v="2100"/>
    <s v="000"/>
    <x v="0"/>
    <x v="1"/>
  </r>
  <r>
    <d v="2012-10-01T00:00:00"/>
    <s v="018-2210-000"/>
    <s v="Liquor Sales"/>
    <n v="666.88249999999994"/>
    <n v="0"/>
    <s v="Daily Sales Import"/>
    <n v="-666.88249999999994"/>
    <n v="666.88249999999994"/>
    <x v="2"/>
    <s v="2210"/>
    <s v="000"/>
    <x v="0"/>
    <x v="1"/>
  </r>
  <r>
    <d v="2012-10-01T00:00:00"/>
    <s v="018-2220-000"/>
    <s v="Beer Sales"/>
    <n v="191.58999999999997"/>
    <n v="0"/>
    <s v="Daily Sales Import"/>
    <n v="-191.58999999999997"/>
    <n v="191.58999999999997"/>
    <x v="2"/>
    <s v="2220"/>
    <s v="000"/>
    <x v="0"/>
    <x v="1"/>
  </r>
  <r>
    <d v="2012-10-01T00:00:00"/>
    <s v="018-2230-000"/>
    <s v="Wine Sales"/>
    <n v="55.308"/>
    <n v="0"/>
    <s v="Daily Sales Import"/>
    <n v="-55.308"/>
    <n v="55.308"/>
    <x v="2"/>
    <s v="2230"/>
    <s v="000"/>
    <x v="0"/>
    <x v="1"/>
  </r>
  <r>
    <d v="2012-10-02T00:00:00"/>
    <s v="018-2100-000"/>
    <s v="Food Sales"/>
    <n v="5622.67"/>
    <n v="0"/>
    <s v="Daily Sales Import"/>
    <n v="-5622.67"/>
    <n v="5622.67"/>
    <x v="2"/>
    <s v="2100"/>
    <s v="000"/>
    <x v="0"/>
    <x v="1"/>
  </r>
  <r>
    <d v="2012-10-02T00:00:00"/>
    <s v="018-2210-000"/>
    <s v="Liquor Sales"/>
    <n v="747.28599999999994"/>
    <n v="0"/>
    <s v="Daily Sales Import"/>
    <n v="-747.28599999999994"/>
    <n v="747.28599999999994"/>
    <x v="2"/>
    <s v="2210"/>
    <s v="000"/>
    <x v="0"/>
    <x v="1"/>
  </r>
  <r>
    <d v="2012-10-02T00:00:00"/>
    <s v="018-2220-000"/>
    <s v="Beer Sales"/>
    <n v="113.52000000000001"/>
    <n v="0"/>
    <s v="Daily Sales Import"/>
    <n v="-113.52000000000001"/>
    <n v="113.52000000000001"/>
    <x v="2"/>
    <s v="2220"/>
    <s v="000"/>
    <x v="0"/>
    <x v="1"/>
  </r>
  <r>
    <d v="2012-10-02T00:00:00"/>
    <s v="018-2230-000"/>
    <s v="Wine Sales"/>
    <n v="37.088000000000001"/>
    <n v="0"/>
    <s v="Daily Sales Import"/>
    <n v="-37.088000000000001"/>
    <n v="37.088000000000001"/>
    <x v="2"/>
    <s v="2230"/>
    <s v="000"/>
    <x v="0"/>
    <x v="1"/>
  </r>
  <r>
    <d v="2012-10-03T00:00:00"/>
    <s v="018-2100-000"/>
    <s v="Food Sales"/>
    <n v="4561.9803000000002"/>
    <n v="0"/>
    <s v="Daily Sales Import"/>
    <n v="-4561.9803000000002"/>
    <n v="4561.9803000000002"/>
    <x v="2"/>
    <s v="2100"/>
    <s v="000"/>
    <x v="0"/>
    <x v="1"/>
  </r>
  <r>
    <d v="2012-10-03T00:00:00"/>
    <s v="018-2210-000"/>
    <s v="Liquor Sales"/>
    <n v="792.22499999999991"/>
    <n v="0"/>
    <s v="Daily Sales Import"/>
    <n v="-792.22499999999991"/>
    <n v="792.22499999999991"/>
    <x v="2"/>
    <s v="2210"/>
    <s v="000"/>
    <x v="0"/>
    <x v="1"/>
  </r>
  <r>
    <d v="2012-10-03T00:00:00"/>
    <s v="018-2220-000"/>
    <s v="Beer Sales"/>
    <n v="206.26650000000001"/>
    <n v="0"/>
    <s v="Daily Sales Import"/>
    <n v="-206.26650000000001"/>
    <n v="206.26650000000001"/>
    <x v="2"/>
    <s v="2220"/>
    <s v="000"/>
    <x v="0"/>
    <x v="1"/>
  </r>
  <r>
    <d v="2012-10-03T00:00:00"/>
    <s v="018-2230-000"/>
    <s v="Wine Sales"/>
    <n v="57.337500000000006"/>
    <n v="0"/>
    <s v="Daily Sales Import"/>
    <n v="-57.337500000000006"/>
    <n v="57.337500000000006"/>
    <x v="2"/>
    <s v="2230"/>
    <s v="000"/>
    <x v="0"/>
    <x v="1"/>
  </r>
  <r>
    <d v="2012-10-04T00:00:00"/>
    <s v="018-2100-000"/>
    <s v="Food Sales"/>
    <n v="5662.241"/>
    <n v="0"/>
    <s v="Daily Sales Import"/>
    <n v="-5662.241"/>
    <n v="5662.241"/>
    <x v="2"/>
    <s v="2100"/>
    <s v="000"/>
    <x v="0"/>
    <x v="1"/>
  </r>
  <r>
    <d v="2012-10-04T00:00:00"/>
    <s v="018-2210-000"/>
    <s v="Liquor Sales"/>
    <n v="1645.7324999999998"/>
    <n v="0"/>
    <s v="Daily Sales Import"/>
    <n v="-1645.7324999999998"/>
    <n v="1645.7324999999998"/>
    <x v="2"/>
    <s v="2210"/>
    <s v="000"/>
    <x v="0"/>
    <x v="1"/>
  </r>
  <r>
    <d v="2012-10-04T00:00:00"/>
    <s v="018-2220-000"/>
    <s v="Beer Sales"/>
    <n v="266.35550000000001"/>
    <n v="0"/>
    <s v="Daily Sales Import"/>
    <n v="-266.35550000000001"/>
    <n v="266.35550000000001"/>
    <x v="2"/>
    <s v="2220"/>
    <s v="000"/>
    <x v="0"/>
    <x v="1"/>
  </r>
  <r>
    <d v="2012-10-04T00:00:00"/>
    <s v="018-2230-000"/>
    <s v="Wine Sales"/>
    <n v="115.291"/>
    <n v="0"/>
    <s v="Daily Sales Import"/>
    <n v="-115.291"/>
    <n v="115.291"/>
    <x v="2"/>
    <s v="2230"/>
    <s v="000"/>
    <x v="0"/>
    <x v="1"/>
  </r>
  <r>
    <d v="2012-10-05T00:00:00"/>
    <s v="018-2100-000"/>
    <s v="Food Sales"/>
    <n v="17573.907499999998"/>
    <n v="0"/>
    <s v="Daily Sales Import"/>
    <n v="-17573.907499999998"/>
    <n v="17573.907499999998"/>
    <x v="2"/>
    <s v="2100"/>
    <s v="000"/>
    <x v="0"/>
    <x v="1"/>
  </r>
  <r>
    <d v="2012-10-05T00:00:00"/>
    <s v="018-2210-000"/>
    <s v="Liquor Sales"/>
    <n v="3983.3359999999998"/>
    <n v="0"/>
    <s v="Daily Sales Import"/>
    <n v="-3983.3359999999998"/>
    <n v="3983.3359999999998"/>
    <x v="2"/>
    <s v="2210"/>
    <s v="000"/>
    <x v="0"/>
    <x v="1"/>
  </r>
  <r>
    <d v="2012-10-05T00:00:00"/>
    <s v="018-2220-000"/>
    <s v="Beer Sales"/>
    <n v="905.74"/>
    <n v="0"/>
    <s v="Daily Sales Import"/>
    <n v="-905.74"/>
    <n v="905.74"/>
    <x v="2"/>
    <s v="2220"/>
    <s v="000"/>
    <x v="0"/>
    <x v="1"/>
  </r>
  <r>
    <d v="2012-10-05T00:00:00"/>
    <s v="018-2230-000"/>
    <s v="Wine Sales"/>
    <n v="169.0205"/>
    <n v="0"/>
    <s v="Daily Sales Import"/>
    <n v="-169.0205"/>
    <n v="169.0205"/>
    <x v="2"/>
    <s v="2230"/>
    <s v="000"/>
    <x v="0"/>
    <x v="1"/>
  </r>
  <r>
    <d v="2012-10-06T00:00:00"/>
    <s v="018-2100-000"/>
    <s v="Food Sales"/>
    <n v="16624.012499999997"/>
    <n v="0"/>
    <s v="Daily Sales Import"/>
    <n v="-16624.012499999997"/>
    <n v="16624.012499999997"/>
    <x v="2"/>
    <s v="2100"/>
    <s v="000"/>
    <x v="0"/>
    <x v="1"/>
  </r>
  <r>
    <d v="2012-10-06T00:00:00"/>
    <s v="018-2210-000"/>
    <s v="Liquor Sales"/>
    <n v="3710.9440000000004"/>
    <n v="0"/>
    <s v="Daily Sales Import"/>
    <n v="-3710.9440000000004"/>
    <n v="3710.9440000000004"/>
    <x v="2"/>
    <s v="2210"/>
    <s v="000"/>
    <x v="0"/>
    <x v="1"/>
  </r>
  <r>
    <d v="2012-10-06T00:00:00"/>
    <s v="018-2220-000"/>
    <s v="Beer Sales"/>
    <n v="753.24600000000009"/>
    <n v="0"/>
    <s v="Daily Sales Import"/>
    <n v="-753.24600000000009"/>
    <n v="753.24600000000009"/>
    <x v="2"/>
    <s v="2220"/>
    <s v="000"/>
    <x v="0"/>
    <x v="1"/>
  </r>
  <r>
    <d v="2012-10-06T00:00:00"/>
    <s v="018-2230-000"/>
    <s v="Wine Sales"/>
    <n v="75.451499999999996"/>
    <n v="0"/>
    <s v="Daily Sales Import"/>
    <n v="-75.451499999999996"/>
    <n v="75.451499999999996"/>
    <x v="2"/>
    <s v="2230"/>
    <s v="000"/>
    <x v="0"/>
    <x v="1"/>
  </r>
  <r>
    <d v="2012-10-07T00:00:00"/>
    <s v="018-2100-000"/>
    <s v="Food Sales"/>
    <n v="12814.387499999999"/>
    <n v="0"/>
    <s v="Daily Sales Import"/>
    <n v="-12814.387499999999"/>
    <n v="12814.387499999999"/>
    <x v="2"/>
    <s v="2100"/>
    <s v="000"/>
    <x v="0"/>
    <x v="1"/>
  </r>
  <r>
    <d v="2012-10-07T00:00:00"/>
    <s v="018-2210-000"/>
    <s v="Liquor Sales"/>
    <n v="1751.7954999999999"/>
    <n v="0"/>
    <s v="Daily Sales Import"/>
    <n v="-1751.7954999999999"/>
    <n v="1751.7954999999999"/>
    <x v="2"/>
    <s v="2210"/>
    <s v="000"/>
    <x v="0"/>
    <x v="1"/>
  </r>
  <r>
    <d v="2012-10-07T00:00:00"/>
    <s v="018-2220-000"/>
    <s v="Beer Sales"/>
    <n v="424.61549999999994"/>
    <n v="0"/>
    <s v="Daily Sales Import"/>
    <n v="-424.61549999999994"/>
    <n v="424.61549999999994"/>
    <x v="2"/>
    <s v="2220"/>
    <s v="000"/>
    <x v="0"/>
    <x v="1"/>
  </r>
  <r>
    <d v="2012-10-07T00:00:00"/>
    <s v="018-2230-000"/>
    <s v="Wine Sales"/>
    <n v="71.339500000000001"/>
    <n v="0"/>
    <s v="Daily Sales Import"/>
    <n v="-71.339500000000001"/>
    <n v="71.339500000000001"/>
    <x v="2"/>
    <s v="2230"/>
    <s v="000"/>
    <x v="0"/>
    <x v="1"/>
  </r>
  <r>
    <d v="2012-10-08T00:00:00"/>
    <s v="016-2100-000"/>
    <s v="Food Sales"/>
    <n v="2444.9328"/>
    <n v="0"/>
    <s v="Daily Sales Import"/>
    <n v="-2444.9328"/>
    <n v="2444.9328"/>
    <x v="0"/>
    <s v="2100"/>
    <s v="000"/>
    <x v="0"/>
    <x v="1"/>
  </r>
  <r>
    <d v="2012-10-08T00:00:00"/>
    <s v="016-2210-000"/>
    <s v="Liquor Sales"/>
    <n v="434.25599999999997"/>
    <n v="0"/>
    <s v="Daily Sales Import"/>
    <n v="-434.25599999999997"/>
    <n v="434.25599999999997"/>
    <x v="0"/>
    <s v="2210"/>
    <s v="000"/>
    <x v="0"/>
    <x v="1"/>
  </r>
  <r>
    <d v="2012-10-08T00:00:00"/>
    <s v="016-2220-000"/>
    <s v="Beer Sales"/>
    <n v="94.275000000000006"/>
    <n v="0"/>
    <s v="Daily Sales Import"/>
    <n v="-94.275000000000006"/>
    <n v="94.275000000000006"/>
    <x v="0"/>
    <s v="2220"/>
    <s v="000"/>
    <x v="0"/>
    <x v="1"/>
  </r>
  <r>
    <d v="2012-10-08T00:00:00"/>
    <s v="016-2230-000"/>
    <s v="Wine Sales"/>
    <n v="12.65"/>
    <n v="0"/>
    <s v="Daily Sales Import"/>
    <n v="-12.65"/>
    <n v="12.65"/>
    <x v="0"/>
    <s v="2230"/>
    <s v="000"/>
    <x v="0"/>
    <x v="1"/>
  </r>
  <r>
    <d v="2012-10-09T00:00:00"/>
    <s v="016-2100-000"/>
    <s v="Food Sales"/>
    <n v="4916.0748000000003"/>
    <n v="0"/>
    <s v="Daily Sales Import"/>
    <n v="-4916.0748000000003"/>
    <n v="4916.0748000000003"/>
    <x v="0"/>
    <s v="2100"/>
    <s v="000"/>
    <x v="0"/>
    <x v="1"/>
  </r>
  <r>
    <d v="2012-10-09T00:00:00"/>
    <s v="016-2210-000"/>
    <s v="Liquor Sales"/>
    <n v="1910.1270000000002"/>
    <n v="0"/>
    <s v="Daily Sales Import"/>
    <n v="-1910.1270000000002"/>
    <n v="1910.1270000000002"/>
    <x v="0"/>
    <s v="2210"/>
    <s v="000"/>
    <x v="0"/>
    <x v="1"/>
  </r>
  <r>
    <d v="2012-10-09T00:00:00"/>
    <s v="016-2220-000"/>
    <s v="Beer Sales"/>
    <n v="758.44799999999998"/>
    <n v="0"/>
    <s v="Daily Sales Import"/>
    <n v="-758.44799999999998"/>
    <n v="758.44799999999998"/>
    <x v="0"/>
    <s v="2220"/>
    <s v="000"/>
    <x v="0"/>
    <x v="1"/>
  </r>
  <r>
    <d v="2012-10-09T00:00:00"/>
    <s v="016-2230-000"/>
    <s v="Wine Sales"/>
    <n v="148.35999999999999"/>
    <n v="0"/>
    <s v="Daily Sales Import"/>
    <n v="-148.35999999999999"/>
    <n v="148.35999999999999"/>
    <x v="0"/>
    <s v="2230"/>
    <s v="000"/>
    <x v="0"/>
    <x v="1"/>
  </r>
  <r>
    <d v="2012-10-10T00:00:00"/>
    <s v="016-2100-000"/>
    <s v="Food Sales"/>
    <n v="1459.89"/>
    <n v="0"/>
    <s v="Daily Sales Import"/>
    <n v="-1459.89"/>
    <n v="1459.89"/>
    <x v="0"/>
    <s v="2100"/>
    <s v="000"/>
    <x v="0"/>
    <x v="1"/>
  </r>
  <r>
    <d v="2012-10-10T00:00:00"/>
    <s v="016-2210-000"/>
    <s v="Liquor Sales"/>
    <n v="407.68000000000006"/>
    <n v="0"/>
    <s v="Daily Sales Import"/>
    <n v="-407.68000000000006"/>
    <n v="407.68000000000006"/>
    <x v="0"/>
    <s v="2210"/>
    <s v="000"/>
    <x v="0"/>
    <x v="1"/>
  </r>
  <r>
    <d v="2012-10-10T00:00:00"/>
    <s v="016-2220-000"/>
    <s v="Beer Sales"/>
    <n v="89.131500000000003"/>
    <n v="0"/>
    <s v="Daily Sales Import"/>
    <n v="-89.131500000000003"/>
    <n v="89.131500000000003"/>
    <x v="0"/>
    <s v="2220"/>
    <s v="000"/>
    <x v="0"/>
    <x v="1"/>
  </r>
  <r>
    <d v="2012-10-10T00:00:00"/>
    <s v="016-2230-000"/>
    <s v="Wine Sales"/>
    <n v="50.274000000000001"/>
    <n v="0"/>
    <s v="Daily Sales Import"/>
    <n v="-50.274000000000001"/>
    <n v="50.274000000000001"/>
    <x v="0"/>
    <s v="2230"/>
    <s v="000"/>
    <x v="0"/>
    <x v="1"/>
  </r>
  <r>
    <d v="2012-10-11T00:00:00"/>
    <s v="016-2100-000"/>
    <s v="Food Sales"/>
    <n v="3727.3049999999998"/>
    <n v="0"/>
    <s v="Daily Sales Import"/>
    <n v="-3727.3049999999998"/>
    <n v="3727.3049999999998"/>
    <x v="0"/>
    <s v="2100"/>
    <s v="000"/>
    <x v="0"/>
    <x v="1"/>
  </r>
  <r>
    <d v="2012-10-11T00:00:00"/>
    <s v="016-2210-000"/>
    <s v="Liquor Sales"/>
    <n v="620.23500000000001"/>
    <n v="0"/>
    <s v="Daily Sales Import"/>
    <n v="-620.23500000000001"/>
    <n v="620.23500000000001"/>
    <x v="0"/>
    <s v="2210"/>
    <s v="000"/>
    <x v="0"/>
    <x v="1"/>
  </r>
  <r>
    <d v="2012-10-11T00:00:00"/>
    <s v="016-2220-000"/>
    <s v="Beer Sales"/>
    <n v="193.67100000000002"/>
    <n v="0"/>
    <s v="Daily Sales Import"/>
    <n v="-193.67100000000002"/>
    <n v="193.67100000000002"/>
    <x v="0"/>
    <s v="2220"/>
    <s v="000"/>
    <x v="0"/>
    <x v="1"/>
  </r>
  <r>
    <d v="2012-10-11T00:00:00"/>
    <s v="016-2230-000"/>
    <s v="Wine Sales"/>
    <n v="76.53"/>
    <n v="0"/>
    <s v="Daily Sales Import"/>
    <n v="-76.53"/>
    <n v="76.53"/>
    <x v="0"/>
    <s v="2230"/>
    <s v="000"/>
    <x v="0"/>
    <x v="1"/>
  </r>
  <r>
    <d v="2012-10-12T00:00:00"/>
    <s v="016-2100-000"/>
    <s v="Food Sales"/>
    <n v="5405.6280999999999"/>
    <n v="0"/>
    <s v="Daily Sales Import"/>
    <n v="-5405.6280999999999"/>
    <n v="5405.6280999999999"/>
    <x v="0"/>
    <s v="2100"/>
    <s v="000"/>
    <x v="0"/>
    <x v="1"/>
  </r>
  <r>
    <d v="2012-10-12T00:00:00"/>
    <s v="016-2210-000"/>
    <s v="Liquor Sales"/>
    <n v="1398.4336000000001"/>
    <n v="0"/>
    <s v="Daily Sales Import"/>
    <n v="-1398.4336000000001"/>
    <n v="1398.4336000000001"/>
    <x v="0"/>
    <s v="2210"/>
    <s v="000"/>
    <x v="0"/>
    <x v="1"/>
  </r>
  <r>
    <d v="2012-10-12T00:00:00"/>
    <s v="016-2220-000"/>
    <s v="Beer Sales"/>
    <n v="223.452"/>
    <n v="0"/>
    <s v="Daily Sales Import"/>
    <n v="-223.452"/>
    <n v="223.452"/>
    <x v="0"/>
    <s v="2220"/>
    <s v="000"/>
    <x v="0"/>
    <x v="1"/>
  </r>
  <r>
    <d v="2012-10-12T00:00:00"/>
    <s v="016-2230-000"/>
    <s v="Wine Sales"/>
    <n v="84.725999999999999"/>
    <n v="0"/>
    <s v="Daily Sales Import"/>
    <n v="-84.725999999999999"/>
    <n v="84.725999999999999"/>
    <x v="0"/>
    <s v="2230"/>
    <s v="000"/>
    <x v="0"/>
    <x v="1"/>
  </r>
  <r>
    <d v="2012-10-13T00:00:00"/>
    <s v="016-2100-000"/>
    <s v="Food Sales"/>
    <n v="7468.7217999999993"/>
    <n v="0"/>
    <s v="Daily Sales Import"/>
    <n v="-7468.7217999999993"/>
    <n v="7468.7217999999993"/>
    <x v="0"/>
    <s v="2100"/>
    <s v="000"/>
    <x v="0"/>
    <x v="1"/>
  </r>
  <r>
    <d v="2012-10-13T00:00:00"/>
    <s v="016-2210-000"/>
    <s v="Liquor Sales"/>
    <n v="2433.527"/>
    <n v="0"/>
    <s v="Daily Sales Import"/>
    <n v="-2433.527"/>
    <n v="2433.527"/>
    <x v="0"/>
    <s v="2210"/>
    <s v="000"/>
    <x v="0"/>
    <x v="1"/>
  </r>
  <r>
    <d v="2012-10-13T00:00:00"/>
    <s v="016-2220-000"/>
    <s v="Beer Sales"/>
    <n v="371.85300000000001"/>
    <n v="0"/>
    <s v="Daily Sales Import"/>
    <n v="-371.85300000000001"/>
    <n v="371.85300000000001"/>
    <x v="0"/>
    <s v="2220"/>
    <s v="000"/>
    <x v="0"/>
    <x v="1"/>
  </r>
  <r>
    <d v="2012-10-13T00:00:00"/>
    <s v="016-2230-000"/>
    <s v="Wine Sales"/>
    <n v="111.315"/>
    <n v="0"/>
    <s v="Daily Sales Import"/>
    <n v="-111.315"/>
    <n v="111.315"/>
    <x v="0"/>
    <s v="2230"/>
    <s v="000"/>
    <x v="0"/>
    <x v="1"/>
  </r>
  <r>
    <d v="2012-10-14T00:00:00"/>
    <s v="016-2100-000"/>
    <s v="Food Sales"/>
    <n v="4212.2025999999996"/>
    <n v="0"/>
    <s v="Daily Sales Import"/>
    <n v="-4212.2025999999996"/>
    <n v="4212.2025999999996"/>
    <x v="0"/>
    <s v="2100"/>
    <s v="000"/>
    <x v="0"/>
    <x v="1"/>
  </r>
  <r>
    <d v="2012-10-14T00:00:00"/>
    <s v="016-2210-000"/>
    <s v="Liquor Sales"/>
    <n v="562.25"/>
    <n v="0"/>
    <s v="Daily Sales Import"/>
    <n v="-562.25"/>
    <n v="562.25"/>
    <x v="0"/>
    <s v="2210"/>
    <s v="000"/>
    <x v="0"/>
    <x v="1"/>
  </r>
  <r>
    <d v="2012-10-14T00:00:00"/>
    <s v="016-2220-000"/>
    <s v="Beer Sales"/>
    <n v="275.18400000000003"/>
    <n v="0"/>
    <s v="Daily Sales Import"/>
    <n v="-275.18400000000003"/>
    <n v="275.18400000000003"/>
    <x v="0"/>
    <s v="2220"/>
    <s v="000"/>
    <x v="0"/>
    <x v="1"/>
  </r>
  <r>
    <d v="2012-10-14T00:00:00"/>
    <s v="016-2230-000"/>
    <s v="Wine Sales"/>
    <n v="87.184999999999988"/>
    <n v="0"/>
    <s v="Daily Sales Import"/>
    <n v="-87.184999999999988"/>
    <n v="87.184999999999988"/>
    <x v="0"/>
    <s v="2230"/>
    <s v="000"/>
    <x v="0"/>
    <x v="1"/>
  </r>
  <r>
    <d v="2012-10-08T00:00:00"/>
    <s v="017-2100-000"/>
    <s v="Food Sales"/>
    <n v="4060.1917999999996"/>
    <n v="0"/>
    <s v="Daily Sales Import"/>
    <n v="-4060.1917999999996"/>
    <n v="4060.1917999999996"/>
    <x v="1"/>
    <s v="2100"/>
    <s v="000"/>
    <x v="0"/>
    <x v="1"/>
  </r>
  <r>
    <d v="2012-10-08T00:00:00"/>
    <s v="017-2210-000"/>
    <s v="Liquor Sales"/>
    <n v="984.84750000000008"/>
    <n v="0"/>
    <s v="Daily Sales Import"/>
    <n v="-984.84750000000008"/>
    <n v="984.84750000000008"/>
    <x v="1"/>
    <s v="2210"/>
    <s v="000"/>
    <x v="0"/>
    <x v="1"/>
  </r>
  <r>
    <d v="2012-10-08T00:00:00"/>
    <s v="017-2220-000"/>
    <s v="Beer Sales"/>
    <n v="282.7"/>
    <n v="0"/>
    <s v="Daily Sales Import"/>
    <n v="-282.7"/>
    <n v="282.7"/>
    <x v="1"/>
    <s v="2220"/>
    <s v="000"/>
    <x v="0"/>
    <x v="1"/>
  </r>
  <r>
    <d v="2012-10-08T00:00:00"/>
    <s v="017-2230-000"/>
    <s v="Wine Sales"/>
    <n v="66.33"/>
    <n v="0"/>
    <s v="Daily Sales Import"/>
    <n v="-66.33"/>
    <n v="66.33"/>
    <x v="1"/>
    <s v="2230"/>
    <s v="000"/>
    <x v="0"/>
    <x v="1"/>
  </r>
  <r>
    <d v="2012-10-09T00:00:00"/>
    <s v="017-2100-000"/>
    <s v="Food Sales"/>
    <n v="5335.0159999999996"/>
    <n v="0"/>
    <s v="Daily Sales Import"/>
    <n v="-5335.0159999999996"/>
    <n v="5335.0159999999996"/>
    <x v="1"/>
    <s v="2100"/>
    <s v="000"/>
    <x v="0"/>
    <x v="1"/>
  </r>
  <r>
    <d v="2012-10-09T00:00:00"/>
    <s v="017-2210-000"/>
    <s v="Liquor Sales"/>
    <n v="1119.79"/>
    <n v="0"/>
    <s v="Daily Sales Import"/>
    <n v="-1119.79"/>
    <n v="1119.79"/>
    <x v="1"/>
    <s v="2210"/>
    <s v="000"/>
    <x v="0"/>
    <x v="1"/>
  </r>
  <r>
    <d v="2012-10-09T00:00:00"/>
    <s v="017-2220-000"/>
    <s v="Beer Sales"/>
    <n v="549.56000000000006"/>
    <n v="0"/>
    <s v="Daily Sales Import"/>
    <n v="-549.56000000000006"/>
    <n v="549.56000000000006"/>
    <x v="1"/>
    <s v="2220"/>
    <s v="000"/>
    <x v="0"/>
    <x v="1"/>
  </r>
  <r>
    <d v="2012-10-09T00:00:00"/>
    <s v="017-2230-000"/>
    <s v="Wine Sales"/>
    <n v="88.124499999999998"/>
    <n v="0"/>
    <s v="Daily Sales Import"/>
    <n v="-88.124499999999998"/>
    <n v="88.124499999999998"/>
    <x v="1"/>
    <s v="2230"/>
    <s v="000"/>
    <x v="0"/>
    <x v="1"/>
  </r>
  <r>
    <d v="2012-10-10T00:00:00"/>
    <s v="017-2100-000"/>
    <s v="Food Sales"/>
    <n v="5368.3874999999998"/>
    <n v="0"/>
    <s v="Daily Sales Import"/>
    <n v="-5368.3874999999998"/>
    <n v="5368.3874999999998"/>
    <x v="1"/>
    <s v="2100"/>
    <s v="000"/>
    <x v="0"/>
    <x v="1"/>
  </r>
  <r>
    <d v="2012-10-10T00:00:00"/>
    <s v="017-2210-000"/>
    <s v="Liquor Sales"/>
    <n v="1455.45"/>
    <n v="0"/>
    <s v="Daily Sales Import"/>
    <n v="-1455.45"/>
    <n v="1455.45"/>
    <x v="1"/>
    <s v="2210"/>
    <s v="000"/>
    <x v="0"/>
    <x v="1"/>
  </r>
  <r>
    <d v="2012-10-10T00:00:00"/>
    <s v="017-2220-000"/>
    <s v="Beer Sales"/>
    <n v="231.03749999999999"/>
    <n v="0"/>
    <s v="Daily Sales Import"/>
    <n v="-231.03749999999999"/>
    <n v="231.03749999999999"/>
    <x v="1"/>
    <s v="2220"/>
    <s v="000"/>
    <x v="0"/>
    <x v="1"/>
  </r>
  <r>
    <d v="2012-10-10T00:00:00"/>
    <s v="017-2230-000"/>
    <s v="Wine Sales"/>
    <n v="107.916"/>
    <n v="0"/>
    <s v="Daily Sales Import"/>
    <n v="-107.916"/>
    <n v="107.916"/>
    <x v="1"/>
    <s v="2230"/>
    <s v="000"/>
    <x v="0"/>
    <x v="1"/>
  </r>
  <r>
    <d v="2012-10-11T00:00:00"/>
    <s v="017-2100-000"/>
    <s v="Food Sales"/>
    <n v="7429.2605999999996"/>
    <n v="0"/>
    <s v="Daily Sales Import"/>
    <n v="-7429.2605999999996"/>
    <n v="7429.2605999999996"/>
    <x v="1"/>
    <s v="2100"/>
    <s v="000"/>
    <x v="0"/>
    <x v="1"/>
  </r>
  <r>
    <d v="2012-10-11T00:00:00"/>
    <s v="017-2210-000"/>
    <s v="Liquor Sales"/>
    <n v="1395.8989999999999"/>
    <n v="0"/>
    <s v="Daily Sales Import"/>
    <n v="-1395.8989999999999"/>
    <n v="1395.8989999999999"/>
    <x v="1"/>
    <s v="2210"/>
    <s v="000"/>
    <x v="0"/>
    <x v="1"/>
  </r>
  <r>
    <d v="2012-10-11T00:00:00"/>
    <s v="017-2220-000"/>
    <s v="Beer Sales"/>
    <n v="556.29"/>
    <n v="0"/>
    <s v="Daily Sales Import"/>
    <n v="-556.29"/>
    <n v="556.29"/>
    <x v="1"/>
    <s v="2220"/>
    <s v="000"/>
    <x v="0"/>
    <x v="1"/>
  </r>
  <r>
    <d v="2012-10-11T00:00:00"/>
    <s v="017-2230-000"/>
    <s v="Wine Sales"/>
    <n v="168.4325"/>
    <n v="0"/>
    <s v="Daily Sales Import"/>
    <n v="-168.4325"/>
    <n v="168.4325"/>
    <x v="1"/>
    <s v="2230"/>
    <s v="000"/>
    <x v="0"/>
    <x v="1"/>
  </r>
  <r>
    <d v="2012-10-12T00:00:00"/>
    <s v="017-2100-000"/>
    <s v="Food Sales"/>
    <n v="10137.665999999999"/>
    <n v="0"/>
    <s v="Daily Sales Import"/>
    <n v="-10137.665999999999"/>
    <n v="10137.665999999999"/>
    <x v="1"/>
    <s v="2100"/>
    <s v="000"/>
    <x v="0"/>
    <x v="1"/>
  </r>
  <r>
    <d v="2012-10-12T00:00:00"/>
    <s v="017-2210-000"/>
    <s v="Liquor Sales"/>
    <n v="3085.29"/>
    <n v="0"/>
    <s v="Daily Sales Import"/>
    <n v="-3085.29"/>
    <n v="3085.29"/>
    <x v="1"/>
    <s v="2210"/>
    <s v="000"/>
    <x v="0"/>
    <x v="1"/>
  </r>
  <r>
    <d v="2012-10-12T00:00:00"/>
    <s v="017-2220-000"/>
    <s v="Beer Sales"/>
    <n v="875.76"/>
    <n v="0"/>
    <s v="Daily Sales Import"/>
    <n v="-875.76"/>
    <n v="875.76"/>
    <x v="1"/>
    <s v="2220"/>
    <s v="000"/>
    <x v="0"/>
    <x v="1"/>
  </r>
  <r>
    <d v="2012-10-12T00:00:00"/>
    <s v="017-2230-000"/>
    <s v="Wine Sales"/>
    <n v="129.05549999999999"/>
    <n v="0"/>
    <s v="Daily Sales Import"/>
    <n v="-129.05549999999999"/>
    <n v="129.05549999999999"/>
    <x v="1"/>
    <s v="2230"/>
    <s v="000"/>
    <x v="0"/>
    <x v="1"/>
  </r>
  <r>
    <d v="2012-10-13T00:00:00"/>
    <s v="017-2100-000"/>
    <s v="Food Sales"/>
    <n v="8260.5779999999995"/>
    <n v="0"/>
    <s v="Daily Sales Import"/>
    <n v="-8260.5779999999995"/>
    <n v="8260.5779999999995"/>
    <x v="1"/>
    <s v="2100"/>
    <s v="000"/>
    <x v="0"/>
    <x v="1"/>
  </r>
  <r>
    <d v="2012-10-13T00:00:00"/>
    <s v="017-2210-000"/>
    <s v="Liquor Sales"/>
    <n v="1924.3125"/>
    <n v="0"/>
    <s v="Daily Sales Import"/>
    <n v="-1924.3125"/>
    <n v="1924.3125"/>
    <x v="1"/>
    <s v="2210"/>
    <s v="000"/>
    <x v="0"/>
    <x v="1"/>
  </r>
  <r>
    <d v="2012-10-13T00:00:00"/>
    <s v="017-2220-000"/>
    <s v="Beer Sales"/>
    <n v="429.97500000000002"/>
    <n v="0"/>
    <s v="Daily Sales Import"/>
    <n v="-429.97500000000002"/>
    <n v="429.97500000000002"/>
    <x v="1"/>
    <s v="2220"/>
    <s v="000"/>
    <x v="0"/>
    <x v="1"/>
  </r>
  <r>
    <d v="2012-10-13T00:00:00"/>
    <s v="017-2230-000"/>
    <s v="Wine Sales"/>
    <n v="74.036999999999992"/>
    <n v="0"/>
    <s v="Daily Sales Import"/>
    <n v="-74.036999999999992"/>
    <n v="74.036999999999992"/>
    <x v="1"/>
    <s v="2230"/>
    <s v="000"/>
    <x v="0"/>
    <x v="1"/>
  </r>
  <r>
    <d v="2012-10-14T00:00:00"/>
    <s v="017-2100-000"/>
    <s v="Food Sales"/>
    <n v="4520.6559999999999"/>
    <n v="0"/>
    <s v="Daily Sales Import"/>
    <n v="-4520.6559999999999"/>
    <n v="4520.6559999999999"/>
    <x v="1"/>
    <s v="2100"/>
    <s v="000"/>
    <x v="0"/>
    <x v="1"/>
  </r>
  <r>
    <d v="2012-10-14T00:00:00"/>
    <s v="017-2210-000"/>
    <s v="Liquor Sales"/>
    <n v="1360.4955"/>
    <n v="0"/>
    <s v="Daily Sales Import"/>
    <n v="-1360.4955"/>
    <n v="1360.4955"/>
    <x v="1"/>
    <s v="2210"/>
    <s v="000"/>
    <x v="0"/>
    <x v="1"/>
  </r>
  <r>
    <d v="2012-10-14T00:00:00"/>
    <s v="017-2220-000"/>
    <s v="Beer Sales"/>
    <n v="229.0275"/>
    <n v="0"/>
    <s v="Daily Sales Import"/>
    <n v="-229.0275"/>
    <n v="229.0275"/>
    <x v="1"/>
    <s v="2220"/>
    <s v="000"/>
    <x v="0"/>
    <x v="1"/>
  </r>
  <r>
    <d v="2012-10-14T00:00:00"/>
    <s v="017-2230-000"/>
    <s v="Wine Sales"/>
    <n v="41.343999999999994"/>
    <n v="0"/>
    <s v="Daily Sales Import"/>
    <n v="-41.343999999999994"/>
    <n v="41.343999999999994"/>
    <x v="1"/>
    <s v="2230"/>
    <s v="000"/>
    <x v="0"/>
    <x v="1"/>
  </r>
  <r>
    <d v="2012-10-08T00:00:00"/>
    <s v="018-2100-000"/>
    <s v="Food Sales"/>
    <n v="8288.0867999999991"/>
    <n v="0"/>
    <s v="Daily Sales Import"/>
    <n v="-8288.0867999999991"/>
    <n v="8288.0867999999991"/>
    <x v="2"/>
    <s v="2100"/>
    <s v="000"/>
    <x v="0"/>
    <x v="1"/>
  </r>
  <r>
    <d v="2012-10-08T00:00:00"/>
    <s v="018-2210-000"/>
    <s v="Liquor Sales"/>
    <n v="869.35750000000007"/>
    <n v="0"/>
    <s v="Daily Sales Import"/>
    <n v="-869.35750000000007"/>
    <n v="869.35750000000007"/>
    <x v="2"/>
    <s v="2210"/>
    <s v="000"/>
    <x v="0"/>
    <x v="1"/>
  </r>
  <r>
    <d v="2012-10-08T00:00:00"/>
    <s v="018-2220-000"/>
    <s v="Beer Sales"/>
    <n v="337.54500000000002"/>
    <n v="0"/>
    <s v="Daily Sales Import"/>
    <n v="-337.54500000000002"/>
    <n v="337.54500000000002"/>
    <x v="2"/>
    <s v="2220"/>
    <s v="000"/>
    <x v="0"/>
    <x v="1"/>
  </r>
  <r>
    <d v="2012-10-08T00:00:00"/>
    <s v="018-2230-000"/>
    <s v="Wine Sales"/>
    <n v="118.66800000000001"/>
    <n v="0"/>
    <s v="Daily Sales Import"/>
    <n v="-118.66800000000001"/>
    <n v="118.66800000000001"/>
    <x v="2"/>
    <s v="2230"/>
    <s v="000"/>
    <x v="0"/>
    <x v="1"/>
  </r>
  <r>
    <d v="2012-10-09T00:00:00"/>
    <s v="018-2100-000"/>
    <s v="Food Sales"/>
    <n v="2689.3845999999999"/>
    <n v="0"/>
    <s v="Daily Sales Import"/>
    <n v="-2689.3845999999999"/>
    <n v="2689.3845999999999"/>
    <x v="2"/>
    <s v="2100"/>
    <s v="000"/>
    <x v="0"/>
    <x v="1"/>
  </r>
  <r>
    <d v="2012-10-09T00:00:00"/>
    <s v="018-2210-000"/>
    <s v="Liquor Sales"/>
    <n v="515.16800000000001"/>
    <n v="0"/>
    <s v="Daily Sales Import"/>
    <n v="-515.16800000000001"/>
    <n v="515.16800000000001"/>
    <x v="2"/>
    <s v="2210"/>
    <s v="000"/>
    <x v="0"/>
    <x v="1"/>
  </r>
  <r>
    <d v="2012-10-09T00:00:00"/>
    <s v="018-2220-000"/>
    <s v="Beer Sales"/>
    <n v="136.36699999999999"/>
    <n v="0"/>
    <s v="Daily Sales Import"/>
    <n v="-136.36699999999999"/>
    <n v="136.36699999999999"/>
    <x v="2"/>
    <s v="2220"/>
    <s v="000"/>
    <x v="0"/>
    <x v="1"/>
  </r>
  <r>
    <d v="2012-10-09T00:00:00"/>
    <s v="018-2230-000"/>
    <s v="Wine Sales"/>
    <n v="70.347499999999997"/>
    <n v="0"/>
    <s v="Daily Sales Import"/>
    <n v="-70.347499999999997"/>
    <n v="70.347499999999997"/>
    <x v="2"/>
    <s v="2230"/>
    <s v="000"/>
    <x v="0"/>
    <x v="1"/>
  </r>
  <r>
    <d v="2012-10-10T00:00:00"/>
    <s v="018-2100-000"/>
    <s v="Food Sales"/>
    <n v="3915.2339999999999"/>
    <n v="0"/>
    <s v="Daily Sales Import"/>
    <n v="-3915.2339999999999"/>
    <n v="3915.2339999999999"/>
    <x v="2"/>
    <s v="2100"/>
    <s v="000"/>
    <x v="0"/>
    <x v="1"/>
  </r>
  <r>
    <d v="2012-10-10T00:00:00"/>
    <s v="018-2210-000"/>
    <s v="Liquor Sales"/>
    <n v="808.95150000000001"/>
    <n v="0"/>
    <s v="Daily Sales Import"/>
    <n v="-808.95150000000001"/>
    <n v="808.95150000000001"/>
    <x v="2"/>
    <s v="2210"/>
    <s v="000"/>
    <x v="0"/>
    <x v="1"/>
  </r>
  <r>
    <d v="2012-10-10T00:00:00"/>
    <s v="018-2220-000"/>
    <s v="Beer Sales"/>
    <n v="378.23099999999999"/>
    <n v="0"/>
    <s v="Daily Sales Import"/>
    <n v="-378.23099999999999"/>
    <n v="378.23099999999999"/>
    <x v="2"/>
    <s v="2220"/>
    <s v="000"/>
    <x v="0"/>
    <x v="1"/>
  </r>
  <r>
    <d v="2012-10-10T00:00:00"/>
    <s v="018-2230-000"/>
    <s v="Wine Sales"/>
    <n v="82.075000000000003"/>
    <n v="0"/>
    <s v="Daily Sales Import"/>
    <n v="-82.075000000000003"/>
    <n v="82.075000000000003"/>
    <x v="2"/>
    <s v="2230"/>
    <s v="000"/>
    <x v="0"/>
    <x v="1"/>
  </r>
  <r>
    <d v="2012-10-11T00:00:00"/>
    <s v="018-2100-000"/>
    <s v="Food Sales"/>
    <n v="4283.3114999999998"/>
    <n v="0"/>
    <s v="Daily Sales Import"/>
    <n v="-4283.3114999999998"/>
    <n v="4283.3114999999998"/>
    <x v="2"/>
    <s v="2100"/>
    <s v="000"/>
    <x v="0"/>
    <x v="1"/>
  </r>
  <r>
    <d v="2012-10-11T00:00:00"/>
    <s v="018-2210-000"/>
    <s v="Liquor Sales"/>
    <n v="1432.8975"/>
    <n v="0"/>
    <s v="Daily Sales Import"/>
    <n v="-1432.8975"/>
    <n v="1432.8975"/>
    <x v="2"/>
    <s v="2210"/>
    <s v="000"/>
    <x v="0"/>
    <x v="1"/>
  </r>
  <r>
    <d v="2012-10-11T00:00:00"/>
    <s v="018-2220-000"/>
    <s v="Beer Sales"/>
    <n v="273.67699999999996"/>
    <n v="0"/>
    <s v="Daily Sales Import"/>
    <n v="-273.67699999999996"/>
    <n v="273.67699999999996"/>
    <x v="2"/>
    <s v="2220"/>
    <s v="000"/>
    <x v="0"/>
    <x v="1"/>
  </r>
  <r>
    <d v="2012-10-11T00:00:00"/>
    <s v="018-2230-000"/>
    <s v="Wine Sales"/>
    <n v="57.052999999999997"/>
    <n v="0"/>
    <s v="Daily Sales Import"/>
    <n v="-57.052999999999997"/>
    <n v="57.052999999999997"/>
    <x v="2"/>
    <s v="2230"/>
    <s v="000"/>
    <x v="0"/>
    <x v="1"/>
  </r>
  <r>
    <d v="2012-10-12T00:00:00"/>
    <s v="018-2100-000"/>
    <s v="Food Sales"/>
    <n v="8486.52"/>
    <n v="0"/>
    <s v="Daily Sales Import"/>
    <n v="-8486.52"/>
    <n v="8486.52"/>
    <x v="2"/>
    <s v="2100"/>
    <s v="000"/>
    <x v="0"/>
    <x v="1"/>
  </r>
  <r>
    <d v="2012-10-12T00:00:00"/>
    <s v="018-2210-000"/>
    <s v="Liquor Sales"/>
    <n v="3509.2309999999998"/>
    <n v="0"/>
    <s v="Daily Sales Import"/>
    <n v="-3509.2309999999998"/>
    <n v="3509.2309999999998"/>
    <x v="2"/>
    <s v="2210"/>
    <s v="000"/>
    <x v="0"/>
    <x v="1"/>
  </r>
  <r>
    <d v="2012-10-12T00:00:00"/>
    <s v="018-2220-000"/>
    <s v="Beer Sales"/>
    <n v="816.72249999999997"/>
    <n v="0"/>
    <s v="Daily Sales Import"/>
    <n v="-816.72249999999997"/>
    <n v="816.72249999999997"/>
    <x v="2"/>
    <s v="2220"/>
    <s v="000"/>
    <x v="0"/>
    <x v="1"/>
  </r>
  <r>
    <d v="2012-10-12T00:00:00"/>
    <s v="018-2230-000"/>
    <s v="Wine Sales"/>
    <n v="224.08600000000001"/>
    <n v="0"/>
    <s v="Daily Sales Import"/>
    <n v="-224.08600000000001"/>
    <n v="224.08600000000001"/>
    <x v="2"/>
    <s v="2230"/>
    <s v="000"/>
    <x v="0"/>
    <x v="1"/>
  </r>
  <r>
    <d v="2012-10-13T00:00:00"/>
    <s v="018-2100-000"/>
    <s v="Food Sales"/>
    <n v="16831.700199999999"/>
    <n v="0"/>
    <s v="Daily Sales Import"/>
    <n v="-16831.700199999999"/>
    <n v="16831.700199999999"/>
    <x v="2"/>
    <s v="2100"/>
    <s v="000"/>
    <x v="0"/>
    <x v="1"/>
  </r>
  <r>
    <d v="2012-10-13T00:00:00"/>
    <s v="018-2210-000"/>
    <s v="Liquor Sales"/>
    <n v="3900.0285000000003"/>
    <n v="0"/>
    <s v="Daily Sales Import"/>
    <n v="-3900.0285000000003"/>
    <n v="3900.0285000000003"/>
    <x v="2"/>
    <s v="2210"/>
    <s v="000"/>
    <x v="0"/>
    <x v="1"/>
  </r>
  <r>
    <d v="2012-10-13T00:00:00"/>
    <s v="018-2220-000"/>
    <s v="Beer Sales"/>
    <n v="900.06399999999996"/>
    <n v="0"/>
    <s v="Daily Sales Import"/>
    <n v="-900.06399999999996"/>
    <n v="900.06399999999996"/>
    <x v="2"/>
    <s v="2220"/>
    <s v="000"/>
    <x v="0"/>
    <x v="1"/>
  </r>
  <r>
    <d v="2012-10-13T00:00:00"/>
    <s v="018-2230-000"/>
    <s v="Wine Sales"/>
    <n v="217.828"/>
    <n v="0"/>
    <s v="Daily Sales Import"/>
    <n v="-217.828"/>
    <n v="217.828"/>
    <x v="2"/>
    <s v="2230"/>
    <s v="000"/>
    <x v="0"/>
    <x v="1"/>
  </r>
  <r>
    <d v="2012-10-14T00:00:00"/>
    <s v="018-2100-000"/>
    <s v="Food Sales"/>
    <n v="8946.7178000000004"/>
    <n v="0"/>
    <s v="Daily Sales Import"/>
    <n v="-8946.7178000000004"/>
    <n v="8946.7178000000004"/>
    <x v="2"/>
    <s v="2100"/>
    <s v="000"/>
    <x v="0"/>
    <x v="1"/>
  </r>
  <r>
    <d v="2012-10-14T00:00:00"/>
    <s v="018-2210-000"/>
    <s v="Liquor Sales"/>
    <n v="1172.9280000000001"/>
    <n v="0"/>
    <s v="Daily Sales Import"/>
    <n v="-1172.9280000000001"/>
    <n v="1172.9280000000001"/>
    <x v="2"/>
    <s v="2210"/>
    <s v="000"/>
    <x v="0"/>
    <x v="1"/>
  </r>
  <r>
    <d v="2012-10-14T00:00:00"/>
    <s v="018-2220-000"/>
    <s v="Beer Sales"/>
    <n v="476.37900000000002"/>
    <n v="0"/>
    <s v="Daily Sales Import"/>
    <n v="-476.37900000000002"/>
    <n v="476.37900000000002"/>
    <x v="2"/>
    <s v="2220"/>
    <s v="000"/>
    <x v="0"/>
    <x v="1"/>
  </r>
  <r>
    <d v="2012-10-14T00:00:00"/>
    <s v="018-2230-000"/>
    <s v="Wine Sales"/>
    <n v="107.157"/>
    <n v="0"/>
    <s v="Daily Sales Import"/>
    <n v="-107.157"/>
    <n v="107.157"/>
    <x v="2"/>
    <s v="2230"/>
    <s v="000"/>
    <x v="0"/>
    <x v="1"/>
  </r>
  <r>
    <d v="2012-10-15T00:00:00"/>
    <s v="016-2100-000"/>
    <s v="Food Sales"/>
    <n v="2683.7975000000001"/>
    <n v="0"/>
    <s v="Daily Sales Import"/>
    <n v="-2683.7975000000001"/>
    <n v="2683.7975000000001"/>
    <x v="0"/>
    <s v="2100"/>
    <s v="000"/>
    <x v="0"/>
    <x v="1"/>
  </r>
  <r>
    <d v="2012-10-15T00:00:00"/>
    <s v="016-2210-000"/>
    <s v="Liquor Sales"/>
    <n v="436.41399999999993"/>
    <n v="0"/>
    <s v="Daily Sales Import"/>
    <n v="-436.41399999999993"/>
    <n v="436.41399999999993"/>
    <x v="0"/>
    <s v="2210"/>
    <s v="000"/>
    <x v="0"/>
    <x v="1"/>
  </r>
  <r>
    <d v="2012-10-15T00:00:00"/>
    <s v="016-2220-000"/>
    <s v="Beer Sales"/>
    <n v="41.616000000000007"/>
    <n v="0"/>
    <s v="Daily Sales Import"/>
    <n v="-41.616000000000007"/>
    <n v="41.616000000000007"/>
    <x v="0"/>
    <s v="2220"/>
    <s v="000"/>
    <x v="0"/>
    <x v="1"/>
  </r>
  <r>
    <d v="2012-10-15T00:00:00"/>
    <s v="016-2230-000"/>
    <s v="Wine Sales"/>
    <n v="20.21"/>
    <n v="0"/>
    <s v="Daily Sales Import"/>
    <n v="-20.21"/>
    <n v="20.21"/>
    <x v="0"/>
    <s v="2230"/>
    <s v="000"/>
    <x v="0"/>
    <x v="1"/>
  </r>
  <r>
    <d v="2012-10-16T00:00:00"/>
    <s v="016-2100-000"/>
    <s v="Food Sales"/>
    <n v="6166.2600999999995"/>
    <n v="0"/>
    <s v="Daily Sales Import"/>
    <n v="-6166.2600999999995"/>
    <n v="6166.2600999999995"/>
    <x v="0"/>
    <s v="2100"/>
    <s v="000"/>
    <x v="0"/>
    <x v="1"/>
  </r>
  <r>
    <d v="2012-10-16T00:00:00"/>
    <s v="016-2210-000"/>
    <s v="Liquor Sales"/>
    <n v="1885.7280000000001"/>
    <n v="0"/>
    <s v="Daily Sales Import"/>
    <n v="-1885.7280000000001"/>
    <n v="1885.7280000000001"/>
    <x v="0"/>
    <s v="2210"/>
    <s v="000"/>
    <x v="0"/>
    <x v="1"/>
  </r>
  <r>
    <d v="2012-10-16T00:00:00"/>
    <s v="016-2220-000"/>
    <s v="Beer Sales"/>
    <n v="725.86800000000005"/>
    <n v="0"/>
    <s v="Daily Sales Import"/>
    <n v="-725.86800000000005"/>
    <n v="725.86800000000005"/>
    <x v="0"/>
    <s v="2220"/>
    <s v="000"/>
    <x v="0"/>
    <x v="1"/>
  </r>
  <r>
    <d v="2012-10-16T00:00:00"/>
    <s v="016-2230-000"/>
    <s v="Wine Sales"/>
    <n v="159.36249999999998"/>
    <n v="0"/>
    <s v="Daily Sales Import"/>
    <n v="-159.36249999999998"/>
    <n v="159.36249999999998"/>
    <x v="0"/>
    <s v="2230"/>
    <s v="000"/>
    <x v="0"/>
    <x v="1"/>
  </r>
  <r>
    <d v="2012-10-17T00:00:00"/>
    <s v="016-2100-000"/>
    <s v="Food Sales"/>
    <n v="2129.3579999999997"/>
    <n v="0"/>
    <s v="Daily Sales Import"/>
    <n v="-2129.3579999999997"/>
    <n v="2129.3579999999997"/>
    <x v="0"/>
    <s v="2100"/>
    <s v="000"/>
    <x v="0"/>
    <x v="1"/>
  </r>
  <r>
    <d v="2012-10-17T00:00:00"/>
    <s v="016-2210-000"/>
    <s v="Liquor Sales"/>
    <n v="661.96199999999999"/>
    <n v="0"/>
    <s v="Daily Sales Import"/>
    <n v="-661.96199999999999"/>
    <n v="661.96199999999999"/>
    <x v="0"/>
    <s v="2210"/>
    <s v="000"/>
    <x v="0"/>
    <x v="1"/>
  </r>
  <r>
    <d v="2012-10-17T00:00:00"/>
    <s v="016-2220-000"/>
    <s v="Beer Sales"/>
    <n v="57.686999999999998"/>
    <n v="0"/>
    <s v="Daily Sales Import"/>
    <n v="-57.686999999999998"/>
    <n v="57.686999999999998"/>
    <x v="0"/>
    <s v="2220"/>
    <s v="000"/>
    <x v="0"/>
    <x v="1"/>
  </r>
  <r>
    <d v="2012-10-17T00:00:00"/>
    <s v="016-2230-000"/>
    <s v="Wine Sales"/>
    <n v="27.545500000000001"/>
    <n v="0"/>
    <s v="Daily Sales Import"/>
    <n v="-27.545500000000001"/>
    <n v="27.545500000000001"/>
    <x v="0"/>
    <s v="2230"/>
    <s v="000"/>
    <x v="0"/>
    <x v="1"/>
  </r>
  <r>
    <d v="2012-10-18T00:00:00"/>
    <s v="016-2100-000"/>
    <s v="Food Sales"/>
    <n v="3024.1323000000002"/>
    <n v="0"/>
    <s v="Daily Sales Import"/>
    <n v="-3024.1323000000002"/>
    <n v="3024.1323000000002"/>
    <x v="0"/>
    <s v="2100"/>
    <s v="000"/>
    <x v="0"/>
    <x v="1"/>
  </r>
  <r>
    <d v="2012-10-18T00:00:00"/>
    <s v="016-2210-000"/>
    <s v="Liquor Sales"/>
    <n v="867.3895"/>
    <n v="0"/>
    <s v="Daily Sales Import"/>
    <n v="-867.3895"/>
    <n v="867.3895"/>
    <x v="0"/>
    <s v="2210"/>
    <s v="000"/>
    <x v="0"/>
    <x v="1"/>
  </r>
  <r>
    <d v="2012-10-18T00:00:00"/>
    <s v="016-2220-000"/>
    <s v="Beer Sales"/>
    <n v="247.68449999999999"/>
    <n v="0"/>
    <s v="Daily Sales Import"/>
    <n v="-247.68449999999999"/>
    <n v="247.68449999999999"/>
    <x v="0"/>
    <s v="2220"/>
    <s v="000"/>
    <x v="0"/>
    <x v="1"/>
  </r>
  <r>
    <d v="2012-10-18T00:00:00"/>
    <s v="016-2230-000"/>
    <s v="Wine Sales"/>
    <n v="104.96550000000001"/>
    <n v="0"/>
    <s v="Daily Sales Import"/>
    <n v="-104.96550000000001"/>
    <n v="104.96550000000001"/>
    <x v="0"/>
    <s v="2230"/>
    <s v="000"/>
    <x v="0"/>
    <x v="1"/>
  </r>
  <r>
    <d v="2012-10-19T00:00:00"/>
    <s v="016-2100-000"/>
    <s v="Food Sales"/>
    <n v="6309.3029999999999"/>
    <n v="0"/>
    <s v="Daily Sales Import"/>
    <n v="-6309.3029999999999"/>
    <n v="6309.3029999999999"/>
    <x v="0"/>
    <s v="2100"/>
    <s v="000"/>
    <x v="0"/>
    <x v="1"/>
  </r>
  <r>
    <d v="2012-10-19T00:00:00"/>
    <s v="016-2210-000"/>
    <s v="Liquor Sales"/>
    <n v="1561.7619999999999"/>
    <n v="0"/>
    <s v="Daily Sales Import"/>
    <n v="-1561.7619999999999"/>
    <n v="1561.7619999999999"/>
    <x v="0"/>
    <s v="2210"/>
    <s v="000"/>
    <x v="0"/>
    <x v="1"/>
  </r>
  <r>
    <d v="2012-10-19T00:00:00"/>
    <s v="016-2220-000"/>
    <s v="Beer Sales"/>
    <n v="246.53400000000002"/>
    <n v="0"/>
    <s v="Daily Sales Import"/>
    <n v="-246.53400000000002"/>
    <n v="246.53400000000002"/>
    <x v="0"/>
    <s v="2220"/>
    <s v="000"/>
    <x v="0"/>
    <x v="1"/>
  </r>
  <r>
    <d v="2012-10-19T00:00:00"/>
    <s v="016-2230-000"/>
    <s v="Wine Sales"/>
    <n v="149.226"/>
    <n v="0"/>
    <s v="Daily Sales Import"/>
    <n v="-149.226"/>
    <n v="149.226"/>
    <x v="0"/>
    <s v="2230"/>
    <s v="000"/>
    <x v="0"/>
    <x v="1"/>
  </r>
  <r>
    <d v="2012-10-20T00:00:00"/>
    <s v="016-2100-000"/>
    <s v="Food Sales"/>
    <n v="6841.2671999999993"/>
    <n v="0"/>
    <s v="Daily Sales Import"/>
    <n v="-6841.2671999999993"/>
    <n v="6841.2671999999993"/>
    <x v="0"/>
    <s v="2100"/>
    <s v="000"/>
    <x v="0"/>
    <x v="1"/>
  </r>
  <r>
    <d v="2012-10-20T00:00:00"/>
    <s v="016-2210-000"/>
    <s v="Liquor Sales"/>
    <n v="2900.1219999999998"/>
    <n v="0"/>
    <s v="Daily Sales Import"/>
    <n v="-2900.1219999999998"/>
    <n v="2900.1219999999998"/>
    <x v="0"/>
    <s v="2210"/>
    <s v="000"/>
    <x v="0"/>
    <x v="1"/>
  </r>
  <r>
    <d v="2012-10-20T00:00:00"/>
    <s v="016-2220-000"/>
    <s v="Beer Sales"/>
    <n v="554.93550000000005"/>
    <n v="0"/>
    <s v="Daily Sales Import"/>
    <n v="-554.93550000000005"/>
    <n v="554.93550000000005"/>
    <x v="0"/>
    <s v="2220"/>
    <s v="000"/>
    <x v="0"/>
    <x v="1"/>
  </r>
  <r>
    <d v="2012-10-20T00:00:00"/>
    <s v="016-2230-000"/>
    <s v="Wine Sales"/>
    <n v="147.68"/>
    <n v="0"/>
    <s v="Daily Sales Import"/>
    <n v="-147.68"/>
    <n v="147.68"/>
    <x v="0"/>
    <s v="2230"/>
    <s v="000"/>
    <x v="0"/>
    <x v="1"/>
  </r>
  <r>
    <d v="2012-10-21T00:00:00"/>
    <s v="016-2100-000"/>
    <s v="Food Sales"/>
    <n v="7020.2179999999998"/>
    <n v="0"/>
    <s v="Daily Sales Import"/>
    <n v="-7020.2179999999998"/>
    <n v="7020.2179999999998"/>
    <x v="0"/>
    <s v="2100"/>
    <s v="000"/>
    <x v="0"/>
    <x v="1"/>
  </r>
  <r>
    <d v="2012-10-21T00:00:00"/>
    <s v="016-2210-000"/>
    <s v="Liquor Sales"/>
    <n v="2295.6660000000002"/>
    <n v="0"/>
    <s v="Daily Sales Import"/>
    <n v="-2295.6660000000002"/>
    <n v="2295.6660000000002"/>
    <x v="0"/>
    <s v="2210"/>
    <s v="000"/>
    <x v="0"/>
    <x v="1"/>
  </r>
  <r>
    <d v="2012-10-21T00:00:00"/>
    <s v="016-2220-000"/>
    <s v="Beer Sales"/>
    <n v="666.52160000000003"/>
    <n v="0"/>
    <s v="Daily Sales Import"/>
    <n v="-666.52160000000003"/>
    <n v="666.52160000000003"/>
    <x v="0"/>
    <s v="2220"/>
    <s v="000"/>
    <x v="0"/>
    <x v="1"/>
  </r>
  <r>
    <d v="2012-10-21T00:00:00"/>
    <s v="016-2230-000"/>
    <s v="Wine Sales"/>
    <n v="347.02949999999998"/>
    <n v="0"/>
    <s v="Daily Sales Import"/>
    <n v="-347.02949999999998"/>
    <n v="347.02949999999998"/>
    <x v="0"/>
    <s v="2230"/>
    <s v="000"/>
    <x v="0"/>
    <x v="1"/>
  </r>
  <r>
    <d v="2012-10-15T00:00:00"/>
    <s v="017-2100-000"/>
    <s v="Food Sales"/>
    <n v="5878.2809000000007"/>
    <n v="0"/>
    <s v="Daily Sales Import"/>
    <n v="-5878.2809000000007"/>
    <n v="5878.2809000000007"/>
    <x v="1"/>
    <s v="2100"/>
    <s v="000"/>
    <x v="0"/>
    <x v="1"/>
  </r>
  <r>
    <d v="2012-10-15T00:00:00"/>
    <s v="017-2210-000"/>
    <s v="Liquor Sales"/>
    <n v="1247.3875"/>
    <n v="0"/>
    <s v="Daily Sales Import"/>
    <n v="-1247.3875"/>
    <n v="1247.3875"/>
    <x v="1"/>
    <s v="2210"/>
    <s v="000"/>
    <x v="0"/>
    <x v="1"/>
  </r>
  <r>
    <d v="2012-10-15T00:00:00"/>
    <s v="017-2220-000"/>
    <s v="Beer Sales"/>
    <n v="261.9375"/>
    <n v="0"/>
    <s v="Daily Sales Import"/>
    <n v="-261.9375"/>
    <n v="261.9375"/>
    <x v="1"/>
    <s v="2220"/>
    <s v="000"/>
    <x v="0"/>
    <x v="1"/>
  </r>
  <r>
    <d v="2012-10-15T00:00:00"/>
    <s v="017-2230-000"/>
    <s v="Wine Sales"/>
    <n v="59.04"/>
    <n v="0"/>
    <s v="Daily Sales Import"/>
    <n v="-59.04"/>
    <n v="59.04"/>
    <x v="1"/>
    <s v="2230"/>
    <s v="000"/>
    <x v="0"/>
    <x v="1"/>
  </r>
  <r>
    <d v="2012-10-16T00:00:00"/>
    <s v="017-2100-000"/>
    <s v="Food Sales"/>
    <n v="6336.4895999999999"/>
    <n v="0"/>
    <s v="Daily Sales Import"/>
    <n v="-6336.4895999999999"/>
    <n v="6336.4895999999999"/>
    <x v="1"/>
    <s v="2100"/>
    <s v="000"/>
    <x v="0"/>
    <x v="1"/>
  </r>
  <r>
    <d v="2012-10-16T00:00:00"/>
    <s v="017-2210-000"/>
    <s v="Liquor Sales"/>
    <n v="1538.454"/>
    <n v="0"/>
    <s v="Daily Sales Import"/>
    <n v="-1538.454"/>
    <n v="1538.454"/>
    <x v="1"/>
    <s v="2210"/>
    <s v="000"/>
    <x v="0"/>
    <x v="1"/>
  </r>
  <r>
    <d v="2012-10-16T00:00:00"/>
    <s v="017-2220-000"/>
    <s v="Beer Sales"/>
    <n v="508.755"/>
    <n v="0"/>
    <s v="Daily Sales Import"/>
    <n v="-508.755"/>
    <n v="508.755"/>
    <x v="1"/>
    <s v="2220"/>
    <s v="000"/>
    <x v="0"/>
    <x v="1"/>
  </r>
  <r>
    <d v="2012-10-16T00:00:00"/>
    <s v="017-2230-000"/>
    <s v="Wine Sales"/>
    <n v="146.23400000000001"/>
    <n v="0"/>
    <s v="Daily Sales Import"/>
    <n v="-146.23400000000001"/>
    <n v="146.23400000000001"/>
    <x v="1"/>
    <s v="2230"/>
    <s v="000"/>
    <x v="0"/>
    <x v="1"/>
  </r>
  <r>
    <d v="2012-10-17T00:00:00"/>
    <s v="017-2100-000"/>
    <s v="Food Sales"/>
    <n v="5186.7288000000008"/>
    <n v="0"/>
    <s v="Daily Sales Import"/>
    <n v="-5186.7288000000008"/>
    <n v="5186.7288000000008"/>
    <x v="1"/>
    <s v="2100"/>
    <s v="000"/>
    <x v="0"/>
    <x v="1"/>
  </r>
  <r>
    <d v="2012-10-17T00:00:00"/>
    <s v="017-2210-000"/>
    <s v="Liquor Sales"/>
    <n v="2111.4690000000001"/>
    <n v="0"/>
    <s v="Daily Sales Import"/>
    <n v="-2111.4690000000001"/>
    <n v="2111.4690000000001"/>
    <x v="1"/>
    <s v="2210"/>
    <s v="000"/>
    <x v="0"/>
    <x v="1"/>
  </r>
  <r>
    <d v="2012-10-17T00:00:00"/>
    <s v="017-2220-000"/>
    <s v="Beer Sales"/>
    <n v="694.47"/>
    <n v="0"/>
    <s v="Daily Sales Import"/>
    <n v="-694.47"/>
    <n v="694.47"/>
    <x v="1"/>
    <s v="2220"/>
    <s v="000"/>
    <x v="0"/>
    <x v="1"/>
  </r>
  <r>
    <d v="2012-10-17T00:00:00"/>
    <s v="017-2230-000"/>
    <s v="Wine Sales"/>
    <n v="98.56"/>
    <n v="0"/>
    <s v="Daily Sales Import"/>
    <n v="-98.56"/>
    <n v="98.56"/>
    <x v="1"/>
    <s v="2230"/>
    <s v="000"/>
    <x v="0"/>
    <x v="1"/>
  </r>
  <r>
    <d v="2012-10-18T00:00:00"/>
    <s v="017-2100-000"/>
    <s v="Food Sales"/>
    <n v="4048.1000999999997"/>
    <n v="0"/>
    <s v="Daily Sales Import"/>
    <n v="-4048.1000999999997"/>
    <n v="4048.1000999999997"/>
    <x v="1"/>
    <s v="2100"/>
    <s v="000"/>
    <x v="0"/>
    <x v="1"/>
  </r>
  <r>
    <d v="2012-10-18T00:00:00"/>
    <s v="017-2210-000"/>
    <s v="Liquor Sales"/>
    <n v="1661.5830000000001"/>
    <n v="0"/>
    <s v="Daily Sales Import"/>
    <n v="-1661.5830000000001"/>
    <n v="1661.5830000000001"/>
    <x v="1"/>
    <s v="2210"/>
    <s v="000"/>
    <x v="0"/>
    <x v="1"/>
  </r>
  <r>
    <d v="2012-10-18T00:00:00"/>
    <s v="017-2220-000"/>
    <s v="Beer Sales"/>
    <n v="536.35500000000002"/>
    <n v="0"/>
    <s v="Daily Sales Import"/>
    <n v="-536.35500000000002"/>
    <n v="536.35500000000002"/>
    <x v="1"/>
    <s v="2220"/>
    <s v="000"/>
    <x v="0"/>
    <x v="1"/>
  </r>
  <r>
    <d v="2012-10-18T00:00:00"/>
    <s v="017-2230-000"/>
    <s v="Wine Sales"/>
    <n v="61.24"/>
    <n v="0"/>
    <s v="Daily Sales Import"/>
    <n v="-61.24"/>
    <n v="61.24"/>
    <x v="1"/>
    <s v="2230"/>
    <s v="000"/>
    <x v="0"/>
    <x v="1"/>
  </r>
  <r>
    <d v="2012-10-19T00:00:00"/>
    <s v="017-2100-000"/>
    <s v="Food Sales"/>
    <n v="6507.2766000000001"/>
    <n v="0"/>
    <s v="Daily Sales Import"/>
    <n v="-6507.2766000000001"/>
    <n v="6507.2766000000001"/>
    <x v="1"/>
    <s v="2100"/>
    <s v="000"/>
    <x v="0"/>
    <x v="1"/>
  </r>
  <r>
    <d v="2012-10-19T00:00:00"/>
    <s v="017-2210-000"/>
    <s v="Liquor Sales"/>
    <n v="2402.846"/>
    <n v="0"/>
    <s v="Daily Sales Import"/>
    <n v="-2402.846"/>
    <n v="2402.846"/>
    <x v="1"/>
    <s v="2210"/>
    <s v="000"/>
    <x v="0"/>
    <x v="1"/>
  </r>
  <r>
    <d v="2012-10-19T00:00:00"/>
    <s v="017-2220-000"/>
    <s v="Beer Sales"/>
    <n v="542.97249999999997"/>
    <n v="0"/>
    <s v="Daily Sales Import"/>
    <n v="-542.97249999999997"/>
    <n v="542.97249999999997"/>
    <x v="1"/>
    <s v="2220"/>
    <s v="000"/>
    <x v="0"/>
    <x v="1"/>
  </r>
  <r>
    <d v="2012-10-19T00:00:00"/>
    <s v="017-2230-000"/>
    <s v="Wine Sales"/>
    <n v="235.85450000000003"/>
    <n v="0"/>
    <s v="Daily Sales Import"/>
    <n v="-235.85450000000003"/>
    <n v="235.85450000000003"/>
    <x v="1"/>
    <s v="2230"/>
    <s v="000"/>
    <x v="0"/>
    <x v="1"/>
  </r>
  <r>
    <d v="2012-10-20T00:00:00"/>
    <s v="017-2100-000"/>
    <s v="Food Sales"/>
    <n v="6208.243199999999"/>
    <n v="0"/>
    <s v="Daily Sales Import"/>
    <n v="-6208.243199999999"/>
    <n v="6208.243199999999"/>
    <x v="1"/>
    <s v="2100"/>
    <s v="000"/>
    <x v="0"/>
    <x v="1"/>
  </r>
  <r>
    <d v="2012-10-20T00:00:00"/>
    <s v="017-2210-000"/>
    <s v="Liquor Sales"/>
    <n v="1504.1730000000002"/>
    <n v="0"/>
    <s v="Daily Sales Import"/>
    <n v="-1504.1730000000002"/>
    <n v="1504.1730000000002"/>
    <x v="1"/>
    <s v="2210"/>
    <s v="000"/>
    <x v="0"/>
    <x v="1"/>
  </r>
  <r>
    <d v="2012-10-20T00:00:00"/>
    <s v="017-2220-000"/>
    <s v="Beer Sales"/>
    <n v="235.84"/>
    <n v="0"/>
    <s v="Daily Sales Import"/>
    <n v="-235.84"/>
    <n v="235.84"/>
    <x v="1"/>
    <s v="2220"/>
    <s v="000"/>
    <x v="0"/>
    <x v="1"/>
  </r>
  <r>
    <d v="2012-10-20T00:00:00"/>
    <s v="017-2230-000"/>
    <s v="Wine Sales"/>
    <n v="133.08300000000003"/>
    <n v="0"/>
    <s v="Daily Sales Import"/>
    <n v="-133.08300000000003"/>
    <n v="133.08300000000003"/>
    <x v="1"/>
    <s v="2230"/>
    <s v="000"/>
    <x v="0"/>
    <x v="1"/>
  </r>
  <r>
    <d v="2012-10-21T00:00:00"/>
    <s v="017-2100-000"/>
    <s v="Food Sales"/>
    <n v="3664.6170000000002"/>
    <n v="0"/>
    <s v="Daily Sales Import"/>
    <n v="-3664.6170000000002"/>
    <n v="3664.6170000000002"/>
    <x v="1"/>
    <s v="2100"/>
    <s v="000"/>
    <x v="0"/>
    <x v="1"/>
  </r>
  <r>
    <d v="2012-10-21T00:00:00"/>
    <s v="017-2210-000"/>
    <s v="Liquor Sales"/>
    <n v="1036.0580000000002"/>
    <n v="0"/>
    <s v="Daily Sales Import"/>
    <n v="-1036.0580000000002"/>
    <n v="1036.0580000000002"/>
    <x v="1"/>
    <s v="2210"/>
    <s v="000"/>
    <x v="0"/>
    <x v="1"/>
  </r>
  <r>
    <d v="2012-10-21T00:00:00"/>
    <s v="017-2220-000"/>
    <s v="Beer Sales"/>
    <n v="74.260000000000005"/>
    <n v="0"/>
    <s v="Daily Sales Import"/>
    <n v="-74.260000000000005"/>
    <n v="74.260000000000005"/>
    <x v="1"/>
    <s v="2220"/>
    <s v="000"/>
    <x v="0"/>
    <x v="1"/>
  </r>
  <r>
    <d v="2012-10-21T00:00:00"/>
    <s v="017-2230-000"/>
    <s v="Wine Sales"/>
    <n v="31.187999999999999"/>
    <n v="0"/>
    <s v="Daily Sales Import"/>
    <n v="-31.187999999999999"/>
    <n v="31.187999999999999"/>
    <x v="1"/>
    <s v="2230"/>
    <s v="000"/>
    <x v="0"/>
    <x v="1"/>
  </r>
  <r>
    <d v="2012-10-15T00:00:00"/>
    <s v="018-2100-000"/>
    <s v="Food Sales"/>
    <n v="4971.3498"/>
    <n v="0"/>
    <s v="Daily Sales Import"/>
    <n v="-4971.3498"/>
    <n v="4971.3498"/>
    <x v="2"/>
    <s v="2100"/>
    <s v="000"/>
    <x v="0"/>
    <x v="1"/>
  </r>
  <r>
    <d v="2012-10-15T00:00:00"/>
    <s v="018-2210-000"/>
    <s v="Liquor Sales"/>
    <n v="687.39799999999991"/>
    <n v="0"/>
    <s v="Daily Sales Import"/>
    <n v="-687.39799999999991"/>
    <n v="687.39799999999991"/>
    <x v="2"/>
    <s v="2210"/>
    <s v="000"/>
    <x v="0"/>
    <x v="1"/>
  </r>
  <r>
    <d v="2012-10-15T00:00:00"/>
    <s v="018-2220-000"/>
    <s v="Beer Sales"/>
    <n v="107.11800000000001"/>
    <n v="0"/>
    <s v="Daily Sales Import"/>
    <n v="-107.11800000000001"/>
    <n v="107.11800000000001"/>
    <x v="2"/>
    <s v="2220"/>
    <s v="000"/>
    <x v="0"/>
    <x v="1"/>
  </r>
  <r>
    <d v="2012-10-15T00:00:00"/>
    <s v="018-2230-000"/>
    <s v="Wine Sales"/>
    <n v="10.322999999999999"/>
    <n v="0"/>
    <s v="Daily Sales Import"/>
    <n v="-10.322999999999999"/>
    <n v="10.322999999999999"/>
    <x v="2"/>
    <s v="2230"/>
    <s v="000"/>
    <x v="0"/>
    <x v="1"/>
  </r>
  <r>
    <d v="2012-10-16T00:00:00"/>
    <s v="018-2100-000"/>
    <s v="Food Sales"/>
    <n v="3164.6114999999995"/>
    <n v="0"/>
    <s v="Daily Sales Import"/>
    <n v="-3164.6114999999995"/>
    <n v="3164.6114999999995"/>
    <x v="2"/>
    <s v="2100"/>
    <s v="000"/>
    <x v="0"/>
    <x v="1"/>
  </r>
  <r>
    <d v="2012-10-16T00:00:00"/>
    <s v="018-2210-000"/>
    <s v="Liquor Sales"/>
    <n v="524.56950000000006"/>
    <n v="0"/>
    <s v="Daily Sales Import"/>
    <n v="-524.56950000000006"/>
    <n v="524.56950000000006"/>
    <x v="2"/>
    <s v="2210"/>
    <s v="000"/>
    <x v="0"/>
    <x v="1"/>
  </r>
  <r>
    <d v="2012-10-16T00:00:00"/>
    <s v="018-2220-000"/>
    <s v="Beer Sales"/>
    <n v="210.37199999999999"/>
    <n v="0"/>
    <s v="Daily Sales Import"/>
    <n v="-210.37199999999999"/>
    <n v="210.37199999999999"/>
    <x v="2"/>
    <s v="2220"/>
    <s v="000"/>
    <x v="0"/>
    <x v="1"/>
  </r>
  <r>
    <d v="2012-10-16T00:00:00"/>
    <s v="018-2230-000"/>
    <s v="Wine Sales"/>
    <n v="65.649000000000001"/>
    <n v="0"/>
    <s v="Daily Sales Import"/>
    <n v="-65.649000000000001"/>
    <n v="65.649000000000001"/>
    <x v="2"/>
    <s v="2230"/>
    <s v="000"/>
    <x v="0"/>
    <x v="1"/>
  </r>
  <r>
    <d v="2012-10-17T00:00:00"/>
    <s v="018-2100-000"/>
    <s v="Food Sales"/>
    <n v="4659.1657999999998"/>
    <n v="0"/>
    <s v="Daily Sales Import"/>
    <n v="-4659.1657999999998"/>
    <n v="4659.1657999999998"/>
    <x v="2"/>
    <s v="2100"/>
    <s v="000"/>
    <x v="0"/>
    <x v="1"/>
  </r>
  <r>
    <d v="2012-10-17T00:00:00"/>
    <s v="018-2210-000"/>
    <s v="Liquor Sales"/>
    <n v="1134.2094999999999"/>
    <n v="0"/>
    <s v="Daily Sales Import"/>
    <n v="-1134.2094999999999"/>
    <n v="1134.2094999999999"/>
    <x v="2"/>
    <s v="2210"/>
    <s v="000"/>
    <x v="0"/>
    <x v="1"/>
  </r>
  <r>
    <d v="2012-10-17T00:00:00"/>
    <s v="018-2220-000"/>
    <s v="Beer Sales"/>
    <n v="330.572"/>
    <n v="0"/>
    <s v="Daily Sales Import"/>
    <n v="-330.572"/>
    <n v="330.572"/>
    <x v="2"/>
    <s v="2220"/>
    <s v="000"/>
    <x v="0"/>
    <x v="1"/>
  </r>
  <r>
    <d v="2012-10-17T00:00:00"/>
    <s v="018-2230-000"/>
    <s v="Wine Sales"/>
    <n v="76.467500000000001"/>
    <n v="0"/>
    <s v="Daily Sales Import"/>
    <n v="-76.467500000000001"/>
    <n v="76.467500000000001"/>
    <x v="2"/>
    <s v="2230"/>
    <s v="000"/>
    <x v="0"/>
    <x v="1"/>
  </r>
  <r>
    <d v="2012-10-18T00:00:00"/>
    <s v="018-2100-000"/>
    <s v="Food Sales"/>
    <n v="4592.1810000000005"/>
    <n v="0"/>
    <s v="Daily Sales Import"/>
    <n v="-4592.1810000000005"/>
    <n v="4592.1810000000005"/>
    <x v="2"/>
    <s v="2100"/>
    <s v="000"/>
    <x v="0"/>
    <x v="1"/>
  </r>
  <r>
    <d v="2012-10-18T00:00:00"/>
    <s v="018-2210-000"/>
    <s v="Liquor Sales"/>
    <n v="1037.9180000000001"/>
    <n v="0"/>
    <s v="Daily Sales Import"/>
    <n v="-1037.9180000000001"/>
    <n v="1037.9180000000001"/>
    <x v="2"/>
    <s v="2210"/>
    <s v="000"/>
    <x v="0"/>
    <x v="1"/>
  </r>
  <r>
    <d v="2012-10-18T00:00:00"/>
    <s v="018-2220-000"/>
    <s v="Beer Sales"/>
    <n v="285.12"/>
    <n v="0"/>
    <s v="Daily Sales Import"/>
    <n v="-285.12"/>
    <n v="285.12"/>
    <x v="2"/>
    <s v="2220"/>
    <s v="000"/>
    <x v="0"/>
    <x v="1"/>
  </r>
  <r>
    <d v="2012-10-18T00:00:00"/>
    <s v="018-2230-000"/>
    <s v="Wine Sales"/>
    <n v="120.39999999999999"/>
    <n v="0"/>
    <s v="Daily Sales Import"/>
    <n v="-120.39999999999999"/>
    <n v="120.39999999999999"/>
    <x v="2"/>
    <s v="2230"/>
    <s v="000"/>
    <x v="0"/>
    <x v="1"/>
  </r>
  <r>
    <d v="2012-10-19T00:00:00"/>
    <s v="018-2100-000"/>
    <s v="Food Sales"/>
    <n v="10413.248000000001"/>
    <n v="0"/>
    <s v="Daily Sales Import"/>
    <n v="-10413.248000000001"/>
    <n v="10413.248000000001"/>
    <x v="2"/>
    <s v="2100"/>
    <s v="000"/>
    <x v="0"/>
    <x v="1"/>
  </r>
  <r>
    <d v="2012-10-19T00:00:00"/>
    <s v="018-2210-000"/>
    <s v="Liquor Sales"/>
    <n v="3384.14"/>
    <n v="0"/>
    <s v="Daily Sales Import"/>
    <n v="-3384.14"/>
    <n v="3384.14"/>
    <x v="2"/>
    <s v="2210"/>
    <s v="000"/>
    <x v="0"/>
    <x v="1"/>
  </r>
  <r>
    <d v="2012-10-19T00:00:00"/>
    <s v="018-2220-000"/>
    <s v="Beer Sales"/>
    <n v="818.59799999999996"/>
    <n v="0"/>
    <s v="Daily Sales Import"/>
    <n v="-818.59799999999996"/>
    <n v="818.59799999999996"/>
    <x v="2"/>
    <s v="2220"/>
    <s v="000"/>
    <x v="0"/>
    <x v="1"/>
  </r>
  <r>
    <d v="2012-10-19T00:00:00"/>
    <s v="018-2230-000"/>
    <s v="Wine Sales"/>
    <n v="96.505999999999986"/>
    <n v="0"/>
    <s v="Daily Sales Import"/>
    <n v="-96.505999999999986"/>
    <n v="96.505999999999986"/>
    <x v="2"/>
    <s v="2230"/>
    <s v="000"/>
    <x v="0"/>
    <x v="1"/>
  </r>
  <r>
    <d v="2012-10-20T00:00:00"/>
    <s v="018-2100-000"/>
    <s v="Food Sales"/>
    <n v="18739.365000000002"/>
    <n v="0"/>
    <s v="Daily Sales Import"/>
    <n v="-18739.365000000002"/>
    <n v="18739.365000000002"/>
    <x v="2"/>
    <s v="2100"/>
    <s v="000"/>
    <x v="0"/>
    <x v="1"/>
  </r>
  <r>
    <d v="2012-10-20T00:00:00"/>
    <s v="018-2210-000"/>
    <s v="Liquor Sales"/>
    <n v="4646.5650000000005"/>
    <n v="0"/>
    <s v="Daily Sales Import"/>
    <n v="-4646.5650000000005"/>
    <n v="4646.5650000000005"/>
    <x v="2"/>
    <s v="2210"/>
    <s v="000"/>
    <x v="0"/>
    <x v="1"/>
  </r>
  <r>
    <d v="2012-10-20T00:00:00"/>
    <s v="018-2220-000"/>
    <s v="Beer Sales"/>
    <n v="802.31399999999996"/>
    <n v="0"/>
    <s v="Daily Sales Import"/>
    <n v="-802.31399999999996"/>
    <n v="802.31399999999996"/>
    <x v="2"/>
    <s v="2220"/>
    <s v="000"/>
    <x v="0"/>
    <x v="1"/>
  </r>
  <r>
    <d v="2012-10-20T00:00:00"/>
    <s v="018-2230-000"/>
    <s v="Wine Sales"/>
    <n v="149.5615"/>
    <n v="0"/>
    <s v="Daily Sales Import"/>
    <n v="-149.5615"/>
    <n v="149.5615"/>
    <x v="2"/>
    <s v="2230"/>
    <s v="000"/>
    <x v="0"/>
    <x v="1"/>
  </r>
  <r>
    <d v="2012-10-21T00:00:00"/>
    <s v="018-2100-000"/>
    <s v="Food Sales"/>
    <n v="11400.773999999999"/>
    <n v="0"/>
    <s v="Daily Sales Import"/>
    <n v="-11400.773999999999"/>
    <n v="11400.773999999999"/>
    <x v="2"/>
    <s v="2100"/>
    <s v="000"/>
    <x v="0"/>
    <x v="1"/>
  </r>
  <r>
    <d v="2012-10-21T00:00:00"/>
    <s v="018-2210-000"/>
    <s v="Liquor Sales"/>
    <n v="1660.89"/>
    <n v="0"/>
    <s v="Daily Sales Import"/>
    <n v="-1660.89"/>
    <n v="1660.89"/>
    <x v="2"/>
    <s v="2210"/>
    <s v="000"/>
    <x v="0"/>
    <x v="1"/>
  </r>
  <r>
    <d v="2012-10-21T00:00:00"/>
    <s v="018-2220-000"/>
    <s v="Beer Sales"/>
    <n v="307.83150000000001"/>
    <n v="0"/>
    <s v="Daily Sales Import"/>
    <n v="-307.83150000000001"/>
    <n v="307.83150000000001"/>
    <x v="2"/>
    <s v="2220"/>
    <s v="000"/>
    <x v="0"/>
    <x v="1"/>
  </r>
  <r>
    <d v="2012-10-21T00:00:00"/>
    <s v="018-2230-000"/>
    <s v="Wine Sales"/>
    <n v="105.74100000000001"/>
    <n v="0"/>
    <s v="Daily Sales Import"/>
    <n v="-105.74100000000001"/>
    <n v="105.74100000000001"/>
    <x v="2"/>
    <s v="2230"/>
    <s v="000"/>
    <x v="0"/>
    <x v="1"/>
  </r>
  <r>
    <d v="2012-10-22T00:00:00"/>
    <s v="016-2100-000"/>
    <s v="Food Sales"/>
    <n v="3404.6739999999995"/>
    <n v="0"/>
    <s v="Daily Sales Import"/>
    <n v="-3404.6739999999995"/>
    <n v="3404.6739999999995"/>
    <x v="0"/>
    <s v="2100"/>
    <s v="000"/>
    <x v="0"/>
    <x v="1"/>
  </r>
  <r>
    <d v="2012-10-22T00:00:00"/>
    <s v="016-2210-000"/>
    <s v="Liquor Sales"/>
    <n v="1571.0725"/>
    <n v="0"/>
    <s v="Daily Sales Import"/>
    <n v="-1571.0725"/>
    <n v="1571.0725"/>
    <x v="0"/>
    <s v="2210"/>
    <s v="000"/>
    <x v="0"/>
    <x v="1"/>
  </r>
  <r>
    <d v="2012-10-22T00:00:00"/>
    <s v="016-2220-000"/>
    <s v="Beer Sales"/>
    <n v="308.06849999999997"/>
    <n v="0"/>
    <s v="Daily Sales Import"/>
    <n v="-308.06849999999997"/>
    <n v="308.06849999999997"/>
    <x v="0"/>
    <s v="2220"/>
    <s v="000"/>
    <x v="0"/>
    <x v="1"/>
  </r>
  <r>
    <d v="2012-10-22T00:00:00"/>
    <s v="016-2230-000"/>
    <s v="Wine Sales"/>
    <n v="134.9015"/>
    <n v="0"/>
    <s v="Daily Sales Import"/>
    <n v="-134.9015"/>
    <n v="134.9015"/>
    <x v="0"/>
    <s v="2230"/>
    <s v="000"/>
    <x v="0"/>
    <x v="1"/>
  </r>
  <r>
    <d v="2012-10-23T00:00:00"/>
    <s v="016-2100-000"/>
    <s v="Food Sales"/>
    <n v="6982.4480000000003"/>
    <n v="0"/>
    <s v="Daily Sales Import"/>
    <n v="-6982.4480000000003"/>
    <n v="6982.4480000000003"/>
    <x v="0"/>
    <s v="2100"/>
    <s v="000"/>
    <x v="0"/>
    <x v="1"/>
  </r>
  <r>
    <d v="2012-10-23T00:00:00"/>
    <s v="016-2210-000"/>
    <s v="Liquor Sales"/>
    <n v="2559.3000000000002"/>
    <n v="0"/>
    <s v="Daily Sales Import"/>
    <n v="-2559.3000000000002"/>
    <n v="2559.3000000000002"/>
    <x v="0"/>
    <s v="2210"/>
    <s v="000"/>
    <x v="0"/>
    <x v="1"/>
  </r>
  <r>
    <d v="2012-10-23T00:00:00"/>
    <s v="016-2220-000"/>
    <s v="Beer Sales"/>
    <n v="622.04700000000003"/>
    <n v="0"/>
    <s v="Daily Sales Import"/>
    <n v="-622.04700000000003"/>
    <n v="622.04700000000003"/>
    <x v="0"/>
    <s v="2220"/>
    <s v="000"/>
    <x v="0"/>
    <x v="1"/>
  </r>
  <r>
    <d v="2012-10-23T00:00:00"/>
    <s v="016-2230-000"/>
    <s v="Wine Sales"/>
    <n v="137.43199999999999"/>
    <n v="0"/>
    <s v="Daily Sales Import"/>
    <n v="-137.43199999999999"/>
    <n v="137.43199999999999"/>
    <x v="0"/>
    <s v="2230"/>
    <s v="000"/>
    <x v="0"/>
    <x v="1"/>
  </r>
  <r>
    <d v="2012-10-24T00:00:00"/>
    <s v="016-2100-000"/>
    <s v="Food Sales"/>
    <n v="1926.0223999999998"/>
    <n v="0"/>
    <s v="Daily Sales Import"/>
    <n v="-1926.0223999999998"/>
    <n v="1926.0223999999998"/>
    <x v="0"/>
    <s v="2100"/>
    <s v="000"/>
    <x v="0"/>
    <x v="1"/>
  </r>
  <r>
    <d v="2012-10-24T00:00:00"/>
    <s v="016-2210-000"/>
    <s v="Liquor Sales"/>
    <n v="1185.8475999999998"/>
    <n v="0"/>
    <s v="Daily Sales Import"/>
    <n v="-1185.8475999999998"/>
    <n v="1185.8475999999998"/>
    <x v="0"/>
    <s v="2210"/>
    <s v="000"/>
    <x v="0"/>
    <x v="1"/>
  </r>
  <r>
    <d v="2012-10-24T00:00:00"/>
    <s v="016-2220-000"/>
    <s v="Beer Sales"/>
    <n v="91.381500000000003"/>
    <n v="0"/>
    <s v="Daily Sales Import"/>
    <n v="-91.381500000000003"/>
    <n v="91.381500000000003"/>
    <x v="0"/>
    <s v="2220"/>
    <s v="000"/>
    <x v="0"/>
    <x v="1"/>
  </r>
  <r>
    <d v="2012-10-24T00:00:00"/>
    <s v="016-2230-000"/>
    <s v="Wine Sales"/>
    <n v="16.285500000000003"/>
    <n v="0"/>
    <s v="Daily Sales Import"/>
    <n v="-16.285500000000003"/>
    <n v="16.285500000000003"/>
    <x v="0"/>
    <s v="2230"/>
    <s v="000"/>
    <x v="0"/>
    <x v="1"/>
  </r>
  <r>
    <d v="2012-10-25T00:00:00"/>
    <s v="016-2100-000"/>
    <s v="Food Sales"/>
    <n v="2715.4140000000002"/>
    <n v="0"/>
    <s v="Daily Sales Import"/>
    <n v="-2715.4140000000002"/>
    <n v="2715.4140000000002"/>
    <x v="0"/>
    <s v="2100"/>
    <s v="000"/>
    <x v="0"/>
    <x v="1"/>
  </r>
  <r>
    <d v="2012-10-25T00:00:00"/>
    <s v="016-2210-000"/>
    <s v="Liquor Sales"/>
    <n v="627.44600000000003"/>
    <n v="0"/>
    <s v="Daily Sales Import"/>
    <n v="-627.44600000000003"/>
    <n v="627.44600000000003"/>
    <x v="0"/>
    <s v="2210"/>
    <s v="000"/>
    <x v="0"/>
    <x v="1"/>
  </r>
  <r>
    <d v="2012-10-25T00:00:00"/>
    <s v="016-2220-000"/>
    <s v="Beer Sales"/>
    <n v="111.9825"/>
    <n v="0"/>
    <s v="Daily Sales Import"/>
    <n v="-111.9825"/>
    <n v="111.9825"/>
    <x v="0"/>
    <s v="2220"/>
    <s v="000"/>
    <x v="0"/>
    <x v="1"/>
  </r>
  <r>
    <d v="2012-10-25T00:00:00"/>
    <s v="016-2230-000"/>
    <s v="Wine Sales"/>
    <n v="70.354500000000016"/>
    <n v="0"/>
    <s v="Daily Sales Import"/>
    <n v="-70.354500000000016"/>
    <n v="70.354500000000016"/>
    <x v="0"/>
    <s v="2230"/>
    <s v="000"/>
    <x v="0"/>
    <x v="1"/>
  </r>
  <r>
    <d v="2012-10-26T00:00:00"/>
    <s v="016-2100-000"/>
    <s v="Food Sales"/>
    <n v="4756.0156999999999"/>
    <n v="0"/>
    <s v="Daily Sales Import"/>
    <n v="-4756.0156999999999"/>
    <n v="4756.0156999999999"/>
    <x v="0"/>
    <s v="2100"/>
    <s v="000"/>
    <x v="0"/>
    <x v="1"/>
  </r>
  <r>
    <d v="2012-10-26T00:00:00"/>
    <s v="016-2210-000"/>
    <s v="Liquor Sales"/>
    <n v="1580.5529999999999"/>
    <n v="0"/>
    <s v="Daily Sales Import"/>
    <n v="-1580.5529999999999"/>
    <n v="1580.5529999999999"/>
    <x v="0"/>
    <s v="2210"/>
    <s v="000"/>
    <x v="0"/>
    <x v="1"/>
  </r>
  <r>
    <d v="2012-10-26T00:00:00"/>
    <s v="016-2220-000"/>
    <s v="Beer Sales"/>
    <n v="463.68000000000006"/>
    <n v="0"/>
    <s v="Daily Sales Import"/>
    <n v="-463.68000000000006"/>
    <n v="463.68000000000006"/>
    <x v="0"/>
    <s v="2220"/>
    <s v="000"/>
    <x v="0"/>
    <x v="1"/>
  </r>
  <r>
    <d v="2012-10-26T00:00:00"/>
    <s v="016-2230-000"/>
    <s v="Wine Sales"/>
    <n v="69.567999999999998"/>
    <n v="0"/>
    <s v="Daily Sales Import"/>
    <n v="-69.567999999999998"/>
    <n v="69.567999999999998"/>
    <x v="0"/>
    <s v="2230"/>
    <s v="000"/>
    <x v="0"/>
    <x v="1"/>
  </r>
  <r>
    <d v="2012-10-27T00:00:00"/>
    <s v="016-2100-000"/>
    <s v="Food Sales"/>
    <n v="9644.4270000000015"/>
    <n v="0"/>
    <s v="Daily Sales Import"/>
    <n v="-9644.4270000000015"/>
    <n v="9644.4270000000015"/>
    <x v="0"/>
    <s v="2100"/>
    <s v="000"/>
    <x v="0"/>
    <x v="1"/>
  </r>
  <r>
    <d v="2012-10-27T00:00:00"/>
    <s v="016-2210-000"/>
    <s v="Liquor Sales"/>
    <n v="3391.2960000000003"/>
    <n v="0"/>
    <s v="Daily Sales Import"/>
    <n v="-3391.2960000000003"/>
    <n v="3391.2960000000003"/>
    <x v="0"/>
    <s v="2210"/>
    <s v="000"/>
    <x v="0"/>
    <x v="1"/>
  </r>
  <r>
    <d v="2012-10-27T00:00:00"/>
    <s v="016-2220-000"/>
    <s v="Beer Sales"/>
    <n v="371.05099999999999"/>
    <n v="0"/>
    <s v="Daily Sales Import"/>
    <n v="-371.05099999999999"/>
    <n v="371.05099999999999"/>
    <x v="0"/>
    <s v="2220"/>
    <s v="000"/>
    <x v="0"/>
    <x v="1"/>
  </r>
  <r>
    <d v="2012-10-27T00:00:00"/>
    <s v="016-2230-000"/>
    <s v="Wine Sales"/>
    <n v="216.33300000000003"/>
    <n v="0"/>
    <s v="Daily Sales Import"/>
    <n v="-216.33300000000003"/>
    <n v="216.33300000000003"/>
    <x v="0"/>
    <s v="2230"/>
    <s v="000"/>
    <x v="0"/>
    <x v="1"/>
  </r>
  <r>
    <d v="2012-10-28T00:00:00"/>
    <s v="016-2100-000"/>
    <s v="Food Sales"/>
    <n v="3643.9619999999995"/>
    <n v="0"/>
    <s v="Daily Sales Import"/>
    <n v="-3643.9619999999995"/>
    <n v="3643.9619999999995"/>
    <x v="0"/>
    <s v="2100"/>
    <s v="000"/>
    <x v="0"/>
    <x v="1"/>
  </r>
  <r>
    <d v="2012-10-28T00:00:00"/>
    <s v="016-2210-000"/>
    <s v="Liquor Sales"/>
    <n v="960.56999999999994"/>
    <n v="0"/>
    <s v="Daily Sales Import"/>
    <n v="-960.56999999999994"/>
    <n v="960.56999999999994"/>
    <x v="0"/>
    <s v="2210"/>
    <s v="000"/>
    <x v="0"/>
    <x v="1"/>
  </r>
  <r>
    <d v="2012-10-28T00:00:00"/>
    <s v="016-2220-000"/>
    <s v="Beer Sales"/>
    <n v="162.81"/>
    <n v="0"/>
    <s v="Daily Sales Import"/>
    <n v="-162.81"/>
    <n v="162.81"/>
    <x v="0"/>
    <s v="2220"/>
    <s v="000"/>
    <x v="0"/>
    <x v="1"/>
  </r>
  <r>
    <d v="2012-10-28T00:00:00"/>
    <s v="016-2230-000"/>
    <s v="Wine Sales"/>
    <n v="156.48750000000001"/>
    <n v="0"/>
    <s v="Daily Sales Import"/>
    <n v="-156.48750000000001"/>
    <n v="156.48750000000001"/>
    <x v="0"/>
    <s v="2230"/>
    <s v="000"/>
    <x v="0"/>
    <x v="1"/>
  </r>
  <r>
    <d v="2012-10-22T00:00:00"/>
    <s v="017-2100-000"/>
    <s v="Food Sales"/>
    <n v="4704.9624000000003"/>
    <n v="0"/>
    <s v="Daily Sales Import"/>
    <n v="-4704.9624000000003"/>
    <n v="4704.9624000000003"/>
    <x v="1"/>
    <s v="2100"/>
    <s v="000"/>
    <x v="0"/>
    <x v="1"/>
  </r>
  <r>
    <d v="2012-10-22T00:00:00"/>
    <s v="017-2210-000"/>
    <s v="Liquor Sales"/>
    <n v="1311.6899999999998"/>
    <n v="0"/>
    <s v="Daily Sales Import"/>
    <n v="-1311.6899999999998"/>
    <n v="1311.6899999999998"/>
    <x v="1"/>
    <s v="2210"/>
    <s v="000"/>
    <x v="0"/>
    <x v="1"/>
  </r>
  <r>
    <d v="2012-10-22T00:00:00"/>
    <s v="017-2220-000"/>
    <s v="Beer Sales"/>
    <n v="365.625"/>
    <n v="0"/>
    <s v="Daily Sales Import"/>
    <n v="-365.625"/>
    <n v="365.625"/>
    <x v="1"/>
    <s v="2220"/>
    <s v="000"/>
    <x v="0"/>
    <x v="1"/>
  </r>
  <r>
    <d v="2012-10-22T00:00:00"/>
    <s v="017-2230-000"/>
    <s v="Wine Sales"/>
    <n v="95.257500000000007"/>
    <n v="0"/>
    <s v="Daily Sales Import"/>
    <n v="-95.257500000000007"/>
    <n v="95.257500000000007"/>
    <x v="1"/>
    <s v="2230"/>
    <s v="000"/>
    <x v="0"/>
    <x v="1"/>
  </r>
  <r>
    <d v="2012-10-23T00:00:00"/>
    <s v="017-2100-000"/>
    <s v="Food Sales"/>
    <n v="4520.9625999999998"/>
    <n v="0"/>
    <s v="Daily Sales Import"/>
    <n v="-4520.9625999999998"/>
    <n v="4520.9625999999998"/>
    <x v="1"/>
    <s v="2100"/>
    <s v="000"/>
    <x v="0"/>
    <x v="1"/>
  </r>
  <r>
    <d v="2012-10-23T00:00:00"/>
    <s v="017-2210-000"/>
    <s v="Liquor Sales"/>
    <n v="1311.57"/>
    <n v="0"/>
    <s v="Daily Sales Import"/>
    <n v="-1311.57"/>
    <n v="1311.57"/>
    <x v="1"/>
    <s v="2210"/>
    <s v="000"/>
    <x v="0"/>
    <x v="1"/>
  </r>
  <r>
    <d v="2012-10-23T00:00:00"/>
    <s v="017-2220-000"/>
    <s v="Beer Sales"/>
    <n v="401.76"/>
    <n v="0"/>
    <s v="Daily Sales Import"/>
    <n v="-401.76"/>
    <n v="401.76"/>
    <x v="1"/>
    <s v="2220"/>
    <s v="000"/>
    <x v="0"/>
    <x v="1"/>
  </r>
  <r>
    <d v="2012-10-23T00:00:00"/>
    <s v="017-2230-000"/>
    <s v="Wine Sales"/>
    <n v="67.076999999999998"/>
    <n v="0"/>
    <s v="Daily Sales Import"/>
    <n v="-67.076999999999998"/>
    <n v="67.076999999999998"/>
    <x v="1"/>
    <s v="2230"/>
    <s v="000"/>
    <x v="0"/>
    <x v="1"/>
  </r>
  <r>
    <d v="2012-10-24T00:00:00"/>
    <s v="017-2100-000"/>
    <s v="Food Sales"/>
    <n v="5435.8722000000007"/>
    <n v="0"/>
    <s v="Daily Sales Import"/>
    <n v="-5435.8722000000007"/>
    <n v="5435.8722000000007"/>
    <x v="1"/>
    <s v="2100"/>
    <s v="000"/>
    <x v="0"/>
    <x v="1"/>
  </r>
  <r>
    <d v="2012-10-24T00:00:00"/>
    <s v="017-2210-000"/>
    <s v="Liquor Sales"/>
    <n v="1642.6899999999998"/>
    <n v="0"/>
    <s v="Daily Sales Import"/>
    <n v="-1642.6899999999998"/>
    <n v="1642.6899999999998"/>
    <x v="1"/>
    <s v="2210"/>
    <s v="000"/>
    <x v="0"/>
    <x v="1"/>
  </r>
  <r>
    <d v="2012-10-24T00:00:00"/>
    <s v="017-2220-000"/>
    <s v="Beer Sales"/>
    <n v="487.11"/>
    <n v="0"/>
    <s v="Daily Sales Import"/>
    <n v="-487.11"/>
    <n v="487.11"/>
    <x v="1"/>
    <s v="2220"/>
    <s v="000"/>
    <x v="0"/>
    <x v="1"/>
  </r>
  <r>
    <d v="2012-10-24T00:00:00"/>
    <s v="017-2230-000"/>
    <s v="Wine Sales"/>
    <n v="50.830000000000005"/>
    <n v="0"/>
    <s v="Daily Sales Import"/>
    <n v="-50.830000000000005"/>
    <n v="50.830000000000005"/>
    <x v="1"/>
    <s v="2230"/>
    <s v="000"/>
    <x v="0"/>
    <x v="1"/>
  </r>
  <r>
    <d v="2012-10-25T00:00:00"/>
    <s v="017-2100-000"/>
    <s v="Food Sales"/>
    <n v="5599.8160000000007"/>
    <n v="0"/>
    <s v="Daily Sales Import"/>
    <n v="-5599.8160000000007"/>
    <n v="5599.8160000000007"/>
    <x v="1"/>
    <s v="2100"/>
    <s v="000"/>
    <x v="0"/>
    <x v="1"/>
  </r>
  <r>
    <d v="2012-10-25T00:00:00"/>
    <s v="017-2210-000"/>
    <s v="Liquor Sales"/>
    <n v="1440.7840000000003"/>
    <n v="0"/>
    <s v="Daily Sales Import"/>
    <n v="-1440.7840000000003"/>
    <n v="1440.7840000000003"/>
    <x v="1"/>
    <s v="2210"/>
    <s v="000"/>
    <x v="0"/>
    <x v="1"/>
  </r>
  <r>
    <d v="2012-10-25T00:00:00"/>
    <s v="017-2220-000"/>
    <s v="Beer Sales"/>
    <n v="402.4425"/>
    <n v="0"/>
    <s v="Daily Sales Import"/>
    <n v="-402.4425"/>
    <n v="402.4425"/>
    <x v="1"/>
    <s v="2220"/>
    <s v="000"/>
    <x v="0"/>
    <x v="1"/>
  </r>
  <r>
    <d v="2012-10-25T00:00:00"/>
    <s v="017-2230-000"/>
    <s v="Wine Sales"/>
    <n v="218.196"/>
    <n v="0"/>
    <s v="Daily Sales Import"/>
    <n v="-218.196"/>
    <n v="218.196"/>
    <x v="1"/>
    <s v="2230"/>
    <s v="000"/>
    <x v="0"/>
    <x v="1"/>
  </r>
  <r>
    <d v="2012-10-26T00:00:00"/>
    <s v="017-2100-000"/>
    <s v="Food Sales"/>
    <n v="6433.3824000000004"/>
    <n v="0"/>
    <s v="Daily Sales Import"/>
    <n v="-6433.3824000000004"/>
    <n v="6433.3824000000004"/>
    <x v="1"/>
    <s v="2100"/>
    <s v="000"/>
    <x v="0"/>
    <x v="1"/>
  </r>
  <r>
    <d v="2012-10-26T00:00:00"/>
    <s v="017-2210-000"/>
    <s v="Liquor Sales"/>
    <n v="1464.856"/>
    <n v="0"/>
    <s v="Daily Sales Import"/>
    <n v="-1464.856"/>
    <n v="1464.856"/>
    <x v="1"/>
    <s v="2210"/>
    <s v="000"/>
    <x v="0"/>
    <x v="1"/>
  </r>
  <r>
    <d v="2012-10-26T00:00:00"/>
    <s v="017-2220-000"/>
    <s v="Beer Sales"/>
    <n v="490.67499999999995"/>
    <n v="0"/>
    <s v="Daily Sales Import"/>
    <n v="-490.67499999999995"/>
    <n v="490.67499999999995"/>
    <x v="1"/>
    <s v="2220"/>
    <s v="000"/>
    <x v="0"/>
    <x v="1"/>
  </r>
  <r>
    <d v="2012-10-26T00:00:00"/>
    <s v="017-2230-000"/>
    <s v="Wine Sales"/>
    <n v="205.755"/>
    <n v="0"/>
    <s v="Daily Sales Import"/>
    <n v="-205.755"/>
    <n v="205.755"/>
    <x v="1"/>
    <s v="2230"/>
    <s v="000"/>
    <x v="0"/>
    <x v="1"/>
  </r>
  <r>
    <d v="2012-10-27T00:00:00"/>
    <s v="017-2100-000"/>
    <s v="Food Sales"/>
    <n v="5646.3163999999997"/>
    <n v="0"/>
    <s v="Daily Sales Import"/>
    <n v="-5646.3163999999997"/>
    <n v="5646.3163999999997"/>
    <x v="1"/>
    <s v="2100"/>
    <s v="000"/>
    <x v="0"/>
    <x v="1"/>
  </r>
  <r>
    <d v="2012-10-27T00:00:00"/>
    <s v="017-2210-000"/>
    <s v="Liquor Sales"/>
    <n v="1177.7659999999998"/>
    <n v="0"/>
    <s v="Daily Sales Import"/>
    <n v="-1177.7659999999998"/>
    <n v="1177.7659999999998"/>
    <x v="1"/>
    <s v="2210"/>
    <s v="000"/>
    <x v="0"/>
    <x v="1"/>
  </r>
  <r>
    <d v="2012-10-27T00:00:00"/>
    <s v="017-2220-000"/>
    <s v="Beer Sales"/>
    <n v="236.67750000000001"/>
    <n v="0"/>
    <s v="Daily Sales Import"/>
    <n v="-236.67750000000001"/>
    <n v="236.67750000000001"/>
    <x v="1"/>
    <s v="2220"/>
    <s v="000"/>
    <x v="0"/>
    <x v="1"/>
  </r>
  <r>
    <d v="2012-10-27T00:00:00"/>
    <s v="017-2230-000"/>
    <s v="Wine Sales"/>
    <n v="56.375999999999998"/>
    <n v="0"/>
    <s v="Daily Sales Import"/>
    <n v="-56.375999999999998"/>
    <n v="56.375999999999998"/>
    <x v="1"/>
    <s v="2230"/>
    <s v="000"/>
    <x v="0"/>
    <x v="1"/>
  </r>
  <r>
    <d v="2012-10-28T00:00:00"/>
    <s v="017-2100-000"/>
    <s v="Food Sales"/>
    <n v="3801.1285000000003"/>
    <n v="0"/>
    <s v="Daily Sales Import"/>
    <n v="-3801.1285000000003"/>
    <n v="3801.1285000000003"/>
    <x v="1"/>
    <s v="2100"/>
    <s v="000"/>
    <x v="0"/>
    <x v="1"/>
  </r>
  <r>
    <d v="2012-10-28T00:00:00"/>
    <s v="017-2210-000"/>
    <s v="Liquor Sales"/>
    <n v="821.61199999999997"/>
    <n v="0"/>
    <s v="Daily Sales Import"/>
    <n v="-821.61199999999997"/>
    <n v="821.61199999999997"/>
    <x v="1"/>
    <s v="2210"/>
    <s v="000"/>
    <x v="0"/>
    <x v="1"/>
  </r>
  <r>
    <d v="2012-10-28T00:00:00"/>
    <s v="017-2220-000"/>
    <s v="Beer Sales"/>
    <n v="110.205"/>
    <n v="0"/>
    <s v="Daily Sales Import"/>
    <n v="-110.205"/>
    <n v="110.205"/>
    <x v="1"/>
    <s v="2220"/>
    <s v="000"/>
    <x v="0"/>
    <x v="1"/>
  </r>
  <r>
    <d v="2012-10-28T00:00:00"/>
    <s v="017-2230-000"/>
    <s v="Wine Sales"/>
    <n v="32.571000000000005"/>
    <n v="0"/>
    <s v="Daily Sales Import"/>
    <n v="-32.571000000000005"/>
    <n v="32.571000000000005"/>
    <x v="1"/>
    <s v="2230"/>
    <s v="000"/>
    <x v="0"/>
    <x v="1"/>
  </r>
  <r>
    <d v="2012-10-22T00:00:00"/>
    <s v="018-2100-000"/>
    <s v="Food Sales"/>
    <n v="3677.3896000000004"/>
    <n v="0"/>
    <s v="Daily Sales Import"/>
    <n v="-3677.3896000000004"/>
    <n v="3677.3896000000004"/>
    <x v="2"/>
    <s v="2100"/>
    <s v="000"/>
    <x v="0"/>
    <x v="1"/>
  </r>
  <r>
    <d v="2012-10-22T00:00:00"/>
    <s v="018-2210-000"/>
    <s v="Liquor Sales"/>
    <n v="474.23699999999991"/>
    <n v="0"/>
    <s v="Daily Sales Import"/>
    <n v="-474.23699999999991"/>
    <n v="474.23699999999991"/>
    <x v="2"/>
    <s v="2210"/>
    <s v="000"/>
    <x v="0"/>
    <x v="1"/>
  </r>
  <r>
    <d v="2012-10-22T00:00:00"/>
    <s v="018-2220-000"/>
    <s v="Beer Sales"/>
    <n v="114.57600000000001"/>
    <n v="0"/>
    <s v="Daily Sales Import"/>
    <n v="-114.57600000000001"/>
    <n v="114.57600000000001"/>
    <x v="2"/>
    <s v="2220"/>
    <s v="000"/>
    <x v="0"/>
    <x v="1"/>
  </r>
  <r>
    <d v="2012-10-22T00:00:00"/>
    <s v="018-2230-000"/>
    <s v="Wine Sales"/>
    <n v="42.679000000000002"/>
    <n v="0"/>
    <s v="Daily Sales Import"/>
    <n v="-42.679000000000002"/>
    <n v="42.679000000000002"/>
    <x v="2"/>
    <s v="2230"/>
    <s v="000"/>
    <x v="0"/>
    <x v="1"/>
  </r>
  <r>
    <d v="2012-10-23T00:00:00"/>
    <s v="018-2100-000"/>
    <s v="Food Sales"/>
    <n v="3647.9624999999996"/>
    <n v="0"/>
    <s v="Daily Sales Import"/>
    <n v="-3647.9624999999996"/>
    <n v="3647.9624999999996"/>
    <x v="2"/>
    <s v="2100"/>
    <s v="000"/>
    <x v="0"/>
    <x v="1"/>
  </r>
  <r>
    <d v="2012-10-23T00:00:00"/>
    <s v="018-2210-000"/>
    <s v="Liquor Sales"/>
    <n v="1061.55"/>
    <n v="0"/>
    <s v="Daily Sales Import"/>
    <n v="-1061.55"/>
    <n v="1061.55"/>
    <x v="2"/>
    <s v="2210"/>
    <s v="000"/>
    <x v="0"/>
    <x v="1"/>
  </r>
  <r>
    <d v="2012-10-23T00:00:00"/>
    <s v="018-2220-000"/>
    <s v="Beer Sales"/>
    <n v="186.12"/>
    <n v="0"/>
    <s v="Daily Sales Import"/>
    <n v="-186.12"/>
    <n v="186.12"/>
    <x v="2"/>
    <s v="2220"/>
    <s v="000"/>
    <x v="0"/>
    <x v="1"/>
  </r>
  <r>
    <d v="2012-10-23T00:00:00"/>
    <s v="018-2230-000"/>
    <s v="Wine Sales"/>
    <n v="39.195"/>
    <n v="0"/>
    <s v="Daily Sales Import"/>
    <n v="-39.195"/>
    <n v="39.195"/>
    <x v="2"/>
    <s v="2230"/>
    <s v="000"/>
    <x v="0"/>
    <x v="1"/>
  </r>
  <r>
    <d v="2012-10-24T00:00:00"/>
    <s v="018-2100-000"/>
    <s v="Food Sales"/>
    <n v="6163.7672000000002"/>
    <n v="0"/>
    <s v="Daily Sales Import"/>
    <n v="-6163.7672000000002"/>
    <n v="6163.7672000000002"/>
    <x v="2"/>
    <s v="2100"/>
    <s v="000"/>
    <x v="0"/>
    <x v="1"/>
  </r>
  <r>
    <d v="2012-10-24T00:00:00"/>
    <s v="018-2210-000"/>
    <s v="Liquor Sales"/>
    <n v="1165.8"/>
    <n v="0"/>
    <s v="Daily Sales Import"/>
    <n v="-1165.8"/>
    <n v="1165.8"/>
    <x v="2"/>
    <s v="2210"/>
    <s v="000"/>
    <x v="0"/>
    <x v="1"/>
  </r>
  <r>
    <d v="2012-10-24T00:00:00"/>
    <s v="018-2220-000"/>
    <s v="Beer Sales"/>
    <n v="257.64000000000004"/>
    <n v="0"/>
    <s v="Daily Sales Import"/>
    <n v="-257.64000000000004"/>
    <n v="257.64000000000004"/>
    <x v="2"/>
    <s v="2220"/>
    <s v="000"/>
    <x v="0"/>
    <x v="1"/>
  </r>
  <r>
    <d v="2012-10-24T00:00:00"/>
    <s v="018-2230-000"/>
    <s v="Wine Sales"/>
    <n v="42.499499999999998"/>
    <n v="0"/>
    <s v="Daily Sales Import"/>
    <n v="-42.499499999999998"/>
    <n v="42.499499999999998"/>
    <x v="2"/>
    <s v="2230"/>
    <s v="000"/>
    <x v="0"/>
    <x v="1"/>
  </r>
  <r>
    <d v="2012-10-25T00:00:00"/>
    <s v="018-2100-000"/>
    <s v="Food Sales"/>
    <n v="4143.2236999999996"/>
    <n v="0"/>
    <s v="Daily Sales Import"/>
    <n v="-4143.2236999999996"/>
    <n v="4143.2236999999996"/>
    <x v="2"/>
    <s v="2100"/>
    <s v="000"/>
    <x v="0"/>
    <x v="1"/>
  </r>
  <r>
    <d v="2012-10-25T00:00:00"/>
    <s v="018-2210-000"/>
    <s v="Liquor Sales"/>
    <n v="913.15350000000001"/>
    <n v="0"/>
    <s v="Daily Sales Import"/>
    <n v="-913.15350000000001"/>
    <n v="913.15350000000001"/>
    <x v="2"/>
    <s v="2210"/>
    <s v="000"/>
    <x v="0"/>
    <x v="1"/>
  </r>
  <r>
    <d v="2012-10-25T00:00:00"/>
    <s v="018-2220-000"/>
    <s v="Beer Sales"/>
    <n v="284.80500000000001"/>
    <n v="0"/>
    <s v="Daily Sales Import"/>
    <n v="-284.80500000000001"/>
    <n v="284.80500000000001"/>
    <x v="2"/>
    <s v="2220"/>
    <s v="000"/>
    <x v="0"/>
    <x v="1"/>
  </r>
  <r>
    <d v="2012-10-25T00:00:00"/>
    <s v="018-2230-000"/>
    <s v="Wine Sales"/>
    <n v="76.679999999999993"/>
    <n v="0"/>
    <s v="Daily Sales Import"/>
    <n v="-76.679999999999993"/>
    <n v="76.679999999999993"/>
    <x v="2"/>
    <s v="2230"/>
    <s v="000"/>
    <x v="0"/>
    <x v="1"/>
  </r>
  <r>
    <d v="2012-10-26T00:00:00"/>
    <s v="018-2100-000"/>
    <s v="Food Sales"/>
    <n v="11394.009"/>
    <n v="0"/>
    <s v="Daily Sales Import"/>
    <n v="-11394.009"/>
    <n v="11394.009"/>
    <x v="2"/>
    <s v="2100"/>
    <s v="000"/>
    <x v="0"/>
    <x v="1"/>
  </r>
  <r>
    <d v="2012-10-26T00:00:00"/>
    <s v="018-2210-000"/>
    <s v="Liquor Sales"/>
    <n v="2193.8560000000002"/>
    <n v="0"/>
    <s v="Daily Sales Import"/>
    <n v="-2193.8560000000002"/>
    <n v="2193.8560000000002"/>
    <x v="2"/>
    <s v="2210"/>
    <s v="000"/>
    <x v="0"/>
    <x v="1"/>
  </r>
  <r>
    <d v="2012-10-26T00:00:00"/>
    <s v="018-2220-000"/>
    <s v="Beer Sales"/>
    <n v="1029.5039999999999"/>
    <n v="0"/>
    <s v="Daily Sales Import"/>
    <n v="-1029.5039999999999"/>
    <n v="1029.5039999999999"/>
    <x v="2"/>
    <s v="2220"/>
    <s v="000"/>
    <x v="0"/>
    <x v="1"/>
  </r>
  <r>
    <d v="2012-10-26T00:00:00"/>
    <s v="018-2230-000"/>
    <s v="Wine Sales"/>
    <n v="117.33450000000001"/>
    <n v="0"/>
    <s v="Daily Sales Import"/>
    <n v="-117.33450000000001"/>
    <n v="117.33450000000001"/>
    <x v="2"/>
    <s v="2230"/>
    <s v="000"/>
    <x v="0"/>
    <x v="1"/>
  </r>
  <r>
    <d v="2012-10-27T00:00:00"/>
    <s v="018-2100-000"/>
    <s v="Food Sales"/>
    <n v="13137.254999999999"/>
    <n v="0"/>
    <s v="Daily Sales Import"/>
    <n v="-13137.254999999999"/>
    <n v="13137.254999999999"/>
    <x v="2"/>
    <s v="2100"/>
    <s v="000"/>
    <x v="0"/>
    <x v="1"/>
  </r>
  <r>
    <d v="2012-10-27T00:00:00"/>
    <s v="018-2210-000"/>
    <s v="Liquor Sales"/>
    <n v="2249.73"/>
    <n v="0"/>
    <s v="Daily Sales Import"/>
    <n v="-2249.73"/>
    <n v="2249.73"/>
    <x v="2"/>
    <s v="2210"/>
    <s v="000"/>
    <x v="0"/>
    <x v="1"/>
  </r>
  <r>
    <d v="2012-10-27T00:00:00"/>
    <s v="018-2220-000"/>
    <s v="Beer Sales"/>
    <n v="582.048"/>
    <n v="0"/>
    <s v="Daily Sales Import"/>
    <n v="-582.048"/>
    <n v="582.048"/>
    <x v="2"/>
    <s v="2220"/>
    <s v="000"/>
    <x v="0"/>
    <x v="1"/>
  </r>
  <r>
    <d v="2012-10-27T00:00:00"/>
    <s v="018-2230-000"/>
    <s v="Wine Sales"/>
    <n v="327.19050000000004"/>
    <n v="0"/>
    <s v="Daily Sales Import"/>
    <n v="-327.19050000000004"/>
    <n v="327.19050000000004"/>
    <x v="2"/>
    <s v="2230"/>
    <s v="000"/>
    <x v="0"/>
    <x v="1"/>
  </r>
  <r>
    <d v="2012-10-28T00:00:00"/>
    <s v="018-2100-000"/>
    <s v="Food Sales"/>
    <n v="8836.7840000000015"/>
    <n v="0"/>
    <s v="Daily Sales Import"/>
    <n v="-8836.7840000000015"/>
    <n v="8836.7840000000015"/>
    <x v="2"/>
    <s v="2100"/>
    <s v="000"/>
    <x v="0"/>
    <x v="1"/>
  </r>
  <r>
    <d v="2012-10-28T00:00:00"/>
    <s v="018-2210-000"/>
    <s v="Liquor Sales"/>
    <n v="854.84800000000007"/>
    <n v="0"/>
    <s v="Daily Sales Import"/>
    <n v="-854.84800000000007"/>
    <n v="854.84800000000007"/>
    <x v="2"/>
    <s v="2210"/>
    <s v="000"/>
    <x v="0"/>
    <x v="1"/>
  </r>
  <r>
    <d v="2012-10-28T00:00:00"/>
    <s v="018-2220-000"/>
    <s v="Beer Sales"/>
    <n v="194.73749999999998"/>
    <n v="0"/>
    <s v="Daily Sales Import"/>
    <n v="-194.73749999999998"/>
    <n v="194.73749999999998"/>
    <x v="2"/>
    <s v="2220"/>
    <s v="000"/>
    <x v="0"/>
    <x v="1"/>
  </r>
  <r>
    <d v="2012-10-28T00:00:00"/>
    <s v="018-2230-000"/>
    <s v="Wine Sales"/>
    <n v="46.294999999999995"/>
    <n v="0"/>
    <s v="Daily Sales Import"/>
    <n v="-46.294999999999995"/>
    <n v="46.294999999999995"/>
    <x v="2"/>
    <s v="2230"/>
    <s v="000"/>
    <x v="0"/>
    <x v="1"/>
  </r>
  <r>
    <d v="2012-10-29T00:00:00"/>
    <s v="016-2100-000"/>
    <s v="Food Sales"/>
    <n v="2039.7498000000001"/>
    <n v="0"/>
    <s v="Daily Sales Import"/>
    <n v="-2039.7498000000001"/>
    <n v="2039.7498000000001"/>
    <x v="0"/>
    <s v="2100"/>
    <s v="000"/>
    <x v="0"/>
    <x v="1"/>
  </r>
  <r>
    <d v="2012-10-29T00:00:00"/>
    <s v="016-2210-000"/>
    <s v="Liquor Sales"/>
    <n v="483.59999999999997"/>
    <n v="0"/>
    <s v="Daily Sales Import"/>
    <n v="-483.59999999999997"/>
    <n v="483.59999999999997"/>
    <x v="0"/>
    <s v="2210"/>
    <s v="000"/>
    <x v="0"/>
    <x v="1"/>
  </r>
  <r>
    <d v="2012-10-29T00:00:00"/>
    <s v="016-2220-000"/>
    <s v="Beer Sales"/>
    <n v="108.73199999999999"/>
    <n v="0"/>
    <s v="Daily Sales Import"/>
    <n v="-108.73199999999999"/>
    <n v="108.73199999999999"/>
    <x v="0"/>
    <s v="2220"/>
    <s v="000"/>
    <x v="0"/>
    <x v="1"/>
  </r>
  <r>
    <d v="2012-10-29T00:00:00"/>
    <s v="016-2230-000"/>
    <s v="Wine Sales"/>
    <n v="50.704499999999996"/>
    <n v="0"/>
    <s v="Daily Sales Import"/>
    <n v="-50.704499999999996"/>
    <n v="50.704499999999996"/>
    <x v="0"/>
    <s v="2230"/>
    <s v="000"/>
    <x v="0"/>
    <x v="1"/>
  </r>
  <r>
    <d v="2012-10-30T00:00:00"/>
    <s v="016-2100-000"/>
    <s v="Food Sales"/>
    <n v="4855.7047000000002"/>
    <n v="0"/>
    <s v="Daily Sales Import"/>
    <n v="-4855.7047000000002"/>
    <n v="4855.7047000000002"/>
    <x v="0"/>
    <s v="2100"/>
    <s v="000"/>
    <x v="0"/>
    <x v="1"/>
  </r>
  <r>
    <d v="2012-10-30T00:00:00"/>
    <s v="016-2210-000"/>
    <s v="Liquor Sales"/>
    <n v="1965.4290000000001"/>
    <n v="0"/>
    <s v="Daily Sales Import"/>
    <n v="-1965.4290000000001"/>
    <n v="1965.4290000000001"/>
    <x v="0"/>
    <s v="2210"/>
    <s v="000"/>
    <x v="0"/>
    <x v="1"/>
  </r>
  <r>
    <d v="2012-10-30T00:00:00"/>
    <s v="016-2220-000"/>
    <s v="Beer Sales"/>
    <n v="701.61839999999995"/>
    <n v="0"/>
    <s v="Daily Sales Import"/>
    <n v="-701.61839999999995"/>
    <n v="701.61839999999995"/>
    <x v="0"/>
    <s v="2220"/>
    <s v="000"/>
    <x v="0"/>
    <x v="1"/>
  </r>
  <r>
    <d v="2012-10-30T00:00:00"/>
    <s v="016-2230-000"/>
    <s v="Wine Sales"/>
    <n v="121.337"/>
    <n v="0"/>
    <s v="Daily Sales Import"/>
    <n v="-121.337"/>
    <n v="121.337"/>
    <x v="0"/>
    <s v="2230"/>
    <s v="000"/>
    <x v="0"/>
    <x v="1"/>
  </r>
  <r>
    <d v="2012-10-31T00:00:00"/>
    <s v="016-2100-000"/>
    <s v="Food Sales"/>
    <n v="2297.0198"/>
    <n v="0"/>
    <s v="Daily Sales Import"/>
    <n v="-2297.0198"/>
    <n v="2297.0198"/>
    <x v="0"/>
    <s v="2100"/>
    <s v="000"/>
    <x v="0"/>
    <x v="1"/>
  </r>
  <r>
    <d v="2012-10-31T00:00:00"/>
    <s v="016-2210-000"/>
    <s v="Liquor Sales"/>
    <n v="690.6825"/>
    <n v="0"/>
    <s v="Daily Sales Import"/>
    <n v="-690.6825"/>
    <n v="690.6825"/>
    <x v="0"/>
    <s v="2210"/>
    <s v="000"/>
    <x v="0"/>
    <x v="1"/>
  </r>
  <r>
    <d v="2012-10-31T00:00:00"/>
    <s v="016-2220-000"/>
    <s v="Beer Sales"/>
    <n v="94.784999999999997"/>
    <n v="0"/>
    <s v="Daily Sales Import"/>
    <n v="-94.784999999999997"/>
    <n v="94.784999999999997"/>
    <x v="0"/>
    <s v="2220"/>
    <s v="000"/>
    <x v="0"/>
    <x v="1"/>
  </r>
  <r>
    <d v="2012-10-31T00:00:00"/>
    <s v="016-2230-000"/>
    <s v="Wine Sales"/>
    <n v="26.476499999999998"/>
    <n v="0"/>
    <s v="Daily Sales Import"/>
    <n v="-26.476499999999998"/>
    <n v="26.476499999999998"/>
    <x v="0"/>
    <s v="2230"/>
    <s v="000"/>
    <x v="0"/>
    <x v="1"/>
  </r>
  <r>
    <d v="2012-11-01T00:00:00"/>
    <s v="016-2100-000"/>
    <s v="Food Sales"/>
    <n v="5128.8839999999991"/>
    <n v="0"/>
    <s v="Daily Sales Import"/>
    <n v="-5128.8839999999991"/>
    <n v="5128.8839999999991"/>
    <x v="0"/>
    <s v="2100"/>
    <s v="000"/>
    <x v="1"/>
    <x v="1"/>
  </r>
  <r>
    <d v="2012-11-01T00:00:00"/>
    <s v="016-2210-000"/>
    <s v="Liquor Sales"/>
    <n v="4608.6066000000001"/>
    <n v="0"/>
    <s v="Daily Sales Import"/>
    <n v="-4608.6066000000001"/>
    <n v="4608.6066000000001"/>
    <x v="0"/>
    <s v="2210"/>
    <s v="000"/>
    <x v="1"/>
    <x v="1"/>
  </r>
  <r>
    <d v="2012-11-01T00:00:00"/>
    <s v="016-2220-000"/>
    <s v="Beer Sales"/>
    <n v="1310.0175000000002"/>
    <n v="0"/>
    <s v="Daily Sales Import"/>
    <n v="-1310.0175000000002"/>
    <n v="1310.0175000000002"/>
    <x v="0"/>
    <s v="2220"/>
    <s v="000"/>
    <x v="1"/>
    <x v="1"/>
  </r>
  <r>
    <d v="2012-11-01T00:00:00"/>
    <s v="016-2230-000"/>
    <s v="Wine Sales"/>
    <n v="306.31500000000005"/>
    <n v="0"/>
    <s v="Daily Sales Import"/>
    <n v="-306.31500000000005"/>
    <n v="306.31500000000005"/>
    <x v="0"/>
    <s v="2230"/>
    <s v="000"/>
    <x v="1"/>
    <x v="1"/>
  </r>
  <r>
    <d v="2012-11-02T00:00:00"/>
    <s v="016-2100-000"/>
    <s v="Food Sales"/>
    <n v="8706.5579999999991"/>
    <n v="0"/>
    <s v="Daily Sales Import"/>
    <n v="-8706.5579999999991"/>
    <n v="8706.5579999999991"/>
    <x v="0"/>
    <s v="2100"/>
    <s v="000"/>
    <x v="1"/>
    <x v="1"/>
  </r>
  <r>
    <d v="2012-11-02T00:00:00"/>
    <s v="016-2210-000"/>
    <s v="Liquor Sales"/>
    <n v="3940.288"/>
    <n v="0"/>
    <s v="Daily Sales Import"/>
    <n v="-3940.288"/>
    <n v="3940.288"/>
    <x v="0"/>
    <s v="2210"/>
    <s v="000"/>
    <x v="1"/>
    <x v="1"/>
  </r>
  <r>
    <d v="2012-11-02T00:00:00"/>
    <s v="016-2220-000"/>
    <s v="Beer Sales"/>
    <n v="943.48800000000006"/>
    <n v="0"/>
    <s v="Daily Sales Import"/>
    <n v="-943.48800000000006"/>
    <n v="943.48800000000006"/>
    <x v="0"/>
    <s v="2220"/>
    <s v="000"/>
    <x v="1"/>
    <x v="1"/>
  </r>
  <r>
    <d v="2012-11-02T00:00:00"/>
    <s v="016-2230-000"/>
    <s v="Wine Sales"/>
    <n v="244.30500000000001"/>
    <n v="0"/>
    <s v="Daily Sales Import"/>
    <n v="-244.30500000000001"/>
    <n v="244.30500000000001"/>
    <x v="0"/>
    <s v="2230"/>
    <s v="000"/>
    <x v="1"/>
    <x v="1"/>
  </r>
  <r>
    <d v="2012-11-03T00:00:00"/>
    <s v="016-2100-000"/>
    <s v="Food Sales"/>
    <n v="6596.9679999999998"/>
    <n v="0"/>
    <s v="Daily Sales Import"/>
    <n v="-6596.9679999999998"/>
    <n v="6596.9679999999998"/>
    <x v="0"/>
    <s v="2100"/>
    <s v="000"/>
    <x v="1"/>
    <x v="1"/>
  </r>
  <r>
    <d v="2012-11-03T00:00:00"/>
    <s v="016-2210-000"/>
    <s v="Liquor Sales"/>
    <n v="1628.5179999999998"/>
    <n v="0"/>
    <s v="Daily Sales Import"/>
    <n v="-1628.5179999999998"/>
    <n v="1628.5179999999998"/>
    <x v="0"/>
    <s v="2210"/>
    <s v="000"/>
    <x v="1"/>
    <x v="1"/>
  </r>
  <r>
    <d v="2012-11-03T00:00:00"/>
    <s v="016-2220-000"/>
    <s v="Beer Sales"/>
    <n v="291.62399999999997"/>
    <n v="0"/>
    <s v="Daily Sales Import"/>
    <n v="-291.62399999999997"/>
    <n v="291.62399999999997"/>
    <x v="0"/>
    <s v="2220"/>
    <s v="000"/>
    <x v="1"/>
    <x v="1"/>
  </r>
  <r>
    <d v="2012-11-03T00:00:00"/>
    <s v="016-2230-000"/>
    <s v="Wine Sales"/>
    <n v="212.70400000000001"/>
    <n v="0"/>
    <s v="Daily Sales Import"/>
    <n v="-212.70400000000001"/>
    <n v="212.70400000000001"/>
    <x v="0"/>
    <s v="2230"/>
    <s v="000"/>
    <x v="1"/>
    <x v="1"/>
  </r>
  <r>
    <d v="2012-11-04T00:00:00"/>
    <s v="016-2100-000"/>
    <s v="Food Sales"/>
    <n v="4856.0257000000001"/>
    <n v="0"/>
    <s v="Daily Sales Import"/>
    <n v="-4856.0257000000001"/>
    <n v="4856.0257000000001"/>
    <x v="0"/>
    <s v="2100"/>
    <s v="000"/>
    <x v="1"/>
    <x v="1"/>
  </r>
  <r>
    <d v="2012-11-04T00:00:00"/>
    <s v="016-2210-000"/>
    <s v="Liquor Sales"/>
    <n v="867.048"/>
    <n v="0"/>
    <s v="Daily Sales Import"/>
    <n v="-867.048"/>
    <n v="867.048"/>
    <x v="0"/>
    <s v="2210"/>
    <s v="000"/>
    <x v="1"/>
    <x v="1"/>
  </r>
  <r>
    <d v="2012-11-04T00:00:00"/>
    <s v="016-2220-000"/>
    <s v="Beer Sales"/>
    <n v="170.74799999999999"/>
    <n v="0"/>
    <s v="Daily Sales Import"/>
    <n v="-170.74799999999999"/>
    <n v="170.74799999999999"/>
    <x v="0"/>
    <s v="2220"/>
    <s v="000"/>
    <x v="1"/>
    <x v="1"/>
  </r>
  <r>
    <d v="2012-11-04T00:00:00"/>
    <s v="016-2230-000"/>
    <s v="Wine Sales"/>
    <n v="230.43699999999998"/>
    <n v="0"/>
    <s v="Daily Sales Import"/>
    <n v="-230.43699999999998"/>
    <n v="230.43699999999998"/>
    <x v="0"/>
    <s v="2230"/>
    <s v="000"/>
    <x v="1"/>
    <x v="1"/>
  </r>
  <r>
    <d v="2012-10-29T00:00:00"/>
    <s v="017-2100-000"/>
    <s v="Food Sales"/>
    <n v="4706.8385000000007"/>
    <n v="0"/>
    <s v="Daily Sales Import"/>
    <n v="-4706.8385000000007"/>
    <n v="4706.8385000000007"/>
    <x v="1"/>
    <s v="2100"/>
    <s v="000"/>
    <x v="0"/>
    <x v="1"/>
  </r>
  <r>
    <d v="2012-10-29T00:00:00"/>
    <s v="017-2210-000"/>
    <s v="Liquor Sales"/>
    <n v="1473.6219999999998"/>
    <n v="0"/>
    <s v="Daily Sales Import"/>
    <n v="-1473.6219999999998"/>
    <n v="1473.6219999999998"/>
    <x v="1"/>
    <s v="2210"/>
    <s v="000"/>
    <x v="0"/>
    <x v="1"/>
  </r>
  <r>
    <d v="2012-10-29T00:00:00"/>
    <s v="017-2220-000"/>
    <s v="Beer Sales"/>
    <n v="261.95"/>
    <n v="0"/>
    <s v="Daily Sales Import"/>
    <n v="-261.95"/>
    <n v="261.95"/>
    <x v="1"/>
    <s v="2220"/>
    <s v="000"/>
    <x v="0"/>
    <x v="1"/>
  </r>
  <r>
    <d v="2012-10-29T00:00:00"/>
    <s v="017-2230-000"/>
    <s v="Wine Sales"/>
    <n v="131.29"/>
    <n v="0"/>
    <s v="Daily Sales Import"/>
    <n v="-131.29"/>
    <n v="131.29"/>
    <x v="1"/>
    <s v="2230"/>
    <s v="000"/>
    <x v="0"/>
    <x v="1"/>
  </r>
  <r>
    <d v="2012-10-30T00:00:00"/>
    <s v="017-2100-000"/>
    <s v="Food Sales"/>
    <n v="5154.6239999999998"/>
    <n v="0"/>
    <s v="Daily Sales Import"/>
    <n v="-5154.6239999999998"/>
    <n v="5154.6239999999998"/>
    <x v="1"/>
    <s v="2100"/>
    <s v="000"/>
    <x v="0"/>
    <x v="1"/>
  </r>
  <r>
    <d v="2012-10-30T00:00:00"/>
    <s v="017-2210-000"/>
    <s v="Liquor Sales"/>
    <n v="1031.556"/>
    <n v="0"/>
    <s v="Daily Sales Import"/>
    <n v="-1031.556"/>
    <n v="1031.556"/>
    <x v="1"/>
    <s v="2210"/>
    <s v="000"/>
    <x v="0"/>
    <x v="1"/>
  </r>
  <r>
    <d v="2012-10-30T00:00:00"/>
    <s v="017-2220-000"/>
    <s v="Beer Sales"/>
    <n v="229.6"/>
    <n v="0"/>
    <s v="Daily Sales Import"/>
    <n v="-229.6"/>
    <n v="229.6"/>
    <x v="1"/>
    <s v="2220"/>
    <s v="000"/>
    <x v="0"/>
    <x v="1"/>
  </r>
  <r>
    <d v="2012-10-30T00:00:00"/>
    <s v="017-2230-000"/>
    <s v="Wine Sales"/>
    <n v="89.212499999999991"/>
    <n v="0"/>
    <s v="Daily Sales Import"/>
    <n v="-89.212499999999991"/>
    <n v="89.212499999999991"/>
    <x v="1"/>
    <s v="2230"/>
    <s v="000"/>
    <x v="0"/>
    <x v="1"/>
  </r>
  <r>
    <d v="2012-10-31T00:00:00"/>
    <s v="017-2100-000"/>
    <s v="Food Sales"/>
    <n v="4985.4480000000003"/>
    <n v="0"/>
    <s v="Daily Sales Import"/>
    <n v="-4985.4480000000003"/>
    <n v="4985.4480000000003"/>
    <x v="1"/>
    <s v="2100"/>
    <s v="000"/>
    <x v="0"/>
    <x v="1"/>
  </r>
  <r>
    <d v="2012-10-31T00:00:00"/>
    <s v="017-2210-000"/>
    <s v="Liquor Sales"/>
    <n v="871.3125"/>
    <n v="0"/>
    <s v="Daily Sales Import"/>
    <n v="-871.3125"/>
    <n v="871.3125"/>
    <x v="1"/>
    <s v="2210"/>
    <s v="000"/>
    <x v="0"/>
    <x v="1"/>
  </r>
  <r>
    <d v="2012-10-31T00:00:00"/>
    <s v="017-2220-000"/>
    <s v="Beer Sales"/>
    <n v="132.97999999999999"/>
    <n v="0"/>
    <s v="Daily Sales Import"/>
    <n v="-132.97999999999999"/>
    <n v="132.97999999999999"/>
    <x v="1"/>
    <s v="2220"/>
    <s v="000"/>
    <x v="0"/>
    <x v="1"/>
  </r>
  <r>
    <d v="2012-10-31T00:00:00"/>
    <s v="017-2230-000"/>
    <s v="Wine Sales"/>
    <n v="58.089000000000006"/>
    <n v="0"/>
    <s v="Daily Sales Import"/>
    <n v="-58.089000000000006"/>
    <n v="58.089000000000006"/>
    <x v="1"/>
    <s v="2230"/>
    <s v="000"/>
    <x v="0"/>
    <x v="1"/>
  </r>
  <r>
    <d v="2012-11-01T00:00:00"/>
    <s v="017-2100-000"/>
    <s v="Food Sales"/>
    <n v="5145.5550000000003"/>
    <n v="0"/>
    <s v="Daily Sales Import"/>
    <n v="-5145.5550000000003"/>
    <n v="5145.5550000000003"/>
    <x v="1"/>
    <s v="2100"/>
    <s v="000"/>
    <x v="1"/>
    <x v="1"/>
  </r>
  <r>
    <d v="2012-11-01T00:00:00"/>
    <s v="017-2210-000"/>
    <s v="Liquor Sales"/>
    <n v="1672.8439999999998"/>
    <n v="0"/>
    <s v="Daily Sales Import"/>
    <n v="-1672.8439999999998"/>
    <n v="1672.8439999999998"/>
    <x v="1"/>
    <s v="2210"/>
    <s v="000"/>
    <x v="1"/>
    <x v="1"/>
  </r>
  <r>
    <d v="2012-11-01T00:00:00"/>
    <s v="017-2220-000"/>
    <s v="Beer Sales"/>
    <n v="515.28250000000003"/>
    <n v="0"/>
    <s v="Daily Sales Import"/>
    <n v="-515.28250000000003"/>
    <n v="515.28250000000003"/>
    <x v="1"/>
    <s v="2220"/>
    <s v="000"/>
    <x v="1"/>
    <x v="1"/>
  </r>
  <r>
    <d v="2012-11-01T00:00:00"/>
    <s v="017-2230-000"/>
    <s v="Wine Sales"/>
    <n v="216.154"/>
    <n v="0"/>
    <s v="Daily Sales Import"/>
    <n v="-216.154"/>
    <n v="216.154"/>
    <x v="1"/>
    <s v="2230"/>
    <s v="000"/>
    <x v="1"/>
    <x v="1"/>
  </r>
  <r>
    <d v="2012-11-02T00:00:00"/>
    <s v="017-2100-000"/>
    <s v="Food Sales"/>
    <n v="7042.8140999999996"/>
    <n v="0"/>
    <s v="Daily Sales Import"/>
    <n v="-7042.8140999999996"/>
    <n v="7042.8140999999996"/>
    <x v="1"/>
    <s v="2100"/>
    <s v="000"/>
    <x v="1"/>
    <x v="1"/>
  </r>
  <r>
    <d v="2012-11-02T00:00:00"/>
    <s v="017-2210-000"/>
    <s v="Liquor Sales"/>
    <n v="2892.8339999999998"/>
    <n v="0"/>
    <s v="Daily Sales Import"/>
    <n v="-2892.8339999999998"/>
    <n v="2892.8339999999998"/>
    <x v="1"/>
    <s v="2210"/>
    <s v="000"/>
    <x v="1"/>
    <x v="1"/>
  </r>
  <r>
    <d v="2012-11-02T00:00:00"/>
    <s v="017-2220-000"/>
    <s v="Beer Sales"/>
    <n v="428.3725"/>
    <n v="0"/>
    <s v="Daily Sales Import"/>
    <n v="-428.3725"/>
    <n v="428.3725"/>
    <x v="1"/>
    <s v="2220"/>
    <s v="000"/>
    <x v="1"/>
    <x v="1"/>
  </r>
  <r>
    <d v="2012-11-02T00:00:00"/>
    <s v="017-2230-000"/>
    <s v="Wine Sales"/>
    <n v="218.31750000000002"/>
    <n v="0"/>
    <s v="Daily Sales Import"/>
    <n v="-218.31750000000002"/>
    <n v="218.31750000000002"/>
    <x v="1"/>
    <s v="2230"/>
    <s v="000"/>
    <x v="1"/>
    <x v="1"/>
  </r>
  <r>
    <d v="2012-11-03T00:00:00"/>
    <s v="017-2100-000"/>
    <s v="Food Sales"/>
    <n v="7001.6817000000001"/>
    <n v="0"/>
    <s v="Daily Sales Import"/>
    <n v="-7001.6817000000001"/>
    <n v="7001.6817000000001"/>
    <x v="1"/>
    <s v="2100"/>
    <s v="000"/>
    <x v="1"/>
    <x v="1"/>
  </r>
  <r>
    <d v="2012-11-03T00:00:00"/>
    <s v="017-2210-000"/>
    <s v="Liquor Sales"/>
    <n v="1865.1974999999998"/>
    <n v="0"/>
    <s v="Daily Sales Import"/>
    <n v="-1865.1974999999998"/>
    <n v="1865.1974999999998"/>
    <x v="1"/>
    <s v="2210"/>
    <s v="000"/>
    <x v="1"/>
    <x v="1"/>
  </r>
  <r>
    <d v="2012-11-03T00:00:00"/>
    <s v="017-2220-000"/>
    <s v="Beer Sales"/>
    <n v="323.01"/>
    <n v="0"/>
    <s v="Daily Sales Import"/>
    <n v="-323.01"/>
    <n v="323.01"/>
    <x v="1"/>
    <s v="2220"/>
    <s v="000"/>
    <x v="1"/>
    <x v="1"/>
  </r>
  <r>
    <d v="2012-11-03T00:00:00"/>
    <s v="017-2230-000"/>
    <s v="Wine Sales"/>
    <n v="104.21400000000001"/>
    <n v="0"/>
    <s v="Daily Sales Import"/>
    <n v="-104.21400000000001"/>
    <n v="104.21400000000001"/>
    <x v="1"/>
    <s v="2230"/>
    <s v="000"/>
    <x v="1"/>
    <x v="1"/>
  </r>
  <r>
    <d v="2012-11-04T00:00:00"/>
    <s v="017-2100-000"/>
    <s v="Food Sales"/>
    <n v="5484.3577999999998"/>
    <n v="0"/>
    <s v="Daily Sales Import"/>
    <n v="-5484.3577999999998"/>
    <n v="5484.3577999999998"/>
    <x v="1"/>
    <s v="2100"/>
    <s v="000"/>
    <x v="1"/>
    <x v="1"/>
  </r>
  <r>
    <d v="2012-11-04T00:00:00"/>
    <s v="017-2210-000"/>
    <s v="Liquor Sales"/>
    <n v="630.20999999999992"/>
    <n v="0"/>
    <s v="Daily Sales Import"/>
    <n v="-630.20999999999992"/>
    <n v="630.20999999999992"/>
    <x v="1"/>
    <s v="2210"/>
    <s v="000"/>
    <x v="1"/>
    <x v="1"/>
  </r>
  <r>
    <d v="2012-11-04T00:00:00"/>
    <s v="017-2220-000"/>
    <s v="Beer Sales"/>
    <n v="101.44"/>
    <n v="0"/>
    <s v="Daily Sales Import"/>
    <n v="-101.44"/>
    <n v="101.44"/>
    <x v="1"/>
    <s v="2220"/>
    <s v="000"/>
    <x v="1"/>
    <x v="1"/>
  </r>
  <r>
    <d v="2012-11-04T00:00:00"/>
    <s v="017-2230-000"/>
    <s v="Wine Sales"/>
    <n v="65.975000000000009"/>
    <n v="0"/>
    <s v="Daily Sales Import"/>
    <n v="-65.975000000000009"/>
    <n v="65.975000000000009"/>
    <x v="1"/>
    <s v="2230"/>
    <s v="000"/>
    <x v="1"/>
    <x v="1"/>
  </r>
  <r>
    <d v="2012-10-29T00:00:00"/>
    <s v="018-2100-000"/>
    <s v="Food Sales"/>
    <n v="791.99119999999994"/>
    <n v="0"/>
    <s v="Daily Sales Import"/>
    <n v="-791.99119999999994"/>
    <n v="791.99119999999994"/>
    <x v="2"/>
    <s v="2100"/>
    <s v="000"/>
    <x v="0"/>
    <x v="1"/>
  </r>
  <r>
    <d v="2012-10-29T00:00:00"/>
    <s v="018-2210-000"/>
    <s v="Liquor Sales"/>
    <n v="179.22450000000001"/>
    <n v="0"/>
    <s v="Daily Sales Import"/>
    <n v="-179.22450000000001"/>
    <n v="179.22450000000001"/>
    <x v="2"/>
    <s v="2210"/>
    <s v="000"/>
    <x v="0"/>
    <x v="1"/>
  </r>
  <r>
    <d v="2012-10-29T00:00:00"/>
    <s v="018-2220-000"/>
    <s v="Beer Sales"/>
    <n v="15.093000000000002"/>
    <n v="0"/>
    <s v="Daily Sales Import"/>
    <n v="-15.093000000000002"/>
    <n v="15.093000000000002"/>
    <x v="2"/>
    <s v="2220"/>
    <s v="000"/>
    <x v="0"/>
    <x v="1"/>
  </r>
  <r>
    <d v="2012-10-30T00:00:00"/>
    <s v="018-2100-000"/>
    <s v="Food Sales"/>
    <n v="10984.773999999999"/>
    <n v="0"/>
    <s v="Daily Sales Import"/>
    <n v="-10984.773999999999"/>
    <n v="10984.773999999999"/>
    <x v="2"/>
    <s v="2100"/>
    <s v="000"/>
    <x v="0"/>
    <x v="1"/>
  </r>
  <r>
    <d v="2012-10-30T00:00:00"/>
    <s v="018-2210-000"/>
    <s v="Liquor Sales"/>
    <n v="1088.4335000000001"/>
    <n v="0"/>
    <s v="Daily Sales Import"/>
    <n v="-1088.4335000000001"/>
    <n v="1088.4335000000001"/>
    <x v="2"/>
    <s v="2210"/>
    <s v="000"/>
    <x v="0"/>
    <x v="1"/>
  </r>
  <r>
    <d v="2012-10-30T00:00:00"/>
    <s v="018-2220-000"/>
    <s v="Beer Sales"/>
    <n v="447.61500000000001"/>
    <n v="0"/>
    <s v="Daily Sales Import"/>
    <n v="-447.61500000000001"/>
    <n v="447.61500000000001"/>
    <x v="2"/>
    <s v="2220"/>
    <s v="000"/>
    <x v="0"/>
    <x v="1"/>
  </r>
  <r>
    <d v="2012-10-30T00:00:00"/>
    <s v="018-2230-000"/>
    <s v="Wine Sales"/>
    <n v="75.905000000000001"/>
    <n v="0"/>
    <s v="Daily Sales Import"/>
    <n v="-75.905000000000001"/>
    <n v="75.905000000000001"/>
    <x v="2"/>
    <s v="2230"/>
    <s v="000"/>
    <x v="0"/>
    <x v="1"/>
  </r>
  <r>
    <d v="2012-10-31T00:00:00"/>
    <s v="018-2100-000"/>
    <s v="Food Sales"/>
    <n v="4004.6526000000003"/>
    <n v="0"/>
    <s v="Daily Sales Import"/>
    <n v="-4004.6526000000003"/>
    <n v="4004.6526000000003"/>
    <x v="2"/>
    <s v="2100"/>
    <s v="000"/>
    <x v="0"/>
    <x v="1"/>
  </r>
  <r>
    <d v="2012-10-31T00:00:00"/>
    <s v="018-2210-000"/>
    <s v="Liquor Sales"/>
    <n v="509.89500000000004"/>
    <n v="0"/>
    <s v="Daily Sales Import"/>
    <n v="-509.89500000000004"/>
    <n v="509.89500000000004"/>
    <x v="2"/>
    <s v="2210"/>
    <s v="000"/>
    <x v="0"/>
    <x v="1"/>
  </r>
  <r>
    <d v="2012-10-31T00:00:00"/>
    <s v="018-2220-000"/>
    <s v="Beer Sales"/>
    <n v="225.88200000000001"/>
    <n v="0"/>
    <s v="Daily Sales Import"/>
    <n v="-225.88200000000001"/>
    <n v="225.88200000000001"/>
    <x v="2"/>
    <s v="2220"/>
    <s v="000"/>
    <x v="0"/>
    <x v="1"/>
  </r>
  <r>
    <d v="2012-10-31T00:00:00"/>
    <s v="018-2230-000"/>
    <s v="Wine Sales"/>
    <n v="70.372"/>
    <n v="0"/>
    <s v="Daily Sales Import"/>
    <n v="-70.372"/>
    <n v="70.372"/>
    <x v="2"/>
    <s v="2230"/>
    <s v="000"/>
    <x v="0"/>
    <x v="1"/>
  </r>
  <r>
    <d v="2012-11-01T00:00:00"/>
    <s v="018-2100-000"/>
    <s v="Food Sales"/>
    <n v="4221.0479999999998"/>
    <n v="0"/>
    <s v="Daily Sales Import"/>
    <n v="-4221.0479999999998"/>
    <n v="4221.0479999999998"/>
    <x v="2"/>
    <s v="2100"/>
    <s v="000"/>
    <x v="1"/>
    <x v="1"/>
  </r>
  <r>
    <d v="2012-11-01T00:00:00"/>
    <s v="018-2210-000"/>
    <s v="Liquor Sales"/>
    <n v="1205.4549999999999"/>
    <n v="0"/>
    <s v="Daily Sales Import"/>
    <n v="-1205.4549999999999"/>
    <n v="1205.4549999999999"/>
    <x v="2"/>
    <s v="2210"/>
    <s v="000"/>
    <x v="1"/>
    <x v="1"/>
  </r>
  <r>
    <d v="2012-11-01T00:00:00"/>
    <s v="018-2220-000"/>
    <s v="Beer Sales"/>
    <n v="235.18799999999999"/>
    <n v="0"/>
    <s v="Daily Sales Import"/>
    <n v="-235.18799999999999"/>
    <n v="235.18799999999999"/>
    <x v="2"/>
    <s v="2220"/>
    <s v="000"/>
    <x v="1"/>
    <x v="1"/>
  </r>
  <r>
    <d v="2012-11-01T00:00:00"/>
    <s v="018-2230-000"/>
    <s v="Wine Sales"/>
    <n v="102.99199999999999"/>
    <n v="0"/>
    <s v="Daily Sales Import"/>
    <n v="-102.99199999999999"/>
    <n v="102.99199999999999"/>
    <x v="2"/>
    <s v="2230"/>
    <s v="000"/>
    <x v="1"/>
    <x v="1"/>
  </r>
  <r>
    <d v="2012-11-02T00:00:00"/>
    <s v="018-2100-000"/>
    <s v="Food Sales"/>
    <n v="11262.498000000001"/>
    <n v="0"/>
    <s v="Daily Sales Import"/>
    <n v="-11262.498000000001"/>
    <n v="11262.498000000001"/>
    <x v="2"/>
    <s v="2100"/>
    <s v="000"/>
    <x v="1"/>
    <x v="1"/>
  </r>
  <r>
    <d v="2012-11-02T00:00:00"/>
    <s v="018-2210-000"/>
    <s v="Liquor Sales"/>
    <n v="1898.5400000000002"/>
    <n v="0"/>
    <s v="Daily Sales Import"/>
    <n v="-1898.5400000000002"/>
    <n v="1898.5400000000002"/>
    <x v="2"/>
    <s v="2210"/>
    <s v="000"/>
    <x v="1"/>
    <x v="1"/>
  </r>
  <r>
    <d v="2012-11-02T00:00:00"/>
    <s v="018-2220-000"/>
    <s v="Beer Sales"/>
    <n v="879.35"/>
    <n v="0"/>
    <s v="Daily Sales Import"/>
    <n v="-879.35"/>
    <n v="879.35"/>
    <x v="2"/>
    <s v="2220"/>
    <s v="000"/>
    <x v="1"/>
    <x v="1"/>
  </r>
  <r>
    <d v="2012-11-02T00:00:00"/>
    <s v="018-2230-000"/>
    <s v="Wine Sales"/>
    <n v="162.70349999999999"/>
    <n v="0"/>
    <s v="Daily Sales Import"/>
    <n v="-162.70349999999999"/>
    <n v="162.70349999999999"/>
    <x v="2"/>
    <s v="2230"/>
    <s v="000"/>
    <x v="1"/>
    <x v="1"/>
  </r>
  <r>
    <d v="2012-11-03T00:00:00"/>
    <s v="018-2100-000"/>
    <s v="Food Sales"/>
    <n v="17824.632000000001"/>
    <n v="0"/>
    <s v="Daily Sales Import"/>
    <n v="-17824.632000000001"/>
    <n v="17824.632000000001"/>
    <x v="2"/>
    <s v="2100"/>
    <s v="000"/>
    <x v="1"/>
    <x v="1"/>
  </r>
  <r>
    <d v="2012-11-03T00:00:00"/>
    <s v="018-2210-000"/>
    <s v="Liquor Sales"/>
    <n v="2607.9899999999998"/>
    <n v="0"/>
    <s v="Daily Sales Import"/>
    <n v="-2607.9899999999998"/>
    <n v="2607.9899999999998"/>
    <x v="2"/>
    <s v="2210"/>
    <s v="000"/>
    <x v="1"/>
    <x v="1"/>
  </r>
  <r>
    <d v="2012-11-03T00:00:00"/>
    <s v="018-2220-000"/>
    <s v="Beer Sales"/>
    <n v="1354.2165000000002"/>
    <n v="0"/>
    <s v="Daily Sales Import"/>
    <n v="-1354.2165000000002"/>
    <n v="1354.2165000000002"/>
    <x v="2"/>
    <s v="2220"/>
    <s v="000"/>
    <x v="1"/>
    <x v="1"/>
  </r>
  <r>
    <d v="2012-11-03T00:00:00"/>
    <s v="018-2230-000"/>
    <s v="Wine Sales"/>
    <n v="166.375"/>
    <n v="0"/>
    <s v="Daily Sales Import"/>
    <n v="-166.375"/>
    <n v="166.375"/>
    <x v="2"/>
    <s v="2230"/>
    <s v="000"/>
    <x v="1"/>
    <x v="1"/>
  </r>
  <r>
    <d v="2012-11-04T00:00:00"/>
    <s v="018-2100-000"/>
    <s v="Food Sales"/>
    <n v="8412.7400000000016"/>
    <n v="0"/>
    <s v="Daily Sales Import"/>
    <n v="-8412.7400000000016"/>
    <n v="8412.7400000000016"/>
    <x v="2"/>
    <s v="2100"/>
    <s v="000"/>
    <x v="1"/>
    <x v="1"/>
  </r>
  <r>
    <d v="2012-11-04T00:00:00"/>
    <s v="018-2210-000"/>
    <s v="Liquor Sales"/>
    <n v="1442.79"/>
    <n v="0"/>
    <s v="Daily Sales Import"/>
    <n v="-1442.79"/>
    <n v="1442.79"/>
    <x v="2"/>
    <s v="2210"/>
    <s v="000"/>
    <x v="1"/>
    <x v="1"/>
  </r>
  <r>
    <d v="2012-11-04T00:00:00"/>
    <s v="018-2220-000"/>
    <s v="Beer Sales"/>
    <n v="340.12800000000004"/>
    <n v="0"/>
    <s v="Daily Sales Import"/>
    <n v="-340.12800000000004"/>
    <n v="340.12800000000004"/>
    <x v="2"/>
    <s v="2220"/>
    <s v="000"/>
    <x v="1"/>
    <x v="1"/>
  </r>
  <r>
    <d v="2012-11-04T00:00:00"/>
    <s v="018-2230-000"/>
    <s v="Wine Sales"/>
    <n v="83.887499999999989"/>
    <n v="0"/>
    <s v="Daily Sales Import"/>
    <n v="-83.887499999999989"/>
    <n v="83.887499999999989"/>
    <x v="2"/>
    <s v="2230"/>
    <s v="000"/>
    <x v="1"/>
    <x v="1"/>
  </r>
  <r>
    <d v="2012-11-05T00:00:00"/>
    <s v="016-2100-000"/>
    <s v="Food Sales"/>
    <n v="2566.0823999999998"/>
    <n v="0"/>
    <s v="Daily Sales Import"/>
    <n v="-2566.0823999999998"/>
    <n v="2566.0823999999998"/>
    <x v="0"/>
    <s v="2100"/>
    <s v="000"/>
    <x v="1"/>
    <x v="1"/>
  </r>
  <r>
    <d v="2012-11-05T00:00:00"/>
    <s v="016-2210-000"/>
    <s v="Liquor Sales"/>
    <n v="381.56800000000004"/>
    <n v="0"/>
    <s v="Daily Sales Import"/>
    <n v="-381.56800000000004"/>
    <n v="381.56800000000004"/>
    <x v="0"/>
    <s v="2210"/>
    <s v="000"/>
    <x v="1"/>
    <x v="1"/>
  </r>
  <r>
    <d v="2012-11-05T00:00:00"/>
    <s v="016-2220-000"/>
    <s v="Beer Sales"/>
    <n v="67.099500000000006"/>
    <n v="0"/>
    <s v="Daily Sales Import"/>
    <n v="-67.099500000000006"/>
    <n v="67.099500000000006"/>
    <x v="0"/>
    <s v="2220"/>
    <s v="000"/>
    <x v="1"/>
    <x v="1"/>
  </r>
  <r>
    <d v="2012-11-05T00:00:00"/>
    <s v="016-2230-000"/>
    <s v="Wine Sales"/>
    <n v="6.9309999999999992"/>
    <n v="0"/>
    <s v="Daily Sales Import"/>
    <n v="-6.9309999999999992"/>
    <n v="6.9309999999999992"/>
    <x v="0"/>
    <s v="2230"/>
    <s v="000"/>
    <x v="1"/>
    <x v="1"/>
  </r>
  <r>
    <d v="2012-11-06T00:00:00"/>
    <s v="016-2100-000"/>
    <s v="Food Sales"/>
    <n v="6083.7420000000002"/>
    <n v="0"/>
    <s v="Daily Sales Import"/>
    <n v="-6083.7420000000002"/>
    <n v="6083.7420000000002"/>
    <x v="0"/>
    <s v="2100"/>
    <s v="000"/>
    <x v="1"/>
    <x v="1"/>
  </r>
  <r>
    <d v="2012-11-06T00:00:00"/>
    <s v="016-2210-000"/>
    <s v="Liquor Sales"/>
    <n v="2209.4304999999999"/>
    <n v="0"/>
    <s v="Daily Sales Import"/>
    <n v="-2209.4304999999999"/>
    <n v="2209.4304999999999"/>
    <x v="0"/>
    <s v="2210"/>
    <s v="000"/>
    <x v="1"/>
    <x v="1"/>
  </r>
  <r>
    <d v="2012-11-06T00:00:00"/>
    <s v="016-2220-000"/>
    <s v="Beer Sales"/>
    <n v="745.55159999999989"/>
    <n v="0"/>
    <s v="Daily Sales Import"/>
    <n v="-745.55159999999989"/>
    <n v="745.55159999999989"/>
    <x v="0"/>
    <s v="2220"/>
    <s v="000"/>
    <x v="1"/>
    <x v="1"/>
  </r>
  <r>
    <d v="2012-11-06T00:00:00"/>
    <s v="016-2230-000"/>
    <s v="Wine Sales"/>
    <n v="174.173"/>
    <n v="0"/>
    <s v="Daily Sales Import"/>
    <n v="-174.173"/>
    <n v="174.173"/>
    <x v="0"/>
    <s v="2230"/>
    <s v="000"/>
    <x v="1"/>
    <x v="1"/>
  </r>
  <r>
    <d v="2012-11-07T00:00:00"/>
    <s v="016-2100-000"/>
    <s v="Food Sales"/>
    <n v="2239.3139999999999"/>
    <n v="0"/>
    <s v="Daily Sales Import"/>
    <n v="-2239.3139999999999"/>
    <n v="2239.3139999999999"/>
    <x v="0"/>
    <s v="2100"/>
    <s v="000"/>
    <x v="1"/>
    <x v="1"/>
  </r>
  <r>
    <d v="2012-11-07T00:00:00"/>
    <s v="016-2210-000"/>
    <s v="Liquor Sales"/>
    <n v="468.6"/>
    <n v="0"/>
    <s v="Daily Sales Import"/>
    <n v="-468.6"/>
    <n v="468.6"/>
    <x v="0"/>
    <s v="2210"/>
    <s v="000"/>
    <x v="1"/>
    <x v="1"/>
  </r>
  <r>
    <d v="2012-11-07T00:00:00"/>
    <s v="016-2220-000"/>
    <s v="Beer Sales"/>
    <n v="193.61249999999998"/>
    <n v="0"/>
    <s v="Daily Sales Import"/>
    <n v="-193.61249999999998"/>
    <n v="193.61249999999998"/>
    <x v="0"/>
    <s v="2220"/>
    <s v="000"/>
    <x v="1"/>
    <x v="1"/>
  </r>
  <r>
    <d v="2012-11-07T00:00:00"/>
    <s v="016-2230-000"/>
    <s v="Wine Sales"/>
    <n v="96.453999999999994"/>
    <n v="0"/>
    <s v="Daily Sales Import"/>
    <n v="-96.453999999999994"/>
    <n v="96.453999999999994"/>
    <x v="0"/>
    <s v="2230"/>
    <s v="000"/>
    <x v="1"/>
    <x v="1"/>
  </r>
  <r>
    <d v="2012-11-08T00:00:00"/>
    <s v="016-2100-000"/>
    <s v="Food Sales"/>
    <n v="2164.5360000000001"/>
    <n v="0"/>
    <s v="Daily Sales Import"/>
    <n v="-2164.5360000000001"/>
    <n v="2164.5360000000001"/>
    <x v="0"/>
    <s v="2100"/>
    <s v="000"/>
    <x v="1"/>
    <x v="1"/>
  </r>
  <r>
    <d v="2012-11-08T00:00:00"/>
    <s v="016-2210-000"/>
    <s v="Liquor Sales"/>
    <n v="870.86650000000009"/>
    <n v="0"/>
    <s v="Daily Sales Import"/>
    <n v="-870.86650000000009"/>
    <n v="870.86650000000009"/>
    <x v="0"/>
    <s v="2210"/>
    <s v="000"/>
    <x v="1"/>
    <x v="1"/>
  </r>
  <r>
    <d v="2012-11-08T00:00:00"/>
    <s v="016-2220-000"/>
    <s v="Beer Sales"/>
    <n v="163.59479999999999"/>
    <n v="0"/>
    <s v="Daily Sales Import"/>
    <n v="-163.59479999999999"/>
    <n v="163.59479999999999"/>
    <x v="0"/>
    <s v="2220"/>
    <s v="000"/>
    <x v="1"/>
    <x v="1"/>
  </r>
  <r>
    <d v="2012-11-08T00:00:00"/>
    <s v="016-2230-000"/>
    <s v="Wine Sales"/>
    <n v="159.3766"/>
    <n v="0"/>
    <s v="Daily Sales Import"/>
    <n v="-159.3766"/>
    <n v="159.3766"/>
    <x v="0"/>
    <s v="2230"/>
    <s v="000"/>
    <x v="1"/>
    <x v="1"/>
  </r>
  <r>
    <d v="2012-11-09T00:00:00"/>
    <s v="016-2100-000"/>
    <s v="Food Sales"/>
    <n v="5582.3472000000002"/>
    <n v="0"/>
    <s v="Daily Sales Import"/>
    <n v="-5582.3472000000002"/>
    <n v="5582.3472000000002"/>
    <x v="0"/>
    <s v="2100"/>
    <s v="000"/>
    <x v="1"/>
    <x v="1"/>
  </r>
  <r>
    <d v="2012-11-09T00:00:00"/>
    <s v="016-2210-000"/>
    <s v="Liquor Sales"/>
    <n v="1857.0603999999998"/>
    <n v="0"/>
    <s v="Daily Sales Import"/>
    <n v="-1857.0603999999998"/>
    <n v="1857.0603999999998"/>
    <x v="0"/>
    <s v="2210"/>
    <s v="000"/>
    <x v="1"/>
    <x v="1"/>
  </r>
  <r>
    <d v="2012-11-09T00:00:00"/>
    <s v="016-2220-000"/>
    <s v="Beer Sales"/>
    <n v="491.83200000000005"/>
    <n v="0"/>
    <s v="Daily Sales Import"/>
    <n v="-491.83200000000005"/>
    <n v="491.83200000000005"/>
    <x v="0"/>
    <s v="2220"/>
    <s v="000"/>
    <x v="1"/>
    <x v="1"/>
  </r>
  <r>
    <d v="2012-11-09T00:00:00"/>
    <s v="016-2230-000"/>
    <s v="Wine Sales"/>
    <n v="126.61799999999998"/>
    <n v="0"/>
    <s v="Daily Sales Import"/>
    <n v="-126.61799999999998"/>
    <n v="126.61799999999998"/>
    <x v="0"/>
    <s v="2230"/>
    <s v="000"/>
    <x v="1"/>
    <x v="1"/>
  </r>
  <r>
    <d v="2012-11-10T00:00:00"/>
    <s v="016-2100-000"/>
    <s v="Food Sales"/>
    <n v="5674.43"/>
    <n v="0"/>
    <s v="Daily Sales Import"/>
    <n v="-5674.43"/>
    <n v="5674.43"/>
    <x v="0"/>
    <s v="2100"/>
    <s v="000"/>
    <x v="1"/>
    <x v="1"/>
  </r>
  <r>
    <d v="2012-11-10T00:00:00"/>
    <s v="016-2210-000"/>
    <s v="Liquor Sales"/>
    <n v="1392.5800000000002"/>
    <n v="0"/>
    <s v="Daily Sales Import"/>
    <n v="-1392.5800000000002"/>
    <n v="1392.5800000000002"/>
    <x v="0"/>
    <s v="2210"/>
    <s v="000"/>
    <x v="1"/>
    <x v="1"/>
  </r>
  <r>
    <d v="2012-11-10T00:00:00"/>
    <s v="016-2220-000"/>
    <s v="Beer Sales"/>
    <n v="275.94"/>
    <n v="0"/>
    <s v="Daily Sales Import"/>
    <n v="-275.94"/>
    <n v="275.94"/>
    <x v="0"/>
    <s v="2220"/>
    <s v="000"/>
    <x v="1"/>
    <x v="1"/>
  </r>
  <r>
    <d v="2012-11-10T00:00:00"/>
    <s v="016-2230-000"/>
    <s v="Wine Sales"/>
    <n v="153.27199999999999"/>
    <n v="0"/>
    <s v="Daily Sales Import"/>
    <n v="-153.27199999999999"/>
    <n v="153.27199999999999"/>
    <x v="0"/>
    <s v="2230"/>
    <s v="000"/>
    <x v="1"/>
    <x v="1"/>
  </r>
  <r>
    <d v="2012-11-11T00:00:00"/>
    <s v="016-2100-000"/>
    <s v="Food Sales"/>
    <n v="4040.3616000000002"/>
    <n v="0"/>
    <s v="Daily Sales Import"/>
    <n v="-4040.3616000000002"/>
    <n v="4040.3616000000002"/>
    <x v="0"/>
    <s v="2100"/>
    <s v="000"/>
    <x v="1"/>
    <x v="1"/>
  </r>
  <r>
    <d v="2012-11-11T00:00:00"/>
    <s v="016-2210-000"/>
    <s v="Liquor Sales"/>
    <n v="785.82799999999997"/>
    <n v="0"/>
    <s v="Daily Sales Import"/>
    <n v="-785.82799999999997"/>
    <n v="785.82799999999997"/>
    <x v="0"/>
    <s v="2210"/>
    <s v="000"/>
    <x v="1"/>
    <x v="1"/>
  </r>
  <r>
    <d v="2012-11-11T00:00:00"/>
    <s v="016-2220-000"/>
    <s v="Beer Sales"/>
    <n v="130.30199999999999"/>
    <n v="0"/>
    <s v="Daily Sales Import"/>
    <n v="-130.30199999999999"/>
    <n v="130.30199999999999"/>
    <x v="0"/>
    <s v="2220"/>
    <s v="000"/>
    <x v="1"/>
    <x v="1"/>
  </r>
  <r>
    <d v="2012-11-11T00:00:00"/>
    <s v="016-2230-000"/>
    <s v="Wine Sales"/>
    <n v="105.96"/>
    <n v="0"/>
    <s v="Daily Sales Import"/>
    <n v="-105.96"/>
    <n v="105.96"/>
    <x v="0"/>
    <s v="2230"/>
    <s v="000"/>
    <x v="1"/>
    <x v="1"/>
  </r>
  <r>
    <d v="2012-11-05T00:00:00"/>
    <s v="017-2100-000"/>
    <s v="Food Sales"/>
    <n v="4720.6579999999994"/>
    <n v="0"/>
    <s v="Daily Sales Import"/>
    <n v="-4720.6579999999994"/>
    <n v="4720.6579999999994"/>
    <x v="1"/>
    <s v="2100"/>
    <s v="000"/>
    <x v="1"/>
    <x v="1"/>
  </r>
  <r>
    <d v="2012-11-05T00:00:00"/>
    <s v="017-2210-000"/>
    <s v="Liquor Sales"/>
    <n v="582.38900000000001"/>
    <n v="0"/>
    <s v="Daily Sales Import"/>
    <n v="-582.38900000000001"/>
    <n v="582.38900000000001"/>
    <x v="1"/>
    <s v="2210"/>
    <s v="000"/>
    <x v="1"/>
    <x v="1"/>
  </r>
  <r>
    <d v="2012-11-05T00:00:00"/>
    <s v="017-2220-000"/>
    <s v="Beer Sales"/>
    <n v="251.76499999999999"/>
    <n v="0"/>
    <s v="Daily Sales Import"/>
    <n v="-251.76499999999999"/>
    <n v="251.76499999999999"/>
    <x v="1"/>
    <s v="2220"/>
    <s v="000"/>
    <x v="1"/>
    <x v="1"/>
  </r>
  <r>
    <d v="2012-11-05T00:00:00"/>
    <s v="017-2230-000"/>
    <s v="Wine Sales"/>
    <n v="48.919500000000006"/>
    <n v="0"/>
    <s v="Daily Sales Import"/>
    <n v="-48.919500000000006"/>
    <n v="48.919500000000006"/>
    <x v="1"/>
    <s v="2230"/>
    <s v="000"/>
    <x v="1"/>
    <x v="1"/>
  </r>
  <r>
    <d v="2012-11-06T00:00:00"/>
    <s v="017-2100-000"/>
    <s v="Food Sales"/>
    <n v="5563.58"/>
    <n v="0"/>
    <s v="Daily Sales Import"/>
    <n v="-5563.58"/>
    <n v="5563.58"/>
    <x v="1"/>
    <s v="2100"/>
    <s v="000"/>
    <x v="1"/>
    <x v="1"/>
  </r>
  <r>
    <d v="2012-11-06T00:00:00"/>
    <s v="017-2210-000"/>
    <s v="Liquor Sales"/>
    <n v="1335.1679999999999"/>
    <n v="0"/>
    <s v="Daily Sales Import"/>
    <n v="-1335.1679999999999"/>
    <n v="1335.1679999999999"/>
    <x v="1"/>
    <s v="2210"/>
    <s v="000"/>
    <x v="1"/>
    <x v="1"/>
  </r>
  <r>
    <d v="2012-11-06T00:00:00"/>
    <s v="017-2220-000"/>
    <s v="Beer Sales"/>
    <n v="483.15"/>
    <n v="0"/>
    <s v="Daily Sales Import"/>
    <n v="-483.15"/>
    <n v="483.15"/>
    <x v="1"/>
    <s v="2220"/>
    <s v="000"/>
    <x v="1"/>
    <x v="1"/>
  </r>
  <r>
    <d v="2012-11-06T00:00:00"/>
    <s v="017-2230-000"/>
    <s v="Wine Sales"/>
    <n v="174.33199999999999"/>
    <n v="0"/>
    <s v="Daily Sales Import"/>
    <n v="-174.33199999999999"/>
    <n v="174.33199999999999"/>
    <x v="1"/>
    <s v="2230"/>
    <s v="000"/>
    <x v="1"/>
    <x v="1"/>
  </r>
  <r>
    <d v="2012-11-07T00:00:00"/>
    <s v="017-2100-000"/>
    <s v="Food Sales"/>
    <n v="9095.2134000000005"/>
    <n v="0"/>
    <s v="Daily Sales Import"/>
    <n v="-9095.2134000000005"/>
    <n v="9095.2134000000005"/>
    <x v="1"/>
    <s v="2100"/>
    <s v="000"/>
    <x v="1"/>
    <x v="1"/>
  </r>
  <r>
    <d v="2012-11-07T00:00:00"/>
    <s v="017-2210-000"/>
    <s v="Liquor Sales"/>
    <n v="2991.15"/>
    <n v="0"/>
    <s v="Daily Sales Import"/>
    <n v="-2991.15"/>
    <n v="2991.15"/>
    <x v="1"/>
    <s v="2210"/>
    <s v="000"/>
    <x v="1"/>
    <x v="1"/>
  </r>
  <r>
    <d v="2012-11-07T00:00:00"/>
    <s v="017-2220-000"/>
    <s v="Beer Sales"/>
    <n v="492.79749999999996"/>
    <n v="0"/>
    <s v="Daily Sales Import"/>
    <n v="-492.79749999999996"/>
    <n v="492.79749999999996"/>
    <x v="1"/>
    <s v="2220"/>
    <s v="000"/>
    <x v="1"/>
    <x v="1"/>
  </r>
  <r>
    <d v="2012-11-07T00:00:00"/>
    <s v="017-2230-000"/>
    <s v="Wine Sales"/>
    <n v="161.994"/>
    <n v="0"/>
    <s v="Daily Sales Import"/>
    <n v="-161.994"/>
    <n v="161.994"/>
    <x v="1"/>
    <s v="2230"/>
    <s v="000"/>
    <x v="1"/>
    <x v="1"/>
  </r>
  <r>
    <d v="2012-11-08T00:00:00"/>
    <s v="017-2100-000"/>
    <s v="Food Sales"/>
    <n v="7153.46"/>
    <n v="0"/>
    <s v="Daily Sales Import"/>
    <n v="-7153.46"/>
    <n v="7153.46"/>
    <x v="1"/>
    <s v="2100"/>
    <s v="000"/>
    <x v="1"/>
    <x v="1"/>
  </r>
  <r>
    <d v="2012-11-08T00:00:00"/>
    <s v="017-2210-000"/>
    <s v="Liquor Sales"/>
    <n v="1571.3899999999999"/>
    <n v="0"/>
    <s v="Daily Sales Import"/>
    <n v="-1571.3899999999999"/>
    <n v="1571.3899999999999"/>
    <x v="1"/>
    <s v="2210"/>
    <s v="000"/>
    <x v="1"/>
    <x v="1"/>
  </r>
  <r>
    <d v="2012-11-08T00:00:00"/>
    <s v="017-2220-000"/>
    <s v="Beer Sales"/>
    <n v="331.65000000000003"/>
    <n v="0"/>
    <s v="Daily Sales Import"/>
    <n v="-331.65000000000003"/>
    <n v="331.65000000000003"/>
    <x v="1"/>
    <s v="2220"/>
    <s v="000"/>
    <x v="1"/>
    <x v="1"/>
  </r>
  <r>
    <d v="2012-11-08T00:00:00"/>
    <s v="017-2230-000"/>
    <s v="Wine Sales"/>
    <n v="173.62199999999999"/>
    <n v="0"/>
    <s v="Daily Sales Import"/>
    <n v="-173.62199999999999"/>
    <n v="173.62199999999999"/>
    <x v="1"/>
    <s v="2230"/>
    <s v="000"/>
    <x v="1"/>
    <x v="1"/>
  </r>
  <r>
    <d v="2012-11-09T00:00:00"/>
    <s v="017-2100-000"/>
    <s v="Food Sales"/>
    <n v="5746.9850999999999"/>
    <n v="0"/>
    <s v="Daily Sales Import"/>
    <n v="-5746.9850999999999"/>
    <n v="5746.9850999999999"/>
    <x v="1"/>
    <s v="2100"/>
    <s v="000"/>
    <x v="1"/>
    <x v="1"/>
  </r>
  <r>
    <d v="2012-11-09T00:00:00"/>
    <s v="017-2210-000"/>
    <s v="Liquor Sales"/>
    <n v="2198.7249999999999"/>
    <n v="0"/>
    <s v="Daily Sales Import"/>
    <n v="-2198.7249999999999"/>
    <n v="2198.7249999999999"/>
    <x v="1"/>
    <s v="2210"/>
    <s v="000"/>
    <x v="1"/>
    <x v="1"/>
  </r>
  <r>
    <d v="2012-11-09T00:00:00"/>
    <s v="017-2220-000"/>
    <s v="Beer Sales"/>
    <n v="359.59999999999997"/>
    <n v="0"/>
    <s v="Daily Sales Import"/>
    <n v="-359.59999999999997"/>
    <n v="359.59999999999997"/>
    <x v="1"/>
    <s v="2220"/>
    <s v="000"/>
    <x v="1"/>
    <x v="1"/>
  </r>
  <r>
    <d v="2012-11-09T00:00:00"/>
    <s v="017-2230-000"/>
    <s v="Wine Sales"/>
    <n v="58.905000000000001"/>
    <n v="0"/>
    <s v="Daily Sales Import"/>
    <n v="-58.905000000000001"/>
    <n v="58.905000000000001"/>
    <x v="1"/>
    <s v="2230"/>
    <s v="000"/>
    <x v="1"/>
    <x v="1"/>
  </r>
  <r>
    <d v="2012-11-10T00:00:00"/>
    <s v="017-2100-000"/>
    <s v="Food Sales"/>
    <n v="6083.8028999999997"/>
    <n v="0"/>
    <s v="Daily Sales Import"/>
    <n v="-6083.8028999999997"/>
    <n v="6083.8028999999997"/>
    <x v="1"/>
    <s v="2100"/>
    <s v="000"/>
    <x v="1"/>
    <x v="1"/>
  </r>
  <r>
    <d v="2012-11-10T00:00:00"/>
    <s v="017-2210-000"/>
    <s v="Liquor Sales"/>
    <n v="1448.6890000000001"/>
    <n v="0"/>
    <s v="Daily Sales Import"/>
    <n v="-1448.6890000000001"/>
    <n v="1448.6890000000001"/>
    <x v="1"/>
    <s v="2210"/>
    <s v="000"/>
    <x v="1"/>
    <x v="1"/>
  </r>
  <r>
    <d v="2012-11-10T00:00:00"/>
    <s v="017-2220-000"/>
    <s v="Beer Sales"/>
    <n v="411.98500000000001"/>
    <n v="0"/>
    <s v="Daily Sales Import"/>
    <n v="-411.98500000000001"/>
    <n v="411.98500000000001"/>
    <x v="1"/>
    <s v="2220"/>
    <s v="000"/>
    <x v="1"/>
    <x v="1"/>
  </r>
  <r>
    <d v="2012-11-10T00:00:00"/>
    <s v="017-2230-000"/>
    <s v="Wine Sales"/>
    <n v="106.413"/>
    <n v="0"/>
    <s v="Daily Sales Import"/>
    <n v="-106.413"/>
    <n v="106.413"/>
    <x v="1"/>
    <s v="2230"/>
    <s v="000"/>
    <x v="1"/>
    <x v="1"/>
  </r>
  <r>
    <d v="2012-11-11T00:00:00"/>
    <s v="017-2100-000"/>
    <s v="Food Sales"/>
    <n v="5545.5036"/>
    <n v="0"/>
    <s v="Daily Sales Import"/>
    <n v="-5545.5036"/>
    <n v="5545.5036"/>
    <x v="1"/>
    <s v="2100"/>
    <s v="000"/>
    <x v="1"/>
    <x v="1"/>
  </r>
  <r>
    <d v="2012-11-11T00:00:00"/>
    <s v="017-2210-000"/>
    <s v="Liquor Sales"/>
    <n v="873.82799999999997"/>
    <n v="0"/>
    <s v="Daily Sales Import"/>
    <n v="-873.82799999999997"/>
    <n v="873.82799999999997"/>
    <x v="1"/>
    <s v="2210"/>
    <s v="000"/>
    <x v="1"/>
    <x v="1"/>
  </r>
  <r>
    <d v="2012-11-11T00:00:00"/>
    <s v="017-2220-000"/>
    <s v="Beer Sales"/>
    <n v="153.12"/>
    <n v="0"/>
    <s v="Daily Sales Import"/>
    <n v="-153.12"/>
    <n v="153.12"/>
    <x v="1"/>
    <s v="2220"/>
    <s v="000"/>
    <x v="1"/>
    <x v="1"/>
  </r>
  <r>
    <d v="2012-11-11T00:00:00"/>
    <s v="017-2230-000"/>
    <s v="Wine Sales"/>
    <n v="56.681999999999995"/>
    <n v="0"/>
    <s v="Daily Sales Import"/>
    <n v="-56.681999999999995"/>
    <n v="56.681999999999995"/>
    <x v="1"/>
    <s v="2230"/>
    <s v="000"/>
    <x v="1"/>
    <x v="1"/>
  </r>
  <r>
    <d v="2012-11-05T00:00:00"/>
    <s v="018-2100-000"/>
    <s v="Food Sales"/>
    <n v="5056.4668000000001"/>
    <n v="0"/>
    <s v="Daily Sales Import"/>
    <n v="-5056.4668000000001"/>
    <n v="5056.4668000000001"/>
    <x v="2"/>
    <s v="2100"/>
    <s v="000"/>
    <x v="1"/>
    <x v="1"/>
  </r>
  <r>
    <d v="2012-11-05T00:00:00"/>
    <s v="018-2210-000"/>
    <s v="Liquor Sales"/>
    <n v="404.45999999999992"/>
    <n v="0"/>
    <s v="Daily Sales Import"/>
    <n v="-404.45999999999992"/>
    <n v="404.45999999999992"/>
    <x v="2"/>
    <s v="2210"/>
    <s v="000"/>
    <x v="1"/>
    <x v="1"/>
  </r>
  <r>
    <d v="2012-11-05T00:00:00"/>
    <s v="018-2220-000"/>
    <s v="Beer Sales"/>
    <n v="156.92099999999999"/>
    <n v="0"/>
    <s v="Daily Sales Import"/>
    <n v="-156.92099999999999"/>
    <n v="156.92099999999999"/>
    <x v="2"/>
    <s v="2220"/>
    <s v="000"/>
    <x v="1"/>
    <x v="1"/>
  </r>
  <r>
    <d v="2012-11-05T00:00:00"/>
    <s v="018-2230-000"/>
    <s v="Wine Sales"/>
    <n v="60.378499999999995"/>
    <n v="0"/>
    <s v="Daily Sales Import"/>
    <n v="-60.378499999999995"/>
    <n v="60.378499999999995"/>
    <x v="2"/>
    <s v="2230"/>
    <s v="000"/>
    <x v="1"/>
    <x v="1"/>
  </r>
  <r>
    <d v="2012-11-06T00:00:00"/>
    <s v="018-2100-000"/>
    <s v="Food Sales"/>
    <n v="4962.9606000000003"/>
    <n v="0"/>
    <s v="Daily Sales Import"/>
    <n v="-4962.9606000000003"/>
    <n v="4962.9606000000003"/>
    <x v="2"/>
    <s v="2100"/>
    <s v="000"/>
    <x v="1"/>
    <x v="1"/>
  </r>
  <r>
    <d v="2012-11-06T00:00:00"/>
    <s v="018-2210-000"/>
    <s v="Liquor Sales"/>
    <n v="662.85450000000003"/>
    <n v="0"/>
    <s v="Daily Sales Import"/>
    <n v="-662.85450000000003"/>
    <n v="662.85450000000003"/>
    <x v="2"/>
    <s v="2210"/>
    <s v="000"/>
    <x v="1"/>
    <x v="1"/>
  </r>
  <r>
    <d v="2012-11-06T00:00:00"/>
    <s v="018-2220-000"/>
    <s v="Beer Sales"/>
    <n v="172.08750000000001"/>
    <n v="0"/>
    <s v="Daily Sales Import"/>
    <n v="-172.08750000000001"/>
    <n v="172.08750000000001"/>
    <x v="2"/>
    <s v="2220"/>
    <s v="000"/>
    <x v="1"/>
    <x v="1"/>
  </r>
  <r>
    <d v="2012-11-06T00:00:00"/>
    <s v="018-2230-000"/>
    <s v="Wine Sales"/>
    <n v="114.89999999999999"/>
    <n v="0"/>
    <s v="Daily Sales Import"/>
    <n v="-114.89999999999999"/>
    <n v="114.89999999999999"/>
    <x v="2"/>
    <s v="2230"/>
    <s v="000"/>
    <x v="1"/>
    <x v="1"/>
  </r>
  <r>
    <d v="2012-11-07T00:00:00"/>
    <s v="018-2100-000"/>
    <s v="Food Sales"/>
    <n v="3633.3229000000001"/>
    <n v="0"/>
    <s v="Daily Sales Import"/>
    <n v="-3633.3229000000001"/>
    <n v="3633.3229000000001"/>
    <x v="2"/>
    <s v="2100"/>
    <s v="000"/>
    <x v="1"/>
    <x v="1"/>
  </r>
  <r>
    <d v="2012-11-07T00:00:00"/>
    <s v="018-2210-000"/>
    <s v="Liquor Sales"/>
    <n v="555.28000000000009"/>
    <n v="0"/>
    <s v="Daily Sales Import"/>
    <n v="-555.28000000000009"/>
    <n v="555.28000000000009"/>
    <x v="2"/>
    <s v="2210"/>
    <s v="000"/>
    <x v="1"/>
    <x v="1"/>
  </r>
  <r>
    <d v="2012-11-07T00:00:00"/>
    <s v="018-2220-000"/>
    <s v="Beer Sales"/>
    <n v="225.41200000000001"/>
    <n v="0"/>
    <s v="Daily Sales Import"/>
    <n v="-225.41200000000001"/>
    <n v="225.41200000000001"/>
    <x v="2"/>
    <s v="2220"/>
    <s v="000"/>
    <x v="1"/>
    <x v="1"/>
  </r>
  <r>
    <d v="2012-11-07T00:00:00"/>
    <s v="018-2230-000"/>
    <s v="Wine Sales"/>
    <n v="31.772499999999997"/>
    <n v="0"/>
    <s v="Daily Sales Import"/>
    <n v="-31.772499999999997"/>
    <n v="31.772499999999997"/>
    <x v="2"/>
    <s v="2230"/>
    <s v="000"/>
    <x v="1"/>
    <x v="1"/>
  </r>
  <r>
    <d v="2012-11-08T00:00:00"/>
    <s v="018-2100-000"/>
    <s v="Food Sales"/>
    <n v="3908.0596999999998"/>
    <n v="0"/>
    <s v="Daily Sales Import"/>
    <n v="-3908.0596999999998"/>
    <n v="3908.0596999999998"/>
    <x v="2"/>
    <s v="2100"/>
    <s v="000"/>
    <x v="1"/>
    <x v="1"/>
  </r>
  <r>
    <d v="2012-11-08T00:00:00"/>
    <s v="018-2210-000"/>
    <s v="Liquor Sales"/>
    <n v="862.57749999999999"/>
    <n v="0"/>
    <s v="Daily Sales Import"/>
    <n v="-862.57749999999999"/>
    <n v="862.57749999999999"/>
    <x v="2"/>
    <s v="2210"/>
    <s v="000"/>
    <x v="1"/>
    <x v="1"/>
  </r>
  <r>
    <d v="2012-11-08T00:00:00"/>
    <s v="018-2220-000"/>
    <s v="Beer Sales"/>
    <n v="160.84200000000001"/>
    <n v="0"/>
    <s v="Daily Sales Import"/>
    <n v="-160.84200000000001"/>
    <n v="160.84200000000001"/>
    <x v="2"/>
    <s v="2220"/>
    <s v="000"/>
    <x v="1"/>
    <x v="1"/>
  </r>
  <r>
    <d v="2012-11-08T00:00:00"/>
    <s v="018-2230-000"/>
    <s v="Wine Sales"/>
    <n v="88.66"/>
    <n v="0"/>
    <s v="Daily Sales Import"/>
    <n v="-88.66"/>
    <n v="88.66"/>
    <x v="2"/>
    <s v="2230"/>
    <s v="000"/>
    <x v="1"/>
    <x v="1"/>
  </r>
  <r>
    <d v="2012-11-09T00:00:00"/>
    <s v="018-2100-000"/>
    <s v="Food Sales"/>
    <n v="8572.452299999999"/>
    <n v="0"/>
    <s v="Daily Sales Import"/>
    <n v="-8572.452299999999"/>
    <n v="8572.452299999999"/>
    <x v="2"/>
    <s v="2100"/>
    <s v="000"/>
    <x v="1"/>
    <x v="1"/>
  </r>
  <r>
    <d v="2012-11-09T00:00:00"/>
    <s v="018-2210-000"/>
    <s v="Liquor Sales"/>
    <n v="2260.06"/>
    <n v="0"/>
    <s v="Daily Sales Import"/>
    <n v="-2260.06"/>
    <n v="2260.06"/>
    <x v="2"/>
    <s v="2210"/>
    <s v="000"/>
    <x v="1"/>
    <x v="1"/>
  </r>
  <r>
    <d v="2012-11-09T00:00:00"/>
    <s v="018-2220-000"/>
    <s v="Beer Sales"/>
    <n v="729.21300000000008"/>
    <n v="0"/>
    <s v="Daily Sales Import"/>
    <n v="-729.21300000000008"/>
    <n v="729.21300000000008"/>
    <x v="2"/>
    <s v="2220"/>
    <s v="000"/>
    <x v="1"/>
    <x v="1"/>
  </r>
  <r>
    <d v="2012-11-09T00:00:00"/>
    <s v="018-2230-000"/>
    <s v="Wine Sales"/>
    <n v="107.976"/>
    <n v="0"/>
    <s v="Daily Sales Import"/>
    <n v="-107.976"/>
    <n v="107.976"/>
    <x v="2"/>
    <s v="2230"/>
    <s v="000"/>
    <x v="1"/>
    <x v="1"/>
  </r>
  <r>
    <d v="2012-11-10T00:00:00"/>
    <s v="018-2100-000"/>
    <s v="Food Sales"/>
    <n v="13174.846500000001"/>
    <n v="0"/>
    <s v="Daily Sales Import"/>
    <n v="-13174.846500000001"/>
    <n v="13174.846500000001"/>
    <x v="2"/>
    <s v="2100"/>
    <s v="000"/>
    <x v="1"/>
    <x v="1"/>
  </r>
  <r>
    <d v="2012-11-10T00:00:00"/>
    <s v="018-2210-000"/>
    <s v="Liquor Sales"/>
    <n v="5427.1720000000005"/>
    <n v="0"/>
    <s v="Daily Sales Import"/>
    <n v="-5427.1720000000005"/>
    <n v="5427.1720000000005"/>
    <x v="2"/>
    <s v="2210"/>
    <s v="000"/>
    <x v="1"/>
    <x v="1"/>
  </r>
  <r>
    <d v="2012-11-10T00:00:00"/>
    <s v="018-2220-000"/>
    <s v="Beer Sales"/>
    <n v="813.88800000000003"/>
    <n v="0"/>
    <s v="Daily Sales Import"/>
    <n v="-813.88800000000003"/>
    <n v="813.88800000000003"/>
    <x v="2"/>
    <s v="2220"/>
    <s v="000"/>
    <x v="1"/>
    <x v="1"/>
  </r>
  <r>
    <d v="2012-11-10T00:00:00"/>
    <s v="018-2230-000"/>
    <s v="Wine Sales"/>
    <n v="73.901499999999999"/>
    <n v="0"/>
    <s v="Daily Sales Import"/>
    <n v="-73.901499999999999"/>
    <n v="73.901499999999999"/>
    <x v="2"/>
    <s v="2230"/>
    <s v="000"/>
    <x v="1"/>
    <x v="1"/>
  </r>
  <r>
    <d v="2012-11-11T00:00:00"/>
    <s v="018-2100-000"/>
    <s v="Food Sales"/>
    <n v="16583.865000000002"/>
    <n v="0"/>
    <s v="Daily Sales Import"/>
    <n v="-16583.865000000002"/>
    <n v="16583.865000000002"/>
    <x v="2"/>
    <s v="2100"/>
    <s v="000"/>
    <x v="1"/>
    <x v="1"/>
  </r>
  <r>
    <d v="2012-11-11T00:00:00"/>
    <s v="018-2210-000"/>
    <s v="Liquor Sales"/>
    <n v="2115.4210000000003"/>
    <n v="0"/>
    <s v="Daily Sales Import"/>
    <n v="-2115.4210000000003"/>
    <n v="2115.4210000000003"/>
    <x v="2"/>
    <s v="2210"/>
    <s v="000"/>
    <x v="1"/>
    <x v="1"/>
  </r>
  <r>
    <d v="2012-11-11T00:00:00"/>
    <s v="018-2220-000"/>
    <s v="Beer Sales"/>
    <n v="469.55700000000007"/>
    <n v="0"/>
    <s v="Daily Sales Import"/>
    <n v="-469.55700000000007"/>
    <n v="469.55700000000007"/>
    <x v="2"/>
    <s v="2220"/>
    <s v="000"/>
    <x v="1"/>
    <x v="1"/>
  </r>
  <r>
    <d v="2012-11-11T00:00:00"/>
    <s v="018-2230-000"/>
    <s v="Wine Sales"/>
    <n v="230.46549999999999"/>
    <n v="0"/>
    <s v="Daily Sales Import"/>
    <n v="-230.46549999999999"/>
    <n v="230.46549999999999"/>
    <x v="2"/>
    <s v="2230"/>
    <s v="000"/>
    <x v="1"/>
    <x v="1"/>
  </r>
  <r>
    <d v="2012-11-12T00:00:00"/>
    <s v="016-2100-000"/>
    <s v="Food Sales"/>
    <n v="2074.7532000000001"/>
    <n v="0"/>
    <s v="Daily Sales Import"/>
    <n v="-2074.7532000000001"/>
    <n v="2074.7532000000001"/>
    <x v="0"/>
    <s v="2100"/>
    <s v="000"/>
    <x v="1"/>
    <x v="1"/>
  </r>
  <r>
    <d v="2012-11-12T00:00:00"/>
    <s v="016-2210-000"/>
    <s v="Liquor Sales"/>
    <n v="315.74400000000003"/>
    <n v="0"/>
    <s v="Daily Sales Import"/>
    <n v="-315.74400000000003"/>
    <n v="315.74400000000003"/>
    <x v="0"/>
    <s v="2210"/>
    <s v="000"/>
    <x v="1"/>
    <x v="1"/>
  </r>
  <r>
    <d v="2012-11-12T00:00:00"/>
    <s v="016-2220-000"/>
    <s v="Beer Sales"/>
    <n v="115.63200000000001"/>
    <n v="0"/>
    <s v="Daily Sales Import"/>
    <n v="-115.63200000000001"/>
    <n v="115.63200000000001"/>
    <x v="0"/>
    <s v="2220"/>
    <s v="000"/>
    <x v="1"/>
    <x v="1"/>
  </r>
  <r>
    <d v="2012-11-12T00:00:00"/>
    <s v="016-2230-000"/>
    <s v="Wine Sales"/>
    <n v="90.824999999999989"/>
    <n v="0"/>
    <s v="Daily Sales Import"/>
    <n v="-90.824999999999989"/>
    <n v="90.824999999999989"/>
    <x v="0"/>
    <s v="2230"/>
    <s v="000"/>
    <x v="1"/>
    <x v="1"/>
  </r>
  <r>
    <d v="2012-11-13T00:00:00"/>
    <s v="016-2100-000"/>
    <s v="Food Sales"/>
    <n v="4271.5468999999994"/>
    <n v="0"/>
    <s v="Daily Sales Import"/>
    <n v="-4271.5468999999994"/>
    <n v="4271.5468999999994"/>
    <x v="0"/>
    <s v="2100"/>
    <s v="000"/>
    <x v="1"/>
    <x v="1"/>
  </r>
  <r>
    <d v="2012-11-13T00:00:00"/>
    <s v="016-2210-000"/>
    <s v="Liquor Sales"/>
    <n v="1825.6679999999999"/>
    <n v="0"/>
    <s v="Daily Sales Import"/>
    <n v="-1825.6679999999999"/>
    <n v="1825.6679999999999"/>
    <x v="0"/>
    <s v="2210"/>
    <s v="000"/>
    <x v="1"/>
    <x v="1"/>
  </r>
  <r>
    <d v="2012-11-13T00:00:00"/>
    <s v="016-2220-000"/>
    <s v="Beer Sales"/>
    <n v="498.5847"/>
    <n v="0"/>
    <s v="Daily Sales Import"/>
    <n v="-498.5847"/>
    <n v="498.5847"/>
    <x v="0"/>
    <s v="2220"/>
    <s v="000"/>
    <x v="1"/>
    <x v="1"/>
  </r>
  <r>
    <d v="2012-11-13T00:00:00"/>
    <s v="016-2230-000"/>
    <s v="Wine Sales"/>
    <n v="171.054"/>
    <n v="0"/>
    <s v="Daily Sales Import"/>
    <n v="-171.054"/>
    <n v="171.054"/>
    <x v="0"/>
    <s v="2230"/>
    <s v="000"/>
    <x v="1"/>
    <x v="1"/>
  </r>
  <r>
    <d v="2012-11-14T00:00:00"/>
    <s v="016-2100-000"/>
    <s v="Food Sales"/>
    <n v="2172.36"/>
    <n v="0"/>
    <s v="Daily Sales Import"/>
    <n v="-2172.36"/>
    <n v="2172.36"/>
    <x v="0"/>
    <s v="2100"/>
    <s v="000"/>
    <x v="1"/>
    <x v="1"/>
  </r>
  <r>
    <d v="2012-11-14T00:00:00"/>
    <s v="016-2210-000"/>
    <s v="Liquor Sales"/>
    <n v="618.23300000000006"/>
    <n v="0"/>
    <s v="Daily Sales Import"/>
    <n v="-618.23300000000006"/>
    <n v="618.23300000000006"/>
    <x v="0"/>
    <s v="2210"/>
    <s v="000"/>
    <x v="1"/>
    <x v="1"/>
  </r>
  <r>
    <d v="2012-11-14T00:00:00"/>
    <s v="016-2220-000"/>
    <s v="Beer Sales"/>
    <n v="128.65049999999999"/>
    <n v="0"/>
    <s v="Daily Sales Import"/>
    <n v="-128.65049999999999"/>
    <n v="128.65049999999999"/>
    <x v="0"/>
    <s v="2220"/>
    <s v="000"/>
    <x v="1"/>
    <x v="1"/>
  </r>
  <r>
    <d v="2012-11-14T00:00:00"/>
    <s v="016-2230-000"/>
    <s v="Wine Sales"/>
    <n v="41.814500000000002"/>
    <n v="0"/>
    <s v="Daily Sales Import"/>
    <n v="-41.814500000000002"/>
    <n v="41.814500000000002"/>
    <x v="0"/>
    <s v="2230"/>
    <s v="000"/>
    <x v="1"/>
    <x v="1"/>
  </r>
  <r>
    <d v="2012-11-15T00:00:00"/>
    <s v="016-2100-000"/>
    <s v="Food Sales"/>
    <n v="3665.3089999999997"/>
    <n v="0"/>
    <s v="Daily Sales Import"/>
    <n v="-3665.3089999999997"/>
    <n v="3665.3089999999997"/>
    <x v="0"/>
    <s v="2100"/>
    <s v="000"/>
    <x v="1"/>
    <x v="1"/>
  </r>
  <r>
    <d v="2012-11-15T00:00:00"/>
    <s v="016-2210-000"/>
    <s v="Liquor Sales"/>
    <n v="769.47"/>
    <n v="0"/>
    <s v="Daily Sales Import"/>
    <n v="-769.47"/>
    <n v="769.47"/>
    <x v="0"/>
    <s v="2210"/>
    <s v="000"/>
    <x v="1"/>
    <x v="1"/>
  </r>
  <r>
    <d v="2012-11-15T00:00:00"/>
    <s v="016-2220-000"/>
    <s v="Beer Sales"/>
    <n v="76.02000000000001"/>
    <n v="0"/>
    <s v="Daily Sales Import"/>
    <n v="-76.02000000000001"/>
    <n v="76.02000000000001"/>
    <x v="0"/>
    <s v="2220"/>
    <s v="000"/>
    <x v="1"/>
    <x v="1"/>
  </r>
  <r>
    <d v="2012-11-15T00:00:00"/>
    <s v="016-2230-000"/>
    <s v="Wine Sales"/>
    <n v="44.85"/>
    <n v="0"/>
    <s v="Daily Sales Import"/>
    <n v="-44.85"/>
    <n v="44.85"/>
    <x v="0"/>
    <s v="2230"/>
    <s v="000"/>
    <x v="1"/>
    <x v="1"/>
  </r>
  <r>
    <d v="2012-11-16T00:00:00"/>
    <s v="016-2100-000"/>
    <s v="Food Sales"/>
    <n v="5700.2686999999996"/>
    <n v="0"/>
    <s v="Daily Sales Import"/>
    <n v="-5700.2686999999996"/>
    <n v="5700.2686999999996"/>
    <x v="0"/>
    <s v="2100"/>
    <s v="000"/>
    <x v="1"/>
    <x v="1"/>
  </r>
  <r>
    <d v="2012-11-16T00:00:00"/>
    <s v="016-2210-000"/>
    <s v="Liquor Sales"/>
    <n v="2387.6194999999998"/>
    <n v="0"/>
    <s v="Daily Sales Import"/>
    <n v="-2387.6194999999998"/>
    <n v="2387.6194999999998"/>
    <x v="0"/>
    <s v="2210"/>
    <s v="000"/>
    <x v="1"/>
    <x v="1"/>
  </r>
  <r>
    <d v="2012-11-16T00:00:00"/>
    <s v="016-2220-000"/>
    <s v="Beer Sales"/>
    <n v="307.11600000000004"/>
    <n v="0"/>
    <s v="Daily Sales Import"/>
    <n v="-307.11600000000004"/>
    <n v="307.11600000000004"/>
    <x v="0"/>
    <s v="2220"/>
    <s v="000"/>
    <x v="1"/>
    <x v="1"/>
  </r>
  <r>
    <d v="2012-11-16T00:00:00"/>
    <s v="016-2230-000"/>
    <s v="Wine Sales"/>
    <n v="109.45200000000001"/>
    <n v="0"/>
    <s v="Daily Sales Import"/>
    <n v="-109.45200000000001"/>
    <n v="109.45200000000001"/>
    <x v="0"/>
    <s v="2230"/>
    <s v="000"/>
    <x v="1"/>
    <x v="1"/>
  </r>
  <r>
    <d v="2012-11-17T00:00:00"/>
    <s v="016-2100-000"/>
    <s v="Food Sales"/>
    <n v="7555.11"/>
    <n v="0"/>
    <s v="Daily Sales Import"/>
    <n v="-7555.11"/>
    <n v="7555.11"/>
    <x v="0"/>
    <s v="2100"/>
    <s v="000"/>
    <x v="1"/>
    <x v="1"/>
  </r>
  <r>
    <d v="2012-11-17T00:00:00"/>
    <s v="016-2210-000"/>
    <s v="Liquor Sales"/>
    <n v="2092.2089999999998"/>
    <n v="0"/>
    <s v="Daily Sales Import"/>
    <n v="-2092.2089999999998"/>
    <n v="2092.2089999999998"/>
    <x v="0"/>
    <s v="2210"/>
    <s v="000"/>
    <x v="1"/>
    <x v="1"/>
  </r>
  <r>
    <d v="2012-11-17T00:00:00"/>
    <s v="016-2220-000"/>
    <s v="Beer Sales"/>
    <n v="518.24699999999996"/>
    <n v="0"/>
    <s v="Daily Sales Import"/>
    <n v="-518.24699999999996"/>
    <n v="518.24699999999996"/>
    <x v="0"/>
    <s v="2220"/>
    <s v="000"/>
    <x v="1"/>
    <x v="1"/>
  </r>
  <r>
    <d v="2012-11-17T00:00:00"/>
    <s v="016-2230-000"/>
    <s v="Wine Sales"/>
    <n v="207.0728"/>
    <n v="0"/>
    <s v="Daily Sales Import"/>
    <n v="-207.0728"/>
    <n v="207.0728"/>
    <x v="0"/>
    <s v="2230"/>
    <s v="000"/>
    <x v="1"/>
    <x v="1"/>
  </r>
  <r>
    <d v="2012-11-18T00:00:00"/>
    <s v="016-2100-000"/>
    <s v="Food Sales"/>
    <n v="3894.848"/>
    <n v="0"/>
    <s v="Daily Sales Import"/>
    <n v="-3894.848"/>
    <n v="3894.848"/>
    <x v="0"/>
    <s v="2100"/>
    <s v="000"/>
    <x v="1"/>
    <x v="1"/>
  </r>
  <r>
    <d v="2012-11-18T00:00:00"/>
    <s v="016-2210-000"/>
    <s v="Liquor Sales"/>
    <n v="1553.0256000000002"/>
    <n v="0"/>
    <s v="Daily Sales Import"/>
    <n v="-1553.0256000000002"/>
    <n v="1553.0256000000002"/>
    <x v="0"/>
    <s v="2210"/>
    <s v="000"/>
    <x v="1"/>
    <x v="1"/>
  </r>
  <r>
    <d v="2012-11-18T00:00:00"/>
    <s v="016-2220-000"/>
    <s v="Beer Sales"/>
    <n v="306.58499999999998"/>
    <n v="0"/>
    <s v="Daily Sales Import"/>
    <n v="-306.58499999999998"/>
    <n v="306.58499999999998"/>
    <x v="0"/>
    <s v="2220"/>
    <s v="000"/>
    <x v="1"/>
    <x v="1"/>
  </r>
  <r>
    <d v="2012-11-18T00:00:00"/>
    <s v="016-2230-000"/>
    <s v="Wine Sales"/>
    <n v="243.64350000000002"/>
    <n v="0"/>
    <s v="Daily Sales Import"/>
    <n v="-243.64350000000002"/>
    <n v="243.64350000000002"/>
    <x v="0"/>
    <s v="2230"/>
    <s v="000"/>
    <x v="1"/>
    <x v="1"/>
  </r>
  <r>
    <d v="2012-11-12T00:00:00"/>
    <s v="017-2100-000"/>
    <s v="Food Sales"/>
    <n v="3019.5550000000003"/>
    <n v="0"/>
    <s v="Daily Sales Import"/>
    <n v="-3019.5550000000003"/>
    <n v="3019.5550000000003"/>
    <x v="1"/>
    <s v="2100"/>
    <s v="000"/>
    <x v="1"/>
    <x v="1"/>
  </r>
  <r>
    <d v="2012-11-12T00:00:00"/>
    <s v="017-2210-000"/>
    <s v="Liquor Sales"/>
    <n v="999.005"/>
    <n v="0"/>
    <s v="Daily Sales Import"/>
    <n v="-999.005"/>
    <n v="999.005"/>
    <x v="1"/>
    <s v="2210"/>
    <s v="000"/>
    <x v="1"/>
    <x v="1"/>
  </r>
  <r>
    <d v="2012-11-12T00:00:00"/>
    <s v="017-2220-000"/>
    <s v="Beer Sales"/>
    <n v="229.50749999999999"/>
    <n v="0"/>
    <s v="Daily Sales Import"/>
    <n v="-229.50749999999999"/>
    <n v="229.50749999999999"/>
    <x v="1"/>
    <s v="2220"/>
    <s v="000"/>
    <x v="1"/>
    <x v="1"/>
  </r>
  <r>
    <d v="2012-11-12T00:00:00"/>
    <s v="017-2230-000"/>
    <s v="Wine Sales"/>
    <n v="45.583999999999996"/>
    <n v="0"/>
    <s v="Daily Sales Import"/>
    <n v="-45.583999999999996"/>
    <n v="45.583999999999996"/>
    <x v="1"/>
    <s v="2230"/>
    <s v="000"/>
    <x v="1"/>
    <x v="1"/>
  </r>
  <r>
    <d v="2012-11-13T00:00:00"/>
    <s v="017-2100-000"/>
    <s v="Food Sales"/>
    <n v="5508.0459000000001"/>
    <n v="0"/>
    <s v="Daily Sales Import"/>
    <n v="-5508.0459000000001"/>
    <n v="5508.0459000000001"/>
    <x v="1"/>
    <s v="2100"/>
    <s v="000"/>
    <x v="1"/>
    <x v="1"/>
  </r>
  <r>
    <d v="2012-11-13T00:00:00"/>
    <s v="017-2210-000"/>
    <s v="Liquor Sales"/>
    <n v="2196.569"/>
    <n v="0"/>
    <s v="Daily Sales Import"/>
    <n v="-2196.569"/>
    <n v="2196.569"/>
    <x v="1"/>
    <s v="2210"/>
    <s v="000"/>
    <x v="1"/>
    <x v="1"/>
  </r>
  <r>
    <d v="2012-11-13T00:00:00"/>
    <s v="017-2220-000"/>
    <s v="Beer Sales"/>
    <n v="491.68"/>
    <n v="0"/>
    <s v="Daily Sales Import"/>
    <n v="-491.68"/>
    <n v="491.68"/>
    <x v="1"/>
    <s v="2220"/>
    <s v="000"/>
    <x v="1"/>
    <x v="1"/>
  </r>
  <r>
    <d v="2012-11-13T00:00:00"/>
    <s v="017-2230-000"/>
    <s v="Wine Sales"/>
    <n v="330.93"/>
    <n v="0"/>
    <s v="Daily Sales Import"/>
    <n v="-330.93"/>
    <n v="330.93"/>
    <x v="1"/>
    <s v="2230"/>
    <s v="000"/>
    <x v="1"/>
    <x v="1"/>
  </r>
  <r>
    <d v="2012-11-14T00:00:00"/>
    <s v="017-2100-000"/>
    <s v="Food Sales"/>
    <n v="5484.1442999999999"/>
    <n v="0"/>
    <s v="Daily Sales Import"/>
    <n v="-5484.1442999999999"/>
    <n v="5484.1442999999999"/>
    <x v="1"/>
    <s v="2100"/>
    <s v="000"/>
    <x v="1"/>
    <x v="1"/>
  </r>
  <r>
    <d v="2012-11-14T00:00:00"/>
    <s v="017-2210-000"/>
    <s v="Liquor Sales"/>
    <n v="2097.0495000000001"/>
    <n v="0"/>
    <s v="Daily Sales Import"/>
    <n v="-2097.0495000000001"/>
    <n v="2097.0495000000001"/>
    <x v="1"/>
    <s v="2210"/>
    <s v="000"/>
    <x v="1"/>
    <x v="1"/>
  </r>
  <r>
    <d v="2012-11-14T00:00:00"/>
    <s v="017-2220-000"/>
    <s v="Beer Sales"/>
    <n v="553.6"/>
    <n v="0"/>
    <s v="Daily Sales Import"/>
    <n v="-553.6"/>
    <n v="553.6"/>
    <x v="1"/>
    <s v="2220"/>
    <s v="000"/>
    <x v="1"/>
    <x v="1"/>
  </r>
  <r>
    <d v="2012-11-14T00:00:00"/>
    <s v="017-2230-000"/>
    <s v="Wine Sales"/>
    <n v="252.245"/>
    <n v="0"/>
    <s v="Daily Sales Import"/>
    <n v="-252.245"/>
    <n v="252.245"/>
    <x v="1"/>
    <s v="2230"/>
    <s v="000"/>
    <x v="1"/>
    <x v="1"/>
  </r>
  <r>
    <d v="2012-11-15T00:00:00"/>
    <s v="017-2100-000"/>
    <s v="Food Sales"/>
    <n v="4966.1243999999997"/>
    <n v="0"/>
    <s v="Daily Sales Import"/>
    <n v="-4966.1243999999997"/>
    <n v="4966.1243999999997"/>
    <x v="1"/>
    <s v="2100"/>
    <s v="000"/>
    <x v="1"/>
    <x v="1"/>
  </r>
  <r>
    <d v="2012-11-15T00:00:00"/>
    <s v="017-2210-000"/>
    <s v="Liquor Sales"/>
    <n v="2805.1200000000003"/>
    <n v="0"/>
    <s v="Daily Sales Import"/>
    <n v="-2805.1200000000003"/>
    <n v="2805.1200000000003"/>
    <x v="1"/>
    <s v="2210"/>
    <s v="000"/>
    <x v="1"/>
    <x v="1"/>
  </r>
  <r>
    <d v="2012-11-15T00:00:00"/>
    <s v="017-2220-000"/>
    <s v="Beer Sales"/>
    <n v="587.57999999999993"/>
    <n v="0"/>
    <s v="Daily Sales Import"/>
    <n v="-587.57999999999993"/>
    <n v="587.57999999999993"/>
    <x v="1"/>
    <s v="2220"/>
    <s v="000"/>
    <x v="1"/>
    <x v="1"/>
  </r>
  <r>
    <d v="2012-11-15T00:00:00"/>
    <s v="017-2230-000"/>
    <s v="Wine Sales"/>
    <n v="260.245"/>
    <n v="0"/>
    <s v="Daily Sales Import"/>
    <n v="-260.245"/>
    <n v="260.245"/>
    <x v="1"/>
    <s v="2230"/>
    <s v="000"/>
    <x v="1"/>
    <x v="1"/>
  </r>
  <r>
    <d v="2012-11-16T00:00:00"/>
    <s v="017-2100-000"/>
    <s v="Food Sales"/>
    <n v="8776.7908000000007"/>
    <n v="0"/>
    <s v="Daily Sales Import"/>
    <n v="-8776.7908000000007"/>
    <n v="8776.7908000000007"/>
    <x v="1"/>
    <s v="2100"/>
    <s v="000"/>
    <x v="1"/>
    <x v="1"/>
  </r>
  <r>
    <d v="2012-11-16T00:00:00"/>
    <s v="017-2210-000"/>
    <s v="Liquor Sales"/>
    <n v="1977.6429999999998"/>
    <n v="0"/>
    <s v="Daily Sales Import"/>
    <n v="-1977.6429999999998"/>
    <n v="1977.6429999999998"/>
    <x v="1"/>
    <s v="2210"/>
    <s v="000"/>
    <x v="1"/>
    <x v="1"/>
  </r>
  <r>
    <d v="2012-11-16T00:00:00"/>
    <s v="017-2220-000"/>
    <s v="Beer Sales"/>
    <n v="409.11750000000001"/>
    <n v="0"/>
    <s v="Daily Sales Import"/>
    <n v="-409.11750000000001"/>
    <n v="409.11750000000001"/>
    <x v="1"/>
    <s v="2220"/>
    <s v="000"/>
    <x v="1"/>
    <x v="1"/>
  </r>
  <r>
    <d v="2012-11-16T00:00:00"/>
    <s v="017-2230-000"/>
    <s v="Wine Sales"/>
    <n v="160.072"/>
    <n v="0"/>
    <s v="Daily Sales Import"/>
    <n v="-160.072"/>
    <n v="160.072"/>
    <x v="1"/>
    <s v="2230"/>
    <s v="000"/>
    <x v="1"/>
    <x v="1"/>
  </r>
  <r>
    <d v="2012-11-17T00:00:00"/>
    <s v="017-2100-000"/>
    <s v="Food Sales"/>
    <n v="4971.5810999999994"/>
    <n v="0"/>
    <s v="Daily Sales Import"/>
    <n v="-4971.5810999999994"/>
    <n v="4971.5810999999994"/>
    <x v="1"/>
    <s v="2100"/>
    <s v="000"/>
    <x v="1"/>
    <x v="1"/>
  </r>
  <r>
    <d v="2012-11-17T00:00:00"/>
    <s v="017-2210-000"/>
    <s v="Liquor Sales"/>
    <n v="1585.9299999999998"/>
    <n v="0"/>
    <s v="Daily Sales Import"/>
    <n v="-1585.9299999999998"/>
    <n v="1585.9299999999998"/>
    <x v="1"/>
    <s v="2210"/>
    <s v="000"/>
    <x v="1"/>
    <x v="1"/>
  </r>
  <r>
    <d v="2012-11-17T00:00:00"/>
    <s v="017-2220-000"/>
    <s v="Beer Sales"/>
    <n v="403.39249999999998"/>
    <n v="0"/>
    <s v="Daily Sales Import"/>
    <n v="-403.39249999999998"/>
    <n v="403.39249999999998"/>
    <x v="1"/>
    <s v="2220"/>
    <s v="000"/>
    <x v="1"/>
    <x v="1"/>
  </r>
  <r>
    <d v="2012-11-17T00:00:00"/>
    <s v="017-2230-000"/>
    <s v="Wine Sales"/>
    <n v="106.85400000000001"/>
    <n v="0"/>
    <s v="Daily Sales Import"/>
    <n v="-106.85400000000001"/>
    <n v="106.85400000000001"/>
    <x v="1"/>
    <s v="2230"/>
    <s v="000"/>
    <x v="1"/>
    <x v="1"/>
  </r>
  <r>
    <d v="2012-11-18T00:00:00"/>
    <s v="017-2100-000"/>
    <s v="Food Sales"/>
    <n v="5209.7219999999998"/>
    <n v="0"/>
    <s v="Daily Sales Import"/>
    <n v="-5209.7219999999998"/>
    <n v="5209.7219999999998"/>
    <x v="1"/>
    <s v="2100"/>
    <s v="000"/>
    <x v="1"/>
    <x v="1"/>
  </r>
  <r>
    <d v="2012-11-18T00:00:00"/>
    <s v="017-2210-000"/>
    <s v="Liquor Sales"/>
    <n v="722.25599999999997"/>
    <n v="0"/>
    <s v="Daily Sales Import"/>
    <n v="-722.25599999999997"/>
    <n v="722.25599999999997"/>
    <x v="1"/>
    <s v="2210"/>
    <s v="000"/>
    <x v="1"/>
    <x v="1"/>
  </r>
  <r>
    <d v="2012-11-18T00:00:00"/>
    <s v="017-2220-000"/>
    <s v="Beer Sales"/>
    <n v="105.86"/>
    <n v="0"/>
    <s v="Daily Sales Import"/>
    <n v="-105.86"/>
    <n v="105.86"/>
    <x v="1"/>
    <s v="2220"/>
    <s v="000"/>
    <x v="1"/>
    <x v="1"/>
  </r>
  <r>
    <d v="2012-11-18T00:00:00"/>
    <s v="017-2230-000"/>
    <s v="Wine Sales"/>
    <n v="94.516999999999996"/>
    <n v="0"/>
    <s v="Daily Sales Import"/>
    <n v="-94.516999999999996"/>
    <n v="94.516999999999996"/>
    <x v="1"/>
    <s v="2230"/>
    <s v="000"/>
    <x v="1"/>
    <x v="1"/>
  </r>
  <r>
    <d v="2012-11-12T00:00:00"/>
    <s v="018-2100-000"/>
    <s v="Food Sales"/>
    <n v="5408.8016000000007"/>
    <n v="0"/>
    <s v="Daily Sales Import"/>
    <n v="-5408.8016000000007"/>
    <n v="5408.8016000000007"/>
    <x v="2"/>
    <s v="2100"/>
    <s v="000"/>
    <x v="1"/>
    <x v="1"/>
  </r>
  <r>
    <d v="2012-11-12T00:00:00"/>
    <s v="018-2210-000"/>
    <s v="Liquor Sales"/>
    <n v="841.7115"/>
    <n v="0"/>
    <s v="Daily Sales Import"/>
    <n v="-841.7115"/>
    <n v="841.7115"/>
    <x v="2"/>
    <s v="2210"/>
    <s v="000"/>
    <x v="1"/>
    <x v="1"/>
  </r>
  <r>
    <d v="2012-11-12T00:00:00"/>
    <s v="018-2220-000"/>
    <s v="Beer Sales"/>
    <n v="223.74799999999999"/>
    <n v="0"/>
    <s v="Daily Sales Import"/>
    <n v="-223.74799999999999"/>
    <n v="223.74799999999999"/>
    <x v="2"/>
    <s v="2220"/>
    <s v="000"/>
    <x v="1"/>
    <x v="1"/>
  </r>
  <r>
    <d v="2012-11-12T00:00:00"/>
    <s v="018-2230-000"/>
    <s v="Wine Sales"/>
    <n v="17.891999999999999"/>
    <n v="0"/>
    <s v="Daily Sales Import"/>
    <n v="-17.891999999999999"/>
    <n v="17.891999999999999"/>
    <x v="2"/>
    <s v="2230"/>
    <s v="000"/>
    <x v="1"/>
    <x v="1"/>
  </r>
  <r>
    <d v="2012-11-13T00:00:00"/>
    <s v="018-2100-000"/>
    <s v="Food Sales"/>
    <n v="2824.9575"/>
    <n v="0"/>
    <s v="Daily Sales Import"/>
    <n v="-2824.9575"/>
    <n v="2824.9575"/>
    <x v="2"/>
    <s v="2100"/>
    <s v="000"/>
    <x v="1"/>
    <x v="1"/>
  </r>
  <r>
    <d v="2012-11-13T00:00:00"/>
    <s v="018-2210-000"/>
    <s v="Liquor Sales"/>
    <n v="578.7589999999999"/>
    <n v="0"/>
    <s v="Daily Sales Import"/>
    <n v="-578.7589999999999"/>
    <n v="578.7589999999999"/>
    <x v="2"/>
    <s v="2210"/>
    <s v="000"/>
    <x v="1"/>
    <x v="1"/>
  </r>
  <r>
    <d v="2012-11-13T00:00:00"/>
    <s v="018-2220-000"/>
    <s v="Beer Sales"/>
    <n v="124.90800000000002"/>
    <n v="0"/>
    <s v="Daily Sales Import"/>
    <n v="-124.90800000000002"/>
    <n v="124.90800000000002"/>
    <x v="2"/>
    <s v="2220"/>
    <s v="000"/>
    <x v="1"/>
    <x v="1"/>
  </r>
  <r>
    <d v="2012-11-13T00:00:00"/>
    <s v="018-2230-000"/>
    <s v="Wine Sales"/>
    <n v="18.213000000000001"/>
    <n v="0"/>
    <s v="Daily Sales Import"/>
    <n v="-18.213000000000001"/>
    <n v="18.213000000000001"/>
    <x v="2"/>
    <s v="2230"/>
    <s v="000"/>
    <x v="1"/>
    <x v="1"/>
  </r>
  <r>
    <d v="2012-11-14T00:00:00"/>
    <s v="018-2100-000"/>
    <s v="Food Sales"/>
    <n v="4092.9585000000002"/>
    <n v="0"/>
    <s v="Daily Sales Import"/>
    <n v="-4092.9585000000002"/>
    <n v="4092.9585000000002"/>
    <x v="2"/>
    <s v="2100"/>
    <s v="000"/>
    <x v="1"/>
    <x v="1"/>
  </r>
  <r>
    <d v="2012-11-14T00:00:00"/>
    <s v="018-2210-000"/>
    <s v="Liquor Sales"/>
    <n v="568.65"/>
    <n v="0"/>
    <s v="Daily Sales Import"/>
    <n v="-568.65"/>
    <n v="568.65"/>
    <x v="2"/>
    <s v="2210"/>
    <s v="000"/>
    <x v="1"/>
    <x v="1"/>
  </r>
  <r>
    <d v="2012-11-14T00:00:00"/>
    <s v="018-2220-000"/>
    <s v="Beer Sales"/>
    <n v="110.46599999999999"/>
    <n v="0"/>
    <s v="Daily Sales Import"/>
    <n v="-110.46599999999999"/>
    <n v="110.46599999999999"/>
    <x v="2"/>
    <s v="2220"/>
    <s v="000"/>
    <x v="1"/>
    <x v="1"/>
  </r>
  <r>
    <d v="2012-11-14T00:00:00"/>
    <s v="018-2230-000"/>
    <s v="Wine Sales"/>
    <n v="17.6435"/>
    <n v="0"/>
    <s v="Daily Sales Import"/>
    <n v="-17.6435"/>
    <n v="17.6435"/>
    <x v="2"/>
    <s v="2230"/>
    <s v="000"/>
    <x v="1"/>
    <x v="1"/>
  </r>
  <r>
    <d v="2012-11-15T00:00:00"/>
    <s v="018-2100-000"/>
    <s v="Food Sales"/>
    <n v="4962.415"/>
    <n v="0"/>
    <s v="Daily Sales Import"/>
    <n v="-4962.415"/>
    <n v="4962.415"/>
    <x v="2"/>
    <s v="2100"/>
    <s v="000"/>
    <x v="1"/>
    <x v="1"/>
  </r>
  <r>
    <d v="2012-11-15T00:00:00"/>
    <s v="018-2210-000"/>
    <s v="Liquor Sales"/>
    <n v="856.98900000000003"/>
    <n v="0"/>
    <s v="Daily Sales Import"/>
    <n v="-856.98900000000003"/>
    <n v="856.98900000000003"/>
    <x v="2"/>
    <s v="2210"/>
    <s v="000"/>
    <x v="1"/>
    <x v="1"/>
  </r>
  <r>
    <d v="2012-11-15T00:00:00"/>
    <s v="018-2220-000"/>
    <s v="Beer Sales"/>
    <n v="110.60599999999998"/>
    <n v="0"/>
    <s v="Daily Sales Import"/>
    <n v="-110.60599999999998"/>
    <n v="110.60599999999998"/>
    <x v="2"/>
    <s v="2220"/>
    <s v="000"/>
    <x v="1"/>
    <x v="1"/>
  </r>
  <r>
    <d v="2012-11-15T00:00:00"/>
    <s v="018-2230-000"/>
    <s v="Wine Sales"/>
    <n v="71.213999999999999"/>
    <n v="0"/>
    <s v="Daily Sales Import"/>
    <n v="-71.213999999999999"/>
    <n v="71.213999999999999"/>
    <x v="2"/>
    <s v="2230"/>
    <s v="000"/>
    <x v="1"/>
    <x v="1"/>
  </r>
  <r>
    <d v="2012-11-16T00:00:00"/>
    <s v="018-2100-000"/>
    <s v="Food Sales"/>
    <n v="11102.3055"/>
    <n v="0"/>
    <s v="Daily Sales Import"/>
    <n v="-11102.3055"/>
    <n v="11102.3055"/>
    <x v="2"/>
    <s v="2100"/>
    <s v="000"/>
    <x v="1"/>
    <x v="1"/>
  </r>
  <r>
    <d v="2012-11-16T00:00:00"/>
    <s v="018-2210-000"/>
    <s v="Liquor Sales"/>
    <n v="2519.0549999999998"/>
    <n v="0"/>
    <s v="Daily Sales Import"/>
    <n v="-2519.0549999999998"/>
    <n v="2519.0549999999998"/>
    <x v="2"/>
    <s v="2210"/>
    <s v="000"/>
    <x v="1"/>
    <x v="1"/>
  </r>
  <r>
    <d v="2012-11-16T00:00:00"/>
    <s v="018-2220-000"/>
    <s v="Beer Sales"/>
    <n v="649.93500000000006"/>
    <n v="0"/>
    <s v="Daily Sales Import"/>
    <n v="-649.93500000000006"/>
    <n v="649.93500000000006"/>
    <x v="2"/>
    <s v="2220"/>
    <s v="000"/>
    <x v="1"/>
    <x v="1"/>
  </r>
  <r>
    <d v="2012-11-16T00:00:00"/>
    <s v="018-2230-000"/>
    <s v="Wine Sales"/>
    <n v="124.992"/>
    <n v="0"/>
    <s v="Daily Sales Import"/>
    <n v="-124.992"/>
    <n v="124.992"/>
    <x v="2"/>
    <s v="2230"/>
    <s v="000"/>
    <x v="1"/>
    <x v="1"/>
  </r>
  <r>
    <d v="2012-11-17T00:00:00"/>
    <s v="018-2100-000"/>
    <s v="Food Sales"/>
    <n v="17340.626499999998"/>
    <n v="0"/>
    <s v="Daily Sales Import"/>
    <n v="-17340.626499999998"/>
    <n v="17340.626499999998"/>
    <x v="2"/>
    <s v="2100"/>
    <s v="000"/>
    <x v="1"/>
    <x v="1"/>
  </r>
  <r>
    <d v="2012-11-17T00:00:00"/>
    <s v="018-2210-000"/>
    <s v="Liquor Sales"/>
    <n v="4246.6849999999995"/>
    <n v="0"/>
    <s v="Daily Sales Import"/>
    <n v="-4246.6849999999995"/>
    <n v="4246.6849999999995"/>
    <x v="2"/>
    <s v="2210"/>
    <s v="000"/>
    <x v="1"/>
    <x v="1"/>
  </r>
  <r>
    <d v="2012-11-17T00:00:00"/>
    <s v="018-2220-000"/>
    <s v="Beer Sales"/>
    <n v="645.71399999999994"/>
    <n v="0"/>
    <s v="Daily Sales Import"/>
    <n v="-645.71399999999994"/>
    <n v="645.71399999999994"/>
    <x v="2"/>
    <s v="2220"/>
    <s v="000"/>
    <x v="1"/>
    <x v="1"/>
  </r>
  <r>
    <d v="2012-11-17T00:00:00"/>
    <s v="018-2230-000"/>
    <s v="Wine Sales"/>
    <n v="160.29100000000003"/>
    <n v="0"/>
    <s v="Daily Sales Import"/>
    <n v="-160.29100000000003"/>
    <n v="160.29100000000003"/>
    <x v="2"/>
    <s v="2230"/>
    <s v="000"/>
    <x v="1"/>
    <x v="1"/>
  </r>
  <r>
    <d v="2012-11-18T00:00:00"/>
    <s v="018-2100-000"/>
    <s v="Food Sales"/>
    <n v="8181.8064000000004"/>
    <n v="0"/>
    <s v="Daily Sales Import"/>
    <n v="-8181.8064000000004"/>
    <n v="8181.8064000000004"/>
    <x v="2"/>
    <s v="2100"/>
    <s v="000"/>
    <x v="1"/>
    <x v="1"/>
  </r>
  <r>
    <d v="2012-11-18T00:00:00"/>
    <s v="018-2210-000"/>
    <s v="Liquor Sales"/>
    <n v="812.73500000000013"/>
    <n v="0"/>
    <s v="Daily Sales Import"/>
    <n v="-812.73500000000013"/>
    <n v="812.73500000000013"/>
    <x v="2"/>
    <s v="2210"/>
    <s v="000"/>
    <x v="1"/>
    <x v="1"/>
  </r>
  <r>
    <d v="2012-11-18T00:00:00"/>
    <s v="018-2220-000"/>
    <s v="Beer Sales"/>
    <n v="185.12550000000002"/>
    <n v="0"/>
    <s v="Daily Sales Import"/>
    <n v="-185.12550000000002"/>
    <n v="185.12550000000002"/>
    <x v="2"/>
    <s v="2220"/>
    <s v="000"/>
    <x v="1"/>
    <x v="1"/>
  </r>
  <r>
    <d v="2012-11-18T00:00:00"/>
    <s v="018-2230-000"/>
    <s v="Wine Sales"/>
    <n v="58.704999999999998"/>
    <n v="0"/>
    <s v="Daily Sales Import"/>
    <n v="-58.704999999999998"/>
    <n v="58.704999999999998"/>
    <x v="2"/>
    <s v="2230"/>
    <s v="000"/>
    <x v="1"/>
    <x v="1"/>
  </r>
  <r>
    <d v="2012-11-19T00:00:00"/>
    <s v="016-2100-000"/>
    <s v="Food Sales"/>
    <n v="2270.7047999999995"/>
    <n v="0"/>
    <s v="Daily Sales Import"/>
    <n v="-2270.7047999999995"/>
    <n v="2270.7047999999995"/>
    <x v="0"/>
    <s v="2100"/>
    <s v="000"/>
    <x v="1"/>
    <x v="1"/>
  </r>
  <r>
    <d v="2012-11-19T00:00:00"/>
    <s v="016-2210-000"/>
    <s v="Liquor Sales"/>
    <n v="450.00839999999999"/>
    <n v="0"/>
    <s v="Daily Sales Import"/>
    <n v="-450.00839999999999"/>
    <n v="450.00839999999999"/>
    <x v="0"/>
    <s v="2210"/>
    <s v="000"/>
    <x v="1"/>
    <x v="1"/>
  </r>
  <r>
    <d v="2012-11-19T00:00:00"/>
    <s v="016-2220-000"/>
    <s v="Beer Sales"/>
    <n v="67.694800000000001"/>
    <n v="0"/>
    <s v="Daily Sales Import"/>
    <n v="-67.694800000000001"/>
    <n v="67.694800000000001"/>
    <x v="0"/>
    <s v="2220"/>
    <s v="000"/>
    <x v="1"/>
    <x v="1"/>
  </r>
  <r>
    <d v="2012-11-19T00:00:00"/>
    <s v="016-2230-000"/>
    <s v="Wine Sales"/>
    <n v="31.006799999999998"/>
    <n v="0"/>
    <s v="Daily Sales Import"/>
    <n v="-31.006799999999998"/>
    <n v="31.006799999999998"/>
    <x v="0"/>
    <s v="2230"/>
    <s v="000"/>
    <x v="1"/>
    <x v="1"/>
  </r>
  <r>
    <d v="2012-11-20T00:00:00"/>
    <s v="016-2100-000"/>
    <s v="Food Sales"/>
    <n v="5046.3140000000003"/>
    <n v="0"/>
    <s v="Daily Sales Import"/>
    <n v="-5046.3140000000003"/>
    <n v="5046.3140000000003"/>
    <x v="0"/>
    <s v="2100"/>
    <s v="000"/>
    <x v="1"/>
    <x v="1"/>
  </r>
  <r>
    <d v="2012-11-20T00:00:00"/>
    <s v="016-2210-000"/>
    <s v="Liquor Sales"/>
    <n v="2557.4070000000002"/>
    <n v="0"/>
    <s v="Daily Sales Import"/>
    <n v="-2557.4070000000002"/>
    <n v="2557.4070000000002"/>
    <x v="0"/>
    <s v="2210"/>
    <s v="000"/>
    <x v="1"/>
    <x v="1"/>
  </r>
  <r>
    <d v="2012-11-20T00:00:00"/>
    <s v="016-2220-000"/>
    <s v="Beer Sales"/>
    <n v="460.67079999999999"/>
    <n v="0"/>
    <s v="Daily Sales Import"/>
    <n v="-460.67079999999999"/>
    <n v="460.67079999999999"/>
    <x v="0"/>
    <s v="2220"/>
    <s v="000"/>
    <x v="1"/>
    <x v="1"/>
  </r>
  <r>
    <d v="2012-11-20T00:00:00"/>
    <s v="016-2230-000"/>
    <s v="Wine Sales"/>
    <n v="119.17960000000001"/>
    <n v="0"/>
    <s v="Daily Sales Import"/>
    <n v="-119.17960000000001"/>
    <n v="119.17960000000001"/>
    <x v="0"/>
    <s v="2230"/>
    <s v="000"/>
    <x v="1"/>
    <x v="1"/>
  </r>
  <r>
    <d v="2012-11-21T00:00:00"/>
    <s v="016-2100-000"/>
    <s v="Food Sales"/>
    <n v="3334.8723999999997"/>
    <n v="0"/>
    <s v="Daily Sales Import"/>
    <n v="-3334.8723999999997"/>
    <n v="3334.8723999999997"/>
    <x v="0"/>
    <s v="2100"/>
    <s v="000"/>
    <x v="1"/>
    <x v="1"/>
  </r>
  <r>
    <d v="2012-11-21T00:00:00"/>
    <s v="016-2210-000"/>
    <s v="Liquor Sales"/>
    <n v="1223.2605000000001"/>
    <n v="0"/>
    <s v="Daily Sales Import"/>
    <n v="-1223.2605000000001"/>
    <n v="1223.2605000000001"/>
    <x v="0"/>
    <s v="2210"/>
    <s v="000"/>
    <x v="1"/>
    <x v="1"/>
  </r>
  <r>
    <d v="2012-11-21T00:00:00"/>
    <s v="016-2220-000"/>
    <s v="Beer Sales"/>
    <n v="211.01879999999997"/>
    <n v="0"/>
    <s v="Daily Sales Import"/>
    <n v="-211.01879999999997"/>
    <n v="211.01879999999997"/>
    <x v="0"/>
    <s v="2220"/>
    <s v="000"/>
    <x v="1"/>
    <x v="1"/>
  </r>
  <r>
    <d v="2012-11-21T00:00:00"/>
    <s v="016-2230-000"/>
    <s v="Wine Sales"/>
    <n v="46.562799999999996"/>
    <n v="0"/>
    <s v="Daily Sales Import"/>
    <n v="-46.562799999999996"/>
    <n v="46.562799999999996"/>
    <x v="0"/>
    <s v="2230"/>
    <s v="000"/>
    <x v="1"/>
    <x v="1"/>
  </r>
  <r>
    <d v="2012-11-23T00:00:00"/>
    <s v="016-2100-000"/>
    <s v="Food Sales"/>
    <n v="10416.474"/>
    <n v="0"/>
    <s v="Daily Sales Import"/>
    <n v="-10416.474"/>
    <n v="10416.474"/>
    <x v="0"/>
    <s v="2100"/>
    <s v="000"/>
    <x v="1"/>
    <x v="1"/>
  </r>
  <r>
    <d v="2012-11-23T00:00:00"/>
    <s v="016-2210-000"/>
    <s v="Liquor Sales"/>
    <n v="3697.761"/>
    <n v="0"/>
    <s v="Daily Sales Import"/>
    <n v="-3697.761"/>
    <n v="3697.761"/>
    <x v="0"/>
    <s v="2210"/>
    <s v="000"/>
    <x v="1"/>
    <x v="1"/>
  </r>
  <r>
    <d v="2012-11-23T00:00:00"/>
    <s v="016-2220-000"/>
    <s v="Beer Sales"/>
    <n v="827.64499999999998"/>
    <n v="0"/>
    <s v="Daily Sales Import"/>
    <n v="-827.64499999999998"/>
    <n v="827.64499999999998"/>
    <x v="0"/>
    <s v="2220"/>
    <s v="000"/>
    <x v="1"/>
    <x v="1"/>
  </r>
  <r>
    <d v="2012-11-23T00:00:00"/>
    <s v="016-2230-000"/>
    <s v="Wine Sales"/>
    <n v="511.39759999999995"/>
    <n v="0"/>
    <s v="Daily Sales Import"/>
    <n v="-511.39759999999995"/>
    <n v="511.39759999999995"/>
    <x v="0"/>
    <s v="2230"/>
    <s v="000"/>
    <x v="1"/>
    <x v="1"/>
  </r>
  <r>
    <d v="2012-11-24T00:00:00"/>
    <s v="016-2100-000"/>
    <s v="Food Sales"/>
    <n v="9335.5253999999986"/>
    <n v="0"/>
    <s v="Daily Sales Import"/>
    <n v="-9335.5253999999986"/>
    <n v="9335.5253999999986"/>
    <x v="0"/>
    <s v="2100"/>
    <s v="000"/>
    <x v="1"/>
    <x v="1"/>
  </r>
  <r>
    <d v="2012-11-24T00:00:00"/>
    <s v="016-2210-000"/>
    <s v="Liquor Sales"/>
    <n v="1584.1456000000001"/>
    <n v="0"/>
    <s v="Daily Sales Import"/>
    <n v="-1584.1456000000001"/>
    <n v="1584.1456000000001"/>
    <x v="0"/>
    <s v="2210"/>
    <s v="000"/>
    <x v="1"/>
    <x v="1"/>
  </r>
  <r>
    <d v="2012-11-24T00:00:00"/>
    <s v="016-2220-000"/>
    <s v="Beer Sales"/>
    <n v="385.7176"/>
    <n v="0"/>
    <s v="Daily Sales Import"/>
    <n v="-385.7176"/>
    <n v="385.7176"/>
    <x v="0"/>
    <s v="2220"/>
    <s v="000"/>
    <x v="1"/>
    <x v="1"/>
  </r>
  <r>
    <d v="2012-11-24T00:00:00"/>
    <s v="016-2230-000"/>
    <s v="Wine Sales"/>
    <n v="236.56319999999999"/>
    <n v="0"/>
    <s v="Daily Sales Import"/>
    <n v="-236.56319999999999"/>
    <n v="236.56319999999999"/>
    <x v="0"/>
    <s v="2230"/>
    <s v="000"/>
    <x v="1"/>
    <x v="1"/>
  </r>
  <r>
    <d v="2012-11-25T00:00:00"/>
    <s v="016-2100-000"/>
    <s v="Food Sales"/>
    <n v="5074.9650000000001"/>
    <n v="0"/>
    <s v="Daily Sales Import"/>
    <n v="-5074.9650000000001"/>
    <n v="5074.9650000000001"/>
    <x v="0"/>
    <s v="2100"/>
    <s v="000"/>
    <x v="1"/>
    <x v="1"/>
  </r>
  <r>
    <d v="2012-11-25T00:00:00"/>
    <s v="016-2210-000"/>
    <s v="Liquor Sales"/>
    <n v="1063.9423999999999"/>
    <n v="0"/>
    <s v="Daily Sales Import"/>
    <n v="-1063.9423999999999"/>
    <n v="1063.9423999999999"/>
    <x v="0"/>
    <s v="2210"/>
    <s v="000"/>
    <x v="1"/>
    <x v="1"/>
  </r>
  <r>
    <d v="2012-11-25T00:00:00"/>
    <s v="016-2220-000"/>
    <s v="Beer Sales"/>
    <n v="134.096"/>
    <n v="0"/>
    <s v="Daily Sales Import"/>
    <n v="-134.096"/>
    <n v="134.096"/>
    <x v="0"/>
    <s v="2220"/>
    <s v="000"/>
    <x v="1"/>
    <x v="1"/>
  </r>
  <r>
    <d v="2012-11-25T00:00:00"/>
    <s v="016-2230-000"/>
    <s v="Wine Sales"/>
    <n v="96.976500000000001"/>
    <n v="0"/>
    <s v="Daily Sales Import"/>
    <n v="-96.976500000000001"/>
    <n v="96.976500000000001"/>
    <x v="0"/>
    <s v="2230"/>
    <s v="000"/>
    <x v="1"/>
    <x v="1"/>
  </r>
  <r>
    <d v="2012-11-19T00:00:00"/>
    <s v="017-2100-000"/>
    <s v="Food Sales"/>
    <n v="4104.5861999999997"/>
    <n v="0"/>
    <s v="Daily Sales Import"/>
    <n v="-4104.5861999999997"/>
    <n v="4104.5861999999997"/>
    <x v="1"/>
    <s v="2100"/>
    <s v="000"/>
    <x v="1"/>
    <x v="1"/>
  </r>
  <r>
    <d v="2012-11-19T00:00:00"/>
    <s v="017-2210-000"/>
    <s v="Liquor Sales"/>
    <n v="1042.9286999999999"/>
    <n v="0"/>
    <s v="Daily Sales Import"/>
    <n v="-1042.9286999999999"/>
    <n v="1042.9286999999999"/>
    <x v="1"/>
    <s v="2210"/>
    <s v="000"/>
    <x v="1"/>
    <x v="1"/>
  </r>
  <r>
    <d v="2012-11-19T00:00:00"/>
    <s v="017-2220-000"/>
    <s v="Beer Sales"/>
    <n v="287.00279999999998"/>
    <n v="0"/>
    <s v="Daily Sales Import"/>
    <n v="-287.00279999999998"/>
    <n v="287.00279999999998"/>
    <x v="1"/>
    <s v="2220"/>
    <s v="000"/>
    <x v="1"/>
    <x v="1"/>
  </r>
  <r>
    <d v="2012-11-19T00:00:00"/>
    <s v="017-2230-000"/>
    <s v="Wine Sales"/>
    <n v="46.185600000000008"/>
    <n v="0"/>
    <s v="Daily Sales Import"/>
    <n v="-46.185600000000008"/>
    <n v="46.185600000000008"/>
    <x v="1"/>
    <s v="2230"/>
    <s v="000"/>
    <x v="1"/>
    <x v="1"/>
  </r>
  <r>
    <d v="2012-11-20T00:00:00"/>
    <s v="017-2100-000"/>
    <s v="Food Sales"/>
    <n v="4871.1440000000002"/>
    <n v="0"/>
    <s v="Daily Sales Import"/>
    <n v="-4871.1440000000002"/>
    <n v="4871.1440000000002"/>
    <x v="1"/>
    <s v="2100"/>
    <s v="000"/>
    <x v="1"/>
    <x v="1"/>
  </r>
  <r>
    <d v="2012-11-20T00:00:00"/>
    <s v="017-2210-000"/>
    <s v="Liquor Sales"/>
    <n v="1103.3375999999998"/>
    <n v="0"/>
    <s v="Daily Sales Import"/>
    <n v="-1103.3375999999998"/>
    <n v="1103.3375999999998"/>
    <x v="1"/>
    <s v="2210"/>
    <s v="000"/>
    <x v="1"/>
    <x v="1"/>
  </r>
  <r>
    <d v="2012-11-20T00:00:00"/>
    <s v="017-2220-000"/>
    <s v="Beer Sales"/>
    <n v="413.54660000000001"/>
    <n v="0"/>
    <s v="Daily Sales Import"/>
    <n v="-413.54660000000001"/>
    <n v="413.54660000000001"/>
    <x v="1"/>
    <s v="2220"/>
    <s v="000"/>
    <x v="1"/>
    <x v="1"/>
  </r>
  <r>
    <d v="2012-11-20T00:00:00"/>
    <s v="017-2230-000"/>
    <s v="Wine Sales"/>
    <n v="115.43839999999999"/>
    <n v="0"/>
    <s v="Daily Sales Import"/>
    <n v="-115.43839999999999"/>
    <n v="115.43839999999999"/>
    <x v="1"/>
    <s v="2230"/>
    <s v="000"/>
    <x v="1"/>
    <x v="1"/>
  </r>
  <r>
    <d v="2012-11-21T00:00:00"/>
    <s v="017-2100-000"/>
    <s v="Food Sales"/>
    <n v="5745.0623999999998"/>
    <n v="0"/>
    <s v="Daily Sales Import"/>
    <n v="-5745.0623999999998"/>
    <n v="5745.0623999999998"/>
    <x v="1"/>
    <s v="2100"/>
    <s v="000"/>
    <x v="1"/>
    <x v="1"/>
  </r>
  <r>
    <d v="2012-11-21T00:00:00"/>
    <s v="017-2210-000"/>
    <s v="Liquor Sales"/>
    <n v="888.94079999999985"/>
    <n v="0"/>
    <s v="Daily Sales Import"/>
    <n v="-888.94079999999985"/>
    <n v="888.94079999999985"/>
    <x v="1"/>
    <s v="2210"/>
    <s v="000"/>
    <x v="1"/>
    <x v="1"/>
  </r>
  <r>
    <d v="2012-11-21T00:00:00"/>
    <s v="017-2220-000"/>
    <s v="Beer Sales"/>
    <n v="127.89579999999998"/>
    <n v="0"/>
    <s v="Daily Sales Import"/>
    <n v="-127.89579999999998"/>
    <n v="127.89579999999998"/>
    <x v="1"/>
    <s v="2220"/>
    <s v="000"/>
    <x v="1"/>
    <x v="1"/>
  </r>
  <r>
    <d v="2012-11-21T00:00:00"/>
    <s v="017-2230-000"/>
    <s v="Wine Sales"/>
    <n v="42.869700000000002"/>
    <n v="0"/>
    <s v="Daily Sales Import"/>
    <n v="-42.869700000000002"/>
    <n v="42.869700000000002"/>
    <x v="1"/>
    <s v="2230"/>
    <s v="000"/>
    <x v="1"/>
    <x v="1"/>
  </r>
  <r>
    <d v="2012-11-23T00:00:00"/>
    <s v="017-2100-000"/>
    <s v="Food Sales"/>
    <n v="4561.4025000000001"/>
    <n v="0"/>
    <s v="Daily Sales Import"/>
    <n v="-4561.4025000000001"/>
    <n v="4561.4025000000001"/>
    <x v="1"/>
    <s v="2100"/>
    <s v="000"/>
    <x v="1"/>
    <x v="1"/>
  </r>
  <r>
    <d v="2012-11-23T00:00:00"/>
    <s v="017-2210-000"/>
    <s v="Liquor Sales"/>
    <n v="1189.2727"/>
    <n v="0"/>
    <s v="Daily Sales Import"/>
    <n v="-1189.2727"/>
    <n v="1189.2727"/>
    <x v="1"/>
    <s v="2210"/>
    <s v="000"/>
    <x v="1"/>
    <x v="1"/>
  </r>
  <r>
    <d v="2012-11-23T00:00:00"/>
    <s v="017-2220-000"/>
    <s v="Beer Sales"/>
    <n v="268.85520000000002"/>
    <n v="0"/>
    <s v="Daily Sales Import"/>
    <n v="-268.85520000000002"/>
    <n v="268.85520000000002"/>
    <x v="1"/>
    <s v="2220"/>
    <s v="000"/>
    <x v="1"/>
    <x v="1"/>
  </r>
  <r>
    <d v="2012-11-23T00:00:00"/>
    <s v="017-2230-000"/>
    <s v="Wine Sales"/>
    <n v="128.97"/>
    <n v="0"/>
    <s v="Daily Sales Import"/>
    <n v="-128.97"/>
    <n v="128.97"/>
    <x v="1"/>
    <s v="2230"/>
    <s v="000"/>
    <x v="1"/>
    <x v="1"/>
  </r>
  <r>
    <d v="2012-11-24T00:00:00"/>
    <s v="017-2100-000"/>
    <s v="Food Sales"/>
    <n v="4279.7273999999998"/>
    <n v="0"/>
    <s v="Daily Sales Import"/>
    <n v="-4279.7273999999998"/>
    <n v="4279.7273999999998"/>
    <x v="1"/>
    <s v="2100"/>
    <s v="000"/>
    <x v="1"/>
    <x v="1"/>
  </r>
  <r>
    <d v="2012-11-24T00:00:00"/>
    <s v="017-2210-000"/>
    <s v="Liquor Sales"/>
    <n v="1062.8487"/>
    <n v="0"/>
    <s v="Daily Sales Import"/>
    <n v="-1062.8487"/>
    <n v="1062.8487"/>
    <x v="1"/>
    <s v="2210"/>
    <s v="000"/>
    <x v="1"/>
    <x v="1"/>
  </r>
  <r>
    <d v="2012-11-24T00:00:00"/>
    <s v="017-2220-000"/>
    <s v="Beer Sales"/>
    <n v="144.9246"/>
    <n v="0"/>
    <s v="Daily Sales Import"/>
    <n v="-144.9246"/>
    <n v="144.9246"/>
    <x v="1"/>
    <s v="2220"/>
    <s v="000"/>
    <x v="1"/>
    <x v="1"/>
  </r>
  <r>
    <d v="2012-11-24T00:00:00"/>
    <s v="017-2230-000"/>
    <s v="Wine Sales"/>
    <n v="27.8385"/>
    <n v="0"/>
    <s v="Daily Sales Import"/>
    <n v="-27.8385"/>
    <n v="27.8385"/>
    <x v="1"/>
    <s v="2230"/>
    <s v="000"/>
    <x v="1"/>
    <x v="1"/>
  </r>
  <r>
    <d v="2012-11-25T00:00:00"/>
    <s v="017-2100-000"/>
    <s v="Food Sales"/>
    <n v="3730.2999999999997"/>
    <n v="0"/>
    <s v="Daily Sales Import"/>
    <n v="-3730.2999999999997"/>
    <n v="3730.2999999999997"/>
    <x v="1"/>
    <s v="2100"/>
    <s v="000"/>
    <x v="1"/>
    <x v="1"/>
  </r>
  <r>
    <d v="2012-11-25T00:00:00"/>
    <s v="017-2210-000"/>
    <s v="Liquor Sales"/>
    <n v="589.18860000000006"/>
    <n v="0"/>
    <s v="Daily Sales Import"/>
    <n v="-589.18860000000006"/>
    <n v="589.18860000000006"/>
    <x v="1"/>
    <s v="2210"/>
    <s v="000"/>
    <x v="1"/>
    <x v="1"/>
  </r>
  <r>
    <d v="2012-11-25T00:00:00"/>
    <s v="017-2220-000"/>
    <s v="Beer Sales"/>
    <n v="93.113600000000005"/>
    <n v="0"/>
    <s v="Daily Sales Import"/>
    <n v="-93.113600000000005"/>
    <n v="93.113600000000005"/>
    <x v="1"/>
    <s v="2220"/>
    <s v="000"/>
    <x v="1"/>
    <x v="1"/>
  </r>
  <r>
    <d v="2012-11-25T00:00:00"/>
    <s v="017-2230-000"/>
    <s v="Wine Sales"/>
    <n v="59.765200000000007"/>
    <n v="0"/>
    <s v="Daily Sales Import"/>
    <n v="-59.765200000000007"/>
    <n v="59.765200000000007"/>
    <x v="1"/>
    <s v="2230"/>
    <s v="000"/>
    <x v="1"/>
    <x v="1"/>
  </r>
  <r>
    <d v="2012-11-19T00:00:00"/>
    <s v="018-2100-000"/>
    <s v="Food Sales"/>
    <n v="3325.0214999999998"/>
    <n v="0"/>
    <s v="Daily Sales Import"/>
    <n v="-3325.0214999999998"/>
    <n v="3325.0214999999998"/>
    <x v="2"/>
    <s v="2100"/>
    <s v="000"/>
    <x v="1"/>
    <x v="1"/>
  </r>
  <r>
    <d v="2012-11-19T00:00:00"/>
    <s v="018-2210-000"/>
    <s v="Liquor Sales"/>
    <n v="315.90019999999998"/>
    <n v="0"/>
    <s v="Daily Sales Import"/>
    <n v="-315.90019999999998"/>
    <n v="315.90019999999998"/>
    <x v="2"/>
    <s v="2210"/>
    <s v="000"/>
    <x v="1"/>
    <x v="1"/>
  </r>
  <r>
    <d v="2012-11-19T00:00:00"/>
    <s v="018-2220-000"/>
    <s v="Beer Sales"/>
    <n v="117.2307"/>
    <n v="0"/>
    <s v="Daily Sales Import"/>
    <n v="-117.2307"/>
    <n v="117.2307"/>
    <x v="2"/>
    <s v="2220"/>
    <s v="000"/>
    <x v="1"/>
    <x v="1"/>
  </r>
  <r>
    <d v="2012-11-19T00:00:00"/>
    <s v="018-2230-000"/>
    <s v="Wine Sales"/>
    <n v="23.002799999999997"/>
    <n v="0"/>
    <s v="Daily Sales Import"/>
    <n v="-23.002799999999997"/>
    <n v="23.002799999999997"/>
    <x v="2"/>
    <s v="2230"/>
    <s v="000"/>
    <x v="1"/>
    <x v="1"/>
  </r>
  <r>
    <d v="2012-11-20T00:00:00"/>
    <s v="018-2100-000"/>
    <s v="Food Sales"/>
    <n v="5813.5689999999995"/>
    <n v="0"/>
    <s v="Daily Sales Import"/>
    <n v="-5813.5689999999995"/>
    <n v="5813.5689999999995"/>
    <x v="2"/>
    <s v="2100"/>
    <s v="000"/>
    <x v="1"/>
    <x v="1"/>
  </r>
  <r>
    <d v="2012-11-20T00:00:00"/>
    <s v="018-2210-000"/>
    <s v="Liquor Sales"/>
    <n v="1061.9284"/>
    <n v="0"/>
    <s v="Daily Sales Import"/>
    <n v="-1061.9284"/>
    <n v="1061.9284"/>
    <x v="2"/>
    <s v="2210"/>
    <s v="000"/>
    <x v="1"/>
    <x v="1"/>
  </r>
  <r>
    <d v="2012-11-20T00:00:00"/>
    <s v="018-2220-000"/>
    <s v="Beer Sales"/>
    <n v="195.5025"/>
    <n v="0"/>
    <s v="Daily Sales Import"/>
    <n v="-195.5025"/>
    <n v="195.5025"/>
    <x v="2"/>
    <s v="2220"/>
    <s v="000"/>
    <x v="1"/>
    <x v="1"/>
  </r>
  <r>
    <d v="2012-11-20T00:00:00"/>
    <s v="018-2230-000"/>
    <s v="Wine Sales"/>
    <n v="55.091999999999992"/>
    <n v="0"/>
    <s v="Daily Sales Import"/>
    <n v="-55.091999999999992"/>
    <n v="55.091999999999992"/>
    <x v="2"/>
    <s v="2230"/>
    <s v="000"/>
    <x v="1"/>
    <x v="1"/>
  </r>
  <r>
    <d v="2012-11-21T00:00:00"/>
    <s v="018-2100-000"/>
    <s v="Food Sales"/>
    <n v="5497.3567000000003"/>
    <n v="0"/>
    <s v="Daily Sales Import"/>
    <n v="-5497.3567000000003"/>
    <n v="5497.3567000000003"/>
    <x v="2"/>
    <s v="2100"/>
    <s v="000"/>
    <x v="1"/>
    <x v="1"/>
  </r>
  <r>
    <d v="2012-11-21T00:00:00"/>
    <s v="018-2210-000"/>
    <s v="Liquor Sales"/>
    <n v="1924.6722"/>
    <n v="0"/>
    <s v="Daily Sales Import"/>
    <n v="-1924.6722"/>
    <n v="1924.6722"/>
    <x v="2"/>
    <s v="2210"/>
    <s v="000"/>
    <x v="1"/>
    <x v="1"/>
  </r>
  <r>
    <d v="2012-11-21T00:00:00"/>
    <s v="018-2220-000"/>
    <s v="Beer Sales"/>
    <n v="280.52339999999998"/>
    <n v="0"/>
    <s v="Daily Sales Import"/>
    <n v="-280.52339999999998"/>
    <n v="280.52339999999998"/>
    <x v="2"/>
    <s v="2220"/>
    <s v="000"/>
    <x v="1"/>
    <x v="1"/>
  </r>
  <r>
    <d v="2012-11-21T00:00:00"/>
    <s v="018-2230-000"/>
    <s v="Wine Sales"/>
    <n v="27.872"/>
    <n v="0"/>
    <s v="Daily Sales Import"/>
    <n v="-27.872"/>
    <n v="27.872"/>
    <x v="2"/>
    <s v="2230"/>
    <s v="000"/>
    <x v="1"/>
    <x v="1"/>
  </r>
  <r>
    <d v="2012-11-23T00:00:00"/>
    <s v="018-2100-000"/>
    <s v="Food Sales"/>
    <n v="11368.1433"/>
    <n v="0"/>
    <s v="Daily Sales Import"/>
    <n v="-11368.1433"/>
    <n v="11368.1433"/>
    <x v="2"/>
    <s v="2100"/>
    <s v="000"/>
    <x v="1"/>
    <x v="1"/>
  </r>
  <r>
    <d v="2012-11-23T00:00:00"/>
    <s v="018-2210-000"/>
    <s v="Liquor Sales"/>
    <n v="1728.8079"/>
    <n v="0"/>
    <s v="Daily Sales Import"/>
    <n v="-1728.8079"/>
    <n v="1728.8079"/>
    <x v="2"/>
    <s v="2210"/>
    <s v="000"/>
    <x v="1"/>
    <x v="1"/>
  </r>
  <r>
    <d v="2012-11-23T00:00:00"/>
    <s v="018-2220-000"/>
    <s v="Beer Sales"/>
    <n v="495.3732"/>
    <n v="0"/>
    <s v="Daily Sales Import"/>
    <n v="-495.3732"/>
    <n v="495.3732"/>
    <x v="2"/>
    <s v="2220"/>
    <s v="000"/>
    <x v="1"/>
    <x v="1"/>
  </r>
  <r>
    <d v="2012-11-23T00:00:00"/>
    <s v="018-2230-000"/>
    <s v="Wine Sales"/>
    <n v="70.884"/>
    <n v="0"/>
    <s v="Daily Sales Import"/>
    <n v="-70.884"/>
    <n v="70.884"/>
    <x v="2"/>
    <s v="2230"/>
    <s v="000"/>
    <x v="1"/>
    <x v="1"/>
  </r>
  <r>
    <d v="2012-11-24T00:00:00"/>
    <s v="018-2100-000"/>
    <s v="Food Sales"/>
    <n v="11807.298999999999"/>
    <n v="0"/>
    <s v="Daily Sales Import"/>
    <n v="-11807.298999999999"/>
    <n v="11807.298999999999"/>
    <x v="2"/>
    <s v="2100"/>
    <s v="000"/>
    <x v="1"/>
    <x v="1"/>
  </r>
  <r>
    <d v="2012-11-24T00:00:00"/>
    <s v="018-2210-000"/>
    <s v="Liquor Sales"/>
    <n v="2431.3362000000002"/>
    <n v="0"/>
    <s v="Daily Sales Import"/>
    <n v="-2431.3362000000002"/>
    <n v="2431.3362000000002"/>
    <x v="2"/>
    <s v="2210"/>
    <s v="000"/>
    <x v="1"/>
    <x v="1"/>
  </r>
  <r>
    <d v="2012-11-24T00:00:00"/>
    <s v="018-2220-000"/>
    <s v="Beer Sales"/>
    <n v="703.96800000000007"/>
    <n v="0"/>
    <s v="Daily Sales Import"/>
    <n v="-703.96800000000007"/>
    <n v="703.96800000000007"/>
    <x v="2"/>
    <s v="2220"/>
    <s v="000"/>
    <x v="1"/>
    <x v="1"/>
  </r>
  <r>
    <d v="2012-11-24T00:00:00"/>
    <s v="018-2230-000"/>
    <s v="Wine Sales"/>
    <n v="124.3968"/>
    <n v="0"/>
    <s v="Daily Sales Import"/>
    <n v="-124.3968"/>
    <n v="124.3968"/>
    <x v="2"/>
    <s v="2230"/>
    <s v="000"/>
    <x v="1"/>
    <x v="1"/>
  </r>
  <r>
    <d v="2012-11-25T00:00:00"/>
    <s v="018-2100-000"/>
    <s v="Food Sales"/>
    <n v="7719.1376"/>
    <n v="0"/>
    <s v="Daily Sales Import"/>
    <n v="-7719.1376"/>
    <n v="7719.1376"/>
    <x v="2"/>
    <s v="2100"/>
    <s v="000"/>
    <x v="1"/>
    <x v="1"/>
  </r>
  <r>
    <d v="2012-11-25T00:00:00"/>
    <s v="018-2210-000"/>
    <s v="Liquor Sales"/>
    <n v="671.84"/>
    <n v="0"/>
    <s v="Daily Sales Import"/>
    <n v="-671.84"/>
    <n v="671.84"/>
    <x v="2"/>
    <s v="2210"/>
    <s v="000"/>
    <x v="1"/>
    <x v="1"/>
  </r>
  <r>
    <d v="2012-11-25T00:00:00"/>
    <s v="018-2220-000"/>
    <s v="Beer Sales"/>
    <n v="160.32060000000001"/>
    <n v="0"/>
    <s v="Daily Sales Import"/>
    <n v="-160.32060000000001"/>
    <n v="160.32060000000001"/>
    <x v="2"/>
    <s v="2220"/>
    <s v="000"/>
    <x v="1"/>
    <x v="1"/>
  </r>
  <r>
    <d v="2012-11-25T00:00:00"/>
    <s v="018-2230-000"/>
    <s v="Wine Sales"/>
    <n v="39.228500000000004"/>
    <n v="0"/>
    <s v="Daily Sales Import"/>
    <n v="-39.228500000000004"/>
    <n v="39.228500000000004"/>
    <x v="2"/>
    <s v="2230"/>
    <s v="000"/>
    <x v="1"/>
    <x v="1"/>
  </r>
  <r>
    <d v="2012-11-26T00:00:00"/>
    <s v="016-2100-000"/>
    <s v="Food Sales"/>
    <n v="2280.1615000000002"/>
    <n v="0"/>
    <s v="Daily Sales Import"/>
    <n v="-2280.1615000000002"/>
    <n v="2280.1615000000002"/>
    <x v="0"/>
    <s v="2100"/>
    <s v="000"/>
    <x v="1"/>
    <x v="1"/>
  </r>
  <r>
    <d v="2012-11-26T00:00:00"/>
    <s v="016-2210-000"/>
    <s v="Liquor Sales"/>
    <n v="537.68460000000005"/>
    <n v="0"/>
    <s v="Daily Sales Import"/>
    <n v="-537.68460000000005"/>
    <n v="537.68460000000005"/>
    <x v="0"/>
    <s v="2210"/>
    <s v="000"/>
    <x v="1"/>
    <x v="1"/>
  </r>
  <r>
    <d v="2012-11-26T00:00:00"/>
    <s v="016-2220-000"/>
    <s v="Beer Sales"/>
    <n v="127.4465"/>
    <n v="0"/>
    <s v="Daily Sales Import"/>
    <n v="-127.4465"/>
    <n v="127.4465"/>
    <x v="0"/>
    <s v="2220"/>
    <s v="000"/>
    <x v="1"/>
    <x v="1"/>
  </r>
  <r>
    <d v="2012-11-26T00:00:00"/>
    <s v="016-2230-000"/>
    <s v="Wine Sales"/>
    <n v="54.075600000000009"/>
    <n v="0"/>
    <s v="Daily Sales Import"/>
    <n v="-54.075600000000009"/>
    <n v="54.075600000000009"/>
    <x v="0"/>
    <s v="2230"/>
    <s v="000"/>
    <x v="1"/>
    <x v="1"/>
  </r>
  <r>
    <d v="2012-11-27T00:00:00"/>
    <s v="016-2100-000"/>
    <s v="Food Sales"/>
    <n v="4887.7924000000003"/>
    <n v="0"/>
    <s v="Daily Sales Import"/>
    <n v="-4887.7924000000003"/>
    <n v="4887.7924000000003"/>
    <x v="0"/>
    <s v="2100"/>
    <s v="000"/>
    <x v="1"/>
    <x v="1"/>
  </r>
  <r>
    <d v="2012-11-27T00:00:00"/>
    <s v="016-2210-000"/>
    <s v="Liquor Sales"/>
    <n v="1974.5896"/>
    <n v="0"/>
    <s v="Daily Sales Import"/>
    <n v="-1974.5896"/>
    <n v="1974.5896"/>
    <x v="0"/>
    <s v="2210"/>
    <s v="000"/>
    <x v="1"/>
    <x v="1"/>
  </r>
  <r>
    <d v="2012-11-27T00:00:00"/>
    <s v="016-2220-000"/>
    <s v="Beer Sales"/>
    <n v="431.97449999999992"/>
    <n v="0"/>
    <s v="Daily Sales Import"/>
    <n v="-431.97449999999992"/>
    <n v="431.97449999999992"/>
    <x v="0"/>
    <s v="2220"/>
    <s v="000"/>
    <x v="1"/>
    <x v="1"/>
  </r>
  <r>
    <d v="2012-11-27T00:00:00"/>
    <s v="016-2230-000"/>
    <s v="Wine Sales"/>
    <n v="108.00160000000002"/>
    <n v="0"/>
    <s v="Daily Sales Import"/>
    <n v="-108.00160000000002"/>
    <n v="108.00160000000002"/>
    <x v="0"/>
    <s v="2230"/>
    <s v="000"/>
    <x v="1"/>
    <x v="1"/>
  </r>
  <r>
    <d v="2012-11-28T00:00:00"/>
    <s v="016-2100-000"/>
    <s v="Food Sales"/>
    <n v="2052.9920000000002"/>
    <n v="0"/>
    <s v="Daily Sales Import"/>
    <n v="-2052.9920000000002"/>
    <n v="2052.9920000000002"/>
    <x v="0"/>
    <s v="2100"/>
    <s v="000"/>
    <x v="1"/>
    <x v="1"/>
  </r>
  <r>
    <d v="2012-11-28T00:00:00"/>
    <s v="016-2210-000"/>
    <s v="Liquor Sales"/>
    <n v="691.98360000000002"/>
    <n v="0"/>
    <s v="Daily Sales Import"/>
    <n v="-691.98360000000002"/>
    <n v="691.98360000000002"/>
    <x v="0"/>
    <s v="2210"/>
    <s v="000"/>
    <x v="1"/>
    <x v="1"/>
  </r>
  <r>
    <d v="2012-11-28T00:00:00"/>
    <s v="016-2220-000"/>
    <s v="Beer Sales"/>
    <n v="95.234000000000009"/>
    <n v="0"/>
    <s v="Daily Sales Import"/>
    <n v="-95.234000000000009"/>
    <n v="95.234000000000009"/>
    <x v="0"/>
    <s v="2220"/>
    <s v="000"/>
    <x v="1"/>
    <x v="1"/>
  </r>
  <r>
    <d v="2012-11-28T00:00:00"/>
    <s v="016-2230-000"/>
    <s v="Wine Sales"/>
    <n v="32.071199999999997"/>
    <n v="0"/>
    <s v="Daily Sales Import"/>
    <n v="-32.071199999999997"/>
    <n v="32.071199999999997"/>
    <x v="0"/>
    <s v="2230"/>
    <s v="000"/>
    <x v="1"/>
    <x v="1"/>
  </r>
  <r>
    <d v="2012-11-29T00:00:00"/>
    <s v="016-2100-000"/>
    <s v="Food Sales"/>
    <n v="3253.5434"/>
    <n v="0"/>
    <s v="Daily Sales Import"/>
    <n v="-3253.5434"/>
    <n v="3253.5434"/>
    <x v="0"/>
    <s v="2100"/>
    <s v="000"/>
    <x v="1"/>
    <x v="1"/>
  </r>
  <r>
    <d v="2012-11-29T00:00:00"/>
    <s v="016-2210-000"/>
    <s v="Liquor Sales"/>
    <n v="406.66419999999999"/>
    <n v="0"/>
    <s v="Daily Sales Import"/>
    <n v="-406.66419999999999"/>
    <n v="406.66419999999999"/>
    <x v="0"/>
    <s v="2210"/>
    <s v="000"/>
    <x v="1"/>
    <x v="1"/>
  </r>
  <r>
    <d v="2012-11-29T00:00:00"/>
    <s v="016-2220-000"/>
    <s v="Beer Sales"/>
    <n v="103.9049"/>
    <n v="0"/>
    <s v="Daily Sales Import"/>
    <n v="-103.9049"/>
    <n v="103.9049"/>
    <x v="0"/>
    <s v="2220"/>
    <s v="000"/>
    <x v="1"/>
    <x v="1"/>
  </r>
  <r>
    <d v="2012-11-29T00:00:00"/>
    <s v="016-2230-000"/>
    <s v="Wine Sales"/>
    <n v="58.304999999999993"/>
    <n v="0"/>
    <s v="Daily Sales Import"/>
    <n v="-58.304999999999993"/>
    <n v="58.304999999999993"/>
    <x v="0"/>
    <s v="2230"/>
    <s v="000"/>
    <x v="1"/>
    <x v="1"/>
  </r>
  <r>
    <d v="2012-11-30T00:00:00"/>
    <s v="016-2100-000"/>
    <s v="Food Sales"/>
    <n v="5010.4080000000004"/>
    <n v="0"/>
    <s v="Daily Sales Import"/>
    <n v="-5010.4080000000004"/>
    <n v="5010.4080000000004"/>
    <x v="0"/>
    <s v="2100"/>
    <s v="000"/>
    <x v="1"/>
    <x v="1"/>
  </r>
  <r>
    <d v="2012-11-30T00:00:00"/>
    <s v="016-2210-000"/>
    <s v="Liquor Sales"/>
    <n v="1321.1328000000001"/>
    <n v="0"/>
    <s v="Daily Sales Import"/>
    <n v="-1321.1328000000001"/>
    <n v="1321.1328000000001"/>
    <x v="0"/>
    <s v="2210"/>
    <s v="000"/>
    <x v="1"/>
    <x v="1"/>
  </r>
  <r>
    <d v="2012-11-30T00:00:00"/>
    <s v="016-2220-000"/>
    <s v="Beer Sales"/>
    <n v="346.22199999999998"/>
    <n v="0"/>
    <s v="Daily Sales Import"/>
    <n v="-346.22199999999998"/>
    <n v="346.22199999999998"/>
    <x v="0"/>
    <s v="2220"/>
    <s v="000"/>
    <x v="1"/>
    <x v="1"/>
  </r>
  <r>
    <d v="2012-11-30T00:00:00"/>
    <s v="016-2230-000"/>
    <s v="Wine Sales"/>
    <n v="75.753"/>
    <n v="0"/>
    <s v="Daily Sales Import"/>
    <n v="-75.753"/>
    <n v="75.753"/>
    <x v="0"/>
    <s v="2230"/>
    <s v="000"/>
    <x v="1"/>
    <x v="1"/>
  </r>
  <r>
    <d v="2012-12-01T00:00:00"/>
    <s v="016-2100-000"/>
    <s v="Food Sales"/>
    <n v="7445.7372000000005"/>
    <n v="0"/>
    <s v="Daily Sales Import"/>
    <n v="-7445.7372000000005"/>
    <n v="7445.7372000000005"/>
    <x v="0"/>
    <s v="2100"/>
    <s v="000"/>
    <x v="2"/>
    <x v="1"/>
  </r>
  <r>
    <d v="2012-12-01T00:00:00"/>
    <s v="016-2210-000"/>
    <s v="Liquor Sales"/>
    <n v="3695.6248000000001"/>
    <n v="0"/>
    <s v="Daily Sales Import"/>
    <n v="-3695.6248000000001"/>
    <n v="3695.6248000000001"/>
    <x v="0"/>
    <s v="2210"/>
    <s v="000"/>
    <x v="2"/>
    <x v="1"/>
  </r>
  <r>
    <d v="2012-12-01T00:00:00"/>
    <s v="016-2220-000"/>
    <s v="Beer Sales"/>
    <n v="752.87940000000003"/>
    <n v="0"/>
    <s v="Daily Sales Import"/>
    <n v="-752.87940000000003"/>
    <n v="752.87940000000003"/>
    <x v="0"/>
    <s v="2220"/>
    <s v="000"/>
    <x v="2"/>
    <x v="1"/>
  </r>
  <r>
    <d v="2012-12-01T00:00:00"/>
    <s v="016-2230-000"/>
    <s v="Wine Sales"/>
    <n v="441.64549999999997"/>
    <n v="0"/>
    <s v="Daily Sales Import"/>
    <n v="-441.64549999999997"/>
    <n v="441.64549999999997"/>
    <x v="0"/>
    <s v="2230"/>
    <s v="000"/>
    <x v="2"/>
    <x v="1"/>
  </r>
  <r>
    <d v="2012-12-02T00:00:00"/>
    <s v="016-2100-000"/>
    <s v="Food Sales"/>
    <n v="3578.6642999999999"/>
    <n v="0"/>
    <s v="Daily Sales Import"/>
    <n v="-3578.6642999999999"/>
    <n v="3578.6642999999999"/>
    <x v="0"/>
    <s v="2100"/>
    <s v="000"/>
    <x v="2"/>
    <x v="1"/>
  </r>
  <r>
    <d v="2012-12-02T00:00:00"/>
    <s v="016-2210-000"/>
    <s v="Liquor Sales"/>
    <n v="567.08439999999996"/>
    <n v="0"/>
    <s v="Daily Sales Import"/>
    <n v="-567.08439999999996"/>
    <n v="567.08439999999996"/>
    <x v="0"/>
    <s v="2210"/>
    <s v="000"/>
    <x v="2"/>
    <x v="1"/>
  </r>
  <r>
    <d v="2012-12-02T00:00:00"/>
    <s v="016-2220-000"/>
    <s v="Beer Sales"/>
    <n v="147.87359999999998"/>
    <n v="0"/>
    <s v="Daily Sales Import"/>
    <n v="-147.87359999999998"/>
    <n v="147.87359999999998"/>
    <x v="0"/>
    <s v="2220"/>
    <s v="000"/>
    <x v="2"/>
    <x v="1"/>
  </r>
  <r>
    <d v="2012-12-02T00:00:00"/>
    <s v="016-2230-000"/>
    <s v="Wine Sales"/>
    <n v="75.254999999999995"/>
    <n v="0"/>
    <s v="Daily Sales Import"/>
    <n v="-75.254999999999995"/>
    <n v="75.254999999999995"/>
    <x v="0"/>
    <s v="2230"/>
    <s v="000"/>
    <x v="2"/>
    <x v="1"/>
  </r>
  <r>
    <d v="2012-11-26T00:00:00"/>
    <s v="017-2100-000"/>
    <s v="Food Sales"/>
    <n v="3060.9641999999999"/>
    <n v="0"/>
    <s v="Daily Sales Import"/>
    <n v="-3060.9641999999999"/>
    <n v="3060.9641999999999"/>
    <x v="1"/>
    <s v="2100"/>
    <s v="000"/>
    <x v="1"/>
    <x v="1"/>
  </r>
  <r>
    <d v="2012-11-26T00:00:00"/>
    <s v="017-2210-000"/>
    <s v="Liquor Sales"/>
    <n v="505.85340000000002"/>
    <n v="0"/>
    <s v="Daily Sales Import"/>
    <n v="-505.85340000000002"/>
    <n v="505.85340000000002"/>
    <x v="1"/>
    <s v="2210"/>
    <s v="000"/>
    <x v="1"/>
    <x v="1"/>
  </r>
  <r>
    <d v="2012-11-26T00:00:00"/>
    <s v="017-2220-000"/>
    <s v="Beer Sales"/>
    <n v="124.39699999999999"/>
    <n v="0"/>
    <s v="Daily Sales Import"/>
    <n v="-124.39699999999999"/>
    <n v="124.39699999999999"/>
    <x v="1"/>
    <s v="2220"/>
    <s v="000"/>
    <x v="1"/>
    <x v="1"/>
  </r>
  <r>
    <d v="2012-11-26T00:00:00"/>
    <s v="017-2230-000"/>
    <s v="Wine Sales"/>
    <n v="116.6613"/>
    <n v="0"/>
    <s v="Daily Sales Import"/>
    <n v="-116.6613"/>
    <n v="116.6613"/>
    <x v="1"/>
    <s v="2230"/>
    <s v="000"/>
    <x v="1"/>
    <x v="1"/>
  </r>
  <r>
    <d v="2012-11-27T00:00:00"/>
    <s v="017-2100-000"/>
    <s v="Food Sales"/>
    <n v="5652.9503999999997"/>
    <n v="0"/>
    <s v="Daily Sales Import"/>
    <n v="-5652.9503999999997"/>
    <n v="5652.9503999999997"/>
    <x v="1"/>
    <s v="2100"/>
    <s v="000"/>
    <x v="1"/>
    <x v="1"/>
  </r>
  <r>
    <d v="2012-11-27T00:00:00"/>
    <s v="017-2210-000"/>
    <s v="Liquor Sales"/>
    <n v="1305.3225"/>
    <n v="0"/>
    <s v="Daily Sales Import"/>
    <n v="-1305.3225"/>
    <n v="1305.3225"/>
    <x v="1"/>
    <s v="2210"/>
    <s v="000"/>
    <x v="1"/>
    <x v="1"/>
  </r>
  <r>
    <d v="2012-11-27T00:00:00"/>
    <s v="017-2220-000"/>
    <s v="Beer Sales"/>
    <n v="327.4744"/>
    <n v="0"/>
    <s v="Daily Sales Import"/>
    <n v="-327.4744"/>
    <n v="327.4744"/>
    <x v="1"/>
    <s v="2220"/>
    <s v="000"/>
    <x v="1"/>
    <x v="1"/>
  </r>
  <r>
    <d v="2012-11-27T00:00:00"/>
    <s v="017-2230-000"/>
    <s v="Wine Sales"/>
    <n v="157.55749999999998"/>
    <n v="0"/>
    <s v="Daily Sales Import"/>
    <n v="-157.55749999999998"/>
    <n v="157.55749999999998"/>
    <x v="1"/>
    <s v="2230"/>
    <s v="000"/>
    <x v="1"/>
    <x v="1"/>
  </r>
  <r>
    <d v="2012-11-28T00:00:00"/>
    <s v="017-2100-000"/>
    <s v="Food Sales"/>
    <n v="4315.616"/>
    <n v="0"/>
    <s v="Daily Sales Import"/>
    <n v="-4315.616"/>
    <n v="4315.616"/>
    <x v="1"/>
    <s v="2100"/>
    <s v="000"/>
    <x v="1"/>
    <x v="1"/>
  </r>
  <r>
    <d v="2012-11-28T00:00:00"/>
    <s v="017-2210-000"/>
    <s v="Liquor Sales"/>
    <n v="1730.2296000000001"/>
    <n v="0"/>
    <s v="Daily Sales Import"/>
    <n v="-1730.2296000000001"/>
    <n v="1730.2296000000001"/>
    <x v="1"/>
    <s v="2210"/>
    <s v="000"/>
    <x v="1"/>
    <x v="1"/>
  </r>
  <r>
    <d v="2012-11-28T00:00:00"/>
    <s v="017-2220-000"/>
    <s v="Beer Sales"/>
    <n v="458.8186"/>
    <n v="0"/>
    <s v="Daily Sales Import"/>
    <n v="-458.8186"/>
    <n v="458.8186"/>
    <x v="1"/>
    <s v="2220"/>
    <s v="000"/>
    <x v="1"/>
    <x v="1"/>
  </r>
  <r>
    <d v="2012-11-28T00:00:00"/>
    <s v="017-2230-000"/>
    <s v="Wine Sales"/>
    <n v="64.797200000000004"/>
    <n v="0"/>
    <s v="Daily Sales Import"/>
    <n v="-64.797200000000004"/>
    <n v="64.797200000000004"/>
    <x v="1"/>
    <s v="2230"/>
    <s v="000"/>
    <x v="1"/>
    <x v="1"/>
  </r>
  <r>
    <d v="2012-11-29T00:00:00"/>
    <s v="017-2100-000"/>
    <s v="Food Sales"/>
    <n v="3887.8993999999998"/>
    <n v="0"/>
    <s v="Daily Sales Import"/>
    <n v="-3887.8993999999998"/>
    <n v="3887.8993999999998"/>
    <x v="1"/>
    <s v="2100"/>
    <s v="000"/>
    <x v="1"/>
    <x v="1"/>
  </r>
  <r>
    <d v="2012-11-29T00:00:00"/>
    <s v="017-2210-000"/>
    <s v="Liquor Sales"/>
    <n v="886.92"/>
    <n v="0"/>
    <s v="Daily Sales Import"/>
    <n v="-886.92"/>
    <n v="886.92"/>
    <x v="1"/>
    <s v="2210"/>
    <s v="000"/>
    <x v="1"/>
    <x v="1"/>
  </r>
  <r>
    <d v="2012-11-29T00:00:00"/>
    <s v="017-2220-000"/>
    <s v="Beer Sales"/>
    <n v="329.84189999999995"/>
    <n v="0"/>
    <s v="Daily Sales Import"/>
    <n v="-329.84189999999995"/>
    <n v="329.84189999999995"/>
    <x v="1"/>
    <s v="2220"/>
    <s v="000"/>
    <x v="1"/>
    <x v="1"/>
  </r>
  <r>
    <d v="2012-11-29T00:00:00"/>
    <s v="017-2230-000"/>
    <s v="Wine Sales"/>
    <n v="56.933999999999997"/>
    <n v="0"/>
    <s v="Daily Sales Import"/>
    <n v="-56.933999999999997"/>
    <n v="56.933999999999997"/>
    <x v="1"/>
    <s v="2230"/>
    <s v="000"/>
    <x v="1"/>
    <x v="1"/>
  </r>
  <r>
    <d v="2012-11-30T00:00:00"/>
    <s v="017-2100-000"/>
    <s v="Food Sales"/>
    <n v="7974.7199999999993"/>
    <n v="0"/>
    <s v="Daily Sales Import"/>
    <n v="-7974.7199999999993"/>
    <n v="7974.7199999999993"/>
    <x v="1"/>
    <s v="2100"/>
    <s v="000"/>
    <x v="1"/>
    <x v="1"/>
  </r>
  <r>
    <d v="2012-11-30T00:00:00"/>
    <s v="017-2210-000"/>
    <s v="Liquor Sales"/>
    <n v="4699.2341999999999"/>
    <n v="0"/>
    <s v="Daily Sales Import"/>
    <n v="-4699.2341999999999"/>
    <n v="4699.2341999999999"/>
    <x v="1"/>
    <s v="2210"/>
    <s v="000"/>
    <x v="1"/>
    <x v="1"/>
  </r>
  <r>
    <d v="2012-11-30T00:00:00"/>
    <s v="017-2220-000"/>
    <s v="Beer Sales"/>
    <n v="676.23119999999994"/>
    <n v="0"/>
    <s v="Daily Sales Import"/>
    <n v="-676.23119999999994"/>
    <n v="676.23119999999994"/>
    <x v="1"/>
    <s v="2220"/>
    <s v="000"/>
    <x v="1"/>
    <x v="1"/>
  </r>
  <r>
    <d v="2012-11-30T00:00:00"/>
    <s v="017-2230-000"/>
    <s v="Wine Sales"/>
    <n v="384.78719999999998"/>
    <n v="0"/>
    <s v="Daily Sales Import"/>
    <n v="-384.78719999999998"/>
    <n v="384.78719999999998"/>
    <x v="1"/>
    <s v="2230"/>
    <s v="000"/>
    <x v="1"/>
    <x v="1"/>
  </r>
  <r>
    <d v="2012-12-01T00:00:00"/>
    <s v="017-2100-000"/>
    <s v="Food Sales"/>
    <n v="8011.927200000001"/>
    <n v="0"/>
    <s v="Daily Sales Import"/>
    <n v="-8011.927200000001"/>
    <n v="8011.927200000001"/>
    <x v="1"/>
    <s v="2100"/>
    <s v="000"/>
    <x v="2"/>
    <x v="1"/>
  </r>
  <r>
    <d v="2012-12-01T00:00:00"/>
    <s v="017-2210-000"/>
    <s v="Liquor Sales"/>
    <n v="1913.598"/>
    <n v="0"/>
    <s v="Daily Sales Import"/>
    <n v="-1913.598"/>
    <n v="1913.598"/>
    <x v="1"/>
    <s v="2210"/>
    <s v="000"/>
    <x v="2"/>
    <x v="1"/>
  </r>
  <r>
    <d v="2012-12-01T00:00:00"/>
    <s v="017-2220-000"/>
    <s v="Beer Sales"/>
    <n v="280.2276"/>
    <n v="0"/>
    <s v="Daily Sales Import"/>
    <n v="-280.2276"/>
    <n v="280.2276"/>
    <x v="1"/>
    <s v="2220"/>
    <s v="000"/>
    <x v="2"/>
    <x v="1"/>
  </r>
  <r>
    <d v="2012-12-01T00:00:00"/>
    <s v="017-2230-000"/>
    <s v="Wine Sales"/>
    <n v="76.478999999999999"/>
    <n v="0"/>
    <s v="Daily Sales Import"/>
    <n v="-76.478999999999999"/>
    <n v="76.478999999999999"/>
    <x v="1"/>
    <s v="2230"/>
    <s v="000"/>
    <x v="2"/>
    <x v="1"/>
  </r>
  <r>
    <d v="2012-12-02T00:00:00"/>
    <s v="017-2100-000"/>
    <s v="Food Sales"/>
    <n v="4250.3303999999998"/>
    <n v="0"/>
    <s v="Daily Sales Import"/>
    <n v="-4250.3303999999998"/>
    <n v="4250.3303999999998"/>
    <x v="1"/>
    <s v="2100"/>
    <s v="000"/>
    <x v="2"/>
    <x v="1"/>
  </r>
  <r>
    <d v="2012-12-02T00:00:00"/>
    <s v="017-2210-000"/>
    <s v="Liquor Sales"/>
    <n v="577.60640000000001"/>
    <n v="0"/>
    <s v="Daily Sales Import"/>
    <n v="-577.60640000000001"/>
    <n v="577.60640000000001"/>
    <x v="1"/>
    <s v="2210"/>
    <s v="000"/>
    <x v="2"/>
    <x v="1"/>
  </r>
  <r>
    <d v="2012-12-02T00:00:00"/>
    <s v="017-2220-000"/>
    <s v="Beer Sales"/>
    <n v="278.24959999999999"/>
    <n v="0"/>
    <s v="Daily Sales Import"/>
    <n v="-278.24959999999999"/>
    <n v="278.24959999999999"/>
    <x v="1"/>
    <s v="2220"/>
    <s v="000"/>
    <x v="2"/>
    <x v="1"/>
  </r>
  <r>
    <d v="2012-12-02T00:00:00"/>
    <s v="017-2230-000"/>
    <s v="Wine Sales"/>
    <n v="31.339000000000002"/>
    <n v="0"/>
    <s v="Daily Sales Import"/>
    <n v="-31.339000000000002"/>
    <n v="31.339000000000002"/>
    <x v="1"/>
    <s v="2230"/>
    <s v="000"/>
    <x v="2"/>
    <x v="1"/>
  </r>
  <r>
    <d v="2012-11-26T00:00:00"/>
    <s v="018-2100-000"/>
    <s v="Food Sales"/>
    <n v="3029.2627999999995"/>
    <n v="0"/>
    <s v="Daily Sales Import"/>
    <n v="-3029.2627999999995"/>
    <n v="3029.2627999999995"/>
    <x v="2"/>
    <s v="2100"/>
    <s v="000"/>
    <x v="1"/>
    <x v="1"/>
  </r>
  <r>
    <d v="2012-11-26T00:00:00"/>
    <s v="018-2210-000"/>
    <s v="Liquor Sales"/>
    <n v="594.90970000000004"/>
    <n v="0"/>
    <s v="Daily Sales Import"/>
    <n v="-594.90970000000004"/>
    <n v="594.90970000000004"/>
    <x v="2"/>
    <s v="2210"/>
    <s v="000"/>
    <x v="1"/>
    <x v="1"/>
  </r>
  <r>
    <d v="2012-11-26T00:00:00"/>
    <s v="018-2220-000"/>
    <s v="Beer Sales"/>
    <n v="154.9564"/>
    <n v="0"/>
    <s v="Daily Sales Import"/>
    <n v="-154.9564"/>
    <n v="154.9564"/>
    <x v="2"/>
    <s v="2220"/>
    <s v="000"/>
    <x v="1"/>
    <x v="1"/>
  </r>
  <r>
    <d v="2012-11-26T00:00:00"/>
    <s v="018-2230-000"/>
    <s v="Wine Sales"/>
    <n v="15.180999999999999"/>
    <n v="0"/>
    <s v="Daily Sales Import"/>
    <n v="-15.180999999999999"/>
    <n v="15.180999999999999"/>
    <x v="2"/>
    <s v="2230"/>
    <s v="000"/>
    <x v="1"/>
    <x v="1"/>
  </r>
  <r>
    <d v="2012-11-27T00:00:00"/>
    <s v="018-2100-000"/>
    <s v="Food Sales"/>
    <n v="2892.6432"/>
    <n v="0"/>
    <s v="Daily Sales Import"/>
    <n v="-2892.6432"/>
    <n v="2892.6432"/>
    <x v="2"/>
    <s v="2100"/>
    <s v="000"/>
    <x v="1"/>
    <x v="1"/>
  </r>
  <r>
    <d v="2012-11-27T00:00:00"/>
    <s v="018-2210-000"/>
    <s v="Liquor Sales"/>
    <n v="384.54650000000004"/>
    <n v="0"/>
    <s v="Daily Sales Import"/>
    <n v="-384.54650000000004"/>
    <n v="384.54650000000004"/>
    <x v="2"/>
    <s v="2210"/>
    <s v="000"/>
    <x v="1"/>
    <x v="1"/>
  </r>
  <r>
    <d v="2012-11-27T00:00:00"/>
    <s v="018-2220-000"/>
    <s v="Beer Sales"/>
    <n v="88.946000000000012"/>
    <n v="0"/>
    <s v="Daily Sales Import"/>
    <n v="-88.946000000000012"/>
    <n v="88.946000000000012"/>
    <x v="2"/>
    <s v="2220"/>
    <s v="000"/>
    <x v="1"/>
    <x v="1"/>
  </r>
  <r>
    <d v="2012-11-27T00:00:00"/>
    <s v="018-2230-000"/>
    <s v="Wine Sales"/>
    <n v="7.0965999999999996"/>
    <n v="0"/>
    <s v="Daily Sales Import"/>
    <n v="-7.0965999999999996"/>
    <n v="7.0965999999999996"/>
    <x v="2"/>
    <s v="2230"/>
    <s v="000"/>
    <x v="1"/>
    <x v="1"/>
  </r>
  <r>
    <d v="2012-11-28T00:00:00"/>
    <s v="018-2100-000"/>
    <s v="Food Sales"/>
    <n v="3870.0064000000002"/>
    <n v="0"/>
    <s v="Daily Sales Import"/>
    <n v="-3870.0064000000002"/>
    <n v="3870.0064000000002"/>
    <x v="2"/>
    <s v="2100"/>
    <s v="000"/>
    <x v="1"/>
    <x v="1"/>
  </r>
  <r>
    <d v="2012-11-28T00:00:00"/>
    <s v="018-2210-000"/>
    <s v="Liquor Sales"/>
    <n v="434.9117"/>
    <n v="0"/>
    <s v="Daily Sales Import"/>
    <n v="-434.9117"/>
    <n v="434.9117"/>
    <x v="2"/>
    <s v="2210"/>
    <s v="000"/>
    <x v="1"/>
    <x v="1"/>
  </r>
  <r>
    <d v="2012-11-28T00:00:00"/>
    <s v="018-2220-000"/>
    <s v="Beer Sales"/>
    <n v="173.83860000000001"/>
    <n v="0"/>
    <s v="Daily Sales Import"/>
    <n v="-173.83860000000001"/>
    <n v="173.83860000000001"/>
    <x v="2"/>
    <s v="2220"/>
    <s v="000"/>
    <x v="1"/>
    <x v="1"/>
  </r>
  <r>
    <d v="2012-11-28T00:00:00"/>
    <s v="018-2230-000"/>
    <s v="Wine Sales"/>
    <n v="36.624400000000001"/>
    <n v="0"/>
    <s v="Daily Sales Import"/>
    <n v="-36.624400000000001"/>
    <n v="36.624400000000001"/>
    <x v="2"/>
    <s v="2230"/>
    <s v="000"/>
    <x v="1"/>
    <x v="1"/>
  </r>
  <r>
    <d v="2012-11-29T00:00:00"/>
    <s v="018-2100-000"/>
    <s v="Food Sales"/>
    <n v="3228.4970999999996"/>
    <n v="0"/>
    <s v="Daily Sales Import"/>
    <n v="-3228.4970999999996"/>
    <n v="3228.4970999999996"/>
    <x v="2"/>
    <s v="2100"/>
    <s v="000"/>
    <x v="1"/>
    <x v="1"/>
  </r>
  <r>
    <d v="2012-11-29T00:00:00"/>
    <s v="018-2210-000"/>
    <s v="Liquor Sales"/>
    <n v="486.90779999999995"/>
    <n v="0"/>
    <s v="Daily Sales Import"/>
    <n v="-486.90779999999995"/>
    <n v="486.90779999999995"/>
    <x v="2"/>
    <s v="2210"/>
    <s v="000"/>
    <x v="1"/>
    <x v="1"/>
  </r>
  <r>
    <d v="2012-11-29T00:00:00"/>
    <s v="018-2220-000"/>
    <s v="Beer Sales"/>
    <n v="214.86959999999999"/>
    <n v="0"/>
    <s v="Daily Sales Import"/>
    <n v="-214.86959999999999"/>
    <n v="214.86959999999999"/>
    <x v="2"/>
    <s v="2220"/>
    <s v="000"/>
    <x v="1"/>
    <x v="1"/>
  </r>
  <r>
    <d v="2012-11-29T00:00:00"/>
    <s v="018-2230-000"/>
    <s v="Wine Sales"/>
    <n v="6.4728000000000003"/>
    <n v="0"/>
    <s v="Daily Sales Import"/>
    <n v="-6.4728000000000003"/>
    <n v="6.4728000000000003"/>
    <x v="2"/>
    <s v="2230"/>
    <s v="000"/>
    <x v="1"/>
    <x v="1"/>
  </r>
  <r>
    <d v="2012-11-30T00:00:00"/>
    <s v="018-2100-000"/>
    <s v="Food Sales"/>
    <n v="10858.6764"/>
    <n v="0"/>
    <s v="Daily Sales Import"/>
    <n v="-10858.6764"/>
    <n v="10858.6764"/>
    <x v="2"/>
    <s v="2100"/>
    <s v="000"/>
    <x v="1"/>
    <x v="1"/>
  </r>
  <r>
    <d v="2012-11-30T00:00:00"/>
    <s v="018-2210-000"/>
    <s v="Liquor Sales"/>
    <n v="2088.0365999999999"/>
    <n v="0"/>
    <s v="Daily Sales Import"/>
    <n v="-2088.0365999999999"/>
    <n v="2088.0365999999999"/>
    <x v="2"/>
    <s v="2210"/>
    <s v="000"/>
    <x v="1"/>
    <x v="1"/>
  </r>
  <r>
    <d v="2012-11-30T00:00:00"/>
    <s v="018-2220-000"/>
    <s v="Beer Sales"/>
    <n v="528.02819999999997"/>
    <n v="0"/>
    <s v="Daily Sales Import"/>
    <n v="-528.02819999999997"/>
    <n v="528.02819999999997"/>
    <x v="2"/>
    <s v="2220"/>
    <s v="000"/>
    <x v="1"/>
    <x v="1"/>
  </r>
  <r>
    <d v="2012-11-30T00:00:00"/>
    <s v="018-2230-000"/>
    <s v="Wine Sales"/>
    <n v="121.13380000000001"/>
    <n v="0"/>
    <s v="Daily Sales Import"/>
    <n v="-121.13380000000001"/>
    <n v="121.13380000000001"/>
    <x v="2"/>
    <s v="2230"/>
    <s v="000"/>
    <x v="1"/>
    <x v="1"/>
  </r>
  <r>
    <d v="2012-12-01T00:00:00"/>
    <s v="018-2100-000"/>
    <s v="Food Sales"/>
    <n v="13626.536"/>
    <n v="0"/>
    <s v="Daily Sales Import"/>
    <n v="-13626.536"/>
    <n v="13626.536"/>
    <x v="2"/>
    <s v="2100"/>
    <s v="000"/>
    <x v="2"/>
    <x v="1"/>
  </r>
  <r>
    <d v="2012-12-01T00:00:00"/>
    <s v="018-2210-000"/>
    <s v="Liquor Sales"/>
    <n v="3341.6473999999998"/>
    <n v="0"/>
    <s v="Daily Sales Import"/>
    <n v="-3341.6473999999998"/>
    <n v="3341.6473999999998"/>
    <x v="2"/>
    <s v="2210"/>
    <s v="000"/>
    <x v="2"/>
    <x v="1"/>
  </r>
  <r>
    <d v="2012-12-01T00:00:00"/>
    <s v="018-2220-000"/>
    <s v="Beer Sales"/>
    <n v="807.3252"/>
    <n v="0"/>
    <s v="Daily Sales Import"/>
    <n v="-807.3252"/>
    <n v="807.3252"/>
    <x v="2"/>
    <s v="2220"/>
    <s v="000"/>
    <x v="2"/>
    <x v="1"/>
  </r>
  <r>
    <d v="2012-12-01T00:00:00"/>
    <s v="018-2230-000"/>
    <s v="Wine Sales"/>
    <n v="114.81699999999999"/>
    <n v="0"/>
    <s v="Daily Sales Import"/>
    <n v="-114.81699999999999"/>
    <n v="114.81699999999999"/>
    <x v="2"/>
    <s v="2230"/>
    <s v="000"/>
    <x v="2"/>
    <x v="1"/>
  </r>
  <r>
    <d v="2012-12-02T00:00:00"/>
    <s v="018-2100-000"/>
    <s v="Food Sales"/>
    <n v="5992.9825000000001"/>
    <n v="0"/>
    <s v="Daily Sales Import"/>
    <n v="-5992.9825000000001"/>
    <n v="5992.9825000000001"/>
    <x v="2"/>
    <s v="2100"/>
    <s v="000"/>
    <x v="2"/>
    <x v="1"/>
  </r>
  <r>
    <d v="2012-12-02T00:00:00"/>
    <s v="018-2210-000"/>
    <s v="Liquor Sales"/>
    <n v="737.46519999999998"/>
    <n v="0"/>
    <s v="Daily Sales Import"/>
    <n v="-737.46519999999998"/>
    <n v="737.46519999999998"/>
    <x v="2"/>
    <s v="2210"/>
    <s v="000"/>
    <x v="2"/>
    <x v="1"/>
  </r>
  <r>
    <d v="2012-12-02T00:00:00"/>
    <s v="018-2220-000"/>
    <s v="Beer Sales"/>
    <n v="183.63400000000001"/>
    <n v="0"/>
    <s v="Daily Sales Import"/>
    <n v="-183.63400000000001"/>
    <n v="183.63400000000001"/>
    <x v="2"/>
    <s v="2220"/>
    <s v="000"/>
    <x v="2"/>
    <x v="1"/>
  </r>
  <r>
    <d v="2012-12-02T00:00:00"/>
    <s v="018-2230-000"/>
    <s v="Wine Sales"/>
    <n v="93.912000000000006"/>
    <n v="0"/>
    <s v="Daily Sales Import"/>
    <n v="-93.912000000000006"/>
    <n v="93.912000000000006"/>
    <x v="2"/>
    <s v="2230"/>
    <s v="000"/>
    <x v="2"/>
    <x v="1"/>
  </r>
  <r>
    <d v="2012-12-03T00:00:00"/>
    <s v="016-2100-000"/>
    <s v="Food Sales"/>
    <n v="2598.1064999999999"/>
    <n v="0"/>
    <s v="Daily Sales Import"/>
    <n v="-2598.1064999999999"/>
    <n v="2598.1064999999999"/>
    <x v="0"/>
    <s v="2100"/>
    <s v="000"/>
    <x v="2"/>
    <x v="1"/>
  </r>
  <r>
    <d v="2012-12-03T00:00:00"/>
    <s v="016-2210-000"/>
    <s v="Liquor Sales"/>
    <n v="947.13459999999998"/>
    <n v="0"/>
    <s v="Daily Sales Import"/>
    <n v="-947.13459999999998"/>
    <n v="947.13459999999998"/>
    <x v="0"/>
    <s v="2210"/>
    <s v="000"/>
    <x v="2"/>
    <x v="1"/>
  </r>
  <r>
    <d v="2012-12-03T00:00:00"/>
    <s v="016-2220-000"/>
    <s v="Beer Sales"/>
    <n v="202.21289999999999"/>
    <n v="0"/>
    <s v="Daily Sales Import"/>
    <n v="-202.21289999999999"/>
    <n v="202.21289999999999"/>
    <x v="0"/>
    <s v="2220"/>
    <s v="000"/>
    <x v="2"/>
    <x v="1"/>
  </r>
  <r>
    <d v="2012-12-03T00:00:00"/>
    <s v="016-2230-000"/>
    <s v="Wine Sales"/>
    <n v="77.061199999999999"/>
    <n v="0"/>
    <s v="Daily Sales Import"/>
    <n v="-77.061199999999999"/>
    <n v="77.061199999999999"/>
    <x v="0"/>
    <s v="2230"/>
    <s v="000"/>
    <x v="2"/>
    <x v="1"/>
  </r>
  <r>
    <d v="2012-12-04T00:00:00"/>
    <s v="016-2100-000"/>
    <s v="Food Sales"/>
    <n v="5510.9543999999996"/>
    <n v="0"/>
    <s v="Daily Sales Import"/>
    <n v="-5510.9543999999996"/>
    <n v="5510.9543999999996"/>
    <x v="0"/>
    <s v="2100"/>
    <s v="000"/>
    <x v="2"/>
    <x v="1"/>
  </r>
  <r>
    <d v="2012-12-04T00:00:00"/>
    <s v="016-2210-000"/>
    <s v="Liquor Sales"/>
    <n v="2167.0048000000002"/>
    <n v="0"/>
    <s v="Daily Sales Import"/>
    <n v="-2167.0048000000002"/>
    <n v="2167.0048000000002"/>
    <x v="0"/>
    <s v="2210"/>
    <s v="000"/>
    <x v="2"/>
    <x v="1"/>
  </r>
  <r>
    <d v="2012-12-04T00:00:00"/>
    <s v="016-2220-000"/>
    <s v="Beer Sales"/>
    <n v="384.62459999999993"/>
    <n v="0"/>
    <s v="Daily Sales Import"/>
    <n v="-384.62459999999993"/>
    <n v="384.62459999999993"/>
    <x v="0"/>
    <s v="2220"/>
    <s v="000"/>
    <x v="2"/>
    <x v="1"/>
  </r>
  <r>
    <d v="2012-12-04T00:00:00"/>
    <s v="016-2230-000"/>
    <s v="Wine Sales"/>
    <n v="121.7856"/>
    <n v="0"/>
    <s v="Daily Sales Import"/>
    <n v="-121.7856"/>
    <n v="121.7856"/>
    <x v="0"/>
    <s v="2230"/>
    <s v="000"/>
    <x v="2"/>
    <x v="1"/>
  </r>
  <r>
    <d v="2012-12-05T00:00:00"/>
    <s v="016-2100-000"/>
    <s v="Food Sales"/>
    <n v="2912.9828000000002"/>
    <n v="0"/>
    <s v="Daily Sales Import"/>
    <n v="-2912.9828000000002"/>
    <n v="2912.9828000000002"/>
    <x v="0"/>
    <s v="2100"/>
    <s v="000"/>
    <x v="2"/>
    <x v="1"/>
  </r>
  <r>
    <d v="2012-12-05T00:00:00"/>
    <s v="016-2210-000"/>
    <s v="Liquor Sales"/>
    <n v="635.5859999999999"/>
    <n v="0"/>
    <s v="Daily Sales Import"/>
    <n v="-635.5859999999999"/>
    <n v="635.5859999999999"/>
    <x v="0"/>
    <s v="2210"/>
    <s v="000"/>
    <x v="2"/>
    <x v="1"/>
  </r>
  <r>
    <d v="2012-12-05T00:00:00"/>
    <s v="016-2220-000"/>
    <s v="Beer Sales"/>
    <n v="212.64679999999998"/>
    <n v="0"/>
    <s v="Daily Sales Import"/>
    <n v="-212.64679999999998"/>
    <n v="212.64679999999998"/>
    <x v="0"/>
    <s v="2220"/>
    <s v="000"/>
    <x v="2"/>
    <x v="1"/>
  </r>
  <r>
    <d v="2012-12-05T00:00:00"/>
    <s v="016-2230-000"/>
    <s v="Wine Sales"/>
    <n v="63.185600000000008"/>
    <n v="0"/>
    <s v="Daily Sales Import"/>
    <n v="-63.185600000000008"/>
    <n v="63.185600000000008"/>
    <x v="0"/>
    <s v="2230"/>
    <s v="000"/>
    <x v="2"/>
    <x v="1"/>
  </r>
  <r>
    <d v="2012-12-06T00:00:00"/>
    <s v="016-2100-000"/>
    <s v="Food Sales"/>
    <n v="3356.2435999999998"/>
    <n v="0"/>
    <s v="Daily Sales Import"/>
    <n v="-3356.2435999999998"/>
    <n v="3356.2435999999998"/>
    <x v="0"/>
    <s v="2100"/>
    <s v="000"/>
    <x v="2"/>
    <x v="1"/>
  </r>
  <r>
    <d v="2012-12-06T00:00:00"/>
    <s v="016-2210-000"/>
    <s v="Liquor Sales"/>
    <n v="841.21569999999997"/>
    <n v="0"/>
    <s v="Daily Sales Import"/>
    <n v="-841.21569999999997"/>
    <n v="841.21569999999997"/>
    <x v="0"/>
    <s v="2210"/>
    <s v="000"/>
    <x v="2"/>
    <x v="1"/>
  </r>
  <r>
    <d v="2012-12-06T00:00:00"/>
    <s v="016-2220-000"/>
    <s v="Beer Sales"/>
    <n v="110.17069999999998"/>
    <n v="0"/>
    <s v="Daily Sales Import"/>
    <n v="-110.17069999999998"/>
    <n v="110.17069999999998"/>
    <x v="0"/>
    <s v="2220"/>
    <s v="000"/>
    <x v="2"/>
    <x v="1"/>
  </r>
  <r>
    <d v="2012-12-06T00:00:00"/>
    <s v="016-2230-000"/>
    <s v="Wine Sales"/>
    <n v="75.850700000000003"/>
    <n v="0"/>
    <s v="Daily Sales Import"/>
    <n v="-75.850700000000003"/>
    <n v="75.850700000000003"/>
    <x v="0"/>
    <s v="2230"/>
    <s v="000"/>
    <x v="2"/>
    <x v="1"/>
  </r>
  <r>
    <d v="2012-12-07T00:00:00"/>
    <s v="016-2100-000"/>
    <s v="Food Sales"/>
    <n v="6981.2925000000005"/>
    <n v="0"/>
    <s v="Daily Sales Import"/>
    <n v="-6981.2925000000005"/>
    <n v="6981.2925000000005"/>
    <x v="0"/>
    <s v="2100"/>
    <s v="000"/>
    <x v="2"/>
    <x v="1"/>
  </r>
  <r>
    <d v="2012-12-07T00:00:00"/>
    <s v="016-2210-000"/>
    <s v="Liquor Sales"/>
    <n v="2176.4000999999998"/>
    <n v="0"/>
    <s v="Daily Sales Import"/>
    <n v="-2176.4000999999998"/>
    <n v="2176.4000999999998"/>
    <x v="0"/>
    <s v="2210"/>
    <s v="000"/>
    <x v="2"/>
    <x v="1"/>
  </r>
  <r>
    <d v="2012-12-07T00:00:00"/>
    <s v="016-2220-000"/>
    <s v="Beer Sales"/>
    <n v="462.87359999999995"/>
    <n v="0"/>
    <s v="Daily Sales Import"/>
    <n v="-462.87359999999995"/>
    <n v="462.87359999999995"/>
    <x v="0"/>
    <s v="2220"/>
    <s v="000"/>
    <x v="2"/>
    <x v="1"/>
  </r>
  <r>
    <d v="2012-12-07T00:00:00"/>
    <s v="016-2230-000"/>
    <s v="Wine Sales"/>
    <n v="138.03790000000001"/>
    <n v="0"/>
    <s v="Daily Sales Import"/>
    <n v="-138.03790000000001"/>
    <n v="138.03790000000001"/>
    <x v="0"/>
    <s v="2230"/>
    <s v="000"/>
    <x v="2"/>
    <x v="1"/>
  </r>
  <r>
    <d v="2012-12-08T00:00:00"/>
    <s v="016-2100-000"/>
    <s v="Food Sales"/>
    <n v="6809.0320000000011"/>
    <n v="0"/>
    <s v="Daily Sales Import"/>
    <n v="-6809.0320000000011"/>
    <n v="6809.0320000000011"/>
    <x v="0"/>
    <s v="2100"/>
    <s v="000"/>
    <x v="2"/>
    <x v="1"/>
  </r>
  <r>
    <d v="2012-12-08T00:00:00"/>
    <s v="016-2210-000"/>
    <s v="Liquor Sales"/>
    <n v="1110.8159999999998"/>
    <n v="0"/>
    <s v="Daily Sales Import"/>
    <n v="-1110.8159999999998"/>
    <n v="1110.8159999999998"/>
    <x v="0"/>
    <s v="2210"/>
    <s v="000"/>
    <x v="2"/>
    <x v="1"/>
  </r>
  <r>
    <d v="2012-12-08T00:00:00"/>
    <s v="016-2220-000"/>
    <s v="Beer Sales"/>
    <n v="329.6044"/>
    <n v="0"/>
    <s v="Daily Sales Import"/>
    <n v="-329.6044"/>
    <n v="329.6044"/>
    <x v="0"/>
    <s v="2220"/>
    <s v="000"/>
    <x v="2"/>
    <x v="1"/>
  </r>
  <r>
    <d v="2012-12-08T00:00:00"/>
    <s v="016-2230-000"/>
    <s v="Wine Sales"/>
    <n v="177.1028"/>
    <n v="0"/>
    <s v="Daily Sales Import"/>
    <n v="-177.1028"/>
    <n v="177.1028"/>
    <x v="0"/>
    <s v="2230"/>
    <s v="000"/>
    <x v="2"/>
    <x v="1"/>
  </r>
  <r>
    <d v="2012-12-09T00:00:00"/>
    <s v="016-2100-000"/>
    <s v="Food Sales"/>
    <n v="3945.0176000000001"/>
    <n v="0"/>
    <s v="Daily Sales Import"/>
    <n v="-3945.0176000000001"/>
    <n v="3945.0176000000001"/>
    <x v="0"/>
    <s v="2100"/>
    <s v="000"/>
    <x v="2"/>
    <x v="1"/>
  </r>
  <r>
    <d v="2012-12-09T00:00:00"/>
    <s v="016-2210-000"/>
    <s v="Liquor Sales"/>
    <n v="936.27660000000003"/>
    <n v="0"/>
    <s v="Daily Sales Import"/>
    <n v="-936.27660000000003"/>
    <n v="936.27660000000003"/>
    <x v="0"/>
    <s v="2210"/>
    <s v="000"/>
    <x v="2"/>
    <x v="1"/>
  </r>
  <r>
    <d v="2012-12-09T00:00:00"/>
    <s v="016-2220-000"/>
    <s v="Beer Sales"/>
    <n v="302.16980000000001"/>
    <n v="0"/>
    <s v="Daily Sales Import"/>
    <n v="-302.16980000000001"/>
    <n v="302.16980000000001"/>
    <x v="0"/>
    <s v="2220"/>
    <s v="000"/>
    <x v="2"/>
    <x v="1"/>
  </r>
  <r>
    <d v="2012-12-09T00:00:00"/>
    <s v="016-2230-000"/>
    <s v="Wine Sales"/>
    <n v="163.2595"/>
    <n v="0"/>
    <s v="Daily Sales Import"/>
    <n v="-163.2595"/>
    <n v="163.2595"/>
    <x v="0"/>
    <s v="2230"/>
    <s v="000"/>
    <x v="2"/>
    <x v="1"/>
  </r>
  <r>
    <d v="2012-12-03T00:00:00"/>
    <s v="017-2100-000"/>
    <s v="Food Sales"/>
    <n v="5703.6852999999992"/>
    <n v="0"/>
    <s v="Daily Sales Import"/>
    <n v="-5703.6852999999992"/>
    <n v="5703.6852999999992"/>
    <x v="1"/>
    <s v="2100"/>
    <s v="000"/>
    <x v="2"/>
    <x v="1"/>
  </r>
  <r>
    <d v="2012-12-03T00:00:00"/>
    <s v="017-2210-000"/>
    <s v="Liquor Sales"/>
    <n v="1125.3680999999999"/>
    <n v="0"/>
    <s v="Daily Sales Import"/>
    <n v="-1125.3680999999999"/>
    <n v="1125.3680999999999"/>
    <x v="1"/>
    <s v="2210"/>
    <s v="000"/>
    <x v="2"/>
    <x v="1"/>
  </r>
  <r>
    <d v="2012-12-03T00:00:00"/>
    <s v="017-2220-000"/>
    <s v="Beer Sales"/>
    <n v="709.03840000000002"/>
    <n v="0"/>
    <s v="Daily Sales Import"/>
    <n v="-709.03840000000002"/>
    <n v="709.03840000000002"/>
    <x v="1"/>
    <s v="2220"/>
    <s v="000"/>
    <x v="2"/>
    <x v="1"/>
  </r>
  <r>
    <d v="2012-12-03T00:00:00"/>
    <s v="017-2230-000"/>
    <s v="Wine Sales"/>
    <n v="146.43200000000002"/>
    <n v="0"/>
    <s v="Daily Sales Import"/>
    <n v="-146.43200000000002"/>
    <n v="146.43200000000002"/>
    <x v="1"/>
    <s v="2230"/>
    <s v="000"/>
    <x v="2"/>
    <x v="1"/>
  </r>
  <r>
    <d v="2012-12-04T00:00:00"/>
    <s v="017-2100-000"/>
    <s v="Food Sales"/>
    <n v="8404.6214999999993"/>
    <n v="0"/>
    <s v="Daily Sales Import"/>
    <n v="-8404.6214999999993"/>
    <n v="8404.6214999999993"/>
    <x v="1"/>
    <s v="2100"/>
    <s v="000"/>
    <x v="2"/>
    <x v="1"/>
  </r>
  <r>
    <d v="2012-12-04T00:00:00"/>
    <s v="017-2210-000"/>
    <s v="Liquor Sales"/>
    <n v="1522.9478999999999"/>
    <n v="0"/>
    <s v="Daily Sales Import"/>
    <n v="-1522.9478999999999"/>
    <n v="1522.9478999999999"/>
    <x v="1"/>
    <s v="2210"/>
    <s v="000"/>
    <x v="2"/>
    <x v="1"/>
  </r>
  <r>
    <d v="2012-12-04T00:00:00"/>
    <s v="017-2220-000"/>
    <s v="Beer Sales"/>
    <n v="412.995"/>
    <n v="0"/>
    <s v="Daily Sales Import"/>
    <n v="-412.995"/>
    <n v="412.995"/>
    <x v="1"/>
    <s v="2220"/>
    <s v="000"/>
    <x v="2"/>
    <x v="1"/>
  </r>
  <r>
    <d v="2012-12-04T00:00:00"/>
    <s v="017-2230-000"/>
    <s v="Wine Sales"/>
    <n v="216.55379999999997"/>
    <n v="0"/>
    <s v="Daily Sales Import"/>
    <n v="-216.55379999999997"/>
    <n v="216.55379999999997"/>
    <x v="1"/>
    <s v="2230"/>
    <s v="000"/>
    <x v="2"/>
    <x v="1"/>
  </r>
  <r>
    <d v="2012-12-05T00:00:00"/>
    <s v="017-2100-000"/>
    <s v="Food Sales"/>
    <n v="5292.8512000000001"/>
    <n v="0"/>
    <s v="Daily Sales Import"/>
    <n v="-5292.8512000000001"/>
    <n v="5292.8512000000001"/>
    <x v="1"/>
    <s v="2100"/>
    <s v="000"/>
    <x v="2"/>
    <x v="1"/>
  </r>
  <r>
    <d v="2012-12-05T00:00:00"/>
    <s v="017-2210-000"/>
    <s v="Liquor Sales"/>
    <n v="1304.3118000000002"/>
    <n v="0"/>
    <s v="Daily Sales Import"/>
    <n v="-1304.3118000000002"/>
    <n v="1304.3118000000002"/>
    <x v="1"/>
    <s v="2210"/>
    <s v="000"/>
    <x v="2"/>
    <x v="1"/>
  </r>
  <r>
    <d v="2012-12-05T00:00:00"/>
    <s v="017-2220-000"/>
    <s v="Beer Sales"/>
    <n v="446.53440000000001"/>
    <n v="0"/>
    <s v="Daily Sales Import"/>
    <n v="-446.53440000000001"/>
    <n v="446.53440000000001"/>
    <x v="1"/>
    <s v="2220"/>
    <s v="000"/>
    <x v="2"/>
    <x v="1"/>
  </r>
  <r>
    <d v="2012-12-05T00:00:00"/>
    <s v="017-2230-000"/>
    <s v="Wine Sales"/>
    <n v="151.20600000000002"/>
    <n v="0"/>
    <s v="Daily Sales Import"/>
    <n v="-151.20600000000002"/>
    <n v="151.20600000000002"/>
    <x v="1"/>
    <s v="2230"/>
    <s v="000"/>
    <x v="2"/>
    <x v="1"/>
  </r>
  <r>
    <d v="2012-12-06T00:00:00"/>
    <s v="017-2100-000"/>
    <s v="Food Sales"/>
    <n v="8577.0503000000008"/>
    <n v="0"/>
    <s v="Daily Sales Import"/>
    <n v="-8577.0503000000008"/>
    <n v="8577.0503000000008"/>
    <x v="1"/>
    <s v="2100"/>
    <s v="000"/>
    <x v="2"/>
    <x v="1"/>
  </r>
  <r>
    <d v="2012-12-06T00:00:00"/>
    <s v="017-2210-000"/>
    <s v="Liquor Sales"/>
    <n v="2754.69"/>
    <n v="0"/>
    <s v="Daily Sales Import"/>
    <n v="-2754.69"/>
    <n v="2754.69"/>
    <x v="1"/>
    <s v="2210"/>
    <s v="000"/>
    <x v="2"/>
    <x v="1"/>
  </r>
  <r>
    <d v="2012-12-06T00:00:00"/>
    <s v="017-2220-000"/>
    <s v="Beer Sales"/>
    <n v="728.2944"/>
    <n v="0"/>
    <s v="Daily Sales Import"/>
    <n v="-728.2944"/>
    <n v="728.2944"/>
    <x v="1"/>
    <s v="2220"/>
    <s v="000"/>
    <x v="2"/>
    <x v="1"/>
  </r>
  <r>
    <d v="2012-12-06T00:00:00"/>
    <s v="017-2230-000"/>
    <s v="Wine Sales"/>
    <n v="275.23439999999999"/>
    <n v="0"/>
    <s v="Daily Sales Import"/>
    <n v="-275.23439999999999"/>
    <n v="275.23439999999999"/>
    <x v="1"/>
    <s v="2230"/>
    <s v="000"/>
    <x v="2"/>
    <x v="1"/>
  </r>
  <r>
    <d v="2012-12-07T00:00:00"/>
    <s v="017-2100-000"/>
    <s v="Food Sales"/>
    <n v="10411.654799999998"/>
    <n v="0"/>
    <s v="Daily Sales Import"/>
    <n v="-10411.654799999998"/>
    <n v="10411.654799999998"/>
    <x v="1"/>
    <s v="2100"/>
    <s v="000"/>
    <x v="2"/>
    <x v="1"/>
  </r>
  <r>
    <d v="2012-12-07T00:00:00"/>
    <s v="017-2210-000"/>
    <s v="Liquor Sales"/>
    <n v="2648.5505999999996"/>
    <n v="0"/>
    <s v="Daily Sales Import"/>
    <n v="-2648.5505999999996"/>
    <n v="2648.5505999999996"/>
    <x v="1"/>
    <s v="2210"/>
    <s v="000"/>
    <x v="2"/>
    <x v="1"/>
  </r>
  <r>
    <d v="2012-12-07T00:00:00"/>
    <s v="017-2220-000"/>
    <s v="Beer Sales"/>
    <n v="476.55040000000002"/>
    <n v="0"/>
    <s v="Daily Sales Import"/>
    <n v="-476.55040000000002"/>
    <n v="476.55040000000002"/>
    <x v="1"/>
    <s v="2220"/>
    <s v="000"/>
    <x v="2"/>
    <x v="1"/>
  </r>
  <r>
    <d v="2012-12-07T00:00:00"/>
    <s v="017-2230-000"/>
    <s v="Wine Sales"/>
    <n v="387.39609999999999"/>
    <n v="0"/>
    <s v="Daily Sales Import"/>
    <n v="-387.39609999999999"/>
    <n v="387.39609999999999"/>
    <x v="1"/>
    <s v="2230"/>
    <s v="000"/>
    <x v="2"/>
    <x v="1"/>
  </r>
  <r>
    <d v="2012-12-08T00:00:00"/>
    <s v="017-2100-000"/>
    <s v="Food Sales"/>
    <n v="5639.7488999999996"/>
    <n v="0"/>
    <s v="Daily Sales Import"/>
    <n v="-5639.7488999999996"/>
    <n v="5639.7488999999996"/>
    <x v="1"/>
    <s v="2100"/>
    <s v="000"/>
    <x v="2"/>
    <x v="1"/>
  </r>
  <r>
    <d v="2012-12-08T00:00:00"/>
    <s v="017-2210-000"/>
    <s v="Liquor Sales"/>
    <n v="1334.1818999999998"/>
    <n v="0"/>
    <s v="Daily Sales Import"/>
    <n v="-1334.1818999999998"/>
    <n v="1334.1818999999998"/>
    <x v="1"/>
    <s v="2210"/>
    <s v="000"/>
    <x v="2"/>
    <x v="1"/>
  </r>
  <r>
    <d v="2012-12-08T00:00:00"/>
    <s v="017-2220-000"/>
    <s v="Beer Sales"/>
    <n v="181.71"/>
    <n v="0"/>
    <s v="Daily Sales Import"/>
    <n v="-181.71"/>
    <n v="181.71"/>
    <x v="1"/>
    <s v="2220"/>
    <s v="000"/>
    <x v="2"/>
    <x v="1"/>
  </r>
  <r>
    <d v="2012-12-08T00:00:00"/>
    <s v="017-2230-000"/>
    <s v="Wine Sales"/>
    <n v="79.361400000000003"/>
    <n v="0"/>
    <s v="Daily Sales Import"/>
    <n v="-79.361400000000003"/>
    <n v="79.361400000000003"/>
    <x v="1"/>
    <s v="2230"/>
    <s v="000"/>
    <x v="2"/>
    <x v="1"/>
  </r>
  <r>
    <d v="2012-12-09T00:00:00"/>
    <s v="017-2100-000"/>
    <s v="Food Sales"/>
    <n v="5641.1639999999998"/>
    <n v="0"/>
    <s v="Daily Sales Import"/>
    <n v="-5641.1639999999998"/>
    <n v="5641.1639999999998"/>
    <x v="1"/>
    <s v="2100"/>
    <s v="000"/>
    <x v="2"/>
    <x v="1"/>
  </r>
  <r>
    <d v="2012-12-09T00:00:00"/>
    <s v="017-2210-000"/>
    <s v="Liquor Sales"/>
    <n v="734.5702"/>
    <n v="0"/>
    <s v="Daily Sales Import"/>
    <n v="-734.5702"/>
    <n v="734.5702"/>
    <x v="1"/>
    <s v="2210"/>
    <s v="000"/>
    <x v="2"/>
    <x v="1"/>
  </r>
  <r>
    <d v="2012-12-09T00:00:00"/>
    <s v="017-2220-000"/>
    <s v="Beer Sales"/>
    <n v="176.99879999999999"/>
    <n v="0"/>
    <s v="Daily Sales Import"/>
    <n v="-176.99879999999999"/>
    <n v="176.99879999999999"/>
    <x v="1"/>
    <s v="2220"/>
    <s v="000"/>
    <x v="2"/>
    <x v="1"/>
  </r>
  <r>
    <d v="2012-12-09T00:00:00"/>
    <s v="017-2230-000"/>
    <s v="Wine Sales"/>
    <n v="54.498000000000005"/>
    <n v="0"/>
    <s v="Daily Sales Import"/>
    <n v="-54.498000000000005"/>
    <n v="54.498000000000005"/>
    <x v="1"/>
    <s v="2230"/>
    <s v="000"/>
    <x v="2"/>
    <x v="1"/>
  </r>
  <r>
    <d v="2012-12-03T00:00:00"/>
    <s v="018-2100-000"/>
    <s v="Food Sales"/>
    <n v="2457.2831999999999"/>
    <n v="0"/>
    <s v="Daily Sales Import"/>
    <n v="-2457.2831999999999"/>
    <n v="2457.2831999999999"/>
    <x v="2"/>
    <s v="2100"/>
    <s v="000"/>
    <x v="2"/>
    <x v="1"/>
  </r>
  <r>
    <d v="2012-12-03T00:00:00"/>
    <s v="018-2210-000"/>
    <s v="Liquor Sales"/>
    <n v="686.20259999999996"/>
    <n v="0"/>
    <s v="Daily Sales Import"/>
    <n v="-686.20259999999996"/>
    <n v="686.20259999999996"/>
    <x v="2"/>
    <s v="2210"/>
    <s v="000"/>
    <x v="2"/>
    <x v="1"/>
  </r>
  <r>
    <d v="2012-12-03T00:00:00"/>
    <s v="018-2220-000"/>
    <s v="Beer Sales"/>
    <n v="98.02579999999999"/>
    <n v="0"/>
    <s v="Daily Sales Import"/>
    <n v="-98.02579999999999"/>
    <n v="98.02579999999999"/>
    <x v="2"/>
    <s v="2220"/>
    <s v="000"/>
    <x v="2"/>
    <x v="1"/>
  </r>
  <r>
    <d v="2012-12-03T00:00:00"/>
    <s v="018-2230-000"/>
    <s v="Wine Sales"/>
    <n v="7.6414999999999997"/>
    <n v="0"/>
    <s v="Daily Sales Import"/>
    <n v="-7.6414999999999997"/>
    <n v="7.6414999999999997"/>
    <x v="2"/>
    <s v="2230"/>
    <s v="000"/>
    <x v="2"/>
    <x v="1"/>
  </r>
  <r>
    <d v="2012-12-04T00:00:00"/>
    <s v="018-2100-000"/>
    <s v="Food Sales"/>
    <n v="4169.4492"/>
    <n v="0"/>
    <s v="Daily Sales Import"/>
    <n v="-4169.4492"/>
    <n v="4169.4492"/>
    <x v="2"/>
    <s v="2100"/>
    <s v="000"/>
    <x v="2"/>
    <x v="1"/>
  </r>
  <r>
    <d v="2012-12-04T00:00:00"/>
    <s v="018-2210-000"/>
    <s v="Liquor Sales"/>
    <n v="612.15750000000003"/>
    <n v="0"/>
    <s v="Daily Sales Import"/>
    <n v="-612.15750000000003"/>
    <n v="612.15750000000003"/>
    <x v="2"/>
    <s v="2210"/>
    <s v="000"/>
    <x v="2"/>
    <x v="1"/>
  </r>
  <r>
    <d v="2012-12-04T00:00:00"/>
    <s v="018-2220-000"/>
    <s v="Beer Sales"/>
    <n v="71.5869"/>
    <n v="0"/>
    <s v="Daily Sales Import"/>
    <n v="-71.5869"/>
    <n v="71.5869"/>
    <x v="2"/>
    <s v="2220"/>
    <s v="000"/>
    <x v="2"/>
    <x v="1"/>
  </r>
  <r>
    <d v="2012-12-04T00:00:00"/>
    <s v="018-2230-000"/>
    <s v="Wine Sales"/>
    <n v="41.589599999999997"/>
    <n v="0"/>
    <s v="Daily Sales Import"/>
    <n v="-41.589599999999997"/>
    <n v="41.589599999999997"/>
    <x v="2"/>
    <s v="2230"/>
    <s v="000"/>
    <x v="2"/>
    <x v="1"/>
  </r>
  <r>
    <d v="2012-12-05T00:00:00"/>
    <s v="018-2100-000"/>
    <s v="Food Sales"/>
    <n v="3036.5335"/>
    <n v="0"/>
    <s v="Daily Sales Import"/>
    <n v="-3036.5335"/>
    <n v="3036.5335"/>
    <x v="2"/>
    <s v="2100"/>
    <s v="000"/>
    <x v="2"/>
    <x v="1"/>
  </r>
  <r>
    <d v="2012-12-05T00:00:00"/>
    <s v="018-2210-000"/>
    <s v="Liquor Sales"/>
    <n v="444.52099999999996"/>
    <n v="0"/>
    <s v="Daily Sales Import"/>
    <n v="-444.52099999999996"/>
    <n v="444.52099999999996"/>
    <x v="2"/>
    <s v="2210"/>
    <s v="000"/>
    <x v="2"/>
    <x v="1"/>
  </r>
  <r>
    <d v="2012-12-05T00:00:00"/>
    <s v="018-2220-000"/>
    <s v="Beer Sales"/>
    <n v="134.6052"/>
    <n v="0"/>
    <s v="Daily Sales Import"/>
    <n v="-134.6052"/>
    <n v="134.6052"/>
    <x v="2"/>
    <s v="2220"/>
    <s v="000"/>
    <x v="2"/>
    <x v="1"/>
  </r>
  <r>
    <d v="2012-12-05T00:00:00"/>
    <s v="018-2230-000"/>
    <s v="Wine Sales"/>
    <n v="39.448700000000002"/>
    <n v="0"/>
    <s v="Daily Sales Import"/>
    <n v="-39.448700000000002"/>
    <n v="39.448700000000002"/>
    <x v="2"/>
    <s v="2230"/>
    <s v="000"/>
    <x v="2"/>
    <x v="1"/>
  </r>
  <r>
    <d v="2012-12-06T00:00:00"/>
    <s v="018-2100-000"/>
    <s v="Food Sales"/>
    <n v="4085.2578000000003"/>
    <n v="0"/>
    <s v="Daily Sales Import"/>
    <n v="-4085.2578000000003"/>
    <n v="4085.2578000000003"/>
    <x v="2"/>
    <s v="2100"/>
    <s v="000"/>
    <x v="2"/>
    <x v="1"/>
  </r>
  <r>
    <d v="2012-12-06T00:00:00"/>
    <s v="018-2210-000"/>
    <s v="Liquor Sales"/>
    <n v="1142.8263000000002"/>
    <n v="0"/>
    <s v="Daily Sales Import"/>
    <n v="-1142.8263000000002"/>
    <n v="1142.8263000000002"/>
    <x v="2"/>
    <s v="2210"/>
    <s v="000"/>
    <x v="2"/>
    <x v="1"/>
  </r>
  <r>
    <d v="2012-12-06T00:00:00"/>
    <s v="018-2220-000"/>
    <s v="Beer Sales"/>
    <n v="151.53919999999999"/>
    <n v="0"/>
    <s v="Daily Sales Import"/>
    <n v="-151.53919999999999"/>
    <n v="151.53919999999999"/>
    <x v="2"/>
    <s v="2220"/>
    <s v="000"/>
    <x v="2"/>
    <x v="1"/>
  </r>
  <r>
    <d v="2012-12-06T00:00:00"/>
    <s v="018-2230-000"/>
    <s v="Wine Sales"/>
    <n v="67.298699999999997"/>
    <n v="0"/>
    <s v="Daily Sales Import"/>
    <n v="-67.298699999999997"/>
    <n v="67.298699999999997"/>
    <x v="2"/>
    <s v="2230"/>
    <s v="000"/>
    <x v="2"/>
    <x v="1"/>
  </r>
  <r>
    <d v="2012-12-07T00:00:00"/>
    <s v="018-2100-000"/>
    <s v="Food Sales"/>
    <n v="8271.4698000000008"/>
    <n v="0"/>
    <s v="Daily Sales Import"/>
    <n v="-8271.4698000000008"/>
    <n v="8271.4698000000008"/>
    <x v="2"/>
    <s v="2100"/>
    <s v="000"/>
    <x v="2"/>
    <x v="1"/>
  </r>
  <r>
    <d v="2012-12-07T00:00:00"/>
    <s v="018-2210-000"/>
    <s v="Liquor Sales"/>
    <n v="2816.8944000000001"/>
    <n v="0"/>
    <s v="Daily Sales Import"/>
    <n v="-2816.8944000000001"/>
    <n v="2816.8944000000001"/>
    <x v="2"/>
    <s v="2210"/>
    <s v="000"/>
    <x v="2"/>
    <x v="1"/>
  </r>
  <r>
    <d v="2012-12-07T00:00:00"/>
    <s v="018-2220-000"/>
    <s v="Beer Sales"/>
    <n v="518.45119999999997"/>
    <n v="0"/>
    <s v="Daily Sales Import"/>
    <n v="-518.45119999999997"/>
    <n v="518.45119999999997"/>
    <x v="2"/>
    <s v="2220"/>
    <s v="000"/>
    <x v="2"/>
    <x v="1"/>
  </r>
  <r>
    <d v="2012-12-07T00:00:00"/>
    <s v="018-2230-000"/>
    <s v="Wine Sales"/>
    <n v="136.1241"/>
    <n v="0"/>
    <s v="Daily Sales Import"/>
    <n v="-136.1241"/>
    <n v="136.1241"/>
    <x v="2"/>
    <s v="2230"/>
    <s v="000"/>
    <x v="2"/>
    <x v="1"/>
  </r>
  <r>
    <d v="2012-12-08T00:00:00"/>
    <s v="018-2100-000"/>
    <s v="Food Sales"/>
    <n v="13569.3323"/>
    <n v="0"/>
    <s v="Daily Sales Import"/>
    <n v="-13569.3323"/>
    <n v="13569.3323"/>
    <x v="2"/>
    <s v="2100"/>
    <s v="000"/>
    <x v="2"/>
    <x v="1"/>
  </r>
  <r>
    <d v="2012-12-08T00:00:00"/>
    <s v="018-2210-000"/>
    <s v="Liquor Sales"/>
    <n v="2544.6880000000001"/>
    <n v="0"/>
    <s v="Daily Sales Import"/>
    <n v="-2544.6880000000001"/>
    <n v="2544.6880000000001"/>
    <x v="2"/>
    <s v="2210"/>
    <s v="000"/>
    <x v="2"/>
    <x v="1"/>
  </r>
  <r>
    <d v="2012-12-08T00:00:00"/>
    <s v="018-2220-000"/>
    <s v="Beer Sales"/>
    <n v="795.2912"/>
    <n v="0"/>
    <s v="Daily Sales Import"/>
    <n v="-795.2912"/>
    <n v="795.2912"/>
    <x v="2"/>
    <s v="2220"/>
    <s v="000"/>
    <x v="2"/>
    <x v="1"/>
  </r>
  <r>
    <d v="2012-12-08T00:00:00"/>
    <s v="018-2230-000"/>
    <s v="Wine Sales"/>
    <n v="109.0964"/>
    <n v="0"/>
    <s v="Daily Sales Import"/>
    <n v="-109.0964"/>
    <n v="109.0964"/>
    <x v="2"/>
    <s v="2230"/>
    <s v="000"/>
    <x v="2"/>
    <x v="1"/>
  </r>
  <r>
    <d v="2012-12-09T00:00:00"/>
    <s v="018-2100-000"/>
    <s v="Food Sales"/>
    <n v="6991.4472000000014"/>
    <n v="0"/>
    <s v="Daily Sales Import"/>
    <n v="-6991.4472000000014"/>
    <n v="6991.4472000000014"/>
    <x v="2"/>
    <s v="2100"/>
    <s v="000"/>
    <x v="2"/>
    <x v="1"/>
  </r>
  <r>
    <d v="2012-12-09T00:00:00"/>
    <s v="018-2210-000"/>
    <s v="Liquor Sales"/>
    <n v="1057.1701"/>
    <n v="0"/>
    <s v="Daily Sales Import"/>
    <n v="-1057.1701"/>
    <n v="1057.1701"/>
    <x v="2"/>
    <s v="2210"/>
    <s v="000"/>
    <x v="2"/>
    <x v="1"/>
  </r>
  <r>
    <d v="2012-12-09T00:00:00"/>
    <s v="018-2220-000"/>
    <s v="Beer Sales"/>
    <n v="232.983"/>
    <n v="0"/>
    <s v="Daily Sales Import"/>
    <n v="-232.983"/>
    <n v="232.983"/>
    <x v="2"/>
    <s v="2220"/>
    <s v="000"/>
    <x v="2"/>
    <x v="1"/>
  </r>
  <r>
    <d v="2012-12-09T00:00:00"/>
    <s v="018-2230-000"/>
    <s v="Wine Sales"/>
    <n v="71.000699999999995"/>
    <n v="0"/>
    <s v="Daily Sales Import"/>
    <n v="-71.000699999999995"/>
    <n v="71.000699999999995"/>
    <x v="2"/>
    <s v="2230"/>
    <s v="000"/>
    <x v="2"/>
    <x v="1"/>
  </r>
  <r>
    <d v="2012-12-10T00:00:00"/>
    <s v="016-2100-000"/>
    <s v="Food Sales"/>
    <n v="2343.3784000000001"/>
    <n v="0"/>
    <s v="Daily Sales Import"/>
    <n v="-2343.3784000000001"/>
    <n v="2343.3784000000001"/>
    <x v="0"/>
    <s v="2100"/>
    <s v="000"/>
    <x v="2"/>
    <x v="1"/>
  </r>
  <r>
    <d v="2012-12-10T00:00:00"/>
    <s v="016-2210-000"/>
    <s v="Liquor Sales"/>
    <n v="503.13650000000007"/>
    <n v="0"/>
    <s v="Daily Sales Import"/>
    <n v="-503.13650000000007"/>
    <n v="503.13650000000007"/>
    <x v="0"/>
    <s v="2210"/>
    <s v="000"/>
    <x v="2"/>
    <x v="1"/>
  </r>
  <r>
    <d v="2012-12-10T00:00:00"/>
    <s v="016-2220-000"/>
    <s v="Beer Sales"/>
    <n v="88.212100000000007"/>
    <n v="0"/>
    <s v="Daily Sales Import"/>
    <n v="-88.212100000000007"/>
    <n v="88.212100000000007"/>
    <x v="0"/>
    <s v="2220"/>
    <s v="000"/>
    <x v="2"/>
    <x v="1"/>
  </r>
  <r>
    <d v="2012-12-10T00:00:00"/>
    <s v="016-2230-000"/>
    <s v="Wine Sales"/>
    <n v="42.522000000000006"/>
    <n v="0"/>
    <s v="Daily Sales Import"/>
    <n v="-42.522000000000006"/>
    <n v="42.522000000000006"/>
    <x v="0"/>
    <s v="2230"/>
    <s v="000"/>
    <x v="2"/>
    <x v="1"/>
  </r>
  <r>
    <d v="2012-12-11T00:00:00"/>
    <s v="016-2100-000"/>
    <s v="Food Sales"/>
    <n v="4474.4006999999992"/>
    <n v="0"/>
    <s v="Daily Sales Import"/>
    <n v="-4474.4006999999992"/>
    <n v="4474.4006999999992"/>
    <x v="0"/>
    <s v="2100"/>
    <s v="000"/>
    <x v="2"/>
    <x v="1"/>
  </r>
  <r>
    <d v="2012-12-11T00:00:00"/>
    <s v="016-2210-000"/>
    <s v="Liquor Sales"/>
    <n v="2459.7835"/>
    <n v="0"/>
    <s v="Daily Sales Import"/>
    <n v="-2459.7835"/>
    <n v="2459.7835"/>
    <x v="0"/>
    <s v="2210"/>
    <s v="000"/>
    <x v="2"/>
    <x v="1"/>
  </r>
  <r>
    <d v="2012-12-11T00:00:00"/>
    <s v="016-2220-000"/>
    <s v="Beer Sales"/>
    <n v="736.11699999999996"/>
    <n v="0"/>
    <s v="Daily Sales Import"/>
    <n v="-736.11699999999996"/>
    <n v="736.11699999999996"/>
    <x v="0"/>
    <s v="2220"/>
    <s v="000"/>
    <x v="2"/>
    <x v="1"/>
  </r>
  <r>
    <d v="2012-12-11T00:00:00"/>
    <s v="016-2230-000"/>
    <s v="Wine Sales"/>
    <n v="71.103200000000001"/>
    <n v="0"/>
    <s v="Daily Sales Import"/>
    <n v="-71.103200000000001"/>
    <n v="71.103200000000001"/>
    <x v="0"/>
    <s v="2230"/>
    <s v="000"/>
    <x v="2"/>
    <x v="1"/>
  </r>
  <r>
    <d v="2012-12-12T00:00:00"/>
    <s v="016-2100-000"/>
    <s v="Food Sales"/>
    <n v="2071.3968"/>
    <n v="0"/>
    <s v="Daily Sales Import"/>
    <n v="-2071.3968"/>
    <n v="2071.3968"/>
    <x v="0"/>
    <s v="2100"/>
    <s v="000"/>
    <x v="2"/>
    <x v="1"/>
  </r>
  <r>
    <d v="2012-12-12T00:00:00"/>
    <s v="016-2210-000"/>
    <s v="Liquor Sales"/>
    <n v="740.09100000000001"/>
    <n v="0"/>
    <s v="Daily Sales Import"/>
    <n v="-740.09100000000001"/>
    <n v="740.09100000000001"/>
    <x v="0"/>
    <s v="2210"/>
    <s v="000"/>
    <x v="2"/>
    <x v="1"/>
  </r>
  <r>
    <d v="2012-12-12T00:00:00"/>
    <s v="016-2220-000"/>
    <s v="Beer Sales"/>
    <n v="125.44839999999999"/>
    <n v="0"/>
    <s v="Daily Sales Import"/>
    <n v="-125.44839999999999"/>
    <n v="125.44839999999999"/>
    <x v="0"/>
    <s v="2220"/>
    <s v="000"/>
    <x v="2"/>
    <x v="1"/>
  </r>
  <r>
    <d v="2012-12-12T00:00:00"/>
    <s v="016-2230-000"/>
    <s v="Wine Sales"/>
    <n v="60.8063"/>
    <n v="0"/>
    <s v="Daily Sales Import"/>
    <n v="-60.8063"/>
    <n v="60.8063"/>
    <x v="0"/>
    <s v="2230"/>
    <s v="000"/>
    <x v="2"/>
    <x v="1"/>
  </r>
  <r>
    <d v="2012-12-13T00:00:00"/>
    <s v="016-2100-000"/>
    <s v="Food Sales"/>
    <n v="4409.2349000000004"/>
    <n v="0"/>
    <s v="Daily Sales Import"/>
    <n v="-4409.2349000000004"/>
    <n v="4409.2349000000004"/>
    <x v="0"/>
    <s v="2100"/>
    <s v="000"/>
    <x v="2"/>
    <x v="1"/>
  </r>
  <r>
    <d v="2012-12-13T00:00:00"/>
    <s v="016-2210-000"/>
    <s v="Liquor Sales"/>
    <n v="1348.1939"/>
    <n v="0"/>
    <s v="Daily Sales Import"/>
    <n v="-1348.1939"/>
    <n v="1348.1939"/>
    <x v="0"/>
    <s v="2210"/>
    <s v="000"/>
    <x v="2"/>
    <x v="1"/>
  </r>
  <r>
    <d v="2012-12-13T00:00:00"/>
    <s v="016-2220-000"/>
    <s v="Beer Sales"/>
    <n v="206.44399999999999"/>
    <n v="0"/>
    <s v="Daily Sales Import"/>
    <n v="-206.44399999999999"/>
    <n v="206.44399999999999"/>
    <x v="0"/>
    <s v="2220"/>
    <s v="000"/>
    <x v="2"/>
    <x v="1"/>
  </r>
  <r>
    <d v="2012-12-13T00:00:00"/>
    <s v="016-2230-000"/>
    <s v="Wine Sales"/>
    <n v="110.49639999999999"/>
    <n v="0"/>
    <s v="Daily Sales Import"/>
    <n v="-110.49639999999999"/>
    <n v="110.49639999999999"/>
    <x v="0"/>
    <s v="2230"/>
    <s v="000"/>
    <x v="2"/>
    <x v="1"/>
  </r>
  <r>
    <d v="2012-12-14T00:00:00"/>
    <s v="016-2100-000"/>
    <s v="Food Sales"/>
    <n v="6977.2433999999994"/>
    <n v="0"/>
    <s v="Daily Sales Import"/>
    <n v="-6977.2433999999994"/>
    <n v="6977.2433999999994"/>
    <x v="0"/>
    <s v="2100"/>
    <s v="000"/>
    <x v="2"/>
    <x v="1"/>
  </r>
  <r>
    <d v="2012-12-14T00:00:00"/>
    <s v="016-2210-000"/>
    <s v="Liquor Sales"/>
    <n v="1837.7284999999999"/>
    <n v="0"/>
    <s v="Daily Sales Import"/>
    <n v="-1837.7284999999999"/>
    <n v="1837.7284999999999"/>
    <x v="0"/>
    <s v="2210"/>
    <s v="000"/>
    <x v="2"/>
    <x v="1"/>
  </r>
  <r>
    <d v="2012-12-14T00:00:00"/>
    <s v="016-2220-000"/>
    <s v="Beer Sales"/>
    <n v="237.60550000000001"/>
    <n v="0"/>
    <s v="Daily Sales Import"/>
    <n v="-237.60550000000001"/>
    <n v="237.60550000000001"/>
    <x v="0"/>
    <s v="2220"/>
    <s v="000"/>
    <x v="2"/>
    <x v="1"/>
  </r>
  <r>
    <d v="2012-12-14T00:00:00"/>
    <s v="016-2230-000"/>
    <s v="Wine Sales"/>
    <n v="148.5042"/>
    <n v="0"/>
    <s v="Daily Sales Import"/>
    <n v="-148.5042"/>
    <n v="148.5042"/>
    <x v="0"/>
    <s v="2230"/>
    <s v="000"/>
    <x v="2"/>
    <x v="1"/>
  </r>
  <r>
    <d v="2012-12-15T00:00:00"/>
    <s v="016-2100-000"/>
    <s v="Food Sales"/>
    <n v="5540.61"/>
    <n v="0"/>
    <s v="Daily Sales Import"/>
    <n v="-5540.61"/>
    <n v="5540.61"/>
    <x v="0"/>
    <s v="2100"/>
    <s v="000"/>
    <x v="2"/>
    <x v="1"/>
  </r>
  <r>
    <d v="2012-12-15T00:00:00"/>
    <s v="016-2210-000"/>
    <s v="Liquor Sales"/>
    <n v="1947.5925"/>
    <n v="0"/>
    <s v="Daily Sales Import"/>
    <n v="-1947.5925"/>
    <n v="1947.5925"/>
    <x v="0"/>
    <s v="2210"/>
    <s v="000"/>
    <x v="2"/>
    <x v="1"/>
  </r>
  <r>
    <d v="2012-12-15T00:00:00"/>
    <s v="016-2220-000"/>
    <s v="Beer Sales"/>
    <n v="371.60020000000003"/>
    <n v="0"/>
    <s v="Daily Sales Import"/>
    <n v="-371.60020000000003"/>
    <n v="371.60020000000003"/>
    <x v="0"/>
    <s v="2220"/>
    <s v="000"/>
    <x v="2"/>
    <x v="1"/>
  </r>
  <r>
    <d v="2012-12-15T00:00:00"/>
    <s v="016-2230-000"/>
    <s v="Wine Sales"/>
    <n v="174.06"/>
    <n v="0"/>
    <s v="Daily Sales Import"/>
    <n v="-174.06"/>
    <n v="174.06"/>
    <x v="0"/>
    <s v="2230"/>
    <s v="000"/>
    <x v="2"/>
    <x v="1"/>
  </r>
  <r>
    <d v="2012-12-16T00:00:00"/>
    <s v="016-2100-000"/>
    <s v="Food Sales"/>
    <n v="3892.6811999999995"/>
    <n v="0"/>
    <s v="Daily Sales Import"/>
    <n v="-3892.6811999999995"/>
    <n v="3892.6811999999995"/>
    <x v="0"/>
    <s v="2100"/>
    <s v="000"/>
    <x v="2"/>
    <x v="1"/>
  </r>
  <r>
    <d v="2012-12-16T00:00:00"/>
    <s v="016-2210-000"/>
    <s v="Liquor Sales"/>
    <n v="1061.5696"/>
    <n v="0"/>
    <s v="Daily Sales Import"/>
    <n v="-1061.5696"/>
    <n v="1061.5696"/>
    <x v="0"/>
    <s v="2210"/>
    <s v="000"/>
    <x v="2"/>
    <x v="1"/>
  </r>
  <r>
    <d v="2012-12-16T00:00:00"/>
    <s v="016-2220-000"/>
    <s v="Beer Sales"/>
    <n v="155.393"/>
    <n v="0"/>
    <s v="Daily Sales Import"/>
    <n v="-155.393"/>
    <n v="155.393"/>
    <x v="0"/>
    <s v="2220"/>
    <s v="000"/>
    <x v="2"/>
    <x v="1"/>
  </r>
  <r>
    <d v="2012-12-16T00:00:00"/>
    <s v="016-2230-000"/>
    <s v="Wine Sales"/>
    <n v="45.533600000000007"/>
    <n v="0"/>
    <s v="Daily Sales Import"/>
    <n v="-45.533600000000007"/>
    <n v="45.533600000000007"/>
    <x v="0"/>
    <s v="2230"/>
    <s v="000"/>
    <x v="2"/>
    <x v="1"/>
  </r>
  <r>
    <d v="2012-12-10T00:00:00"/>
    <s v="017-2100-000"/>
    <s v="Food Sales"/>
    <n v="5955.2736000000004"/>
    <n v="0"/>
    <s v="Daily Sales Import"/>
    <n v="-5955.2736000000004"/>
    <n v="5955.2736000000004"/>
    <x v="1"/>
    <s v="2100"/>
    <s v="000"/>
    <x v="2"/>
    <x v="1"/>
  </r>
  <r>
    <d v="2012-12-10T00:00:00"/>
    <s v="017-2210-000"/>
    <s v="Liquor Sales"/>
    <n v="1168.9369999999999"/>
    <n v="0"/>
    <s v="Daily Sales Import"/>
    <n v="-1168.9369999999999"/>
    <n v="1168.9369999999999"/>
    <x v="1"/>
    <s v="2210"/>
    <s v="000"/>
    <x v="2"/>
    <x v="1"/>
  </r>
  <r>
    <d v="2012-12-10T00:00:00"/>
    <s v="017-2220-000"/>
    <s v="Beer Sales"/>
    <n v="360.91379999999998"/>
    <n v="0"/>
    <s v="Daily Sales Import"/>
    <n v="-360.91379999999998"/>
    <n v="360.91379999999998"/>
    <x v="1"/>
    <s v="2220"/>
    <s v="000"/>
    <x v="2"/>
    <x v="1"/>
  </r>
  <r>
    <d v="2012-12-10T00:00:00"/>
    <s v="017-2230-000"/>
    <s v="Wine Sales"/>
    <n v="141.20699999999999"/>
    <n v="0"/>
    <s v="Daily Sales Import"/>
    <n v="-141.20699999999999"/>
    <n v="141.20699999999999"/>
    <x v="1"/>
    <s v="2230"/>
    <s v="000"/>
    <x v="2"/>
    <x v="1"/>
  </r>
  <r>
    <d v="2012-12-11T00:00:00"/>
    <s v="017-2100-000"/>
    <s v="Food Sales"/>
    <n v="6265.8059999999996"/>
    <n v="0"/>
    <s v="Daily Sales Import"/>
    <n v="-6265.8059999999996"/>
    <n v="6265.8059999999996"/>
    <x v="1"/>
    <s v="2100"/>
    <s v="000"/>
    <x v="2"/>
    <x v="1"/>
  </r>
  <r>
    <d v="2012-12-11T00:00:00"/>
    <s v="017-2210-000"/>
    <s v="Liquor Sales"/>
    <n v="977.23450000000003"/>
    <n v="0"/>
    <s v="Daily Sales Import"/>
    <n v="-977.23450000000003"/>
    <n v="977.23450000000003"/>
    <x v="1"/>
    <s v="2210"/>
    <s v="000"/>
    <x v="2"/>
    <x v="1"/>
  </r>
  <r>
    <d v="2012-12-11T00:00:00"/>
    <s v="017-2220-000"/>
    <s v="Beer Sales"/>
    <n v="428.00160000000005"/>
    <n v="0"/>
    <s v="Daily Sales Import"/>
    <n v="-428.00160000000005"/>
    <n v="428.00160000000005"/>
    <x v="1"/>
    <s v="2220"/>
    <s v="000"/>
    <x v="2"/>
    <x v="1"/>
  </r>
  <r>
    <d v="2012-12-11T00:00:00"/>
    <s v="017-2230-000"/>
    <s v="Wine Sales"/>
    <n v="127.8192"/>
    <n v="0"/>
    <s v="Daily Sales Import"/>
    <n v="-127.8192"/>
    <n v="127.8192"/>
    <x v="1"/>
    <s v="2230"/>
    <s v="000"/>
    <x v="2"/>
    <x v="1"/>
  </r>
  <r>
    <d v="2012-12-12T00:00:00"/>
    <s v="017-2100-000"/>
    <s v="Food Sales"/>
    <n v="6751.7372999999998"/>
    <n v="0"/>
    <s v="Daily Sales Import"/>
    <n v="-6751.7372999999998"/>
    <n v="6751.7372999999998"/>
    <x v="1"/>
    <s v="2100"/>
    <s v="000"/>
    <x v="2"/>
    <x v="1"/>
  </r>
  <r>
    <d v="2012-12-12T00:00:00"/>
    <s v="017-2210-000"/>
    <s v="Liquor Sales"/>
    <n v="3223.5970000000002"/>
    <n v="0"/>
    <s v="Daily Sales Import"/>
    <n v="-3223.5970000000002"/>
    <n v="3223.5970000000002"/>
    <x v="1"/>
    <s v="2210"/>
    <s v="000"/>
    <x v="2"/>
    <x v="1"/>
  </r>
  <r>
    <d v="2012-12-12T00:00:00"/>
    <s v="017-2220-000"/>
    <s v="Beer Sales"/>
    <n v="769.94080000000008"/>
    <n v="0"/>
    <s v="Daily Sales Import"/>
    <n v="-769.94080000000008"/>
    <n v="769.94080000000008"/>
    <x v="1"/>
    <s v="2220"/>
    <s v="000"/>
    <x v="2"/>
    <x v="1"/>
  </r>
  <r>
    <d v="2012-12-12T00:00:00"/>
    <s v="017-2230-000"/>
    <s v="Wine Sales"/>
    <n v="102.5706"/>
    <n v="0"/>
    <s v="Daily Sales Import"/>
    <n v="-102.5706"/>
    <n v="102.5706"/>
    <x v="1"/>
    <s v="2230"/>
    <s v="000"/>
    <x v="2"/>
    <x v="1"/>
  </r>
  <r>
    <d v="2012-12-13T00:00:00"/>
    <s v="017-2100-000"/>
    <s v="Food Sales"/>
    <n v="6001.3751999999995"/>
    <n v="0"/>
    <s v="Daily Sales Import"/>
    <n v="-6001.3751999999995"/>
    <n v="6001.3751999999995"/>
    <x v="1"/>
    <s v="2100"/>
    <s v="000"/>
    <x v="2"/>
    <x v="1"/>
  </r>
  <r>
    <d v="2012-12-13T00:00:00"/>
    <s v="017-2210-000"/>
    <s v="Liquor Sales"/>
    <n v="1568.106"/>
    <n v="0"/>
    <s v="Daily Sales Import"/>
    <n v="-1568.106"/>
    <n v="1568.106"/>
    <x v="1"/>
    <s v="2210"/>
    <s v="000"/>
    <x v="2"/>
    <x v="1"/>
  </r>
  <r>
    <d v="2012-12-13T00:00:00"/>
    <s v="017-2220-000"/>
    <s v="Beer Sales"/>
    <n v="611.70939999999996"/>
    <n v="0"/>
    <s v="Daily Sales Import"/>
    <n v="-611.70939999999996"/>
    <n v="611.70939999999996"/>
    <x v="1"/>
    <s v="2220"/>
    <s v="000"/>
    <x v="2"/>
    <x v="1"/>
  </r>
  <r>
    <d v="2012-12-13T00:00:00"/>
    <s v="017-2230-000"/>
    <s v="Wine Sales"/>
    <n v="63.537899999999993"/>
    <n v="0"/>
    <s v="Daily Sales Import"/>
    <n v="-63.537899999999993"/>
    <n v="63.537899999999993"/>
    <x v="1"/>
    <s v="2230"/>
    <s v="000"/>
    <x v="2"/>
    <x v="1"/>
  </r>
  <r>
    <d v="2012-12-14T00:00:00"/>
    <s v="017-2100-000"/>
    <s v="Food Sales"/>
    <n v="7584.6456000000007"/>
    <n v="0"/>
    <s v="Daily Sales Import"/>
    <n v="-7584.6456000000007"/>
    <n v="7584.6456000000007"/>
    <x v="1"/>
    <s v="2100"/>
    <s v="000"/>
    <x v="2"/>
    <x v="1"/>
  </r>
  <r>
    <d v="2012-12-14T00:00:00"/>
    <s v="017-2210-000"/>
    <s v="Liquor Sales"/>
    <n v="3774.1120000000005"/>
    <n v="0"/>
    <s v="Daily Sales Import"/>
    <n v="-3774.1120000000005"/>
    <n v="3774.1120000000005"/>
    <x v="1"/>
    <s v="2210"/>
    <s v="000"/>
    <x v="2"/>
    <x v="1"/>
  </r>
  <r>
    <d v="2012-12-14T00:00:00"/>
    <s v="017-2220-000"/>
    <s v="Beer Sales"/>
    <n v="641.17199999999991"/>
    <n v="0"/>
    <s v="Daily Sales Import"/>
    <n v="-641.17199999999991"/>
    <n v="641.17199999999991"/>
    <x v="1"/>
    <s v="2220"/>
    <s v="000"/>
    <x v="2"/>
    <x v="1"/>
  </r>
  <r>
    <d v="2012-12-14T00:00:00"/>
    <s v="017-2230-000"/>
    <s v="Wine Sales"/>
    <n v="369.24600000000004"/>
    <n v="0"/>
    <s v="Daily Sales Import"/>
    <n v="-369.24600000000004"/>
    <n v="369.24600000000004"/>
    <x v="1"/>
    <s v="2230"/>
    <s v="000"/>
    <x v="2"/>
    <x v="1"/>
  </r>
  <r>
    <d v="2012-12-15T00:00:00"/>
    <s v="017-2100-000"/>
    <s v="Food Sales"/>
    <n v="7140.9600000000009"/>
    <n v="0"/>
    <s v="Daily Sales Import"/>
    <n v="-7140.9600000000009"/>
    <n v="7140.9600000000009"/>
    <x v="1"/>
    <s v="2100"/>
    <s v="000"/>
    <x v="2"/>
    <x v="1"/>
  </r>
  <r>
    <d v="2012-12-15T00:00:00"/>
    <s v="017-2210-000"/>
    <s v="Liquor Sales"/>
    <n v="1089.066"/>
    <n v="0"/>
    <s v="Daily Sales Import"/>
    <n v="-1089.066"/>
    <n v="1089.066"/>
    <x v="1"/>
    <s v="2210"/>
    <s v="000"/>
    <x v="2"/>
    <x v="1"/>
  </r>
  <r>
    <d v="2012-12-15T00:00:00"/>
    <s v="017-2220-000"/>
    <s v="Beer Sales"/>
    <n v="332.95449999999994"/>
    <n v="0"/>
    <s v="Daily Sales Import"/>
    <n v="-332.95449999999994"/>
    <n v="332.95449999999994"/>
    <x v="1"/>
    <s v="2220"/>
    <s v="000"/>
    <x v="2"/>
    <x v="1"/>
  </r>
  <r>
    <d v="2012-12-15T00:00:00"/>
    <s v="017-2230-000"/>
    <s v="Wine Sales"/>
    <n v="48.579300000000003"/>
    <n v="0"/>
    <s v="Daily Sales Import"/>
    <n v="-48.579300000000003"/>
    <n v="48.579300000000003"/>
    <x v="1"/>
    <s v="2230"/>
    <s v="000"/>
    <x v="2"/>
    <x v="1"/>
  </r>
  <r>
    <d v="2012-12-16T00:00:00"/>
    <s v="017-2100-000"/>
    <s v="Food Sales"/>
    <n v="3309.6030000000001"/>
    <n v="0"/>
    <s v="Daily Sales Import"/>
    <n v="-3309.6030000000001"/>
    <n v="3309.6030000000001"/>
    <x v="1"/>
    <s v="2100"/>
    <s v="000"/>
    <x v="2"/>
    <x v="1"/>
  </r>
  <r>
    <d v="2012-12-16T00:00:00"/>
    <s v="017-2210-000"/>
    <s v="Liquor Sales"/>
    <n v="673.21999999999991"/>
    <n v="0"/>
    <s v="Daily Sales Import"/>
    <n v="-673.21999999999991"/>
    <n v="673.21999999999991"/>
    <x v="1"/>
    <s v="2210"/>
    <s v="000"/>
    <x v="2"/>
    <x v="1"/>
  </r>
  <r>
    <d v="2012-12-16T00:00:00"/>
    <s v="017-2220-000"/>
    <s v="Beer Sales"/>
    <n v="107.7384"/>
    <n v="0"/>
    <s v="Daily Sales Import"/>
    <n v="-107.7384"/>
    <n v="107.7384"/>
    <x v="1"/>
    <s v="2220"/>
    <s v="000"/>
    <x v="2"/>
    <x v="1"/>
  </r>
  <r>
    <d v="2012-12-16T00:00:00"/>
    <s v="017-2230-000"/>
    <s v="Wine Sales"/>
    <n v="35.055"/>
    <n v="0"/>
    <s v="Daily Sales Import"/>
    <n v="-35.055"/>
    <n v="35.055"/>
    <x v="1"/>
    <s v="2230"/>
    <s v="000"/>
    <x v="2"/>
    <x v="1"/>
  </r>
  <r>
    <d v="2012-12-10T00:00:00"/>
    <s v="018-2100-000"/>
    <s v="Food Sales"/>
    <n v="3233.8422"/>
    <n v="0"/>
    <s v="Daily Sales Import"/>
    <n v="-3233.8422"/>
    <n v="3233.8422"/>
    <x v="2"/>
    <s v="2100"/>
    <s v="000"/>
    <x v="2"/>
    <x v="1"/>
  </r>
  <r>
    <d v="2012-12-10T00:00:00"/>
    <s v="018-2210-000"/>
    <s v="Liquor Sales"/>
    <n v="655.93060000000003"/>
    <n v="0"/>
    <s v="Daily Sales Import"/>
    <n v="-655.93060000000003"/>
    <n v="655.93060000000003"/>
    <x v="2"/>
    <s v="2210"/>
    <s v="000"/>
    <x v="2"/>
    <x v="1"/>
  </r>
  <r>
    <d v="2012-12-10T00:00:00"/>
    <s v="018-2220-000"/>
    <s v="Beer Sales"/>
    <n v="175.04679999999999"/>
    <n v="0"/>
    <s v="Daily Sales Import"/>
    <n v="-175.04679999999999"/>
    <n v="175.04679999999999"/>
    <x v="2"/>
    <s v="2220"/>
    <s v="000"/>
    <x v="2"/>
    <x v="1"/>
  </r>
  <r>
    <d v="2012-12-10T00:00:00"/>
    <s v="018-2230-000"/>
    <s v="Wine Sales"/>
    <n v="20.6248"/>
    <n v="0"/>
    <s v="Daily Sales Import"/>
    <n v="-20.6248"/>
    <n v="20.6248"/>
    <x v="2"/>
    <s v="2230"/>
    <s v="000"/>
    <x v="2"/>
    <x v="1"/>
  </r>
  <r>
    <d v="2012-12-11T00:00:00"/>
    <s v="018-2100-000"/>
    <s v="Food Sales"/>
    <n v="3102.1824000000001"/>
    <n v="0"/>
    <s v="Daily Sales Import"/>
    <n v="-3102.1824000000001"/>
    <n v="3102.1824000000001"/>
    <x v="2"/>
    <s v="2100"/>
    <s v="000"/>
    <x v="2"/>
    <x v="1"/>
  </r>
  <r>
    <d v="2012-12-11T00:00:00"/>
    <s v="018-2210-000"/>
    <s v="Liquor Sales"/>
    <n v="534.26240000000007"/>
    <n v="0"/>
    <s v="Daily Sales Import"/>
    <n v="-534.26240000000007"/>
    <n v="534.26240000000007"/>
    <x v="2"/>
    <s v="2210"/>
    <s v="000"/>
    <x v="2"/>
    <x v="1"/>
  </r>
  <r>
    <d v="2012-12-11T00:00:00"/>
    <s v="018-2220-000"/>
    <s v="Beer Sales"/>
    <n v="197.77379999999999"/>
    <n v="0"/>
    <s v="Daily Sales Import"/>
    <n v="-197.77379999999999"/>
    <n v="197.77379999999999"/>
    <x v="2"/>
    <s v="2220"/>
    <s v="000"/>
    <x v="2"/>
    <x v="1"/>
  </r>
  <r>
    <d v="2012-12-11T00:00:00"/>
    <s v="018-2230-000"/>
    <s v="Wine Sales"/>
    <n v="97.326800000000006"/>
    <n v="0"/>
    <s v="Daily Sales Import"/>
    <n v="-97.326800000000006"/>
    <n v="97.326800000000006"/>
    <x v="2"/>
    <s v="2230"/>
    <s v="000"/>
    <x v="2"/>
    <x v="1"/>
  </r>
  <r>
    <d v="2012-12-12T00:00:00"/>
    <s v="018-2100-000"/>
    <s v="Food Sales"/>
    <n v="4459.9103999999998"/>
    <n v="0"/>
    <s v="Daily Sales Import"/>
    <n v="-4459.9103999999998"/>
    <n v="4459.9103999999998"/>
    <x v="2"/>
    <s v="2100"/>
    <s v="000"/>
    <x v="2"/>
    <x v="1"/>
  </r>
  <r>
    <d v="2012-12-12T00:00:00"/>
    <s v="018-2210-000"/>
    <s v="Liquor Sales"/>
    <n v="797.08199999999999"/>
    <n v="0"/>
    <s v="Daily Sales Import"/>
    <n v="-797.08199999999999"/>
    <n v="797.08199999999999"/>
    <x v="2"/>
    <s v="2210"/>
    <s v="000"/>
    <x v="2"/>
    <x v="1"/>
  </r>
  <r>
    <d v="2012-12-12T00:00:00"/>
    <s v="018-2220-000"/>
    <s v="Beer Sales"/>
    <n v="211.09950000000001"/>
    <n v="0"/>
    <s v="Daily Sales Import"/>
    <n v="-211.09950000000001"/>
    <n v="211.09950000000001"/>
    <x v="2"/>
    <s v="2220"/>
    <s v="000"/>
    <x v="2"/>
    <x v="1"/>
  </r>
  <r>
    <d v="2012-12-12T00:00:00"/>
    <s v="018-2230-000"/>
    <s v="Wine Sales"/>
    <n v="86.388500000000008"/>
    <n v="0"/>
    <s v="Daily Sales Import"/>
    <n v="-86.388500000000008"/>
    <n v="86.388500000000008"/>
    <x v="2"/>
    <s v="2230"/>
    <s v="000"/>
    <x v="2"/>
    <x v="1"/>
  </r>
  <r>
    <d v="2012-12-13T00:00:00"/>
    <s v="018-2100-000"/>
    <s v="Food Sales"/>
    <n v="4875.4260000000004"/>
    <n v="0"/>
    <s v="Daily Sales Import"/>
    <n v="-4875.4260000000004"/>
    <n v="4875.4260000000004"/>
    <x v="2"/>
    <s v="2100"/>
    <s v="000"/>
    <x v="2"/>
    <x v="1"/>
  </r>
  <r>
    <d v="2012-12-13T00:00:00"/>
    <s v="018-2210-000"/>
    <s v="Liquor Sales"/>
    <n v="504.83950000000004"/>
    <n v="0"/>
    <s v="Daily Sales Import"/>
    <n v="-504.83950000000004"/>
    <n v="504.83950000000004"/>
    <x v="2"/>
    <s v="2210"/>
    <s v="000"/>
    <x v="2"/>
    <x v="1"/>
  </r>
  <r>
    <d v="2012-12-13T00:00:00"/>
    <s v="018-2220-000"/>
    <s v="Beer Sales"/>
    <n v="242.06039999999999"/>
    <n v="0"/>
    <s v="Daily Sales Import"/>
    <n v="-242.06039999999999"/>
    <n v="242.06039999999999"/>
    <x v="2"/>
    <s v="2220"/>
    <s v="000"/>
    <x v="2"/>
    <x v="1"/>
  </r>
  <r>
    <d v="2012-12-13T00:00:00"/>
    <s v="018-2230-000"/>
    <s v="Wine Sales"/>
    <n v="77.108199999999997"/>
    <n v="0"/>
    <s v="Daily Sales Import"/>
    <n v="-77.108199999999997"/>
    <n v="77.108199999999997"/>
    <x v="2"/>
    <s v="2230"/>
    <s v="000"/>
    <x v="2"/>
    <x v="1"/>
  </r>
  <r>
    <d v="2012-12-14T00:00:00"/>
    <s v="018-2100-000"/>
    <s v="Food Sales"/>
    <n v="8048.9864000000007"/>
    <n v="0"/>
    <s v="Daily Sales Import"/>
    <n v="-8048.9864000000007"/>
    <n v="8048.9864000000007"/>
    <x v="2"/>
    <s v="2100"/>
    <s v="000"/>
    <x v="2"/>
    <x v="1"/>
  </r>
  <r>
    <d v="2012-12-14T00:00:00"/>
    <s v="018-2210-000"/>
    <s v="Liquor Sales"/>
    <n v="3286.3525999999997"/>
    <n v="0"/>
    <s v="Daily Sales Import"/>
    <n v="-3286.3525999999997"/>
    <n v="3286.3525999999997"/>
    <x v="2"/>
    <s v="2210"/>
    <s v="000"/>
    <x v="2"/>
    <x v="1"/>
  </r>
  <r>
    <d v="2012-12-14T00:00:00"/>
    <s v="018-2220-000"/>
    <s v="Beer Sales"/>
    <n v="969.15910000000008"/>
    <n v="0"/>
    <s v="Daily Sales Import"/>
    <n v="-969.15910000000008"/>
    <n v="969.15910000000008"/>
    <x v="2"/>
    <s v="2220"/>
    <s v="000"/>
    <x v="2"/>
    <x v="1"/>
  </r>
  <r>
    <d v="2012-12-14T00:00:00"/>
    <s v="018-2230-000"/>
    <s v="Wine Sales"/>
    <n v="185.1003"/>
    <n v="0"/>
    <s v="Daily Sales Import"/>
    <n v="-185.1003"/>
    <n v="185.1003"/>
    <x v="2"/>
    <s v="2230"/>
    <s v="000"/>
    <x v="2"/>
    <x v="1"/>
  </r>
  <r>
    <d v="2012-12-15T00:00:00"/>
    <s v="018-2100-000"/>
    <s v="Food Sales"/>
    <n v="12192.327000000001"/>
    <n v="0"/>
    <s v="Daily Sales Import"/>
    <n v="-12192.327000000001"/>
    <n v="12192.327000000001"/>
    <x v="2"/>
    <s v="2100"/>
    <s v="000"/>
    <x v="2"/>
    <x v="1"/>
  </r>
  <r>
    <d v="2012-12-15T00:00:00"/>
    <s v="018-2210-000"/>
    <s v="Liquor Sales"/>
    <n v="2560.6030999999998"/>
    <n v="0"/>
    <s v="Daily Sales Import"/>
    <n v="-2560.6030999999998"/>
    <n v="2560.6030999999998"/>
    <x v="2"/>
    <s v="2210"/>
    <s v="000"/>
    <x v="2"/>
    <x v="1"/>
  </r>
  <r>
    <d v="2012-12-15T00:00:00"/>
    <s v="018-2220-000"/>
    <s v="Beer Sales"/>
    <n v="944.34320000000002"/>
    <n v="0"/>
    <s v="Daily Sales Import"/>
    <n v="-944.34320000000002"/>
    <n v="944.34320000000002"/>
    <x v="2"/>
    <s v="2220"/>
    <s v="000"/>
    <x v="2"/>
    <x v="1"/>
  </r>
  <r>
    <d v="2012-12-15T00:00:00"/>
    <s v="018-2230-000"/>
    <s v="Wine Sales"/>
    <n v="164.29600000000002"/>
    <n v="0"/>
    <s v="Daily Sales Import"/>
    <n v="-164.29600000000002"/>
    <n v="164.29600000000002"/>
    <x v="2"/>
    <s v="2230"/>
    <s v="000"/>
    <x v="2"/>
    <x v="1"/>
  </r>
  <r>
    <d v="2012-12-16T00:00:00"/>
    <s v="018-2100-000"/>
    <s v="Food Sales"/>
    <n v="9731.82"/>
    <n v="0"/>
    <s v="Daily Sales Import"/>
    <n v="-9731.82"/>
    <n v="9731.82"/>
    <x v="2"/>
    <s v="2100"/>
    <s v="000"/>
    <x v="2"/>
    <x v="1"/>
  </r>
  <r>
    <d v="2012-12-16T00:00:00"/>
    <s v="018-2210-000"/>
    <s v="Liquor Sales"/>
    <n v="1078.1232"/>
    <n v="0"/>
    <s v="Daily Sales Import"/>
    <n v="-1078.1232"/>
    <n v="1078.1232"/>
    <x v="2"/>
    <s v="2210"/>
    <s v="000"/>
    <x v="2"/>
    <x v="1"/>
  </r>
  <r>
    <d v="2012-12-16T00:00:00"/>
    <s v="018-2220-000"/>
    <s v="Beer Sales"/>
    <n v="298.15769999999998"/>
    <n v="0"/>
    <s v="Daily Sales Import"/>
    <n v="-298.15769999999998"/>
    <n v="298.15769999999998"/>
    <x v="2"/>
    <s v="2220"/>
    <s v="000"/>
    <x v="2"/>
    <x v="1"/>
  </r>
  <r>
    <d v="2012-12-16T00:00:00"/>
    <s v="018-2230-000"/>
    <s v="Wine Sales"/>
    <n v="55.760000000000005"/>
    <n v="0"/>
    <s v="Daily Sales Import"/>
    <n v="-55.760000000000005"/>
    <n v="55.760000000000005"/>
    <x v="2"/>
    <s v="2230"/>
    <s v="000"/>
    <x v="2"/>
    <x v="1"/>
  </r>
  <r>
    <d v="2012-12-17T00:00:00"/>
    <s v="016-2100-000"/>
    <s v="Food Sales"/>
    <n v="3300.2553999999996"/>
    <n v="0"/>
    <s v="Daily Sales Import"/>
    <n v="-3300.2553999999996"/>
    <n v="3300.2553999999996"/>
    <x v="0"/>
    <s v="2100"/>
    <s v="000"/>
    <x v="2"/>
    <x v="1"/>
  </r>
  <r>
    <d v="2012-12-17T00:00:00"/>
    <s v="016-2210-000"/>
    <s v="Liquor Sales"/>
    <n v="443.52659999999997"/>
    <n v="0"/>
    <s v="Daily Sales Import"/>
    <n v="-443.52659999999997"/>
    <n v="443.52659999999997"/>
    <x v="0"/>
    <s v="2210"/>
    <s v="000"/>
    <x v="2"/>
    <x v="1"/>
  </r>
  <r>
    <d v="2012-12-17T00:00:00"/>
    <s v="016-2220-000"/>
    <s v="Beer Sales"/>
    <n v="88.6584"/>
    <n v="0"/>
    <s v="Daily Sales Import"/>
    <n v="-88.6584"/>
    <n v="88.6584"/>
    <x v="0"/>
    <s v="2220"/>
    <s v="000"/>
    <x v="2"/>
    <x v="1"/>
  </r>
  <r>
    <d v="2012-12-17T00:00:00"/>
    <s v="016-2230-000"/>
    <s v="Wine Sales"/>
    <n v="78.641999999999996"/>
    <n v="0"/>
    <s v="Daily Sales Import"/>
    <n v="-78.641999999999996"/>
    <n v="78.641999999999996"/>
    <x v="0"/>
    <s v="2230"/>
    <s v="000"/>
    <x v="2"/>
    <x v="1"/>
  </r>
  <r>
    <d v="2012-12-18T00:00:00"/>
    <s v="016-2100-000"/>
    <s v="Food Sales"/>
    <n v="6215.6142000000009"/>
    <n v="0"/>
    <s v="Daily Sales Import"/>
    <n v="-6215.6142000000009"/>
    <n v="6215.6142000000009"/>
    <x v="0"/>
    <s v="2100"/>
    <s v="000"/>
    <x v="2"/>
    <x v="1"/>
  </r>
  <r>
    <d v="2012-12-18T00:00:00"/>
    <s v="016-2210-000"/>
    <s v="Liquor Sales"/>
    <n v="2651.0564999999997"/>
    <n v="0"/>
    <s v="Daily Sales Import"/>
    <n v="-2651.0564999999997"/>
    <n v="2651.0564999999997"/>
    <x v="0"/>
    <s v="2210"/>
    <s v="000"/>
    <x v="2"/>
    <x v="1"/>
  </r>
  <r>
    <d v="2012-12-18T00:00:00"/>
    <s v="016-2220-000"/>
    <s v="Beer Sales"/>
    <n v="574.90960000000007"/>
    <n v="0"/>
    <s v="Daily Sales Import"/>
    <n v="-574.90960000000007"/>
    <n v="574.90960000000007"/>
    <x v="0"/>
    <s v="2220"/>
    <s v="000"/>
    <x v="2"/>
    <x v="1"/>
  </r>
  <r>
    <d v="2012-12-18T00:00:00"/>
    <s v="016-2230-000"/>
    <s v="Wine Sales"/>
    <n v="149.52520000000001"/>
    <n v="0"/>
    <s v="Daily Sales Import"/>
    <n v="-149.52520000000001"/>
    <n v="149.52520000000001"/>
    <x v="0"/>
    <s v="2230"/>
    <s v="000"/>
    <x v="2"/>
    <x v="1"/>
  </r>
  <r>
    <d v="2012-12-19T00:00:00"/>
    <s v="016-2100-000"/>
    <s v="Food Sales"/>
    <n v="4504.6782000000003"/>
    <n v="0"/>
    <s v="Daily Sales Import"/>
    <n v="-4504.6782000000003"/>
    <n v="4504.6782000000003"/>
    <x v="0"/>
    <s v="2100"/>
    <s v="000"/>
    <x v="2"/>
    <x v="1"/>
  </r>
  <r>
    <d v="2012-12-19T00:00:00"/>
    <s v="016-2210-000"/>
    <s v="Liquor Sales"/>
    <n v="1164.3571999999999"/>
    <n v="0"/>
    <s v="Daily Sales Import"/>
    <n v="-1164.3571999999999"/>
    <n v="1164.3571999999999"/>
    <x v="0"/>
    <s v="2210"/>
    <s v="000"/>
    <x v="2"/>
    <x v="1"/>
  </r>
  <r>
    <d v="2012-12-19T00:00:00"/>
    <s v="016-2220-000"/>
    <s v="Beer Sales"/>
    <n v="244.30700000000002"/>
    <n v="0"/>
    <s v="Daily Sales Import"/>
    <n v="-244.30700000000002"/>
    <n v="244.30700000000002"/>
    <x v="0"/>
    <s v="2220"/>
    <s v="000"/>
    <x v="2"/>
    <x v="1"/>
  </r>
  <r>
    <d v="2012-12-19T00:00:00"/>
    <s v="016-2230-000"/>
    <s v="Wine Sales"/>
    <n v="52.177799999999998"/>
    <n v="0"/>
    <s v="Daily Sales Import"/>
    <n v="-52.177799999999998"/>
    <n v="52.177799999999998"/>
    <x v="0"/>
    <s v="2230"/>
    <s v="000"/>
    <x v="2"/>
    <x v="1"/>
  </r>
  <r>
    <d v="2012-12-20T00:00:00"/>
    <s v="016-2100-000"/>
    <s v="Food Sales"/>
    <n v="6255.9900000000007"/>
    <n v="0"/>
    <s v="Daily Sales Import"/>
    <n v="-6255.9900000000007"/>
    <n v="6255.9900000000007"/>
    <x v="0"/>
    <s v="2100"/>
    <s v="000"/>
    <x v="2"/>
    <x v="1"/>
  </r>
  <r>
    <d v="2012-12-20T00:00:00"/>
    <s v="016-2210-000"/>
    <s v="Liquor Sales"/>
    <n v="1667.0694999999998"/>
    <n v="0"/>
    <s v="Daily Sales Import"/>
    <n v="-1667.0694999999998"/>
    <n v="1667.0694999999998"/>
    <x v="0"/>
    <s v="2210"/>
    <s v="000"/>
    <x v="2"/>
    <x v="1"/>
  </r>
  <r>
    <d v="2012-12-20T00:00:00"/>
    <s v="016-2220-000"/>
    <s v="Beer Sales"/>
    <n v="301.13159999999999"/>
    <n v="0"/>
    <s v="Daily Sales Import"/>
    <n v="-301.13159999999999"/>
    <n v="301.13159999999999"/>
    <x v="0"/>
    <s v="2220"/>
    <s v="000"/>
    <x v="2"/>
    <x v="1"/>
  </r>
  <r>
    <d v="2012-12-20T00:00:00"/>
    <s v="016-2230-000"/>
    <s v="Wine Sales"/>
    <n v="144.60570000000001"/>
    <n v="0"/>
    <s v="Daily Sales Import"/>
    <n v="-144.60570000000001"/>
    <n v="144.60570000000001"/>
    <x v="0"/>
    <s v="2230"/>
    <s v="000"/>
    <x v="2"/>
    <x v="1"/>
  </r>
  <r>
    <d v="2012-12-21T00:00:00"/>
    <s v="016-2100-000"/>
    <s v="Food Sales"/>
    <n v="5438.6283999999996"/>
    <n v="0"/>
    <s v="Daily Sales Import"/>
    <n v="-5438.6283999999996"/>
    <n v="5438.6283999999996"/>
    <x v="0"/>
    <s v="2100"/>
    <s v="000"/>
    <x v="2"/>
    <x v="1"/>
  </r>
  <r>
    <d v="2012-12-21T00:00:00"/>
    <s v="016-2210-000"/>
    <s v="Liquor Sales"/>
    <n v="1724.0960000000002"/>
    <n v="0"/>
    <s v="Daily Sales Import"/>
    <n v="-1724.0960000000002"/>
    <n v="1724.0960000000002"/>
    <x v="0"/>
    <s v="2210"/>
    <s v="000"/>
    <x v="2"/>
    <x v="1"/>
  </r>
  <r>
    <d v="2012-12-21T00:00:00"/>
    <s v="016-2220-000"/>
    <s v="Beer Sales"/>
    <n v="294.23599999999999"/>
    <n v="0"/>
    <s v="Daily Sales Import"/>
    <n v="-294.23599999999999"/>
    <n v="294.23599999999999"/>
    <x v="0"/>
    <s v="2220"/>
    <s v="000"/>
    <x v="2"/>
    <x v="1"/>
  </r>
  <r>
    <d v="2012-12-21T00:00:00"/>
    <s v="016-2230-000"/>
    <s v="Wine Sales"/>
    <n v="201.38030000000001"/>
    <n v="0"/>
    <s v="Daily Sales Import"/>
    <n v="-201.38030000000001"/>
    <n v="201.38030000000001"/>
    <x v="0"/>
    <s v="2230"/>
    <s v="000"/>
    <x v="2"/>
    <x v="1"/>
  </r>
  <r>
    <d v="2012-12-22T00:00:00"/>
    <s v="016-2100-000"/>
    <s v="Food Sales"/>
    <n v="9015.8160000000007"/>
    <n v="0"/>
    <s v="Daily Sales Import"/>
    <n v="-9015.8160000000007"/>
    <n v="9015.8160000000007"/>
    <x v="0"/>
    <s v="2100"/>
    <s v="000"/>
    <x v="2"/>
    <x v="1"/>
  </r>
  <r>
    <d v="2012-12-22T00:00:00"/>
    <s v="016-2210-000"/>
    <s v="Liquor Sales"/>
    <n v="3306.9594999999999"/>
    <n v="0"/>
    <s v="Daily Sales Import"/>
    <n v="-3306.9594999999999"/>
    <n v="3306.9594999999999"/>
    <x v="0"/>
    <s v="2210"/>
    <s v="000"/>
    <x v="2"/>
    <x v="1"/>
  </r>
  <r>
    <d v="2012-12-22T00:00:00"/>
    <s v="016-2220-000"/>
    <s v="Beer Sales"/>
    <n v="564.78250000000003"/>
    <n v="0"/>
    <s v="Daily Sales Import"/>
    <n v="-564.78250000000003"/>
    <n v="564.78250000000003"/>
    <x v="0"/>
    <s v="2220"/>
    <s v="000"/>
    <x v="2"/>
    <x v="1"/>
  </r>
  <r>
    <d v="2012-12-22T00:00:00"/>
    <s v="016-2230-000"/>
    <s v="Wine Sales"/>
    <n v="204.44000000000003"/>
    <n v="0"/>
    <s v="Daily Sales Import"/>
    <n v="-204.44000000000003"/>
    <n v="204.44000000000003"/>
    <x v="0"/>
    <s v="2230"/>
    <s v="000"/>
    <x v="2"/>
    <x v="1"/>
  </r>
  <r>
    <d v="2012-12-23T00:00:00"/>
    <s v="016-2100-000"/>
    <s v="Food Sales"/>
    <n v="6337.0338000000002"/>
    <n v="0"/>
    <s v="Daily Sales Import"/>
    <n v="-6337.0338000000002"/>
    <n v="6337.0338000000002"/>
    <x v="0"/>
    <s v="2100"/>
    <s v="000"/>
    <x v="2"/>
    <x v="1"/>
  </r>
  <r>
    <d v="2012-12-23T00:00:00"/>
    <s v="016-2210-000"/>
    <s v="Liquor Sales"/>
    <n v="1268.2530000000002"/>
    <n v="0"/>
    <s v="Daily Sales Import"/>
    <n v="-1268.2530000000002"/>
    <n v="1268.2530000000002"/>
    <x v="0"/>
    <s v="2210"/>
    <s v="000"/>
    <x v="2"/>
    <x v="1"/>
  </r>
  <r>
    <d v="2012-12-23T00:00:00"/>
    <s v="016-2220-000"/>
    <s v="Beer Sales"/>
    <n v="343.58850000000001"/>
    <n v="0"/>
    <s v="Daily Sales Import"/>
    <n v="-343.58850000000001"/>
    <n v="343.58850000000001"/>
    <x v="0"/>
    <s v="2220"/>
    <s v="000"/>
    <x v="2"/>
    <x v="1"/>
  </r>
  <r>
    <d v="2012-12-23T00:00:00"/>
    <s v="016-2230-000"/>
    <s v="Wine Sales"/>
    <n v="183.71959999999999"/>
    <n v="0"/>
    <s v="Daily Sales Import"/>
    <n v="-183.71959999999999"/>
    <n v="183.71959999999999"/>
    <x v="0"/>
    <s v="2230"/>
    <s v="000"/>
    <x v="2"/>
    <x v="1"/>
  </r>
  <r>
    <d v="2012-12-17T00:00:00"/>
    <s v="017-2100-000"/>
    <s v="Food Sales"/>
    <n v="4731"/>
    <n v="0"/>
    <s v="Daily Sales Import"/>
    <n v="-4731"/>
    <n v="4731"/>
    <x v="1"/>
    <s v="2100"/>
    <s v="000"/>
    <x v="2"/>
    <x v="1"/>
  </r>
  <r>
    <d v="2012-12-17T00:00:00"/>
    <s v="017-2210-000"/>
    <s v="Liquor Sales"/>
    <n v="1379.0105000000001"/>
    <n v="0"/>
    <s v="Daily Sales Import"/>
    <n v="-1379.0105000000001"/>
    <n v="1379.0105000000001"/>
    <x v="1"/>
    <s v="2210"/>
    <s v="000"/>
    <x v="2"/>
    <x v="1"/>
  </r>
  <r>
    <d v="2012-12-17T00:00:00"/>
    <s v="017-2220-000"/>
    <s v="Beer Sales"/>
    <n v="478.45069999999998"/>
    <n v="0"/>
    <s v="Daily Sales Import"/>
    <n v="-478.45069999999998"/>
    <n v="478.45069999999998"/>
    <x v="1"/>
    <s v="2220"/>
    <s v="000"/>
    <x v="2"/>
    <x v="1"/>
  </r>
  <r>
    <d v="2012-12-17T00:00:00"/>
    <s v="017-2230-000"/>
    <s v="Wine Sales"/>
    <n v="143.547"/>
    <n v="0"/>
    <s v="Daily Sales Import"/>
    <n v="-143.547"/>
    <n v="143.547"/>
    <x v="1"/>
    <s v="2230"/>
    <s v="000"/>
    <x v="2"/>
    <x v="1"/>
  </r>
  <r>
    <d v="2012-12-18T00:00:00"/>
    <s v="017-2100-000"/>
    <s v="Food Sales"/>
    <n v="4683.0671999999995"/>
    <n v="0"/>
    <s v="Daily Sales Import"/>
    <n v="-4683.0671999999995"/>
    <n v="4683.0671999999995"/>
    <x v="1"/>
    <s v="2100"/>
    <s v="000"/>
    <x v="2"/>
    <x v="1"/>
  </r>
  <r>
    <d v="2012-12-18T00:00:00"/>
    <s v="017-2210-000"/>
    <s v="Liquor Sales"/>
    <n v="1305.9174"/>
    <n v="0"/>
    <s v="Daily Sales Import"/>
    <n v="-1305.9174"/>
    <n v="1305.9174"/>
    <x v="1"/>
    <s v="2210"/>
    <s v="000"/>
    <x v="2"/>
    <x v="1"/>
  </r>
  <r>
    <d v="2012-12-18T00:00:00"/>
    <s v="017-2220-000"/>
    <s v="Beer Sales"/>
    <n v="438.34399999999999"/>
    <n v="0"/>
    <s v="Daily Sales Import"/>
    <n v="-438.34399999999999"/>
    <n v="438.34399999999999"/>
    <x v="1"/>
    <s v="2220"/>
    <s v="000"/>
    <x v="2"/>
    <x v="1"/>
  </r>
  <r>
    <d v="2012-12-18T00:00:00"/>
    <s v="017-2230-000"/>
    <s v="Wine Sales"/>
    <n v="193.02799999999999"/>
    <n v="0"/>
    <s v="Daily Sales Import"/>
    <n v="-193.02799999999999"/>
    <n v="193.02799999999999"/>
    <x v="1"/>
    <s v="2230"/>
    <s v="000"/>
    <x v="2"/>
    <x v="1"/>
  </r>
  <r>
    <d v="2012-12-19T00:00:00"/>
    <s v="017-2100-000"/>
    <s v="Food Sales"/>
    <n v="8343.5334999999995"/>
    <n v="0"/>
    <s v="Daily Sales Import"/>
    <n v="-8343.5334999999995"/>
    <n v="8343.5334999999995"/>
    <x v="1"/>
    <s v="2100"/>
    <s v="000"/>
    <x v="2"/>
    <x v="1"/>
  </r>
  <r>
    <d v="2012-12-19T00:00:00"/>
    <s v="017-2210-000"/>
    <s v="Liquor Sales"/>
    <n v="2216.0733"/>
    <n v="0"/>
    <s v="Daily Sales Import"/>
    <n v="-2216.0733"/>
    <n v="2216.0733"/>
    <x v="1"/>
    <s v="2210"/>
    <s v="000"/>
    <x v="2"/>
    <x v="1"/>
  </r>
  <r>
    <d v="2012-12-19T00:00:00"/>
    <s v="017-2220-000"/>
    <s v="Beer Sales"/>
    <n v="385.72169999999994"/>
    <n v="0"/>
    <s v="Daily Sales Import"/>
    <n v="-385.72169999999994"/>
    <n v="385.72169999999994"/>
    <x v="1"/>
    <s v="2220"/>
    <s v="000"/>
    <x v="2"/>
    <x v="1"/>
  </r>
  <r>
    <d v="2012-12-19T00:00:00"/>
    <s v="017-2230-000"/>
    <s v="Wine Sales"/>
    <n v="154.63309999999998"/>
    <n v="0"/>
    <s v="Daily Sales Import"/>
    <n v="-154.63309999999998"/>
    <n v="154.63309999999998"/>
    <x v="1"/>
    <s v="2230"/>
    <s v="000"/>
    <x v="2"/>
    <x v="1"/>
  </r>
  <r>
    <d v="2012-12-20T00:00:00"/>
    <s v="017-2100-000"/>
    <s v="Food Sales"/>
    <n v="7101.5712000000012"/>
    <n v="0"/>
    <s v="Daily Sales Import"/>
    <n v="-7101.5712000000012"/>
    <n v="7101.5712000000012"/>
    <x v="1"/>
    <s v="2100"/>
    <s v="000"/>
    <x v="2"/>
    <x v="1"/>
  </r>
  <r>
    <d v="2012-12-20T00:00:00"/>
    <s v="017-2210-000"/>
    <s v="Liquor Sales"/>
    <n v="2082.1159000000002"/>
    <n v="0"/>
    <s v="Daily Sales Import"/>
    <n v="-2082.1159000000002"/>
    <n v="2082.1159000000002"/>
    <x v="1"/>
    <s v="2210"/>
    <s v="000"/>
    <x v="2"/>
    <x v="1"/>
  </r>
  <r>
    <d v="2012-12-20T00:00:00"/>
    <s v="017-2220-000"/>
    <s v="Beer Sales"/>
    <n v="289.74400000000003"/>
    <n v="0"/>
    <s v="Daily Sales Import"/>
    <n v="-289.74400000000003"/>
    <n v="289.74400000000003"/>
    <x v="1"/>
    <s v="2220"/>
    <s v="000"/>
    <x v="2"/>
    <x v="1"/>
  </r>
  <r>
    <d v="2012-12-20T00:00:00"/>
    <s v="017-2230-000"/>
    <s v="Wine Sales"/>
    <n v="224.4348"/>
    <n v="0"/>
    <s v="Daily Sales Import"/>
    <n v="-224.4348"/>
    <n v="224.4348"/>
    <x v="1"/>
    <s v="2230"/>
    <s v="000"/>
    <x v="2"/>
    <x v="1"/>
  </r>
  <r>
    <d v="2012-12-21T00:00:00"/>
    <s v="017-2100-000"/>
    <s v="Food Sales"/>
    <n v="8493.0095999999994"/>
    <n v="0"/>
    <s v="Daily Sales Import"/>
    <n v="-8493.0095999999994"/>
    <n v="8493.0095999999994"/>
    <x v="1"/>
    <s v="2100"/>
    <s v="000"/>
    <x v="2"/>
    <x v="1"/>
  </r>
  <r>
    <d v="2012-12-21T00:00:00"/>
    <s v="017-2210-000"/>
    <s v="Liquor Sales"/>
    <n v="1433.0804000000001"/>
    <n v="0"/>
    <s v="Daily Sales Import"/>
    <n v="-1433.0804000000001"/>
    <n v="1433.0804000000001"/>
    <x v="1"/>
    <s v="2210"/>
    <s v="000"/>
    <x v="2"/>
    <x v="1"/>
  </r>
  <r>
    <d v="2012-12-21T00:00:00"/>
    <s v="017-2220-000"/>
    <s v="Beer Sales"/>
    <n v="367.91599999999994"/>
    <n v="0"/>
    <s v="Daily Sales Import"/>
    <n v="-367.91599999999994"/>
    <n v="367.91599999999994"/>
    <x v="1"/>
    <s v="2220"/>
    <s v="000"/>
    <x v="2"/>
    <x v="1"/>
  </r>
  <r>
    <d v="2012-12-21T00:00:00"/>
    <s v="017-2230-000"/>
    <s v="Wine Sales"/>
    <n v="146.70599999999999"/>
    <n v="0"/>
    <s v="Daily Sales Import"/>
    <n v="-146.70599999999999"/>
    <n v="146.70599999999999"/>
    <x v="1"/>
    <s v="2230"/>
    <s v="000"/>
    <x v="2"/>
    <x v="1"/>
  </r>
  <r>
    <d v="2012-12-22T00:00:00"/>
    <s v="017-2100-000"/>
    <s v="Food Sales"/>
    <n v="6998.9552000000003"/>
    <n v="0"/>
    <s v="Daily Sales Import"/>
    <n v="-6998.9552000000003"/>
    <n v="6998.9552000000003"/>
    <x v="1"/>
    <s v="2100"/>
    <s v="000"/>
    <x v="2"/>
    <x v="1"/>
  </r>
  <r>
    <d v="2012-12-22T00:00:00"/>
    <s v="017-2210-000"/>
    <s v="Liquor Sales"/>
    <n v="1414.5935999999999"/>
    <n v="0"/>
    <s v="Daily Sales Import"/>
    <n v="-1414.5935999999999"/>
    <n v="1414.5935999999999"/>
    <x v="1"/>
    <s v="2210"/>
    <s v="000"/>
    <x v="2"/>
    <x v="1"/>
  </r>
  <r>
    <d v="2012-12-22T00:00:00"/>
    <s v="017-2220-000"/>
    <s v="Beer Sales"/>
    <n v="271.4853"/>
    <n v="0"/>
    <s v="Daily Sales Import"/>
    <n v="-271.4853"/>
    <n v="271.4853"/>
    <x v="1"/>
    <s v="2220"/>
    <s v="000"/>
    <x v="2"/>
    <x v="1"/>
  </r>
  <r>
    <d v="2012-12-22T00:00:00"/>
    <s v="017-2230-000"/>
    <s v="Wine Sales"/>
    <n v="26.096500000000002"/>
    <n v="0"/>
    <s v="Daily Sales Import"/>
    <n v="-26.096500000000002"/>
    <n v="26.096500000000002"/>
    <x v="1"/>
    <s v="2230"/>
    <s v="000"/>
    <x v="2"/>
    <x v="1"/>
  </r>
  <r>
    <d v="2012-12-23T00:00:00"/>
    <s v="017-2100-000"/>
    <s v="Food Sales"/>
    <n v="5487.238800000001"/>
    <n v="0"/>
    <s v="Daily Sales Import"/>
    <n v="-5487.238800000001"/>
    <n v="5487.238800000001"/>
    <x v="1"/>
    <s v="2100"/>
    <s v="000"/>
    <x v="2"/>
    <x v="1"/>
  </r>
  <r>
    <d v="2012-12-23T00:00:00"/>
    <s v="017-2210-000"/>
    <s v="Liquor Sales"/>
    <n v="771.52680000000009"/>
    <n v="0"/>
    <s v="Daily Sales Import"/>
    <n v="-771.52680000000009"/>
    <n v="771.52680000000009"/>
    <x v="1"/>
    <s v="2210"/>
    <s v="000"/>
    <x v="2"/>
    <x v="1"/>
  </r>
  <r>
    <d v="2012-12-23T00:00:00"/>
    <s v="017-2220-000"/>
    <s v="Beer Sales"/>
    <n v="140.59109999999998"/>
    <n v="0"/>
    <s v="Daily Sales Import"/>
    <n v="-140.59109999999998"/>
    <n v="140.59109999999998"/>
    <x v="1"/>
    <s v="2220"/>
    <s v="000"/>
    <x v="2"/>
    <x v="1"/>
  </r>
  <r>
    <d v="2012-12-23T00:00:00"/>
    <s v="017-2230-000"/>
    <s v="Wine Sales"/>
    <n v="139.13199999999998"/>
    <n v="0"/>
    <s v="Daily Sales Import"/>
    <n v="-139.13199999999998"/>
    <n v="139.13199999999998"/>
    <x v="1"/>
    <s v="2230"/>
    <s v="000"/>
    <x v="2"/>
    <x v="1"/>
  </r>
  <r>
    <d v="2012-12-17T00:00:00"/>
    <s v="018-2100-000"/>
    <s v="Food Sales"/>
    <n v="3850.2042999999999"/>
    <n v="0"/>
    <s v="Daily Sales Import"/>
    <n v="-3850.2042999999999"/>
    <n v="3850.2042999999999"/>
    <x v="2"/>
    <s v="2100"/>
    <s v="000"/>
    <x v="2"/>
    <x v="1"/>
  </r>
  <r>
    <d v="2012-12-17T00:00:00"/>
    <s v="018-2210-000"/>
    <s v="Liquor Sales"/>
    <n v="801.84999999999991"/>
    <n v="0"/>
    <s v="Daily Sales Import"/>
    <n v="-801.84999999999991"/>
    <n v="801.84999999999991"/>
    <x v="2"/>
    <s v="2210"/>
    <s v="000"/>
    <x v="2"/>
    <x v="1"/>
  </r>
  <r>
    <d v="2012-12-17T00:00:00"/>
    <s v="018-2220-000"/>
    <s v="Beer Sales"/>
    <n v="256.25680000000006"/>
    <n v="0"/>
    <s v="Daily Sales Import"/>
    <n v="-256.25680000000006"/>
    <n v="256.25680000000006"/>
    <x v="2"/>
    <s v="2220"/>
    <s v="000"/>
    <x v="2"/>
    <x v="1"/>
  </r>
  <r>
    <d v="2012-12-17T00:00:00"/>
    <s v="018-2230-000"/>
    <s v="Wine Sales"/>
    <n v="31.499499999999998"/>
    <n v="0"/>
    <s v="Daily Sales Import"/>
    <n v="-31.499499999999998"/>
    <n v="31.499499999999998"/>
    <x v="2"/>
    <s v="2230"/>
    <s v="000"/>
    <x v="2"/>
    <x v="1"/>
  </r>
  <r>
    <d v="2012-12-18T00:00:00"/>
    <s v="018-2100-000"/>
    <s v="Food Sales"/>
    <n v="6452.3114999999998"/>
    <n v="0"/>
    <s v="Daily Sales Import"/>
    <n v="-6452.3114999999998"/>
    <n v="6452.3114999999998"/>
    <x v="2"/>
    <s v="2100"/>
    <s v="000"/>
    <x v="2"/>
    <x v="1"/>
  </r>
  <r>
    <d v="2012-12-18T00:00:00"/>
    <s v="018-2210-000"/>
    <s v="Liquor Sales"/>
    <n v="900.08380000000011"/>
    <n v="0"/>
    <s v="Daily Sales Import"/>
    <n v="-900.08380000000011"/>
    <n v="900.08380000000011"/>
    <x v="2"/>
    <s v="2210"/>
    <s v="000"/>
    <x v="2"/>
    <x v="1"/>
  </r>
  <r>
    <d v="2012-12-18T00:00:00"/>
    <s v="018-2220-000"/>
    <s v="Beer Sales"/>
    <n v="246.40699999999998"/>
    <n v="0"/>
    <s v="Daily Sales Import"/>
    <n v="-246.40699999999998"/>
    <n v="246.40699999999998"/>
    <x v="2"/>
    <s v="2220"/>
    <s v="000"/>
    <x v="2"/>
    <x v="1"/>
  </r>
  <r>
    <d v="2012-12-18T00:00:00"/>
    <s v="018-2230-000"/>
    <s v="Wine Sales"/>
    <n v="85.760099999999994"/>
    <n v="0"/>
    <s v="Daily Sales Import"/>
    <n v="-85.760099999999994"/>
    <n v="85.760099999999994"/>
    <x v="2"/>
    <s v="2230"/>
    <s v="000"/>
    <x v="2"/>
    <x v="1"/>
  </r>
  <r>
    <d v="2012-12-19T00:00:00"/>
    <s v="018-2100-000"/>
    <s v="Food Sales"/>
    <n v="5610.2336000000005"/>
    <n v="0"/>
    <s v="Daily Sales Import"/>
    <n v="-5610.2336000000005"/>
    <n v="5610.2336000000005"/>
    <x v="2"/>
    <s v="2100"/>
    <s v="000"/>
    <x v="2"/>
    <x v="1"/>
  </r>
  <r>
    <d v="2012-12-19T00:00:00"/>
    <s v="018-2210-000"/>
    <s v="Liquor Sales"/>
    <n v="518.57799999999997"/>
    <n v="0"/>
    <s v="Daily Sales Import"/>
    <n v="-518.57799999999997"/>
    <n v="518.57799999999997"/>
    <x v="2"/>
    <s v="2210"/>
    <s v="000"/>
    <x v="2"/>
    <x v="1"/>
  </r>
  <r>
    <d v="2012-12-19T00:00:00"/>
    <s v="018-2220-000"/>
    <s v="Beer Sales"/>
    <n v="238.04820000000001"/>
    <n v="0"/>
    <s v="Daily Sales Import"/>
    <n v="-238.04820000000001"/>
    <n v="238.04820000000001"/>
    <x v="2"/>
    <s v="2220"/>
    <s v="000"/>
    <x v="2"/>
    <x v="1"/>
  </r>
  <r>
    <d v="2012-12-19T00:00:00"/>
    <s v="018-2230-000"/>
    <s v="Wine Sales"/>
    <n v="21.0366"/>
    <n v="0"/>
    <s v="Daily Sales Import"/>
    <n v="-21.0366"/>
    <n v="21.0366"/>
    <x v="2"/>
    <s v="2230"/>
    <s v="000"/>
    <x v="2"/>
    <x v="1"/>
  </r>
  <r>
    <d v="2012-12-20T00:00:00"/>
    <s v="018-2100-000"/>
    <s v="Food Sales"/>
    <n v="5379.616"/>
    <n v="0"/>
    <s v="Daily Sales Import"/>
    <n v="-5379.616"/>
    <n v="5379.616"/>
    <x v="2"/>
    <s v="2100"/>
    <s v="000"/>
    <x v="2"/>
    <x v="1"/>
  </r>
  <r>
    <d v="2012-12-20T00:00:00"/>
    <s v="018-2210-000"/>
    <s v="Liquor Sales"/>
    <n v="1003.9640000000001"/>
    <n v="0"/>
    <s v="Daily Sales Import"/>
    <n v="-1003.9640000000001"/>
    <n v="1003.9640000000001"/>
    <x v="2"/>
    <s v="2210"/>
    <s v="000"/>
    <x v="2"/>
    <x v="1"/>
  </r>
  <r>
    <d v="2012-12-20T00:00:00"/>
    <s v="018-2220-000"/>
    <s v="Beer Sales"/>
    <n v="365.87130000000002"/>
    <n v="0"/>
    <s v="Daily Sales Import"/>
    <n v="-365.87130000000002"/>
    <n v="365.87130000000002"/>
    <x v="2"/>
    <s v="2220"/>
    <s v="000"/>
    <x v="2"/>
    <x v="1"/>
  </r>
  <r>
    <d v="2012-12-20T00:00:00"/>
    <s v="018-2230-000"/>
    <s v="Wine Sales"/>
    <n v="101.73360000000001"/>
    <n v="0"/>
    <s v="Daily Sales Import"/>
    <n v="-101.73360000000001"/>
    <n v="101.73360000000001"/>
    <x v="2"/>
    <s v="2230"/>
    <s v="000"/>
    <x v="2"/>
    <x v="1"/>
  </r>
  <r>
    <d v="2012-12-21T00:00:00"/>
    <s v="018-2100-000"/>
    <s v="Food Sales"/>
    <n v="8491.1749999999993"/>
    <n v="0"/>
    <s v="Daily Sales Import"/>
    <n v="-8491.1749999999993"/>
    <n v="8491.1749999999993"/>
    <x v="2"/>
    <s v="2100"/>
    <s v="000"/>
    <x v="2"/>
    <x v="1"/>
  </r>
  <r>
    <d v="2012-12-21T00:00:00"/>
    <s v="018-2210-000"/>
    <s v="Liquor Sales"/>
    <n v="1523.7145"/>
    <n v="0"/>
    <s v="Daily Sales Import"/>
    <n v="-1523.7145"/>
    <n v="1523.7145"/>
    <x v="2"/>
    <s v="2210"/>
    <s v="000"/>
    <x v="2"/>
    <x v="1"/>
  </r>
  <r>
    <d v="2012-12-21T00:00:00"/>
    <s v="018-2220-000"/>
    <s v="Beer Sales"/>
    <n v="450.92809999999997"/>
    <n v="0"/>
    <s v="Daily Sales Import"/>
    <n v="-450.92809999999997"/>
    <n v="450.92809999999997"/>
    <x v="2"/>
    <s v="2220"/>
    <s v="000"/>
    <x v="2"/>
    <x v="1"/>
  </r>
  <r>
    <d v="2012-12-21T00:00:00"/>
    <s v="018-2230-000"/>
    <s v="Wine Sales"/>
    <n v="89.4"/>
    <n v="0"/>
    <s v="Daily Sales Import"/>
    <n v="-89.4"/>
    <n v="89.4"/>
    <x v="2"/>
    <s v="2230"/>
    <s v="000"/>
    <x v="2"/>
    <x v="1"/>
  </r>
  <r>
    <d v="2012-12-22T00:00:00"/>
    <s v="018-2100-000"/>
    <s v="Food Sales"/>
    <n v="9382.9736000000012"/>
    <n v="0"/>
    <s v="Daily Sales Import"/>
    <n v="-9382.9736000000012"/>
    <n v="9382.9736000000012"/>
    <x v="2"/>
    <s v="2100"/>
    <s v="000"/>
    <x v="2"/>
    <x v="1"/>
  </r>
  <r>
    <d v="2012-12-22T00:00:00"/>
    <s v="018-2210-000"/>
    <s v="Liquor Sales"/>
    <n v="2614.9554000000003"/>
    <n v="0"/>
    <s v="Daily Sales Import"/>
    <n v="-2614.9554000000003"/>
    <n v="2614.9554000000003"/>
    <x v="2"/>
    <s v="2210"/>
    <s v="000"/>
    <x v="2"/>
    <x v="1"/>
  </r>
  <r>
    <d v="2012-12-22T00:00:00"/>
    <s v="018-2220-000"/>
    <s v="Beer Sales"/>
    <n v="546.93399999999997"/>
    <n v="0"/>
    <s v="Daily Sales Import"/>
    <n v="-546.93399999999997"/>
    <n v="546.93399999999997"/>
    <x v="2"/>
    <s v="2220"/>
    <s v="000"/>
    <x v="2"/>
    <x v="1"/>
  </r>
  <r>
    <d v="2012-12-22T00:00:00"/>
    <s v="018-2230-000"/>
    <s v="Wine Sales"/>
    <n v="99.528199999999998"/>
    <n v="0"/>
    <s v="Daily Sales Import"/>
    <n v="-99.528199999999998"/>
    <n v="99.528199999999998"/>
    <x v="2"/>
    <s v="2230"/>
    <s v="000"/>
    <x v="2"/>
    <x v="1"/>
  </r>
  <r>
    <d v="2012-12-23T00:00:00"/>
    <s v="018-2100-000"/>
    <s v="Food Sales"/>
    <n v="8159.8041000000003"/>
    <n v="0"/>
    <s v="Daily Sales Import"/>
    <n v="-8159.8041000000003"/>
    <n v="8159.8041000000003"/>
    <x v="2"/>
    <s v="2100"/>
    <s v="000"/>
    <x v="2"/>
    <x v="1"/>
  </r>
  <r>
    <d v="2012-12-23T00:00:00"/>
    <s v="018-2210-000"/>
    <s v="Liquor Sales"/>
    <n v="1648.4915999999998"/>
    <n v="0"/>
    <s v="Daily Sales Import"/>
    <n v="-1648.4915999999998"/>
    <n v="1648.4915999999998"/>
    <x v="2"/>
    <s v="2210"/>
    <s v="000"/>
    <x v="2"/>
    <x v="1"/>
  </r>
  <r>
    <d v="2012-12-23T00:00:00"/>
    <s v="018-2220-000"/>
    <s v="Beer Sales"/>
    <n v="357.90440000000007"/>
    <n v="0"/>
    <s v="Daily Sales Import"/>
    <n v="-357.90440000000007"/>
    <n v="357.90440000000007"/>
    <x v="2"/>
    <s v="2220"/>
    <s v="000"/>
    <x v="2"/>
    <x v="1"/>
  </r>
  <r>
    <d v="2012-12-23T00:00:00"/>
    <s v="018-2230-000"/>
    <s v="Wine Sales"/>
    <n v="195.5044"/>
    <n v="0"/>
    <s v="Daily Sales Import"/>
    <n v="-195.5044"/>
    <n v="195.5044"/>
    <x v="2"/>
    <s v="2230"/>
    <s v="000"/>
    <x v="2"/>
    <x v="1"/>
  </r>
  <r>
    <d v="2012-12-24T00:00:00"/>
    <s v="016-2100-000"/>
    <s v="Food Sales"/>
    <n v="6329.84"/>
    <n v="0"/>
    <s v="Daily Sales Import"/>
    <n v="-6329.84"/>
    <n v="6329.84"/>
    <x v="0"/>
    <s v="2100"/>
    <s v="000"/>
    <x v="2"/>
    <x v="1"/>
  </r>
  <r>
    <d v="2012-12-24T00:00:00"/>
    <s v="016-2210-000"/>
    <s v="Liquor Sales"/>
    <n v="1097.7339999999999"/>
    <n v="0"/>
    <s v="Daily Sales Import"/>
    <n v="-1097.7339999999999"/>
    <n v="1097.7339999999999"/>
    <x v="0"/>
    <s v="2210"/>
    <s v="000"/>
    <x v="2"/>
    <x v="1"/>
  </r>
  <r>
    <d v="2012-12-24T00:00:00"/>
    <s v="016-2220-000"/>
    <s v="Beer Sales"/>
    <n v="220.197"/>
    <n v="0"/>
    <s v="Daily Sales Import"/>
    <n v="-220.197"/>
    <n v="220.197"/>
    <x v="0"/>
    <s v="2220"/>
    <s v="000"/>
    <x v="2"/>
    <x v="1"/>
  </r>
  <r>
    <d v="2012-12-24T00:00:00"/>
    <s v="016-2230-000"/>
    <s v="Wine Sales"/>
    <n v="119.64299999999999"/>
    <n v="0"/>
    <s v="Daily Sales Import"/>
    <n v="-119.64299999999999"/>
    <n v="119.64299999999999"/>
    <x v="0"/>
    <s v="2230"/>
    <s v="000"/>
    <x v="2"/>
    <x v="1"/>
  </r>
  <r>
    <d v="2012-12-26T00:00:00"/>
    <s v="016-2100-000"/>
    <s v="Food Sales"/>
    <n v="5644.2824999999993"/>
    <n v="0"/>
    <s v="Daily Sales Import"/>
    <n v="-5644.2824999999993"/>
    <n v="5644.2824999999993"/>
    <x v="0"/>
    <s v="2100"/>
    <s v="000"/>
    <x v="2"/>
    <x v="1"/>
  </r>
  <r>
    <d v="2012-12-26T00:00:00"/>
    <s v="016-2210-000"/>
    <s v="Liquor Sales"/>
    <n v="1475.6102999999998"/>
    <n v="0"/>
    <s v="Daily Sales Import"/>
    <n v="-1475.6102999999998"/>
    <n v="1475.6102999999998"/>
    <x v="0"/>
    <s v="2210"/>
    <s v="000"/>
    <x v="2"/>
    <x v="1"/>
  </r>
  <r>
    <d v="2012-12-26T00:00:00"/>
    <s v="016-2220-000"/>
    <s v="Beer Sales"/>
    <n v="324.14760000000001"/>
    <n v="0"/>
    <s v="Daily Sales Import"/>
    <n v="-324.14760000000001"/>
    <n v="324.14760000000001"/>
    <x v="0"/>
    <s v="2220"/>
    <s v="000"/>
    <x v="2"/>
    <x v="1"/>
  </r>
  <r>
    <d v="2012-12-26T00:00:00"/>
    <s v="016-2230-000"/>
    <s v="Wine Sales"/>
    <n v="268.9896"/>
    <n v="0"/>
    <s v="Daily Sales Import"/>
    <n v="-268.9896"/>
    <n v="268.9896"/>
    <x v="0"/>
    <s v="2230"/>
    <s v="000"/>
    <x v="2"/>
    <x v="1"/>
  </r>
  <r>
    <d v="2012-12-27T00:00:00"/>
    <s v="016-2100-000"/>
    <s v="Food Sales"/>
    <n v="8902.7245999999996"/>
    <n v="0"/>
    <s v="Daily Sales Import"/>
    <n v="-8902.7245999999996"/>
    <n v="8902.7245999999996"/>
    <x v="0"/>
    <s v="2100"/>
    <s v="000"/>
    <x v="2"/>
    <x v="1"/>
  </r>
  <r>
    <d v="2012-12-27T00:00:00"/>
    <s v="016-2210-000"/>
    <s v="Liquor Sales"/>
    <n v="2083.8145999999997"/>
    <n v="0"/>
    <s v="Daily Sales Import"/>
    <n v="-2083.8145999999997"/>
    <n v="2083.8145999999997"/>
    <x v="0"/>
    <s v="2210"/>
    <s v="000"/>
    <x v="2"/>
    <x v="1"/>
  </r>
  <r>
    <d v="2012-12-27T00:00:00"/>
    <s v="016-2220-000"/>
    <s v="Beer Sales"/>
    <n v="257.36069999999995"/>
    <n v="0"/>
    <s v="Daily Sales Import"/>
    <n v="-257.36069999999995"/>
    <n v="257.36069999999995"/>
    <x v="0"/>
    <s v="2220"/>
    <s v="000"/>
    <x v="2"/>
    <x v="1"/>
  </r>
  <r>
    <d v="2012-12-27T00:00:00"/>
    <s v="016-2230-000"/>
    <s v="Wine Sales"/>
    <n v="162.87039999999999"/>
    <n v="0"/>
    <s v="Daily Sales Import"/>
    <n v="-162.87039999999999"/>
    <n v="162.87039999999999"/>
    <x v="0"/>
    <s v="2230"/>
    <s v="000"/>
    <x v="2"/>
    <x v="1"/>
  </r>
  <r>
    <d v="2012-12-28T00:00:00"/>
    <s v="016-2100-000"/>
    <s v="Food Sales"/>
    <n v="11028.7996"/>
    <n v="0"/>
    <s v="Daily Sales Import"/>
    <n v="-11028.7996"/>
    <n v="11028.7996"/>
    <x v="0"/>
    <s v="2100"/>
    <s v="000"/>
    <x v="2"/>
    <x v="1"/>
  </r>
  <r>
    <d v="2012-12-28T00:00:00"/>
    <s v="016-2210-000"/>
    <s v="Liquor Sales"/>
    <n v="3239.9025000000001"/>
    <n v="0"/>
    <s v="Daily Sales Import"/>
    <n v="-3239.9025000000001"/>
    <n v="3239.9025000000001"/>
    <x v="0"/>
    <s v="2210"/>
    <s v="000"/>
    <x v="2"/>
    <x v="1"/>
  </r>
  <r>
    <d v="2012-12-28T00:00:00"/>
    <s v="016-2220-000"/>
    <s v="Beer Sales"/>
    <n v="601.48500000000001"/>
    <n v="0"/>
    <s v="Daily Sales Import"/>
    <n v="-601.48500000000001"/>
    <n v="601.48500000000001"/>
    <x v="0"/>
    <s v="2220"/>
    <s v="000"/>
    <x v="2"/>
    <x v="1"/>
  </r>
  <r>
    <d v="2012-12-28T00:00:00"/>
    <s v="016-2230-000"/>
    <s v="Wine Sales"/>
    <n v="207.4425"/>
    <n v="0"/>
    <s v="Daily Sales Import"/>
    <n v="-207.4425"/>
    <n v="207.4425"/>
    <x v="0"/>
    <s v="2230"/>
    <s v="000"/>
    <x v="2"/>
    <x v="1"/>
  </r>
  <r>
    <d v="2012-12-29T00:00:00"/>
    <s v="016-2100-000"/>
    <s v="Food Sales"/>
    <n v="7481.6268"/>
    <n v="0"/>
    <s v="Daily Sales Import"/>
    <n v="-7481.6268"/>
    <n v="7481.6268"/>
    <x v="0"/>
    <s v="2100"/>
    <s v="000"/>
    <x v="2"/>
    <x v="1"/>
  </r>
  <r>
    <d v="2012-12-29T00:00:00"/>
    <s v="016-2210-000"/>
    <s v="Liquor Sales"/>
    <n v="2001.9304"/>
    <n v="0"/>
    <s v="Daily Sales Import"/>
    <n v="-2001.9304"/>
    <n v="2001.9304"/>
    <x v="0"/>
    <s v="2210"/>
    <s v="000"/>
    <x v="2"/>
    <x v="1"/>
  </r>
  <r>
    <d v="2012-12-29T00:00:00"/>
    <s v="016-2220-000"/>
    <s v="Beer Sales"/>
    <n v="476.01240000000001"/>
    <n v="0"/>
    <s v="Daily Sales Import"/>
    <n v="-476.01240000000001"/>
    <n v="476.01240000000001"/>
    <x v="0"/>
    <s v="2220"/>
    <s v="000"/>
    <x v="2"/>
    <x v="1"/>
  </r>
  <r>
    <d v="2012-12-29T00:00:00"/>
    <s v="016-2230-000"/>
    <s v="Wine Sales"/>
    <n v="257.05549999999999"/>
    <n v="0"/>
    <s v="Daily Sales Import"/>
    <n v="-257.05549999999999"/>
    <n v="257.05549999999999"/>
    <x v="0"/>
    <s v="2230"/>
    <s v="000"/>
    <x v="2"/>
    <x v="1"/>
  </r>
  <r>
    <d v="2012-12-30T00:00:00"/>
    <s v="016-2100-000"/>
    <s v="Food Sales"/>
    <n v="9525.8942000000006"/>
    <n v="0"/>
    <s v="Daily Sales Import"/>
    <n v="-9525.8942000000006"/>
    <n v="9525.8942000000006"/>
    <x v="0"/>
    <s v="2100"/>
    <s v="000"/>
    <x v="2"/>
    <x v="1"/>
  </r>
  <r>
    <d v="2012-12-30T00:00:00"/>
    <s v="016-2210-000"/>
    <s v="Liquor Sales"/>
    <n v="1135.7927999999999"/>
    <n v="0"/>
    <s v="Daily Sales Import"/>
    <n v="-1135.7927999999999"/>
    <n v="1135.7927999999999"/>
    <x v="0"/>
    <s v="2210"/>
    <s v="000"/>
    <x v="2"/>
    <x v="1"/>
  </r>
  <r>
    <d v="2012-12-30T00:00:00"/>
    <s v="016-2220-000"/>
    <s v="Beer Sales"/>
    <n v="293.38920000000002"/>
    <n v="0"/>
    <s v="Daily Sales Import"/>
    <n v="-293.38920000000002"/>
    <n v="293.38920000000002"/>
    <x v="0"/>
    <s v="2220"/>
    <s v="000"/>
    <x v="2"/>
    <x v="1"/>
  </r>
  <r>
    <d v="2012-12-30T00:00:00"/>
    <s v="016-2230-000"/>
    <s v="Wine Sales"/>
    <n v="221.86009999999999"/>
    <n v="0"/>
    <s v="Daily Sales Import"/>
    <n v="-221.86009999999999"/>
    <n v="221.86009999999999"/>
    <x v="0"/>
    <s v="2230"/>
    <s v="000"/>
    <x v="2"/>
    <x v="1"/>
  </r>
  <r>
    <d v="2012-12-24T00:00:00"/>
    <s v="017-2100-000"/>
    <s v="Food Sales"/>
    <n v="2837.4982"/>
    <n v="0"/>
    <s v="Daily Sales Import"/>
    <n v="-2837.4982"/>
    <n v="2837.4982"/>
    <x v="1"/>
    <s v="2100"/>
    <s v="000"/>
    <x v="2"/>
    <x v="1"/>
  </r>
  <r>
    <d v="2012-12-24T00:00:00"/>
    <s v="017-2210-000"/>
    <s v="Liquor Sales"/>
    <n v="749.10439999999994"/>
    <n v="0"/>
    <s v="Daily Sales Import"/>
    <n v="-749.10439999999994"/>
    <n v="749.10439999999994"/>
    <x v="1"/>
    <s v="2210"/>
    <s v="000"/>
    <x v="2"/>
    <x v="1"/>
  </r>
  <r>
    <d v="2012-12-24T00:00:00"/>
    <s v="017-2220-000"/>
    <s v="Beer Sales"/>
    <n v="90.804000000000016"/>
    <n v="0"/>
    <s v="Daily Sales Import"/>
    <n v="-90.804000000000016"/>
    <n v="90.804000000000016"/>
    <x v="1"/>
    <s v="2220"/>
    <s v="000"/>
    <x v="2"/>
    <x v="1"/>
  </r>
  <r>
    <d v="2012-12-24T00:00:00"/>
    <s v="017-2230-000"/>
    <s v="Wine Sales"/>
    <n v="36.495899999999999"/>
    <n v="0"/>
    <s v="Daily Sales Import"/>
    <n v="-36.495899999999999"/>
    <n v="36.495899999999999"/>
    <x v="1"/>
    <s v="2230"/>
    <s v="000"/>
    <x v="2"/>
    <x v="1"/>
  </r>
  <r>
    <d v="2012-12-26T00:00:00"/>
    <s v="017-2100-000"/>
    <s v="Food Sales"/>
    <n v="5238.9279999999999"/>
    <n v="0"/>
    <s v="Daily Sales Import"/>
    <n v="-5238.9279999999999"/>
    <n v="5238.9279999999999"/>
    <x v="1"/>
    <s v="2100"/>
    <s v="000"/>
    <x v="2"/>
    <x v="1"/>
  </r>
  <r>
    <d v="2012-12-26T00:00:00"/>
    <s v="017-2210-000"/>
    <s v="Liquor Sales"/>
    <n v="1263.0498"/>
    <n v="0"/>
    <s v="Daily Sales Import"/>
    <n v="-1263.0498"/>
    <n v="1263.0498"/>
    <x v="1"/>
    <s v="2210"/>
    <s v="000"/>
    <x v="2"/>
    <x v="1"/>
  </r>
  <r>
    <d v="2012-12-26T00:00:00"/>
    <s v="017-2220-000"/>
    <s v="Beer Sales"/>
    <n v="137.91049999999998"/>
    <n v="0"/>
    <s v="Daily Sales Import"/>
    <n v="-137.91049999999998"/>
    <n v="137.91049999999998"/>
    <x v="1"/>
    <s v="2220"/>
    <s v="000"/>
    <x v="2"/>
    <x v="1"/>
  </r>
  <r>
    <d v="2012-12-26T00:00:00"/>
    <s v="017-2230-000"/>
    <s v="Wine Sales"/>
    <n v="46.305099999999996"/>
    <n v="0"/>
    <s v="Daily Sales Import"/>
    <n v="-46.305099999999996"/>
    <n v="46.305099999999996"/>
    <x v="1"/>
    <s v="2230"/>
    <s v="000"/>
    <x v="2"/>
    <x v="1"/>
  </r>
  <r>
    <d v="2012-12-27T00:00:00"/>
    <s v="017-2100-000"/>
    <s v="Food Sales"/>
    <n v="4362.4641999999994"/>
    <n v="0"/>
    <s v="Daily Sales Import"/>
    <n v="-4362.4641999999994"/>
    <n v="4362.4641999999994"/>
    <x v="1"/>
    <s v="2100"/>
    <s v="000"/>
    <x v="2"/>
    <x v="1"/>
  </r>
  <r>
    <d v="2012-12-27T00:00:00"/>
    <s v="017-2210-000"/>
    <s v="Liquor Sales"/>
    <n v="1187.8027999999999"/>
    <n v="0"/>
    <s v="Daily Sales Import"/>
    <n v="-1187.8027999999999"/>
    <n v="1187.8027999999999"/>
    <x v="1"/>
    <s v="2210"/>
    <s v="000"/>
    <x v="2"/>
    <x v="1"/>
  </r>
  <r>
    <d v="2012-12-27T00:00:00"/>
    <s v="017-2220-000"/>
    <s v="Beer Sales"/>
    <n v="287.49630000000002"/>
    <n v="0"/>
    <s v="Daily Sales Import"/>
    <n v="-287.49630000000002"/>
    <n v="287.49630000000002"/>
    <x v="1"/>
    <s v="2220"/>
    <s v="000"/>
    <x v="2"/>
    <x v="1"/>
  </r>
  <r>
    <d v="2012-12-27T00:00:00"/>
    <s v="017-2230-000"/>
    <s v="Wine Sales"/>
    <n v="69.8001"/>
    <n v="0"/>
    <s v="Daily Sales Import"/>
    <n v="-69.8001"/>
    <n v="69.8001"/>
    <x v="1"/>
    <s v="2230"/>
    <s v="000"/>
    <x v="2"/>
    <x v="1"/>
  </r>
  <r>
    <d v="2012-12-28T00:00:00"/>
    <s v="017-2100-000"/>
    <s v="Food Sales"/>
    <n v="4474.7451000000001"/>
    <n v="0"/>
    <s v="Daily Sales Import"/>
    <n v="-4474.7451000000001"/>
    <n v="4474.7451000000001"/>
    <x v="1"/>
    <s v="2100"/>
    <s v="000"/>
    <x v="2"/>
    <x v="1"/>
  </r>
  <r>
    <d v="2012-12-28T00:00:00"/>
    <s v="017-2210-000"/>
    <s v="Liquor Sales"/>
    <n v="1136.3219999999999"/>
    <n v="0"/>
    <s v="Daily Sales Import"/>
    <n v="-1136.3219999999999"/>
    <n v="1136.3219999999999"/>
    <x v="1"/>
    <s v="2210"/>
    <s v="000"/>
    <x v="2"/>
    <x v="1"/>
  </r>
  <r>
    <d v="2012-12-28T00:00:00"/>
    <s v="017-2220-000"/>
    <s v="Beer Sales"/>
    <n v="301.3956"/>
    <n v="0"/>
    <s v="Daily Sales Import"/>
    <n v="-301.3956"/>
    <n v="301.3956"/>
    <x v="1"/>
    <s v="2220"/>
    <s v="000"/>
    <x v="2"/>
    <x v="1"/>
  </r>
  <r>
    <d v="2012-12-28T00:00:00"/>
    <s v="017-2230-000"/>
    <s v="Wine Sales"/>
    <n v="68.190400000000011"/>
    <n v="0"/>
    <s v="Daily Sales Import"/>
    <n v="-68.190400000000011"/>
    <n v="68.190400000000011"/>
    <x v="1"/>
    <s v="2230"/>
    <s v="000"/>
    <x v="2"/>
    <x v="1"/>
  </r>
  <r>
    <d v="2012-12-29T00:00:00"/>
    <s v="017-2100-000"/>
    <s v="Food Sales"/>
    <n v="6975.2704000000003"/>
    <n v="0"/>
    <s v="Daily Sales Import"/>
    <n v="-6975.2704000000003"/>
    <n v="6975.2704000000003"/>
    <x v="1"/>
    <s v="2100"/>
    <s v="000"/>
    <x v="2"/>
    <x v="1"/>
  </r>
  <r>
    <d v="2012-12-29T00:00:00"/>
    <s v="017-2210-000"/>
    <s v="Liquor Sales"/>
    <n v="1707.2195999999999"/>
    <n v="0"/>
    <s v="Daily Sales Import"/>
    <n v="-1707.2195999999999"/>
    <n v="1707.2195999999999"/>
    <x v="1"/>
    <s v="2210"/>
    <s v="000"/>
    <x v="2"/>
    <x v="1"/>
  </r>
  <r>
    <d v="2012-12-29T00:00:00"/>
    <s v="017-2220-000"/>
    <s v="Beer Sales"/>
    <n v="533.46680000000003"/>
    <n v="0"/>
    <s v="Daily Sales Import"/>
    <n v="-533.46680000000003"/>
    <n v="533.46680000000003"/>
    <x v="1"/>
    <s v="2220"/>
    <s v="000"/>
    <x v="2"/>
    <x v="1"/>
  </r>
  <r>
    <d v="2012-12-29T00:00:00"/>
    <s v="017-2230-000"/>
    <s v="Wine Sales"/>
    <n v="307.65900000000005"/>
    <n v="0"/>
    <s v="Daily Sales Import"/>
    <n v="-307.65900000000005"/>
    <n v="307.65900000000005"/>
    <x v="1"/>
    <s v="2230"/>
    <s v="000"/>
    <x v="2"/>
    <x v="1"/>
  </r>
  <r>
    <d v="2012-12-30T00:00:00"/>
    <s v="017-2100-000"/>
    <s v="Food Sales"/>
    <n v="5528.5144"/>
    <n v="0"/>
    <s v="Daily Sales Import"/>
    <n v="-5528.5144"/>
    <n v="5528.5144"/>
    <x v="1"/>
    <s v="2100"/>
    <s v="000"/>
    <x v="2"/>
    <x v="1"/>
  </r>
  <r>
    <d v="2012-12-30T00:00:00"/>
    <s v="017-2210-000"/>
    <s v="Liquor Sales"/>
    <n v="872.60800000000006"/>
    <n v="0"/>
    <s v="Daily Sales Import"/>
    <n v="-872.60800000000006"/>
    <n v="872.60800000000006"/>
    <x v="1"/>
    <s v="2210"/>
    <s v="000"/>
    <x v="2"/>
    <x v="1"/>
  </r>
  <r>
    <d v="2012-12-30T00:00:00"/>
    <s v="017-2220-000"/>
    <s v="Beer Sales"/>
    <n v="117.60359999999999"/>
    <n v="0"/>
    <s v="Daily Sales Import"/>
    <n v="-117.60359999999999"/>
    <n v="117.60359999999999"/>
    <x v="1"/>
    <s v="2220"/>
    <s v="000"/>
    <x v="2"/>
    <x v="1"/>
  </r>
  <r>
    <d v="2012-12-30T00:00:00"/>
    <s v="017-2230-000"/>
    <s v="Wine Sales"/>
    <n v="83.197199999999995"/>
    <n v="0"/>
    <s v="Daily Sales Import"/>
    <n v="-83.197199999999995"/>
    <n v="83.197199999999995"/>
    <x v="1"/>
    <s v="2230"/>
    <s v="000"/>
    <x v="2"/>
    <x v="1"/>
  </r>
  <r>
    <d v="2012-12-24T00:00:00"/>
    <s v="018-2100-000"/>
    <s v="Food Sales"/>
    <n v="5707.3420000000006"/>
    <n v="0"/>
    <s v="Daily Sales Import"/>
    <n v="-5707.3420000000006"/>
    <n v="5707.3420000000006"/>
    <x v="2"/>
    <s v="2100"/>
    <s v="000"/>
    <x v="2"/>
    <x v="1"/>
  </r>
  <r>
    <d v="2012-12-24T00:00:00"/>
    <s v="018-2210-000"/>
    <s v="Liquor Sales"/>
    <n v="1079.424"/>
    <n v="0"/>
    <s v="Daily Sales Import"/>
    <n v="-1079.424"/>
    <n v="1079.424"/>
    <x v="2"/>
    <s v="2210"/>
    <s v="000"/>
    <x v="2"/>
    <x v="1"/>
  </r>
  <r>
    <d v="2012-12-24T00:00:00"/>
    <s v="018-2220-000"/>
    <s v="Beer Sales"/>
    <n v="219.73589999999999"/>
    <n v="0"/>
    <s v="Daily Sales Import"/>
    <n v="-219.73589999999999"/>
    <n v="219.73589999999999"/>
    <x v="2"/>
    <s v="2220"/>
    <s v="000"/>
    <x v="2"/>
    <x v="1"/>
  </r>
  <r>
    <d v="2012-12-24T00:00:00"/>
    <s v="018-2230-000"/>
    <s v="Wine Sales"/>
    <n v="34.750799999999998"/>
    <n v="0"/>
    <s v="Daily Sales Import"/>
    <n v="-34.750799999999998"/>
    <n v="34.750799999999998"/>
    <x v="2"/>
    <s v="2230"/>
    <s v="000"/>
    <x v="2"/>
    <x v="1"/>
  </r>
  <r>
    <d v="2012-12-26T00:00:00"/>
    <s v="018-2100-000"/>
    <s v="Food Sales"/>
    <n v="5861.7432000000008"/>
    <n v="0"/>
    <s v="Daily Sales Import"/>
    <n v="-5861.7432000000008"/>
    <n v="5861.7432000000008"/>
    <x v="2"/>
    <s v="2100"/>
    <s v="000"/>
    <x v="2"/>
    <x v="1"/>
  </r>
  <r>
    <d v="2012-12-26T00:00:00"/>
    <s v="018-2210-000"/>
    <s v="Liquor Sales"/>
    <n v="715.70690000000002"/>
    <n v="0"/>
    <s v="Daily Sales Import"/>
    <n v="-715.70690000000002"/>
    <n v="715.70690000000002"/>
    <x v="2"/>
    <s v="2210"/>
    <s v="000"/>
    <x v="2"/>
    <x v="1"/>
  </r>
  <r>
    <d v="2012-12-26T00:00:00"/>
    <s v="018-2220-000"/>
    <s v="Beer Sales"/>
    <n v="173.0547"/>
    <n v="0"/>
    <s v="Daily Sales Import"/>
    <n v="-173.0547"/>
    <n v="173.0547"/>
    <x v="2"/>
    <s v="2220"/>
    <s v="000"/>
    <x v="2"/>
    <x v="1"/>
  </r>
  <r>
    <d v="2012-12-26T00:00:00"/>
    <s v="018-2230-000"/>
    <s v="Wine Sales"/>
    <n v="89.436099999999996"/>
    <n v="0"/>
    <s v="Daily Sales Import"/>
    <n v="-89.436099999999996"/>
    <n v="89.436099999999996"/>
    <x v="2"/>
    <s v="2230"/>
    <s v="000"/>
    <x v="2"/>
    <x v="1"/>
  </r>
  <r>
    <d v="2012-12-27T00:00:00"/>
    <s v="018-2100-000"/>
    <s v="Food Sales"/>
    <n v="9834.2915999999987"/>
    <n v="0"/>
    <s v="Daily Sales Import"/>
    <n v="-9834.2915999999987"/>
    <n v="9834.2915999999987"/>
    <x v="2"/>
    <s v="2100"/>
    <s v="000"/>
    <x v="2"/>
    <x v="1"/>
  </r>
  <r>
    <d v="2012-12-27T00:00:00"/>
    <s v="018-2210-000"/>
    <s v="Liquor Sales"/>
    <n v="1539.0464000000002"/>
    <n v="0"/>
    <s v="Daily Sales Import"/>
    <n v="-1539.0464000000002"/>
    <n v="1539.0464000000002"/>
    <x v="2"/>
    <s v="2210"/>
    <s v="000"/>
    <x v="2"/>
    <x v="1"/>
  </r>
  <r>
    <d v="2012-12-27T00:00:00"/>
    <s v="018-2220-000"/>
    <s v="Beer Sales"/>
    <n v="448.11630000000002"/>
    <n v="0"/>
    <s v="Daily Sales Import"/>
    <n v="-448.11630000000002"/>
    <n v="448.11630000000002"/>
    <x v="2"/>
    <s v="2220"/>
    <s v="000"/>
    <x v="2"/>
    <x v="1"/>
  </r>
  <r>
    <d v="2012-12-27T00:00:00"/>
    <s v="018-2230-000"/>
    <s v="Wine Sales"/>
    <n v="126.35040000000001"/>
    <n v="0"/>
    <s v="Daily Sales Import"/>
    <n v="-126.35040000000001"/>
    <n v="126.35040000000001"/>
    <x v="2"/>
    <s v="2230"/>
    <s v="000"/>
    <x v="2"/>
    <x v="1"/>
  </r>
  <r>
    <d v="2012-12-28T00:00:00"/>
    <s v="018-2100-000"/>
    <s v="Food Sales"/>
    <n v="11958.145199999999"/>
    <n v="0"/>
    <s v="Daily Sales Import"/>
    <n v="-11958.145199999999"/>
    <n v="11958.145199999999"/>
    <x v="2"/>
    <s v="2100"/>
    <s v="000"/>
    <x v="2"/>
    <x v="1"/>
  </r>
  <r>
    <d v="2012-12-28T00:00:00"/>
    <s v="018-2210-000"/>
    <s v="Liquor Sales"/>
    <n v="2425.2185999999997"/>
    <n v="0"/>
    <s v="Daily Sales Import"/>
    <n v="-2425.2185999999997"/>
    <n v="2425.2185999999997"/>
    <x v="2"/>
    <s v="2210"/>
    <s v="000"/>
    <x v="2"/>
    <x v="1"/>
  </r>
  <r>
    <d v="2012-12-28T00:00:00"/>
    <s v="018-2220-000"/>
    <s v="Beer Sales"/>
    <n v="475.03890000000001"/>
    <n v="0"/>
    <s v="Daily Sales Import"/>
    <n v="-475.03890000000001"/>
    <n v="475.03890000000001"/>
    <x v="2"/>
    <s v="2220"/>
    <s v="000"/>
    <x v="2"/>
    <x v="1"/>
  </r>
  <r>
    <d v="2012-12-28T00:00:00"/>
    <s v="018-2230-000"/>
    <s v="Wine Sales"/>
    <n v="199.94480000000001"/>
    <n v="0"/>
    <s v="Daily Sales Import"/>
    <n v="-199.94480000000001"/>
    <n v="199.94480000000001"/>
    <x v="2"/>
    <s v="2230"/>
    <s v="000"/>
    <x v="2"/>
    <x v="1"/>
  </r>
  <r>
    <d v="2012-12-29T00:00:00"/>
    <s v="018-2100-000"/>
    <s v="Food Sales"/>
    <n v="15109.138400000002"/>
    <n v="0"/>
    <s v="Daily Sales Import"/>
    <n v="-15109.138400000002"/>
    <n v="15109.138400000002"/>
    <x v="2"/>
    <s v="2100"/>
    <s v="000"/>
    <x v="2"/>
    <x v="1"/>
  </r>
  <r>
    <d v="2012-12-29T00:00:00"/>
    <s v="018-2210-000"/>
    <s v="Liquor Sales"/>
    <n v="1938.9160000000002"/>
    <n v="0"/>
    <s v="Daily Sales Import"/>
    <n v="-1938.9160000000002"/>
    <n v="1938.9160000000002"/>
    <x v="2"/>
    <s v="2210"/>
    <s v="000"/>
    <x v="2"/>
    <x v="1"/>
  </r>
  <r>
    <d v="2012-12-29T00:00:00"/>
    <s v="018-2220-000"/>
    <s v="Beer Sales"/>
    <n v="753.19920000000002"/>
    <n v="0"/>
    <s v="Daily Sales Import"/>
    <n v="-753.19920000000002"/>
    <n v="753.19920000000002"/>
    <x v="2"/>
    <s v="2220"/>
    <s v="000"/>
    <x v="2"/>
    <x v="1"/>
  </r>
  <r>
    <d v="2012-12-29T00:00:00"/>
    <s v="018-2230-000"/>
    <s v="Wine Sales"/>
    <n v="176.364"/>
    <n v="0"/>
    <s v="Daily Sales Import"/>
    <n v="-176.364"/>
    <n v="176.364"/>
    <x v="2"/>
    <s v="2230"/>
    <s v="000"/>
    <x v="2"/>
    <x v="1"/>
  </r>
  <r>
    <d v="2012-12-30T00:00:00"/>
    <s v="018-2100-000"/>
    <s v="Food Sales"/>
    <n v="8030.3759999999993"/>
    <n v="0"/>
    <s v="Daily Sales Import"/>
    <n v="-8030.3759999999993"/>
    <n v="8030.3759999999993"/>
    <x v="2"/>
    <s v="2100"/>
    <s v="000"/>
    <x v="2"/>
    <x v="1"/>
  </r>
  <r>
    <d v="2012-12-30T00:00:00"/>
    <s v="018-2210-000"/>
    <s v="Liquor Sales"/>
    <n v="1169.3184000000001"/>
    <n v="0"/>
    <s v="Daily Sales Import"/>
    <n v="-1169.3184000000001"/>
    <n v="1169.3184000000001"/>
    <x v="2"/>
    <s v="2210"/>
    <s v="000"/>
    <x v="2"/>
    <x v="1"/>
  </r>
  <r>
    <d v="2012-12-30T00:00:00"/>
    <s v="018-2220-000"/>
    <s v="Beer Sales"/>
    <n v="312.41250000000002"/>
    <n v="0"/>
    <s v="Daily Sales Import"/>
    <n v="-312.41250000000002"/>
    <n v="312.41250000000002"/>
    <x v="2"/>
    <s v="2220"/>
    <s v="000"/>
    <x v="2"/>
    <x v="1"/>
  </r>
  <r>
    <d v="2012-12-30T00:00:00"/>
    <s v="018-2230-000"/>
    <s v="Wine Sales"/>
    <n v="44.660000000000004"/>
    <n v="0"/>
    <s v="Daily Sales Import"/>
    <n v="-44.660000000000004"/>
    <n v="44.660000000000004"/>
    <x v="2"/>
    <s v="2230"/>
    <s v="000"/>
    <x v="2"/>
    <x v="1"/>
  </r>
  <r>
    <d v="2013-01-01T00:00:00"/>
    <s v="016-2100-000"/>
    <s v="Food Sales"/>
    <n v="9868.866"/>
    <n v="0"/>
    <s v="Daily Sales Import"/>
    <n v="-9868.866"/>
    <n v="9868.866"/>
    <x v="0"/>
    <s v="2100"/>
    <s v="000"/>
    <x v="3"/>
    <x v="2"/>
  </r>
  <r>
    <d v="2013-01-01T00:00:00"/>
    <s v="016-2210-000"/>
    <s v="Liquor Sales"/>
    <n v="1919.114"/>
    <n v="0"/>
    <s v="Daily Sales Import"/>
    <n v="-1919.114"/>
    <n v="1919.114"/>
    <x v="0"/>
    <s v="2210"/>
    <s v="000"/>
    <x v="3"/>
    <x v="2"/>
  </r>
  <r>
    <d v="2013-01-01T00:00:00"/>
    <s v="016-2220-000"/>
    <s v="Beer Sales"/>
    <n v="278.01900000000001"/>
    <n v="0"/>
    <s v="Daily Sales Import"/>
    <n v="-278.01900000000001"/>
    <n v="278.01900000000001"/>
    <x v="0"/>
    <s v="2220"/>
    <s v="000"/>
    <x v="3"/>
    <x v="2"/>
  </r>
  <r>
    <d v="2013-01-01T00:00:00"/>
    <s v="016-2230-000"/>
    <s v="Wine Sales"/>
    <n v="225.94110000000001"/>
    <n v="0"/>
    <s v="Daily Sales Import"/>
    <n v="-225.94110000000001"/>
    <n v="225.94110000000001"/>
    <x v="0"/>
    <s v="2230"/>
    <s v="000"/>
    <x v="3"/>
    <x v="2"/>
  </r>
  <r>
    <d v="2013-01-02T00:00:00"/>
    <s v="016-2100-000"/>
    <s v="Food Sales"/>
    <n v="6288.9204"/>
    <n v="0"/>
    <s v="Daily Sales Import"/>
    <n v="-6288.9204"/>
    <n v="6288.9204"/>
    <x v="0"/>
    <s v="2100"/>
    <s v="000"/>
    <x v="3"/>
    <x v="2"/>
  </r>
  <r>
    <d v="2013-01-02T00:00:00"/>
    <s v="016-2210-000"/>
    <s v="Liquor Sales"/>
    <n v="1022.3070000000001"/>
    <n v="0"/>
    <s v="Daily Sales Import"/>
    <n v="-1022.3070000000001"/>
    <n v="1022.3070000000001"/>
    <x v="0"/>
    <s v="2210"/>
    <s v="000"/>
    <x v="3"/>
    <x v="2"/>
  </r>
  <r>
    <d v="2013-01-02T00:00:00"/>
    <s v="016-2220-000"/>
    <s v="Beer Sales"/>
    <n v="150.8837"/>
    <n v="0"/>
    <s v="Daily Sales Import"/>
    <n v="-150.8837"/>
    <n v="150.8837"/>
    <x v="0"/>
    <s v="2220"/>
    <s v="000"/>
    <x v="3"/>
    <x v="2"/>
  </r>
  <r>
    <d v="2013-01-02T00:00:00"/>
    <s v="016-2230-000"/>
    <s v="Wine Sales"/>
    <n v="135.423"/>
    <n v="0"/>
    <s v="Daily Sales Import"/>
    <n v="-135.423"/>
    <n v="135.423"/>
    <x v="0"/>
    <s v="2230"/>
    <s v="000"/>
    <x v="3"/>
    <x v="2"/>
  </r>
  <r>
    <d v="2013-01-03T00:00:00"/>
    <s v="016-2100-000"/>
    <s v="Food Sales"/>
    <n v="3844.5772000000002"/>
    <n v="0"/>
    <s v="Daily Sales Import"/>
    <n v="-3844.5772000000002"/>
    <n v="3844.5772000000002"/>
    <x v="0"/>
    <s v="2100"/>
    <s v="000"/>
    <x v="3"/>
    <x v="2"/>
  </r>
  <r>
    <d v="2013-01-03T00:00:00"/>
    <s v="016-2210-000"/>
    <s v="Liquor Sales"/>
    <n v="765.69280000000003"/>
    <n v="0"/>
    <s v="Daily Sales Import"/>
    <n v="-765.69280000000003"/>
    <n v="765.69280000000003"/>
    <x v="0"/>
    <s v="2210"/>
    <s v="000"/>
    <x v="3"/>
    <x v="2"/>
  </r>
  <r>
    <d v="2013-01-03T00:00:00"/>
    <s v="016-2220-000"/>
    <s v="Beer Sales"/>
    <n v="204.34890000000001"/>
    <n v="0"/>
    <s v="Daily Sales Import"/>
    <n v="-204.34890000000001"/>
    <n v="204.34890000000001"/>
    <x v="0"/>
    <s v="2220"/>
    <s v="000"/>
    <x v="3"/>
    <x v="2"/>
  </r>
  <r>
    <d v="2013-01-03T00:00:00"/>
    <s v="016-2230-000"/>
    <s v="Wine Sales"/>
    <n v="98.945999999999998"/>
    <n v="0"/>
    <s v="Daily Sales Import"/>
    <n v="-98.945999999999998"/>
    <n v="98.945999999999998"/>
    <x v="0"/>
    <s v="2230"/>
    <s v="000"/>
    <x v="3"/>
    <x v="2"/>
  </r>
  <r>
    <d v="2013-01-04T00:00:00"/>
    <s v="016-2100-000"/>
    <s v="Food Sales"/>
    <n v="4734.2020000000002"/>
    <n v="0"/>
    <s v="Daily Sales Import"/>
    <n v="-4734.2020000000002"/>
    <n v="4734.2020000000002"/>
    <x v="0"/>
    <s v="2100"/>
    <s v="000"/>
    <x v="3"/>
    <x v="2"/>
  </r>
  <r>
    <d v="2013-01-04T00:00:00"/>
    <s v="016-2210-000"/>
    <s v="Liquor Sales"/>
    <n v="1835.184"/>
    <n v="0"/>
    <s v="Daily Sales Import"/>
    <n v="-1835.184"/>
    <n v="1835.184"/>
    <x v="0"/>
    <s v="2210"/>
    <s v="000"/>
    <x v="3"/>
    <x v="2"/>
  </r>
  <r>
    <d v="2013-01-04T00:00:00"/>
    <s v="016-2220-000"/>
    <s v="Beer Sales"/>
    <n v="393.7312"/>
    <n v="0"/>
    <s v="Daily Sales Import"/>
    <n v="-393.7312"/>
    <n v="393.7312"/>
    <x v="0"/>
    <s v="2220"/>
    <s v="000"/>
    <x v="3"/>
    <x v="2"/>
  </r>
  <r>
    <d v="2013-01-04T00:00:00"/>
    <s v="016-2230-000"/>
    <s v="Wine Sales"/>
    <n v="142.86099999999999"/>
    <n v="0"/>
    <s v="Daily Sales Import"/>
    <n v="-142.86099999999999"/>
    <n v="142.86099999999999"/>
    <x v="0"/>
    <s v="2230"/>
    <s v="000"/>
    <x v="3"/>
    <x v="2"/>
  </r>
  <r>
    <d v="2013-01-05T00:00:00"/>
    <s v="016-2100-000"/>
    <s v="Food Sales"/>
    <n v="8664.9440000000013"/>
    <n v="0"/>
    <s v="Daily Sales Import"/>
    <n v="-8664.9440000000013"/>
    <n v="8664.9440000000013"/>
    <x v="0"/>
    <s v="2100"/>
    <s v="000"/>
    <x v="3"/>
    <x v="2"/>
  </r>
  <r>
    <d v="2013-01-05T00:00:00"/>
    <s v="016-2210-000"/>
    <s v="Liquor Sales"/>
    <n v="2318.1471999999999"/>
    <n v="0"/>
    <s v="Daily Sales Import"/>
    <n v="-2318.1471999999999"/>
    <n v="2318.1471999999999"/>
    <x v="0"/>
    <s v="2210"/>
    <s v="000"/>
    <x v="3"/>
    <x v="2"/>
  </r>
  <r>
    <d v="2013-01-05T00:00:00"/>
    <s v="016-2220-000"/>
    <s v="Beer Sales"/>
    <n v="599.25600000000009"/>
    <n v="0"/>
    <s v="Daily Sales Import"/>
    <n v="-599.25600000000009"/>
    <n v="599.25600000000009"/>
    <x v="0"/>
    <s v="2220"/>
    <s v="000"/>
    <x v="3"/>
    <x v="2"/>
  </r>
  <r>
    <d v="2013-01-05T00:00:00"/>
    <s v="016-2230-000"/>
    <s v="Wine Sales"/>
    <n v="214.29100000000003"/>
    <n v="0"/>
    <s v="Daily Sales Import"/>
    <n v="-214.29100000000003"/>
    <n v="214.29100000000003"/>
    <x v="0"/>
    <s v="2230"/>
    <s v="000"/>
    <x v="3"/>
    <x v="2"/>
  </r>
  <r>
    <d v="2013-01-06T00:00:00"/>
    <s v="016-2100-000"/>
    <s v="Food Sales"/>
    <n v="4981.3679999999995"/>
    <n v="0"/>
    <s v="Daily Sales Import"/>
    <n v="-4981.3679999999995"/>
    <n v="4981.3679999999995"/>
    <x v="0"/>
    <s v="2100"/>
    <s v="000"/>
    <x v="3"/>
    <x v="2"/>
  </r>
  <r>
    <d v="2013-01-06T00:00:00"/>
    <s v="016-2210-000"/>
    <s v="Liquor Sales"/>
    <n v="726.68050000000005"/>
    <n v="0"/>
    <s v="Daily Sales Import"/>
    <n v="-726.68050000000005"/>
    <n v="726.68050000000005"/>
    <x v="0"/>
    <s v="2210"/>
    <s v="000"/>
    <x v="3"/>
    <x v="2"/>
  </r>
  <r>
    <d v="2013-01-06T00:00:00"/>
    <s v="016-2220-000"/>
    <s v="Beer Sales"/>
    <n v="192.6087"/>
    <n v="0"/>
    <s v="Daily Sales Import"/>
    <n v="-192.6087"/>
    <n v="192.6087"/>
    <x v="0"/>
    <s v="2220"/>
    <s v="000"/>
    <x v="3"/>
    <x v="2"/>
  </r>
  <r>
    <d v="2013-01-06T00:00:00"/>
    <s v="016-2230-000"/>
    <s v="Wine Sales"/>
    <n v="90.547199999999989"/>
    <n v="0"/>
    <s v="Daily Sales Import"/>
    <n v="-90.547199999999989"/>
    <n v="90.547199999999989"/>
    <x v="0"/>
    <s v="2230"/>
    <s v="000"/>
    <x v="3"/>
    <x v="2"/>
  </r>
  <r>
    <d v="2012-12-31T00:00:00"/>
    <s v="016-2100-000"/>
    <s v="Food Sales"/>
    <n v="6589.1932000000006"/>
    <n v="0"/>
    <s v="Daily Sales Import"/>
    <n v="-6589.1932000000006"/>
    <n v="6589.1932000000006"/>
    <x v="0"/>
    <s v="2100"/>
    <s v="000"/>
    <x v="2"/>
    <x v="1"/>
  </r>
  <r>
    <d v="2012-12-31T00:00:00"/>
    <s v="016-2210-000"/>
    <s v="Liquor Sales"/>
    <n v="1791.5040000000001"/>
    <n v="0"/>
    <s v="Daily Sales Import"/>
    <n v="-1791.5040000000001"/>
    <n v="1791.5040000000001"/>
    <x v="0"/>
    <s v="2210"/>
    <s v="000"/>
    <x v="2"/>
    <x v="1"/>
  </r>
  <r>
    <d v="2012-12-31T00:00:00"/>
    <s v="016-2220-000"/>
    <s v="Beer Sales"/>
    <n v="329.14080000000001"/>
    <n v="0"/>
    <s v="Daily Sales Import"/>
    <n v="-329.14080000000001"/>
    <n v="329.14080000000001"/>
    <x v="0"/>
    <s v="2220"/>
    <s v="000"/>
    <x v="2"/>
    <x v="1"/>
  </r>
  <r>
    <d v="2012-12-31T00:00:00"/>
    <s v="016-2230-000"/>
    <s v="Wine Sales"/>
    <n v="67.303600000000003"/>
    <n v="0"/>
    <s v="Daily Sales Import"/>
    <n v="-67.303600000000003"/>
    <n v="67.303600000000003"/>
    <x v="0"/>
    <s v="2230"/>
    <s v="000"/>
    <x v="2"/>
    <x v="1"/>
  </r>
  <r>
    <d v="2013-01-01T00:00:00"/>
    <s v="017-2100-000"/>
    <s v="Food Sales"/>
    <n v="2721.2666999999997"/>
    <n v="0"/>
    <s v="Daily Sales Import"/>
    <n v="-2721.2666999999997"/>
    <n v="2721.2666999999997"/>
    <x v="1"/>
    <s v="2100"/>
    <s v="000"/>
    <x v="3"/>
    <x v="2"/>
  </r>
  <r>
    <d v="2013-01-01T00:00:00"/>
    <s v="017-2210-000"/>
    <s v="Liquor Sales"/>
    <n v="575.85669999999993"/>
    <n v="0"/>
    <s v="Daily Sales Import"/>
    <n v="-575.85669999999993"/>
    <n v="575.85669999999993"/>
    <x v="1"/>
    <s v="2210"/>
    <s v="000"/>
    <x v="3"/>
    <x v="2"/>
  </r>
  <r>
    <d v="2013-01-01T00:00:00"/>
    <s v="017-2220-000"/>
    <s v="Beer Sales"/>
    <n v="102.53040000000001"/>
    <n v="0"/>
    <s v="Daily Sales Import"/>
    <n v="-102.53040000000001"/>
    <n v="102.53040000000001"/>
    <x v="1"/>
    <s v="2220"/>
    <s v="000"/>
    <x v="3"/>
    <x v="2"/>
  </r>
  <r>
    <d v="2013-01-01T00:00:00"/>
    <s v="017-2230-000"/>
    <s v="Wine Sales"/>
    <n v="34.486499999999999"/>
    <n v="0"/>
    <s v="Daily Sales Import"/>
    <n v="-34.486499999999999"/>
    <n v="34.486499999999999"/>
    <x v="1"/>
    <s v="2230"/>
    <s v="000"/>
    <x v="3"/>
    <x v="2"/>
  </r>
  <r>
    <d v="2013-01-02T00:00:00"/>
    <s v="017-2100-000"/>
    <s v="Food Sales"/>
    <n v="3304.6005"/>
    <n v="0"/>
    <s v="Daily Sales Import"/>
    <n v="-3304.6005"/>
    <n v="3304.6005"/>
    <x v="1"/>
    <s v="2100"/>
    <s v="000"/>
    <x v="3"/>
    <x v="2"/>
  </r>
  <r>
    <d v="2013-01-02T00:00:00"/>
    <s v="017-2210-000"/>
    <s v="Liquor Sales"/>
    <n v="589.56849999999997"/>
    <n v="0"/>
    <s v="Daily Sales Import"/>
    <n v="-589.56849999999997"/>
    <n v="589.56849999999997"/>
    <x v="1"/>
    <s v="2210"/>
    <s v="000"/>
    <x v="3"/>
    <x v="2"/>
  </r>
  <r>
    <d v="2013-01-02T00:00:00"/>
    <s v="017-2220-000"/>
    <s v="Beer Sales"/>
    <n v="178.03200000000001"/>
    <n v="0"/>
    <s v="Daily Sales Import"/>
    <n v="-178.03200000000001"/>
    <n v="178.03200000000001"/>
    <x v="1"/>
    <s v="2220"/>
    <s v="000"/>
    <x v="3"/>
    <x v="2"/>
  </r>
  <r>
    <d v="2013-01-02T00:00:00"/>
    <s v="017-2230-000"/>
    <s v="Wine Sales"/>
    <n v="20.044799999999999"/>
    <n v="0"/>
    <s v="Daily Sales Import"/>
    <n v="-20.044799999999999"/>
    <n v="20.044799999999999"/>
    <x v="1"/>
    <s v="2230"/>
    <s v="000"/>
    <x v="3"/>
    <x v="2"/>
  </r>
  <r>
    <d v="2013-01-03T00:00:00"/>
    <s v="017-2100-000"/>
    <s v="Food Sales"/>
    <n v="3326.0864000000001"/>
    <n v="0"/>
    <s v="Daily Sales Import"/>
    <n v="-3326.0864000000001"/>
    <n v="3326.0864000000001"/>
    <x v="1"/>
    <s v="2100"/>
    <s v="000"/>
    <x v="3"/>
    <x v="2"/>
  </r>
  <r>
    <d v="2013-01-03T00:00:00"/>
    <s v="017-2210-000"/>
    <s v="Liquor Sales"/>
    <n v="665.29399999999998"/>
    <n v="0"/>
    <s v="Daily Sales Import"/>
    <n v="-665.29399999999998"/>
    <n v="665.29399999999998"/>
    <x v="1"/>
    <s v="2210"/>
    <s v="000"/>
    <x v="3"/>
    <x v="2"/>
  </r>
  <r>
    <d v="2013-01-03T00:00:00"/>
    <s v="017-2220-000"/>
    <s v="Beer Sales"/>
    <n v="167.89919999999998"/>
    <n v="0"/>
    <s v="Daily Sales Import"/>
    <n v="-167.89919999999998"/>
    <n v="167.89919999999998"/>
    <x v="1"/>
    <s v="2220"/>
    <s v="000"/>
    <x v="3"/>
    <x v="2"/>
  </r>
  <r>
    <d v="2013-01-03T00:00:00"/>
    <s v="017-2230-000"/>
    <s v="Wine Sales"/>
    <n v="47.883599999999994"/>
    <n v="0"/>
    <s v="Daily Sales Import"/>
    <n v="-47.883599999999994"/>
    <n v="47.883599999999994"/>
    <x v="1"/>
    <s v="2230"/>
    <s v="000"/>
    <x v="3"/>
    <x v="2"/>
  </r>
  <r>
    <d v="2013-01-04T00:00:00"/>
    <s v="017-2100-000"/>
    <s v="Food Sales"/>
    <n v="9760.7991000000002"/>
    <n v="0"/>
    <s v="Daily Sales Import"/>
    <n v="-9760.7991000000002"/>
    <n v="9760.7991000000002"/>
    <x v="1"/>
    <s v="2100"/>
    <s v="000"/>
    <x v="3"/>
    <x v="2"/>
  </r>
  <r>
    <d v="2013-01-04T00:00:00"/>
    <s v="017-2210-000"/>
    <s v="Liquor Sales"/>
    <n v="3189.933"/>
    <n v="0"/>
    <s v="Daily Sales Import"/>
    <n v="-3189.933"/>
    <n v="3189.933"/>
    <x v="1"/>
    <s v="2210"/>
    <s v="000"/>
    <x v="3"/>
    <x v="2"/>
  </r>
  <r>
    <d v="2013-01-04T00:00:00"/>
    <s v="017-2220-000"/>
    <s v="Beer Sales"/>
    <n v="413.52400000000006"/>
    <n v="0"/>
    <s v="Daily Sales Import"/>
    <n v="-413.52400000000006"/>
    <n v="413.52400000000006"/>
    <x v="1"/>
    <s v="2220"/>
    <s v="000"/>
    <x v="3"/>
    <x v="2"/>
  </r>
  <r>
    <d v="2013-01-04T00:00:00"/>
    <s v="017-2230-000"/>
    <s v="Wine Sales"/>
    <n v="128.58419999999998"/>
    <n v="0"/>
    <s v="Daily Sales Import"/>
    <n v="-128.58419999999998"/>
    <n v="128.58419999999998"/>
    <x v="1"/>
    <s v="2230"/>
    <s v="000"/>
    <x v="3"/>
    <x v="2"/>
  </r>
  <r>
    <d v="2013-01-05T00:00:00"/>
    <s v="017-2100-000"/>
    <s v="Food Sales"/>
    <n v="4420.2280000000001"/>
    <n v="0"/>
    <s v="Daily Sales Import"/>
    <n v="-4420.2280000000001"/>
    <n v="4420.2280000000001"/>
    <x v="1"/>
    <s v="2100"/>
    <s v="000"/>
    <x v="3"/>
    <x v="2"/>
  </r>
  <r>
    <d v="2013-01-05T00:00:00"/>
    <s v="017-2210-000"/>
    <s v="Liquor Sales"/>
    <n v="1129.7041999999999"/>
    <n v="0"/>
    <s v="Daily Sales Import"/>
    <n v="-1129.7041999999999"/>
    <n v="1129.7041999999999"/>
    <x v="1"/>
    <s v="2210"/>
    <s v="000"/>
    <x v="3"/>
    <x v="2"/>
  </r>
  <r>
    <d v="2013-01-05T00:00:00"/>
    <s v="017-2220-000"/>
    <s v="Beer Sales"/>
    <n v="156.744"/>
    <n v="0"/>
    <s v="Daily Sales Import"/>
    <n v="-156.744"/>
    <n v="156.744"/>
    <x v="1"/>
    <s v="2220"/>
    <s v="000"/>
    <x v="3"/>
    <x v="2"/>
  </r>
  <r>
    <d v="2013-01-05T00:00:00"/>
    <s v="017-2230-000"/>
    <s v="Wine Sales"/>
    <n v="87.44959999999999"/>
    <n v="0"/>
    <s v="Daily Sales Import"/>
    <n v="-87.44959999999999"/>
    <n v="87.44959999999999"/>
    <x v="1"/>
    <s v="2230"/>
    <s v="000"/>
    <x v="3"/>
    <x v="2"/>
  </r>
  <r>
    <d v="2013-01-06T00:00:00"/>
    <s v="017-2100-000"/>
    <s v="Food Sales"/>
    <n v="3826.4358000000002"/>
    <n v="0"/>
    <s v="Daily Sales Import"/>
    <n v="-3826.4358000000002"/>
    <n v="3826.4358000000002"/>
    <x v="1"/>
    <s v="2100"/>
    <s v="000"/>
    <x v="3"/>
    <x v="2"/>
  </r>
  <r>
    <d v="2013-01-06T00:00:00"/>
    <s v="017-2210-000"/>
    <s v="Liquor Sales"/>
    <n v="1100.537"/>
    <n v="0"/>
    <s v="Daily Sales Import"/>
    <n v="-1100.537"/>
    <n v="1100.537"/>
    <x v="1"/>
    <s v="2210"/>
    <s v="000"/>
    <x v="3"/>
    <x v="2"/>
  </r>
  <r>
    <d v="2013-01-06T00:00:00"/>
    <s v="017-2220-000"/>
    <s v="Beer Sales"/>
    <n v="231.11779999999999"/>
    <n v="0"/>
    <s v="Daily Sales Import"/>
    <n v="-231.11779999999999"/>
    <n v="231.11779999999999"/>
    <x v="1"/>
    <s v="2220"/>
    <s v="000"/>
    <x v="3"/>
    <x v="2"/>
  </r>
  <r>
    <d v="2013-01-06T00:00:00"/>
    <s v="017-2230-000"/>
    <s v="Wine Sales"/>
    <n v="27.119499999999999"/>
    <n v="0"/>
    <s v="Daily Sales Import"/>
    <n v="-27.119499999999999"/>
    <n v="27.119499999999999"/>
    <x v="1"/>
    <s v="2230"/>
    <s v="000"/>
    <x v="3"/>
    <x v="2"/>
  </r>
  <r>
    <d v="2012-12-31T00:00:00"/>
    <s v="017-2100-000"/>
    <s v="Food Sales"/>
    <n v="3750.2820000000002"/>
    <n v="0"/>
    <s v="Daily Sales Import"/>
    <n v="-3750.2820000000002"/>
    <n v="3750.2820000000002"/>
    <x v="1"/>
    <s v="2100"/>
    <s v="000"/>
    <x v="2"/>
    <x v="1"/>
  </r>
  <r>
    <d v="2012-12-31T00:00:00"/>
    <s v="017-2210-000"/>
    <s v="Liquor Sales"/>
    <n v="1287.6697999999999"/>
    <n v="0"/>
    <s v="Daily Sales Import"/>
    <n v="-1287.6697999999999"/>
    <n v="1287.6697999999999"/>
    <x v="1"/>
    <s v="2210"/>
    <s v="000"/>
    <x v="2"/>
    <x v="1"/>
  </r>
  <r>
    <d v="2012-12-31T00:00:00"/>
    <s v="017-2220-000"/>
    <s v="Beer Sales"/>
    <n v="157.6677"/>
    <n v="0"/>
    <s v="Daily Sales Import"/>
    <n v="-157.6677"/>
    <n v="157.6677"/>
    <x v="1"/>
    <s v="2220"/>
    <s v="000"/>
    <x v="2"/>
    <x v="1"/>
  </r>
  <r>
    <d v="2012-12-31T00:00:00"/>
    <s v="017-2230-000"/>
    <s v="Wine Sales"/>
    <n v="102.9076"/>
    <n v="0"/>
    <s v="Daily Sales Import"/>
    <n v="-102.9076"/>
    <n v="102.9076"/>
    <x v="1"/>
    <s v="2230"/>
    <s v="000"/>
    <x v="2"/>
    <x v="1"/>
  </r>
  <r>
    <d v="2013-01-01T00:00:00"/>
    <s v="018-2100-000"/>
    <s v="Food Sales"/>
    <n v="5682.0661"/>
    <n v="0"/>
    <s v="Daily Sales Import"/>
    <n v="-5682.0661"/>
    <n v="5682.0661"/>
    <x v="2"/>
    <s v="2100"/>
    <s v="000"/>
    <x v="3"/>
    <x v="2"/>
  </r>
  <r>
    <d v="2013-01-01T00:00:00"/>
    <s v="018-2210-000"/>
    <s v="Liquor Sales"/>
    <n v="536.80340000000001"/>
    <n v="0"/>
    <s v="Daily Sales Import"/>
    <n v="-536.80340000000001"/>
    <n v="536.80340000000001"/>
    <x v="2"/>
    <s v="2210"/>
    <s v="000"/>
    <x v="3"/>
    <x v="2"/>
  </r>
  <r>
    <d v="2013-01-01T00:00:00"/>
    <s v="018-2220-000"/>
    <s v="Beer Sales"/>
    <n v="65.977500000000006"/>
    <n v="0"/>
    <s v="Daily Sales Import"/>
    <n v="-65.977500000000006"/>
    <n v="65.977500000000006"/>
    <x v="2"/>
    <s v="2220"/>
    <s v="000"/>
    <x v="3"/>
    <x v="2"/>
  </r>
  <r>
    <d v="2013-01-01T00:00:00"/>
    <s v="018-2230-000"/>
    <s v="Wine Sales"/>
    <n v="17.154500000000002"/>
    <n v="0"/>
    <s v="Daily Sales Import"/>
    <n v="-17.154500000000002"/>
    <n v="17.154500000000002"/>
    <x v="2"/>
    <s v="2230"/>
    <s v="000"/>
    <x v="3"/>
    <x v="2"/>
  </r>
  <r>
    <d v="2013-01-02T00:00:00"/>
    <s v="018-2100-000"/>
    <s v="Food Sales"/>
    <n v="3760.1091000000001"/>
    <n v="0"/>
    <s v="Daily Sales Import"/>
    <n v="-3760.1091000000001"/>
    <n v="3760.1091000000001"/>
    <x v="2"/>
    <s v="2100"/>
    <s v="000"/>
    <x v="3"/>
    <x v="2"/>
  </r>
  <r>
    <d v="2013-01-02T00:00:00"/>
    <s v="018-2210-000"/>
    <s v="Liquor Sales"/>
    <n v="368.78429999999997"/>
    <n v="0"/>
    <s v="Daily Sales Import"/>
    <n v="-368.78429999999997"/>
    <n v="368.78429999999997"/>
    <x v="2"/>
    <s v="2210"/>
    <s v="000"/>
    <x v="3"/>
    <x v="2"/>
  </r>
  <r>
    <d v="2013-01-02T00:00:00"/>
    <s v="018-2220-000"/>
    <s v="Beer Sales"/>
    <n v="59.286900000000003"/>
    <n v="0"/>
    <s v="Daily Sales Import"/>
    <n v="-59.286900000000003"/>
    <n v="59.286900000000003"/>
    <x v="2"/>
    <s v="2220"/>
    <s v="000"/>
    <x v="3"/>
    <x v="2"/>
  </r>
  <r>
    <d v="2013-01-02T00:00:00"/>
    <s v="018-2230-000"/>
    <s v="Wine Sales"/>
    <n v="109.81079999999999"/>
    <n v="0"/>
    <s v="Daily Sales Import"/>
    <n v="-109.81079999999999"/>
    <n v="109.81079999999999"/>
    <x v="2"/>
    <s v="2230"/>
    <s v="000"/>
    <x v="3"/>
    <x v="2"/>
  </r>
  <r>
    <d v="2013-01-03T00:00:00"/>
    <s v="018-2100-000"/>
    <s v="Food Sales"/>
    <n v="3997.7426999999998"/>
    <n v="0"/>
    <s v="Daily Sales Import"/>
    <n v="-3997.7426999999998"/>
    <n v="3997.7426999999998"/>
    <x v="2"/>
    <s v="2100"/>
    <s v="000"/>
    <x v="3"/>
    <x v="2"/>
  </r>
  <r>
    <d v="2013-01-03T00:00:00"/>
    <s v="018-2210-000"/>
    <s v="Liquor Sales"/>
    <n v="886.04399999999998"/>
    <n v="0"/>
    <s v="Daily Sales Import"/>
    <n v="-886.04399999999998"/>
    <n v="886.04399999999998"/>
    <x v="2"/>
    <s v="2210"/>
    <s v="000"/>
    <x v="3"/>
    <x v="2"/>
  </r>
  <r>
    <d v="2013-01-03T00:00:00"/>
    <s v="018-2220-000"/>
    <s v="Beer Sales"/>
    <n v="143.03459999999998"/>
    <n v="0"/>
    <s v="Daily Sales Import"/>
    <n v="-143.03459999999998"/>
    <n v="143.03459999999998"/>
    <x v="2"/>
    <s v="2220"/>
    <s v="000"/>
    <x v="3"/>
    <x v="2"/>
  </r>
  <r>
    <d v="2013-01-03T00:00:00"/>
    <s v="018-2230-000"/>
    <s v="Wine Sales"/>
    <n v="6.2322000000000006"/>
    <n v="0"/>
    <s v="Daily Sales Import"/>
    <n v="-6.2322000000000006"/>
    <n v="6.2322000000000006"/>
    <x v="2"/>
    <s v="2230"/>
    <s v="000"/>
    <x v="3"/>
    <x v="2"/>
  </r>
  <r>
    <d v="2013-01-04T00:00:00"/>
    <s v="018-2100-000"/>
    <s v="Food Sales"/>
    <n v="9671.7321000000011"/>
    <n v="0"/>
    <s v="Daily Sales Import"/>
    <n v="-9671.7321000000011"/>
    <n v="9671.7321000000011"/>
    <x v="2"/>
    <s v="2100"/>
    <s v="000"/>
    <x v="3"/>
    <x v="2"/>
  </r>
  <r>
    <d v="2013-01-04T00:00:00"/>
    <s v="018-2210-000"/>
    <s v="Liquor Sales"/>
    <n v="2279.5415999999996"/>
    <n v="0"/>
    <s v="Daily Sales Import"/>
    <n v="-2279.5415999999996"/>
    <n v="2279.5415999999996"/>
    <x v="2"/>
    <s v="2210"/>
    <s v="000"/>
    <x v="3"/>
    <x v="2"/>
  </r>
  <r>
    <d v="2013-01-04T00:00:00"/>
    <s v="018-2220-000"/>
    <s v="Beer Sales"/>
    <n v="467.15140000000002"/>
    <n v="0"/>
    <s v="Daily Sales Import"/>
    <n v="-467.15140000000002"/>
    <n v="467.15140000000002"/>
    <x v="2"/>
    <s v="2220"/>
    <s v="000"/>
    <x v="3"/>
    <x v="2"/>
  </r>
  <r>
    <d v="2013-01-04T00:00:00"/>
    <s v="018-2230-000"/>
    <s v="Wine Sales"/>
    <n v="145.5684"/>
    <n v="0"/>
    <s v="Daily Sales Import"/>
    <n v="-145.5684"/>
    <n v="145.5684"/>
    <x v="2"/>
    <s v="2230"/>
    <s v="000"/>
    <x v="3"/>
    <x v="2"/>
  </r>
  <r>
    <d v="2013-01-05T00:00:00"/>
    <s v="018-2100-000"/>
    <s v="Food Sales"/>
    <n v="15242.035199999998"/>
    <n v="0"/>
    <s v="Daily Sales Import"/>
    <n v="-15242.035199999998"/>
    <n v="15242.035199999998"/>
    <x v="2"/>
    <s v="2100"/>
    <s v="000"/>
    <x v="3"/>
    <x v="2"/>
  </r>
  <r>
    <d v="2013-01-05T00:00:00"/>
    <s v="018-2210-000"/>
    <s v="Liquor Sales"/>
    <n v="2785.3272000000002"/>
    <n v="0"/>
    <s v="Daily Sales Import"/>
    <n v="-2785.3272000000002"/>
    <n v="2785.3272000000002"/>
    <x v="2"/>
    <s v="2210"/>
    <s v="000"/>
    <x v="3"/>
    <x v="2"/>
  </r>
  <r>
    <d v="2013-01-05T00:00:00"/>
    <s v="018-2220-000"/>
    <s v="Beer Sales"/>
    <n v="827.7056"/>
    <n v="0"/>
    <s v="Daily Sales Import"/>
    <n v="-827.7056"/>
    <n v="827.7056"/>
    <x v="2"/>
    <s v="2220"/>
    <s v="000"/>
    <x v="3"/>
    <x v="2"/>
  </r>
  <r>
    <d v="2013-01-05T00:00:00"/>
    <s v="018-2230-000"/>
    <s v="Wine Sales"/>
    <n v="62.485200000000006"/>
    <n v="0"/>
    <s v="Daily Sales Import"/>
    <n v="-62.485200000000006"/>
    <n v="62.485200000000006"/>
    <x v="2"/>
    <s v="2230"/>
    <s v="000"/>
    <x v="3"/>
    <x v="2"/>
  </r>
  <r>
    <d v="2013-01-06T00:00:00"/>
    <s v="018-2100-000"/>
    <s v="Food Sales"/>
    <n v="8104.1223999999993"/>
    <n v="0"/>
    <s v="Daily Sales Import"/>
    <n v="-8104.1223999999993"/>
    <n v="8104.1223999999993"/>
    <x v="2"/>
    <s v="2100"/>
    <s v="000"/>
    <x v="3"/>
    <x v="2"/>
  </r>
  <r>
    <d v="2013-01-06T00:00:00"/>
    <s v="018-2210-000"/>
    <s v="Liquor Sales"/>
    <n v="909.43739999999991"/>
    <n v="0"/>
    <s v="Daily Sales Import"/>
    <n v="-909.43739999999991"/>
    <n v="909.43739999999991"/>
    <x v="2"/>
    <s v="2210"/>
    <s v="000"/>
    <x v="3"/>
    <x v="2"/>
  </r>
  <r>
    <d v="2013-01-06T00:00:00"/>
    <s v="018-2220-000"/>
    <s v="Beer Sales"/>
    <n v="179.18550000000002"/>
    <n v="0"/>
    <s v="Daily Sales Import"/>
    <n v="-179.18550000000002"/>
    <n v="179.18550000000002"/>
    <x v="2"/>
    <s v="2220"/>
    <s v="000"/>
    <x v="3"/>
    <x v="2"/>
  </r>
  <r>
    <d v="2013-01-06T00:00:00"/>
    <s v="018-2230-000"/>
    <s v="Wine Sales"/>
    <n v="45.525199999999998"/>
    <n v="0"/>
    <s v="Daily Sales Import"/>
    <n v="-45.525199999999998"/>
    <n v="45.525199999999998"/>
    <x v="2"/>
    <s v="2230"/>
    <s v="000"/>
    <x v="3"/>
    <x v="2"/>
  </r>
  <r>
    <d v="2012-12-31T00:00:00"/>
    <s v="018-2100-000"/>
    <s v="Food Sales"/>
    <n v="8910.1427999999996"/>
    <n v="0"/>
    <s v="Daily Sales Import"/>
    <n v="-8910.1427999999996"/>
    <n v="8910.1427999999996"/>
    <x v="2"/>
    <s v="2100"/>
    <s v="000"/>
    <x v="2"/>
    <x v="1"/>
  </r>
  <r>
    <d v="2012-12-31T00:00:00"/>
    <s v="018-2210-000"/>
    <s v="Liquor Sales"/>
    <n v="1421.5619999999999"/>
    <n v="0"/>
    <s v="Daily Sales Import"/>
    <n v="-1421.5619999999999"/>
    <n v="1421.5619999999999"/>
    <x v="2"/>
    <s v="2210"/>
    <s v="000"/>
    <x v="2"/>
    <x v="1"/>
  </r>
  <r>
    <d v="2012-12-31T00:00:00"/>
    <s v="018-2220-000"/>
    <s v="Beer Sales"/>
    <n v="416.74600000000004"/>
    <n v="0"/>
    <s v="Daily Sales Import"/>
    <n v="-416.74600000000004"/>
    <n v="416.74600000000004"/>
    <x v="2"/>
    <s v="2220"/>
    <s v="000"/>
    <x v="2"/>
    <x v="1"/>
  </r>
  <r>
    <d v="2012-12-31T00:00:00"/>
    <s v="018-2230-000"/>
    <s v="Wine Sales"/>
    <n v="139.98420000000002"/>
    <n v="0"/>
    <s v="Daily Sales Import"/>
    <n v="-139.98420000000002"/>
    <n v="139.98420000000002"/>
    <x v="2"/>
    <s v="2230"/>
    <s v="000"/>
    <x v="2"/>
    <x v="1"/>
  </r>
  <r>
    <d v="2013-01-07T00:00:00"/>
    <s v="016-2100-000"/>
    <s v="Food Sales"/>
    <n v="1992.441"/>
    <n v="0"/>
    <s v="Daily Sales Import"/>
    <n v="-1992.441"/>
    <n v="1992.441"/>
    <x v="0"/>
    <s v="2100"/>
    <s v="000"/>
    <x v="3"/>
    <x v="2"/>
  </r>
  <r>
    <d v="2013-01-07T00:00:00"/>
    <s v="016-2210-000"/>
    <s v="Liquor Sales"/>
    <n v="564.89300000000003"/>
    <n v="0"/>
    <s v="Daily Sales Import"/>
    <n v="-564.89300000000003"/>
    <n v="564.89300000000003"/>
    <x v="0"/>
    <s v="2210"/>
    <s v="000"/>
    <x v="3"/>
    <x v="2"/>
  </r>
  <r>
    <d v="2013-01-07T00:00:00"/>
    <s v="016-2220-000"/>
    <s v="Beer Sales"/>
    <n v="148.98240000000001"/>
    <n v="0"/>
    <s v="Daily Sales Import"/>
    <n v="-148.98240000000001"/>
    <n v="148.98240000000001"/>
    <x v="0"/>
    <s v="2220"/>
    <s v="000"/>
    <x v="3"/>
    <x v="2"/>
  </r>
  <r>
    <d v="2013-01-07T00:00:00"/>
    <s v="016-2230-000"/>
    <s v="Wine Sales"/>
    <n v="13.8474"/>
    <n v="0"/>
    <s v="Daily Sales Import"/>
    <n v="-13.8474"/>
    <n v="13.8474"/>
    <x v="0"/>
    <s v="2230"/>
    <s v="000"/>
    <x v="3"/>
    <x v="2"/>
  </r>
  <r>
    <d v="2013-01-08T00:00:00"/>
    <s v="016-2100-000"/>
    <s v="Food Sales"/>
    <n v="4546.4809999999998"/>
    <n v="0"/>
    <s v="Daily Sales Import"/>
    <n v="-4546.4809999999998"/>
    <n v="4546.4809999999998"/>
    <x v="0"/>
    <s v="2100"/>
    <s v="000"/>
    <x v="3"/>
    <x v="2"/>
  </r>
  <r>
    <d v="2013-01-08T00:00:00"/>
    <s v="016-2210-000"/>
    <s v="Liquor Sales"/>
    <n v="2090.7000000000003"/>
    <n v="0"/>
    <s v="Daily Sales Import"/>
    <n v="-2090.7000000000003"/>
    <n v="2090.7000000000003"/>
    <x v="0"/>
    <s v="2210"/>
    <s v="000"/>
    <x v="3"/>
    <x v="2"/>
  </r>
  <r>
    <d v="2013-01-08T00:00:00"/>
    <s v="016-2220-000"/>
    <s v="Beer Sales"/>
    <n v="471.76199999999994"/>
    <n v="0"/>
    <s v="Daily Sales Import"/>
    <n v="-471.76199999999994"/>
    <n v="471.76199999999994"/>
    <x v="0"/>
    <s v="2220"/>
    <s v="000"/>
    <x v="3"/>
    <x v="2"/>
  </r>
  <r>
    <d v="2013-01-08T00:00:00"/>
    <s v="016-2230-000"/>
    <s v="Wine Sales"/>
    <n v="135.04319999999998"/>
    <n v="0"/>
    <s v="Daily Sales Import"/>
    <n v="-135.04319999999998"/>
    <n v="135.04319999999998"/>
    <x v="0"/>
    <s v="2230"/>
    <s v="000"/>
    <x v="3"/>
    <x v="2"/>
  </r>
  <r>
    <d v="2013-01-09T00:00:00"/>
    <s v="016-2100-000"/>
    <s v="Food Sales"/>
    <n v="3351.4344000000001"/>
    <n v="0"/>
    <s v="Daily Sales Import"/>
    <n v="-3351.4344000000001"/>
    <n v="3351.4344000000001"/>
    <x v="0"/>
    <s v="2100"/>
    <s v="000"/>
    <x v="3"/>
    <x v="2"/>
  </r>
  <r>
    <d v="2013-01-09T00:00:00"/>
    <s v="016-2210-000"/>
    <s v="Liquor Sales"/>
    <n v="829.18550000000005"/>
    <n v="0"/>
    <s v="Daily Sales Import"/>
    <n v="-829.18550000000005"/>
    <n v="829.18550000000005"/>
    <x v="0"/>
    <s v="2210"/>
    <s v="000"/>
    <x v="3"/>
    <x v="2"/>
  </r>
  <r>
    <d v="2013-01-09T00:00:00"/>
    <s v="016-2220-000"/>
    <s v="Beer Sales"/>
    <n v="233.94540000000001"/>
    <n v="0"/>
    <s v="Daily Sales Import"/>
    <n v="-233.94540000000001"/>
    <n v="233.94540000000001"/>
    <x v="0"/>
    <s v="2220"/>
    <s v="000"/>
    <x v="3"/>
    <x v="2"/>
  </r>
  <r>
    <d v="2013-01-09T00:00:00"/>
    <s v="016-2230-000"/>
    <s v="Wine Sales"/>
    <n v="117.73439999999999"/>
    <n v="0"/>
    <s v="Daily Sales Import"/>
    <n v="-117.73439999999999"/>
    <n v="117.73439999999999"/>
    <x v="0"/>
    <s v="2230"/>
    <s v="000"/>
    <x v="3"/>
    <x v="2"/>
  </r>
  <r>
    <d v="2013-01-10T00:00:00"/>
    <s v="016-2100-000"/>
    <s v="Food Sales"/>
    <n v="4889.6120000000001"/>
    <n v="0"/>
    <s v="Daily Sales Import"/>
    <n v="-4889.6120000000001"/>
    <n v="4889.6120000000001"/>
    <x v="0"/>
    <s v="2100"/>
    <s v="000"/>
    <x v="3"/>
    <x v="2"/>
  </r>
  <r>
    <d v="2013-01-10T00:00:00"/>
    <s v="016-2210-000"/>
    <s v="Liquor Sales"/>
    <n v="684.20240000000001"/>
    <n v="0"/>
    <s v="Daily Sales Import"/>
    <n v="-684.20240000000001"/>
    <n v="684.20240000000001"/>
    <x v="0"/>
    <s v="2210"/>
    <s v="000"/>
    <x v="3"/>
    <x v="2"/>
  </r>
  <r>
    <d v="2013-01-10T00:00:00"/>
    <s v="016-2220-000"/>
    <s v="Beer Sales"/>
    <n v="260.54199999999997"/>
    <n v="0"/>
    <s v="Daily Sales Import"/>
    <n v="-260.54199999999997"/>
    <n v="260.54199999999997"/>
    <x v="0"/>
    <s v="2220"/>
    <s v="000"/>
    <x v="3"/>
    <x v="2"/>
  </r>
  <r>
    <d v="2013-01-10T00:00:00"/>
    <s v="016-2230-000"/>
    <s v="Wine Sales"/>
    <n v="97.593599999999995"/>
    <n v="0"/>
    <s v="Daily Sales Import"/>
    <n v="-97.593599999999995"/>
    <n v="97.593599999999995"/>
    <x v="0"/>
    <s v="2230"/>
    <s v="000"/>
    <x v="3"/>
    <x v="2"/>
  </r>
  <r>
    <d v="2013-01-11T00:00:00"/>
    <s v="016-2100-000"/>
    <s v="Food Sales"/>
    <n v="5161.0898999999999"/>
    <n v="0"/>
    <s v="Daily Sales Import"/>
    <n v="-5161.0898999999999"/>
    <n v="5161.0898999999999"/>
    <x v="0"/>
    <s v="2100"/>
    <s v="000"/>
    <x v="3"/>
    <x v="2"/>
  </r>
  <r>
    <d v="2013-01-11T00:00:00"/>
    <s v="016-2210-000"/>
    <s v="Liquor Sales"/>
    <n v="2721.2728999999999"/>
    <n v="0"/>
    <s v="Daily Sales Import"/>
    <n v="-2721.2728999999999"/>
    <n v="2721.2728999999999"/>
    <x v="0"/>
    <s v="2210"/>
    <s v="000"/>
    <x v="3"/>
    <x v="2"/>
  </r>
  <r>
    <d v="2013-01-11T00:00:00"/>
    <s v="016-2220-000"/>
    <s v="Beer Sales"/>
    <n v="497.63479999999993"/>
    <n v="0"/>
    <s v="Daily Sales Import"/>
    <n v="-497.63479999999993"/>
    <n v="497.63479999999993"/>
    <x v="0"/>
    <s v="2220"/>
    <s v="000"/>
    <x v="3"/>
    <x v="2"/>
  </r>
  <r>
    <d v="2013-01-11T00:00:00"/>
    <s v="016-2230-000"/>
    <s v="Wine Sales"/>
    <n v="208.7124"/>
    <n v="0"/>
    <s v="Daily Sales Import"/>
    <n v="-208.7124"/>
    <n v="208.7124"/>
    <x v="0"/>
    <s v="2230"/>
    <s v="000"/>
    <x v="3"/>
    <x v="2"/>
  </r>
  <r>
    <d v="2013-01-12T00:00:00"/>
    <s v="016-2100-000"/>
    <s v="Food Sales"/>
    <n v="8881.5512000000017"/>
    <n v="0"/>
    <s v="Daily Sales Import"/>
    <n v="-8881.5512000000017"/>
    <n v="8881.5512000000017"/>
    <x v="0"/>
    <s v="2100"/>
    <s v="000"/>
    <x v="3"/>
    <x v="2"/>
  </r>
  <r>
    <d v="2013-01-12T00:00:00"/>
    <s v="016-2210-000"/>
    <s v="Liquor Sales"/>
    <n v="2111.4589999999998"/>
    <n v="0"/>
    <s v="Daily Sales Import"/>
    <n v="-2111.4589999999998"/>
    <n v="2111.4589999999998"/>
    <x v="0"/>
    <s v="2210"/>
    <s v="000"/>
    <x v="3"/>
    <x v="2"/>
  </r>
  <r>
    <d v="2013-01-12T00:00:00"/>
    <s v="016-2220-000"/>
    <s v="Beer Sales"/>
    <n v="412.74360000000001"/>
    <n v="0"/>
    <s v="Daily Sales Import"/>
    <n v="-412.74360000000001"/>
    <n v="412.74360000000001"/>
    <x v="0"/>
    <s v="2220"/>
    <s v="000"/>
    <x v="3"/>
    <x v="2"/>
  </r>
  <r>
    <d v="2013-01-12T00:00:00"/>
    <s v="016-2230-000"/>
    <s v="Wine Sales"/>
    <n v="202.99369999999999"/>
    <n v="0"/>
    <s v="Daily Sales Import"/>
    <n v="-202.99369999999999"/>
    <n v="202.99369999999999"/>
    <x v="0"/>
    <s v="2230"/>
    <s v="000"/>
    <x v="3"/>
    <x v="2"/>
  </r>
  <r>
    <d v="2013-01-13T00:00:00"/>
    <s v="016-2100-000"/>
    <s v="Food Sales"/>
    <n v="5696.8099000000002"/>
    <n v="0"/>
    <s v="Daily Sales Import"/>
    <n v="-5696.8099000000002"/>
    <n v="5696.8099000000002"/>
    <x v="0"/>
    <s v="2100"/>
    <s v="000"/>
    <x v="3"/>
    <x v="2"/>
  </r>
  <r>
    <d v="2013-01-13T00:00:00"/>
    <s v="016-2210-000"/>
    <s v="Liquor Sales"/>
    <n v="1153.2885000000001"/>
    <n v="0"/>
    <s v="Daily Sales Import"/>
    <n v="-1153.2885000000001"/>
    <n v="1153.2885000000001"/>
    <x v="0"/>
    <s v="2210"/>
    <s v="000"/>
    <x v="3"/>
    <x v="2"/>
  </r>
  <r>
    <d v="2013-01-13T00:00:00"/>
    <s v="016-2220-000"/>
    <s v="Beer Sales"/>
    <n v="222.74479999999997"/>
    <n v="0"/>
    <s v="Daily Sales Import"/>
    <n v="-222.74479999999997"/>
    <n v="222.74479999999997"/>
    <x v="0"/>
    <s v="2220"/>
    <s v="000"/>
    <x v="3"/>
    <x v="2"/>
  </r>
  <r>
    <d v="2013-01-13T00:00:00"/>
    <s v="016-2230-000"/>
    <s v="Wine Sales"/>
    <n v="55.426800000000007"/>
    <n v="0"/>
    <s v="Daily Sales Import"/>
    <n v="-55.426800000000007"/>
    <n v="55.426800000000007"/>
    <x v="0"/>
    <s v="2230"/>
    <s v="000"/>
    <x v="3"/>
    <x v="2"/>
  </r>
  <r>
    <d v="2013-01-07T00:00:00"/>
    <s v="017-2100-000"/>
    <s v="Food Sales"/>
    <n v="3676.1327999999999"/>
    <n v="0"/>
    <s v="Daily Sales Import"/>
    <n v="-3676.1327999999999"/>
    <n v="3676.1327999999999"/>
    <x v="1"/>
    <s v="2100"/>
    <s v="000"/>
    <x v="3"/>
    <x v="2"/>
  </r>
  <r>
    <d v="2013-01-07T00:00:00"/>
    <s v="017-2210-000"/>
    <s v="Liquor Sales"/>
    <n v="676.21199999999999"/>
    <n v="0"/>
    <s v="Daily Sales Import"/>
    <n v="-676.21199999999999"/>
    <n v="676.21199999999999"/>
    <x v="1"/>
    <s v="2210"/>
    <s v="000"/>
    <x v="3"/>
    <x v="2"/>
  </r>
  <r>
    <d v="2013-01-07T00:00:00"/>
    <s v="017-2220-000"/>
    <s v="Beer Sales"/>
    <n v="288.392"/>
    <n v="0"/>
    <s v="Daily Sales Import"/>
    <n v="-288.392"/>
    <n v="288.392"/>
    <x v="1"/>
    <s v="2220"/>
    <s v="000"/>
    <x v="3"/>
    <x v="2"/>
  </r>
  <r>
    <d v="2013-01-07T00:00:00"/>
    <s v="017-2230-000"/>
    <s v="Wine Sales"/>
    <n v="70.435199999999995"/>
    <n v="0"/>
    <s v="Daily Sales Import"/>
    <n v="-70.435199999999995"/>
    <n v="70.435199999999995"/>
    <x v="1"/>
    <s v="2230"/>
    <s v="000"/>
    <x v="3"/>
    <x v="2"/>
  </r>
  <r>
    <d v="2013-01-08T00:00:00"/>
    <s v="017-2100-000"/>
    <s v="Food Sales"/>
    <n v="4735.8209000000006"/>
    <n v="0"/>
    <s v="Daily Sales Import"/>
    <n v="-4735.8209000000006"/>
    <n v="4735.8209000000006"/>
    <x v="1"/>
    <s v="2100"/>
    <s v="000"/>
    <x v="3"/>
    <x v="2"/>
  </r>
  <r>
    <d v="2013-01-08T00:00:00"/>
    <s v="017-2210-000"/>
    <s v="Liquor Sales"/>
    <n v="874.77"/>
    <n v="0"/>
    <s v="Daily Sales Import"/>
    <n v="-874.77"/>
    <n v="874.77"/>
    <x v="1"/>
    <s v="2210"/>
    <s v="000"/>
    <x v="3"/>
    <x v="2"/>
  </r>
  <r>
    <d v="2013-01-08T00:00:00"/>
    <s v="017-2220-000"/>
    <s v="Beer Sales"/>
    <n v="226.26"/>
    <n v="0"/>
    <s v="Daily Sales Import"/>
    <n v="-226.26"/>
    <n v="226.26"/>
    <x v="1"/>
    <s v="2220"/>
    <s v="000"/>
    <x v="3"/>
    <x v="2"/>
  </r>
  <r>
    <d v="2013-01-08T00:00:00"/>
    <s v="017-2230-000"/>
    <s v="Wine Sales"/>
    <n v="71.036000000000001"/>
    <n v="0"/>
    <s v="Daily Sales Import"/>
    <n v="-71.036000000000001"/>
    <n v="71.036000000000001"/>
    <x v="1"/>
    <s v="2230"/>
    <s v="000"/>
    <x v="3"/>
    <x v="2"/>
  </r>
  <r>
    <d v="2013-01-09T00:00:00"/>
    <s v="017-2100-000"/>
    <s v="Food Sales"/>
    <n v="6261.8734999999997"/>
    <n v="0"/>
    <s v="Daily Sales Import"/>
    <n v="-6261.8734999999997"/>
    <n v="6261.8734999999997"/>
    <x v="1"/>
    <s v="2100"/>
    <s v="000"/>
    <x v="3"/>
    <x v="2"/>
  </r>
  <r>
    <d v="2013-01-09T00:00:00"/>
    <s v="017-2210-000"/>
    <s v="Liquor Sales"/>
    <n v="1342.7656999999999"/>
    <n v="0"/>
    <s v="Daily Sales Import"/>
    <n v="-1342.7656999999999"/>
    <n v="1342.7656999999999"/>
    <x v="1"/>
    <s v="2210"/>
    <s v="000"/>
    <x v="3"/>
    <x v="2"/>
  </r>
  <r>
    <d v="2013-01-09T00:00:00"/>
    <s v="017-2220-000"/>
    <s v="Beer Sales"/>
    <n v="282.65719999999999"/>
    <n v="0"/>
    <s v="Daily Sales Import"/>
    <n v="-282.65719999999999"/>
    <n v="282.65719999999999"/>
    <x v="1"/>
    <s v="2220"/>
    <s v="000"/>
    <x v="3"/>
    <x v="2"/>
  </r>
  <r>
    <d v="2013-01-09T00:00:00"/>
    <s v="017-2230-000"/>
    <s v="Wine Sales"/>
    <n v="68.807000000000002"/>
    <n v="0"/>
    <s v="Daily Sales Import"/>
    <n v="-68.807000000000002"/>
    <n v="68.807000000000002"/>
    <x v="1"/>
    <s v="2230"/>
    <s v="000"/>
    <x v="3"/>
    <x v="2"/>
  </r>
  <r>
    <d v="2013-01-10T00:00:00"/>
    <s v="017-2100-000"/>
    <s v="Food Sales"/>
    <n v="3938.9845000000005"/>
    <n v="0"/>
    <s v="Daily Sales Import"/>
    <n v="-3938.9845000000005"/>
    <n v="3938.9845000000005"/>
    <x v="1"/>
    <s v="2100"/>
    <s v="000"/>
    <x v="3"/>
    <x v="2"/>
  </r>
  <r>
    <d v="2013-01-10T00:00:00"/>
    <s v="017-2210-000"/>
    <s v="Liquor Sales"/>
    <n v="1229.894"/>
    <n v="0"/>
    <s v="Daily Sales Import"/>
    <n v="-1229.894"/>
    <n v="1229.894"/>
    <x v="1"/>
    <s v="2210"/>
    <s v="000"/>
    <x v="3"/>
    <x v="2"/>
  </r>
  <r>
    <d v="2013-01-10T00:00:00"/>
    <s v="017-2220-000"/>
    <s v="Beer Sales"/>
    <n v="545.62080000000003"/>
    <n v="0"/>
    <s v="Daily Sales Import"/>
    <n v="-545.62080000000003"/>
    <n v="545.62080000000003"/>
    <x v="1"/>
    <s v="2220"/>
    <s v="000"/>
    <x v="3"/>
    <x v="2"/>
  </r>
  <r>
    <d v="2013-01-10T00:00:00"/>
    <s v="017-2230-000"/>
    <s v="Wine Sales"/>
    <n v="176.14959999999999"/>
    <n v="0"/>
    <s v="Daily Sales Import"/>
    <n v="-176.14959999999999"/>
    <n v="176.14959999999999"/>
    <x v="1"/>
    <s v="2230"/>
    <s v="000"/>
    <x v="3"/>
    <x v="2"/>
  </r>
  <r>
    <d v="2013-01-11T00:00:00"/>
    <s v="017-2100-000"/>
    <s v="Food Sales"/>
    <n v="8676.9600000000009"/>
    <n v="0"/>
    <s v="Daily Sales Import"/>
    <n v="-8676.9600000000009"/>
    <n v="8676.9600000000009"/>
    <x v="1"/>
    <s v="2100"/>
    <s v="000"/>
    <x v="3"/>
    <x v="2"/>
  </r>
  <r>
    <d v="2013-01-11T00:00:00"/>
    <s v="017-2210-000"/>
    <s v="Liquor Sales"/>
    <n v="2813.0432000000001"/>
    <n v="0"/>
    <s v="Daily Sales Import"/>
    <n v="-2813.0432000000001"/>
    <n v="2813.0432000000001"/>
    <x v="1"/>
    <s v="2210"/>
    <s v="000"/>
    <x v="3"/>
    <x v="2"/>
  </r>
  <r>
    <d v="2013-01-11T00:00:00"/>
    <s v="017-2220-000"/>
    <s v="Beer Sales"/>
    <n v="563.69929999999999"/>
    <n v="0"/>
    <s v="Daily Sales Import"/>
    <n v="-563.69929999999999"/>
    <n v="563.69929999999999"/>
    <x v="1"/>
    <s v="2220"/>
    <s v="000"/>
    <x v="3"/>
    <x v="2"/>
  </r>
  <r>
    <d v="2013-01-11T00:00:00"/>
    <s v="017-2230-000"/>
    <s v="Wine Sales"/>
    <n v="198.81359999999998"/>
    <n v="0"/>
    <s v="Daily Sales Import"/>
    <n v="-198.81359999999998"/>
    <n v="198.81359999999998"/>
    <x v="1"/>
    <s v="2230"/>
    <s v="000"/>
    <x v="3"/>
    <x v="2"/>
  </r>
  <r>
    <d v="2013-01-12T00:00:00"/>
    <s v="017-2100-000"/>
    <s v="Food Sales"/>
    <n v="8955.4833999999992"/>
    <n v="0"/>
    <s v="Daily Sales Import"/>
    <n v="-8955.4833999999992"/>
    <n v="8955.4833999999992"/>
    <x v="1"/>
    <s v="2100"/>
    <s v="000"/>
    <x v="3"/>
    <x v="2"/>
  </r>
  <r>
    <d v="2013-01-12T00:00:00"/>
    <s v="017-2210-000"/>
    <s v="Liquor Sales"/>
    <n v="1735.6239"/>
    <n v="0"/>
    <s v="Daily Sales Import"/>
    <n v="-1735.6239"/>
    <n v="1735.6239"/>
    <x v="1"/>
    <s v="2210"/>
    <s v="000"/>
    <x v="3"/>
    <x v="2"/>
  </r>
  <r>
    <d v="2013-01-12T00:00:00"/>
    <s v="017-2220-000"/>
    <s v="Beer Sales"/>
    <n v="478.48669999999998"/>
    <n v="0"/>
    <s v="Daily Sales Import"/>
    <n v="-478.48669999999998"/>
    <n v="478.48669999999998"/>
    <x v="1"/>
    <s v="2220"/>
    <s v="000"/>
    <x v="3"/>
    <x v="2"/>
  </r>
  <r>
    <d v="2013-01-12T00:00:00"/>
    <s v="017-2230-000"/>
    <s v="Wine Sales"/>
    <n v="171.59220000000002"/>
    <n v="0"/>
    <s v="Daily Sales Import"/>
    <n v="-171.59220000000002"/>
    <n v="171.59220000000002"/>
    <x v="1"/>
    <s v="2230"/>
    <s v="000"/>
    <x v="3"/>
    <x v="2"/>
  </r>
  <r>
    <d v="2013-01-13T00:00:00"/>
    <s v="017-2100-000"/>
    <s v="Food Sales"/>
    <n v="3320.0533999999993"/>
    <n v="0"/>
    <s v="Daily Sales Import"/>
    <n v="-3320.0533999999993"/>
    <n v="3320.0533999999993"/>
    <x v="1"/>
    <s v="2100"/>
    <s v="000"/>
    <x v="3"/>
    <x v="2"/>
  </r>
  <r>
    <d v="2013-01-13T00:00:00"/>
    <s v="017-2210-000"/>
    <s v="Liquor Sales"/>
    <n v="840.7962"/>
    <n v="0"/>
    <s v="Daily Sales Import"/>
    <n v="-840.7962"/>
    <n v="840.7962"/>
    <x v="1"/>
    <s v="2210"/>
    <s v="000"/>
    <x v="3"/>
    <x v="2"/>
  </r>
  <r>
    <d v="2013-01-13T00:00:00"/>
    <s v="017-2220-000"/>
    <s v="Beer Sales"/>
    <n v="210.30479999999997"/>
    <n v="0"/>
    <s v="Daily Sales Import"/>
    <n v="-210.30479999999997"/>
    <n v="210.30479999999997"/>
    <x v="1"/>
    <s v="2220"/>
    <s v="000"/>
    <x v="3"/>
    <x v="2"/>
  </r>
  <r>
    <d v="2013-01-13T00:00:00"/>
    <s v="017-2230-000"/>
    <s v="Wine Sales"/>
    <n v="116.7075"/>
    <n v="0"/>
    <s v="Daily Sales Import"/>
    <n v="-116.7075"/>
    <n v="116.7075"/>
    <x v="1"/>
    <s v="2230"/>
    <s v="000"/>
    <x v="3"/>
    <x v="2"/>
  </r>
  <r>
    <d v="2013-01-07T00:00:00"/>
    <s v="018-2100-000"/>
    <s v="Food Sales"/>
    <n v="1797.8286000000001"/>
    <n v="0"/>
    <s v="Daily Sales Import"/>
    <n v="-1797.8286000000001"/>
    <n v="1797.8286000000001"/>
    <x v="2"/>
    <s v="2100"/>
    <s v="000"/>
    <x v="3"/>
    <x v="2"/>
  </r>
  <r>
    <d v="2013-01-07T00:00:00"/>
    <s v="018-2210-000"/>
    <s v="Liquor Sales"/>
    <n v="249.94200000000001"/>
    <n v="0"/>
    <s v="Daily Sales Import"/>
    <n v="-249.94200000000001"/>
    <n v="249.94200000000001"/>
    <x v="2"/>
    <s v="2210"/>
    <s v="000"/>
    <x v="3"/>
    <x v="2"/>
  </r>
  <r>
    <d v="2013-01-07T00:00:00"/>
    <s v="018-2220-000"/>
    <s v="Beer Sales"/>
    <n v="69.426000000000002"/>
    <n v="0"/>
    <s v="Daily Sales Import"/>
    <n v="-69.426000000000002"/>
    <n v="69.426000000000002"/>
    <x v="2"/>
    <s v="2220"/>
    <s v="000"/>
    <x v="3"/>
    <x v="2"/>
  </r>
  <r>
    <d v="2013-01-07T00:00:00"/>
    <s v="018-2230-000"/>
    <s v="Wine Sales"/>
    <n v="18.843499999999999"/>
    <n v="0"/>
    <s v="Daily Sales Import"/>
    <n v="-18.843499999999999"/>
    <n v="18.843499999999999"/>
    <x v="2"/>
    <s v="2230"/>
    <s v="000"/>
    <x v="3"/>
    <x v="2"/>
  </r>
  <r>
    <d v="2013-01-08T00:00:00"/>
    <s v="018-2100-000"/>
    <s v="Food Sales"/>
    <n v="3029.2231999999999"/>
    <n v="0"/>
    <s v="Daily Sales Import"/>
    <n v="-3029.2231999999999"/>
    <n v="3029.2231999999999"/>
    <x v="2"/>
    <s v="2100"/>
    <s v="000"/>
    <x v="3"/>
    <x v="2"/>
  </r>
  <r>
    <d v="2013-01-08T00:00:00"/>
    <s v="018-2210-000"/>
    <s v="Liquor Sales"/>
    <n v="230.46800000000002"/>
    <n v="0"/>
    <s v="Daily Sales Import"/>
    <n v="-230.46800000000002"/>
    <n v="230.46800000000002"/>
    <x v="2"/>
    <s v="2210"/>
    <s v="000"/>
    <x v="3"/>
    <x v="2"/>
  </r>
  <r>
    <d v="2013-01-08T00:00:00"/>
    <s v="018-2220-000"/>
    <s v="Beer Sales"/>
    <n v="71.034499999999994"/>
    <n v="0"/>
    <s v="Daily Sales Import"/>
    <n v="-71.034499999999994"/>
    <n v="71.034499999999994"/>
    <x v="2"/>
    <s v="2220"/>
    <s v="000"/>
    <x v="3"/>
    <x v="2"/>
  </r>
  <r>
    <d v="2013-01-08T00:00:00"/>
    <s v="018-2230-000"/>
    <s v="Wine Sales"/>
    <n v="35.244399999999999"/>
    <n v="0"/>
    <s v="Daily Sales Import"/>
    <n v="-35.244399999999999"/>
    <n v="35.244399999999999"/>
    <x v="2"/>
    <s v="2230"/>
    <s v="000"/>
    <x v="3"/>
    <x v="2"/>
  </r>
  <r>
    <d v="2013-01-09T00:00:00"/>
    <s v="018-2100-000"/>
    <s v="Food Sales"/>
    <n v="3387.8441999999995"/>
    <n v="0"/>
    <s v="Daily Sales Import"/>
    <n v="-3387.8441999999995"/>
    <n v="3387.8441999999995"/>
    <x v="2"/>
    <s v="2100"/>
    <s v="000"/>
    <x v="3"/>
    <x v="2"/>
  </r>
  <r>
    <d v="2013-01-09T00:00:00"/>
    <s v="018-2210-000"/>
    <s v="Liquor Sales"/>
    <n v="792.95440000000008"/>
    <n v="0"/>
    <s v="Daily Sales Import"/>
    <n v="-792.95440000000008"/>
    <n v="792.95440000000008"/>
    <x v="2"/>
    <s v="2210"/>
    <s v="000"/>
    <x v="3"/>
    <x v="2"/>
  </r>
  <r>
    <d v="2013-01-09T00:00:00"/>
    <s v="018-2220-000"/>
    <s v="Beer Sales"/>
    <n v="239.10750000000002"/>
    <n v="0"/>
    <s v="Daily Sales Import"/>
    <n v="-239.10750000000002"/>
    <n v="239.10750000000002"/>
    <x v="2"/>
    <s v="2220"/>
    <s v="000"/>
    <x v="3"/>
    <x v="2"/>
  </r>
  <r>
    <d v="2013-01-09T00:00:00"/>
    <s v="018-2230-000"/>
    <s v="Wine Sales"/>
    <n v="39.315300000000001"/>
    <n v="0"/>
    <s v="Daily Sales Import"/>
    <n v="-39.315300000000001"/>
    <n v="39.315300000000001"/>
    <x v="2"/>
    <s v="2230"/>
    <s v="000"/>
    <x v="3"/>
    <x v="2"/>
  </r>
  <r>
    <d v="2013-01-10T00:00:00"/>
    <s v="018-2100-000"/>
    <s v="Food Sales"/>
    <n v="2682.0751"/>
    <n v="0"/>
    <s v="Daily Sales Import"/>
    <n v="-2682.0751"/>
    <n v="2682.0751"/>
    <x v="2"/>
    <s v="2100"/>
    <s v="000"/>
    <x v="3"/>
    <x v="2"/>
  </r>
  <r>
    <d v="2013-01-10T00:00:00"/>
    <s v="018-2210-000"/>
    <s v="Liquor Sales"/>
    <n v="551.46179999999993"/>
    <n v="0"/>
    <s v="Daily Sales Import"/>
    <n v="-551.46179999999993"/>
    <n v="551.46179999999993"/>
    <x v="2"/>
    <s v="2210"/>
    <s v="000"/>
    <x v="3"/>
    <x v="2"/>
  </r>
  <r>
    <d v="2013-01-10T00:00:00"/>
    <s v="018-2220-000"/>
    <s v="Beer Sales"/>
    <n v="234.94220000000001"/>
    <n v="0"/>
    <s v="Daily Sales Import"/>
    <n v="-234.94220000000001"/>
    <n v="234.94220000000001"/>
    <x v="2"/>
    <s v="2220"/>
    <s v="000"/>
    <x v="3"/>
    <x v="2"/>
  </r>
  <r>
    <d v="2013-01-10T00:00:00"/>
    <s v="018-2230-000"/>
    <s v="Wine Sales"/>
    <n v="15.118799999999998"/>
    <n v="0"/>
    <s v="Daily Sales Import"/>
    <n v="-15.118799999999998"/>
    <n v="15.118799999999998"/>
    <x v="2"/>
    <s v="2230"/>
    <s v="000"/>
    <x v="3"/>
    <x v="2"/>
  </r>
  <r>
    <d v="2013-01-11T00:00:00"/>
    <s v="018-2100-000"/>
    <s v="Food Sales"/>
    <n v="8379.5896999999986"/>
    <n v="0"/>
    <s v="Daily Sales Import"/>
    <n v="-8379.5896999999986"/>
    <n v="8379.5896999999986"/>
    <x v="2"/>
    <s v="2100"/>
    <s v="000"/>
    <x v="3"/>
    <x v="2"/>
  </r>
  <r>
    <d v="2013-01-11T00:00:00"/>
    <s v="018-2210-000"/>
    <s v="Liquor Sales"/>
    <n v="2400.0529000000001"/>
    <n v="0"/>
    <s v="Daily Sales Import"/>
    <n v="-2400.0529000000001"/>
    <n v="2400.0529000000001"/>
    <x v="2"/>
    <s v="2210"/>
    <s v="000"/>
    <x v="3"/>
    <x v="2"/>
  </r>
  <r>
    <d v="2013-01-11T00:00:00"/>
    <s v="018-2220-000"/>
    <s v="Beer Sales"/>
    <n v="496.57229999999993"/>
    <n v="0"/>
    <s v="Daily Sales Import"/>
    <n v="-496.57229999999993"/>
    <n v="496.57229999999993"/>
    <x v="2"/>
    <s v="2220"/>
    <s v="000"/>
    <x v="3"/>
    <x v="2"/>
  </r>
  <r>
    <d v="2013-01-11T00:00:00"/>
    <s v="018-2230-000"/>
    <s v="Wine Sales"/>
    <n v="113.955"/>
    <n v="0"/>
    <s v="Daily Sales Import"/>
    <n v="-113.955"/>
    <n v="113.955"/>
    <x v="2"/>
    <s v="2230"/>
    <s v="000"/>
    <x v="3"/>
    <x v="2"/>
  </r>
  <r>
    <d v="2013-01-12T00:00:00"/>
    <s v="018-2100-000"/>
    <s v="Food Sales"/>
    <n v="13308.810300000001"/>
    <n v="0"/>
    <s v="Daily Sales Import"/>
    <n v="-13308.810300000001"/>
    <n v="13308.810300000001"/>
    <x v="2"/>
    <s v="2100"/>
    <s v="000"/>
    <x v="3"/>
    <x v="2"/>
  </r>
  <r>
    <d v="2013-01-12T00:00:00"/>
    <s v="018-2210-000"/>
    <s v="Liquor Sales"/>
    <n v="2463.4798999999998"/>
    <n v="0"/>
    <s v="Daily Sales Import"/>
    <n v="-2463.4798999999998"/>
    <n v="2463.4798999999998"/>
    <x v="2"/>
    <s v="2210"/>
    <s v="000"/>
    <x v="3"/>
    <x v="2"/>
  </r>
  <r>
    <d v="2013-01-12T00:00:00"/>
    <s v="018-2220-000"/>
    <s v="Beer Sales"/>
    <n v="634.30290000000002"/>
    <n v="0"/>
    <s v="Daily Sales Import"/>
    <n v="-634.30290000000002"/>
    <n v="634.30290000000002"/>
    <x v="2"/>
    <s v="2220"/>
    <s v="000"/>
    <x v="3"/>
    <x v="2"/>
  </r>
  <r>
    <d v="2013-01-12T00:00:00"/>
    <s v="018-2230-000"/>
    <s v="Wine Sales"/>
    <n v="113.565"/>
    <n v="0"/>
    <s v="Daily Sales Import"/>
    <n v="-113.565"/>
    <n v="113.565"/>
    <x v="2"/>
    <s v="2230"/>
    <s v="000"/>
    <x v="3"/>
    <x v="2"/>
  </r>
  <r>
    <d v="2013-01-13T00:00:00"/>
    <s v="018-2100-000"/>
    <s v="Food Sales"/>
    <n v="6478.6186000000007"/>
    <n v="0"/>
    <s v="Daily Sales Import"/>
    <n v="-6478.6186000000007"/>
    <n v="6478.6186000000007"/>
    <x v="2"/>
    <s v="2100"/>
    <s v="000"/>
    <x v="3"/>
    <x v="2"/>
  </r>
  <r>
    <d v="2013-01-13T00:00:00"/>
    <s v="018-2210-000"/>
    <s v="Liquor Sales"/>
    <n v="871.38600000000008"/>
    <n v="0"/>
    <s v="Daily Sales Import"/>
    <n v="-871.38600000000008"/>
    <n v="871.38600000000008"/>
    <x v="2"/>
    <s v="2210"/>
    <s v="000"/>
    <x v="3"/>
    <x v="2"/>
  </r>
  <r>
    <d v="2013-01-13T00:00:00"/>
    <s v="018-2220-000"/>
    <s v="Beer Sales"/>
    <n v="204.19290000000001"/>
    <n v="0"/>
    <s v="Daily Sales Import"/>
    <n v="-204.19290000000001"/>
    <n v="204.19290000000001"/>
    <x v="2"/>
    <s v="2220"/>
    <s v="000"/>
    <x v="3"/>
    <x v="2"/>
  </r>
  <r>
    <d v="2013-01-13T00:00:00"/>
    <s v="018-2230-000"/>
    <s v="Wine Sales"/>
    <n v="29.990400000000001"/>
    <n v="0"/>
    <s v="Daily Sales Import"/>
    <n v="-29.990400000000001"/>
    <n v="29.990400000000001"/>
    <x v="2"/>
    <s v="2230"/>
    <s v="000"/>
    <x v="3"/>
    <x v="2"/>
  </r>
  <r>
    <d v="2013-01-14T00:00:00"/>
    <s v="016-2100-000"/>
    <s v="Food Sales"/>
    <n v="2690.1315999999997"/>
    <n v="0"/>
    <s v="Daily Sales Import"/>
    <n v="-2690.1315999999997"/>
    <n v="2690.1315999999997"/>
    <x v="0"/>
    <s v="2100"/>
    <s v="000"/>
    <x v="3"/>
    <x v="2"/>
  </r>
  <r>
    <d v="2013-01-14T00:00:00"/>
    <s v="016-2210-000"/>
    <s v="Liquor Sales"/>
    <n v="701.08860000000004"/>
    <n v="0"/>
    <s v="Daily Sales Import"/>
    <n v="-701.08860000000004"/>
    <n v="701.08860000000004"/>
    <x v="0"/>
    <s v="2210"/>
    <s v="000"/>
    <x v="3"/>
    <x v="2"/>
  </r>
  <r>
    <d v="2013-01-14T00:00:00"/>
    <s v="016-2220-000"/>
    <s v="Beer Sales"/>
    <n v="77.408799999999999"/>
    <n v="0"/>
    <s v="Daily Sales Import"/>
    <n v="-77.408799999999999"/>
    <n v="77.408799999999999"/>
    <x v="0"/>
    <s v="2220"/>
    <s v="000"/>
    <x v="3"/>
    <x v="2"/>
  </r>
  <r>
    <d v="2013-01-14T00:00:00"/>
    <s v="016-2230-000"/>
    <s v="Wine Sales"/>
    <n v="27.373399999999997"/>
    <n v="0"/>
    <s v="Daily Sales Import"/>
    <n v="-27.373399999999997"/>
    <n v="27.373399999999997"/>
    <x v="0"/>
    <s v="2230"/>
    <s v="000"/>
    <x v="3"/>
    <x v="2"/>
  </r>
  <r>
    <d v="2013-01-15T00:00:00"/>
    <s v="016-2100-000"/>
    <s v="Food Sales"/>
    <n v="7370.8544000000002"/>
    <n v="0"/>
    <s v="Daily Sales Import"/>
    <n v="-7370.8544000000002"/>
    <n v="7370.8544000000002"/>
    <x v="0"/>
    <s v="2100"/>
    <s v="000"/>
    <x v="3"/>
    <x v="2"/>
  </r>
  <r>
    <d v="2013-01-15T00:00:00"/>
    <s v="016-2210-000"/>
    <s v="Liquor Sales"/>
    <n v="2132.2132000000001"/>
    <n v="0"/>
    <s v="Daily Sales Import"/>
    <n v="-2132.2132000000001"/>
    <n v="2132.2132000000001"/>
    <x v="0"/>
    <s v="2210"/>
    <s v="000"/>
    <x v="3"/>
    <x v="2"/>
  </r>
  <r>
    <d v="2013-01-15T00:00:00"/>
    <s v="016-2220-000"/>
    <s v="Beer Sales"/>
    <n v="651.60199999999998"/>
    <n v="0"/>
    <s v="Daily Sales Import"/>
    <n v="-651.60199999999998"/>
    <n v="651.60199999999998"/>
    <x v="0"/>
    <s v="2220"/>
    <s v="000"/>
    <x v="3"/>
    <x v="2"/>
  </r>
  <r>
    <d v="2013-01-15T00:00:00"/>
    <s v="016-2230-000"/>
    <s v="Wine Sales"/>
    <n v="233.56040000000002"/>
    <n v="0"/>
    <s v="Daily Sales Import"/>
    <n v="-233.56040000000002"/>
    <n v="233.56040000000002"/>
    <x v="0"/>
    <s v="2230"/>
    <s v="000"/>
    <x v="3"/>
    <x v="2"/>
  </r>
  <r>
    <d v="2013-01-16T00:00:00"/>
    <s v="016-2100-000"/>
    <s v="Food Sales"/>
    <n v="4061.9516999999996"/>
    <n v="0"/>
    <s v="Daily Sales Import"/>
    <n v="-4061.9516999999996"/>
    <n v="4061.9516999999996"/>
    <x v="0"/>
    <s v="2100"/>
    <s v="000"/>
    <x v="3"/>
    <x v="2"/>
  </r>
  <r>
    <d v="2013-01-16T00:00:00"/>
    <s v="016-2210-000"/>
    <s v="Liquor Sales"/>
    <n v="1013.5463"/>
    <n v="0"/>
    <s v="Daily Sales Import"/>
    <n v="-1013.5463"/>
    <n v="1013.5463"/>
    <x v="0"/>
    <s v="2210"/>
    <s v="000"/>
    <x v="3"/>
    <x v="2"/>
  </r>
  <r>
    <d v="2013-01-16T00:00:00"/>
    <s v="016-2220-000"/>
    <s v="Beer Sales"/>
    <n v="137.91239999999999"/>
    <n v="0"/>
    <s v="Daily Sales Import"/>
    <n v="-137.91239999999999"/>
    <n v="137.91239999999999"/>
    <x v="0"/>
    <s v="2220"/>
    <s v="000"/>
    <x v="3"/>
    <x v="2"/>
  </r>
  <r>
    <d v="2013-01-16T00:00:00"/>
    <s v="016-2230-000"/>
    <s v="Wine Sales"/>
    <n v="70.15679999999999"/>
    <n v="0"/>
    <s v="Daily Sales Import"/>
    <n v="-70.15679999999999"/>
    <n v="70.15679999999999"/>
    <x v="0"/>
    <s v="2230"/>
    <s v="000"/>
    <x v="3"/>
    <x v="2"/>
  </r>
  <r>
    <d v="2013-01-17T00:00:00"/>
    <s v="016-2100-000"/>
    <s v="Food Sales"/>
    <n v="2037.7216000000001"/>
    <n v="0"/>
    <s v="Daily Sales Import"/>
    <n v="-2037.7216000000001"/>
    <n v="2037.7216000000001"/>
    <x v="0"/>
    <s v="2100"/>
    <s v="000"/>
    <x v="3"/>
    <x v="2"/>
  </r>
  <r>
    <d v="2013-01-17T00:00:00"/>
    <s v="016-2210-000"/>
    <s v="Liquor Sales"/>
    <n v="819.88099999999997"/>
    <n v="0"/>
    <s v="Daily Sales Import"/>
    <n v="-819.88099999999997"/>
    <n v="819.88099999999997"/>
    <x v="0"/>
    <s v="2210"/>
    <s v="000"/>
    <x v="3"/>
    <x v="2"/>
  </r>
  <r>
    <d v="2013-01-17T00:00:00"/>
    <s v="016-2220-000"/>
    <s v="Beer Sales"/>
    <n v="159.0668"/>
    <n v="0"/>
    <s v="Daily Sales Import"/>
    <n v="-159.0668"/>
    <n v="159.0668"/>
    <x v="0"/>
    <s v="2220"/>
    <s v="000"/>
    <x v="3"/>
    <x v="2"/>
  </r>
  <r>
    <d v="2013-01-17T00:00:00"/>
    <s v="016-2230-000"/>
    <s v="Wine Sales"/>
    <n v="90.323100000000011"/>
    <n v="0"/>
    <s v="Daily Sales Import"/>
    <n v="-90.323100000000011"/>
    <n v="90.323100000000011"/>
    <x v="0"/>
    <s v="2230"/>
    <s v="000"/>
    <x v="3"/>
    <x v="2"/>
  </r>
  <r>
    <d v="2013-01-18T00:00:00"/>
    <s v="016-2100-000"/>
    <s v="Food Sales"/>
    <n v="7015.9062000000004"/>
    <n v="0"/>
    <s v="Daily Sales Import"/>
    <n v="-7015.9062000000004"/>
    <n v="7015.9062000000004"/>
    <x v="0"/>
    <s v="2100"/>
    <s v="000"/>
    <x v="3"/>
    <x v="2"/>
  </r>
  <r>
    <d v="2013-01-18T00:00:00"/>
    <s v="016-2210-000"/>
    <s v="Liquor Sales"/>
    <n v="1575.693"/>
    <n v="0"/>
    <s v="Daily Sales Import"/>
    <n v="-1575.693"/>
    <n v="1575.693"/>
    <x v="0"/>
    <s v="2210"/>
    <s v="000"/>
    <x v="3"/>
    <x v="2"/>
  </r>
  <r>
    <d v="2013-01-18T00:00:00"/>
    <s v="016-2220-000"/>
    <s v="Beer Sales"/>
    <n v="351.48600000000005"/>
    <n v="0"/>
    <s v="Daily Sales Import"/>
    <n v="-351.48600000000005"/>
    <n v="351.48600000000005"/>
    <x v="0"/>
    <s v="2220"/>
    <s v="000"/>
    <x v="3"/>
    <x v="2"/>
  </r>
  <r>
    <d v="2013-01-18T00:00:00"/>
    <s v="016-2230-000"/>
    <s v="Wine Sales"/>
    <n v="200.94759999999999"/>
    <n v="0"/>
    <s v="Daily Sales Import"/>
    <n v="-200.94759999999999"/>
    <n v="200.94759999999999"/>
    <x v="0"/>
    <s v="2230"/>
    <s v="000"/>
    <x v="3"/>
    <x v="2"/>
  </r>
  <r>
    <d v="2013-01-19T00:00:00"/>
    <s v="016-2100-000"/>
    <s v="Food Sales"/>
    <n v="7545.4680000000008"/>
    <n v="0"/>
    <s v="Daily Sales Import"/>
    <n v="-7545.4680000000008"/>
    <n v="7545.4680000000008"/>
    <x v="0"/>
    <s v="2100"/>
    <s v="000"/>
    <x v="3"/>
    <x v="2"/>
  </r>
  <r>
    <d v="2013-01-19T00:00:00"/>
    <s v="016-2210-000"/>
    <s v="Liquor Sales"/>
    <n v="3210.922"/>
    <n v="0"/>
    <s v="Daily Sales Import"/>
    <n v="-3210.922"/>
    <n v="3210.922"/>
    <x v="0"/>
    <s v="2210"/>
    <s v="000"/>
    <x v="3"/>
    <x v="2"/>
  </r>
  <r>
    <d v="2013-01-19T00:00:00"/>
    <s v="016-2220-000"/>
    <s v="Beer Sales"/>
    <n v="1440.9759000000001"/>
    <n v="0"/>
    <s v="Daily Sales Import"/>
    <n v="-1440.9759000000001"/>
    <n v="1440.9759000000001"/>
    <x v="0"/>
    <s v="2220"/>
    <s v="000"/>
    <x v="3"/>
    <x v="2"/>
  </r>
  <r>
    <d v="2013-01-19T00:00:00"/>
    <s v="016-2230-000"/>
    <s v="Wine Sales"/>
    <n v="393.23899999999998"/>
    <n v="0"/>
    <s v="Daily Sales Import"/>
    <n v="-393.23899999999998"/>
    <n v="393.23899999999998"/>
    <x v="0"/>
    <s v="2230"/>
    <s v="000"/>
    <x v="3"/>
    <x v="2"/>
  </r>
  <r>
    <d v="2013-01-20T00:00:00"/>
    <s v="016-2100-000"/>
    <s v="Food Sales"/>
    <n v="5540.1449999999995"/>
    <n v="0"/>
    <s v="Daily Sales Import"/>
    <n v="-5540.1449999999995"/>
    <n v="5540.1449999999995"/>
    <x v="0"/>
    <s v="2100"/>
    <s v="000"/>
    <x v="3"/>
    <x v="2"/>
  </r>
  <r>
    <d v="2013-01-20T00:00:00"/>
    <s v="016-2210-000"/>
    <s v="Liquor Sales"/>
    <n v="1218.1239"/>
    <n v="0"/>
    <s v="Daily Sales Import"/>
    <n v="-1218.1239"/>
    <n v="1218.1239"/>
    <x v="0"/>
    <s v="2210"/>
    <s v="000"/>
    <x v="3"/>
    <x v="2"/>
  </r>
  <r>
    <d v="2013-01-20T00:00:00"/>
    <s v="016-2220-000"/>
    <s v="Beer Sales"/>
    <n v="263.20319999999998"/>
    <n v="0"/>
    <s v="Daily Sales Import"/>
    <n v="-263.20319999999998"/>
    <n v="263.20319999999998"/>
    <x v="0"/>
    <s v="2220"/>
    <s v="000"/>
    <x v="3"/>
    <x v="2"/>
  </r>
  <r>
    <d v="2013-01-20T00:00:00"/>
    <s v="016-2230-000"/>
    <s v="Wine Sales"/>
    <n v="130.18679999999998"/>
    <n v="0"/>
    <s v="Daily Sales Import"/>
    <n v="-130.18679999999998"/>
    <n v="130.18679999999998"/>
    <x v="0"/>
    <s v="2230"/>
    <s v="000"/>
    <x v="3"/>
    <x v="2"/>
  </r>
  <r>
    <d v="2013-01-14T00:00:00"/>
    <s v="017-2100-000"/>
    <s v="Food Sales"/>
    <n v="3680.5569999999998"/>
    <n v="0"/>
    <s v="Daily Sales Import"/>
    <n v="-3680.5569999999998"/>
    <n v="3680.5569999999998"/>
    <x v="1"/>
    <s v="2100"/>
    <s v="000"/>
    <x v="3"/>
    <x v="2"/>
  </r>
  <r>
    <d v="2013-01-14T00:00:00"/>
    <s v="017-2210-000"/>
    <s v="Liquor Sales"/>
    <n v="493.36539999999997"/>
    <n v="0"/>
    <s v="Daily Sales Import"/>
    <n v="-493.36539999999997"/>
    <n v="493.36539999999997"/>
    <x v="1"/>
    <s v="2210"/>
    <s v="000"/>
    <x v="3"/>
    <x v="2"/>
  </r>
  <r>
    <d v="2013-01-14T00:00:00"/>
    <s v="017-2220-000"/>
    <s v="Beer Sales"/>
    <n v="167.172"/>
    <n v="0"/>
    <s v="Daily Sales Import"/>
    <n v="-167.172"/>
    <n v="167.172"/>
    <x v="1"/>
    <s v="2220"/>
    <s v="000"/>
    <x v="3"/>
    <x v="2"/>
  </r>
  <r>
    <d v="2013-01-14T00:00:00"/>
    <s v="017-2230-000"/>
    <s v="Wine Sales"/>
    <n v="54.536300000000004"/>
    <n v="0"/>
    <s v="Daily Sales Import"/>
    <n v="-54.536300000000004"/>
    <n v="54.536300000000004"/>
    <x v="1"/>
    <s v="2230"/>
    <s v="000"/>
    <x v="3"/>
    <x v="2"/>
  </r>
  <r>
    <d v="2013-01-15T00:00:00"/>
    <s v="017-2100-000"/>
    <s v="Food Sales"/>
    <n v="4571.6916999999994"/>
    <n v="0"/>
    <s v="Daily Sales Import"/>
    <n v="-4571.6916999999994"/>
    <n v="4571.6916999999994"/>
    <x v="1"/>
    <s v="2100"/>
    <s v="000"/>
    <x v="3"/>
    <x v="2"/>
  </r>
  <r>
    <d v="2013-01-15T00:00:00"/>
    <s v="017-2210-000"/>
    <s v="Liquor Sales"/>
    <n v="1480.1402"/>
    <n v="0"/>
    <s v="Daily Sales Import"/>
    <n v="-1480.1402"/>
    <n v="1480.1402"/>
    <x v="1"/>
    <s v="2210"/>
    <s v="000"/>
    <x v="3"/>
    <x v="2"/>
  </r>
  <r>
    <d v="2013-01-15T00:00:00"/>
    <s v="017-2220-000"/>
    <s v="Beer Sales"/>
    <n v="602.25720000000001"/>
    <n v="0"/>
    <s v="Daily Sales Import"/>
    <n v="-602.25720000000001"/>
    <n v="602.25720000000001"/>
    <x v="1"/>
    <s v="2220"/>
    <s v="000"/>
    <x v="3"/>
    <x v="2"/>
  </r>
  <r>
    <d v="2013-01-15T00:00:00"/>
    <s v="017-2230-000"/>
    <s v="Wine Sales"/>
    <n v="152.88919999999999"/>
    <n v="0"/>
    <s v="Daily Sales Import"/>
    <n v="-152.88919999999999"/>
    <n v="152.88919999999999"/>
    <x v="1"/>
    <s v="2230"/>
    <s v="000"/>
    <x v="3"/>
    <x v="2"/>
  </r>
  <r>
    <d v="2013-01-16T00:00:00"/>
    <s v="017-2100-000"/>
    <s v="Food Sales"/>
    <n v="7923.5496000000003"/>
    <n v="0"/>
    <s v="Daily Sales Import"/>
    <n v="-7923.5496000000003"/>
    <n v="7923.5496000000003"/>
    <x v="1"/>
    <s v="2100"/>
    <s v="000"/>
    <x v="3"/>
    <x v="2"/>
  </r>
  <r>
    <d v="2013-01-16T00:00:00"/>
    <s v="017-2210-000"/>
    <s v="Liquor Sales"/>
    <n v="2130.5738999999999"/>
    <n v="0"/>
    <s v="Daily Sales Import"/>
    <n v="-2130.5738999999999"/>
    <n v="2130.5738999999999"/>
    <x v="1"/>
    <s v="2210"/>
    <s v="000"/>
    <x v="3"/>
    <x v="2"/>
  </r>
  <r>
    <d v="2013-01-16T00:00:00"/>
    <s v="017-2220-000"/>
    <s v="Beer Sales"/>
    <n v="543.24350000000004"/>
    <n v="0"/>
    <s v="Daily Sales Import"/>
    <n v="-543.24350000000004"/>
    <n v="543.24350000000004"/>
    <x v="1"/>
    <s v="2220"/>
    <s v="000"/>
    <x v="3"/>
    <x v="2"/>
  </r>
  <r>
    <d v="2013-01-16T00:00:00"/>
    <s v="017-2230-000"/>
    <s v="Wine Sales"/>
    <n v="139.6146"/>
    <n v="0"/>
    <s v="Daily Sales Import"/>
    <n v="-139.6146"/>
    <n v="139.6146"/>
    <x v="1"/>
    <s v="2230"/>
    <s v="000"/>
    <x v="3"/>
    <x v="2"/>
  </r>
  <r>
    <d v="2013-01-17T00:00:00"/>
    <s v="017-2100-000"/>
    <s v="Food Sales"/>
    <n v="5175.6552000000001"/>
    <n v="0"/>
    <s v="Daily Sales Import"/>
    <n v="-5175.6552000000001"/>
    <n v="5175.6552000000001"/>
    <x v="1"/>
    <s v="2100"/>
    <s v="000"/>
    <x v="3"/>
    <x v="2"/>
  </r>
  <r>
    <d v="2013-01-17T00:00:00"/>
    <s v="017-2210-000"/>
    <s v="Liquor Sales"/>
    <n v="1068.1713"/>
    <n v="0"/>
    <s v="Daily Sales Import"/>
    <n v="-1068.1713"/>
    <n v="1068.1713"/>
    <x v="1"/>
    <s v="2210"/>
    <s v="000"/>
    <x v="3"/>
    <x v="2"/>
  </r>
  <r>
    <d v="2013-01-17T00:00:00"/>
    <s v="017-2220-000"/>
    <s v="Beer Sales"/>
    <n v="426.88100000000003"/>
    <n v="0"/>
    <s v="Daily Sales Import"/>
    <n v="-426.88100000000003"/>
    <n v="426.88100000000003"/>
    <x v="1"/>
    <s v="2220"/>
    <s v="000"/>
    <x v="3"/>
    <x v="2"/>
  </r>
  <r>
    <d v="2013-01-17T00:00:00"/>
    <s v="017-2230-000"/>
    <s v="Wine Sales"/>
    <n v="327.28159999999997"/>
    <n v="0"/>
    <s v="Daily Sales Import"/>
    <n v="-327.28159999999997"/>
    <n v="327.28159999999997"/>
    <x v="1"/>
    <s v="2230"/>
    <s v="000"/>
    <x v="3"/>
    <x v="2"/>
  </r>
  <r>
    <d v="2013-01-18T00:00:00"/>
    <s v="017-2100-000"/>
    <s v="Food Sales"/>
    <n v="9141.5610000000015"/>
    <n v="0"/>
    <s v="Daily Sales Import"/>
    <n v="-9141.5610000000015"/>
    <n v="9141.5610000000015"/>
    <x v="1"/>
    <s v="2100"/>
    <s v="000"/>
    <x v="3"/>
    <x v="2"/>
  </r>
  <r>
    <d v="2013-01-18T00:00:00"/>
    <s v="017-2210-000"/>
    <s v="Liquor Sales"/>
    <n v="1840.8126000000002"/>
    <n v="0"/>
    <s v="Daily Sales Import"/>
    <n v="-1840.8126000000002"/>
    <n v="1840.8126000000002"/>
    <x v="1"/>
    <s v="2210"/>
    <s v="000"/>
    <x v="3"/>
    <x v="2"/>
  </r>
  <r>
    <d v="2013-01-18T00:00:00"/>
    <s v="017-2220-000"/>
    <s v="Beer Sales"/>
    <n v="350.16300000000001"/>
    <n v="0"/>
    <s v="Daily Sales Import"/>
    <n v="-350.16300000000001"/>
    <n v="350.16300000000001"/>
    <x v="1"/>
    <s v="2220"/>
    <s v="000"/>
    <x v="3"/>
    <x v="2"/>
  </r>
  <r>
    <d v="2013-01-18T00:00:00"/>
    <s v="017-2230-000"/>
    <s v="Wine Sales"/>
    <n v="126.2184"/>
    <n v="0"/>
    <s v="Daily Sales Import"/>
    <n v="-126.2184"/>
    <n v="126.2184"/>
    <x v="1"/>
    <s v="2230"/>
    <s v="000"/>
    <x v="3"/>
    <x v="2"/>
  </r>
  <r>
    <d v="2013-01-19T00:00:00"/>
    <s v="017-2100-000"/>
    <s v="Food Sales"/>
    <n v="9675.5120000000006"/>
    <n v="0"/>
    <s v="Daily Sales Import"/>
    <n v="-9675.5120000000006"/>
    <n v="9675.5120000000006"/>
    <x v="1"/>
    <s v="2100"/>
    <s v="000"/>
    <x v="3"/>
    <x v="2"/>
  </r>
  <r>
    <d v="2013-01-19T00:00:00"/>
    <s v="017-2210-000"/>
    <s v="Liquor Sales"/>
    <n v="3126.0358000000001"/>
    <n v="0"/>
    <s v="Daily Sales Import"/>
    <n v="-3126.0358000000001"/>
    <n v="3126.0358000000001"/>
    <x v="1"/>
    <s v="2210"/>
    <s v="000"/>
    <x v="3"/>
    <x v="2"/>
  </r>
  <r>
    <d v="2013-01-19T00:00:00"/>
    <s v="017-2220-000"/>
    <s v="Beer Sales"/>
    <n v="493.13009999999997"/>
    <n v="0"/>
    <s v="Daily Sales Import"/>
    <n v="-493.13009999999997"/>
    <n v="493.13009999999997"/>
    <x v="1"/>
    <s v="2220"/>
    <s v="000"/>
    <x v="3"/>
    <x v="2"/>
  </r>
  <r>
    <d v="2013-01-19T00:00:00"/>
    <s v="017-2230-000"/>
    <s v="Wine Sales"/>
    <n v="207.70620000000002"/>
    <n v="0"/>
    <s v="Daily Sales Import"/>
    <n v="-207.70620000000002"/>
    <n v="207.70620000000002"/>
    <x v="1"/>
    <s v="2230"/>
    <s v="000"/>
    <x v="3"/>
    <x v="2"/>
  </r>
  <r>
    <d v="2013-01-20T00:00:00"/>
    <s v="017-2100-000"/>
    <s v="Food Sales"/>
    <n v="4186.4297999999999"/>
    <n v="0"/>
    <s v="Daily Sales Import"/>
    <n v="-4186.4297999999999"/>
    <n v="4186.4297999999999"/>
    <x v="1"/>
    <s v="2100"/>
    <s v="000"/>
    <x v="3"/>
    <x v="2"/>
  </r>
  <r>
    <d v="2013-01-20T00:00:00"/>
    <s v="017-2210-000"/>
    <s v="Liquor Sales"/>
    <n v="1025.5790999999999"/>
    <n v="0"/>
    <s v="Daily Sales Import"/>
    <n v="-1025.5790999999999"/>
    <n v="1025.5790999999999"/>
    <x v="1"/>
    <s v="2210"/>
    <s v="000"/>
    <x v="3"/>
    <x v="2"/>
  </r>
  <r>
    <d v="2013-01-20T00:00:00"/>
    <s v="017-2220-000"/>
    <s v="Beer Sales"/>
    <n v="150.696"/>
    <n v="0"/>
    <s v="Daily Sales Import"/>
    <n v="-150.696"/>
    <n v="150.696"/>
    <x v="1"/>
    <s v="2220"/>
    <s v="000"/>
    <x v="3"/>
    <x v="2"/>
  </r>
  <r>
    <d v="2013-01-20T00:00:00"/>
    <s v="017-2230-000"/>
    <s v="Wine Sales"/>
    <n v="92.257600000000011"/>
    <n v="0"/>
    <s v="Daily Sales Import"/>
    <n v="-92.257600000000011"/>
    <n v="92.257600000000011"/>
    <x v="1"/>
    <s v="2230"/>
    <s v="000"/>
    <x v="3"/>
    <x v="2"/>
  </r>
  <r>
    <d v="2013-01-14T00:00:00"/>
    <s v="018-2100-000"/>
    <s v="Food Sales"/>
    <n v="2001.0759999999998"/>
    <n v="0"/>
    <s v="Daily Sales Import"/>
    <n v="-2001.0759999999998"/>
    <n v="2001.0759999999998"/>
    <x v="2"/>
    <s v="2100"/>
    <s v="000"/>
    <x v="3"/>
    <x v="2"/>
  </r>
  <r>
    <d v="2013-01-14T00:00:00"/>
    <s v="018-2210-000"/>
    <s v="Liquor Sales"/>
    <n v="300.07040000000001"/>
    <n v="0"/>
    <s v="Daily Sales Import"/>
    <n v="-300.07040000000001"/>
    <n v="300.07040000000001"/>
    <x v="2"/>
    <s v="2210"/>
    <s v="000"/>
    <x v="3"/>
    <x v="2"/>
  </r>
  <r>
    <d v="2013-01-14T00:00:00"/>
    <s v="018-2220-000"/>
    <s v="Beer Sales"/>
    <n v="80.239499999999992"/>
    <n v="0"/>
    <s v="Daily Sales Import"/>
    <n v="-80.239499999999992"/>
    <n v="80.239499999999992"/>
    <x v="2"/>
    <s v="2220"/>
    <s v="000"/>
    <x v="3"/>
    <x v="2"/>
  </r>
  <r>
    <d v="2013-01-14T00:00:00"/>
    <s v="018-2230-000"/>
    <s v="Wine Sales"/>
    <n v="4.4744000000000002"/>
    <n v="0"/>
    <s v="Daily Sales Import"/>
    <n v="-4.4744000000000002"/>
    <n v="4.4744000000000002"/>
    <x v="2"/>
    <s v="2230"/>
    <s v="000"/>
    <x v="3"/>
    <x v="2"/>
  </r>
  <r>
    <d v="2013-01-15T00:00:00"/>
    <s v="018-2100-000"/>
    <s v="Food Sales"/>
    <n v="2775.4958000000001"/>
    <n v="0"/>
    <s v="Daily Sales Import"/>
    <n v="-2775.4958000000001"/>
    <n v="2775.4958000000001"/>
    <x v="2"/>
    <s v="2100"/>
    <s v="000"/>
    <x v="3"/>
    <x v="2"/>
  </r>
  <r>
    <d v="2013-01-15T00:00:00"/>
    <s v="018-2210-000"/>
    <s v="Liquor Sales"/>
    <n v="374.41610000000003"/>
    <n v="0"/>
    <s v="Daily Sales Import"/>
    <n v="-374.41610000000003"/>
    <n v="374.41610000000003"/>
    <x v="2"/>
    <s v="2210"/>
    <s v="000"/>
    <x v="3"/>
    <x v="2"/>
  </r>
  <r>
    <d v="2013-01-15T00:00:00"/>
    <s v="018-2220-000"/>
    <s v="Beer Sales"/>
    <n v="100.6176"/>
    <n v="0"/>
    <s v="Daily Sales Import"/>
    <n v="-100.6176"/>
    <n v="100.6176"/>
    <x v="2"/>
    <s v="2220"/>
    <s v="000"/>
    <x v="3"/>
    <x v="2"/>
  </r>
  <r>
    <d v="2013-01-15T00:00:00"/>
    <s v="018-2230-000"/>
    <s v="Wine Sales"/>
    <n v="26.886900000000001"/>
    <n v="0"/>
    <s v="Daily Sales Import"/>
    <n v="-26.886900000000001"/>
    <n v="26.886900000000001"/>
    <x v="2"/>
    <s v="2230"/>
    <s v="000"/>
    <x v="3"/>
    <x v="2"/>
  </r>
  <r>
    <d v="2013-01-16T00:00:00"/>
    <s v="018-2100-000"/>
    <s v="Food Sales"/>
    <n v="2844.3634999999999"/>
    <n v="0"/>
    <s v="Daily Sales Import"/>
    <n v="-2844.3634999999999"/>
    <n v="2844.3634999999999"/>
    <x v="2"/>
    <s v="2100"/>
    <s v="000"/>
    <x v="3"/>
    <x v="2"/>
  </r>
  <r>
    <d v="2013-01-16T00:00:00"/>
    <s v="018-2210-000"/>
    <s v="Liquor Sales"/>
    <n v="491.71890000000002"/>
    <n v="0"/>
    <s v="Daily Sales Import"/>
    <n v="-491.71890000000002"/>
    <n v="491.71890000000002"/>
    <x v="2"/>
    <s v="2210"/>
    <s v="000"/>
    <x v="3"/>
    <x v="2"/>
  </r>
  <r>
    <d v="2013-01-16T00:00:00"/>
    <s v="018-2220-000"/>
    <s v="Beer Sales"/>
    <n v="79.748500000000007"/>
    <n v="0"/>
    <s v="Daily Sales Import"/>
    <n v="-79.748500000000007"/>
    <n v="79.748500000000007"/>
    <x v="2"/>
    <s v="2220"/>
    <s v="000"/>
    <x v="3"/>
    <x v="2"/>
  </r>
  <r>
    <d v="2013-01-16T00:00:00"/>
    <s v="018-2230-000"/>
    <s v="Wine Sales"/>
    <n v="32.686500000000002"/>
    <n v="0"/>
    <s v="Daily Sales Import"/>
    <n v="-32.686500000000002"/>
    <n v="32.686500000000002"/>
    <x v="2"/>
    <s v="2230"/>
    <s v="000"/>
    <x v="3"/>
    <x v="2"/>
  </r>
  <r>
    <d v="2013-01-17T00:00:00"/>
    <s v="018-2100-000"/>
    <s v="Food Sales"/>
    <n v="4134.3378999999995"/>
    <n v="0"/>
    <s v="Daily Sales Import"/>
    <n v="-4134.3378999999995"/>
    <n v="4134.3378999999995"/>
    <x v="2"/>
    <s v="2100"/>
    <s v="000"/>
    <x v="3"/>
    <x v="2"/>
  </r>
  <r>
    <d v="2013-01-17T00:00:00"/>
    <s v="018-2210-000"/>
    <s v="Liquor Sales"/>
    <n v="654.23699999999997"/>
    <n v="0"/>
    <s v="Daily Sales Import"/>
    <n v="-654.23699999999997"/>
    <n v="654.23699999999997"/>
    <x v="2"/>
    <s v="2210"/>
    <s v="000"/>
    <x v="3"/>
    <x v="2"/>
  </r>
  <r>
    <d v="2013-01-17T00:00:00"/>
    <s v="018-2220-000"/>
    <s v="Beer Sales"/>
    <n v="189.44759999999999"/>
    <n v="0"/>
    <s v="Daily Sales Import"/>
    <n v="-189.44759999999999"/>
    <n v="189.44759999999999"/>
    <x v="2"/>
    <s v="2220"/>
    <s v="000"/>
    <x v="3"/>
    <x v="2"/>
  </r>
  <r>
    <d v="2013-01-17T00:00:00"/>
    <s v="018-2230-000"/>
    <s v="Wine Sales"/>
    <n v="23.2804"/>
    <n v="0"/>
    <s v="Daily Sales Import"/>
    <n v="-23.2804"/>
    <n v="23.2804"/>
    <x v="2"/>
    <s v="2230"/>
    <s v="000"/>
    <x v="3"/>
    <x v="2"/>
  </r>
  <r>
    <d v="2013-01-18T00:00:00"/>
    <s v="018-2100-000"/>
    <s v="Food Sales"/>
    <n v="8511.8559999999998"/>
    <n v="0"/>
    <s v="Daily Sales Import"/>
    <n v="-8511.8559999999998"/>
    <n v="8511.8559999999998"/>
    <x v="2"/>
    <s v="2100"/>
    <s v="000"/>
    <x v="3"/>
    <x v="2"/>
  </r>
  <r>
    <d v="2013-01-18T00:00:00"/>
    <s v="018-2210-000"/>
    <s v="Liquor Sales"/>
    <n v="2035.3473000000001"/>
    <n v="0"/>
    <s v="Daily Sales Import"/>
    <n v="-2035.3473000000001"/>
    <n v="2035.3473000000001"/>
    <x v="2"/>
    <s v="2210"/>
    <s v="000"/>
    <x v="3"/>
    <x v="2"/>
  </r>
  <r>
    <d v="2013-01-18T00:00:00"/>
    <s v="018-2220-000"/>
    <s v="Beer Sales"/>
    <n v="820.88639999999987"/>
    <n v="0"/>
    <s v="Daily Sales Import"/>
    <n v="-820.88639999999987"/>
    <n v="820.88639999999987"/>
    <x v="2"/>
    <s v="2220"/>
    <s v="000"/>
    <x v="3"/>
    <x v="2"/>
  </r>
  <r>
    <d v="2013-01-18T00:00:00"/>
    <s v="018-2230-000"/>
    <s v="Wine Sales"/>
    <n v="70.879300000000001"/>
    <n v="0"/>
    <s v="Daily Sales Import"/>
    <n v="-70.879300000000001"/>
    <n v="70.879300000000001"/>
    <x v="2"/>
    <s v="2230"/>
    <s v="000"/>
    <x v="3"/>
    <x v="2"/>
  </r>
  <r>
    <d v="2013-01-19T00:00:00"/>
    <s v="018-2100-000"/>
    <s v="Food Sales"/>
    <n v="16701.845600000001"/>
    <n v="0"/>
    <s v="Daily Sales Import"/>
    <n v="-16701.845600000001"/>
    <n v="16701.845600000001"/>
    <x v="2"/>
    <s v="2100"/>
    <s v="000"/>
    <x v="3"/>
    <x v="2"/>
  </r>
  <r>
    <d v="2013-01-19T00:00:00"/>
    <s v="018-2210-000"/>
    <s v="Liquor Sales"/>
    <n v="2965.6499999999996"/>
    <n v="0"/>
    <s v="Daily Sales Import"/>
    <n v="-2965.6499999999996"/>
    <n v="2965.6499999999996"/>
    <x v="2"/>
    <s v="2210"/>
    <s v="000"/>
    <x v="3"/>
    <x v="2"/>
  </r>
  <r>
    <d v="2013-01-19T00:00:00"/>
    <s v="018-2220-000"/>
    <s v="Beer Sales"/>
    <n v="834.15000000000009"/>
    <n v="0"/>
    <s v="Daily Sales Import"/>
    <n v="-834.15000000000009"/>
    <n v="834.15000000000009"/>
    <x v="2"/>
    <s v="2220"/>
    <s v="000"/>
    <x v="3"/>
    <x v="2"/>
  </r>
  <r>
    <d v="2013-01-19T00:00:00"/>
    <s v="018-2230-000"/>
    <s v="Wine Sales"/>
    <n v="229.70900000000003"/>
    <n v="0"/>
    <s v="Daily Sales Import"/>
    <n v="-229.70900000000003"/>
    <n v="229.70900000000003"/>
    <x v="2"/>
    <s v="2230"/>
    <s v="000"/>
    <x v="3"/>
    <x v="2"/>
  </r>
  <r>
    <d v="2013-01-20T00:00:00"/>
    <s v="018-2100-000"/>
    <s v="Food Sales"/>
    <n v="6949.8105999999998"/>
    <n v="0"/>
    <s v="Daily Sales Import"/>
    <n v="-6949.8105999999998"/>
    <n v="6949.8105999999998"/>
    <x v="2"/>
    <s v="2100"/>
    <s v="000"/>
    <x v="3"/>
    <x v="2"/>
  </r>
  <r>
    <d v="2013-01-20T00:00:00"/>
    <s v="018-2210-000"/>
    <s v="Liquor Sales"/>
    <n v="1608.9998000000001"/>
    <n v="0"/>
    <s v="Daily Sales Import"/>
    <n v="-1608.9998000000001"/>
    <n v="1608.9998000000001"/>
    <x v="2"/>
    <s v="2210"/>
    <s v="000"/>
    <x v="3"/>
    <x v="2"/>
  </r>
  <r>
    <d v="2013-01-20T00:00:00"/>
    <s v="018-2220-000"/>
    <s v="Beer Sales"/>
    <n v="193.30359999999999"/>
    <n v="0"/>
    <s v="Daily Sales Import"/>
    <n v="-193.30359999999999"/>
    <n v="193.30359999999999"/>
    <x v="2"/>
    <s v="2220"/>
    <s v="000"/>
    <x v="3"/>
    <x v="2"/>
  </r>
  <r>
    <d v="2013-01-20T00:00:00"/>
    <s v="018-2230-000"/>
    <s v="Wine Sales"/>
    <n v="18.069900000000001"/>
    <n v="0"/>
    <s v="Daily Sales Import"/>
    <n v="-18.069900000000001"/>
    <n v="18.069900000000001"/>
    <x v="2"/>
    <s v="2230"/>
    <s v="000"/>
    <x v="3"/>
    <x v="2"/>
  </r>
  <r>
    <d v="2013-01-21T00:00:00"/>
    <s v="016-2100-000"/>
    <s v="Food Sales"/>
    <n v="3435.2460000000001"/>
    <n v="0"/>
    <s v="Daily Sales Import"/>
    <n v="-3435.2460000000001"/>
    <n v="3435.2460000000001"/>
    <x v="0"/>
    <s v="2100"/>
    <s v="000"/>
    <x v="3"/>
    <x v="2"/>
  </r>
  <r>
    <d v="2013-01-21T00:00:00"/>
    <s v="016-2210-000"/>
    <s v="Liquor Sales"/>
    <n v="685.95229999999992"/>
    <n v="0"/>
    <s v="Daily Sales Import"/>
    <n v="-685.95229999999992"/>
    <n v="685.95229999999992"/>
    <x v="0"/>
    <s v="2210"/>
    <s v="000"/>
    <x v="3"/>
    <x v="2"/>
  </r>
  <r>
    <d v="2013-01-21T00:00:00"/>
    <s v="016-2220-000"/>
    <s v="Beer Sales"/>
    <n v="122.604"/>
    <n v="0"/>
    <s v="Daily Sales Import"/>
    <n v="-122.604"/>
    <n v="122.604"/>
    <x v="0"/>
    <s v="2220"/>
    <s v="000"/>
    <x v="3"/>
    <x v="2"/>
  </r>
  <r>
    <d v="2013-01-21T00:00:00"/>
    <s v="016-2230-000"/>
    <s v="Wine Sales"/>
    <n v="18.728199999999998"/>
    <n v="0"/>
    <s v="Daily Sales Import"/>
    <n v="-18.728199999999998"/>
    <n v="18.728199999999998"/>
    <x v="0"/>
    <s v="2230"/>
    <s v="000"/>
    <x v="3"/>
    <x v="2"/>
  </r>
  <r>
    <d v="2013-01-22T00:00:00"/>
    <s v="016-2100-000"/>
    <s v="Food Sales"/>
    <n v="4843.9679999999998"/>
    <n v="0"/>
    <s v="Daily Sales Import"/>
    <n v="-4843.9679999999998"/>
    <n v="4843.9679999999998"/>
    <x v="0"/>
    <s v="2100"/>
    <s v="000"/>
    <x v="3"/>
    <x v="2"/>
  </r>
  <r>
    <d v="2013-01-22T00:00:00"/>
    <s v="016-2210-000"/>
    <s v="Liquor Sales"/>
    <n v="1932.9239999999998"/>
    <n v="0"/>
    <s v="Daily Sales Import"/>
    <n v="-1932.9239999999998"/>
    <n v="1932.9239999999998"/>
    <x v="0"/>
    <s v="2210"/>
    <s v="000"/>
    <x v="3"/>
    <x v="2"/>
  </r>
  <r>
    <d v="2013-01-22T00:00:00"/>
    <s v="016-2220-000"/>
    <s v="Beer Sales"/>
    <n v="456.3349"/>
    <n v="0"/>
    <s v="Daily Sales Import"/>
    <n v="-456.3349"/>
    <n v="456.3349"/>
    <x v="0"/>
    <s v="2220"/>
    <s v="000"/>
    <x v="3"/>
    <x v="2"/>
  </r>
  <r>
    <d v="2013-01-22T00:00:00"/>
    <s v="016-2230-000"/>
    <s v="Wine Sales"/>
    <n v="221.38890000000001"/>
    <n v="0"/>
    <s v="Daily Sales Import"/>
    <n v="-221.38890000000001"/>
    <n v="221.38890000000001"/>
    <x v="0"/>
    <s v="2230"/>
    <s v="000"/>
    <x v="3"/>
    <x v="2"/>
  </r>
  <r>
    <d v="2013-01-23T00:00:00"/>
    <s v="016-2100-000"/>
    <s v="Food Sales"/>
    <n v="2466.087"/>
    <n v="0"/>
    <s v="Daily Sales Import"/>
    <n v="-2466.087"/>
    <n v="2466.087"/>
    <x v="0"/>
    <s v="2100"/>
    <s v="000"/>
    <x v="3"/>
    <x v="2"/>
  </r>
  <r>
    <d v="2013-01-23T00:00:00"/>
    <s v="016-2210-000"/>
    <s v="Liquor Sales"/>
    <n v="867.28160000000003"/>
    <n v="0"/>
    <s v="Daily Sales Import"/>
    <n v="-867.28160000000003"/>
    <n v="867.28160000000003"/>
    <x v="0"/>
    <s v="2210"/>
    <s v="000"/>
    <x v="3"/>
    <x v="2"/>
  </r>
  <r>
    <d v="2013-01-23T00:00:00"/>
    <s v="016-2220-000"/>
    <s v="Beer Sales"/>
    <n v="87.2072"/>
    <n v="0"/>
    <s v="Daily Sales Import"/>
    <n v="-87.2072"/>
    <n v="87.2072"/>
    <x v="0"/>
    <s v="2220"/>
    <s v="000"/>
    <x v="3"/>
    <x v="2"/>
  </r>
  <r>
    <d v="2013-01-23T00:00:00"/>
    <s v="016-2230-000"/>
    <s v="Wine Sales"/>
    <n v="124.72049999999999"/>
    <n v="0"/>
    <s v="Daily Sales Import"/>
    <n v="-124.72049999999999"/>
    <n v="124.72049999999999"/>
    <x v="0"/>
    <s v="2230"/>
    <s v="000"/>
    <x v="3"/>
    <x v="2"/>
  </r>
  <r>
    <d v="2013-01-24T00:00:00"/>
    <s v="016-2100-000"/>
    <s v="Food Sales"/>
    <n v="4900.9964"/>
    <n v="0"/>
    <s v="Daily Sales Import"/>
    <n v="-4900.9964"/>
    <n v="4900.9964"/>
    <x v="0"/>
    <s v="2100"/>
    <s v="000"/>
    <x v="3"/>
    <x v="2"/>
  </r>
  <r>
    <d v="2013-01-24T00:00:00"/>
    <s v="016-2210-000"/>
    <s v="Liquor Sales"/>
    <n v="1828.674"/>
    <n v="0"/>
    <s v="Daily Sales Import"/>
    <n v="-1828.674"/>
    <n v="1828.674"/>
    <x v="0"/>
    <s v="2210"/>
    <s v="000"/>
    <x v="3"/>
    <x v="2"/>
  </r>
  <r>
    <d v="2013-01-24T00:00:00"/>
    <s v="016-2220-000"/>
    <s v="Beer Sales"/>
    <n v="264.53999999999996"/>
    <n v="0"/>
    <s v="Daily Sales Import"/>
    <n v="-264.53999999999996"/>
    <n v="264.53999999999996"/>
    <x v="0"/>
    <s v="2220"/>
    <s v="000"/>
    <x v="3"/>
    <x v="2"/>
  </r>
  <r>
    <d v="2013-01-24T00:00:00"/>
    <s v="016-2230-000"/>
    <s v="Wine Sales"/>
    <n v="157.095"/>
    <n v="0"/>
    <s v="Daily Sales Import"/>
    <n v="-157.095"/>
    <n v="157.095"/>
    <x v="0"/>
    <s v="2230"/>
    <s v="000"/>
    <x v="3"/>
    <x v="2"/>
  </r>
  <r>
    <d v="2013-01-25T00:00:00"/>
    <s v="016-2100-000"/>
    <s v="Food Sales"/>
    <n v="5691.3284999999996"/>
    <n v="0"/>
    <s v="Daily Sales Import"/>
    <n v="-5691.3284999999996"/>
    <n v="5691.3284999999996"/>
    <x v="0"/>
    <s v="2100"/>
    <s v="000"/>
    <x v="3"/>
    <x v="2"/>
  </r>
  <r>
    <d v="2013-01-25T00:00:00"/>
    <s v="016-2210-000"/>
    <s v="Liquor Sales"/>
    <n v="2907.2660000000001"/>
    <n v="0"/>
    <s v="Daily Sales Import"/>
    <n v="-2907.2660000000001"/>
    <n v="2907.2660000000001"/>
    <x v="0"/>
    <s v="2210"/>
    <s v="000"/>
    <x v="3"/>
    <x v="2"/>
  </r>
  <r>
    <d v="2013-01-25T00:00:00"/>
    <s v="016-2220-000"/>
    <s v="Beer Sales"/>
    <n v="316.21100000000001"/>
    <n v="0"/>
    <s v="Daily Sales Import"/>
    <n v="-316.21100000000001"/>
    <n v="316.21100000000001"/>
    <x v="0"/>
    <s v="2220"/>
    <s v="000"/>
    <x v="3"/>
    <x v="2"/>
  </r>
  <r>
    <d v="2013-01-25T00:00:00"/>
    <s v="016-2230-000"/>
    <s v="Wine Sales"/>
    <n v="111.4783"/>
    <n v="0"/>
    <s v="Daily Sales Import"/>
    <n v="-111.4783"/>
    <n v="111.4783"/>
    <x v="0"/>
    <s v="2230"/>
    <s v="000"/>
    <x v="3"/>
    <x v="2"/>
  </r>
  <r>
    <d v="2013-01-26T00:00:00"/>
    <s v="016-2100-000"/>
    <s v="Food Sales"/>
    <n v="7139.2815000000001"/>
    <n v="0"/>
    <s v="Daily Sales Import"/>
    <n v="-7139.2815000000001"/>
    <n v="7139.2815000000001"/>
    <x v="0"/>
    <s v="2100"/>
    <s v="000"/>
    <x v="3"/>
    <x v="2"/>
  </r>
  <r>
    <d v="2013-01-26T00:00:00"/>
    <s v="016-2210-000"/>
    <s v="Liquor Sales"/>
    <n v="2368.6008000000002"/>
    <n v="0"/>
    <s v="Daily Sales Import"/>
    <n v="-2368.6008000000002"/>
    <n v="2368.6008000000002"/>
    <x v="0"/>
    <s v="2210"/>
    <s v="000"/>
    <x v="3"/>
    <x v="2"/>
  </r>
  <r>
    <d v="2013-01-26T00:00:00"/>
    <s v="016-2220-000"/>
    <s v="Beer Sales"/>
    <n v="521.94349999999997"/>
    <n v="0"/>
    <s v="Daily Sales Import"/>
    <n v="-521.94349999999997"/>
    <n v="521.94349999999997"/>
    <x v="0"/>
    <s v="2220"/>
    <s v="000"/>
    <x v="3"/>
    <x v="2"/>
  </r>
  <r>
    <d v="2013-01-26T00:00:00"/>
    <s v="016-2230-000"/>
    <s v="Wine Sales"/>
    <n v="219.66839999999999"/>
    <n v="0"/>
    <s v="Daily Sales Import"/>
    <n v="-219.66839999999999"/>
    <n v="219.66839999999999"/>
    <x v="0"/>
    <s v="2230"/>
    <s v="000"/>
    <x v="3"/>
    <x v="2"/>
  </r>
  <r>
    <d v="2013-01-27T00:00:00"/>
    <s v="016-2100-000"/>
    <s v="Food Sales"/>
    <n v="6922.4178000000002"/>
    <n v="0"/>
    <s v="Daily Sales Import"/>
    <n v="-6922.4178000000002"/>
    <n v="6922.4178000000002"/>
    <x v="0"/>
    <s v="2100"/>
    <s v="000"/>
    <x v="3"/>
    <x v="2"/>
  </r>
  <r>
    <d v="2013-01-27T00:00:00"/>
    <s v="016-2210-000"/>
    <s v="Liquor Sales"/>
    <n v="988.41599999999994"/>
    <n v="0"/>
    <s v="Daily Sales Import"/>
    <n v="-988.41599999999994"/>
    <n v="988.41599999999994"/>
    <x v="0"/>
    <s v="2210"/>
    <s v="000"/>
    <x v="3"/>
    <x v="2"/>
  </r>
  <r>
    <d v="2013-01-27T00:00:00"/>
    <s v="016-2220-000"/>
    <s v="Beer Sales"/>
    <n v="183.99539999999999"/>
    <n v="0"/>
    <s v="Daily Sales Import"/>
    <n v="-183.99539999999999"/>
    <n v="183.99539999999999"/>
    <x v="0"/>
    <s v="2220"/>
    <s v="000"/>
    <x v="3"/>
    <x v="2"/>
  </r>
  <r>
    <d v="2013-01-27T00:00:00"/>
    <s v="016-2230-000"/>
    <s v="Wine Sales"/>
    <n v="96.110099999999989"/>
    <n v="0"/>
    <s v="Daily Sales Import"/>
    <n v="-96.110099999999989"/>
    <n v="96.110099999999989"/>
    <x v="0"/>
    <s v="2230"/>
    <s v="000"/>
    <x v="3"/>
    <x v="2"/>
  </r>
  <r>
    <d v="2013-01-21T00:00:00"/>
    <s v="017-2100-000"/>
    <s v="Food Sales"/>
    <n v="3423.8420999999998"/>
    <n v="0"/>
    <s v="Daily Sales Import"/>
    <n v="-3423.8420999999998"/>
    <n v="3423.8420999999998"/>
    <x v="1"/>
    <s v="2100"/>
    <s v="000"/>
    <x v="3"/>
    <x v="2"/>
  </r>
  <r>
    <d v="2013-01-21T00:00:00"/>
    <s v="017-2210-000"/>
    <s v="Liquor Sales"/>
    <n v="569.17139999999995"/>
    <n v="0"/>
    <s v="Daily Sales Import"/>
    <n v="-569.17139999999995"/>
    <n v="569.17139999999995"/>
    <x v="1"/>
    <s v="2210"/>
    <s v="000"/>
    <x v="3"/>
    <x v="2"/>
  </r>
  <r>
    <d v="2013-01-21T00:00:00"/>
    <s v="017-2220-000"/>
    <s v="Beer Sales"/>
    <n v="326.38060000000002"/>
    <n v="0"/>
    <s v="Daily Sales Import"/>
    <n v="-326.38060000000002"/>
    <n v="326.38060000000002"/>
    <x v="1"/>
    <s v="2220"/>
    <s v="000"/>
    <x v="3"/>
    <x v="2"/>
  </r>
  <r>
    <d v="2013-01-21T00:00:00"/>
    <s v="017-2230-000"/>
    <s v="Wine Sales"/>
    <n v="90.459600000000009"/>
    <n v="0"/>
    <s v="Daily Sales Import"/>
    <n v="-90.459600000000009"/>
    <n v="90.459600000000009"/>
    <x v="1"/>
    <s v="2230"/>
    <s v="000"/>
    <x v="3"/>
    <x v="2"/>
  </r>
  <r>
    <d v="2013-01-22T00:00:00"/>
    <s v="017-2100-000"/>
    <s v="Food Sales"/>
    <n v="3256.5610000000006"/>
    <n v="0"/>
    <s v="Daily Sales Import"/>
    <n v="-3256.5610000000006"/>
    <n v="3256.5610000000006"/>
    <x v="1"/>
    <s v="2100"/>
    <s v="000"/>
    <x v="3"/>
    <x v="2"/>
  </r>
  <r>
    <d v="2013-01-22T00:00:00"/>
    <s v="017-2210-000"/>
    <s v="Liquor Sales"/>
    <n v="755.00249999999994"/>
    <n v="0"/>
    <s v="Daily Sales Import"/>
    <n v="-755.00249999999994"/>
    <n v="755.00249999999994"/>
    <x v="1"/>
    <s v="2210"/>
    <s v="000"/>
    <x v="3"/>
    <x v="2"/>
  </r>
  <r>
    <d v="2013-01-22T00:00:00"/>
    <s v="017-2220-000"/>
    <s v="Beer Sales"/>
    <n v="285.30150000000003"/>
    <n v="0"/>
    <s v="Daily Sales Import"/>
    <n v="-285.30150000000003"/>
    <n v="285.30150000000003"/>
    <x v="1"/>
    <s v="2220"/>
    <s v="000"/>
    <x v="3"/>
    <x v="2"/>
  </r>
  <r>
    <d v="2013-01-22T00:00:00"/>
    <s v="017-2230-000"/>
    <s v="Wine Sales"/>
    <n v="69.573999999999998"/>
    <n v="0"/>
    <s v="Daily Sales Import"/>
    <n v="-69.573999999999998"/>
    <n v="69.573999999999998"/>
    <x v="1"/>
    <s v="2230"/>
    <s v="000"/>
    <x v="3"/>
    <x v="2"/>
  </r>
  <r>
    <d v="2013-01-23T00:00:00"/>
    <s v="017-2100-000"/>
    <s v="Food Sales"/>
    <n v="8819.0920999999998"/>
    <n v="0"/>
    <s v="Daily Sales Import"/>
    <n v="-8819.0920999999998"/>
    <n v="8819.0920999999998"/>
    <x v="1"/>
    <s v="2100"/>
    <s v="000"/>
    <x v="3"/>
    <x v="2"/>
  </r>
  <r>
    <d v="2013-01-23T00:00:00"/>
    <s v="017-2210-000"/>
    <s v="Liquor Sales"/>
    <n v="1849.3441"/>
    <n v="0"/>
    <s v="Daily Sales Import"/>
    <n v="-1849.3441"/>
    <n v="1849.3441"/>
    <x v="1"/>
    <s v="2210"/>
    <s v="000"/>
    <x v="3"/>
    <x v="2"/>
  </r>
  <r>
    <d v="2013-01-23T00:00:00"/>
    <s v="017-2220-000"/>
    <s v="Beer Sales"/>
    <n v="514.24099999999999"/>
    <n v="0"/>
    <s v="Daily Sales Import"/>
    <n v="-514.24099999999999"/>
    <n v="514.24099999999999"/>
    <x v="1"/>
    <s v="2220"/>
    <s v="000"/>
    <x v="3"/>
    <x v="2"/>
  </r>
  <r>
    <d v="2013-01-23T00:00:00"/>
    <s v="017-2230-000"/>
    <s v="Wine Sales"/>
    <n v="195.44880000000001"/>
    <n v="0"/>
    <s v="Daily Sales Import"/>
    <n v="-195.44880000000001"/>
    <n v="195.44880000000001"/>
    <x v="1"/>
    <s v="2230"/>
    <s v="000"/>
    <x v="3"/>
    <x v="2"/>
  </r>
  <r>
    <d v="2013-01-24T00:00:00"/>
    <s v="017-2100-000"/>
    <s v="Food Sales"/>
    <n v="3544.9904000000006"/>
    <n v="0"/>
    <s v="Daily Sales Import"/>
    <n v="-3544.9904000000006"/>
    <n v="3544.9904000000006"/>
    <x v="1"/>
    <s v="2100"/>
    <s v="000"/>
    <x v="3"/>
    <x v="2"/>
  </r>
  <r>
    <d v="2013-01-24T00:00:00"/>
    <s v="017-2210-000"/>
    <s v="Liquor Sales"/>
    <n v="1034.7825"/>
    <n v="0"/>
    <s v="Daily Sales Import"/>
    <n v="-1034.7825"/>
    <n v="1034.7825"/>
    <x v="1"/>
    <s v="2210"/>
    <s v="000"/>
    <x v="3"/>
    <x v="2"/>
  </r>
  <r>
    <d v="2013-01-24T00:00:00"/>
    <s v="017-2220-000"/>
    <s v="Beer Sales"/>
    <n v="441.53719999999998"/>
    <n v="0"/>
    <s v="Daily Sales Import"/>
    <n v="-441.53719999999998"/>
    <n v="441.53719999999998"/>
    <x v="1"/>
    <s v="2220"/>
    <s v="000"/>
    <x v="3"/>
    <x v="2"/>
  </r>
  <r>
    <d v="2013-01-24T00:00:00"/>
    <s v="017-2230-000"/>
    <s v="Wine Sales"/>
    <n v="188.136"/>
    <n v="0"/>
    <s v="Daily Sales Import"/>
    <n v="-188.136"/>
    <n v="188.136"/>
    <x v="1"/>
    <s v="2230"/>
    <s v="000"/>
    <x v="3"/>
    <x v="2"/>
  </r>
  <r>
    <d v="2013-01-25T00:00:00"/>
    <s v="017-2100-000"/>
    <s v="Food Sales"/>
    <n v="4435.6144000000004"/>
    <n v="0"/>
    <s v="Daily Sales Import"/>
    <n v="-4435.6144000000004"/>
    <n v="4435.6144000000004"/>
    <x v="1"/>
    <s v="2100"/>
    <s v="000"/>
    <x v="3"/>
    <x v="2"/>
  </r>
  <r>
    <d v="2013-01-25T00:00:00"/>
    <s v="017-2210-000"/>
    <s v="Liquor Sales"/>
    <n v="1841.5541999999998"/>
    <n v="0"/>
    <s v="Daily Sales Import"/>
    <n v="-1841.5541999999998"/>
    <n v="1841.5541999999998"/>
    <x v="1"/>
    <s v="2210"/>
    <s v="000"/>
    <x v="3"/>
    <x v="2"/>
  </r>
  <r>
    <d v="2013-01-25T00:00:00"/>
    <s v="017-2220-000"/>
    <s v="Beer Sales"/>
    <n v="480.73869999999999"/>
    <n v="0"/>
    <s v="Daily Sales Import"/>
    <n v="-480.73869999999999"/>
    <n v="480.73869999999999"/>
    <x v="1"/>
    <s v="2220"/>
    <s v="000"/>
    <x v="3"/>
    <x v="2"/>
  </r>
  <r>
    <d v="2013-01-25T00:00:00"/>
    <s v="017-2230-000"/>
    <s v="Wine Sales"/>
    <n v="185.46280000000002"/>
    <n v="0"/>
    <s v="Daily Sales Import"/>
    <n v="-185.46280000000002"/>
    <n v="185.46280000000002"/>
    <x v="1"/>
    <s v="2230"/>
    <s v="000"/>
    <x v="3"/>
    <x v="2"/>
  </r>
  <r>
    <d v="2013-01-26T00:00:00"/>
    <s v="017-2100-000"/>
    <s v="Food Sales"/>
    <n v="7684.3667999999998"/>
    <n v="0"/>
    <s v="Daily Sales Import"/>
    <n v="-7684.3667999999998"/>
    <n v="7684.3667999999998"/>
    <x v="1"/>
    <s v="2100"/>
    <s v="000"/>
    <x v="3"/>
    <x v="2"/>
  </r>
  <r>
    <d v="2013-01-26T00:00:00"/>
    <s v="017-2210-000"/>
    <s v="Liquor Sales"/>
    <n v="2198.7864"/>
    <n v="0"/>
    <s v="Daily Sales Import"/>
    <n v="-2198.7864"/>
    <n v="2198.7864"/>
    <x v="1"/>
    <s v="2210"/>
    <s v="000"/>
    <x v="3"/>
    <x v="2"/>
  </r>
  <r>
    <d v="2013-01-26T00:00:00"/>
    <s v="017-2220-000"/>
    <s v="Beer Sales"/>
    <n v="429.66750000000002"/>
    <n v="0"/>
    <s v="Daily Sales Import"/>
    <n v="-429.66750000000002"/>
    <n v="429.66750000000002"/>
    <x v="1"/>
    <s v="2220"/>
    <s v="000"/>
    <x v="3"/>
    <x v="2"/>
  </r>
  <r>
    <d v="2013-01-26T00:00:00"/>
    <s v="017-2230-000"/>
    <s v="Wine Sales"/>
    <n v="160.24799999999999"/>
    <n v="0"/>
    <s v="Daily Sales Import"/>
    <n v="-160.24799999999999"/>
    <n v="160.24799999999999"/>
    <x v="1"/>
    <s v="2230"/>
    <s v="000"/>
    <x v="3"/>
    <x v="2"/>
  </r>
  <r>
    <d v="2013-01-27T00:00:00"/>
    <s v="017-2100-000"/>
    <s v="Food Sales"/>
    <n v="5121.3208000000004"/>
    <n v="0"/>
    <s v="Daily Sales Import"/>
    <n v="-5121.3208000000004"/>
    <n v="5121.3208000000004"/>
    <x v="1"/>
    <s v="2100"/>
    <s v="000"/>
    <x v="3"/>
    <x v="2"/>
  </r>
  <r>
    <d v="2013-01-27T00:00:00"/>
    <s v="017-2210-000"/>
    <s v="Liquor Sales"/>
    <n v="1501.836"/>
    <n v="0"/>
    <s v="Daily Sales Import"/>
    <n v="-1501.836"/>
    <n v="1501.836"/>
    <x v="1"/>
    <s v="2210"/>
    <s v="000"/>
    <x v="3"/>
    <x v="2"/>
  </r>
  <r>
    <d v="2013-01-27T00:00:00"/>
    <s v="017-2220-000"/>
    <s v="Beer Sales"/>
    <n v="127.57920000000001"/>
    <n v="0"/>
    <s v="Daily Sales Import"/>
    <n v="-127.57920000000001"/>
    <n v="127.57920000000001"/>
    <x v="1"/>
    <s v="2220"/>
    <s v="000"/>
    <x v="3"/>
    <x v="2"/>
  </r>
  <r>
    <d v="2013-01-27T00:00:00"/>
    <s v="017-2230-000"/>
    <s v="Wine Sales"/>
    <n v="24.206799999999998"/>
    <n v="0"/>
    <s v="Daily Sales Import"/>
    <n v="-24.206799999999998"/>
    <n v="24.206799999999998"/>
    <x v="1"/>
    <s v="2230"/>
    <s v="000"/>
    <x v="3"/>
    <x v="2"/>
  </r>
  <r>
    <d v="2013-01-21T00:00:00"/>
    <s v="018-2100-000"/>
    <s v="Food Sales"/>
    <n v="5563.7396000000008"/>
    <n v="0"/>
    <s v="Daily Sales Import"/>
    <n v="-5563.7396000000008"/>
    <n v="5563.7396000000008"/>
    <x v="2"/>
    <s v="2100"/>
    <s v="000"/>
    <x v="3"/>
    <x v="2"/>
  </r>
  <r>
    <d v="2013-01-21T00:00:00"/>
    <s v="018-2210-000"/>
    <s v="Liquor Sales"/>
    <n v="849.9036000000001"/>
    <n v="0"/>
    <s v="Daily Sales Import"/>
    <n v="-849.9036000000001"/>
    <n v="849.9036000000001"/>
    <x v="2"/>
    <s v="2210"/>
    <s v="000"/>
    <x v="3"/>
    <x v="2"/>
  </r>
  <r>
    <d v="2013-01-21T00:00:00"/>
    <s v="018-2220-000"/>
    <s v="Beer Sales"/>
    <n v="109.5835"/>
    <n v="0"/>
    <s v="Daily Sales Import"/>
    <n v="-109.5835"/>
    <n v="109.5835"/>
    <x v="2"/>
    <s v="2220"/>
    <s v="000"/>
    <x v="3"/>
    <x v="2"/>
  </r>
  <r>
    <d v="2013-01-21T00:00:00"/>
    <s v="018-2230-000"/>
    <s v="Wine Sales"/>
    <n v="18.765000000000001"/>
    <n v="0"/>
    <s v="Daily Sales Import"/>
    <n v="-18.765000000000001"/>
    <n v="18.765000000000001"/>
    <x v="2"/>
    <s v="2230"/>
    <s v="000"/>
    <x v="3"/>
    <x v="2"/>
  </r>
  <r>
    <d v="2013-01-22T00:00:00"/>
    <s v="018-2100-000"/>
    <s v="Food Sales"/>
    <n v="2029.0765000000001"/>
    <n v="0"/>
    <s v="Daily Sales Import"/>
    <n v="-2029.0765000000001"/>
    <n v="2029.0765000000001"/>
    <x v="2"/>
    <s v="2100"/>
    <s v="000"/>
    <x v="3"/>
    <x v="2"/>
  </r>
  <r>
    <d v="2013-01-22T00:00:00"/>
    <s v="018-2210-000"/>
    <s v="Liquor Sales"/>
    <n v="335.26720000000006"/>
    <n v="0"/>
    <s v="Daily Sales Import"/>
    <n v="-335.26720000000006"/>
    <n v="335.26720000000006"/>
    <x v="2"/>
    <s v="2210"/>
    <s v="000"/>
    <x v="3"/>
    <x v="2"/>
  </r>
  <r>
    <d v="2013-01-22T00:00:00"/>
    <s v="018-2220-000"/>
    <s v="Beer Sales"/>
    <n v="97.920900000000003"/>
    <n v="0"/>
    <s v="Daily Sales Import"/>
    <n v="-97.920900000000003"/>
    <n v="97.920900000000003"/>
    <x v="2"/>
    <s v="2220"/>
    <s v="000"/>
    <x v="3"/>
    <x v="2"/>
  </r>
  <r>
    <d v="2013-01-22T00:00:00"/>
    <s v="018-2230-000"/>
    <s v="Wine Sales"/>
    <n v="14.093399999999999"/>
    <n v="0"/>
    <s v="Daily Sales Import"/>
    <n v="-14.093399999999999"/>
    <n v="14.093399999999999"/>
    <x v="2"/>
    <s v="2230"/>
    <s v="000"/>
    <x v="3"/>
    <x v="2"/>
  </r>
  <r>
    <d v="2013-01-23T00:00:00"/>
    <s v="018-2100-000"/>
    <s v="Food Sales"/>
    <n v="2231.1959999999999"/>
    <n v="0"/>
    <s v="Daily Sales Import"/>
    <n v="-2231.1959999999999"/>
    <n v="2231.1959999999999"/>
    <x v="2"/>
    <s v="2100"/>
    <s v="000"/>
    <x v="3"/>
    <x v="2"/>
  </r>
  <r>
    <d v="2013-01-23T00:00:00"/>
    <s v="018-2210-000"/>
    <s v="Liquor Sales"/>
    <n v="690.88110000000006"/>
    <n v="0"/>
    <s v="Daily Sales Import"/>
    <n v="-690.88110000000006"/>
    <n v="690.88110000000006"/>
    <x v="2"/>
    <s v="2210"/>
    <s v="000"/>
    <x v="3"/>
    <x v="2"/>
  </r>
  <r>
    <d v="2013-01-23T00:00:00"/>
    <s v="018-2220-000"/>
    <s v="Beer Sales"/>
    <n v="145.98400000000001"/>
    <n v="0"/>
    <s v="Daily Sales Import"/>
    <n v="-145.98400000000001"/>
    <n v="145.98400000000001"/>
    <x v="2"/>
    <s v="2220"/>
    <s v="000"/>
    <x v="3"/>
    <x v="2"/>
  </r>
  <r>
    <d v="2013-01-23T00:00:00"/>
    <s v="018-2230-000"/>
    <s v="Wine Sales"/>
    <n v="31.577999999999999"/>
    <n v="0"/>
    <s v="Daily Sales Import"/>
    <n v="-31.577999999999999"/>
    <n v="31.577999999999999"/>
    <x v="2"/>
    <s v="2230"/>
    <s v="000"/>
    <x v="3"/>
    <x v="2"/>
  </r>
  <r>
    <d v="2013-01-24T00:00:00"/>
    <s v="018-2100-000"/>
    <s v="Food Sales"/>
    <n v="2469.2470000000003"/>
    <n v="0"/>
    <s v="Daily Sales Import"/>
    <n v="-2469.2470000000003"/>
    <n v="2469.2470000000003"/>
    <x v="2"/>
    <s v="2100"/>
    <s v="000"/>
    <x v="3"/>
    <x v="2"/>
  </r>
  <r>
    <d v="2013-01-24T00:00:00"/>
    <s v="018-2210-000"/>
    <s v="Liquor Sales"/>
    <n v="871.56809999999996"/>
    <n v="0"/>
    <s v="Daily Sales Import"/>
    <n v="-871.56809999999996"/>
    <n v="871.56809999999996"/>
    <x v="2"/>
    <s v="2210"/>
    <s v="000"/>
    <x v="3"/>
    <x v="2"/>
  </r>
  <r>
    <d v="2013-01-24T00:00:00"/>
    <s v="018-2220-000"/>
    <s v="Beer Sales"/>
    <n v="235.95320000000001"/>
    <n v="0"/>
    <s v="Daily Sales Import"/>
    <n v="-235.95320000000001"/>
    <n v="235.95320000000001"/>
    <x v="2"/>
    <s v="2220"/>
    <s v="000"/>
    <x v="3"/>
    <x v="2"/>
  </r>
  <r>
    <d v="2013-01-24T00:00:00"/>
    <s v="018-2230-000"/>
    <s v="Wine Sales"/>
    <n v="73.677199999999985"/>
    <n v="0"/>
    <s v="Daily Sales Import"/>
    <n v="-73.677199999999985"/>
    <n v="73.677199999999985"/>
    <x v="2"/>
    <s v="2230"/>
    <s v="000"/>
    <x v="3"/>
    <x v="2"/>
  </r>
  <r>
    <d v="2013-01-25T00:00:00"/>
    <s v="018-2100-000"/>
    <s v="Food Sales"/>
    <n v="6068.6539999999995"/>
    <n v="0"/>
    <s v="Daily Sales Import"/>
    <n v="-6068.6539999999995"/>
    <n v="6068.6539999999995"/>
    <x v="2"/>
    <s v="2100"/>
    <s v="000"/>
    <x v="3"/>
    <x v="2"/>
  </r>
  <r>
    <d v="2013-01-25T00:00:00"/>
    <s v="018-2210-000"/>
    <s v="Liquor Sales"/>
    <n v="1579.4779000000001"/>
    <n v="0"/>
    <s v="Daily Sales Import"/>
    <n v="-1579.4779000000001"/>
    <n v="1579.4779000000001"/>
    <x v="2"/>
    <s v="2210"/>
    <s v="000"/>
    <x v="3"/>
    <x v="2"/>
  </r>
  <r>
    <d v="2013-01-25T00:00:00"/>
    <s v="018-2220-000"/>
    <s v="Beer Sales"/>
    <n v="418.05360000000002"/>
    <n v="0"/>
    <s v="Daily Sales Import"/>
    <n v="-418.05360000000002"/>
    <n v="418.05360000000002"/>
    <x v="2"/>
    <s v="2220"/>
    <s v="000"/>
    <x v="3"/>
    <x v="2"/>
  </r>
  <r>
    <d v="2013-01-25T00:00:00"/>
    <s v="018-2230-000"/>
    <s v="Wine Sales"/>
    <n v="82.49499999999999"/>
    <n v="0"/>
    <s v="Daily Sales Import"/>
    <n v="-82.49499999999999"/>
    <n v="82.49499999999999"/>
    <x v="2"/>
    <s v="2230"/>
    <s v="000"/>
    <x v="3"/>
    <x v="2"/>
  </r>
  <r>
    <d v="2013-01-26T00:00:00"/>
    <s v="018-2100-000"/>
    <s v="Food Sales"/>
    <n v="13354.7048"/>
    <n v="0"/>
    <s v="Daily Sales Import"/>
    <n v="-13354.7048"/>
    <n v="13354.7048"/>
    <x v="2"/>
    <s v="2100"/>
    <s v="000"/>
    <x v="3"/>
    <x v="2"/>
  </r>
  <r>
    <d v="2013-01-26T00:00:00"/>
    <s v="018-2210-000"/>
    <s v="Liquor Sales"/>
    <n v="3244.0383999999999"/>
    <n v="0"/>
    <s v="Daily Sales Import"/>
    <n v="-3244.0383999999999"/>
    <n v="3244.0383999999999"/>
    <x v="2"/>
    <s v="2210"/>
    <s v="000"/>
    <x v="3"/>
    <x v="2"/>
  </r>
  <r>
    <d v="2013-01-26T00:00:00"/>
    <s v="018-2220-000"/>
    <s v="Beer Sales"/>
    <n v="641.68340000000001"/>
    <n v="0"/>
    <s v="Daily Sales Import"/>
    <n v="-641.68340000000001"/>
    <n v="641.68340000000001"/>
    <x v="2"/>
    <s v="2220"/>
    <s v="000"/>
    <x v="3"/>
    <x v="2"/>
  </r>
  <r>
    <d v="2013-01-26T00:00:00"/>
    <s v="018-2230-000"/>
    <s v="Wine Sales"/>
    <n v="93.849800000000002"/>
    <n v="0"/>
    <s v="Daily Sales Import"/>
    <n v="-93.849800000000002"/>
    <n v="93.849800000000002"/>
    <x v="2"/>
    <s v="2230"/>
    <s v="000"/>
    <x v="3"/>
    <x v="2"/>
  </r>
  <r>
    <d v="2013-01-27T00:00:00"/>
    <s v="018-2100-000"/>
    <s v="Food Sales"/>
    <n v="10607.888999999999"/>
    <n v="0"/>
    <s v="Daily Sales Import"/>
    <n v="-10607.888999999999"/>
    <n v="10607.888999999999"/>
    <x v="2"/>
    <s v="2100"/>
    <s v="000"/>
    <x v="3"/>
    <x v="2"/>
  </r>
  <r>
    <d v="2013-01-27T00:00:00"/>
    <s v="018-2210-000"/>
    <s v="Liquor Sales"/>
    <n v="1253.1711"/>
    <n v="0"/>
    <s v="Daily Sales Import"/>
    <n v="-1253.1711"/>
    <n v="1253.1711"/>
    <x v="2"/>
    <s v="2210"/>
    <s v="000"/>
    <x v="3"/>
    <x v="2"/>
  </r>
  <r>
    <d v="2013-01-27T00:00:00"/>
    <s v="018-2220-000"/>
    <s v="Beer Sales"/>
    <n v="344.6952"/>
    <n v="0"/>
    <s v="Daily Sales Import"/>
    <n v="-344.6952"/>
    <n v="344.6952"/>
    <x v="2"/>
    <s v="2220"/>
    <s v="000"/>
    <x v="3"/>
    <x v="2"/>
  </r>
  <r>
    <d v="2013-01-27T00:00:00"/>
    <s v="018-2230-000"/>
    <s v="Wine Sales"/>
    <n v="61.299199999999999"/>
    <n v="0"/>
    <s v="Daily Sales Import"/>
    <n v="-61.299199999999999"/>
    <n v="61.299199999999999"/>
    <x v="2"/>
    <s v="2230"/>
    <s v="000"/>
    <x v="3"/>
    <x v="2"/>
  </r>
  <r>
    <d v="2013-01-28T00:00:00"/>
    <s v="016-2100-000"/>
    <s v="Food Sales"/>
    <n v="1818.0225"/>
    <n v="0"/>
    <s v="Daily Sales Import"/>
    <n v="-1818.0225"/>
    <n v="1818.0225"/>
    <x v="0"/>
    <s v="2100"/>
    <s v="000"/>
    <x v="3"/>
    <x v="2"/>
  </r>
  <r>
    <d v="2013-01-28T00:00:00"/>
    <s v="016-2210-000"/>
    <s v="Liquor Sales"/>
    <n v="414.24490000000003"/>
    <n v="0"/>
    <s v="Daily Sales Import"/>
    <n v="-414.24490000000003"/>
    <n v="414.24490000000003"/>
    <x v="0"/>
    <s v="2210"/>
    <s v="000"/>
    <x v="3"/>
    <x v="2"/>
  </r>
  <r>
    <d v="2013-01-28T00:00:00"/>
    <s v="016-2220-000"/>
    <s v="Beer Sales"/>
    <n v="98.419200000000004"/>
    <n v="0"/>
    <s v="Daily Sales Import"/>
    <n v="-98.419200000000004"/>
    <n v="98.419200000000004"/>
    <x v="0"/>
    <s v="2220"/>
    <s v="000"/>
    <x v="3"/>
    <x v="2"/>
  </r>
  <r>
    <d v="2013-01-28T00:00:00"/>
    <s v="016-2230-000"/>
    <s v="Wine Sales"/>
    <n v="149.6746"/>
    <n v="0"/>
    <s v="Daily Sales Import"/>
    <n v="-149.6746"/>
    <n v="149.6746"/>
    <x v="0"/>
    <s v="2230"/>
    <s v="000"/>
    <x v="3"/>
    <x v="2"/>
  </r>
  <r>
    <d v="2013-01-29T00:00:00"/>
    <s v="016-2100-000"/>
    <s v="Food Sales"/>
    <n v="7035.8919999999998"/>
    <n v="0"/>
    <s v="Daily Sales Import"/>
    <n v="-7035.8919999999998"/>
    <n v="7035.8919999999998"/>
    <x v="0"/>
    <s v="2100"/>
    <s v="000"/>
    <x v="3"/>
    <x v="2"/>
  </r>
  <r>
    <d v="2013-01-29T00:00:00"/>
    <s v="016-2210-000"/>
    <s v="Liquor Sales"/>
    <n v="1924.8313000000001"/>
    <n v="0"/>
    <s v="Daily Sales Import"/>
    <n v="-1924.8313000000001"/>
    <n v="1924.8313000000001"/>
    <x v="0"/>
    <s v="2210"/>
    <s v="000"/>
    <x v="3"/>
    <x v="2"/>
  </r>
  <r>
    <d v="2013-01-29T00:00:00"/>
    <s v="016-2220-000"/>
    <s v="Beer Sales"/>
    <n v="730.92750000000001"/>
    <n v="0"/>
    <s v="Daily Sales Import"/>
    <n v="-730.92750000000001"/>
    <n v="730.92750000000001"/>
    <x v="0"/>
    <s v="2220"/>
    <s v="000"/>
    <x v="3"/>
    <x v="2"/>
  </r>
  <r>
    <d v="2013-01-29T00:00:00"/>
    <s v="016-2230-000"/>
    <s v="Wine Sales"/>
    <n v="145.34099999999998"/>
    <n v="0"/>
    <s v="Daily Sales Import"/>
    <n v="-145.34099999999998"/>
    <n v="145.34099999999998"/>
    <x v="0"/>
    <s v="2230"/>
    <s v="000"/>
    <x v="3"/>
    <x v="2"/>
  </r>
  <r>
    <d v="2013-01-30T00:00:00"/>
    <s v="016-2100-000"/>
    <s v="Food Sales"/>
    <n v="3473.4777000000004"/>
    <n v="0"/>
    <s v="Daily Sales Import"/>
    <n v="-3473.4777000000004"/>
    <n v="3473.4777000000004"/>
    <x v="0"/>
    <s v="2100"/>
    <s v="000"/>
    <x v="3"/>
    <x v="2"/>
  </r>
  <r>
    <d v="2013-01-30T00:00:00"/>
    <s v="016-2210-000"/>
    <s v="Liquor Sales"/>
    <n v="756.76859999999999"/>
    <n v="0"/>
    <s v="Daily Sales Import"/>
    <n v="-756.76859999999999"/>
    <n v="756.76859999999999"/>
    <x v="0"/>
    <s v="2210"/>
    <s v="000"/>
    <x v="3"/>
    <x v="2"/>
  </r>
  <r>
    <d v="2013-01-30T00:00:00"/>
    <s v="016-2220-000"/>
    <s v="Beer Sales"/>
    <n v="82.5"/>
    <n v="0"/>
    <s v="Daily Sales Import"/>
    <n v="-82.5"/>
    <n v="82.5"/>
    <x v="0"/>
    <s v="2220"/>
    <s v="000"/>
    <x v="3"/>
    <x v="2"/>
  </r>
  <r>
    <d v="2013-01-30T00:00:00"/>
    <s v="016-2230-000"/>
    <s v="Wine Sales"/>
    <n v="83.117999999999995"/>
    <n v="0"/>
    <s v="Daily Sales Import"/>
    <n v="-83.117999999999995"/>
    <n v="83.117999999999995"/>
    <x v="0"/>
    <s v="2230"/>
    <s v="000"/>
    <x v="3"/>
    <x v="2"/>
  </r>
  <r>
    <d v="2013-01-31T00:00:00"/>
    <s v="016-2100-000"/>
    <s v="Food Sales"/>
    <n v="2254.7979"/>
    <n v="0"/>
    <s v="Daily Sales Import"/>
    <n v="-2254.7979"/>
    <n v="2254.7979"/>
    <x v="0"/>
    <s v="2100"/>
    <s v="000"/>
    <x v="3"/>
    <x v="2"/>
  </r>
  <r>
    <d v="2013-01-31T00:00:00"/>
    <s v="016-2210-000"/>
    <s v="Liquor Sales"/>
    <n v="618.84739999999999"/>
    <n v="0"/>
    <s v="Daily Sales Import"/>
    <n v="-618.84739999999999"/>
    <n v="618.84739999999999"/>
    <x v="0"/>
    <s v="2210"/>
    <s v="000"/>
    <x v="3"/>
    <x v="2"/>
  </r>
  <r>
    <d v="2013-01-31T00:00:00"/>
    <s v="016-2220-000"/>
    <s v="Beer Sales"/>
    <n v="101.80170000000001"/>
    <n v="0"/>
    <s v="Daily Sales Import"/>
    <n v="-101.80170000000001"/>
    <n v="101.80170000000001"/>
    <x v="0"/>
    <s v="2220"/>
    <s v="000"/>
    <x v="3"/>
    <x v="2"/>
  </r>
  <r>
    <d v="2013-01-31T00:00:00"/>
    <s v="016-2230-000"/>
    <s v="Wine Sales"/>
    <n v="54.048000000000002"/>
    <n v="0"/>
    <s v="Daily Sales Import"/>
    <n v="-54.048000000000002"/>
    <n v="54.048000000000002"/>
    <x v="0"/>
    <s v="2230"/>
    <s v="000"/>
    <x v="3"/>
    <x v="2"/>
  </r>
  <r>
    <d v="2013-02-01T00:00:00"/>
    <s v="016-2100-000"/>
    <s v="Food Sales"/>
    <n v="5403.4404000000004"/>
    <n v="0"/>
    <s v="Daily Sales Import"/>
    <n v="-5403.4404000000004"/>
    <n v="5403.4404000000004"/>
    <x v="0"/>
    <s v="2100"/>
    <s v="000"/>
    <x v="4"/>
    <x v="2"/>
  </r>
  <r>
    <d v="2013-02-01T00:00:00"/>
    <s v="016-2210-000"/>
    <s v="Liquor Sales"/>
    <n v="1719.4190000000001"/>
    <n v="0"/>
    <s v="Daily Sales Import"/>
    <n v="-1719.4190000000001"/>
    <n v="1719.4190000000001"/>
    <x v="0"/>
    <s v="2210"/>
    <s v="000"/>
    <x v="4"/>
    <x v="2"/>
  </r>
  <r>
    <d v="2013-02-01T00:00:00"/>
    <s v="016-2220-000"/>
    <s v="Beer Sales"/>
    <n v="213.56720000000001"/>
    <n v="0"/>
    <s v="Daily Sales Import"/>
    <n v="-213.56720000000001"/>
    <n v="213.56720000000001"/>
    <x v="0"/>
    <s v="2220"/>
    <s v="000"/>
    <x v="4"/>
    <x v="2"/>
  </r>
  <r>
    <d v="2013-02-01T00:00:00"/>
    <s v="016-2230-000"/>
    <s v="Wine Sales"/>
    <n v="176.52800000000002"/>
    <n v="0"/>
    <s v="Daily Sales Import"/>
    <n v="-176.52800000000002"/>
    <n v="176.52800000000002"/>
    <x v="0"/>
    <s v="2230"/>
    <s v="000"/>
    <x v="4"/>
    <x v="2"/>
  </r>
  <r>
    <d v="2013-02-02T00:00:00"/>
    <s v="016-2100-000"/>
    <s v="Food Sales"/>
    <n v="9368.2763999999988"/>
    <n v="0"/>
    <s v="Daily Sales Import"/>
    <n v="-9368.2763999999988"/>
    <n v="9368.2763999999988"/>
    <x v="0"/>
    <s v="2100"/>
    <s v="000"/>
    <x v="4"/>
    <x v="2"/>
  </r>
  <r>
    <d v="2013-02-02T00:00:00"/>
    <s v="016-2210-000"/>
    <s v="Liquor Sales"/>
    <n v="2638.7840000000001"/>
    <n v="0"/>
    <s v="Daily Sales Import"/>
    <n v="-2638.7840000000001"/>
    <n v="2638.7840000000001"/>
    <x v="0"/>
    <s v="2210"/>
    <s v="000"/>
    <x v="4"/>
    <x v="2"/>
  </r>
  <r>
    <d v="2013-02-02T00:00:00"/>
    <s v="016-2220-000"/>
    <s v="Beer Sales"/>
    <n v="358.06509999999997"/>
    <n v="0"/>
    <s v="Daily Sales Import"/>
    <n v="-358.06509999999997"/>
    <n v="358.06509999999997"/>
    <x v="0"/>
    <s v="2220"/>
    <s v="000"/>
    <x v="4"/>
    <x v="2"/>
  </r>
  <r>
    <d v="2013-02-02T00:00:00"/>
    <s v="016-2230-000"/>
    <s v="Wine Sales"/>
    <n v="155.40599999999998"/>
    <n v="0"/>
    <s v="Daily Sales Import"/>
    <n v="-155.40599999999998"/>
    <n v="155.40599999999998"/>
    <x v="0"/>
    <s v="2230"/>
    <s v="000"/>
    <x v="4"/>
    <x v="2"/>
  </r>
  <r>
    <d v="2013-02-03T00:00:00"/>
    <s v="016-2100-000"/>
    <s v="Food Sales"/>
    <n v="3301.2046"/>
    <n v="0"/>
    <s v="Daily Sales Import"/>
    <n v="-3301.2046"/>
    <n v="3301.2046"/>
    <x v="0"/>
    <s v="2100"/>
    <s v="000"/>
    <x v="4"/>
    <x v="2"/>
  </r>
  <r>
    <d v="2013-02-03T00:00:00"/>
    <s v="016-2210-000"/>
    <s v="Liquor Sales"/>
    <n v="424.59200000000004"/>
    <n v="0"/>
    <s v="Daily Sales Import"/>
    <n v="-424.59200000000004"/>
    <n v="424.59200000000004"/>
    <x v="0"/>
    <s v="2210"/>
    <s v="000"/>
    <x v="4"/>
    <x v="2"/>
  </r>
  <r>
    <d v="2013-02-03T00:00:00"/>
    <s v="016-2220-000"/>
    <s v="Beer Sales"/>
    <n v="120.00239999999998"/>
    <n v="0"/>
    <s v="Daily Sales Import"/>
    <n v="-120.00239999999998"/>
    <n v="120.00239999999998"/>
    <x v="0"/>
    <s v="2220"/>
    <s v="000"/>
    <x v="4"/>
    <x v="2"/>
  </r>
  <r>
    <d v="2013-02-03T00:00:00"/>
    <s v="016-2230-000"/>
    <s v="Wine Sales"/>
    <n v="28.928900000000002"/>
    <n v="0"/>
    <s v="Daily Sales Import"/>
    <n v="-28.928900000000002"/>
    <n v="28.928900000000002"/>
    <x v="0"/>
    <s v="2230"/>
    <s v="000"/>
    <x v="4"/>
    <x v="2"/>
  </r>
  <r>
    <d v="2013-01-28T00:00:00"/>
    <s v="017-2100-000"/>
    <s v="Food Sales"/>
    <n v="4409.5109999999995"/>
    <n v="0"/>
    <s v="Daily Sales Import"/>
    <n v="-4409.5109999999995"/>
    <n v="4409.5109999999995"/>
    <x v="1"/>
    <s v="2100"/>
    <s v="000"/>
    <x v="3"/>
    <x v="2"/>
  </r>
  <r>
    <d v="2013-01-28T00:00:00"/>
    <s v="017-2210-000"/>
    <s v="Liquor Sales"/>
    <n v="570.84709999999995"/>
    <n v="0"/>
    <s v="Daily Sales Import"/>
    <n v="-570.84709999999995"/>
    <n v="570.84709999999995"/>
    <x v="1"/>
    <s v="2210"/>
    <s v="000"/>
    <x v="3"/>
    <x v="2"/>
  </r>
  <r>
    <d v="2013-01-28T00:00:00"/>
    <s v="017-2220-000"/>
    <s v="Beer Sales"/>
    <n v="315.35759999999999"/>
    <n v="0"/>
    <s v="Daily Sales Import"/>
    <n v="-315.35759999999999"/>
    <n v="315.35759999999999"/>
    <x v="1"/>
    <s v="2220"/>
    <s v="000"/>
    <x v="3"/>
    <x v="2"/>
  </r>
  <r>
    <d v="2013-01-28T00:00:00"/>
    <s v="017-2230-000"/>
    <s v="Wine Sales"/>
    <n v="14.942400000000001"/>
    <n v="0"/>
    <s v="Daily Sales Import"/>
    <n v="-14.942400000000001"/>
    <n v="14.942400000000001"/>
    <x v="1"/>
    <s v="2230"/>
    <s v="000"/>
    <x v="3"/>
    <x v="2"/>
  </r>
  <r>
    <d v="2013-01-29T00:00:00"/>
    <s v="017-2100-000"/>
    <s v="Food Sales"/>
    <n v="4502.0755000000008"/>
    <n v="0"/>
    <s v="Daily Sales Import"/>
    <n v="-4502.0755000000008"/>
    <n v="4502.0755000000008"/>
    <x v="1"/>
    <s v="2100"/>
    <s v="000"/>
    <x v="3"/>
    <x v="2"/>
  </r>
  <r>
    <d v="2013-01-29T00:00:00"/>
    <s v="017-2210-000"/>
    <s v="Liquor Sales"/>
    <n v="1285.2124000000001"/>
    <n v="0"/>
    <s v="Daily Sales Import"/>
    <n v="-1285.2124000000001"/>
    <n v="1285.2124000000001"/>
    <x v="1"/>
    <s v="2210"/>
    <s v="000"/>
    <x v="3"/>
    <x v="2"/>
  </r>
  <r>
    <d v="2013-01-29T00:00:00"/>
    <s v="017-2220-000"/>
    <s v="Beer Sales"/>
    <n v="373.93139999999994"/>
    <n v="0"/>
    <s v="Daily Sales Import"/>
    <n v="-373.93139999999994"/>
    <n v="373.93139999999994"/>
    <x v="1"/>
    <s v="2220"/>
    <s v="000"/>
    <x v="3"/>
    <x v="2"/>
  </r>
  <r>
    <d v="2013-01-29T00:00:00"/>
    <s v="017-2230-000"/>
    <s v="Wine Sales"/>
    <n v="377.84950000000003"/>
    <n v="0"/>
    <s v="Daily Sales Import"/>
    <n v="-377.84950000000003"/>
    <n v="377.84950000000003"/>
    <x v="1"/>
    <s v="2230"/>
    <s v="000"/>
    <x v="3"/>
    <x v="2"/>
  </r>
  <r>
    <d v="2013-01-30T00:00:00"/>
    <s v="017-2100-000"/>
    <s v="Food Sales"/>
    <n v="4153.2047999999995"/>
    <n v="0"/>
    <s v="Daily Sales Import"/>
    <n v="-4153.2047999999995"/>
    <n v="4153.2047999999995"/>
    <x v="1"/>
    <s v="2100"/>
    <s v="000"/>
    <x v="3"/>
    <x v="2"/>
  </r>
  <r>
    <d v="2013-01-30T00:00:00"/>
    <s v="017-2210-000"/>
    <s v="Liquor Sales"/>
    <n v="947.70060000000001"/>
    <n v="0"/>
    <s v="Daily Sales Import"/>
    <n v="-947.70060000000001"/>
    <n v="947.70060000000001"/>
    <x v="1"/>
    <s v="2210"/>
    <s v="000"/>
    <x v="3"/>
    <x v="2"/>
  </r>
  <r>
    <d v="2013-01-30T00:00:00"/>
    <s v="017-2220-000"/>
    <s v="Beer Sales"/>
    <n v="326.2912"/>
    <n v="0"/>
    <s v="Daily Sales Import"/>
    <n v="-326.2912"/>
    <n v="326.2912"/>
    <x v="1"/>
    <s v="2220"/>
    <s v="000"/>
    <x v="3"/>
    <x v="2"/>
  </r>
  <r>
    <d v="2013-01-30T00:00:00"/>
    <s v="017-2230-000"/>
    <s v="Wine Sales"/>
    <n v="84.990299999999991"/>
    <n v="0"/>
    <s v="Daily Sales Import"/>
    <n v="-84.990299999999991"/>
    <n v="84.990299999999991"/>
    <x v="1"/>
    <s v="2230"/>
    <s v="000"/>
    <x v="3"/>
    <x v="2"/>
  </r>
  <r>
    <d v="2013-01-31T00:00:00"/>
    <s v="017-2100-000"/>
    <s v="Food Sales"/>
    <n v="4917.6065999999992"/>
    <n v="0"/>
    <s v="Daily Sales Import"/>
    <n v="-4917.6065999999992"/>
    <n v="4917.6065999999992"/>
    <x v="1"/>
    <s v="2100"/>
    <s v="000"/>
    <x v="3"/>
    <x v="2"/>
  </r>
  <r>
    <d v="2013-01-31T00:00:00"/>
    <s v="017-2210-000"/>
    <s v="Liquor Sales"/>
    <n v="1900.3068000000001"/>
    <n v="0"/>
    <s v="Daily Sales Import"/>
    <n v="-1900.3068000000001"/>
    <n v="1900.3068000000001"/>
    <x v="1"/>
    <s v="2210"/>
    <s v="000"/>
    <x v="3"/>
    <x v="2"/>
  </r>
  <r>
    <d v="2013-01-31T00:00:00"/>
    <s v="017-2220-000"/>
    <s v="Beer Sales"/>
    <n v="367.82439999999997"/>
    <n v="0"/>
    <s v="Daily Sales Import"/>
    <n v="-367.82439999999997"/>
    <n v="367.82439999999997"/>
    <x v="1"/>
    <s v="2220"/>
    <s v="000"/>
    <x v="3"/>
    <x v="2"/>
  </r>
  <r>
    <d v="2013-01-31T00:00:00"/>
    <s v="017-2230-000"/>
    <s v="Wine Sales"/>
    <n v="30.323999999999998"/>
    <n v="0"/>
    <s v="Daily Sales Import"/>
    <n v="-30.323999999999998"/>
    <n v="30.323999999999998"/>
    <x v="1"/>
    <s v="2230"/>
    <s v="000"/>
    <x v="3"/>
    <x v="2"/>
  </r>
  <r>
    <d v="2013-02-01T00:00:00"/>
    <s v="017-2100-000"/>
    <s v="Food Sales"/>
    <n v="8719.9490999999998"/>
    <n v="0"/>
    <s v="Daily Sales Import"/>
    <n v="-8719.9490999999998"/>
    <n v="8719.9490999999998"/>
    <x v="1"/>
    <s v="2100"/>
    <s v="000"/>
    <x v="4"/>
    <x v="2"/>
  </r>
  <r>
    <d v="2013-02-01T00:00:00"/>
    <s v="017-2210-000"/>
    <s v="Liquor Sales"/>
    <n v="2283.2347999999997"/>
    <n v="0"/>
    <s v="Daily Sales Import"/>
    <n v="-2283.2347999999997"/>
    <n v="2283.2347999999997"/>
    <x v="1"/>
    <s v="2210"/>
    <s v="000"/>
    <x v="4"/>
    <x v="2"/>
  </r>
  <r>
    <d v="2013-02-01T00:00:00"/>
    <s v="017-2220-000"/>
    <s v="Beer Sales"/>
    <n v="428.19919999999996"/>
    <n v="0"/>
    <s v="Daily Sales Import"/>
    <n v="-428.19919999999996"/>
    <n v="428.19919999999996"/>
    <x v="1"/>
    <s v="2220"/>
    <s v="000"/>
    <x v="4"/>
    <x v="2"/>
  </r>
  <r>
    <d v="2013-02-01T00:00:00"/>
    <s v="017-2230-000"/>
    <s v="Wine Sales"/>
    <n v="120.26880000000001"/>
    <n v="0"/>
    <s v="Daily Sales Import"/>
    <n v="-120.26880000000001"/>
    <n v="120.26880000000001"/>
    <x v="1"/>
    <s v="2230"/>
    <s v="000"/>
    <x v="4"/>
    <x v="2"/>
  </r>
  <r>
    <d v="2013-02-02T00:00:00"/>
    <s v="017-2100-000"/>
    <s v="Food Sales"/>
    <n v="8341.8064999999988"/>
    <n v="0"/>
    <s v="Daily Sales Import"/>
    <n v="-8341.8064999999988"/>
    <n v="8341.8064999999988"/>
    <x v="1"/>
    <s v="2100"/>
    <s v="000"/>
    <x v="4"/>
    <x v="2"/>
  </r>
  <r>
    <d v="2013-02-02T00:00:00"/>
    <s v="017-2210-000"/>
    <s v="Liquor Sales"/>
    <n v="1660.4217000000001"/>
    <n v="0"/>
    <s v="Daily Sales Import"/>
    <n v="-1660.4217000000001"/>
    <n v="1660.4217000000001"/>
    <x v="1"/>
    <s v="2210"/>
    <s v="000"/>
    <x v="4"/>
    <x v="2"/>
  </r>
  <r>
    <d v="2013-02-02T00:00:00"/>
    <s v="017-2220-000"/>
    <s v="Beer Sales"/>
    <n v="541.64700000000005"/>
    <n v="0"/>
    <s v="Daily Sales Import"/>
    <n v="-541.64700000000005"/>
    <n v="541.64700000000005"/>
    <x v="1"/>
    <s v="2220"/>
    <s v="000"/>
    <x v="4"/>
    <x v="2"/>
  </r>
  <r>
    <d v="2013-02-02T00:00:00"/>
    <s v="017-2230-000"/>
    <s v="Wine Sales"/>
    <n v="134.15199999999999"/>
    <n v="0"/>
    <s v="Daily Sales Import"/>
    <n v="-134.15199999999999"/>
    <n v="134.15199999999999"/>
    <x v="1"/>
    <s v="2230"/>
    <s v="000"/>
    <x v="4"/>
    <x v="2"/>
  </r>
  <r>
    <d v="2013-02-03T00:00:00"/>
    <s v="017-2100-000"/>
    <s v="Food Sales"/>
    <n v="3358.6096000000002"/>
    <n v="0"/>
    <s v="Daily Sales Import"/>
    <n v="-3358.6096000000002"/>
    <n v="3358.6096000000002"/>
    <x v="1"/>
    <s v="2100"/>
    <s v="000"/>
    <x v="4"/>
    <x v="2"/>
  </r>
  <r>
    <d v="2013-02-03T00:00:00"/>
    <s v="017-2210-000"/>
    <s v="Liquor Sales"/>
    <n v="325.01919999999996"/>
    <n v="0"/>
    <s v="Daily Sales Import"/>
    <n v="-325.01919999999996"/>
    <n v="325.01919999999996"/>
    <x v="1"/>
    <s v="2210"/>
    <s v="000"/>
    <x v="4"/>
    <x v="2"/>
  </r>
  <r>
    <d v="2013-02-03T00:00:00"/>
    <s v="017-2220-000"/>
    <s v="Beer Sales"/>
    <n v="109.77119999999999"/>
    <n v="0"/>
    <s v="Daily Sales Import"/>
    <n v="-109.77119999999999"/>
    <n v="109.77119999999999"/>
    <x v="1"/>
    <s v="2220"/>
    <s v="000"/>
    <x v="4"/>
    <x v="2"/>
  </r>
  <r>
    <d v="2013-02-03T00:00:00"/>
    <s v="017-2230-000"/>
    <s v="Wine Sales"/>
    <n v="6.7915000000000001"/>
    <n v="0"/>
    <s v="Daily Sales Import"/>
    <n v="-6.7915000000000001"/>
    <n v="6.7915000000000001"/>
    <x v="1"/>
    <s v="2230"/>
    <s v="000"/>
    <x v="4"/>
    <x v="2"/>
  </r>
  <r>
    <d v="2013-01-28T00:00:00"/>
    <s v="018-2100-000"/>
    <s v="Food Sales"/>
    <n v="2660.1561000000002"/>
    <n v="0"/>
    <s v="Daily Sales Import"/>
    <n v="-2660.1561000000002"/>
    <n v="2660.1561000000002"/>
    <x v="2"/>
    <s v="2100"/>
    <s v="000"/>
    <x v="3"/>
    <x v="2"/>
  </r>
  <r>
    <d v="2013-01-28T00:00:00"/>
    <s v="018-2210-000"/>
    <s v="Liquor Sales"/>
    <n v="517.65350000000001"/>
    <n v="0"/>
    <s v="Daily Sales Import"/>
    <n v="-517.65350000000001"/>
    <n v="517.65350000000001"/>
    <x v="2"/>
    <s v="2210"/>
    <s v="000"/>
    <x v="3"/>
    <x v="2"/>
  </r>
  <r>
    <d v="2013-01-28T00:00:00"/>
    <s v="018-2220-000"/>
    <s v="Beer Sales"/>
    <n v="75.913799999999995"/>
    <n v="0"/>
    <s v="Daily Sales Import"/>
    <n v="-75.913799999999995"/>
    <n v="75.913799999999995"/>
    <x v="2"/>
    <s v="2220"/>
    <s v="000"/>
    <x v="3"/>
    <x v="2"/>
  </r>
  <r>
    <d v="2013-01-28T00:00:00"/>
    <s v="018-2230-000"/>
    <s v="Wine Sales"/>
    <n v="32.349000000000004"/>
    <n v="0"/>
    <s v="Daily Sales Import"/>
    <n v="-32.349000000000004"/>
    <n v="32.349000000000004"/>
    <x v="2"/>
    <s v="2230"/>
    <s v="000"/>
    <x v="3"/>
    <x v="2"/>
  </r>
  <r>
    <d v="2013-01-29T00:00:00"/>
    <s v="018-2100-000"/>
    <s v="Food Sales"/>
    <n v="3694.3676"/>
    <n v="0"/>
    <s v="Daily Sales Import"/>
    <n v="-3694.3676"/>
    <n v="3694.3676"/>
    <x v="2"/>
    <s v="2100"/>
    <s v="000"/>
    <x v="3"/>
    <x v="2"/>
  </r>
  <r>
    <d v="2013-01-29T00:00:00"/>
    <s v="018-2210-000"/>
    <s v="Liquor Sales"/>
    <n v="472.57560000000001"/>
    <n v="0"/>
    <s v="Daily Sales Import"/>
    <n v="-472.57560000000001"/>
    <n v="472.57560000000001"/>
    <x v="2"/>
    <s v="2210"/>
    <s v="000"/>
    <x v="3"/>
    <x v="2"/>
  </r>
  <r>
    <d v="2013-01-29T00:00:00"/>
    <s v="018-2220-000"/>
    <s v="Beer Sales"/>
    <n v="310.5736"/>
    <n v="0"/>
    <s v="Daily Sales Import"/>
    <n v="-310.5736"/>
    <n v="310.5736"/>
    <x v="2"/>
    <s v="2220"/>
    <s v="000"/>
    <x v="3"/>
    <x v="2"/>
  </r>
  <r>
    <d v="2013-01-29T00:00:00"/>
    <s v="018-2230-000"/>
    <s v="Wine Sales"/>
    <n v="61.533000000000008"/>
    <n v="0"/>
    <s v="Daily Sales Import"/>
    <n v="-61.533000000000008"/>
    <n v="61.533000000000008"/>
    <x v="2"/>
    <s v="2230"/>
    <s v="000"/>
    <x v="3"/>
    <x v="2"/>
  </r>
  <r>
    <d v="2013-01-30T00:00:00"/>
    <s v="018-2100-000"/>
    <s v="Food Sales"/>
    <n v="3181.88"/>
    <n v="0"/>
    <s v="Daily Sales Import"/>
    <n v="-3181.88"/>
    <n v="3181.88"/>
    <x v="2"/>
    <s v="2100"/>
    <s v="000"/>
    <x v="3"/>
    <x v="2"/>
  </r>
  <r>
    <d v="2013-01-30T00:00:00"/>
    <s v="018-2210-000"/>
    <s v="Liquor Sales"/>
    <n v="1037.616"/>
    <n v="0"/>
    <s v="Daily Sales Import"/>
    <n v="-1037.616"/>
    <n v="1037.616"/>
    <x v="2"/>
    <s v="2210"/>
    <s v="000"/>
    <x v="3"/>
    <x v="2"/>
  </r>
  <r>
    <d v="2013-01-30T00:00:00"/>
    <s v="018-2220-000"/>
    <s v="Beer Sales"/>
    <n v="235.10159999999996"/>
    <n v="0"/>
    <s v="Daily Sales Import"/>
    <n v="-235.10159999999996"/>
    <n v="235.10159999999996"/>
    <x v="2"/>
    <s v="2220"/>
    <s v="000"/>
    <x v="3"/>
    <x v="2"/>
  </r>
  <r>
    <d v="2013-01-31T00:00:00"/>
    <s v="018-2100-000"/>
    <s v="Food Sales"/>
    <n v="3394.2171999999996"/>
    <n v="0"/>
    <s v="Daily Sales Import"/>
    <n v="-3394.2171999999996"/>
    <n v="3394.2171999999996"/>
    <x v="2"/>
    <s v="2100"/>
    <s v="000"/>
    <x v="3"/>
    <x v="2"/>
  </r>
  <r>
    <d v="2013-01-31T00:00:00"/>
    <s v="018-2210-000"/>
    <s v="Liquor Sales"/>
    <n v="621.59040000000005"/>
    <n v="0"/>
    <s v="Daily Sales Import"/>
    <n v="-621.59040000000005"/>
    <n v="621.59040000000005"/>
    <x v="2"/>
    <s v="2210"/>
    <s v="000"/>
    <x v="3"/>
    <x v="2"/>
  </r>
  <r>
    <d v="2013-01-31T00:00:00"/>
    <s v="018-2220-000"/>
    <s v="Beer Sales"/>
    <n v="274.84449999999998"/>
    <n v="0"/>
    <s v="Daily Sales Import"/>
    <n v="-274.84449999999998"/>
    <n v="274.84449999999998"/>
    <x v="2"/>
    <s v="2220"/>
    <s v="000"/>
    <x v="3"/>
    <x v="2"/>
  </r>
  <r>
    <d v="2013-01-31T00:00:00"/>
    <s v="018-2230-000"/>
    <s v="Wine Sales"/>
    <n v="20.475399999999997"/>
    <n v="0"/>
    <s v="Daily Sales Import"/>
    <n v="-20.475399999999997"/>
    <n v="20.475399999999997"/>
    <x v="2"/>
    <s v="2230"/>
    <s v="000"/>
    <x v="3"/>
    <x v="2"/>
  </r>
  <r>
    <d v="2013-02-01T00:00:00"/>
    <s v="018-2100-000"/>
    <s v="Food Sales"/>
    <n v="7406.1909999999998"/>
    <n v="0"/>
    <s v="Daily Sales Import"/>
    <n v="-7406.1909999999998"/>
    <n v="7406.1909999999998"/>
    <x v="2"/>
    <s v="2100"/>
    <s v="000"/>
    <x v="4"/>
    <x v="2"/>
  </r>
  <r>
    <d v="2013-02-01T00:00:00"/>
    <s v="018-2210-000"/>
    <s v="Liquor Sales"/>
    <n v="1685.9864000000002"/>
    <n v="0"/>
    <s v="Daily Sales Import"/>
    <n v="-1685.9864000000002"/>
    <n v="1685.9864000000002"/>
    <x v="2"/>
    <s v="2210"/>
    <s v="000"/>
    <x v="4"/>
    <x v="2"/>
  </r>
  <r>
    <d v="2013-02-01T00:00:00"/>
    <s v="018-2220-000"/>
    <s v="Beer Sales"/>
    <n v="573.60840000000007"/>
    <n v="0"/>
    <s v="Daily Sales Import"/>
    <n v="-573.60840000000007"/>
    <n v="573.60840000000007"/>
    <x v="2"/>
    <s v="2220"/>
    <s v="000"/>
    <x v="4"/>
    <x v="2"/>
  </r>
  <r>
    <d v="2013-02-01T00:00:00"/>
    <s v="018-2230-000"/>
    <s v="Wine Sales"/>
    <n v="136.92239999999998"/>
    <n v="0"/>
    <s v="Daily Sales Import"/>
    <n v="-136.92239999999998"/>
    <n v="136.92239999999998"/>
    <x v="2"/>
    <s v="2230"/>
    <s v="000"/>
    <x v="4"/>
    <x v="2"/>
  </r>
  <r>
    <d v="2013-02-02T00:00:00"/>
    <s v="018-2100-000"/>
    <s v="Food Sales"/>
    <n v="14797.899600000001"/>
    <n v="0"/>
    <s v="Daily Sales Import"/>
    <n v="-14797.899600000001"/>
    <n v="14797.899600000001"/>
    <x v="2"/>
    <s v="2100"/>
    <s v="000"/>
    <x v="4"/>
    <x v="2"/>
  </r>
  <r>
    <d v="2013-02-02T00:00:00"/>
    <s v="018-2210-000"/>
    <s v="Liquor Sales"/>
    <n v="2741.4560000000001"/>
    <n v="0"/>
    <s v="Daily Sales Import"/>
    <n v="-2741.4560000000001"/>
    <n v="2741.4560000000001"/>
    <x v="2"/>
    <s v="2210"/>
    <s v="000"/>
    <x v="4"/>
    <x v="2"/>
  </r>
  <r>
    <d v="2013-02-02T00:00:00"/>
    <s v="018-2220-000"/>
    <s v="Beer Sales"/>
    <n v="877.65049999999997"/>
    <n v="0"/>
    <s v="Daily Sales Import"/>
    <n v="-877.65049999999997"/>
    <n v="877.65049999999997"/>
    <x v="2"/>
    <s v="2220"/>
    <s v="000"/>
    <x v="4"/>
    <x v="2"/>
  </r>
  <r>
    <d v="2013-02-02T00:00:00"/>
    <s v="018-2230-000"/>
    <s v="Wine Sales"/>
    <n v="144.0376"/>
    <n v="0"/>
    <s v="Daily Sales Import"/>
    <n v="-144.0376"/>
    <n v="144.0376"/>
    <x v="2"/>
    <s v="2230"/>
    <s v="000"/>
    <x v="4"/>
    <x v="2"/>
  </r>
  <r>
    <d v="2013-02-03T00:00:00"/>
    <s v="018-2100-000"/>
    <s v="Food Sales"/>
    <n v="6294.3724000000002"/>
    <n v="0"/>
    <s v="Daily Sales Import"/>
    <n v="-6294.3724000000002"/>
    <n v="6294.3724000000002"/>
    <x v="2"/>
    <s v="2100"/>
    <s v="000"/>
    <x v="4"/>
    <x v="2"/>
  </r>
  <r>
    <d v="2013-02-03T00:00:00"/>
    <s v="018-2210-000"/>
    <s v="Liquor Sales"/>
    <n v="487.27249999999998"/>
    <n v="0"/>
    <s v="Daily Sales Import"/>
    <n v="-487.27249999999998"/>
    <n v="487.27249999999998"/>
    <x v="2"/>
    <s v="2210"/>
    <s v="000"/>
    <x v="4"/>
    <x v="2"/>
  </r>
  <r>
    <d v="2013-02-03T00:00:00"/>
    <s v="018-2220-000"/>
    <s v="Beer Sales"/>
    <n v="170.3432"/>
    <n v="0"/>
    <s v="Daily Sales Import"/>
    <n v="-170.3432"/>
    <n v="170.3432"/>
    <x v="2"/>
    <s v="2220"/>
    <s v="000"/>
    <x v="4"/>
    <x v="2"/>
  </r>
  <r>
    <d v="2013-02-03T00:00:00"/>
    <s v="018-2230-000"/>
    <s v="Wine Sales"/>
    <n v="50.779199999999996"/>
    <n v="0"/>
    <s v="Daily Sales Import"/>
    <n v="-50.779199999999996"/>
    <n v="50.779199999999996"/>
    <x v="2"/>
    <s v="2230"/>
    <s v="000"/>
    <x v="4"/>
    <x v="2"/>
  </r>
  <r>
    <d v="2013-02-04T00:00:00"/>
    <s v="016-2100-000"/>
    <s v="Food Sales"/>
    <n v="2293.1252999999997"/>
    <n v="0"/>
    <s v="Daily Sales Import"/>
    <n v="-2293.1252999999997"/>
    <n v="2293.1252999999997"/>
    <x v="0"/>
    <s v="2100"/>
    <s v="000"/>
    <x v="4"/>
    <x v="2"/>
  </r>
  <r>
    <d v="2013-02-04T00:00:00"/>
    <s v="016-2210-000"/>
    <s v="Liquor Sales"/>
    <n v="507.21440000000001"/>
    <n v="0"/>
    <s v="Daily Sales Import"/>
    <n v="-507.21440000000001"/>
    <n v="507.21440000000001"/>
    <x v="0"/>
    <s v="2210"/>
    <s v="000"/>
    <x v="4"/>
    <x v="2"/>
  </r>
  <r>
    <d v="2013-02-04T00:00:00"/>
    <s v="016-2220-000"/>
    <s v="Beer Sales"/>
    <n v="69.749799999999993"/>
    <n v="0"/>
    <s v="Daily Sales Import"/>
    <n v="-69.749799999999993"/>
    <n v="69.749799999999993"/>
    <x v="0"/>
    <s v="2220"/>
    <s v="000"/>
    <x v="4"/>
    <x v="2"/>
  </r>
  <r>
    <d v="2013-02-04T00:00:00"/>
    <s v="016-2230-000"/>
    <s v="Wine Sales"/>
    <n v="53.5122"/>
    <n v="0"/>
    <s v="Daily Sales Import"/>
    <n v="-53.5122"/>
    <n v="53.5122"/>
    <x v="0"/>
    <s v="2230"/>
    <s v="000"/>
    <x v="4"/>
    <x v="2"/>
  </r>
  <r>
    <d v="2013-02-05T00:00:00"/>
    <s v="016-2100-000"/>
    <s v="Food Sales"/>
    <n v="5391.2494999999999"/>
    <n v="0"/>
    <s v="Daily Sales Import"/>
    <n v="-5391.2494999999999"/>
    <n v="5391.2494999999999"/>
    <x v="0"/>
    <s v="2100"/>
    <s v="000"/>
    <x v="4"/>
    <x v="2"/>
  </r>
  <r>
    <d v="2013-02-05T00:00:00"/>
    <s v="016-2210-000"/>
    <s v="Liquor Sales"/>
    <n v="1684.7921999999999"/>
    <n v="0"/>
    <s v="Daily Sales Import"/>
    <n v="-1684.7921999999999"/>
    <n v="1684.7921999999999"/>
    <x v="0"/>
    <s v="2210"/>
    <s v="000"/>
    <x v="4"/>
    <x v="2"/>
  </r>
  <r>
    <d v="2013-02-05T00:00:00"/>
    <s v="016-2220-000"/>
    <s v="Beer Sales"/>
    <n v="818.94889999999998"/>
    <n v="0"/>
    <s v="Daily Sales Import"/>
    <n v="-818.94889999999998"/>
    <n v="818.94889999999998"/>
    <x v="0"/>
    <s v="2220"/>
    <s v="000"/>
    <x v="4"/>
    <x v="2"/>
  </r>
  <r>
    <d v="2013-02-05T00:00:00"/>
    <s v="016-2230-000"/>
    <s v="Wine Sales"/>
    <n v="100.71600000000001"/>
    <n v="0"/>
    <s v="Daily Sales Import"/>
    <n v="-100.71600000000001"/>
    <n v="100.71600000000001"/>
    <x v="0"/>
    <s v="2230"/>
    <s v="000"/>
    <x v="4"/>
    <x v="2"/>
  </r>
  <r>
    <d v="2013-02-06T00:00:00"/>
    <s v="016-2100-000"/>
    <s v="Food Sales"/>
    <n v="2843.2580000000003"/>
    <n v="0"/>
    <s v="Daily Sales Import"/>
    <n v="-2843.2580000000003"/>
    <n v="2843.2580000000003"/>
    <x v="0"/>
    <s v="2100"/>
    <s v="000"/>
    <x v="4"/>
    <x v="2"/>
  </r>
  <r>
    <d v="2013-02-06T00:00:00"/>
    <s v="016-2210-000"/>
    <s v="Liquor Sales"/>
    <n v="942.15719999999999"/>
    <n v="0"/>
    <s v="Daily Sales Import"/>
    <n v="-942.15719999999999"/>
    <n v="942.15719999999999"/>
    <x v="0"/>
    <s v="2210"/>
    <s v="000"/>
    <x v="4"/>
    <x v="2"/>
  </r>
  <r>
    <d v="2013-02-06T00:00:00"/>
    <s v="016-2220-000"/>
    <s v="Beer Sales"/>
    <n v="216.73439999999999"/>
    <n v="0"/>
    <s v="Daily Sales Import"/>
    <n v="-216.73439999999999"/>
    <n v="216.73439999999999"/>
    <x v="0"/>
    <s v="2220"/>
    <s v="000"/>
    <x v="4"/>
    <x v="2"/>
  </r>
  <r>
    <d v="2013-02-06T00:00:00"/>
    <s v="016-2230-000"/>
    <s v="Wine Sales"/>
    <n v="103.70099999999999"/>
    <n v="0"/>
    <s v="Daily Sales Import"/>
    <n v="-103.70099999999999"/>
    <n v="103.70099999999999"/>
    <x v="0"/>
    <s v="2230"/>
    <s v="000"/>
    <x v="4"/>
    <x v="2"/>
  </r>
  <r>
    <d v="2013-02-07T00:00:00"/>
    <s v="016-2100-000"/>
    <s v="Food Sales"/>
    <n v="3286.5119"/>
    <n v="0"/>
    <s v="Daily Sales Import"/>
    <n v="-3286.5119"/>
    <n v="3286.5119"/>
    <x v="0"/>
    <s v="2100"/>
    <s v="000"/>
    <x v="4"/>
    <x v="2"/>
  </r>
  <r>
    <d v="2013-02-07T00:00:00"/>
    <s v="016-2210-000"/>
    <s v="Liquor Sales"/>
    <n v="735.07280000000003"/>
    <n v="0"/>
    <s v="Daily Sales Import"/>
    <n v="-735.07280000000003"/>
    <n v="735.07280000000003"/>
    <x v="0"/>
    <s v="2210"/>
    <s v="000"/>
    <x v="4"/>
    <x v="2"/>
  </r>
  <r>
    <d v="2013-02-07T00:00:00"/>
    <s v="016-2220-000"/>
    <s v="Beer Sales"/>
    <n v="124.31299999999999"/>
    <n v="0"/>
    <s v="Daily Sales Import"/>
    <n v="-124.31299999999999"/>
    <n v="124.31299999999999"/>
    <x v="0"/>
    <s v="2220"/>
    <s v="000"/>
    <x v="4"/>
    <x v="2"/>
  </r>
  <r>
    <d v="2013-02-07T00:00:00"/>
    <s v="016-2230-000"/>
    <s v="Wine Sales"/>
    <n v="92.197500000000005"/>
    <n v="0"/>
    <s v="Daily Sales Import"/>
    <n v="-92.197500000000005"/>
    <n v="92.197500000000005"/>
    <x v="0"/>
    <s v="2230"/>
    <s v="000"/>
    <x v="4"/>
    <x v="2"/>
  </r>
  <r>
    <d v="2013-02-08T00:00:00"/>
    <s v="016-2100-000"/>
    <s v="Food Sales"/>
    <n v="6286.9279999999999"/>
    <n v="0"/>
    <s v="Daily Sales Import"/>
    <n v="-6286.9279999999999"/>
    <n v="6286.9279999999999"/>
    <x v="0"/>
    <s v="2100"/>
    <s v="000"/>
    <x v="4"/>
    <x v="2"/>
  </r>
  <r>
    <d v="2013-02-08T00:00:00"/>
    <s v="016-2210-000"/>
    <s v="Liquor Sales"/>
    <n v="1908.2824000000001"/>
    <n v="0"/>
    <s v="Daily Sales Import"/>
    <n v="-1908.2824000000001"/>
    <n v="1908.2824000000001"/>
    <x v="0"/>
    <s v="2210"/>
    <s v="000"/>
    <x v="4"/>
    <x v="2"/>
  </r>
  <r>
    <d v="2013-02-08T00:00:00"/>
    <s v="016-2220-000"/>
    <s v="Beer Sales"/>
    <n v="354.03059999999999"/>
    <n v="0"/>
    <s v="Daily Sales Import"/>
    <n v="-354.03059999999999"/>
    <n v="354.03059999999999"/>
    <x v="0"/>
    <s v="2220"/>
    <s v="000"/>
    <x v="4"/>
    <x v="2"/>
  </r>
  <r>
    <d v="2013-02-08T00:00:00"/>
    <s v="016-2230-000"/>
    <s v="Wine Sales"/>
    <n v="166.07079999999999"/>
    <n v="0"/>
    <s v="Daily Sales Import"/>
    <n v="-166.07079999999999"/>
    <n v="166.07079999999999"/>
    <x v="0"/>
    <s v="2230"/>
    <s v="000"/>
    <x v="4"/>
    <x v="2"/>
  </r>
  <r>
    <d v="2013-02-09T00:00:00"/>
    <s v="016-2100-000"/>
    <s v="Food Sales"/>
    <n v="8057.3976000000002"/>
    <n v="0"/>
    <s v="Daily Sales Import"/>
    <n v="-8057.3976000000002"/>
    <n v="8057.3976000000002"/>
    <x v="0"/>
    <s v="2100"/>
    <s v="000"/>
    <x v="4"/>
    <x v="2"/>
  </r>
  <r>
    <d v="2013-02-09T00:00:00"/>
    <s v="016-2210-000"/>
    <s v="Liquor Sales"/>
    <n v="2926.1556"/>
    <n v="0"/>
    <s v="Daily Sales Import"/>
    <n v="-2926.1556"/>
    <n v="2926.1556"/>
    <x v="0"/>
    <s v="2210"/>
    <s v="000"/>
    <x v="4"/>
    <x v="2"/>
  </r>
  <r>
    <d v="2013-02-09T00:00:00"/>
    <s v="016-2220-000"/>
    <s v="Beer Sales"/>
    <n v="549.02570000000003"/>
    <n v="0"/>
    <s v="Daily Sales Import"/>
    <n v="-549.02570000000003"/>
    <n v="549.02570000000003"/>
    <x v="0"/>
    <s v="2220"/>
    <s v="000"/>
    <x v="4"/>
    <x v="2"/>
  </r>
  <r>
    <d v="2013-02-09T00:00:00"/>
    <s v="016-2230-000"/>
    <s v="Wine Sales"/>
    <n v="222.00839999999999"/>
    <n v="0"/>
    <s v="Daily Sales Import"/>
    <n v="-222.00839999999999"/>
    <n v="222.00839999999999"/>
    <x v="0"/>
    <s v="2230"/>
    <s v="000"/>
    <x v="4"/>
    <x v="2"/>
  </r>
  <r>
    <d v="2013-02-10T00:00:00"/>
    <s v="016-2100-000"/>
    <s v="Food Sales"/>
    <n v="7717.2636000000002"/>
    <n v="0"/>
    <s v="Daily Sales Import"/>
    <n v="-7717.2636000000002"/>
    <n v="7717.2636000000002"/>
    <x v="0"/>
    <s v="2100"/>
    <s v="000"/>
    <x v="4"/>
    <x v="2"/>
  </r>
  <r>
    <d v="2013-02-10T00:00:00"/>
    <s v="016-2210-000"/>
    <s v="Liquor Sales"/>
    <n v="1645.8860000000002"/>
    <n v="0"/>
    <s v="Daily Sales Import"/>
    <n v="-1645.8860000000002"/>
    <n v="1645.8860000000002"/>
    <x v="0"/>
    <s v="2210"/>
    <s v="000"/>
    <x v="4"/>
    <x v="2"/>
  </r>
  <r>
    <d v="2013-02-10T00:00:00"/>
    <s v="016-2220-000"/>
    <s v="Beer Sales"/>
    <n v="247.04190000000003"/>
    <n v="0"/>
    <s v="Daily Sales Import"/>
    <n v="-247.04190000000003"/>
    <n v="247.04190000000003"/>
    <x v="0"/>
    <s v="2220"/>
    <s v="000"/>
    <x v="4"/>
    <x v="2"/>
  </r>
  <r>
    <d v="2013-02-10T00:00:00"/>
    <s v="016-2230-000"/>
    <s v="Wine Sales"/>
    <n v="92.127200000000002"/>
    <n v="0"/>
    <s v="Daily Sales Import"/>
    <n v="-92.127200000000002"/>
    <n v="92.127200000000002"/>
    <x v="0"/>
    <s v="2230"/>
    <s v="000"/>
    <x v="4"/>
    <x v="2"/>
  </r>
  <r>
    <d v="2013-02-04T00:00:00"/>
    <s v="017-2100-000"/>
    <s v="Food Sales"/>
    <n v="2008.4861999999998"/>
    <n v="0"/>
    <s v="Daily Sales Import"/>
    <n v="-2008.4861999999998"/>
    <n v="2008.4861999999998"/>
    <x v="1"/>
    <s v="2100"/>
    <s v="000"/>
    <x v="4"/>
    <x v="2"/>
  </r>
  <r>
    <d v="2013-02-04T00:00:00"/>
    <s v="017-2210-000"/>
    <s v="Liquor Sales"/>
    <n v="479.14260000000002"/>
    <n v="0"/>
    <s v="Daily Sales Import"/>
    <n v="-479.14260000000002"/>
    <n v="479.14260000000002"/>
    <x v="1"/>
    <s v="2210"/>
    <s v="000"/>
    <x v="4"/>
    <x v="2"/>
  </r>
  <r>
    <d v="2013-02-04T00:00:00"/>
    <s v="017-2220-000"/>
    <s v="Beer Sales"/>
    <n v="257.29799999999994"/>
    <n v="0"/>
    <s v="Daily Sales Import"/>
    <n v="-257.29799999999994"/>
    <n v="257.29799999999994"/>
    <x v="1"/>
    <s v="2220"/>
    <s v="000"/>
    <x v="4"/>
    <x v="2"/>
  </r>
  <r>
    <d v="2013-02-04T00:00:00"/>
    <s v="017-2230-000"/>
    <s v="Wine Sales"/>
    <n v="65.232599999999991"/>
    <n v="0"/>
    <s v="Daily Sales Import"/>
    <n v="-65.232599999999991"/>
    <n v="65.232599999999991"/>
    <x v="1"/>
    <s v="2230"/>
    <s v="000"/>
    <x v="4"/>
    <x v="2"/>
  </r>
  <r>
    <d v="2013-02-05T00:00:00"/>
    <s v="017-2100-000"/>
    <s v="Food Sales"/>
    <n v="5804.6706000000004"/>
    <n v="0"/>
    <s v="Daily Sales Import"/>
    <n v="-5804.6706000000004"/>
    <n v="5804.6706000000004"/>
    <x v="1"/>
    <s v="2100"/>
    <s v="000"/>
    <x v="4"/>
    <x v="2"/>
  </r>
  <r>
    <d v="2013-02-05T00:00:00"/>
    <s v="017-2210-000"/>
    <s v="Liquor Sales"/>
    <n v="1052.45"/>
    <n v="0"/>
    <s v="Daily Sales Import"/>
    <n v="-1052.45"/>
    <n v="1052.45"/>
    <x v="1"/>
    <s v="2210"/>
    <s v="000"/>
    <x v="4"/>
    <x v="2"/>
  </r>
  <r>
    <d v="2013-02-05T00:00:00"/>
    <s v="017-2220-000"/>
    <s v="Beer Sales"/>
    <n v="482.06849999999997"/>
    <n v="0"/>
    <s v="Daily Sales Import"/>
    <n v="-482.06849999999997"/>
    <n v="482.06849999999997"/>
    <x v="1"/>
    <s v="2220"/>
    <s v="000"/>
    <x v="4"/>
    <x v="2"/>
  </r>
  <r>
    <d v="2013-02-05T00:00:00"/>
    <s v="017-2230-000"/>
    <s v="Wine Sales"/>
    <n v="126.50550000000001"/>
    <n v="0"/>
    <s v="Daily Sales Import"/>
    <n v="-126.50550000000001"/>
    <n v="126.50550000000001"/>
    <x v="1"/>
    <s v="2230"/>
    <s v="000"/>
    <x v="4"/>
    <x v="2"/>
  </r>
  <r>
    <d v="2013-02-06T00:00:00"/>
    <s v="017-2100-000"/>
    <s v="Food Sales"/>
    <n v="5448.1192000000001"/>
    <n v="0"/>
    <s v="Daily Sales Import"/>
    <n v="-5448.1192000000001"/>
    <n v="5448.1192000000001"/>
    <x v="1"/>
    <s v="2100"/>
    <s v="000"/>
    <x v="4"/>
    <x v="2"/>
  </r>
  <r>
    <d v="2013-02-06T00:00:00"/>
    <s v="017-2210-000"/>
    <s v="Liquor Sales"/>
    <n v="1643.838"/>
    <n v="0"/>
    <s v="Daily Sales Import"/>
    <n v="-1643.838"/>
    <n v="1643.838"/>
    <x v="1"/>
    <s v="2210"/>
    <s v="000"/>
    <x v="4"/>
    <x v="2"/>
  </r>
  <r>
    <d v="2013-02-06T00:00:00"/>
    <s v="017-2220-000"/>
    <s v="Beer Sales"/>
    <n v="363.35199999999998"/>
    <n v="0"/>
    <s v="Daily Sales Import"/>
    <n v="-363.35199999999998"/>
    <n v="363.35199999999998"/>
    <x v="1"/>
    <s v="2220"/>
    <s v="000"/>
    <x v="4"/>
    <x v="2"/>
  </r>
  <r>
    <d v="2013-02-06T00:00:00"/>
    <s v="017-2230-000"/>
    <s v="Wine Sales"/>
    <n v="67.977000000000004"/>
    <n v="0"/>
    <s v="Daily Sales Import"/>
    <n v="-67.977000000000004"/>
    <n v="67.977000000000004"/>
    <x v="1"/>
    <s v="2230"/>
    <s v="000"/>
    <x v="4"/>
    <x v="2"/>
  </r>
  <r>
    <d v="2013-02-07T00:00:00"/>
    <s v="017-2100-000"/>
    <s v="Food Sales"/>
    <n v="4585.3024000000005"/>
    <n v="0"/>
    <s v="Daily Sales Import"/>
    <n v="-4585.3024000000005"/>
    <n v="4585.3024000000005"/>
    <x v="1"/>
    <s v="2100"/>
    <s v="000"/>
    <x v="4"/>
    <x v="2"/>
  </r>
  <r>
    <d v="2013-02-07T00:00:00"/>
    <s v="017-2210-000"/>
    <s v="Liquor Sales"/>
    <n v="1123.6726999999998"/>
    <n v="0"/>
    <s v="Daily Sales Import"/>
    <n v="-1123.6726999999998"/>
    <n v="1123.6726999999998"/>
    <x v="1"/>
    <s v="2210"/>
    <s v="000"/>
    <x v="4"/>
    <x v="2"/>
  </r>
  <r>
    <d v="2013-02-07T00:00:00"/>
    <s v="017-2220-000"/>
    <s v="Beer Sales"/>
    <n v="386.00250000000005"/>
    <n v="0"/>
    <s v="Daily Sales Import"/>
    <n v="-386.00250000000005"/>
    <n v="386.00250000000005"/>
    <x v="1"/>
    <s v="2220"/>
    <s v="000"/>
    <x v="4"/>
    <x v="2"/>
  </r>
  <r>
    <d v="2013-02-07T00:00:00"/>
    <s v="017-2230-000"/>
    <s v="Wine Sales"/>
    <n v="123.53999999999999"/>
    <n v="0"/>
    <s v="Daily Sales Import"/>
    <n v="-123.53999999999999"/>
    <n v="123.53999999999999"/>
    <x v="1"/>
    <s v="2230"/>
    <s v="000"/>
    <x v="4"/>
    <x v="2"/>
  </r>
  <r>
    <d v="2013-02-08T00:00:00"/>
    <s v="017-2100-000"/>
    <s v="Food Sales"/>
    <n v="7321.7187999999996"/>
    <n v="0"/>
    <s v="Daily Sales Import"/>
    <n v="-7321.7187999999996"/>
    <n v="7321.7187999999996"/>
    <x v="1"/>
    <s v="2100"/>
    <s v="000"/>
    <x v="4"/>
    <x v="2"/>
  </r>
  <r>
    <d v="2013-02-08T00:00:00"/>
    <s v="017-2210-000"/>
    <s v="Liquor Sales"/>
    <n v="2404.3607999999999"/>
    <n v="0"/>
    <s v="Daily Sales Import"/>
    <n v="-2404.3607999999999"/>
    <n v="2404.3607999999999"/>
    <x v="1"/>
    <s v="2210"/>
    <s v="000"/>
    <x v="4"/>
    <x v="2"/>
  </r>
  <r>
    <d v="2013-02-08T00:00:00"/>
    <s v="017-2220-000"/>
    <s v="Beer Sales"/>
    <n v="458.26440000000002"/>
    <n v="0"/>
    <s v="Daily Sales Import"/>
    <n v="-458.26440000000002"/>
    <n v="458.26440000000002"/>
    <x v="1"/>
    <s v="2220"/>
    <s v="000"/>
    <x v="4"/>
    <x v="2"/>
  </r>
  <r>
    <d v="2013-02-08T00:00:00"/>
    <s v="017-2230-000"/>
    <s v="Wine Sales"/>
    <n v="35.238"/>
    <n v="0"/>
    <s v="Daily Sales Import"/>
    <n v="-35.238"/>
    <n v="35.238"/>
    <x v="1"/>
    <s v="2230"/>
    <s v="000"/>
    <x v="4"/>
    <x v="2"/>
  </r>
  <r>
    <d v="2013-02-09T00:00:00"/>
    <s v="017-2100-000"/>
    <s v="Food Sales"/>
    <n v="8955.7365999999984"/>
    <n v="0"/>
    <s v="Daily Sales Import"/>
    <n v="-8955.7365999999984"/>
    <n v="8955.7365999999984"/>
    <x v="1"/>
    <s v="2100"/>
    <s v="000"/>
    <x v="4"/>
    <x v="2"/>
  </r>
  <r>
    <d v="2013-02-09T00:00:00"/>
    <s v="017-2210-000"/>
    <s v="Liquor Sales"/>
    <n v="1882.2313000000001"/>
    <n v="0"/>
    <s v="Daily Sales Import"/>
    <n v="-1882.2313000000001"/>
    <n v="1882.2313000000001"/>
    <x v="1"/>
    <s v="2210"/>
    <s v="000"/>
    <x v="4"/>
    <x v="2"/>
  </r>
  <r>
    <d v="2013-02-09T00:00:00"/>
    <s v="017-2220-000"/>
    <s v="Beer Sales"/>
    <n v="515.375"/>
    <n v="0"/>
    <s v="Daily Sales Import"/>
    <n v="-515.375"/>
    <n v="515.375"/>
    <x v="1"/>
    <s v="2220"/>
    <s v="000"/>
    <x v="4"/>
    <x v="2"/>
  </r>
  <r>
    <d v="2013-02-09T00:00:00"/>
    <s v="017-2230-000"/>
    <s v="Wine Sales"/>
    <n v="143.52799999999999"/>
    <n v="0"/>
    <s v="Daily Sales Import"/>
    <n v="-143.52799999999999"/>
    <n v="143.52799999999999"/>
    <x v="1"/>
    <s v="2230"/>
    <s v="000"/>
    <x v="4"/>
    <x v="2"/>
  </r>
  <r>
    <d v="2013-02-10T00:00:00"/>
    <s v="017-2100-000"/>
    <s v="Food Sales"/>
    <n v="6076.6639999999998"/>
    <n v="0"/>
    <s v="Daily Sales Import"/>
    <n v="-6076.6639999999998"/>
    <n v="6076.6639999999998"/>
    <x v="1"/>
    <s v="2100"/>
    <s v="000"/>
    <x v="4"/>
    <x v="2"/>
  </r>
  <r>
    <d v="2013-02-10T00:00:00"/>
    <s v="017-2210-000"/>
    <s v="Liquor Sales"/>
    <n v="1116.8664000000001"/>
    <n v="0"/>
    <s v="Daily Sales Import"/>
    <n v="-1116.8664000000001"/>
    <n v="1116.8664000000001"/>
    <x v="1"/>
    <s v="2210"/>
    <s v="000"/>
    <x v="4"/>
    <x v="2"/>
  </r>
  <r>
    <d v="2013-02-10T00:00:00"/>
    <s v="017-2220-000"/>
    <s v="Beer Sales"/>
    <n v="142.92669999999998"/>
    <n v="0"/>
    <s v="Daily Sales Import"/>
    <n v="-142.92669999999998"/>
    <n v="142.92669999999998"/>
    <x v="1"/>
    <s v="2220"/>
    <s v="000"/>
    <x v="4"/>
    <x v="2"/>
  </r>
  <r>
    <d v="2013-02-10T00:00:00"/>
    <s v="017-2230-000"/>
    <s v="Wine Sales"/>
    <n v="16.230499999999999"/>
    <n v="0"/>
    <s v="Daily Sales Import"/>
    <n v="-16.230499999999999"/>
    <n v="16.230499999999999"/>
    <x v="1"/>
    <s v="2230"/>
    <s v="000"/>
    <x v="4"/>
    <x v="2"/>
  </r>
  <r>
    <d v="2013-02-04T00:00:00"/>
    <s v="018-2100-000"/>
    <s v="Food Sales"/>
    <n v="3079.0672"/>
    <n v="0"/>
    <s v="Daily Sales Import"/>
    <n v="-3079.0672"/>
    <n v="3079.0672"/>
    <x v="2"/>
    <s v="2100"/>
    <s v="000"/>
    <x v="4"/>
    <x v="2"/>
  </r>
  <r>
    <d v="2013-02-04T00:00:00"/>
    <s v="018-2210-000"/>
    <s v="Liquor Sales"/>
    <n v="586.45310000000006"/>
    <n v="0"/>
    <s v="Daily Sales Import"/>
    <n v="-586.45310000000006"/>
    <n v="586.45310000000006"/>
    <x v="2"/>
    <s v="2210"/>
    <s v="000"/>
    <x v="4"/>
    <x v="2"/>
  </r>
  <r>
    <d v="2013-02-04T00:00:00"/>
    <s v="018-2220-000"/>
    <s v="Beer Sales"/>
    <n v="84.8874"/>
    <n v="0"/>
    <s v="Daily Sales Import"/>
    <n v="-84.8874"/>
    <n v="84.8874"/>
    <x v="2"/>
    <s v="2220"/>
    <s v="000"/>
    <x v="4"/>
    <x v="2"/>
  </r>
  <r>
    <d v="2013-02-04T00:00:00"/>
    <s v="018-2230-000"/>
    <s v="Wine Sales"/>
    <n v="20.220800000000001"/>
    <n v="0"/>
    <s v="Daily Sales Import"/>
    <n v="-20.220800000000001"/>
    <n v="20.220800000000001"/>
    <x v="2"/>
    <s v="2230"/>
    <s v="000"/>
    <x v="4"/>
    <x v="2"/>
  </r>
  <r>
    <d v="2013-02-05T00:00:00"/>
    <s v="018-2100-000"/>
    <s v="Food Sales"/>
    <n v="2482.8258000000001"/>
    <n v="0"/>
    <s v="Daily Sales Import"/>
    <n v="-2482.8258000000001"/>
    <n v="2482.8258000000001"/>
    <x v="2"/>
    <s v="2100"/>
    <s v="000"/>
    <x v="4"/>
    <x v="2"/>
  </r>
  <r>
    <d v="2013-02-05T00:00:00"/>
    <s v="018-2210-000"/>
    <s v="Liquor Sales"/>
    <n v="492.23020000000002"/>
    <n v="0"/>
    <s v="Daily Sales Import"/>
    <n v="-492.23020000000002"/>
    <n v="492.23020000000002"/>
    <x v="2"/>
    <s v="2210"/>
    <s v="000"/>
    <x v="4"/>
    <x v="2"/>
  </r>
  <r>
    <d v="2013-02-05T00:00:00"/>
    <s v="018-2220-000"/>
    <s v="Beer Sales"/>
    <n v="153.8109"/>
    <n v="0"/>
    <s v="Daily Sales Import"/>
    <n v="-153.8109"/>
    <n v="153.8109"/>
    <x v="2"/>
    <s v="2220"/>
    <s v="000"/>
    <x v="4"/>
    <x v="2"/>
  </r>
  <r>
    <d v="2013-02-05T00:00:00"/>
    <s v="018-2230-000"/>
    <s v="Wine Sales"/>
    <n v="68.274000000000001"/>
    <n v="0"/>
    <s v="Daily Sales Import"/>
    <n v="-68.274000000000001"/>
    <n v="68.274000000000001"/>
    <x v="2"/>
    <s v="2230"/>
    <s v="000"/>
    <x v="4"/>
    <x v="2"/>
  </r>
  <r>
    <d v="2013-02-06T00:00:00"/>
    <s v="018-2100-000"/>
    <s v="Food Sales"/>
    <n v="3817.0955999999996"/>
    <n v="0"/>
    <s v="Daily Sales Import"/>
    <n v="-3817.0955999999996"/>
    <n v="3817.0955999999996"/>
    <x v="2"/>
    <s v="2100"/>
    <s v="000"/>
    <x v="4"/>
    <x v="2"/>
  </r>
  <r>
    <d v="2013-02-06T00:00:00"/>
    <s v="018-2210-000"/>
    <s v="Liquor Sales"/>
    <n v="525.47479999999996"/>
    <n v="0"/>
    <s v="Daily Sales Import"/>
    <n v="-525.47479999999996"/>
    <n v="525.47479999999996"/>
    <x v="2"/>
    <s v="2210"/>
    <s v="000"/>
    <x v="4"/>
    <x v="2"/>
  </r>
  <r>
    <d v="2013-02-06T00:00:00"/>
    <s v="018-2220-000"/>
    <s v="Beer Sales"/>
    <n v="262.5326"/>
    <n v="0"/>
    <s v="Daily Sales Import"/>
    <n v="-262.5326"/>
    <n v="262.5326"/>
    <x v="2"/>
    <s v="2220"/>
    <s v="000"/>
    <x v="4"/>
    <x v="2"/>
  </r>
  <r>
    <d v="2013-02-06T00:00:00"/>
    <s v="018-2230-000"/>
    <s v="Wine Sales"/>
    <n v="35.156000000000006"/>
    <n v="0"/>
    <s v="Daily Sales Import"/>
    <n v="-35.156000000000006"/>
    <n v="35.156000000000006"/>
    <x v="2"/>
    <s v="2230"/>
    <s v="000"/>
    <x v="4"/>
    <x v="2"/>
  </r>
  <r>
    <d v="2013-02-07T00:00:00"/>
    <s v="018-2100-000"/>
    <s v="Food Sales"/>
    <n v="2540.6080000000002"/>
    <n v="0"/>
    <s v="Daily Sales Import"/>
    <n v="-2540.6080000000002"/>
    <n v="2540.6080000000002"/>
    <x v="2"/>
    <s v="2100"/>
    <s v="000"/>
    <x v="4"/>
    <x v="2"/>
  </r>
  <r>
    <d v="2013-02-07T00:00:00"/>
    <s v="018-2210-000"/>
    <s v="Liquor Sales"/>
    <n v="489.73179999999996"/>
    <n v="0"/>
    <s v="Daily Sales Import"/>
    <n v="-489.73179999999996"/>
    <n v="489.73179999999996"/>
    <x v="2"/>
    <s v="2210"/>
    <s v="000"/>
    <x v="4"/>
    <x v="2"/>
  </r>
  <r>
    <d v="2013-02-07T00:00:00"/>
    <s v="018-2220-000"/>
    <s v="Beer Sales"/>
    <n v="40.298999999999999"/>
    <n v="0"/>
    <s v="Daily Sales Import"/>
    <n v="-40.298999999999999"/>
    <n v="40.298999999999999"/>
    <x v="2"/>
    <s v="2220"/>
    <s v="000"/>
    <x v="4"/>
    <x v="2"/>
  </r>
  <r>
    <d v="2013-02-07T00:00:00"/>
    <s v="018-2230-000"/>
    <s v="Wine Sales"/>
    <n v="20.898599999999998"/>
    <n v="0"/>
    <s v="Daily Sales Import"/>
    <n v="-20.898599999999998"/>
    <n v="20.898599999999998"/>
    <x v="2"/>
    <s v="2230"/>
    <s v="000"/>
    <x v="4"/>
    <x v="2"/>
  </r>
  <r>
    <d v="2013-02-08T00:00:00"/>
    <s v="018-2100-000"/>
    <s v="Food Sales"/>
    <n v="9420.255799999999"/>
    <n v="0"/>
    <s v="Daily Sales Import"/>
    <n v="-9420.255799999999"/>
    <n v="9420.255799999999"/>
    <x v="2"/>
    <s v="2100"/>
    <s v="000"/>
    <x v="4"/>
    <x v="2"/>
  </r>
  <r>
    <d v="2013-02-08T00:00:00"/>
    <s v="018-2210-000"/>
    <s v="Liquor Sales"/>
    <n v="1840.4187999999999"/>
    <n v="0"/>
    <s v="Daily Sales Import"/>
    <n v="-1840.4187999999999"/>
    <n v="1840.4187999999999"/>
    <x v="2"/>
    <s v="2210"/>
    <s v="000"/>
    <x v="4"/>
    <x v="2"/>
  </r>
  <r>
    <d v="2013-02-08T00:00:00"/>
    <s v="018-2220-000"/>
    <s v="Beer Sales"/>
    <n v="467.14250000000004"/>
    <n v="0"/>
    <s v="Daily Sales Import"/>
    <n v="-467.14250000000004"/>
    <n v="467.14250000000004"/>
    <x v="2"/>
    <s v="2220"/>
    <s v="000"/>
    <x v="4"/>
    <x v="2"/>
  </r>
  <r>
    <d v="2013-02-08T00:00:00"/>
    <s v="018-2230-000"/>
    <s v="Wine Sales"/>
    <n v="138.18960000000001"/>
    <n v="0"/>
    <s v="Daily Sales Import"/>
    <n v="-138.18960000000001"/>
    <n v="138.18960000000001"/>
    <x v="2"/>
    <s v="2230"/>
    <s v="000"/>
    <x v="4"/>
    <x v="2"/>
  </r>
  <r>
    <d v="2013-02-09T00:00:00"/>
    <s v="018-2100-000"/>
    <s v="Food Sales"/>
    <n v="17342.257600000001"/>
    <n v="0"/>
    <s v="Daily Sales Import"/>
    <n v="-17342.257600000001"/>
    <n v="17342.257600000001"/>
    <x v="2"/>
    <s v="2100"/>
    <s v="000"/>
    <x v="4"/>
    <x v="2"/>
  </r>
  <r>
    <d v="2013-02-09T00:00:00"/>
    <s v="018-2210-000"/>
    <s v="Liquor Sales"/>
    <n v="3380.6780000000003"/>
    <n v="0"/>
    <s v="Daily Sales Import"/>
    <n v="-3380.6780000000003"/>
    <n v="3380.6780000000003"/>
    <x v="2"/>
    <s v="2210"/>
    <s v="000"/>
    <x v="4"/>
    <x v="2"/>
  </r>
  <r>
    <d v="2013-02-09T00:00:00"/>
    <s v="018-2220-000"/>
    <s v="Beer Sales"/>
    <n v="639.57039999999995"/>
    <n v="0"/>
    <s v="Daily Sales Import"/>
    <n v="-639.57039999999995"/>
    <n v="639.57039999999995"/>
    <x v="2"/>
    <s v="2220"/>
    <s v="000"/>
    <x v="4"/>
    <x v="2"/>
  </r>
  <r>
    <d v="2013-02-09T00:00:00"/>
    <s v="018-2230-000"/>
    <s v="Wine Sales"/>
    <n v="65.748799999999989"/>
    <n v="0"/>
    <s v="Daily Sales Import"/>
    <n v="-65.748799999999989"/>
    <n v="65.748799999999989"/>
    <x v="2"/>
    <s v="2230"/>
    <s v="000"/>
    <x v="4"/>
    <x v="2"/>
  </r>
  <r>
    <d v="2013-02-10T00:00:00"/>
    <s v="018-2100-000"/>
    <s v="Food Sales"/>
    <n v="10729.8405"/>
    <n v="0"/>
    <s v="Daily Sales Import"/>
    <n v="-10729.8405"/>
    <n v="10729.8405"/>
    <x v="2"/>
    <s v="2100"/>
    <s v="000"/>
    <x v="4"/>
    <x v="2"/>
  </r>
  <r>
    <d v="2013-02-10T00:00:00"/>
    <s v="018-2210-000"/>
    <s v="Liquor Sales"/>
    <n v="944.67109999999991"/>
    <n v="0"/>
    <s v="Daily Sales Import"/>
    <n v="-944.67109999999991"/>
    <n v="944.67109999999991"/>
    <x v="2"/>
    <s v="2210"/>
    <s v="000"/>
    <x v="4"/>
    <x v="2"/>
  </r>
  <r>
    <d v="2013-02-10T00:00:00"/>
    <s v="018-2220-000"/>
    <s v="Beer Sales"/>
    <n v="327.67200000000003"/>
    <n v="0"/>
    <s v="Daily Sales Import"/>
    <n v="-327.67200000000003"/>
    <n v="327.67200000000003"/>
    <x v="2"/>
    <s v="2220"/>
    <s v="000"/>
    <x v="4"/>
    <x v="2"/>
  </r>
  <r>
    <d v="2013-02-10T00:00:00"/>
    <s v="018-2230-000"/>
    <s v="Wine Sales"/>
    <n v="115.53750000000001"/>
    <n v="0"/>
    <s v="Daily Sales Import"/>
    <n v="-115.53750000000001"/>
    <n v="115.53750000000001"/>
    <x v="2"/>
    <s v="2230"/>
    <s v="000"/>
    <x v="4"/>
    <x v="2"/>
  </r>
  <r>
    <d v="2013-02-11T00:00:00"/>
    <s v="016-2100-000"/>
    <s v="Food Sales"/>
    <n v="2717.7730000000001"/>
    <n v="0"/>
    <s v="Daily Sales Import"/>
    <n v="-2717.7730000000001"/>
    <n v="2717.7730000000001"/>
    <x v="0"/>
    <s v="2100"/>
    <s v="000"/>
    <x v="4"/>
    <x v="2"/>
  </r>
  <r>
    <d v="2013-02-11T00:00:00"/>
    <s v="016-2210-000"/>
    <s v="Liquor Sales"/>
    <n v="672.63049999999998"/>
    <n v="0"/>
    <s v="Daily Sales Import"/>
    <n v="-672.63049999999998"/>
    <n v="672.63049999999998"/>
    <x v="0"/>
    <s v="2210"/>
    <s v="000"/>
    <x v="4"/>
    <x v="2"/>
  </r>
  <r>
    <d v="2013-02-11T00:00:00"/>
    <s v="016-2220-000"/>
    <s v="Beer Sales"/>
    <n v="143.52359999999999"/>
    <n v="0"/>
    <s v="Daily Sales Import"/>
    <n v="-143.52359999999999"/>
    <n v="143.52359999999999"/>
    <x v="0"/>
    <s v="2220"/>
    <s v="000"/>
    <x v="4"/>
    <x v="2"/>
  </r>
  <r>
    <d v="2013-02-11T00:00:00"/>
    <s v="016-2230-000"/>
    <s v="Wine Sales"/>
    <n v="34.633500000000005"/>
    <n v="0"/>
    <s v="Daily Sales Import"/>
    <n v="-34.633500000000005"/>
    <n v="34.633500000000005"/>
    <x v="0"/>
    <s v="2230"/>
    <s v="000"/>
    <x v="4"/>
    <x v="2"/>
  </r>
  <r>
    <d v="2013-02-12T00:00:00"/>
    <s v="016-2100-000"/>
    <s v="Food Sales"/>
    <n v="6735.4326000000001"/>
    <n v="0"/>
    <s v="Daily Sales Import"/>
    <n v="-6735.4326000000001"/>
    <n v="6735.4326000000001"/>
    <x v="0"/>
    <s v="2100"/>
    <s v="000"/>
    <x v="4"/>
    <x v="2"/>
  </r>
  <r>
    <d v="2013-02-12T00:00:00"/>
    <s v="016-2210-000"/>
    <s v="Liquor Sales"/>
    <n v="2322.2808"/>
    <n v="0"/>
    <s v="Daily Sales Import"/>
    <n v="-2322.2808"/>
    <n v="2322.2808"/>
    <x v="0"/>
    <s v="2210"/>
    <s v="000"/>
    <x v="4"/>
    <x v="2"/>
  </r>
  <r>
    <d v="2013-02-12T00:00:00"/>
    <s v="016-2220-000"/>
    <s v="Beer Sales"/>
    <n v="623.60480000000007"/>
    <n v="0"/>
    <s v="Daily Sales Import"/>
    <n v="-623.60480000000007"/>
    <n v="623.60480000000007"/>
    <x v="0"/>
    <s v="2220"/>
    <s v="000"/>
    <x v="4"/>
    <x v="2"/>
  </r>
  <r>
    <d v="2013-02-12T00:00:00"/>
    <s v="016-2230-000"/>
    <s v="Wine Sales"/>
    <n v="70.770499999999998"/>
    <n v="0"/>
    <s v="Daily Sales Import"/>
    <n v="-70.770499999999998"/>
    <n v="70.770499999999998"/>
    <x v="0"/>
    <s v="2230"/>
    <s v="000"/>
    <x v="4"/>
    <x v="2"/>
  </r>
  <r>
    <d v="2013-02-13T00:00:00"/>
    <s v="016-2100-000"/>
    <s v="Food Sales"/>
    <n v="3817.1055999999999"/>
    <n v="0"/>
    <s v="Daily Sales Import"/>
    <n v="-3817.1055999999999"/>
    <n v="3817.1055999999999"/>
    <x v="0"/>
    <s v="2100"/>
    <s v="000"/>
    <x v="4"/>
    <x v="2"/>
  </r>
  <r>
    <d v="2013-02-13T00:00:00"/>
    <s v="016-2210-000"/>
    <s v="Liquor Sales"/>
    <n v="595.41599999999994"/>
    <n v="0"/>
    <s v="Daily Sales Import"/>
    <n v="-595.41599999999994"/>
    <n v="595.41599999999994"/>
    <x v="0"/>
    <s v="2210"/>
    <s v="000"/>
    <x v="4"/>
    <x v="2"/>
  </r>
  <r>
    <d v="2013-02-13T00:00:00"/>
    <s v="016-2220-000"/>
    <s v="Beer Sales"/>
    <n v="143.77799999999999"/>
    <n v="0"/>
    <s v="Daily Sales Import"/>
    <n v="-143.77799999999999"/>
    <n v="143.77799999999999"/>
    <x v="0"/>
    <s v="2220"/>
    <s v="000"/>
    <x v="4"/>
    <x v="2"/>
  </r>
  <r>
    <d v="2013-02-13T00:00:00"/>
    <s v="016-2230-000"/>
    <s v="Wine Sales"/>
    <n v="142.41499999999999"/>
    <n v="0"/>
    <s v="Daily Sales Import"/>
    <n v="-142.41499999999999"/>
    <n v="142.41499999999999"/>
    <x v="0"/>
    <s v="2230"/>
    <s v="000"/>
    <x v="4"/>
    <x v="2"/>
  </r>
  <r>
    <d v="2013-02-14T00:00:00"/>
    <s v="016-2100-000"/>
    <s v="Food Sales"/>
    <n v="4018.2126999999996"/>
    <n v="0"/>
    <s v="Daily Sales Import"/>
    <n v="-4018.2126999999996"/>
    <n v="4018.2126999999996"/>
    <x v="0"/>
    <s v="2100"/>
    <s v="000"/>
    <x v="4"/>
    <x v="2"/>
  </r>
  <r>
    <d v="2013-02-14T00:00:00"/>
    <s v="016-2210-000"/>
    <s v="Liquor Sales"/>
    <n v="1460.4864"/>
    <n v="0"/>
    <s v="Daily Sales Import"/>
    <n v="-1460.4864"/>
    <n v="1460.4864"/>
    <x v="0"/>
    <s v="2210"/>
    <s v="000"/>
    <x v="4"/>
    <x v="2"/>
  </r>
  <r>
    <d v="2013-02-14T00:00:00"/>
    <s v="016-2220-000"/>
    <s v="Beer Sales"/>
    <n v="193.15169999999998"/>
    <n v="0"/>
    <s v="Daily Sales Import"/>
    <n v="-193.15169999999998"/>
    <n v="193.15169999999998"/>
    <x v="0"/>
    <s v="2220"/>
    <s v="000"/>
    <x v="4"/>
    <x v="2"/>
  </r>
  <r>
    <d v="2013-02-14T00:00:00"/>
    <s v="016-2230-000"/>
    <s v="Wine Sales"/>
    <n v="111.5951"/>
    <n v="0"/>
    <s v="Daily Sales Import"/>
    <n v="-111.5951"/>
    <n v="111.5951"/>
    <x v="0"/>
    <s v="2230"/>
    <s v="000"/>
    <x v="4"/>
    <x v="2"/>
  </r>
  <r>
    <d v="2013-02-15T00:00:00"/>
    <s v="016-2100-000"/>
    <s v="Food Sales"/>
    <n v="6765.4859999999999"/>
    <n v="0"/>
    <s v="Daily Sales Import"/>
    <n v="-6765.4859999999999"/>
    <n v="6765.4859999999999"/>
    <x v="0"/>
    <s v="2100"/>
    <s v="000"/>
    <x v="4"/>
    <x v="2"/>
  </r>
  <r>
    <d v="2013-02-15T00:00:00"/>
    <s v="016-2210-000"/>
    <s v="Liquor Sales"/>
    <n v="1632.3516000000002"/>
    <n v="0"/>
    <s v="Daily Sales Import"/>
    <n v="-1632.3516000000002"/>
    <n v="1632.3516000000002"/>
    <x v="0"/>
    <s v="2210"/>
    <s v="000"/>
    <x v="4"/>
    <x v="2"/>
  </r>
  <r>
    <d v="2013-02-15T00:00:00"/>
    <s v="016-2220-000"/>
    <s v="Beer Sales"/>
    <n v="312.572"/>
    <n v="0"/>
    <s v="Daily Sales Import"/>
    <n v="-312.572"/>
    <n v="312.572"/>
    <x v="0"/>
    <s v="2220"/>
    <s v="000"/>
    <x v="4"/>
    <x v="2"/>
  </r>
  <r>
    <d v="2013-02-15T00:00:00"/>
    <s v="016-2230-000"/>
    <s v="Wine Sales"/>
    <n v="128.26409999999998"/>
    <n v="0"/>
    <s v="Daily Sales Import"/>
    <n v="-128.26409999999998"/>
    <n v="128.26409999999998"/>
    <x v="0"/>
    <s v="2230"/>
    <s v="000"/>
    <x v="4"/>
    <x v="2"/>
  </r>
  <r>
    <d v="2013-02-16T00:00:00"/>
    <s v="016-2100-000"/>
    <s v="Food Sales"/>
    <n v="7521.365600000001"/>
    <n v="0"/>
    <s v="Daily Sales Import"/>
    <n v="-7521.365600000001"/>
    <n v="7521.365600000001"/>
    <x v="0"/>
    <s v="2100"/>
    <s v="000"/>
    <x v="4"/>
    <x v="2"/>
  </r>
  <r>
    <d v="2013-02-16T00:00:00"/>
    <s v="016-2210-000"/>
    <s v="Liquor Sales"/>
    <n v="2770.3137000000002"/>
    <n v="0"/>
    <s v="Daily Sales Import"/>
    <n v="-2770.3137000000002"/>
    <n v="2770.3137000000002"/>
    <x v="0"/>
    <s v="2210"/>
    <s v="000"/>
    <x v="4"/>
    <x v="2"/>
  </r>
  <r>
    <d v="2013-02-16T00:00:00"/>
    <s v="016-2220-000"/>
    <s v="Beer Sales"/>
    <n v="403.3417"/>
    <n v="0"/>
    <s v="Daily Sales Import"/>
    <n v="-403.3417"/>
    <n v="403.3417"/>
    <x v="0"/>
    <s v="2220"/>
    <s v="000"/>
    <x v="4"/>
    <x v="2"/>
  </r>
  <r>
    <d v="2013-02-16T00:00:00"/>
    <s v="016-2230-000"/>
    <s v="Wine Sales"/>
    <n v="317.99349999999998"/>
    <n v="0"/>
    <s v="Daily Sales Import"/>
    <n v="-317.99349999999998"/>
    <n v="317.99349999999998"/>
    <x v="0"/>
    <s v="2230"/>
    <s v="000"/>
    <x v="4"/>
    <x v="2"/>
  </r>
  <r>
    <d v="2013-02-17T00:00:00"/>
    <s v="016-2100-000"/>
    <s v="Food Sales"/>
    <n v="6113.6345999999994"/>
    <n v="0"/>
    <s v="Daily Sales Import"/>
    <n v="-6113.6345999999994"/>
    <n v="6113.6345999999994"/>
    <x v="0"/>
    <s v="2100"/>
    <s v="000"/>
    <x v="4"/>
    <x v="2"/>
  </r>
  <r>
    <d v="2013-02-17T00:00:00"/>
    <s v="016-2210-000"/>
    <s v="Liquor Sales"/>
    <n v="1397.5105000000001"/>
    <n v="0"/>
    <s v="Daily Sales Import"/>
    <n v="-1397.5105000000001"/>
    <n v="1397.5105000000001"/>
    <x v="0"/>
    <s v="2210"/>
    <s v="000"/>
    <x v="4"/>
    <x v="2"/>
  </r>
  <r>
    <d v="2013-02-17T00:00:00"/>
    <s v="016-2220-000"/>
    <s v="Beer Sales"/>
    <n v="261.32"/>
    <n v="0"/>
    <s v="Daily Sales Import"/>
    <n v="-261.32"/>
    <n v="261.32"/>
    <x v="0"/>
    <s v="2220"/>
    <s v="000"/>
    <x v="4"/>
    <x v="2"/>
  </r>
  <r>
    <d v="2013-02-17T00:00:00"/>
    <s v="016-2230-000"/>
    <s v="Wine Sales"/>
    <n v="188.52149999999997"/>
    <n v="0"/>
    <s v="Daily Sales Import"/>
    <n v="-188.52149999999997"/>
    <n v="188.52149999999997"/>
    <x v="0"/>
    <s v="2230"/>
    <s v="000"/>
    <x v="4"/>
    <x v="2"/>
  </r>
  <r>
    <d v="2013-02-11T00:00:00"/>
    <s v="017-2100-000"/>
    <s v="Food Sales"/>
    <n v="3027.2585999999997"/>
    <n v="0"/>
    <s v="Daily Sales Import"/>
    <n v="-3027.2585999999997"/>
    <n v="3027.2585999999997"/>
    <x v="1"/>
    <s v="2100"/>
    <s v="000"/>
    <x v="4"/>
    <x v="2"/>
  </r>
  <r>
    <d v="2013-02-11T00:00:00"/>
    <s v="017-2210-000"/>
    <s v="Liquor Sales"/>
    <n v="639.78"/>
    <n v="0"/>
    <s v="Daily Sales Import"/>
    <n v="-639.78"/>
    <n v="639.78"/>
    <x v="1"/>
    <s v="2210"/>
    <s v="000"/>
    <x v="4"/>
    <x v="2"/>
  </r>
  <r>
    <d v="2013-02-11T00:00:00"/>
    <s v="017-2220-000"/>
    <s v="Beer Sales"/>
    <n v="250.46749999999997"/>
    <n v="0"/>
    <s v="Daily Sales Import"/>
    <n v="-250.46749999999997"/>
    <n v="250.46749999999997"/>
    <x v="1"/>
    <s v="2220"/>
    <s v="000"/>
    <x v="4"/>
    <x v="2"/>
  </r>
  <r>
    <d v="2013-02-11T00:00:00"/>
    <s v="017-2230-000"/>
    <s v="Wine Sales"/>
    <n v="101.9385"/>
    <n v="0"/>
    <s v="Daily Sales Import"/>
    <n v="-101.9385"/>
    <n v="101.9385"/>
    <x v="1"/>
    <s v="2230"/>
    <s v="000"/>
    <x v="4"/>
    <x v="2"/>
  </r>
  <r>
    <d v="2013-02-12T00:00:00"/>
    <s v="017-2100-000"/>
    <s v="Food Sales"/>
    <n v="7452.009"/>
    <n v="0"/>
    <s v="Daily Sales Import"/>
    <n v="-7452.009"/>
    <n v="7452.009"/>
    <x v="1"/>
    <s v="2100"/>
    <s v="000"/>
    <x v="4"/>
    <x v="2"/>
  </r>
  <r>
    <d v="2013-02-12T00:00:00"/>
    <s v="017-2210-000"/>
    <s v="Liquor Sales"/>
    <n v="1733.7359999999999"/>
    <n v="0"/>
    <s v="Daily Sales Import"/>
    <n v="-1733.7359999999999"/>
    <n v="1733.7359999999999"/>
    <x v="1"/>
    <s v="2210"/>
    <s v="000"/>
    <x v="4"/>
    <x v="2"/>
  </r>
  <r>
    <d v="2013-02-12T00:00:00"/>
    <s v="017-2220-000"/>
    <s v="Beer Sales"/>
    <n v="518.13669999999991"/>
    <n v="0"/>
    <s v="Daily Sales Import"/>
    <n v="-518.13669999999991"/>
    <n v="518.13669999999991"/>
    <x v="1"/>
    <s v="2220"/>
    <s v="000"/>
    <x v="4"/>
    <x v="2"/>
  </r>
  <r>
    <d v="2013-02-12T00:00:00"/>
    <s v="017-2230-000"/>
    <s v="Wine Sales"/>
    <n v="118.125"/>
    <n v="0"/>
    <s v="Daily Sales Import"/>
    <n v="-118.125"/>
    <n v="118.125"/>
    <x v="1"/>
    <s v="2230"/>
    <s v="000"/>
    <x v="4"/>
    <x v="2"/>
  </r>
  <r>
    <d v="2013-02-13T00:00:00"/>
    <s v="017-2100-000"/>
    <s v="Food Sales"/>
    <n v="3584.96"/>
    <n v="0"/>
    <s v="Daily Sales Import"/>
    <n v="-3584.96"/>
    <n v="3584.96"/>
    <x v="1"/>
    <s v="2100"/>
    <s v="000"/>
    <x v="4"/>
    <x v="2"/>
  </r>
  <r>
    <d v="2013-02-13T00:00:00"/>
    <s v="017-2210-000"/>
    <s v="Liquor Sales"/>
    <n v="1007.6444"/>
    <n v="0"/>
    <s v="Daily Sales Import"/>
    <n v="-1007.6444"/>
    <n v="1007.6444"/>
    <x v="1"/>
    <s v="2210"/>
    <s v="000"/>
    <x v="4"/>
    <x v="2"/>
  </r>
  <r>
    <d v="2013-02-13T00:00:00"/>
    <s v="017-2220-000"/>
    <s v="Beer Sales"/>
    <n v="237.26300000000001"/>
    <n v="0"/>
    <s v="Daily Sales Import"/>
    <n v="-237.26300000000001"/>
    <n v="237.26300000000001"/>
    <x v="1"/>
    <s v="2220"/>
    <s v="000"/>
    <x v="4"/>
    <x v="2"/>
  </r>
  <r>
    <d v="2013-02-13T00:00:00"/>
    <s v="017-2230-000"/>
    <s v="Wine Sales"/>
    <n v="12.945600000000001"/>
    <n v="0"/>
    <s v="Daily Sales Import"/>
    <n v="-12.945600000000001"/>
    <n v="12.945600000000001"/>
    <x v="1"/>
    <s v="2230"/>
    <s v="000"/>
    <x v="4"/>
    <x v="2"/>
  </r>
  <r>
    <d v="2013-02-14T00:00:00"/>
    <s v="017-2100-000"/>
    <s v="Food Sales"/>
    <n v="6689.5763999999999"/>
    <n v="0"/>
    <s v="Daily Sales Import"/>
    <n v="-6689.5763999999999"/>
    <n v="6689.5763999999999"/>
    <x v="1"/>
    <s v="2100"/>
    <s v="000"/>
    <x v="4"/>
    <x v="2"/>
  </r>
  <r>
    <d v="2013-02-14T00:00:00"/>
    <s v="017-2210-000"/>
    <s v="Liquor Sales"/>
    <n v="914.0625"/>
    <n v="0"/>
    <s v="Daily Sales Import"/>
    <n v="-914.0625"/>
    <n v="914.0625"/>
    <x v="1"/>
    <s v="2210"/>
    <s v="000"/>
    <x v="4"/>
    <x v="2"/>
  </r>
  <r>
    <d v="2013-02-14T00:00:00"/>
    <s v="017-2220-000"/>
    <s v="Beer Sales"/>
    <n v="229.85820000000001"/>
    <n v="0"/>
    <s v="Daily Sales Import"/>
    <n v="-229.85820000000001"/>
    <n v="229.85820000000001"/>
    <x v="1"/>
    <s v="2220"/>
    <s v="000"/>
    <x v="4"/>
    <x v="2"/>
  </r>
  <r>
    <d v="2013-02-14T00:00:00"/>
    <s v="017-2230-000"/>
    <s v="Wine Sales"/>
    <n v="51.443100000000001"/>
    <n v="0"/>
    <s v="Daily Sales Import"/>
    <n v="-51.443100000000001"/>
    <n v="51.443100000000001"/>
    <x v="1"/>
    <s v="2230"/>
    <s v="000"/>
    <x v="4"/>
    <x v="2"/>
  </r>
  <r>
    <d v="2013-02-15T00:00:00"/>
    <s v="017-2100-000"/>
    <s v="Food Sales"/>
    <n v="6821.3860000000013"/>
    <n v="0"/>
    <s v="Daily Sales Import"/>
    <n v="-6821.3860000000013"/>
    <n v="6821.3860000000013"/>
    <x v="1"/>
    <s v="2100"/>
    <s v="000"/>
    <x v="4"/>
    <x v="2"/>
  </r>
  <r>
    <d v="2013-02-15T00:00:00"/>
    <s v="017-2210-000"/>
    <s v="Liquor Sales"/>
    <n v="2191.8764999999999"/>
    <n v="0"/>
    <s v="Daily Sales Import"/>
    <n v="-2191.8764999999999"/>
    <n v="2191.8764999999999"/>
    <x v="1"/>
    <s v="2210"/>
    <s v="000"/>
    <x v="4"/>
    <x v="2"/>
  </r>
  <r>
    <d v="2013-02-15T00:00:00"/>
    <s v="017-2220-000"/>
    <s v="Beer Sales"/>
    <n v="720.60399999999993"/>
    <n v="0"/>
    <s v="Daily Sales Import"/>
    <n v="-720.60399999999993"/>
    <n v="720.60399999999993"/>
    <x v="1"/>
    <s v="2220"/>
    <s v="000"/>
    <x v="4"/>
    <x v="2"/>
  </r>
  <r>
    <d v="2013-02-15T00:00:00"/>
    <s v="017-2230-000"/>
    <s v="Wine Sales"/>
    <n v="152.14499999999998"/>
    <n v="0"/>
    <s v="Daily Sales Import"/>
    <n v="-152.14499999999998"/>
    <n v="152.14499999999998"/>
    <x v="1"/>
    <s v="2230"/>
    <s v="000"/>
    <x v="4"/>
    <x v="2"/>
  </r>
  <r>
    <d v="2013-02-16T00:00:00"/>
    <s v="017-2100-000"/>
    <s v="Food Sales"/>
    <n v="7091.7405000000008"/>
    <n v="0"/>
    <s v="Daily Sales Import"/>
    <n v="-7091.7405000000008"/>
    <n v="7091.7405000000008"/>
    <x v="1"/>
    <s v="2100"/>
    <s v="000"/>
    <x v="4"/>
    <x v="2"/>
  </r>
  <r>
    <d v="2013-02-16T00:00:00"/>
    <s v="017-2210-000"/>
    <s v="Liquor Sales"/>
    <n v="1950.2275"/>
    <n v="0"/>
    <s v="Daily Sales Import"/>
    <n v="-1950.2275"/>
    <n v="1950.2275"/>
    <x v="1"/>
    <s v="2210"/>
    <s v="000"/>
    <x v="4"/>
    <x v="2"/>
  </r>
  <r>
    <d v="2013-02-16T00:00:00"/>
    <s v="017-2220-000"/>
    <s v="Beer Sales"/>
    <n v="438.8064"/>
    <n v="0"/>
    <s v="Daily Sales Import"/>
    <n v="-438.8064"/>
    <n v="438.8064"/>
    <x v="1"/>
    <s v="2220"/>
    <s v="000"/>
    <x v="4"/>
    <x v="2"/>
  </r>
  <r>
    <d v="2013-02-16T00:00:00"/>
    <s v="017-2230-000"/>
    <s v="Wine Sales"/>
    <n v="117.6824"/>
    <n v="0"/>
    <s v="Daily Sales Import"/>
    <n v="-117.6824"/>
    <n v="117.6824"/>
    <x v="1"/>
    <s v="2230"/>
    <s v="000"/>
    <x v="4"/>
    <x v="2"/>
  </r>
  <r>
    <d v="2013-02-17T00:00:00"/>
    <s v="017-2100-000"/>
    <s v="Food Sales"/>
    <n v="4273.0163999999995"/>
    <n v="0"/>
    <s v="Daily Sales Import"/>
    <n v="-4273.0163999999995"/>
    <n v="4273.0163999999995"/>
    <x v="1"/>
    <s v="2100"/>
    <s v="000"/>
    <x v="4"/>
    <x v="2"/>
  </r>
  <r>
    <d v="2013-02-17T00:00:00"/>
    <s v="017-2210-000"/>
    <s v="Liquor Sales"/>
    <n v="1171.2703999999999"/>
    <n v="0"/>
    <s v="Daily Sales Import"/>
    <n v="-1171.2703999999999"/>
    <n v="1171.2703999999999"/>
    <x v="1"/>
    <s v="2210"/>
    <s v="000"/>
    <x v="4"/>
    <x v="2"/>
  </r>
  <r>
    <d v="2013-02-17T00:00:00"/>
    <s v="017-2220-000"/>
    <s v="Beer Sales"/>
    <n v="266.10390000000001"/>
    <n v="0"/>
    <s v="Daily Sales Import"/>
    <n v="-266.10390000000001"/>
    <n v="266.10390000000001"/>
    <x v="1"/>
    <s v="2220"/>
    <s v="000"/>
    <x v="4"/>
    <x v="2"/>
  </r>
  <r>
    <d v="2013-02-17T00:00:00"/>
    <s v="017-2230-000"/>
    <s v="Wine Sales"/>
    <n v="68.118700000000004"/>
    <n v="0"/>
    <s v="Daily Sales Import"/>
    <n v="-68.118700000000004"/>
    <n v="68.118700000000004"/>
    <x v="1"/>
    <s v="2230"/>
    <s v="000"/>
    <x v="4"/>
    <x v="2"/>
  </r>
  <r>
    <d v="2013-02-11T00:00:00"/>
    <s v="018-2100-000"/>
    <s v="Food Sales"/>
    <n v="2440.2755000000002"/>
    <n v="0"/>
    <s v="Daily Sales Import"/>
    <n v="-2440.2755000000002"/>
    <n v="2440.2755000000002"/>
    <x v="2"/>
    <s v="2100"/>
    <s v="000"/>
    <x v="4"/>
    <x v="2"/>
  </r>
  <r>
    <d v="2013-02-11T00:00:00"/>
    <s v="018-2210-000"/>
    <s v="Liquor Sales"/>
    <n v="419.54760000000005"/>
    <n v="0"/>
    <s v="Daily Sales Import"/>
    <n v="-419.54760000000005"/>
    <n v="419.54760000000005"/>
    <x v="2"/>
    <s v="2210"/>
    <s v="000"/>
    <x v="4"/>
    <x v="2"/>
  </r>
  <r>
    <d v="2013-02-11T00:00:00"/>
    <s v="018-2220-000"/>
    <s v="Beer Sales"/>
    <n v="119.24279999999999"/>
    <n v="0"/>
    <s v="Daily Sales Import"/>
    <n v="-119.24279999999999"/>
    <n v="119.24279999999999"/>
    <x v="2"/>
    <s v="2220"/>
    <s v="000"/>
    <x v="4"/>
    <x v="2"/>
  </r>
  <r>
    <d v="2013-02-11T00:00:00"/>
    <s v="018-2230-000"/>
    <s v="Wine Sales"/>
    <n v="14.193199999999999"/>
    <n v="0"/>
    <s v="Daily Sales Import"/>
    <n v="-14.193199999999999"/>
    <n v="14.193199999999999"/>
    <x v="2"/>
    <s v="2230"/>
    <s v="000"/>
    <x v="4"/>
    <x v="2"/>
  </r>
  <r>
    <d v="2013-02-12T00:00:00"/>
    <s v="018-2100-000"/>
    <s v="Food Sales"/>
    <n v="3351.0864000000001"/>
    <n v="0"/>
    <s v="Daily Sales Import"/>
    <n v="-3351.0864000000001"/>
    <n v="3351.0864000000001"/>
    <x v="2"/>
    <s v="2100"/>
    <s v="000"/>
    <x v="4"/>
    <x v="2"/>
  </r>
  <r>
    <d v="2013-02-12T00:00:00"/>
    <s v="018-2210-000"/>
    <s v="Liquor Sales"/>
    <n v="720.02120000000002"/>
    <n v="0"/>
    <s v="Daily Sales Import"/>
    <n v="-720.02120000000002"/>
    <n v="720.02120000000002"/>
    <x v="2"/>
    <s v="2210"/>
    <s v="000"/>
    <x v="4"/>
    <x v="2"/>
  </r>
  <r>
    <d v="2013-02-12T00:00:00"/>
    <s v="018-2220-000"/>
    <s v="Beer Sales"/>
    <n v="186.4716"/>
    <n v="0"/>
    <s v="Daily Sales Import"/>
    <n v="-186.4716"/>
    <n v="186.4716"/>
    <x v="2"/>
    <s v="2220"/>
    <s v="000"/>
    <x v="4"/>
    <x v="2"/>
  </r>
  <r>
    <d v="2013-02-12T00:00:00"/>
    <s v="018-2230-000"/>
    <s v="Wine Sales"/>
    <n v="13.584000000000001"/>
    <n v="0"/>
    <s v="Daily Sales Import"/>
    <n v="-13.584000000000001"/>
    <n v="13.584000000000001"/>
    <x v="2"/>
    <s v="2230"/>
    <s v="000"/>
    <x v="4"/>
    <x v="2"/>
  </r>
  <r>
    <d v="2013-02-13T00:00:00"/>
    <s v="018-2100-000"/>
    <s v="Food Sales"/>
    <n v="3531.0614999999993"/>
    <n v="0"/>
    <s v="Daily Sales Import"/>
    <n v="-3531.0614999999993"/>
    <n v="3531.0614999999993"/>
    <x v="2"/>
    <s v="2100"/>
    <s v="000"/>
    <x v="4"/>
    <x v="2"/>
  </r>
  <r>
    <d v="2013-02-13T00:00:00"/>
    <s v="018-2210-000"/>
    <s v="Liquor Sales"/>
    <n v="688.48919999999998"/>
    <n v="0"/>
    <s v="Daily Sales Import"/>
    <n v="-688.48919999999998"/>
    <n v="688.48919999999998"/>
    <x v="2"/>
    <s v="2210"/>
    <s v="000"/>
    <x v="4"/>
    <x v="2"/>
  </r>
  <r>
    <d v="2013-02-13T00:00:00"/>
    <s v="018-2220-000"/>
    <s v="Beer Sales"/>
    <n v="101.00160000000001"/>
    <n v="0"/>
    <s v="Daily Sales Import"/>
    <n v="-101.00160000000001"/>
    <n v="101.00160000000001"/>
    <x v="2"/>
    <s v="2220"/>
    <s v="000"/>
    <x v="4"/>
    <x v="2"/>
  </r>
  <r>
    <d v="2013-02-13T00:00:00"/>
    <s v="018-2230-000"/>
    <s v="Wine Sales"/>
    <n v="41.823699999999995"/>
    <n v="0"/>
    <s v="Daily Sales Import"/>
    <n v="-41.823699999999995"/>
    <n v="41.823699999999995"/>
    <x v="2"/>
    <s v="2230"/>
    <s v="000"/>
    <x v="4"/>
    <x v="2"/>
  </r>
  <r>
    <d v="2013-02-14T00:00:00"/>
    <s v="018-2100-000"/>
    <s v="Food Sales"/>
    <n v="12671.880000000001"/>
    <n v="0"/>
    <s v="Daily Sales Import"/>
    <n v="-12671.880000000001"/>
    <n v="12671.880000000001"/>
    <x v="2"/>
    <s v="2100"/>
    <s v="000"/>
    <x v="4"/>
    <x v="2"/>
  </r>
  <r>
    <d v="2013-02-14T00:00:00"/>
    <s v="018-2210-000"/>
    <s v="Liquor Sales"/>
    <n v="1556.0272"/>
    <n v="0"/>
    <s v="Daily Sales Import"/>
    <n v="-1556.0272"/>
    <n v="1556.0272"/>
    <x v="2"/>
    <s v="2210"/>
    <s v="000"/>
    <x v="4"/>
    <x v="2"/>
  </r>
  <r>
    <d v="2013-02-14T00:00:00"/>
    <s v="018-2220-000"/>
    <s v="Beer Sales"/>
    <n v="724.93679999999995"/>
    <n v="0"/>
    <s v="Daily Sales Import"/>
    <n v="-724.93679999999995"/>
    <n v="724.93679999999995"/>
    <x v="2"/>
    <s v="2220"/>
    <s v="000"/>
    <x v="4"/>
    <x v="2"/>
  </r>
  <r>
    <d v="2013-02-14T00:00:00"/>
    <s v="018-2230-000"/>
    <s v="Wine Sales"/>
    <n v="100.3434"/>
    <n v="0"/>
    <s v="Daily Sales Import"/>
    <n v="-100.3434"/>
    <n v="100.3434"/>
    <x v="2"/>
    <s v="2230"/>
    <s v="000"/>
    <x v="4"/>
    <x v="2"/>
  </r>
  <r>
    <d v="2013-02-15T00:00:00"/>
    <s v="018-2100-000"/>
    <s v="Food Sales"/>
    <n v="7721.7785999999987"/>
    <n v="0"/>
    <s v="Daily Sales Import"/>
    <n v="-7721.7785999999987"/>
    <n v="7721.7785999999987"/>
    <x v="2"/>
    <s v="2100"/>
    <s v="000"/>
    <x v="4"/>
    <x v="2"/>
  </r>
  <r>
    <d v="2013-02-15T00:00:00"/>
    <s v="018-2210-000"/>
    <s v="Liquor Sales"/>
    <n v="2684.0171999999998"/>
    <n v="0"/>
    <s v="Daily Sales Import"/>
    <n v="-2684.0171999999998"/>
    <n v="2684.0171999999998"/>
    <x v="2"/>
    <s v="2210"/>
    <s v="000"/>
    <x v="4"/>
    <x v="2"/>
  </r>
  <r>
    <d v="2013-02-15T00:00:00"/>
    <s v="018-2220-000"/>
    <s v="Beer Sales"/>
    <n v="518.41679999999997"/>
    <n v="0"/>
    <s v="Daily Sales Import"/>
    <n v="-518.41679999999997"/>
    <n v="518.41679999999997"/>
    <x v="2"/>
    <s v="2220"/>
    <s v="000"/>
    <x v="4"/>
    <x v="2"/>
  </r>
  <r>
    <d v="2013-02-15T00:00:00"/>
    <s v="018-2230-000"/>
    <s v="Wine Sales"/>
    <n v="117.47120000000001"/>
    <n v="0"/>
    <s v="Daily Sales Import"/>
    <n v="-117.47120000000001"/>
    <n v="117.47120000000001"/>
    <x v="2"/>
    <s v="2230"/>
    <s v="000"/>
    <x v="4"/>
    <x v="2"/>
  </r>
  <r>
    <d v="2013-02-16T00:00:00"/>
    <s v="018-2100-000"/>
    <s v="Food Sales"/>
    <n v="16239.2412"/>
    <n v="0"/>
    <s v="Daily Sales Import"/>
    <n v="-16239.2412"/>
    <n v="16239.2412"/>
    <x v="2"/>
    <s v="2100"/>
    <s v="000"/>
    <x v="4"/>
    <x v="2"/>
  </r>
  <r>
    <d v="2013-02-16T00:00:00"/>
    <s v="018-2210-000"/>
    <s v="Liquor Sales"/>
    <n v="4059.9674999999993"/>
    <n v="0"/>
    <s v="Daily Sales Import"/>
    <n v="-4059.9674999999993"/>
    <n v="4059.9674999999993"/>
    <x v="2"/>
    <s v="2210"/>
    <s v="000"/>
    <x v="4"/>
    <x v="2"/>
  </r>
  <r>
    <d v="2013-02-16T00:00:00"/>
    <s v="018-2220-000"/>
    <s v="Beer Sales"/>
    <n v="834.73739999999998"/>
    <n v="0"/>
    <s v="Daily Sales Import"/>
    <n v="-834.73739999999998"/>
    <n v="834.73739999999998"/>
    <x v="2"/>
    <s v="2220"/>
    <s v="000"/>
    <x v="4"/>
    <x v="2"/>
  </r>
  <r>
    <d v="2013-02-16T00:00:00"/>
    <s v="018-2230-000"/>
    <s v="Wine Sales"/>
    <n v="134.12959999999998"/>
    <n v="0"/>
    <s v="Daily Sales Import"/>
    <n v="-134.12959999999998"/>
    <n v="134.12959999999998"/>
    <x v="2"/>
    <s v="2230"/>
    <s v="000"/>
    <x v="4"/>
    <x v="2"/>
  </r>
  <r>
    <d v="2013-02-17T00:00:00"/>
    <s v="018-2100-000"/>
    <s v="Food Sales"/>
    <n v="9434.3984"/>
    <n v="0"/>
    <s v="Daily Sales Import"/>
    <n v="-9434.3984"/>
    <n v="9434.3984"/>
    <x v="2"/>
    <s v="2100"/>
    <s v="000"/>
    <x v="4"/>
    <x v="2"/>
  </r>
  <r>
    <d v="2013-02-17T00:00:00"/>
    <s v="018-2210-000"/>
    <s v="Liquor Sales"/>
    <n v="1896.8567999999998"/>
    <n v="0"/>
    <s v="Daily Sales Import"/>
    <n v="-1896.8567999999998"/>
    <n v="1896.8567999999998"/>
    <x v="2"/>
    <s v="2210"/>
    <s v="000"/>
    <x v="4"/>
    <x v="2"/>
  </r>
  <r>
    <d v="2013-02-17T00:00:00"/>
    <s v="018-2220-000"/>
    <s v="Beer Sales"/>
    <n v="746.66550000000007"/>
    <n v="0"/>
    <s v="Daily Sales Import"/>
    <n v="-746.66550000000007"/>
    <n v="746.66550000000007"/>
    <x v="2"/>
    <s v="2220"/>
    <s v="000"/>
    <x v="4"/>
    <x v="2"/>
  </r>
  <r>
    <d v="2013-02-17T00:00:00"/>
    <s v="018-2230-000"/>
    <s v="Wine Sales"/>
    <n v="66.652299999999997"/>
    <n v="0"/>
    <s v="Daily Sales Import"/>
    <n v="-66.652299999999997"/>
    <n v="66.652299999999997"/>
    <x v="2"/>
    <s v="2230"/>
    <s v="000"/>
    <x v="4"/>
    <x v="2"/>
  </r>
  <r>
    <d v="2013-02-18T00:00:00"/>
    <s v="016-2100-000"/>
    <s v="Food Sales"/>
    <n v="3715.4895999999994"/>
    <n v="0"/>
    <s v="Daily Sales Import"/>
    <n v="-3715.4895999999994"/>
    <n v="3715.4895999999994"/>
    <x v="0"/>
    <s v="2100"/>
    <s v="000"/>
    <x v="4"/>
    <x v="2"/>
  </r>
  <r>
    <d v="2013-02-18T00:00:00"/>
    <s v="016-2210-000"/>
    <s v="Liquor Sales"/>
    <n v="932.84059999999988"/>
    <n v="0"/>
    <s v="Daily Sales Import"/>
    <n v="-932.84059999999988"/>
    <n v="932.84059999999988"/>
    <x v="0"/>
    <s v="2210"/>
    <s v="000"/>
    <x v="4"/>
    <x v="2"/>
  </r>
  <r>
    <d v="2013-02-18T00:00:00"/>
    <s v="016-2220-000"/>
    <s v="Beer Sales"/>
    <n v="200.82"/>
    <n v="0"/>
    <s v="Daily Sales Import"/>
    <n v="-200.82"/>
    <n v="200.82"/>
    <x v="0"/>
    <s v="2220"/>
    <s v="000"/>
    <x v="4"/>
    <x v="2"/>
  </r>
  <r>
    <d v="2013-02-18T00:00:00"/>
    <s v="016-2230-000"/>
    <s v="Wine Sales"/>
    <n v="182.2244"/>
    <n v="0"/>
    <s v="Daily Sales Import"/>
    <n v="-182.2244"/>
    <n v="182.2244"/>
    <x v="0"/>
    <s v="2230"/>
    <s v="000"/>
    <x v="4"/>
    <x v="2"/>
  </r>
  <r>
    <d v="2013-02-19T00:00:00"/>
    <s v="016-2100-000"/>
    <s v="Food Sales"/>
    <n v="8741.6549999999988"/>
    <n v="0"/>
    <s v="Daily Sales Import"/>
    <n v="-8741.6549999999988"/>
    <n v="8741.6549999999988"/>
    <x v="0"/>
    <s v="2100"/>
    <s v="000"/>
    <x v="4"/>
    <x v="2"/>
  </r>
  <r>
    <d v="2013-02-19T00:00:00"/>
    <s v="016-2210-000"/>
    <s v="Liquor Sales"/>
    <n v="1899.4223999999999"/>
    <n v="0"/>
    <s v="Daily Sales Import"/>
    <n v="-1899.4223999999999"/>
    <n v="1899.4223999999999"/>
    <x v="0"/>
    <s v="2210"/>
    <s v="000"/>
    <x v="4"/>
    <x v="2"/>
  </r>
  <r>
    <d v="2013-02-19T00:00:00"/>
    <s v="016-2220-000"/>
    <s v="Beer Sales"/>
    <n v="888.846"/>
    <n v="0"/>
    <s v="Daily Sales Import"/>
    <n v="-888.846"/>
    <n v="888.846"/>
    <x v="0"/>
    <s v="2220"/>
    <s v="000"/>
    <x v="4"/>
    <x v="2"/>
  </r>
  <r>
    <d v="2013-02-19T00:00:00"/>
    <s v="016-2230-000"/>
    <s v="Wine Sales"/>
    <n v="191.928"/>
    <n v="0"/>
    <s v="Daily Sales Import"/>
    <n v="-191.928"/>
    <n v="191.928"/>
    <x v="0"/>
    <s v="2230"/>
    <s v="000"/>
    <x v="4"/>
    <x v="2"/>
  </r>
  <r>
    <d v="2013-02-20T00:00:00"/>
    <s v="016-2100-000"/>
    <s v="Food Sales"/>
    <n v="4530.7975000000006"/>
    <n v="0"/>
    <s v="Daily Sales Import"/>
    <n v="-4530.7975000000006"/>
    <n v="4530.7975000000006"/>
    <x v="0"/>
    <s v="2100"/>
    <s v="000"/>
    <x v="4"/>
    <x v="2"/>
  </r>
  <r>
    <d v="2013-02-20T00:00:00"/>
    <s v="016-2210-000"/>
    <s v="Liquor Sales"/>
    <n v="751.05639999999994"/>
    <n v="0"/>
    <s v="Daily Sales Import"/>
    <n v="-751.05639999999994"/>
    <n v="751.05639999999994"/>
    <x v="0"/>
    <s v="2210"/>
    <s v="000"/>
    <x v="4"/>
    <x v="2"/>
  </r>
  <r>
    <d v="2013-02-20T00:00:00"/>
    <s v="016-2220-000"/>
    <s v="Beer Sales"/>
    <n v="129.17300000000003"/>
    <n v="0"/>
    <s v="Daily Sales Import"/>
    <n v="-129.17300000000003"/>
    <n v="129.17300000000003"/>
    <x v="0"/>
    <s v="2220"/>
    <s v="000"/>
    <x v="4"/>
    <x v="2"/>
  </r>
  <r>
    <d v="2013-02-20T00:00:00"/>
    <s v="016-2230-000"/>
    <s v="Wine Sales"/>
    <n v="147.56719999999999"/>
    <n v="0"/>
    <s v="Daily Sales Import"/>
    <n v="-147.56719999999999"/>
    <n v="147.56719999999999"/>
    <x v="0"/>
    <s v="2230"/>
    <s v="000"/>
    <x v="4"/>
    <x v="2"/>
  </r>
  <r>
    <d v="2013-02-21T00:00:00"/>
    <s v="016-2100-000"/>
    <s v="Food Sales"/>
    <n v="5047.1730000000007"/>
    <n v="0"/>
    <s v="Daily Sales Import"/>
    <n v="-5047.1730000000007"/>
    <n v="5047.1730000000007"/>
    <x v="0"/>
    <s v="2100"/>
    <s v="000"/>
    <x v="4"/>
    <x v="2"/>
  </r>
  <r>
    <d v="2013-02-21T00:00:00"/>
    <s v="016-2210-000"/>
    <s v="Liquor Sales"/>
    <n v="953.08950000000016"/>
    <n v="0"/>
    <s v="Daily Sales Import"/>
    <n v="-953.08950000000016"/>
    <n v="953.08950000000016"/>
    <x v="0"/>
    <s v="2210"/>
    <s v="000"/>
    <x v="4"/>
    <x v="2"/>
  </r>
  <r>
    <d v="2013-02-21T00:00:00"/>
    <s v="016-2220-000"/>
    <s v="Beer Sales"/>
    <n v="273.7"/>
    <n v="0"/>
    <s v="Daily Sales Import"/>
    <n v="-273.7"/>
    <n v="273.7"/>
    <x v="0"/>
    <s v="2220"/>
    <s v="000"/>
    <x v="4"/>
    <x v="2"/>
  </r>
  <r>
    <d v="2013-02-21T00:00:00"/>
    <s v="016-2230-000"/>
    <s v="Wine Sales"/>
    <n v="84.163800000000009"/>
    <n v="0"/>
    <s v="Daily Sales Import"/>
    <n v="-84.163800000000009"/>
    <n v="84.163800000000009"/>
    <x v="0"/>
    <s v="2230"/>
    <s v="000"/>
    <x v="4"/>
    <x v="2"/>
  </r>
  <r>
    <d v="2013-02-22T00:00:00"/>
    <s v="016-2100-000"/>
    <s v="Food Sales"/>
    <n v="7858.7412000000013"/>
    <n v="0"/>
    <s v="Daily Sales Import"/>
    <n v="-7858.7412000000013"/>
    <n v="7858.7412000000013"/>
    <x v="0"/>
    <s v="2100"/>
    <s v="000"/>
    <x v="4"/>
    <x v="2"/>
  </r>
  <r>
    <d v="2013-02-22T00:00:00"/>
    <s v="016-2210-000"/>
    <s v="Liquor Sales"/>
    <n v="1589.5715000000002"/>
    <n v="0"/>
    <s v="Daily Sales Import"/>
    <n v="-1589.5715000000002"/>
    <n v="1589.5715000000002"/>
    <x v="0"/>
    <s v="2210"/>
    <s v="000"/>
    <x v="4"/>
    <x v="2"/>
  </r>
  <r>
    <d v="2013-02-22T00:00:00"/>
    <s v="016-2220-000"/>
    <s v="Beer Sales"/>
    <n v="386.01750000000004"/>
    <n v="0"/>
    <s v="Daily Sales Import"/>
    <n v="-386.01750000000004"/>
    <n v="386.01750000000004"/>
    <x v="0"/>
    <s v="2220"/>
    <s v="000"/>
    <x v="4"/>
    <x v="2"/>
  </r>
  <r>
    <d v="2013-02-22T00:00:00"/>
    <s v="016-2230-000"/>
    <s v="Wine Sales"/>
    <n v="181.3185"/>
    <n v="0"/>
    <s v="Daily Sales Import"/>
    <n v="-181.3185"/>
    <n v="181.3185"/>
    <x v="0"/>
    <s v="2230"/>
    <s v="000"/>
    <x v="4"/>
    <x v="2"/>
  </r>
  <r>
    <d v="2013-02-23T00:00:00"/>
    <s v="016-2100-000"/>
    <s v="Food Sales"/>
    <n v="9905.9961000000003"/>
    <n v="0"/>
    <s v="Daily Sales Import"/>
    <n v="-9905.9961000000003"/>
    <n v="9905.9961000000003"/>
    <x v="0"/>
    <s v="2100"/>
    <s v="000"/>
    <x v="4"/>
    <x v="2"/>
  </r>
  <r>
    <d v="2013-02-23T00:00:00"/>
    <s v="016-2210-000"/>
    <s v="Liquor Sales"/>
    <n v="3575.3120000000004"/>
    <n v="0"/>
    <s v="Daily Sales Import"/>
    <n v="-3575.3120000000004"/>
    <n v="3575.3120000000004"/>
    <x v="0"/>
    <s v="2210"/>
    <s v="000"/>
    <x v="4"/>
    <x v="2"/>
  </r>
  <r>
    <d v="2013-02-23T00:00:00"/>
    <s v="016-2220-000"/>
    <s v="Beer Sales"/>
    <n v="843.07529999999997"/>
    <n v="0"/>
    <s v="Daily Sales Import"/>
    <n v="-843.07529999999997"/>
    <n v="843.07529999999997"/>
    <x v="0"/>
    <s v="2220"/>
    <s v="000"/>
    <x v="4"/>
    <x v="2"/>
  </r>
  <r>
    <d v="2013-02-23T00:00:00"/>
    <s v="016-2230-000"/>
    <s v="Wine Sales"/>
    <n v="188.82600000000002"/>
    <n v="0"/>
    <s v="Daily Sales Import"/>
    <n v="-188.82600000000002"/>
    <n v="188.82600000000002"/>
    <x v="0"/>
    <s v="2230"/>
    <s v="000"/>
    <x v="4"/>
    <x v="2"/>
  </r>
  <r>
    <d v="2013-02-24T00:00:00"/>
    <s v="016-2100-000"/>
    <s v="Food Sales"/>
    <n v="6412.2631999999994"/>
    <n v="0"/>
    <s v="Daily Sales Import"/>
    <n v="-6412.2631999999994"/>
    <n v="6412.2631999999994"/>
    <x v="0"/>
    <s v="2100"/>
    <s v="000"/>
    <x v="4"/>
    <x v="2"/>
  </r>
  <r>
    <d v="2013-02-24T00:00:00"/>
    <s v="016-2210-000"/>
    <s v="Liquor Sales"/>
    <n v="1458.4956"/>
    <n v="0"/>
    <s v="Daily Sales Import"/>
    <n v="-1458.4956"/>
    <n v="1458.4956"/>
    <x v="0"/>
    <s v="2210"/>
    <s v="000"/>
    <x v="4"/>
    <x v="2"/>
  </r>
  <r>
    <d v="2013-02-24T00:00:00"/>
    <s v="016-2220-000"/>
    <s v="Beer Sales"/>
    <n v="272.20349999999996"/>
    <n v="0"/>
    <s v="Daily Sales Import"/>
    <n v="-272.20349999999996"/>
    <n v="272.20349999999996"/>
    <x v="0"/>
    <s v="2220"/>
    <s v="000"/>
    <x v="4"/>
    <x v="2"/>
  </r>
  <r>
    <d v="2013-02-24T00:00:00"/>
    <s v="016-2230-000"/>
    <s v="Wine Sales"/>
    <n v="168.89760000000001"/>
    <n v="0"/>
    <s v="Daily Sales Import"/>
    <n v="-168.89760000000001"/>
    <n v="168.89760000000001"/>
    <x v="0"/>
    <s v="2230"/>
    <s v="000"/>
    <x v="4"/>
    <x v="2"/>
  </r>
  <r>
    <d v="2013-02-18T00:00:00"/>
    <s v="017-2100-000"/>
    <s v="Food Sales"/>
    <n v="2951.2026000000001"/>
    <n v="0"/>
    <s v="Daily Sales Import"/>
    <n v="-2951.2026000000001"/>
    <n v="2951.2026000000001"/>
    <x v="1"/>
    <s v="2100"/>
    <s v="000"/>
    <x v="4"/>
    <x v="2"/>
  </r>
  <r>
    <d v="2013-02-18T00:00:00"/>
    <s v="017-2210-000"/>
    <s v="Liquor Sales"/>
    <n v="866.33699999999999"/>
    <n v="0"/>
    <s v="Daily Sales Import"/>
    <n v="-866.33699999999999"/>
    <n v="866.33699999999999"/>
    <x v="1"/>
    <s v="2210"/>
    <s v="000"/>
    <x v="4"/>
    <x v="2"/>
  </r>
  <r>
    <d v="2013-02-18T00:00:00"/>
    <s v="017-2220-000"/>
    <s v="Beer Sales"/>
    <n v="393.72710000000001"/>
    <n v="0"/>
    <s v="Daily Sales Import"/>
    <n v="-393.72710000000001"/>
    <n v="393.72710000000001"/>
    <x v="1"/>
    <s v="2220"/>
    <s v="000"/>
    <x v="4"/>
    <x v="2"/>
  </r>
  <r>
    <d v="2013-02-18T00:00:00"/>
    <s v="017-2230-000"/>
    <s v="Wine Sales"/>
    <n v="50.973300000000002"/>
    <n v="0"/>
    <s v="Daily Sales Import"/>
    <n v="-50.973300000000002"/>
    <n v="50.973300000000002"/>
    <x v="1"/>
    <s v="2230"/>
    <s v="000"/>
    <x v="4"/>
    <x v="2"/>
  </r>
  <r>
    <d v="2013-02-19T00:00:00"/>
    <s v="017-2100-000"/>
    <s v="Food Sales"/>
    <n v="3018.1271999999999"/>
    <n v="0"/>
    <s v="Daily Sales Import"/>
    <n v="-3018.1271999999999"/>
    <n v="3018.1271999999999"/>
    <x v="1"/>
    <s v="2100"/>
    <s v="000"/>
    <x v="4"/>
    <x v="2"/>
  </r>
  <r>
    <d v="2013-02-19T00:00:00"/>
    <s v="017-2210-000"/>
    <s v="Liquor Sales"/>
    <n v="832.04240000000004"/>
    <n v="0"/>
    <s v="Daily Sales Import"/>
    <n v="-832.04240000000004"/>
    <n v="832.04240000000004"/>
    <x v="1"/>
    <s v="2210"/>
    <s v="000"/>
    <x v="4"/>
    <x v="2"/>
  </r>
  <r>
    <d v="2013-02-19T00:00:00"/>
    <s v="017-2220-000"/>
    <s v="Beer Sales"/>
    <n v="313.62389999999999"/>
    <n v="0"/>
    <s v="Daily Sales Import"/>
    <n v="-313.62389999999999"/>
    <n v="313.62389999999999"/>
    <x v="1"/>
    <s v="2220"/>
    <s v="000"/>
    <x v="4"/>
    <x v="2"/>
  </r>
  <r>
    <d v="2013-02-19T00:00:00"/>
    <s v="017-2230-000"/>
    <s v="Wine Sales"/>
    <n v="102.6782"/>
    <n v="0"/>
    <s v="Daily Sales Import"/>
    <n v="-102.6782"/>
    <n v="102.6782"/>
    <x v="1"/>
    <s v="2230"/>
    <s v="000"/>
    <x v="4"/>
    <x v="2"/>
  </r>
  <r>
    <d v="2013-02-20T00:00:00"/>
    <s v="017-2100-000"/>
    <s v="Food Sales"/>
    <n v="6858.5075999999999"/>
    <n v="0"/>
    <s v="Daily Sales Import"/>
    <n v="-6858.5075999999999"/>
    <n v="6858.5075999999999"/>
    <x v="1"/>
    <s v="2100"/>
    <s v="000"/>
    <x v="4"/>
    <x v="2"/>
  </r>
  <r>
    <d v="2013-02-20T00:00:00"/>
    <s v="017-2210-000"/>
    <s v="Liquor Sales"/>
    <n v="1542.7439999999999"/>
    <n v="0"/>
    <s v="Daily Sales Import"/>
    <n v="-1542.7439999999999"/>
    <n v="1542.7439999999999"/>
    <x v="1"/>
    <s v="2210"/>
    <s v="000"/>
    <x v="4"/>
    <x v="2"/>
  </r>
  <r>
    <d v="2013-02-20T00:00:00"/>
    <s v="017-2220-000"/>
    <s v="Beer Sales"/>
    <n v="463.41129999999993"/>
    <n v="0"/>
    <s v="Daily Sales Import"/>
    <n v="-463.41129999999993"/>
    <n v="463.41129999999993"/>
    <x v="1"/>
    <s v="2220"/>
    <s v="000"/>
    <x v="4"/>
    <x v="2"/>
  </r>
  <r>
    <d v="2013-02-20T00:00:00"/>
    <s v="017-2230-000"/>
    <s v="Wine Sales"/>
    <n v="97.593600000000009"/>
    <n v="0"/>
    <s v="Daily Sales Import"/>
    <n v="-97.593600000000009"/>
    <n v="97.593600000000009"/>
    <x v="1"/>
    <s v="2230"/>
    <s v="000"/>
    <x v="4"/>
    <x v="2"/>
  </r>
  <r>
    <d v="2013-02-21T00:00:00"/>
    <s v="017-2100-000"/>
    <s v="Food Sales"/>
    <n v="7563.3711999999996"/>
    <n v="0"/>
    <s v="Daily Sales Import"/>
    <n v="-7563.3711999999996"/>
    <n v="7563.3711999999996"/>
    <x v="1"/>
    <s v="2100"/>
    <s v="000"/>
    <x v="4"/>
    <x v="2"/>
  </r>
  <r>
    <d v="2013-02-21T00:00:00"/>
    <s v="017-2210-000"/>
    <s v="Liquor Sales"/>
    <n v="1893.586"/>
    <n v="0"/>
    <s v="Daily Sales Import"/>
    <n v="-1893.586"/>
    <n v="1893.586"/>
    <x v="1"/>
    <s v="2210"/>
    <s v="000"/>
    <x v="4"/>
    <x v="2"/>
  </r>
  <r>
    <d v="2013-02-21T00:00:00"/>
    <s v="017-2220-000"/>
    <s v="Beer Sales"/>
    <n v="504.03839999999997"/>
    <n v="0"/>
    <s v="Daily Sales Import"/>
    <n v="-504.03839999999997"/>
    <n v="504.03839999999997"/>
    <x v="1"/>
    <s v="2220"/>
    <s v="000"/>
    <x v="4"/>
    <x v="2"/>
  </r>
  <r>
    <d v="2013-02-21T00:00:00"/>
    <s v="017-2230-000"/>
    <s v="Wine Sales"/>
    <n v="122.404"/>
    <n v="0"/>
    <s v="Daily Sales Import"/>
    <n v="-122.404"/>
    <n v="122.404"/>
    <x v="1"/>
    <s v="2230"/>
    <s v="000"/>
    <x v="4"/>
    <x v="2"/>
  </r>
  <r>
    <d v="2013-02-22T00:00:00"/>
    <s v="017-2100-000"/>
    <s v="Food Sales"/>
    <n v="7398.0216000000009"/>
    <n v="0"/>
    <s v="Daily Sales Import"/>
    <n v="-7398.0216000000009"/>
    <n v="7398.0216000000009"/>
    <x v="1"/>
    <s v="2100"/>
    <s v="000"/>
    <x v="4"/>
    <x v="2"/>
  </r>
  <r>
    <d v="2013-02-22T00:00:00"/>
    <s v="017-2210-000"/>
    <s v="Liquor Sales"/>
    <n v="1863.5904"/>
    <n v="0"/>
    <s v="Daily Sales Import"/>
    <n v="-1863.5904"/>
    <n v="1863.5904"/>
    <x v="1"/>
    <s v="2210"/>
    <s v="000"/>
    <x v="4"/>
    <x v="2"/>
  </r>
  <r>
    <d v="2013-02-22T00:00:00"/>
    <s v="017-2220-000"/>
    <s v="Beer Sales"/>
    <n v="506.68000000000006"/>
    <n v="0"/>
    <s v="Daily Sales Import"/>
    <n v="-506.68000000000006"/>
    <n v="506.68000000000006"/>
    <x v="1"/>
    <s v="2220"/>
    <s v="000"/>
    <x v="4"/>
    <x v="2"/>
  </r>
  <r>
    <d v="2013-02-22T00:00:00"/>
    <s v="017-2230-000"/>
    <s v="Wine Sales"/>
    <n v="46.625999999999998"/>
    <n v="0"/>
    <s v="Daily Sales Import"/>
    <n v="-46.625999999999998"/>
    <n v="46.625999999999998"/>
    <x v="1"/>
    <s v="2230"/>
    <s v="000"/>
    <x v="4"/>
    <x v="2"/>
  </r>
  <r>
    <d v="2013-02-23T00:00:00"/>
    <s v="017-2100-000"/>
    <s v="Food Sales"/>
    <n v="7967.1678000000002"/>
    <n v="0"/>
    <s v="Daily Sales Import"/>
    <n v="-7967.1678000000002"/>
    <n v="7967.1678000000002"/>
    <x v="1"/>
    <s v="2100"/>
    <s v="000"/>
    <x v="4"/>
    <x v="2"/>
  </r>
  <r>
    <d v="2013-02-23T00:00:00"/>
    <s v="017-2210-000"/>
    <s v="Liquor Sales"/>
    <n v="1983.807"/>
    <n v="0"/>
    <s v="Daily Sales Import"/>
    <n v="-1983.807"/>
    <n v="1983.807"/>
    <x v="1"/>
    <s v="2210"/>
    <s v="000"/>
    <x v="4"/>
    <x v="2"/>
  </r>
  <r>
    <d v="2013-02-23T00:00:00"/>
    <s v="017-2220-000"/>
    <s v="Beer Sales"/>
    <n v="370.91250000000002"/>
    <n v="0"/>
    <s v="Daily Sales Import"/>
    <n v="-370.91250000000002"/>
    <n v="370.91250000000002"/>
    <x v="1"/>
    <s v="2220"/>
    <s v="000"/>
    <x v="4"/>
    <x v="2"/>
  </r>
  <r>
    <d v="2013-02-23T00:00:00"/>
    <s v="017-2230-000"/>
    <s v="Wine Sales"/>
    <n v="73.058399999999992"/>
    <n v="0"/>
    <s v="Daily Sales Import"/>
    <n v="-73.058399999999992"/>
    <n v="73.058399999999992"/>
    <x v="1"/>
    <s v="2230"/>
    <s v="000"/>
    <x v="4"/>
    <x v="2"/>
  </r>
  <r>
    <d v="2013-02-24T00:00:00"/>
    <s v="017-2100-000"/>
    <s v="Food Sales"/>
    <n v="4720.7338"/>
    <n v="0"/>
    <s v="Daily Sales Import"/>
    <n v="-4720.7338"/>
    <n v="4720.7338"/>
    <x v="1"/>
    <s v="2100"/>
    <s v="000"/>
    <x v="4"/>
    <x v="2"/>
  </r>
  <r>
    <d v="2013-02-24T00:00:00"/>
    <s v="017-2210-000"/>
    <s v="Liquor Sales"/>
    <n v="1214.3473999999999"/>
    <n v="0"/>
    <s v="Daily Sales Import"/>
    <n v="-1214.3473999999999"/>
    <n v="1214.3473999999999"/>
    <x v="1"/>
    <s v="2210"/>
    <s v="000"/>
    <x v="4"/>
    <x v="2"/>
  </r>
  <r>
    <d v="2013-02-24T00:00:00"/>
    <s v="017-2220-000"/>
    <s v="Beer Sales"/>
    <n v="165.04109999999997"/>
    <n v="0"/>
    <s v="Daily Sales Import"/>
    <n v="-165.04109999999997"/>
    <n v="165.04109999999997"/>
    <x v="1"/>
    <s v="2220"/>
    <s v="000"/>
    <x v="4"/>
    <x v="2"/>
  </r>
  <r>
    <d v="2013-02-24T00:00:00"/>
    <s v="017-2230-000"/>
    <s v="Wine Sales"/>
    <n v="75.248400000000004"/>
    <n v="0"/>
    <s v="Daily Sales Import"/>
    <n v="-75.248400000000004"/>
    <n v="75.248400000000004"/>
    <x v="1"/>
    <s v="2230"/>
    <s v="000"/>
    <x v="4"/>
    <x v="2"/>
  </r>
  <r>
    <d v="2013-02-18T00:00:00"/>
    <s v="018-2100-000"/>
    <s v="Food Sales"/>
    <n v="8616.6256000000012"/>
    <n v="0"/>
    <s v="Daily Sales Import"/>
    <n v="-8616.6256000000012"/>
    <n v="8616.6256000000012"/>
    <x v="2"/>
    <s v="2100"/>
    <s v="000"/>
    <x v="4"/>
    <x v="2"/>
  </r>
  <r>
    <d v="2013-02-18T00:00:00"/>
    <s v="018-2210-000"/>
    <s v="Liquor Sales"/>
    <n v="693.27500000000009"/>
    <n v="0"/>
    <s v="Daily Sales Import"/>
    <n v="-693.27500000000009"/>
    <n v="693.27500000000009"/>
    <x v="2"/>
    <s v="2210"/>
    <s v="000"/>
    <x v="4"/>
    <x v="2"/>
  </r>
  <r>
    <d v="2013-02-18T00:00:00"/>
    <s v="018-2220-000"/>
    <s v="Beer Sales"/>
    <n v="240.66"/>
    <n v="0"/>
    <s v="Daily Sales Import"/>
    <n v="-240.66"/>
    <n v="240.66"/>
    <x v="2"/>
    <s v="2220"/>
    <s v="000"/>
    <x v="4"/>
    <x v="2"/>
  </r>
  <r>
    <d v="2013-02-18T00:00:00"/>
    <s v="018-2230-000"/>
    <s v="Wine Sales"/>
    <n v="81.799199999999999"/>
    <n v="0"/>
    <s v="Daily Sales Import"/>
    <n v="-81.799199999999999"/>
    <n v="81.799199999999999"/>
    <x v="2"/>
    <s v="2230"/>
    <s v="000"/>
    <x v="4"/>
    <x v="2"/>
  </r>
  <r>
    <d v="2013-02-19T00:00:00"/>
    <s v="018-2100-000"/>
    <s v="Food Sales"/>
    <n v="2094.9138000000003"/>
    <n v="0"/>
    <s v="Daily Sales Import"/>
    <n v="-2094.9138000000003"/>
    <n v="2094.9138000000003"/>
    <x v="2"/>
    <s v="2100"/>
    <s v="000"/>
    <x v="4"/>
    <x v="2"/>
  </r>
  <r>
    <d v="2013-02-19T00:00:00"/>
    <s v="018-2210-000"/>
    <s v="Liquor Sales"/>
    <n v="481.18399999999997"/>
    <n v="0"/>
    <s v="Daily Sales Import"/>
    <n v="-481.18399999999997"/>
    <n v="481.18399999999997"/>
    <x v="2"/>
    <s v="2210"/>
    <s v="000"/>
    <x v="4"/>
    <x v="2"/>
  </r>
  <r>
    <d v="2013-02-19T00:00:00"/>
    <s v="018-2220-000"/>
    <s v="Beer Sales"/>
    <n v="109.0859"/>
    <n v="0"/>
    <s v="Daily Sales Import"/>
    <n v="-109.0859"/>
    <n v="109.0859"/>
    <x v="2"/>
    <s v="2220"/>
    <s v="000"/>
    <x v="4"/>
    <x v="2"/>
  </r>
  <r>
    <d v="2013-02-19T00:00:00"/>
    <s v="018-2230-000"/>
    <s v="Wine Sales"/>
    <n v="24.205400000000001"/>
    <n v="0"/>
    <s v="Daily Sales Import"/>
    <n v="-24.205400000000001"/>
    <n v="24.205400000000001"/>
    <x v="2"/>
    <s v="2230"/>
    <s v="000"/>
    <x v="4"/>
    <x v="2"/>
  </r>
  <r>
    <d v="2013-02-20T00:00:00"/>
    <s v="018-2100-000"/>
    <s v="Food Sales"/>
    <n v="2350.8795"/>
    <n v="0"/>
    <s v="Daily Sales Import"/>
    <n v="-2350.8795"/>
    <n v="2350.8795"/>
    <x v="2"/>
    <s v="2100"/>
    <s v="000"/>
    <x v="4"/>
    <x v="2"/>
  </r>
  <r>
    <d v="2013-02-20T00:00:00"/>
    <s v="018-2210-000"/>
    <s v="Liquor Sales"/>
    <n v="405.57599999999996"/>
    <n v="0"/>
    <s v="Daily Sales Import"/>
    <n v="-405.57599999999996"/>
    <n v="405.57599999999996"/>
    <x v="2"/>
    <s v="2210"/>
    <s v="000"/>
    <x v="4"/>
    <x v="2"/>
  </r>
  <r>
    <d v="2013-02-20T00:00:00"/>
    <s v="018-2220-000"/>
    <s v="Beer Sales"/>
    <n v="89.208799999999997"/>
    <n v="0"/>
    <s v="Daily Sales Import"/>
    <n v="-89.208799999999997"/>
    <n v="89.208799999999997"/>
    <x v="2"/>
    <s v="2220"/>
    <s v="000"/>
    <x v="4"/>
    <x v="2"/>
  </r>
  <r>
    <d v="2013-02-20T00:00:00"/>
    <s v="018-2230-000"/>
    <s v="Wine Sales"/>
    <n v="19.5518"/>
    <n v="0"/>
    <s v="Daily Sales Import"/>
    <n v="-19.5518"/>
    <n v="19.5518"/>
    <x v="2"/>
    <s v="2230"/>
    <s v="000"/>
    <x v="4"/>
    <x v="2"/>
  </r>
  <r>
    <d v="2013-02-21T00:00:00"/>
    <s v="018-2100-000"/>
    <s v="Food Sales"/>
    <n v="3232.4490000000001"/>
    <n v="0"/>
    <s v="Daily Sales Import"/>
    <n v="-3232.4490000000001"/>
    <n v="3232.4490000000001"/>
    <x v="2"/>
    <s v="2100"/>
    <s v="000"/>
    <x v="4"/>
    <x v="2"/>
  </r>
  <r>
    <d v="2013-02-21T00:00:00"/>
    <s v="018-2210-000"/>
    <s v="Liquor Sales"/>
    <n v="610.20719999999994"/>
    <n v="0"/>
    <s v="Daily Sales Import"/>
    <n v="-610.20719999999994"/>
    <n v="610.20719999999994"/>
    <x v="2"/>
    <s v="2210"/>
    <s v="000"/>
    <x v="4"/>
    <x v="2"/>
  </r>
  <r>
    <d v="2013-02-21T00:00:00"/>
    <s v="018-2220-000"/>
    <s v="Beer Sales"/>
    <n v="273.04520000000002"/>
    <n v="0"/>
    <s v="Daily Sales Import"/>
    <n v="-273.04520000000002"/>
    <n v="273.04520000000002"/>
    <x v="2"/>
    <s v="2220"/>
    <s v="000"/>
    <x v="4"/>
    <x v="2"/>
  </r>
  <r>
    <d v="2013-02-21T00:00:00"/>
    <s v="018-2230-000"/>
    <s v="Wine Sales"/>
    <n v="4.6341999999999999"/>
    <n v="0"/>
    <s v="Daily Sales Import"/>
    <n v="-4.6341999999999999"/>
    <n v="4.6341999999999999"/>
    <x v="2"/>
    <s v="2230"/>
    <s v="000"/>
    <x v="4"/>
    <x v="2"/>
  </r>
  <r>
    <d v="2013-02-22T00:00:00"/>
    <s v="018-2100-000"/>
    <s v="Food Sales"/>
    <n v="7016.5550000000003"/>
    <n v="0"/>
    <s v="Daily Sales Import"/>
    <n v="-7016.5550000000003"/>
    <n v="7016.5550000000003"/>
    <x v="2"/>
    <s v="2100"/>
    <s v="000"/>
    <x v="4"/>
    <x v="2"/>
  </r>
  <r>
    <d v="2013-02-22T00:00:00"/>
    <s v="018-2210-000"/>
    <s v="Liquor Sales"/>
    <n v="3074.2618999999995"/>
    <n v="0"/>
    <s v="Daily Sales Import"/>
    <n v="-3074.2618999999995"/>
    <n v="3074.2618999999995"/>
    <x v="2"/>
    <s v="2210"/>
    <s v="000"/>
    <x v="4"/>
    <x v="2"/>
  </r>
  <r>
    <d v="2013-02-22T00:00:00"/>
    <s v="018-2220-000"/>
    <s v="Beer Sales"/>
    <n v="559.23149999999998"/>
    <n v="0"/>
    <s v="Daily Sales Import"/>
    <n v="-559.23149999999998"/>
    <n v="559.23149999999998"/>
    <x v="2"/>
    <s v="2220"/>
    <s v="000"/>
    <x v="4"/>
    <x v="2"/>
  </r>
  <r>
    <d v="2013-02-22T00:00:00"/>
    <s v="018-2230-000"/>
    <s v="Wine Sales"/>
    <n v="128.9624"/>
    <n v="0"/>
    <s v="Daily Sales Import"/>
    <n v="-128.9624"/>
    <n v="128.9624"/>
    <x v="2"/>
    <s v="2230"/>
    <s v="000"/>
    <x v="4"/>
    <x v="2"/>
  </r>
  <r>
    <d v="2013-02-23T00:00:00"/>
    <s v="018-2100-000"/>
    <s v="Food Sales"/>
    <n v="17113.038400000001"/>
    <n v="0"/>
    <s v="Daily Sales Import"/>
    <n v="-17113.038400000001"/>
    <n v="17113.038400000001"/>
    <x v="2"/>
    <s v="2100"/>
    <s v="000"/>
    <x v="4"/>
    <x v="2"/>
  </r>
  <r>
    <d v="2013-02-23T00:00:00"/>
    <s v="018-2210-000"/>
    <s v="Liquor Sales"/>
    <n v="3120.6790999999998"/>
    <n v="0"/>
    <s v="Daily Sales Import"/>
    <n v="-3120.6790999999998"/>
    <n v="3120.6790999999998"/>
    <x v="2"/>
    <s v="2210"/>
    <s v="000"/>
    <x v="4"/>
    <x v="2"/>
  </r>
  <r>
    <d v="2013-02-23T00:00:00"/>
    <s v="018-2220-000"/>
    <s v="Beer Sales"/>
    <n v="696.72200000000009"/>
    <n v="0"/>
    <s v="Daily Sales Import"/>
    <n v="-696.72200000000009"/>
    <n v="696.72200000000009"/>
    <x v="2"/>
    <s v="2220"/>
    <s v="000"/>
    <x v="4"/>
    <x v="2"/>
  </r>
  <r>
    <d v="2013-02-23T00:00:00"/>
    <s v="018-2230-000"/>
    <s v="Wine Sales"/>
    <n v="95.206800000000001"/>
    <n v="0"/>
    <s v="Daily Sales Import"/>
    <n v="-95.206800000000001"/>
    <n v="95.206800000000001"/>
    <x v="2"/>
    <s v="2230"/>
    <s v="000"/>
    <x v="4"/>
    <x v="2"/>
  </r>
  <r>
    <d v="2013-02-24T00:00:00"/>
    <s v="018-2100-000"/>
    <s v="Food Sales"/>
    <n v="8985.0720000000001"/>
    <n v="0"/>
    <s v="Daily Sales Import"/>
    <n v="-8985.0720000000001"/>
    <n v="8985.0720000000001"/>
    <x v="2"/>
    <s v="2100"/>
    <s v="000"/>
    <x v="4"/>
    <x v="2"/>
  </r>
  <r>
    <d v="2013-02-24T00:00:00"/>
    <s v="018-2210-000"/>
    <s v="Liquor Sales"/>
    <n v="839.3078999999999"/>
    <n v="0"/>
    <s v="Daily Sales Import"/>
    <n v="-839.3078999999999"/>
    <n v="839.3078999999999"/>
    <x v="2"/>
    <s v="2210"/>
    <s v="000"/>
    <x v="4"/>
    <x v="2"/>
  </r>
  <r>
    <d v="2013-02-24T00:00:00"/>
    <s v="018-2220-000"/>
    <s v="Beer Sales"/>
    <n v="291.01679999999999"/>
    <n v="0"/>
    <s v="Daily Sales Import"/>
    <n v="-291.01679999999999"/>
    <n v="291.01679999999999"/>
    <x v="2"/>
    <s v="2220"/>
    <s v="000"/>
    <x v="4"/>
    <x v="2"/>
  </r>
  <r>
    <d v="2013-02-24T00:00:00"/>
    <s v="018-2230-000"/>
    <s v="Wine Sales"/>
    <n v="71.829499999999996"/>
    <n v="0"/>
    <s v="Daily Sales Import"/>
    <n v="-71.829499999999996"/>
    <n v="71.829499999999996"/>
    <x v="2"/>
    <s v="2230"/>
    <s v="000"/>
    <x v="4"/>
    <x v="2"/>
  </r>
  <r>
    <d v="2013-02-25T00:00:00"/>
    <s v="016-2100-000"/>
    <s v="Food Sales"/>
    <n v="3470.2257"/>
    <n v="0"/>
    <s v="Daily Sales Import"/>
    <n v="-3470.2257"/>
    <n v="3470.2257"/>
    <x v="0"/>
    <s v="2100"/>
    <s v="000"/>
    <x v="4"/>
    <x v="2"/>
  </r>
  <r>
    <d v="2013-02-25T00:00:00"/>
    <s v="016-2210-000"/>
    <s v="Liquor Sales"/>
    <n v="697.94979999999998"/>
    <n v="0"/>
    <s v="Daily Sales Import"/>
    <n v="-697.94979999999998"/>
    <n v="697.94979999999998"/>
    <x v="0"/>
    <s v="2210"/>
    <s v="000"/>
    <x v="4"/>
    <x v="2"/>
  </r>
  <r>
    <d v="2013-02-25T00:00:00"/>
    <s v="016-2220-000"/>
    <s v="Beer Sales"/>
    <n v="122.94329999999999"/>
    <n v="0"/>
    <s v="Daily Sales Import"/>
    <n v="-122.94329999999999"/>
    <n v="122.94329999999999"/>
    <x v="0"/>
    <s v="2220"/>
    <s v="000"/>
    <x v="4"/>
    <x v="2"/>
  </r>
  <r>
    <d v="2013-02-25T00:00:00"/>
    <s v="016-2230-000"/>
    <s v="Wine Sales"/>
    <n v="81.008099999999999"/>
    <n v="0"/>
    <s v="Daily Sales Import"/>
    <n v="-81.008099999999999"/>
    <n v="81.008099999999999"/>
    <x v="0"/>
    <s v="2230"/>
    <s v="000"/>
    <x v="4"/>
    <x v="2"/>
  </r>
  <r>
    <d v="2013-02-26T00:00:00"/>
    <s v="016-2100-000"/>
    <s v="Food Sales"/>
    <n v="5997.2795999999998"/>
    <n v="0"/>
    <s v="Daily Sales Import"/>
    <n v="-5997.2795999999998"/>
    <n v="5997.2795999999998"/>
    <x v="0"/>
    <s v="2100"/>
    <s v="000"/>
    <x v="4"/>
    <x v="2"/>
  </r>
  <r>
    <d v="2013-02-26T00:00:00"/>
    <s v="016-2210-000"/>
    <s v="Liquor Sales"/>
    <n v="1660.482"/>
    <n v="0"/>
    <s v="Daily Sales Import"/>
    <n v="-1660.482"/>
    <n v="1660.482"/>
    <x v="0"/>
    <s v="2210"/>
    <s v="000"/>
    <x v="4"/>
    <x v="2"/>
  </r>
  <r>
    <d v="2013-02-26T00:00:00"/>
    <s v="016-2220-000"/>
    <s v="Beer Sales"/>
    <n v="576.2328"/>
    <n v="0"/>
    <s v="Daily Sales Import"/>
    <n v="-576.2328"/>
    <n v="576.2328"/>
    <x v="0"/>
    <s v="2220"/>
    <s v="000"/>
    <x v="4"/>
    <x v="2"/>
  </r>
  <r>
    <d v="2013-02-26T00:00:00"/>
    <s v="016-2230-000"/>
    <s v="Wine Sales"/>
    <n v="157.31980000000001"/>
    <n v="0"/>
    <s v="Daily Sales Import"/>
    <n v="-157.31980000000001"/>
    <n v="157.31980000000001"/>
    <x v="0"/>
    <s v="2230"/>
    <s v="000"/>
    <x v="4"/>
    <x v="2"/>
  </r>
  <r>
    <d v="2013-02-27T00:00:00"/>
    <s v="016-2100-000"/>
    <s v="Food Sales"/>
    <n v="2830.0360000000001"/>
    <n v="0"/>
    <s v="Daily Sales Import"/>
    <n v="-2830.0360000000001"/>
    <n v="2830.0360000000001"/>
    <x v="0"/>
    <s v="2100"/>
    <s v="000"/>
    <x v="4"/>
    <x v="2"/>
  </r>
  <r>
    <d v="2013-02-27T00:00:00"/>
    <s v="016-2210-000"/>
    <s v="Liquor Sales"/>
    <n v="730.1925"/>
    <n v="0"/>
    <s v="Daily Sales Import"/>
    <n v="-730.1925"/>
    <n v="730.1925"/>
    <x v="0"/>
    <s v="2210"/>
    <s v="000"/>
    <x v="4"/>
    <x v="2"/>
  </r>
  <r>
    <d v="2013-02-27T00:00:00"/>
    <s v="016-2220-000"/>
    <s v="Beer Sales"/>
    <n v="139.33150000000001"/>
    <n v="0"/>
    <s v="Daily Sales Import"/>
    <n v="-139.33150000000001"/>
    <n v="139.33150000000001"/>
    <x v="0"/>
    <s v="2220"/>
    <s v="000"/>
    <x v="4"/>
    <x v="2"/>
  </r>
  <r>
    <d v="2013-02-27T00:00:00"/>
    <s v="016-2230-000"/>
    <s v="Wine Sales"/>
    <n v="127.75539999999999"/>
    <n v="0"/>
    <s v="Daily Sales Import"/>
    <n v="-127.75539999999999"/>
    <n v="127.75539999999999"/>
    <x v="0"/>
    <s v="2230"/>
    <s v="000"/>
    <x v="4"/>
    <x v="2"/>
  </r>
  <r>
    <d v="2013-02-28T00:00:00"/>
    <s v="016-2100-000"/>
    <s v="Food Sales"/>
    <n v="2910.5786999999996"/>
    <n v="0"/>
    <s v="Daily Sales Import"/>
    <n v="-2910.5786999999996"/>
    <n v="2910.5786999999996"/>
    <x v="0"/>
    <s v="2100"/>
    <s v="000"/>
    <x v="4"/>
    <x v="2"/>
  </r>
  <r>
    <d v="2013-02-28T00:00:00"/>
    <s v="016-2210-000"/>
    <s v="Liquor Sales"/>
    <n v="675.70240000000001"/>
    <n v="0"/>
    <s v="Daily Sales Import"/>
    <n v="-675.70240000000001"/>
    <n v="675.70240000000001"/>
    <x v="0"/>
    <s v="2210"/>
    <s v="000"/>
    <x v="4"/>
    <x v="2"/>
  </r>
  <r>
    <d v="2013-02-28T00:00:00"/>
    <s v="016-2220-000"/>
    <s v="Beer Sales"/>
    <n v="146.94550000000001"/>
    <n v="0"/>
    <s v="Daily Sales Import"/>
    <n v="-146.94550000000001"/>
    <n v="146.94550000000001"/>
    <x v="0"/>
    <s v="2220"/>
    <s v="000"/>
    <x v="4"/>
    <x v="2"/>
  </r>
  <r>
    <d v="2013-02-28T00:00:00"/>
    <s v="016-2230-000"/>
    <s v="Wine Sales"/>
    <n v="71.211500000000001"/>
    <n v="0"/>
    <s v="Daily Sales Import"/>
    <n v="-71.211500000000001"/>
    <n v="71.211500000000001"/>
    <x v="0"/>
    <s v="2230"/>
    <s v="000"/>
    <x v="4"/>
    <x v="2"/>
  </r>
  <r>
    <d v="2013-03-01T00:00:00"/>
    <s v="016-2100-000"/>
    <s v="Food Sales"/>
    <n v="6867.7106000000003"/>
    <n v="0"/>
    <s v="Daily Sales Import"/>
    <n v="-6867.7106000000003"/>
    <n v="6867.7106000000003"/>
    <x v="0"/>
    <s v="2100"/>
    <s v="000"/>
    <x v="5"/>
    <x v="2"/>
  </r>
  <r>
    <d v="2013-03-01T00:00:00"/>
    <s v="016-2210-000"/>
    <s v="Liquor Sales"/>
    <n v="2102.6879999999996"/>
    <n v="0"/>
    <s v="Daily Sales Import"/>
    <n v="-2102.6879999999996"/>
    <n v="2102.6879999999996"/>
    <x v="0"/>
    <s v="2210"/>
    <s v="000"/>
    <x v="5"/>
    <x v="2"/>
  </r>
  <r>
    <d v="2013-03-01T00:00:00"/>
    <s v="016-2220-000"/>
    <s v="Beer Sales"/>
    <n v="294.44279999999998"/>
    <n v="0"/>
    <s v="Daily Sales Import"/>
    <n v="-294.44279999999998"/>
    <n v="294.44279999999998"/>
    <x v="0"/>
    <s v="2220"/>
    <s v="000"/>
    <x v="5"/>
    <x v="2"/>
  </r>
  <r>
    <d v="2013-03-01T00:00:00"/>
    <s v="016-2230-000"/>
    <s v="Wine Sales"/>
    <n v="217.49680000000001"/>
    <n v="0"/>
    <s v="Daily Sales Import"/>
    <n v="-217.49680000000001"/>
    <n v="217.49680000000001"/>
    <x v="0"/>
    <s v="2230"/>
    <s v="000"/>
    <x v="5"/>
    <x v="2"/>
  </r>
  <r>
    <d v="2013-03-02T00:00:00"/>
    <s v="016-2100-000"/>
    <s v="Food Sales"/>
    <n v="7878.7566000000006"/>
    <n v="0"/>
    <s v="Daily Sales Import"/>
    <n v="-7878.7566000000006"/>
    <n v="7878.7566000000006"/>
    <x v="0"/>
    <s v="2100"/>
    <s v="000"/>
    <x v="5"/>
    <x v="2"/>
  </r>
  <r>
    <d v="2013-03-02T00:00:00"/>
    <s v="016-2210-000"/>
    <s v="Liquor Sales"/>
    <n v="3900.6618000000003"/>
    <n v="0"/>
    <s v="Daily Sales Import"/>
    <n v="-3900.6618000000003"/>
    <n v="3900.6618000000003"/>
    <x v="0"/>
    <s v="2210"/>
    <s v="000"/>
    <x v="5"/>
    <x v="2"/>
  </r>
  <r>
    <d v="2013-03-02T00:00:00"/>
    <s v="016-2220-000"/>
    <s v="Beer Sales"/>
    <n v="572.60249999999996"/>
    <n v="0"/>
    <s v="Daily Sales Import"/>
    <n v="-572.60249999999996"/>
    <n v="572.60249999999996"/>
    <x v="0"/>
    <s v="2220"/>
    <s v="000"/>
    <x v="5"/>
    <x v="2"/>
  </r>
  <r>
    <d v="2013-03-02T00:00:00"/>
    <s v="016-2230-000"/>
    <s v="Wine Sales"/>
    <n v="208.89330000000001"/>
    <n v="0"/>
    <s v="Daily Sales Import"/>
    <n v="-208.89330000000001"/>
    <n v="208.89330000000001"/>
    <x v="0"/>
    <s v="2230"/>
    <s v="000"/>
    <x v="5"/>
    <x v="2"/>
  </r>
  <r>
    <d v="2013-03-03T00:00:00"/>
    <s v="016-2100-000"/>
    <s v="Food Sales"/>
    <n v="5445.4769999999999"/>
    <n v="0"/>
    <s v="Daily Sales Import"/>
    <n v="-5445.4769999999999"/>
    <n v="5445.4769999999999"/>
    <x v="0"/>
    <s v="2100"/>
    <s v="000"/>
    <x v="5"/>
    <x v="2"/>
  </r>
  <r>
    <d v="2013-03-03T00:00:00"/>
    <s v="016-2210-000"/>
    <s v="Liquor Sales"/>
    <n v="1342.4916000000001"/>
    <n v="0"/>
    <s v="Daily Sales Import"/>
    <n v="-1342.4916000000001"/>
    <n v="1342.4916000000001"/>
    <x v="0"/>
    <s v="2210"/>
    <s v="000"/>
    <x v="5"/>
    <x v="2"/>
  </r>
  <r>
    <d v="2013-03-03T00:00:00"/>
    <s v="016-2220-000"/>
    <s v="Beer Sales"/>
    <n v="209.7851"/>
    <n v="0"/>
    <s v="Daily Sales Import"/>
    <n v="-209.7851"/>
    <n v="209.7851"/>
    <x v="0"/>
    <s v="2220"/>
    <s v="000"/>
    <x v="5"/>
    <x v="2"/>
  </r>
  <r>
    <d v="2013-03-03T00:00:00"/>
    <s v="016-2230-000"/>
    <s v="Wine Sales"/>
    <n v="80.805899999999994"/>
    <n v="0"/>
    <s v="Daily Sales Import"/>
    <n v="-80.805899999999994"/>
    <n v="80.805899999999994"/>
    <x v="0"/>
    <s v="2230"/>
    <s v="000"/>
    <x v="5"/>
    <x v="2"/>
  </r>
  <r>
    <d v="2013-02-25T00:00:00"/>
    <s v="017-2100-000"/>
    <s v="Food Sales"/>
    <n v="4481.0568000000003"/>
    <n v="0"/>
    <s v="Daily Sales Import"/>
    <n v="-4481.0568000000003"/>
    <n v="4481.0568000000003"/>
    <x v="1"/>
    <s v="2100"/>
    <s v="000"/>
    <x v="4"/>
    <x v="2"/>
  </r>
  <r>
    <d v="2013-02-25T00:00:00"/>
    <s v="017-2210-000"/>
    <s v="Liquor Sales"/>
    <n v="1050.6756"/>
    <n v="0"/>
    <s v="Daily Sales Import"/>
    <n v="-1050.6756"/>
    <n v="1050.6756"/>
    <x v="1"/>
    <s v="2210"/>
    <s v="000"/>
    <x v="4"/>
    <x v="2"/>
  </r>
  <r>
    <d v="2013-02-25T00:00:00"/>
    <s v="017-2220-000"/>
    <s v="Beer Sales"/>
    <n v="353.83319999999998"/>
    <n v="0"/>
    <s v="Daily Sales Import"/>
    <n v="-353.83319999999998"/>
    <n v="353.83319999999998"/>
    <x v="1"/>
    <s v="2220"/>
    <s v="000"/>
    <x v="4"/>
    <x v="2"/>
  </r>
  <r>
    <d v="2013-02-25T00:00:00"/>
    <s v="017-2230-000"/>
    <s v="Wine Sales"/>
    <n v="65.58059999999999"/>
    <n v="0"/>
    <s v="Daily Sales Import"/>
    <n v="-65.58059999999999"/>
    <n v="65.58059999999999"/>
    <x v="1"/>
    <s v="2230"/>
    <s v="000"/>
    <x v="4"/>
    <x v="2"/>
  </r>
  <r>
    <d v="2013-02-26T00:00:00"/>
    <s v="017-2100-000"/>
    <s v="Food Sales"/>
    <n v="6073.5923999999995"/>
    <n v="0"/>
    <s v="Daily Sales Import"/>
    <n v="-6073.5923999999995"/>
    <n v="6073.5923999999995"/>
    <x v="1"/>
    <s v="2100"/>
    <s v="000"/>
    <x v="4"/>
    <x v="2"/>
  </r>
  <r>
    <d v="2013-02-26T00:00:00"/>
    <s v="017-2210-000"/>
    <s v="Liquor Sales"/>
    <n v="1060.3376000000001"/>
    <n v="0"/>
    <s v="Daily Sales Import"/>
    <n v="-1060.3376000000001"/>
    <n v="1060.3376000000001"/>
    <x v="1"/>
    <s v="2210"/>
    <s v="000"/>
    <x v="4"/>
    <x v="2"/>
  </r>
  <r>
    <d v="2013-02-26T00:00:00"/>
    <s v="017-2220-000"/>
    <s v="Beer Sales"/>
    <n v="589.56560000000002"/>
    <n v="0"/>
    <s v="Daily Sales Import"/>
    <n v="-589.56560000000002"/>
    <n v="589.56560000000002"/>
    <x v="1"/>
    <s v="2220"/>
    <s v="000"/>
    <x v="4"/>
    <x v="2"/>
  </r>
  <r>
    <d v="2013-02-26T00:00:00"/>
    <s v="017-2230-000"/>
    <s v="Wine Sales"/>
    <n v="129.60000000000002"/>
    <n v="0"/>
    <s v="Daily Sales Import"/>
    <n v="-129.60000000000002"/>
    <n v="129.60000000000002"/>
    <x v="1"/>
    <s v="2230"/>
    <s v="000"/>
    <x v="4"/>
    <x v="2"/>
  </r>
  <r>
    <d v="2013-02-27T00:00:00"/>
    <s v="017-2100-000"/>
    <s v="Food Sales"/>
    <n v="7847.4395999999997"/>
    <n v="0"/>
    <s v="Daily Sales Import"/>
    <n v="-7847.4395999999997"/>
    <n v="7847.4395999999997"/>
    <x v="1"/>
    <s v="2100"/>
    <s v="000"/>
    <x v="4"/>
    <x v="2"/>
  </r>
  <r>
    <d v="2013-02-27T00:00:00"/>
    <s v="017-2210-000"/>
    <s v="Liquor Sales"/>
    <n v="1275.6769999999999"/>
    <n v="0"/>
    <s v="Daily Sales Import"/>
    <n v="-1275.6769999999999"/>
    <n v="1275.6769999999999"/>
    <x v="1"/>
    <s v="2210"/>
    <s v="000"/>
    <x v="4"/>
    <x v="2"/>
  </r>
  <r>
    <d v="2013-02-27T00:00:00"/>
    <s v="017-2220-000"/>
    <s v="Beer Sales"/>
    <n v="411.66809999999998"/>
    <n v="0"/>
    <s v="Daily Sales Import"/>
    <n v="-411.66809999999998"/>
    <n v="411.66809999999998"/>
    <x v="1"/>
    <s v="2220"/>
    <s v="000"/>
    <x v="4"/>
    <x v="2"/>
  </r>
  <r>
    <d v="2013-02-27T00:00:00"/>
    <s v="017-2230-000"/>
    <s v="Wine Sales"/>
    <n v="35.947299999999998"/>
    <n v="0"/>
    <s v="Daily Sales Import"/>
    <n v="-35.947299999999998"/>
    <n v="35.947299999999998"/>
    <x v="1"/>
    <s v="2230"/>
    <s v="000"/>
    <x v="4"/>
    <x v="2"/>
  </r>
  <r>
    <d v="2013-02-28T00:00:00"/>
    <s v="017-2100-000"/>
    <s v="Food Sales"/>
    <n v="6070.6076999999996"/>
    <n v="0"/>
    <s v="Daily Sales Import"/>
    <n v="-6070.6076999999996"/>
    <n v="6070.6076999999996"/>
    <x v="1"/>
    <s v="2100"/>
    <s v="000"/>
    <x v="4"/>
    <x v="2"/>
  </r>
  <r>
    <d v="2013-02-28T00:00:00"/>
    <s v="017-2210-000"/>
    <s v="Liquor Sales"/>
    <n v="1138.1184000000001"/>
    <n v="0"/>
    <s v="Daily Sales Import"/>
    <n v="-1138.1184000000001"/>
    <n v="1138.1184000000001"/>
    <x v="1"/>
    <s v="2210"/>
    <s v="000"/>
    <x v="4"/>
    <x v="2"/>
  </r>
  <r>
    <d v="2013-02-28T00:00:00"/>
    <s v="017-2220-000"/>
    <s v="Beer Sales"/>
    <n v="328.86560000000003"/>
    <n v="0"/>
    <s v="Daily Sales Import"/>
    <n v="-328.86560000000003"/>
    <n v="328.86560000000003"/>
    <x v="1"/>
    <s v="2220"/>
    <s v="000"/>
    <x v="4"/>
    <x v="2"/>
  </r>
  <r>
    <d v="2013-02-28T00:00:00"/>
    <s v="017-2230-000"/>
    <s v="Wine Sales"/>
    <n v="303.31799999999998"/>
    <n v="0"/>
    <s v="Daily Sales Import"/>
    <n v="-303.31799999999998"/>
    <n v="303.31799999999998"/>
    <x v="1"/>
    <s v="2230"/>
    <s v="000"/>
    <x v="4"/>
    <x v="2"/>
  </r>
  <r>
    <d v="2013-03-01T00:00:00"/>
    <s v="017-2100-000"/>
    <s v="Food Sales"/>
    <n v="7588.3885"/>
    <n v="0"/>
    <s v="Daily Sales Import"/>
    <n v="-7588.3885"/>
    <n v="7588.3885"/>
    <x v="1"/>
    <s v="2100"/>
    <s v="000"/>
    <x v="5"/>
    <x v="2"/>
  </r>
  <r>
    <d v="2013-03-01T00:00:00"/>
    <s v="017-2210-000"/>
    <s v="Liquor Sales"/>
    <n v="2036.6964000000003"/>
    <n v="0"/>
    <s v="Daily Sales Import"/>
    <n v="-2036.6964000000003"/>
    <n v="2036.6964000000003"/>
    <x v="1"/>
    <s v="2210"/>
    <s v="000"/>
    <x v="5"/>
    <x v="2"/>
  </r>
  <r>
    <d v="2013-03-01T00:00:00"/>
    <s v="017-2220-000"/>
    <s v="Beer Sales"/>
    <n v="335.90800000000002"/>
    <n v="0"/>
    <s v="Daily Sales Import"/>
    <n v="-335.90800000000002"/>
    <n v="335.90800000000002"/>
    <x v="1"/>
    <s v="2220"/>
    <s v="000"/>
    <x v="5"/>
    <x v="2"/>
  </r>
  <r>
    <d v="2013-03-01T00:00:00"/>
    <s v="017-2230-000"/>
    <s v="Wine Sales"/>
    <n v="169.68900000000002"/>
    <n v="0"/>
    <s v="Daily Sales Import"/>
    <n v="-169.68900000000002"/>
    <n v="169.68900000000002"/>
    <x v="1"/>
    <s v="2230"/>
    <s v="000"/>
    <x v="5"/>
    <x v="2"/>
  </r>
  <r>
    <d v="2013-03-02T00:00:00"/>
    <s v="017-2100-000"/>
    <s v="Food Sales"/>
    <n v="9572.5925999999999"/>
    <n v="0"/>
    <s v="Daily Sales Import"/>
    <n v="-9572.5925999999999"/>
    <n v="9572.5925999999999"/>
    <x v="1"/>
    <s v="2100"/>
    <s v="000"/>
    <x v="5"/>
    <x v="2"/>
  </r>
  <r>
    <d v="2013-03-02T00:00:00"/>
    <s v="017-2210-000"/>
    <s v="Liquor Sales"/>
    <n v="2373.77"/>
    <n v="0"/>
    <s v="Daily Sales Import"/>
    <n v="-2373.77"/>
    <n v="2373.77"/>
    <x v="1"/>
    <s v="2210"/>
    <s v="000"/>
    <x v="5"/>
    <x v="2"/>
  </r>
  <r>
    <d v="2013-03-02T00:00:00"/>
    <s v="017-2220-000"/>
    <s v="Beer Sales"/>
    <n v="490.51929999999999"/>
    <n v="0"/>
    <s v="Daily Sales Import"/>
    <n v="-490.51929999999999"/>
    <n v="490.51929999999999"/>
    <x v="1"/>
    <s v="2220"/>
    <s v="000"/>
    <x v="5"/>
    <x v="2"/>
  </r>
  <r>
    <d v="2013-03-02T00:00:00"/>
    <s v="017-2230-000"/>
    <s v="Wine Sales"/>
    <n v="146.93639999999999"/>
    <n v="0"/>
    <s v="Daily Sales Import"/>
    <n v="-146.93639999999999"/>
    <n v="146.93639999999999"/>
    <x v="1"/>
    <s v="2230"/>
    <s v="000"/>
    <x v="5"/>
    <x v="2"/>
  </r>
  <r>
    <d v="2013-03-03T00:00:00"/>
    <s v="017-2100-000"/>
    <s v="Food Sales"/>
    <n v="5570.1554999999998"/>
    <n v="0"/>
    <s v="Daily Sales Import"/>
    <n v="-5570.1554999999998"/>
    <n v="5570.1554999999998"/>
    <x v="1"/>
    <s v="2100"/>
    <s v="000"/>
    <x v="5"/>
    <x v="2"/>
  </r>
  <r>
    <d v="2013-03-03T00:00:00"/>
    <s v="017-2210-000"/>
    <s v="Liquor Sales"/>
    <n v="931.05320000000006"/>
    <n v="0"/>
    <s v="Daily Sales Import"/>
    <n v="-931.05320000000006"/>
    <n v="931.05320000000006"/>
    <x v="1"/>
    <s v="2210"/>
    <s v="000"/>
    <x v="5"/>
    <x v="2"/>
  </r>
  <r>
    <d v="2013-03-03T00:00:00"/>
    <s v="017-2220-000"/>
    <s v="Beer Sales"/>
    <n v="168.28659999999999"/>
    <n v="0"/>
    <s v="Daily Sales Import"/>
    <n v="-168.28659999999999"/>
    <n v="168.28659999999999"/>
    <x v="1"/>
    <s v="2220"/>
    <s v="000"/>
    <x v="5"/>
    <x v="2"/>
  </r>
  <r>
    <d v="2013-03-03T00:00:00"/>
    <s v="017-2230-000"/>
    <s v="Wine Sales"/>
    <n v="44.460199999999993"/>
    <n v="0"/>
    <s v="Daily Sales Import"/>
    <n v="-44.460199999999993"/>
    <n v="44.460199999999993"/>
    <x v="1"/>
    <s v="2230"/>
    <s v="000"/>
    <x v="5"/>
    <x v="2"/>
  </r>
  <r>
    <d v="2013-02-25T00:00:00"/>
    <s v="018-2100-000"/>
    <s v="Food Sales"/>
    <n v="3480.0970000000002"/>
    <n v="0"/>
    <s v="Daily Sales Import"/>
    <n v="-3480.0970000000002"/>
    <n v="3480.0970000000002"/>
    <x v="2"/>
    <s v="2100"/>
    <s v="000"/>
    <x v="4"/>
    <x v="2"/>
  </r>
  <r>
    <d v="2013-02-25T00:00:00"/>
    <s v="018-2210-000"/>
    <s v="Liquor Sales"/>
    <n v="324.23840000000001"/>
    <n v="0"/>
    <s v="Daily Sales Import"/>
    <n v="-324.23840000000001"/>
    <n v="324.23840000000001"/>
    <x v="2"/>
    <s v="2210"/>
    <s v="000"/>
    <x v="4"/>
    <x v="2"/>
  </r>
  <r>
    <d v="2013-02-25T00:00:00"/>
    <s v="018-2220-000"/>
    <s v="Beer Sales"/>
    <n v="172.6764"/>
    <n v="0"/>
    <s v="Daily Sales Import"/>
    <n v="-172.6764"/>
    <n v="172.6764"/>
    <x v="2"/>
    <s v="2220"/>
    <s v="000"/>
    <x v="4"/>
    <x v="2"/>
  </r>
  <r>
    <d v="2013-02-25T00:00:00"/>
    <s v="018-2230-000"/>
    <s v="Wine Sales"/>
    <n v="64.0428"/>
    <n v="0"/>
    <s v="Daily Sales Import"/>
    <n v="-64.0428"/>
    <n v="64.0428"/>
    <x v="2"/>
    <s v="2230"/>
    <s v="000"/>
    <x v="4"/>
    <x v="2"/>
  </r>
  <r>
    <d v="2013-02-26T00:00:00"/>
    <s v="018-2100-000"/>
    <s v="Food Sales"/>
    <n v="3125.7252000000003"/>
    <n v="0"/>
    <s v="Daily Sales Import"/>
    <n v="-3125.7252000000003"/>
    <n v="3125.7252000000003"/>
    <x v="2"/>
    <s v="2100"/>
    <s v="000"/>
    <x v="4"/>
    <x v="2"/>
  </r>
  <r>
    <d v="2013-02-26T00:00:00"/>
    <s v="018-2210-000"/>
    <s v="Liquor Sales"/>
    <n v="549.36599999999999"/>
    <n v="0"/>
    <s v="Daily Sales Import"/>
    <n v="-549.36599999999999"/>
    <n v="549.36599999999999"/>
    <x v="2"/>
    <s v="2210"/>
    <s v="000"/>
    <x v="4"/>
    <x v="2"/>
  </r>
  <r>
    <d v="2013-02-26T00:00:00"/>
    <s v="018-2220-000"/>
    <s v="Beer Sales"/>
    <n v="83.188000000000002"/>
    <n v="0"/>
    <s v="Daily Sales Import"/>
    <n v="-83.188000000000002"/>
    <n v="83.188000000000002"/>
    <x v="2"/>
    <s v="2220"/>
    <s v="000"/>
    <x v="4"/>
    <x v="2"/>
  </r>
  <r>
    <d v="2013-02-26T00:00:00"/>
    <s v="018-2230-000"/>
    <s v="Wine Sales"/>
    <n v="7.1208000000000009"/>
    <n v="0"/>
    <s v="Daily Sales Import"/>
    <n v="-7.1208000000000009"/>
    <n v="7.1208000000000009"/>
    <x v="2"/>
    <s v="2230"/>
    <s v="000"/>
    <x v="4"/>
    <x v="2"/>
  </r>
  <r>
    <d v="2013-02-27T00:00:00"/>
    <s v="018-2100-000"/>
    <s v="Food Sales"/>
    <n v="4078.3263999999999"/>
    <n v="0"/>
    <s v="Daily Sales Import"/>
    <n v="-4078.3263999999999"/>
    <n v="4078.3263999999999"/>
    <x v="2"/>
    <s v="2100"/>
    <s v="000"/>
    <x v="4"/>
    <x v="2"/>
  </r>
  <r>
    <d v="2013-02-27T00:00:00"/>
    <s v="018-2210-000"/>
    <s v="Liquor Sales"/>
    <n v="594.33990000000006"/>
    <n v="0"/>
    <s v="Daily Sales Import"/>
    <n v="-594.33990000000006"/>
    <n v="594.33990000000006"/>
    <x v="2"/>
    <s v="2210"/>
    <s v="000"/>
    <x v="4"/>
    <x v="2"/>
  </r>
  <r>
    <d v="2013-02-27T00:00:00"/>
    <s v="018-2220-000"/>
    <s v="Beer Sales"/>
    <n v="150.96199999999999"/>
    <n v="0"/>
    <s v="Daily Sales Import"/>
    <n v="-150.96199999999999"/>
    <n v="150.96199999999999"/>
    <x v="2"/>
    <s v="2220"/>
    <s v="000"/>
    <x v="4"/>
    <x v="2"/>
  </r>
  <r>
    <d v="2013-02-28T00:00:00"/>
    <s v="018-2100-000"/>
    <s v="Food Sales"/>
    <n v="4853.8820000000005"/>
    <n v="0"/>
    <s v="Daily Sales Import"/>
    <n v="-4853.8820000000005"/>
    <n v="4853.8820000000005"/>
    <x v="2"/>
    <s v="2100"/>
    <s v="000"/>
    <x v="4"/>
    <x v="2"/>
  </r>
  <r>
    <d v="2013-02-28T00:00:00"/>
    <s v="018-2210-000"/>
    <s v="Liquor Sales"/>
    <n v="857.3664"/>
    <n v="0"/>
    <s v="Daily Sales Import"/>
    <n v="-857.3664"/>
    <n v="857.3664"/>
    <x v="2"/>
    <s v="2210"/>
    <s v="000"/>
    <x v="4"/>
    <x v="2"/>
  </r>
  <r>
    <d v="2013-02-28T00:00:00"/>
    <s v="018-2220-000"/>
    <s v="Beer Sales"/>
    <n v="166.57760000000002"/>
    <n v="0"/>
    <s v="Daily Sales Import"/>
    <n v="-166.57760000000002"/>
    <n v="166.57760000000002"/>
    <x v="2"/>
    <s v="2220"/>
    <s v="000"/>
    <x v="4"/>
    <x v="2"/>
  </r>
  <r>
    <d v="2013-02-28T00:00:00"/>
    <s v="018-2230-000"/>
    <s v="Wine Sales"/>
    <n v="58.136000000000003"/>
    <n v="0"/>
    <s v="Daily Sales Import"/>
    <n v="-58.136000000000003"/>
    <n v="58.136000000000003"/>
    <x v="2"/>
    <s v="2230"/>
    <s v="000"/>
    <x v="4"/>
    <x v="2"/>
  </r>
  <r>
    <d v="2013-03-01T00:00:00"/>
    <s v="018-2100-000"/>
    <s v="Food Sales"/>
    <n v="7297.798499999999"/>
    <n v="0"/>
    <s v="Daily Sales Import"/>
    <n v="-7297.798499999999"/>
    <n v="7297.798499999999"/>
    <x v="2"/>
    <s v="2100"/>
    <s v="000"/>
    <x v="5"/>
    <x v="2"/>
  </r>
  <r>
    <d v="2013-03-01T00:00:00"/>
    <s v="018-2210-000"/>
    <s v="Liquor Sales"/>
    <n v="1917.5573999999999"/>
    <n v="0"/>
    <s v="Daily Sales Import"/>
    <n v="-1917.5573999999999"/>
    <n v="1917.5573999999999"/>
    <x v="2"/>
    <s v="2210"/>
    <s v="000"/>
    <x v="5"/>
    <x v="2"/>
  </r>
  <r>
    <d v="2013-03-01T00:00:00"/>
    <s v="018-2220-000"/>
    <s v="Beer Sales"/>
    <n v="721.49649999999997"/>
    <n v="0"/>
    <s v="Daily Sales Import"/>
    <n v="-721.49649999999997"/>
    <n v="721.49649999999997"/>
    <x v="2"/>
    <s v="2220"/>
    <s v="000"/>
    <x v="5"/>
    <x v="2"/>
  </r>
  <r>
    <d v="2013-03-01T00:00:00"/>
    <s v="018-2230-000"/>
    <s v="Wine Sales"/>
    <n v="154.03560000000002"/>
    <n v="0"/>
    <s v="Daily Sales Import"/>
    <n v="-154.03560000000002"/>
    <n v="154.03560000000002"/>
    <x v="2"/>
    <s v="2230"/>
    <s v="000"/>
    <x v="5"/>
    <x v="2"/>
  </r>
  <r>
    <d v="2013-03-02T00:00:00"/>
    <s v="018-2100-000"/>
    <s v="Food Sales"/>
    <n v="16838.5448"/>
    <n v="0"/>
    <s v="Daily Sales Import"/>
    <n v="-16838.5448"/>
    <n v="16838.5448"/>
    <x v="2"/>
    <s v="2100"/>
    <s v="000"/>
    <x v="5"/>
    <x v="2"/>
  </r>
  <r>
    <d v="2013-03-02T00:00:00"/>
    <s v="018-2210-000"/>
    <s v="Liquor Sales"/>
    <n v="2593.7308000000003"/>
    <n v="0"/>
    <s v="Daily Sales Import"/>
    <n v="-2593.7308000000003"/>
    <n v="2593.7308000000003"/>
    <x v="2"/>
    <s v="2210"/>
    <s v="000"/>
    <x v="5"/>
    <x v="2"/>
  </r>
  <r>
    <d v="2013-03-02T00:00:00"/>
    <s v="018-2220-000"/>
    <s v="Beer Sales"/>
    <n v="800.50400000000002"/>
    <n v="0"/>
    <s v="Daily Sales Import"/>
    <n v="-800.50400000000002"/>
    <n v="800.50400000000002"/>
    <x v="2"/>
    <s v="2220"/>
    <s v="000"/>
    <x v="5"/>
    <x v="2"/>
  </r>
  <r>
    <d v="2013-03-02T00:00:00"/>
    <s v="018-2230-000"/>
    <s v="Wine Sales"/>
    <n v="142.88029999999998"/>
    <n v="0"/>
    <s v="Daily Sales Import"/>
    <n v="-142.88029999999998"/>
    <n v="142.88029999999998"/>
    <x v="2"/>
    <s v="2230"/>
    <s v="000"/>
    <x v="5"/>
    <x v="2"/>
  </r>
  <r>
    <d v="2013-03-03T00:00:00"/>
    <s v="018-2100-000"/>
    <s v="Food Sales"/>
    <n v="12406.919"/>
    <n v="0"/>
    <s v="Daily Sales Import"/>
    <n v="-12406.919"/>
    <n v="12406.919"/>
    <x v="2"/>
    <s v="2100"/>
    <s v="000"/>
    <x v="5"/>
    <x v="2"/>
  </r>
  <r>
    <d v="2013-03-03T00:00:00"/>
    <s v="018-2210-000"/>
    <s v="Liquor Sales"/>
    <n v="1680"/>
    <n v="0"/>
    <s v="Daily Sales Import"/>
    <n v="-1680"/>
    <n v="1680"/>
    <x v="2"/>
    <s v="2210"/>
    <s v="000"/>
    <x v="5"/>
    <x v="2"/>
  </r>
  <r>
    <d v="2013-03-03T00:00:00"/>
    <s v="018-2220-000"/>
    <s v="Beer Sales"/>
    <n v="400.96800000000002"/>
    <n v="0"/>
    <s v="Daily Sales Import"/>
    <n v="-400.96800000000002"/>
    <n v="400.96800000000002"/>
    <x v="2"/>
    <s v="2220"/>
    <s v="000"/>
    <x v="5"/>
    <x v="2"/>
  </r>
  <r>
    <d v="2013-03-03T00:00:00"/>
    <s v="018-2230-000"/>
    <s v="Wine Sales"/>
    <n v="38.641500000000001"/>
    <n v="0"/>
    <s v="Daily Sales Import"/>
    <n v="-38.641500000000001"/>
    <n v="38.641500000000001"/>
    <x v="2"/>
    <s v="2230"/>
    <s v="000"/>
    <x v="5"/>
    <x v="2"/>
  </r>
  <r>
    <d v="2013-03-04T00:00:00"/>
    <s v="016-2100-000"/>
    <s v="Food Sales"/>
    <n v="3761.9754000000003"/>
    <n v="0"/>
    <s v="Daily Sales Import"/>
    <n v="-3761.9754000000003"/>
    <n v="3761.9754000000003"/>
    <x v="0"/>
    <s v="2100"/>
    <s v="000"/>
    <x v="5"/>
    <x v="2"/>
  </r>
  <r>
    <d v="2013-03-04T00:00:00"/>
    <s v="016-2210-000"/>
    <s v="Liquor Sales"/>
    <n v="1058.5564999999999"/>
    <n v="0"/>
    <s v="Daily Sales Import"/>
    <n v="-1058.5564999999999"/>
    <n v="1058.5564999999999"/>
    <x v="0"/>
    <s v="2210"/>
    <s v="000"/>
    <x v="5"/>
    <x v="2"/>
  </r>
  <r>
    <d v="2013-03-04T00:00:00"/>
    <s v="016-2220-000"/>
    <s v="Beer Sales"/>
    <n v="90.740999999999985"/>
    <n v="0"/>
    <s v="Daily Sales Import"/>
    <n v="-90.740999999999985"/>
    <n v="90.740999999999985"/>
    <x v="0"/>
    <s v="2220"/>
    <s v="000"/>
    <x v="5"/>
    <x v="2"/>
  </r>
  <r>
    <d v="2013-03-04T00:00:00"/>
    <s v="016-2230-000"/>
    <s v="Wine Sales"/>
    <n v="91.245000000000005"/>
    <n v="0"/>
    <s v="Daily Sales Import"/>
    <n v="-91.245000000000005"/>
    <n v="91.245000000000005"/>
    <x v="0"/>
    <s v="2230"/>
    <s v="000"/>
    <x v="5"/>
    <x v="2"/>
  </r>
  <r>
    <d v="2013-03-05T00:00:00"/>
    <s v="016-2100-000"/>
    <s v="Food Sales"/>
    <n v="7241.4395999999997"/>
    <n v="0"/>
    <s v="Daily Sales Import"/>
    <n v="-7241.4395999999997"/>
    <n v="7241.4395999999997"/>
    <x v="0"/>
    <s v="2100"/>
    <s v="000"/>
    <x v="5"/>
    <x v="2"/>
  </r>
  <r>
    <d v="2013-03-05T00:00:00"/>
    <s v="016-2210-000"/>
    <s v="Liquor Sales"/>
    <n v="1845.7745999999997"/>
    <n v="0"/>
    <s v="Daily Sales Import"/>
    <n v="-1845.7745999999997"/>
    <n v="1845.7745999999997"/>
    <x v="0"/>
    <s v="2210"/>
    <s v="000"/>
    <x v="5"/>
    <x v="2"/>
  </r>
  <r>
    <d v="2013-03-05T00:00:00"/>
    <s v="016-2220-000"/>
    <s v="Beer Sales"/>
    <n v="883.44960000000003"/>
    <n v="0"/>
    <s v="Daily Sales Import"/>
    <n v="-883.44960000000003"/>
    <n v="883.44960000000003"/>
    <x v="0"/>
    <s v="2220"/>
    <s v="000"/>
    <x v="5"/>
    <x v="2"/>
  </r>
  <r>
    <d v="2013-03-05T00:00:00"/>
    <s v="016-2230-000"/>
    <s v="Wine Sales"/>
    <n v="151.1994"/>
    <n v="0"/>
    <s v="Daily Sales Import"/>
    <n v="-151.1994"/>
    <n v="151.1994"/>
    <x v="0"/>
    <s v="2230"/>
    <s v="000"/>
    <x v="5"/>
    <x v="2"/>
  </r>
  <r>
    <d v="2013-03-06T00:00:00"/>
    <s v="016-2100-000"/>
    <s v="Food Sales"/>
    <n v="3202.4304000000002"/>
    <n v="0"/>
    <s v="Daily Sales Import"/>
    <n v="-3202.4304000000002"/>
    <n v="3202.4304000000002"/>
    <x v="0"/>
    <s v="2100"/>
    <s v="000"/>
    <x v="5"/>
    <x v="2"/>
  </r>
  <r>
    <d v="2013-03-06T00:00:00"/>
    <s v="016-2210-000"/>
    <s v="Liquor Sales"/>
    <n v="745.40800000000002"/>
    <n v="0"/>
    <s v="Daily Sales Import"/>
    <n v="-745.40800000000002"/>
    <n v="745.40800000000002"/>
    <x v="0"/>
    <s v="2210"/>
    <s v="000"/>
    <x v="5"/>
    <x v="2"/>
  </r>
  <r>
    <d v="2013-03-06T00:00:00"/>
    <s v="016-2220-000"/>
    <s v="Beer Sales"/>
    <n v="108.49299999999999"/>
    <n v="0"/>
    <s v="Daily Sales Import"/>
    <n v="-108.49299999999999"/>
    <n v="108.49299999999999"/>
    <x v="0"/>
    <s v="2220"/>
    <s v="000"/>
    <x v="5"/>
    <x v="2"/>
  </r>
  <r>
    <d v="2013-03-06T00:00:00"/>
    <s v="016-2230-000"/>
    <s v="Wine Sales"/>
    <n v="106.6656"/>
    <n v="0"/>
    <s v="Daily Sales Import"/>
    <n v="-106.6656"/>
    <n v="106.6656"/>
    <x v="0"/>
    <s v="2230"/>
    <s v="000"/>
    <x v="5"/>
    <x v="2"/>
  </r>
  <r>
    <d v="2013-03-07T00:00:00"/>
    <s v="016-2100-000"/>
    <s v="Food Sales"/>
    <n v="5136.1032000000005"/>
    <n v="0"/>
    <s v="Daily Sales Import"/>
    <n v="-5136.1032000000005"/>
    <n v="5136.1032000000005"/>
    <x v="0"/>
    <s v="2100"/>
    <s v="000"/>
    <x v="5"/>
    <x v="2"/>
  </r>
  <r>
    <d v="2013-03-07T00:00:00"/>
    <s v="016-2210-000"/>
    <s v="Liquor Sales"/>
    <n v="1245.0239999999999"/>
    <n v="0"/>
    <s v="Daily Sales Import"/>
    <n v="-1245.0239999999999"/>
    <n v="1245.0239999999999"/>
    <x v="0"/>
    <s v="2210"/>
    <s v="000"/>
    <x v="5"/>
    <x v="2"/>
  </r>
  <r>
    <d v="2013-03-07T00:00:00"/>
    <s v="016-2220-000"/>
    <s v="Beer Sales"/>
    <n v="298.93799999999999"/>
    <n v="0"/>
    <s v="Daily Sales Import"/>
    <n v="-298.93799999999999"/>
    <n v="298.93799999999999"/>
    <x v="0"/>
    <s v="2220"/>
    <s v="000"/>
    <x v="5"/>
    <x v="2"/>
  </r>
  <r>
    <d v="2013-03-07T00:00:00"/>
    <s v="016-2230-000"/>
    <s v="Wine Sales"/>
    <n v="217.72800000000001"/>
    <n v="0"/>
    <s v="Daily Sales Import"/>
    <n v="-217.72800000000001"/>
    <n v="217.72800000000001"/>
    <x v="0"/>
    <s v="2230"/>
    <s v="000"/>
    <x v="5"/>
    <x v="2"/>
  </r>
  <r>
    <d v="2013-03-08T00:00:00"/>
    <s v="016-2100-000"/>
    <s v="Food Sales"/>
    <n v="8687.4120000000003"/>
    <n v="0"/>
    <s v="Daily Sales Import"/>
    <n v="-8687.4120000000003"/>
    <n v="8687.4120000000003"/>
    <x v="0"/>
    <s v="2100"/>
    <s v="000"/>
    <x v="5"/>
    <x v="2"/>
  </r>
  <r>
    <d v="2013-03-08T00:00:00"/>
    <s v="016-2210-000"/>
    <s v="Liquor Sales"/>
    <n v="2247.4407999999999"/>
    <n v="0"/>
    <s v="Daily Sales Import"/>
    <n v="-2247.4407999999999"/>
    <n v="2247.4407999999999"/>
    <x v="0"/>
    <s v="2210"/>
    <s v="000"/>
    <x v="5"/>
    <x v="2"/>
  </r>
  <r>
    <d v="2013-03-08T00:00:00"/>
    <s v="016-2220-000"/>
    <s v="Beer Sales"/>
    <n v="299.62240000000003"/>
    <n v="0"/>
    <s v="Daily Sales Import"/>
    <n v="-299.62240000000003"/>
    <n v="299.62240000000003"/>
    <x v="0"/>
    <s v="2220"/>
    <s v="000"/>
    <x v="5"/>
    <x v="2"/>
  </r>
  <r>
    <d v="2013-03-08T00:00:00"/>
    <s v="016-2230-000"/>
    <s v="Wine Sales"/>
    <n v="416.214"/>
    <n v="0"/>
    <s v="Daily Sales Import"/>
    <n v="-416.214"/>
    <n v="416.214"/>
    <x v="0"/>
    <s v="2230"/>
    <s v="000"/>
    <x v="5"/>
    <x v="2"/>
  </r>
  <r>
    <d v="2013-03-09T00:00:00"/>
    <s v="016-2100-000"/>
    <s v="Food Sales"/>
    <n v="8518.2559000000001"/>
    <n v="0"/>
    <s v="Daily Sales Import"/>
    <n v="-8518.2559000000001"/>
    <n v="8518.2559000000001"/>
    <x v="0"/>
    <s v="2100"/>
    <s v="000"/>
    <x v="5"/>
    <x v="2"/>
  </r>
  <r>
    <d v="2013-03-09T00:00:00"/>
    <s v="016-2210-000"/>
    <s v="Liquor Sales"/>
    <n v="2121.4570000000003"/>
    <n v="0"/>
    <s v="Daily Sales Import"/>
    <n v="-2121.4570000000003"/>
    <n v="2121.4570000000003"/>
    <x v="0"/>
    <s v="2210"/>
    <s v="000"/>
    <x v="5"/>
    <x v="2"/>
  </r>
  <r>
    <d v="2013-03-09T00:00:00"/>
    <s v="016-2220-000"/>
    <s v="Beer Sales"/>
    <n v="250.51400000000004"/>
    <n v="0"/>
    <s v="Daily Sales Import"/>
    <n v="-250.51400000000004"/>
    <n v="250.51400000000004"/>
    <x v="0"/>
    <s v="2220"/>
    <s v="000"/>
    <x v="5"/>
    <x v="2"/>
  </r>
  <r>
    <d v="2013-03-09T00:00:00"/>
    <s v="016-2230-000"/>
    <s v="Wine Sales"/>
    <n v="245.36820000000003"/>
    <n v="0"/>
    <s v="Daily Sales Import"/>
    <n v="-245.36820000000003"/>
    <n v="245.36820000000003"/>
    <x v="0"/>
    <s v="2230"/>
    <s v="000"/>
    <x v="5"/>
    <x v="2"/>
  </r>
  <r>
    <d v="2013-03-10T00:00:00"/>
    <s v="016-2100-000"/>
    <s v="Food Sales"/>
    <n v="5160.4336000000003"/>
    <n v="0"/>
    <s v="Daily Sales Import"/>
    <n v="-5160.4336000000003"/>
    <n v="5160.4336000000003"/>
    <x v="0"/>
    <s v="2100"/>
    <s v="000"/>
    <x v="5"/>
    <x v="2"/>
  </r>
  <r>
    <d v="2013-03-10T00:00:00"/>
    <s v="016-2210-000"/>
    <s v="Liquor Sales"/>
    <n v="1225.8746000000001"/>
    <n v="0"/>
    <s v="Daily Sales Import"/>
    <n v="-1225.8746000000001"/>
    <n v="1225.8746000000001"/>
    <x v="0"/>
    <s v="2210"/>
    <s v="000"/>
    <x v="5"/>
    <x v="2"/>
  </r>
  <r>
    <d v="2013-03-10T00:00:00"/>
    <s v="016-2220-000"/>
    <s v="Beer Sales"/>
    <n v="249.10709999999997"/>
    <n v="0"/>
    <s v="Daily Sales Import"/>
    <n v="-249.10709999999997"/>
    <n v="249.10709999999997"/>
    <x v="0"/>
    <s v="2220"/>
    <s v="000"/>
    <x v="5"/>
    <x v="2"/>
  </r>
  <r>
    <d v="2013-03-10T00:00:00"/>
    <s v="016-2230-000"/>
    <s v="Wine Sales"/>
    <n v="123.08579999999999"/>
    <n v="0"/>
    <s v="Daily Sales Import"/>
    <n v="-123.08579999999999"/>
    <n v="123.08579999999999"/>
    <x v="0"/>
    <s v="2230"/>
    <s v="000"/>
    <x v="5"/>
    <x v="2"/>
  </r>
  <r>
    <d v="2013-03-04T00:00:00"/>
    <s v="017-2100-000"/>
    <s v="Food Sales"/>
    <n v="3952.2968999999998"/>
    <n v="0"/>
    <s v="Daily Sales Import"/>
    <n v="-3952.2968999999998"/>
    <n v="3952.2968999999998"/>
    <x v="1"/>
    <s v="2100"/>
    <s v="000"/>
    <x v="5"/>
    <x v="2"/>
  </r>
  <r>
    <d v="2013-03-04T00:00:00"/>
    <s v="017-2210-000"/>
    <s v="Liquor Sales"/>
    <n v="946.38259999999991"/>
    <n v="0"/>
    <s v="Daily Sales Import"/>
    <n v="-946.38259999999991"/>
    <n v="946.38259999999991"/>
    <x v="1"/>
    <s v="2210"/>
    <s v="000"/>
    <x v="5"/>
    <x v="2"/>
  </r>
  <r>
    <d v="2013-03-04T00:00:00"/>
    <s v="017-2220-000"/>
    <s v="Beer Sales"/>
    <n v="163.965"/>
    <n v="0"/>
    <s v="Daily Sales Import"/>
    <n v="-163.965"/>
    <n v="163.965"/>
    <x v="1"/>
    <s v="2220"/>
    <s v="000"/>
    <x v="5"/>
    <x v="2"/>
  </r>
  <r>
    <d v="2013-03-04T00:00:00"/>
    <s v="017-2230-000"/>
    <s v="Wine Sales"/>
    <n v="13.4232"/>
    <n v="0"/>
    <s v="Daily Sales Import"/>
    <n v="-13.4232"/>
    <n v="13.4232"/>
    <x v="1"/>
    <s v="2230"/>
    <s v="000"/>
    <x v="5"/>
    <x v="2"/>
  </r>
  <r>
    <d v="2013-03-05T00:00:00"/>
    <s v="017-2100-000"/>
    <s v="Food Sales"/>
    <n v="5311.5021999999999"/>
    <n v="0"/>
    <s v="Daily Sales Import"/>
    <n v="-5311.5021999999999"/>
    <n v="5311.5021999999999"/>
    <x v="1"/>
    <s v="2100"/>
    <s v="000"/>
    <x v="5"/>
    <x v="2"/>
  </r>
  <r>
    <d v="2013-03-05T00:00:00"/>
    <s v="017-2210-000"/>
    <s v="Liquor Sales"/>
    <n v="1084.8388"/>
    <n v="0"/>
    <s v="Daily Sales Import"/>
    <n v="-1084.8388"/>
    <n v="1084.8388"/>
    <x v="1"/>
    <s v="2210"/>
    <s v="000"/>
    <x v="5"/>
    <x v="2"/>
  </r>
  <r>
    <d v="2013-03-05T00:00:00"/>
    <s v="017-2220-000"/>
    <s v="Beer Sales"/>
    <n v="299.75760000000002"/>
    <n v="0"/>
    <s v="Daily Sales Import"/>
    <n v="-299.75760000000002"/>
    <n v="299.75760000000002"/>
    <x v="1"/>
    <s v="2220"/>
    <s v="000"/>
    <x v="5"/>
    <x v="2"/>
  </r>
  <r>
    <d v="2013-03-05T00:00:00"/>
    <s v="017-2230-000"/>
    <s v="Wine Sales"/>
    <n v="51.529500000000006"/>
    <n v="0"/>
    <s v="Daily Sales Import"/>
    <n v="-51.529500000000006"/>
    <n v="51.529500000000006"/>
    <x v="1"/>
    <s v="2230"/>
    <s v="000"/>
    <x v="5"/>
    <x v="2"/>
  </r>
  <r>
    <d v="2013-03-06T00:00:00"/>
    <s v="017-2100-000"/>
    <s v="Food Sales"/>
    <n v="4795.6986000000006"/>
    <n v="0"/>
    <s v="Daily Sales Import"/>
    <n v="-4795.6986000000006"/>
    <n v="4795.6986000000006"/>
    <x v="1"/>
    <s v="2100"/>
    <s v="000"/>
    <x v="5"/>
    <x v="2"/>
  </r>
  <r>
    <d v="2013-03-06T00:00:00"/>
    <s v="017-2210-000"/>
    <s v="Liquor Sales"/>
    <n v="1164.4932000000001"/>
    <n v="0"/>
    <s v="Daily Sales Import"/>
    <n v="-1164.4932000000001"/>
    <n v="1164.4932000000001"/>
    <x v="1"/>
    <s v="2210"/>
    <s v="000"/>
    <x v="5"/>
    <x v="2"/>
  </r>
  <r>
    <d v="2013-03-06T00:00:00"/>
    <s v="017-2220-000"/>
    <s v="Beer Sales"/>
    <n v="301.40880000000004"/>
    <n v="0"/>
    <s v="Daily Sales Import"/>
    <n v="-301.40880000000004"/>
    <n v="301.40880000000004"/>
    <x v="1"/>
    <s v="2220"/>
    <s v="000"/>
    <x v="5"/>
    <x v="2"/>
  </r>
  <r>
    <d v="2013-03-06T00:00:00"/>
    <s v="017-2230-000"/>
    <s v="Wine Sales"/>
    <n v="87.121999999999986"/>
    <n v="0"/>
    <s v="Daily Sales Import"/>
    <n v="-87.121999999999986"/>
    <n v="87.121999999999986"/>
    <x v="1"/>
    <s v="2230"/>
    <s v="000"/>
    <x v="5"/>
    <x v="2"/>
  </r>
  <r>
    <d v="2013-03-07T00:00:00"/>
    <s v="017-2100-000"/>
    <s v="Food Sales"/>
    <n v="4175.22"/>
    <n v="0"/>
    <s v="Daily Sales Import"/>
    <n v="-4175.22"/>
    <n v="4175.22"/>
    <x v="1"/>
    <s v="2100"/>
    <s v="000"/>
    <x v="5"/>
    <x v="2"/>
  </r>
  <r>
    <d v="2013-03-07T00:00:00"/>
    <s v="017-2210-000"/>
    <s v="Liquor Sales"/>
    <n v="1236.5584000000001"/>
    <n v="0"/>
    <s v="Daily Sales Import"/>
    <n v="-1236.5584000000001"/>
    <n v="1236.5584000000001"/>
    <x v="1"/>
    <s v="2210"/>
    <s v="000"/>
    <x v="5"/>
    <x v="2"/>
  </r>
  <r>
    <d v="2013-03-07T00:00:00"/>
    <s v="017-2220-000"/>
    <s v="Beer Sales"/>
    <n v="465.35999999999996"/>
    <n v="0"/>
    <s v="Daily Sales Import"/>
    <n v="-465.35999999999996"/>
    <n v="465.35999999999996"/>
    <x v="1"/>
    <s v="2220"/>
    <s v="000"/>
    <x v="5"/>
    <x v="2"/>
  </r>
  <r>
    <d v="2013-03-07T00:00:00"/>
    <s v="017-2230-000"/>
    <s v="Wine Sales"/>
    <n v="119.92330000000001"/>
    <n v="0"/>
    <s v="Daily Sales Import"/>
    <n v="-119.92330000000001"/>
    <n v="119.92330000000001"/>
    <x v="1"/>
    <s v="2230"/>
    <s v="000"/>
    <x v="5"/>
    <x v="2"/>
  </r>
  <r>
    <d v="2013-03-08T00:00:00"/>
    <s v="017-2100-000"/>
    <s v="Food Sales"/>
    <n v="8202.9791999999998"/>
    <n v="0"/>
    <s v="Daily Sales Import"/>
    <n v="-8202.9791999999998"/>
    <n v="8202.9791999999998"/>
    <x v="1"/>
    <s v="2100"/>
    <s v="000"/>
    <x v="5"/>
    <x v="2"/>
  </r>
  <r>
    <d v="2013-03-08T00:00:00"/>
    <s v="017-2210-000"/>
    <s v="Liquor Sales"/>
    <n v="2834.9189999999999"/>
    <n v="0"/>
    <s v="Daily Sales Import"/>
    <n v="-2834.9189999999999"/>
    <n v="2834.9189999999999"/>
    <x v="1"/>
    <s v="2210"/>
    <s v="000"/>
    <x v="5"/>
    <x v="2"/>
  </r>
  <r>
    <d v="2013-03-08T00:00:00"/>
    <s v="017-2220-000"/>
    <s v="Beer Sales"/>
    <n v="427.3974"/>
    <n v="0"/>
    <s v="Daily Sales Import"/>
    <n v="-427.3974"/>
    <n v="427.3974"/>
    <x v="1"/>
    <s v="2220"/>
    <s v="000"/>
    <x v="5"/>
    <x v="2"/>
  </r>
  <r>
    <d v="2013-03-08T00:00:00"/>
    <s v="017-2230-000"/>
    <s v="Wine Sales"/>
    <n v="84.677999999999997"/>
    <n v="0"/>
    <s v="Daily Sales Import"/>
    <n v="-84.677999999999997"/>
    <n v="84.677999999999997"/>
    <x v="1"/>
    <s v="2230"/>
    <s v="000"/>
    <x v="5"/>
    <x v="2"/>
  </r>
  <r>
    <d v="2013-03-09T00:00:00"/>
    <s v="017-2100-000"/>
    <s v="Food Sales"/>
    <n v="5975.0824000000011"/>
    <n v="0"/>
    <s v="Daily Sales Import"/>
    <n v="-5975.0824000000011"/>
    <n v="5975.0824000000011"/>
    <x v="1"/>
    <s v="2100"/>
    <s v="000"/>
    <x v="5"/>
    <x v="2"/>
  </r>
  <r>
    <d v="2013-03-09T00:00:00"/>
    <s v="017-2210-000"/>
    <s v="Liquor Sales"/>
    <n v="1590.5670000000002"/>
    <n v="0"/>
    <s v="Daily Sales Import"/>
    <n v="-1590.5670000000002"/>
    <n v="1590.5670000000002"/>
    <x v="1"/>
    <s v="2210"/>
    <s v="000"/>
    <x v="5"/>
    <x v="2"/>
  </r>
  <r>
    <d v="2013-03-09T00:00:00"/>
    <s v="017-2220-000"/>
    <s v="Beer Sales"/>
    <n v="445.08750000000003"/>
    <n v="0"/>
    <s v="Daily Sales Import"/>
    <n v="-445.08750000000003"/>
    <n v="445.08750000000003"/>
    <x v="1"/>
    <s v="2220"/>
    <s v="000"/>
    <x v="5"/>
    <x v="2"/>
  </r>
  <r>
    <d v="2013-03-09T00:00:00"/>
    <s v="017-2230-000"/>
    <s v="Wine Sales"/>
    <n v="124.47819999999999"/>
    <n v="0"/>
    <s v="Daily Sales Import"/>
    <n v="-124.47819999999999"/>
    <n v="124.47819999999999"/>
    <x v="1"/>
    <s v="2230"/>
    <s v="000"/>
    <x v="5"/>
    <x v="2"/>
  </r>
  <r>
    <d v="2013-03-10T00:00:00"/>
    <s v="017-2100-000"/>
    <s v="Food Sales"/>
    <n v="6941.3526000000002"/>
    <n v="0"/>
    <s v="Daily Sales Import"/>
    <n v="-6941.3526000000002"/>
    <n v="6941.3526000000002"/>
    <x v="1"/>
    <s v="2100"/>
    <s v="000"/>
    <x v="5"/>
    <x v="2"/>
  </r>
  <r>
    <d v="2013-03-10T00:00:00"/>
    <s v="017-2210-000"/>
    <s v="Liquor Sales"/>
    <n v="716.30900000000008"/>
    <n v="0"/>
    <s v="Daily Sales Import"/>
    <n v="-716.30900000000008"/>
    <n v="716.30900000000008"/>
    <x v="1"/>
    <s v="2210"/>
    <s v="000"/>
    <x v="5"/>
    <x v="2"/>
  </r>
  <r>
    <d v="2013-03-10T00:00:00"/>
    <s v="017-2220-000"/>
    <s v="Beer Sales"/>
    <n v="227.77689999999998"/>
    <n v="0"/>
    <s v="Daily Sales Import"/>
    <n v="-227.77689999999998"/>
    <n v="227.77689999999998"/>
    <x v="1"/>
    <s v="2220"/>
    <s v="000"/>
    <x v="5"/>
    <x v="2"/>
  </r>
  <r>
    <d v="2013-03-10T00:00:00"/>
    <s v="017-2230-000"/>
    <s v="Wine Sales"/>
    <n v="45.656800000000004"/>
    <n v="0"/>
    <s v="Daily Sales Import"/>
    <n v="-45.656800000000004"/>
    <n v="45.656800000000004"/>
    <x v="1"/>
    <s v="2230"/>
    <s v="000"/>
    <x v="5"/>
    <x v="2"/>
  </r>
  <r>
    <d v="2013-03-04T00:00:00"/>
    <s v="018-2100-000"/>
    <s v="Food Sales"/>
    <n v="4358.6868000000004"/>
    <n v="0"/>
    <s v="Daily Sales Import"/>
    <n v="-4358.6868000000004"/>
    <n v="4358.6868000000004"/>
    <x v="2"/>
    <s v="2100"/>
    <s v="000"/>
    <x v="5"/>
    <x v="2"/>
  </r>
  <r>
    <d v="2013-03-04T00:00:00"/>
    <s v="018-2210-000"/>
    <s v="Liquor Sales"/>
    <n v="352.14480000000003"/>
    <n v="0"/>
    <s v="Daily Sales Import"/>
    <n v="-352.14480000000003"/>
    <n v="352.14480000000003"/>
    <x v="2"/>
    <s v="2210"/>
    <s v="000"/>
    <x v="5"/>
    <x v="2"/>
  </r>
  <r>
    <d v="2013-03-04T00:00:00"/>
    <s v="018-2220-000"/>
    <s v="Beer Sales"/>
    <n v="79.632000000000005"/>
    <n v="0"/>
    <s v="Daily Sales Import"/>
    <n v="-79.632000000000005"/>
    <n v="79.632000000000005"/>
    <x v="2"/>
    <s v="2220"/>
    <s v="000"/>
    <x v="5"/>
    <x v="2"/>
  </r>
  <r>
    <d v="2013-03-04T00:00:00"/>
    <s v="018-2230-000"/>
    <s v="Wine Sales"/>
    <n v="65.0244"/>
    <n v="0"/>
    <s v="Daily Sales Import"/>
    <n v="-65.0244"/>
    <n v="65.0244"/>
    <x v="2"/>
    <s v="2230"/>
    <s v="000"/>
    <x v="5"/>
    <x v="2"/>
  </r>
  <r>
    <d v="2013-03-05T00:00:00"/>
    <s v="018-2100-000"/>
    <s v="Food Sales"/>
    <n v="5036.8242"/>
    <n v="0"/>
    <s v="Daily Sales Import"/>
    <n v="-5036.8242"/>
    <n v="5036.8242"/>
    <x v="2"/>
    <s v="2100"/>
    <s v="000"/>
    <x v="5"/>
    <x v="2"/>
  </r>
  <r>
    <d v="2013-03-05T00:00:00"/>
    <s v="018-2210-000"/>
    <s v="Liquor Sales"/>
    <n v="616.58209999999997"/>
    <n v="0"/>
    <s v="Daily Sales Import"/>
    <n v="-616.58209999999997"/>
    <n v="616.58209999999997"/>
    <x v="2"/>
    <s v="2210"/>
    <s v="000"/>
    <x v="5"/>
    <x v="2"/>
  </r>
  <r>
    <d v="2013-03-05T00:00:00"/>
    <s v="018-2220-000"/>
    <s v="Beer Sales"/>
    <n v="237.04890000000003"/>
    <n v="0"/>
    <s v="Daily Sales Import"/>
    <n v="-237.04890000000003"/>
    <n v="237.04890000000003"/>
    <x v="2"/>
    <s v="2220"/>
    <s v="000"/>
    <x v="5"/>
    <x v="2"/>
  </r>
  <r>
    <d v="2013-03-05T00:00:00"/>
    <s v="018-2230-000"/>
    <s v="Wine Sales"/>
    <n v="29.729699999999998"/>
    <n v="0"/>
    <s v="Daily Sales Import"/>
    <n v="-29.729699999999998"/>
    <n v="29.729699999999998"/>
    <x v="2"/>
    <s v="2230"/>
    <s v="000"/>
    <x v="5"/>
    <x v="2"/>
  </r>
  <r>
    <d v="2013-03-06T00:00:00"/>
    <s v="018-2100-000"/>
    <s v="Food Sales"/>
    <n v="4679.2514000000001"/>
    <n v="0"/>
    <s v="Daily Sales Import"/>
    <n v="-4679.2514000000001"/>
    <n v="4679.2514000000001"/>
    <x v="2"/>
    <s v="2100"/>
    <s v="000"/>
    <x v="5"/>
    <x v="2"/>
  </r>
  <r>
    <d v="2013-03-06T00:00:00"/>
    <s v="018-2210-000"/>
    <s v="Liquor Sales"/>
    <n v="1290.0463"/>
    <n v="0"/>
    <s v="Daily Sales Import"/>
    <n v="-1290.0463"/>
    <n v="1290.0463"/>
    <x v="2"/>
    <s v="2210"/>
    <s v="000"/>
    <x v="5"/>
    <x v="2"/>
  </r>
  <r>
    <d v="2013-03-06T00:00:00"/>
    <s v="018-2220-000"/>
    <s v="Beer Sales"/>
    <n v="371.71680000000003"/>
    <n v="0"/>
    <s v="Daily Sales Import"/>
    <n v="-371.71680000000003"/>
    <n v="371.71680000000003"/>
    <x v="2"/>
    <s v="2220"/>
    <s v="000"/>
    <x v="5"/>
    <x v="2"/>
  </r>
  <r>
    <d v="2013-03-06T00:00:00"/>
    <s v="018-2230-000"/>
    <s v="Wine Sales"/>
    <n v="80.016599999999997"/>
    <n v="0"/>
    <s v="Daily Sales Import"/>
    <n v="-80.016599999999997"/>
    <n v="80.016599999999997"/>
    <x v="2"/>
    <s v="2230"/>
    <s v="000"/>
    <x v="5"/>
    <x v="2"/>
  </r>
  <r>
    <d v="2013-03-07T00:00:00"/>
    <s v="018-2100-000"/>
    <s v="Food Sales"/>
    <n v="3149.7424000000001"/>
    <n v="0"/>
    <s v="Daily Sales Import"/>
    <n v="-3149.7424000000001"/>
    <n v="3149.7424000000001"/>
    <x v="2"/>
    <s v="2100"/>
    <s v="000"/>
    <x v="5"/>
    <x v="2"/>
  </r>
  <r>
    <d v="2013-03-07T00:00:00"/>
    <s v="018-2210-000"/>
    <s v="Liquor Sales"/>
    <n v="1031.4624999999999"/>
    <n v="0"/>
    <s v="Daily Sales Import"/>
    <n v="-1031.4624999999999"/>
    <n v="1031.4624999999999"/>
    <x v="2"/>
    <s v="2210"/>
    <s v="000"/>
    <x v="5"/>
    <x v="2"/>
  </r>
  <r>
    <d v="2013-03-07T00:00:00"/>
    <s v="018-2220-000"/>
    <s v="Beer Sales"/>
    <n v="198.08250000000001"/>
    <n v="0"/>
    <s v="Daily Sales Import"/>
    <n v="-198.08250000000001"/>
    <n v="198.08250000000001"/>
    <x v="2"/>
    <s v="2220"/>
    <s v="000"/>
    <x v="5"/>
    <x v="2"/>
  </r>
  <r>
    <d v="2013-03-07T00:00:00"/>
    <s v="018-2230-000"/>
    <s v="Wine Sales"/>
    <n v="13.999700000000001"/>
    <n v="0"/>
    <s v="Daily Sales Import"/>
    <n v="-13.999700000000001"/>
    <n v="13.999700000000001"/>
    <x v="2"/>
    <s v="2230"/>
    <s v="000"/>
    <x v="5"/>
    <x v="2"/>
  </r>
  <r>
    <d v="2013-03-08T00:00:00"/>
    <s v="018-2100-000"/>
    <s v="Food Sales"/>
    <n v="11495.2747"/>
    <n v="0"/>
    <s v="Daily Sales Import"/>
    <n v="-11495.2747"/>
    <n v="11495.2747"/>
    <x v="2"/>
    <s v="2100"/>
    <s v="000"/>
    <x v="5"/>
    <x v="2"/>
  </r>
  <r>
    <d v="2013-03-08T00:00:00"/>
    <s v="018-2210-000"/>
    <s v="Liquor Sales"/>
    <n v="3552.5442000000003"/>
    <n v="0"/>
    <s v="Daily Sales Import"/>
    <n v="-3552.5442000000003"/>
    <n v="3552.5442000000003"/>
    <x v="2"/>
    <s v="2210"/>
    <s v="000"/>
    <x v="5"/>
    <x v="2"/>
  </r>
  <r>
    <d v="2013-03-08T00:00:00"/>
    <s v="018-2220-000"/>
    <s v="Beer Sales"/>
    <n v="554.38280000000009"/>
    <n v="0"/>
    <s v="Daily Sales Import"/>
    <n v="-554.38280000000009"/>
    <n v="554.38280000000009"/>
    <x v="2"/>
    <s v="2220"/>
    <s v="000"/>
    <x v="5"/>
    <x v="2"/>
  </r>
  <r>
    <d v="2013-03-08T00:00:00"/>
    <s v="018-2230-000"/>
    <s v="Wine Sales"/>
    <n v="147.54040000000001"/>
    <n v="0"/>
    <s v="Daily Sales Import"/>
    <n v="-147.54040000000001"/>
    <n v="147.54040000000001"/>
    <x v="2"/>
    <s v="2230"/>
    <s v="000"/>
    <x v="5"/>
    <x v="2"/>
  </r>
  <r>
    <d v="2013-03-09T00:00:00"/>
    <s v="018-2100-000"/>
    <s v="Food Sales"/>
    <n v="16654.450499999999"/>
    <n v="0"/>
    <s v="Daily Sales Import"/>
    <n v="-16654.450499999999"/>
    <n v="16654.450499999999"/>
    <x v="2"/>
    <s v="2100"/>
    <s v="000"/>
    <x v="5"/>
    <x v="2"/>
  </r>
  <r>
    <d v="2013-03-09T00:00:00"/>
    <s v="018-2210-000"/>
    <s v="Liquor Sales"/>
    <n v="3298.0041000000001"/>
    <n v="0"/>
    <s v="Daily Sales Import"/>
    <n v="-3298.0041000000001"/>
    <n v="3298.0041000000001"/>
    <x v="2"/>
    <s v="2210"/>
    <s v="000"/>
    <x v="5"/>
    <x v="2"/>
  </r>
  <r>
    <d v="2013-03-09T00:00:00"/>
    <s v="018-2220-000"/>
    <s v="Beer Sales"/>
    <n v="961.452"/>
    <n v="0"/>
    <s v="Daily Sales Import"/>
    <n v="-961.452"/>
    <n v="961.452"/>
    <x v="2"/>
    <s v="2220"/>
    <s v="000"/>
    <x v="5"/>
    <x v="2"/>
  </r>
  <r>
    <d v="2013-03-09T00:00:00"/>
    <s v="018-2230-000"/>
    <s v="Wine Sales"/>
    <n v="139.892"/>
    <n v="0"/>
    <s v="Daily Sales Import"/>
    <n v="-139.892"/>
    <n v="139.892"/>
    <x v="2"/>
    <s v="2230"/>
    <s v="000"/>
    <x v="5"/>
    <x v="2"/>
  </r>
  <r>
    <d v="2013-03-10T00:00:00"/>
    <s v="018-2100-000"/>
    <s v="Food Sales"/>
    <n v="12693.2652"/>
    <n v="0"/>
    <s v="Daily Sales Import"/>
    <n v="-12693.2652"/>
    <n v="12693.2652"/>
    <x v="2"/>
    <s v="2100"/>
    <s v="000"/>
    <x v="5"/>
    <x v="2"/>
  </r>
  <r>
    <d v="2013-03-10T00:00:00"/>
    <s v="018-2210-000"/>
    <s v="Liquor Sales"/>
    <n v="1613.9655"/>
    <n v="0"/>
    <s v="Daily Sales Import"/>
    <n v="-1613.9655"/>
    <n v="1613.9655"/>
    <x v="2"/>
    <s v="2210"/>
    <s v="000"/>
    <x v="5"/>
    <x v="2"/>
  </r>
  <r>
    <d v="2013-03-10T00:00:00"/>
    <s v="018-2220-000"/>
    <s v="Beer Sales"/>
    <n v="340.83119999999997"/>
    <n v="0"/>
    <s v="Daily Sales Import"/>
    <n v="-340.83119999999997"/>
    <n v="340.83119999999997"/>
    <x v="2"/>
    <s v="2220"/>
    <s v="000"/>
    <x v="5"/>
    <x v="2"/>
  </r>
  <r>
    <d v="2013-03-10T00:00:00"/>
    <s v="018-2230-000"/>
    <s v="Wine Sales"/>
    <n v="122.23380000000002"/>
    <n v="0"/>
    <s v="Daily Sales Import"/>
    <n v="-122.23380000000002"/>
    <n v="122.23380000000002"/>
    <x v="2"/>
    <s v="2230"/>
    <s v="000"/>
    <x v="5"/>
    <x v="2"/>
  </r>
  <r>
    <d v="2013-03-11T00:00:00"/>
    <s v="016-2100-000"/>
    <s v="Food Sales"/>
    <n v="2488.0704000000001"/>
    <n v="0"/>
    <s v="Daily Sales Import"/>
    <n v="-2488.0704000000001"/>
    <n v="2488.0704000000001"/>
    <x v="0"/>
    <s v="2100"/>
    <s v="000"/>
    <x v="5"/>
    <x v="2"/>
  </r>
  <r>
    <d v="2013-03-11T00:00:00"/>
    <s v="016-2210-000"/>
    <s v="Liquor Sales"/>
    <n v="628.17930000000001"/>
    <n v="0"/>
    <s v="Daily Sales Import"/>
    <n v="-628.17930000000001"/>
    <n v="628.17930000000001"/>
    <x v="0"/>
    <s v="2210"/>
    <s v="000"/>
    <x v="5"/>
    <x v="2"/>
  </r>
  <r>
    <d v="2013-03-11T00:00:00"/>
    <s v="016-2220-000"/>
    <s v="Beer Sales"/>
    <n v="86.210799999999992"/>
    <n v="0"/>
    <s v="Daily Sales Import"/>
    <n v="-86.210799999999992"/>
    <n v="86.210799999999992"/>
    <x v="0"/>
    <s v="2220"/>
    <s v="000"/>
    <x v="5"/>
    <x v="2"/>
  </r>
  <r>
    <d v="2013-03-11T00:00:00"/>
    <s v="016-2230-000"/>
    <s v="Wine Sales"/>
    <n v="65.688500000000005"/>
    <n v="0"/>
    <s v="Daily Sales Import"/>
    <n v="-65.688500000000005"/>
    <n v="65.688500000000005"/>
    <x v="0"/>
    <s v="2230"/>
    <s v="000"/>
    <x v="5"/>
    <x v="2"/>
  </r>
  <r>
    <d v="2013-03-12T00:00:00"/>
    <s v="016-2100-000"/>
    <s v="Food Sales"/>
    <n v="9329.7161999999989"/>
    <n v="0"/>
    <s v="Daily Sales Import"/>
    <n v="-9329.7161999999989"/>
    <n v="9329.7161999999989"/>
    <x v="0"/>
    <s v="2100"/>
    <s v="000"/>
    <x v="5"/>
    <x v="2"/>
  </r>
  <r>
    <d v="2013-03-12T00:00:00"/>
    <s v="016-2210-000"/>
    <s v="Liquor Sales"/>
    <n v="2642.4240000000004"/>
    <n v="0"/>
    <s v="Daily Sales Import"/>
    <n v="-2642.4240000000004"/>
    <n v="2642.4240000000004"/>
    <x v="0"/>
    <s v="2210"/>
    <s v="000"/>
    <x v="5"/>
    <x v="2"/>
  </r>
  <r>
    <d v="2013-03-12T00:00:00"/>
    <s v="016-2220-000"/>
    <s v="Beer Sales"/>
    <n v="616.67679999999996"/>
    <n v="0"/>
    <s v="Daily Sales Import"/>
    <n v="-616.67679999999996"/>
    <n v="616.67679999999996"/>
    <x v="0"/>
    <s v="2220"/>
    <s v="000"/>
    <x v="5"/>
    <x v="2"/>
  </r>
  <r>
    <d v="2013-03-12T00:00:00"/>
    <s v="016-2230-000"/>
    <s v="Wine Sales"/>
    <n v="270.45319999999998"/>
    <n v="0"/>
    <s v="Daily Sales Import"/>
    <n v="-270.45319999999998"/>
    <n v="270.45319999999998"/>
    <x v="0"/>
    <s v="2230"/>
    <s v="000"/>
    <x v="5"/>
    <x v="2"/>
  </r>
  <r>
    <d v="2013-03-13T00:00:00"/>
    <s v="016-2100-000"/>
    <s v="Food Sales"/>
    <n v="4404.3234999999995"/>
    <n v="0"/>
    <s v="Daily Sales Import"/>
    <n v="-4404.3234999999995"/>
    <n v="4404.3234999999995"/>
    <x v="0"/>
    <s v="2100"/>
    <s v="000"/>
    <x v="5"/>
    <x v="2"/>
  </r>
  <r>
    <d v="2013-03-13T00:00:00"/>
    <s v="016-2210-000"/>
    <s v="Liquor Sales"/>
    <n v="758.50699999999995"/>
    <n v="0"/>
    <s v="Daily Sales Import"/>
    <n v="-758.50699999999995"/>
    <n v="758.50699999999995"/>
    <x v="0"/>
    <s v="2210"/>
    <s v="000"/>
    <x v="5"/>
    <x v="2"/>
  </r>
  <r>
    <d v="2013-03-13T00:00:00"/>
    <s v="016-2220-000"/>
    <s v="Beer Sales"/>
    <n v="102.57940000000001"/>
    <n v="0"/>
    <s v="Daily Sales Import"/>
    <n v="-102.57940000000001"/>
    <n v="102.57940000000001"/>
    <x v="0"/>
    <s v="2220"/>
    <s v="000"/>
    <x v="5"/>
    <x v="2"/>
  </r>
  <r>
    <d v="2013-03-13T00:00:00"/>
    <s v="016-2230-000"/>
    <s v="Wine Sales"/>
    <n v="98.812799999999996"/>
    <n v="0"/>
    <s v="Daily Sales Import"/>
    <n v="-98.812799999999996"/>
    <n v="98.812799999999996"/>
    <x v="0"/>
    <s v="2230"/>
    <s v="000"/>
    <x v="5"/>
    <x v="2"/>
  </r>
  <r>
    <d v="2013-03-14T00:00:00"/>
    <s v="016-2100-000"/>
    <s v="Food Sales"/>
    <n v="5751.1089999999995"/>
    <n v="0"/>
    <s v="Daily Sales Import"/>
    <n v="-5751.1089999999995"/>
    <n v="5751.1089999999995"/>
    <x v="0"/>
    <s v="2100"/>
    <s v="000"/>
    <x v="5"/>
    <x v="2"/>
  </r>
  <r>
    <d v="2013-03-14T00:00:00"/>
    <s v="016-2210-000"/>
    <s v="Liquor Sales"/>
    <n v="1490.6133"/>
    <n v="0"/>
    <s v="Daily Sales Import"/>
    <n v="-1490.6133"/>
    <n v="1490.6133"/>
    <x v="0"/>
    <s v="2210"/>
    <s v="000"/>
    <x v="5"/>
    <x v="2"/>
  </r>
  <r>
    <d v="2013-03-14T00:00:00"/>
    <s v="016-2220-000"/>
    <s v="Beer Sales"/>
    <n v="224.30590000000001"/>
    <n v="0"/>
    <s v="Daily Sales Import"/>
    <n v="-224.30590000000001"/>
    <n v="224.30590000000001"/>
    <x v="0"/>
    <s v="2220"/>
    <s v="000"/>
    <x v="5"/>
    <x v="2"/>
  </r>
  <r>
    <d v="2013-03-14T00:00:00"/>
    <s v="016-2230-000"/>
    <s v="Wine Sales"/>
    <n v="67.660600000000002"/>
    <n v="0"/>
    <s v="Daily Sales Import"/>
    <n v="-67.660600000000002"/>
    <n v="67.660600000000002"/>
    <x v="0"/>
    <s v="2230"/>
    <s v="000"/>
    <x v="5"/>
    <x v="2"/>
  </r>
  <r>
    <d v="2013-03-15T00:00:00"/>
    <s v="016-2100-000"/>
    <s v="Food Sales"/>
    <n v="8394.3009000000002"/>
    <n v="0"/>
    <s v="Daily Sales Import"/>
    <n v="-8394.3009000000002"/>
    <n v="8394.3009000000002"/>
    <x v="0"/>
    <s v="2100"/>
    <s v="000"/>
    <x v="5"/>
    <x v="2"/>
  </r>
  <r>
    <d v="2013-03-15T00:00:00"/>
    <s v="016-2210-000"/>
    <s v="Liquor Sales"/>
    <n v="2164.7274000000002"/>
    <n v="0"/>
    <s v="Daily Sales Import"/>
    <n v="-2164.7274000000002"/>
    <n v="2164.7274000000002"/>
    <x v="0"/>
    <s v="2210"/>
    <s v="000"/>
    <x v="5"/>
    <x v="2"/>
  </r>
  <r>
    <d v="2013-03-15T00:00:00"/>
    <s v="016-2220-000"/>
    <s v="Beer Sales"/>
    <n v="428.54019999999997"/>
    <n v="0"/>
    <s v="Daily Sales Import"/>
    <n v="-428.54019999999997"/>
    <n v="428.54019999999997"/>
    <x v="0"/>
    <s v="2220"/>
    <s v="000"/>
    <x v="5"/>
    <x v="2"/>
  </r>
  <r>
    <d v="2013-03-15T00:00:00"/>
    <s v="016-2230-000"/>
    <s v="Wine Sales"/>
    <n v="147.43599999999998"/>
    <n v="0"/>
    <s v="Daily Sales Import"/>
    <n v="-147.43599999999998"/>
    <n v="147.43599999999998"/>
    <x v="0"/>
    <s v="2230"/>
    <s v="000"/>
    <x v="5"/>
    <x v="2"/>
  </r>
  <r>
    <d v="2013-03-16T00:00:00"/>
    <s v="016-2100-000"/>
    <s v="Food Sales"/>
    <n v="7886.7821999999987"/>
    <n v="0"/>
    <s v="Daily Sales Import"/>
    <n v="-7886.7821999999987"/>
    <n v="7886.7821999999987"/>
    <x v="0"/>
    <s v="2100"/>
    <s v="000"/>
    <x v="5"/>
    <x v="2"/>
  </r>
  <r>
    <d v="2013-03-16T00:00:00"/>
    <s v="016-2210-000"/>
    <s v="Liquor Sales"/>
    <n v="3734.7760000000003"/>
    <n v="0"/>
    <s v="Daily Sales Import"/>
    <n v="-3734.7760000000003"/>
    <n v="3734.7760000000003"/>
    <x v="0"/>
    <s v="2210"/>
    <s v="000"/>
    <x v="5"/>
    <x v="2"/>
  </r>
  <r>
    <d v="2013-03-16T00:00:00"/>
    <s v="016-2220-000"/>
    <s v="Beer Sales"/>
    <n v="524.97059999999999"/>
    <n v="0"/>
    <s v="Daily Sales Import"/>
    <n v="-524.97059999999999"/>
    <n v="524.97059999999999"/>
    <x v="0"/>
    <s v="2220"/>
    <s v="000"/>
    <x v="5"/>
    <x v="2"/>
  </r>
  <r>
    <d v="2013-03-16T00:00:00"/>
    <s v="016-2230-000"/>
    <s v="Wine Sales"/>
    <n v="301.995"/>
    <n v="0"/>
    <s v="Daily Sales Import"/>
    <n v="-301.995"/>
    <n v="301.995"/>
    <x v="0"/>
    <s v="2230"/>
    <s v="000"/>
    <x v="5"/>
    <x v="2"/>
  </r>
  <r>
    <d v="2013-03-17T00:00:00"/>
    <s v="016-2100-000"/>
    <s v="Food Sales"/>
    <n v="6577.6949999999997"/>
    <n v="0"/>
    <s v="Daily Sales Import"/>
    <n v="-6577.6949999999997"/>
    <n v="6577.6949999999997"/>
    <x v="0"/>
    <s v="2100"/>
    <s v="000"/>
    <x v="5"/>
    <x v="2"/>
  </r>
  <r>
    <d v="2013-03-17T00:00:00"/>
    <s v="016-2210-000"/>
    <s v="Liquor Sales"/>
    <n v="2115.9775"/>
    <n v="0"/>
    <s v="Daily Sales Import"/>
    <n v="-2115.9775"/>
    <n v="2115.9775"/>
    <x v="0"/>
    <s v="2210"/>
    <s v="000"/>
    <x v="5"/>
    <x v="2"/>
  </r>
  <r>
    <d v="2013-03-17T00:00:00"/>
    <s v="016-2220-000"/>
    <s v="Beer Sales"/>
    <n v="850.89420000000007"/>
    <n v="0"/>
    <s v="Daily Sales Import"/>
    <n v="-850.89420000000007"/>
    <n v="850.89420000000007"/>
    <x v="0"/>
    <s v="2220"/>
    <s v="000"/>
    <x v="5"/>
    <x v="2"/>
  </r>
  <r>
    <d v="2013-03-17T00:00:00"/>
    <s v="016-2230-000"/>
    <s v="Wine Sales"/>
    <n v="114.82289999999999"/>
    <n v="0"/>
    <s v="Daily Sales Import"/>
    <n v="-114.82289999999999"/>
    <n v="114.82289999999999"/>
    <x v="0"/>
    <s v="2230"/>
    <s v="000"/>
    <x v="5"/>
    <x v="2"/>
  </r>
  <r>
    <d v="2013-03-11T00:00:00"/>
    <s v="017-2100-000"/>
    <s v="Food Sales"/>
    <n v="3183.4892"/>
    <n v="0"/>
    <s v="Daily Sales Import"/>
    <n v="-3183.4892"/>
    <n v="3183.4892"/>
    <x v="1"/>
    <s v="2100"/>
    <s v="000"/>
    <x v="5"/>
    <x v="2"/>
  </r>
  <r>
    <d v="2013-03-11T00:00:00"/>
    <s v="017-2210-000"/>
    <s v="Liquor Sales"/>
    <n v="719.12739999999985"/>
    <n v="0"/>
    <s v="Daily Sales Import"/>
    <n v="-719.12739999999985"/>
    <n v="719.12739999999985"/>
    <x v="1"/>
    <s v="2210"/>
    <s v="000"/>
    <x v="5"/>
    <x v="2"/>
  </r>
  <r>
    <d v="2013-03-11T00:00:00"/>
    <s v="017-2220-000"/>
    <s v="Beer Sales"/>
    <n v="272.233"/>
    <n v="0"/>
    <s v="Daily Sales Import"/>
    <n v="-272.233"/>
    <n v="272.233"/>
    <x v="1"/>
    <s v="2220"/>
    <s v="000"/>
    <x v="5"/>
    <x v="2"/>
  </r>
  <r>
    <d v="2013-03-11T00:00:00"/>
    <s v="017-2230-000"/>
    <s v="Wine Sales"/>
    <n v="90.152000000000001"/>
    <n v="0"/>
    <s v="Daily Sales Import"/>
    <n v="-90.152000000000001"/>
    <n v="90.152000000000001"/>
    <x v="1"/>
    <s v="2230"/>
    <s v="000"/>
    <x v="5"/>
    <x v="2"/>
  </r>
  <r>
    <d v="2013-03-12T00:00:00"/>
    <s v="017-2100-000"/>
    <s v="Food Sales"/>
    <n v="6734.9610000000002"/>
    <n v="0"/>
    <s v="Daily Sales Import"/>
    <n v="-6734.9610000000002"/>
    <n v="6734.9610000000002"/>
    <x v="1"/>
    <s v="2100"/>
    <s v="000"/>
    <x v="5"/>
    <x v="2"/>
  </r>
  <r>
    <d v="2013-03-12T00:00:00"/>
    <s v="017-2210-000"/>
    <s v="Liquor Sales"/>
    <n v="1703.0449999999998"/>
    <n v="0"/>
    <s v="Daily Sales Import"/>
    <n v="-1703.0449999999998"/>
    <n v="1703.0449999999998"/>
    <x v="1"/>
    <s v="2210"/>
    <s v="000"/>
    <x v="5"/>
    <x v="2"/>
  </r>
  <r>
    <d v="2013-03-12T00:00:00"/>
    <s v="017-2220-000"/>
    <s v="Beer Sales"/>
    <n v="437.45600000000002"/>
    <n v="0"/>
    <s v="Daily Sales Import"/>
    <n v="-437.45600000000002"/>
    <n v="437.45600000000002"/>
    <x v="1"/>
    <s v="2220"/>
    <s v="000"/>
    <x v="5"/>
    <x v="2"/>
  </r>
  <r>
    <d v="2013-03-12T00:00:00"/>
    <s v="017-2230-000"/>
    <s v="Wine Sales"/>
    <n v="119.56"/>
    <n v="0"/>
    <s v="Daily Sales Import"/>
    <n v="-119.56"/>
    <n v="119.56"/>
    <x v="1"/>
    <s v="2230"/>
    <s v="000"/>
    <x v="5"/>
    <x v="2"/>
  </r>
  <r>
    <d v="2013-03-13T00:00:00"/>
    <s v="017-2100-000"/>
    <s v="Food Sales"/>
    <n v="6322.0851999999995"/>
    <n v="0"/>
    <s v="Daily Sales Import"/>
    <n v="-6322.0851999999995"/>
    <n v="6322.0851999999995"/>
    <x v="1"/>
    <s v="2100"/>
    <s v="000"/>
    <x v="5"/>
    <x v="2"/>
  </r>
  <r>
    <d v="2013-03-13T00:00:00"/>
    <s v="017-2210-000"/>
    <s v="Liquor Sales"/>
    <n v="1592.6101000000003"/>
    <n v="0"/>
    <s v="Daily Sales Import"/>
    <n v="-1592.6101000000003"/>
    <n v="1592.6101000000003"/>
    <x v="1"/>
    <s v="2210"/>
    <s v="000"/>
    <x v="5"/>
    <x v="2"/>
  </r>
  <r>
    <d v="2013-03-13T00:00:00"/>
    <s v="017-2220-000"/>
    <s v="Beer Sales"/>
    <n v="583.16800000000001"/>
    <n v="0"/>
    <s v="Daily Sales Import"/>
    <n v="-583.16800000000001"/>
    <n v="583.16800000000001"/>
    <x v="1"/>
    <s v="2220"/>
    <s v="000"/>
    <x v="5"/>
    <x v="2"/>
  </r>
  <r>
    <d v="2013-03-13T00:00:00"/>
    <s v="017-2230-000"/>
    <s v="Wine Sales"/>
    <n v="151.33359999999999"/>
    <n v="0"/>
    <s v="Daily Sales Import"/>
    <n v="-151.33359999999999"/>
    <n v="151.33359999999999"/>
    <x v="1"/>
    <s v="2230"/>
    <s v="000"/>
    <x v="5"/>
    <x v="2"/>
  </r>
  <r>
    <d v="2013-03-14T00:00:00"/>
    <s v="017-2100-000"/>
    <s v="Food Sales"/>
    <n v="8226.8799999999992"/>
    <n v="0"/>
    <s v="Daily Sales Import"/>
    <n v="-8226.8799999999992"/>
    <n v="8226.8799999999992"/>
    <x v="1"/>
    <s v="2100"/>
    <s v="000"/>
    <x v="5"/>
    <x v="2"/>
  </r>
  <r>
    <d v="2013-03-14T00:00:00"/>
    <s v="017-2210-000"/>
    <s v="Liquor Sales"/>
    <n v="1754.4946"/>
    <n v="0"/>
    <s v="Daily Sales Import"/>
    <n v="-1754.4946"/>
    <n v="1754.4946"/>
    <x v="1"/>
    <s v="2210"/>
    <s v="000"/>
    <x v="5"/>
    <x v="2"/>
  </r>
  <r>
    <d v="2013-03-14T00:00:00"/>
    <s v="017-2220-000"/>
    <s v="Beer Sales"/>
    <n v="395.77529999999996"/>
    <n v="0"/>
    <s v="Daily Sales Import"/>
    <n v="-395.77529999999996"/>
    <n v="395.77529999999996"/>
    <x v="1"/>
    <s v="2220"/>
    <s v="000"/>
    <x v="5"/>
    <x v="2"/>
  </r>
  <r>
    <d v="2013-03-14T00:00:00"/>
    <s v="017-2230-000"/>
    <s v="Wine Sales"/>
    <n v="147.88240000000002"/>
    <n v="0"/>
    <s v="Daily Sales Import"/>
    <n v="-147.88240000000002"/>
    <n v="147.88240000000002"/>
    <x v="1"/>
    <s v="2230"/>
    <s v="000"/>
    <x v="5"/>
    <x v="2"/>
  </r>
  <r>
    <d v="2013-03-15T00:00:00"/>
    <s v="017-2100-000"/>
    <s v="Food Sales"/>
    <n v="8731.1288999999997"/>
    <n v="0"/>
    <s v="Daily Sales Import"/>
    <n v="-8731.1288999999997"/>
    <n v="8731.1288999999997"/>
    <x v="1"/>
    <s v="2100"/>
    <s v="000"/>
    <x v="5"/>
    <x v="2"/>
  </r>
  <r>
    <d v="2013-03-15T00:00:00"/>
    <s v="017-2210-000"/>
    <s v="Liquor Sales"/>
    <n v="3833.0189999999998"/>
    <n v="0"/>
    <s v="Daily Sales Import"/>
    <n v="-3833.0189999999998"/>
    <n v="3833.0189999999998"/>
    <x v="1"/>
    <s v="2210"/>
    <s v="000"/>
    <x v="5"/>
    <x v="2"/>
  </r>
  <r>
    <d v="2013-03-15T00:00:00"/>
    <s v="017-2220-000"/>
    <s v="Beer Sales"/>
    <n v="570.43799999999999"/>
    <n v="0"/>
    <s v="Daily Sales Import"/>
    <n v="-570.43799999999999"/>
    <n v="570.43799999999999"/>
    <x v="1"/>
    <s v="2220"/>
    <s v="000"/>
    <x v="5"/>
    <x v="2"/>
  </r>
  <r>
    <d v="2013-03-15T00:00:00"/>
    <s v="017-2230-000"/>
    <s v="Wine Sales"/>
    <n v="120.30719999999999"/>
    <n v="0"/>
    <s v="Daily Sales Import"/>
    <n v="-120.30719999999999"/>
    <n v="120.30719999999999"/>
    <x v="1"/>
    <s v="2230"/>
    <s v="000"/>
    <x v="5"/>
    <x v="2"/>
  </r>
  <r>
    <d v="2013-03-16T00:00:00"/>
    <s v="017-2100-000"/>
    <s v="Food Sales"/>
    <n v="8171.1634999999997"/>
    <n v="0"/>
    <s v="Daily Sales Import"/>
    <n v="-8171.1634999999997"/>
    <n v="8171.1634999999997"/>
    <x v="1"/>
    <s v="2100"/>
    <s v="000"/>
    <x v="5"/>
    <x v="2"/>
  </r>
  <r>
    <d v="2013-03-16T00:00:00"/>
    <s v="017-2210-000"/>
    <s v="Liquor Sales"/>
    <n v="3168.0009999999997"/>
    <n v="0"/>
    <s v="Daily Sales Import"/>
    <n v="-3168.0009999999997"/>
    <n v="3168.0009999999997"/>
    <x v="1"/>
    <s v="2210"/>
    <s v="000"/>
    <x v="5"/>
    <x v="2"/>
  </r>
  <r>
    <d v="2013-03-16T00:00:00"/>
    <s v="017-2220-000"/>
    <s v="Beer Sales"/>
    <n v="438.02779999999996"/>
    <n v="0"/>
    <s v="Daily Sales Import"/>
    <n v="-438.02779999999996"/>
    <n v="438.02779999999996"/>
    <x v="1"/>
    <s v="2220"/>
    <s v="000"/>
    <x v="5"/>
    <x v="2"/>
  </r>
  <r>
    <d v="2013-03-16T00:00:00"/>
    <s v="017-2230-000"/>
    <s v="Wine Sales"/>
    <n v="105.32899999999998"/>
    <n v="0"/>
    <s v="Daily Sales Import"/>
    <n v="-105.32899999999998"/>
    <n v="105.32899999999998"/>
    <x v="1"/>
    <s v="2230"/>
    <s v="000"/>
    <x v="5"/>
    <x v="2"/>
  </r>
  <r>
    <d v="2013-03-17T00:00:00"/>
    <s v="017-2100-000"/>
    <s v="Food Sales"/>
    <n v="4853.1839999999993"/>
    <n v="0"/>
    <s v="Daily Sales Import"/>
    <n v="-4853.1839999999993"/>
    <n v="4853.1839999999993"/>
    <x v="1"/>
    <s v="2100"/>
    <s v="000"/>
    <x v="5"/>
    <x v="2"/>
  </r>
  <r>
    <d v="2013-03-17T00:00:00"/>
    <s v="017-2210-000"/>
    <s v="Liquor Sales"/>
    <n v="862.72480000000007"/>
    <n v="0"/>
    <s v="Daily Sales Import"/>
    <n v="-862.72480000000007"/>
    <n v="862.72480000000007"/>
    <x v="1"/>
    <s v="2210"/>
    <s v="000"/>
    <x v="5"/>
    <x v="2"/>
  </r>
  <r>
    <d v="2013-03-17T00:00:00"/>
    <s v="017-2220-000"/>
    <s v="Beer Sales"/>
    <n v="242.99439999999998"/>
    <n v="0"/>
    <s v="Daily Sales Import"/>
    <n v="-242.99439999999998"/>
    <n v="242.99439999999998"/>
    <x v="1"/>
    <s v="2220"/>
    <s v="000"/>
    <x v="5"/>
    <x v="2"/>
  </r>
  <r>
    <d v="2013-03-17T00:00:00"/>
    <s v="017-2230-000"/>
    <s v="Wine Sales"/>
    <n v="26.257000000000001"/>
    <n v="0"/>
    <s v="Daily Sales Import"/>
    <n v="-26.257000000000001"/>
    <n v="26.257000000000001"/>
    <x v="1"/>
    <s v="2230"/>
    <s v="000"/>
    <x v="5"/>
    <x v="2"/>
  </r>
  <r>
    <d v="2013-03-11T00:00:00"/>
    <s v="018-2100-000"/>
    <s v="Food Sales"/>
    <n v="3199.6559999999999"/>
    <n v="0"/>
    <s v="Daily Sales Import"/>
    <n v="-3199.6559999999999"/>
    <n v="3199.6559999999999"/>
    <x v="2"/>
    <s v="2100"/>
    <s v="000"/>
    <x v="5"/>
    <x v="2"/>
  </r>
  <r>
    <d v="2013-03-11T00:00:00"/>
    <s v="018-2210-000"/>
    <s v="Liquor Sales"/>
    <n v="804.68640000000005"/>
    <n v="0"/>
    <s v="Daily Sales Import"/>
    <n v="-804.68640000000005"/>
    <n v="804.68640000000005"/>
    <x v="2"/>
    <s v="2210"/>
    <s v="000"/>
    <x v="5"/>
    <x v="2"/>
  </r>
  <r>
    <d v="2013-03-11T00:00:00"/>
    <s v="018-2220-000"/>
    <s v="Beer Sales"/>
    <n v="144.04560000000001"/>
    <n v="0"/>
    <s v="Daily Sales Import"/>
    <n v="-144.04560000000001"/>
    <n v="144.04560000000001"/>
    <x v="2"/>
    <s v="2220"/>
    <s v="000"/>
    <x v="5"/>
    <x v="2"/>
  </r>
  <r>
    <d v="2013-03-11T00:00:00"/>
    <s v="018-2230-000"/>
    <s v="Wine Sales"/>
    <n v="19.477499999999999"/>
    <n v="0"/>
    <s v="Daily Sales Import"/>
    <n v="-19.477499999999999"/>
    <n v="19.477499999999999"/>
    <x v="2"/>
    <s v="2230"/>
    <s v="000"/>
    <x v="5"/>
    <x v="2"/>
  </r>
  <r>
    <d v="2013-03-12T00:00:00"/>
    <s v="018-2100-000"/>
    <s v="Food Sales"/>
    <n v="4373.6324999999997"/>
    <n v="0"/>
    <s v="Daily Sales Import"/>
    <n v="-4373.6324999999997"/>
    <n v="4373.6324999999997"/>
    <x v="2"/>
    <s v="2100"/>
    <s v="000"/>
    <x v="5"/>
    <x v="2"/>
  </r>
  <r>
    <d v="2013-03-12T00:00:00"/>
    <s v="018-2210-000"/>
    <s v="Liquor Sales"/>
    <n v="642.7428000000001"/>
    <n v="0"/>
    <s v="Daily Sales Import"/>
    <n v="-642.7428000000001"/>
    <n v="642.7428000000001"/>
    <x v="2"/>
    <s v="2210"/>
    <s v="000"/>
    <x v="5"/>
    <x v="2"/>
  </r>
  <r>
    <d v="2013-03-12T00:00:00"/>
    <s v="018-2220-000"/>
    <s v="Beer Sales"/>
    <n v="121.32400000000001"/>
    <n v="0"/>
    <s v="Daily Sales Import"/>
    <n v="-121.32400000000001"/>
    <n v="121.32400000000001"/>
    <x v="2"/>
    <s v="2220"/>
    <s v="000"/>
    <x v="5"/>
    <x v="2"/>
  </r>
  <r>
    <d v="2013-03-12T00:00:00"/>
    <s v="018-2230-000"/>
    <s v="Wine Sales"/>
    <n v="29.722800000000003"/>
    <n v="0"/>
    <s v="Daily Sales Import"/>
    <n v="-29.722800000000003"/>
    <n v="29.722800000000003"/>
    <x v="2"/>
    <s v="2230"/>
    <s v="000"/>
    <x v="5"/>
    <x v="2"/>
  </r>
  <r>
    <d v="2013-03-13T00:00:00"/>
    <s v="018-2100-000"/>
    <s v="Food Sales"/>
    <n v="4588.5504000000001"/>
    <n v="0"/>
    <s v="Daily Sales Import"/>
    <n v="-4588.5504000000001"/>
    <n v="4588.5504000000001"/>
    <x v="2"/>
    <s v="2100"/>
    <s v="000"/>
    <x v="5"/>
    <x v="2"/>
  </r>
  <r>
    <d v="2013-03-13T00:00:00"/>
    <s v="018-2210-000"/>
    <s v="Liquor Sales"/>
    <n v="915.96050000000002"/>
    <n v="0"/>
    <s v="Daily Sales Import"/>
    <n v="-915.96050000000002"/>
    <n v="915.96050000000002"/>
    <x v="2"/>
    <s v="2210"/>
    <s v="000"/>
    <x v="5"/>
    <x v="2"/>
  </r>
  <r>
    <d v="2013-03-13T00:00:00"/>
    <s v="018-2220-000"/>
    <s v="Beer Sales"/>
    <n v="160.22380000000001"/>
    <n v="0"/>
    <s v="Daily Sales Import"/>
    <n v="-160.22380000000001"/>
    <n v="160.22380000000001"/>
    <x v="2"/>
    <s v="2220"/>
    <s v="000"/>
    <x v="5"/>
    <x v="2"/>
  </r>
  <r>
    <d v="2013-03-13T00:00:00"/>
    <s v="018-2230-000"/>
    <s v="Wine Sales"/>
    <n v="21.861999999999998"/>
    <n v="0"/>
    <s v="Daily Sales Import"/>
    <n v="-21.861999999999998"/>
    <n v="21.861999999999998"/>
    <x v="2"/>
    <s v="2230"/>
    <s v="000"/>
    <x v="5"/>
    <x v="2"/>
  </r>
  <r>
    <d v="2013-03-14T00:00:00"/>
    <s v="018-2100-000"/>
    <s v="Food Sales"/>
    <n v="4470.6150000000007"/>
    <n v="0"/>
    <s v="Daily Sales Import"/>
    <n v="-4470.6150000000007"/>
    <n v="4470.6150000000007"/>
    <x v="2"/>
    <s v="2100"/>
    <s v="000"/>
    <x v="5"/>
    <x v="2"/>
  </r>
  <r>
    <d v="2013-03-14T00:00:00"/>
    <s v="018-2210-000"/>
    <s v="Liquor Sales"/>
    <n v="461.64720000000005"/>
    <n v="0"/>
    <s v="Daily Sales Import"/>
    <n v="-461.64720000000005"/>
    <n v="461.64720000000005"/>
    <x v="2"/>
    <s v="2210"/>
    <s v="000"/>
    <x v="5"/>
    <x v="2"/>
  </r>
  <r>
    <d v="2013-03-14T00:00:00"/>
    <s v="018-2220-000"/>
    <s v="Beer Sales"/>
    <n v="132.91289999999998"/>
    <n v="0"/>
    <s v="Daily Sales Import"/>
    <n v="-132.91289999999998"/>
    <n v="132.91289999999998"/>
    <x v="2"/>
    <s v="2220"/>
    <s v="000"/>
    <x v="5"/>
    <x v="2"/>
  </r>
  <r>
    <d v="2013-03-14T00:00:00"/>
    <s v="018-2230-000"/>
    <s v="Wine Sales"/>
    <n v="41.744399999999999"/>
    <n v="0"/>
    <s v="Daily Sales Import"/>
    <n v="-41.744399999999999"/>
    <n v="41.744399999999999"/>
    <x v="2"/>
    <s v="2230"/>
    <s v="000"/>
    <x v="5"/>
    <x v="2"/>
  </r>
  <r>
    <d v="2013-03-15T00:00:00"/>
    <s v="018-2100-000"/>
    <s v="Food Sales"/>
    <n v="10393.0836"/>
    <n v="0"/>
    <s v="Daily Sales Import"/>
    <n v="-10393.0836"/>
    <n v="10393.0836"/>
    <x v="2"/>
    <s v="2100"/>
    <s v="000"/>
    <x v="5"/>
    <x v="2"/>
  </r>
  <r>
    <d v="2013-03-15T00:00:00"/>
    <s v="018-2210-000"/>
    <s v="Liquor Sales"/>
    <n v="2398.4535000000001"/>
    <n v="0"/>
    <s v="Daily Sales Import"/>
    <n v="-2398.4535000000001"/>
    <n v="2398.4535000000001"/>
    <x v="2"/>
    <s v="2210"/>
    <s v="000"/>
    <x v="5"/>
    <x v="2"/>
  </r>
  <r>
    <d v="2013-03-15T00:00:00"/>
    <s v="018-2220-000"/>
    <s v="Beer Sales"/>
    <n v="823.24"/>
    <n v="0"/>
    <s v="Daily Sales Import"/>
    <n v="-823.24"/>
    <n v="823.24"/>
    <x v="2"/>
    <s v="2220"/>
    <s v="000"/>
    <x v="5"/>
    <x v="2"/>
  </r>
  <r>
    <d v="2013-03-15T00:00:00"/>
    <s v="018-2230-000"/>
    <s v="Wine Sales"/>
    <n v="35.505000000000003"/>
    <n v="0"/>
    <s v="Daily Sales Import"/>
    <n v="-35.505000000000003"/>
    <n v="35.505000000000003"/>
    <x v="2"/>
    <s v="2230"/>
    <s v="000"/>
    <x v="5"/>
    <x v="2"/>
  </r>
  <r>
    <d v="2013-03-16T00:00:00"/>
    <s v="018-2100-000"/>
    <s v="Food Sales"/>
    <n v="13701.340400000001"/>
    <n v="0"/>
    <s v="Daily Sales Import"/>
    <n v="-13701.340400000001"/>
    <n v="13701.340400000001"/>
    <x v="2"/>
    <s v="2100"/>
    <s v="000"/>
    <x v="5"/>
    <x v="2"/>
  </r>
  <r>
    <d v="2013-03-16T00:00:00"/>
    <s v="018-2210-000"/>
    <s v="Liquor Sales"/>
    <n v="3745.3559999999998"/>
    <n v="0"/>
    <s v="Daily Sales Import"/>
    <n v="-3745.3559999999998"/>
    <n v="3745.3559999999998"/>
    <x v="2"/>
    <s v="2210"/>
    <s v="000"/>
    <x v="5"/>
    <x v="2"/>
  </r>
  <r>
    <d v="2013-03-16T00:00:00"/>
    <s v="018-2220-000"/>
    <s v="Beer Sales"/>
    <n v="850.97249999999997"/>
    <n v="0"/>
    <s v="Daily Sales Import"/>
    <n v="-850.97249999999997"/>
    <n v="850.97249999999997"/>
    <x v="2"/>
    <s v="2220"/>
    <s v="000"/>
    <x v="5"/>
    <x v="2"/>
  </r>
  <r>
    <d v="2013-03-16T00:00:00"/>
    <s v="018-2230-000"/>
    <s v="Wine Sales"/>
    <n v="71.716999999999999"/>
    <n v="0"/>
    <s v="Daily Sales Import"/>
    <n v="-71.716999999999999"/>
    <n v="71.716999999999999"/>
    <x v="2"/>
    <s v="2230"/>
    <s v="000"/>
    <x v="5"/>
    <x v="2"/>
  </r>
  <r>
    <d v="2013-03-17T00:00:00"/>
    <s v="018-2100-000"/>
    <s v="Food Sales"/>
    <n v="11937.546"/>
    <n v="0"/>
    <s v="Daily Sales Import"/>
    <n v="-11937.546"/>
    <n v="11937.546"/>
    <x v="2"/>
    <s v="2100"/>
    <s v="000"/>
    <x v="5"/>
    <x v="2"/>
  </r>
  <r>
    <d v="2013-03-17T00:00:00"/>
    <s v="018-2210-000"/>
    <s v="Liquor Sales"/>
    <n v="954.09299999999996"/>
    <n v="0"/>
    <s v="Daily Sales Import"/>
    <n v="-954.09299999999996"/>
    <n v="954.09299999999996"/>
    <x v="2"/>
    <s v="2210"/>
    <s v="000"/>
    <x v="5"/>
    <x v="2"/>
  </r>
  <r>
    <d v="2013-03-17T00:00:00"/>
    <s v="018-2220-000"/>
    <s v="Beer Sales"/>
    <n v="256.44540000000001"/>
    <n v="0"/>
    <s v="Daily Sales Import"/>
    <n v="-256.44540000000001"/>
    <n v="256.44540000000001"/>
    <x v="2"/>
    <s v="2220"/>
    <s v="000"/>
    <x v="5"/>
    <x v="2"/>
  </r>
  <r>
    <d v="2013-03-17T00:00:00"/>
    <s v="018-2230-000"/>
    <s v="Wine Sales"/>
    <n v="46.643599999999999"/>
    <n v="0"/>
    <s v="Daily Sales Import"/>
    <n v="-46.643599999999999"/>
    <n v="46.643599999999999"/>
    <x v="2"/>
    <s v="2230"/>
    <s v="000"/>
    <x v="5"/>
    <x v="2"/>
  </r>
  <r>
    <d v="2013-03-18T00:00:00"/>
    <s v="016-2100-000"/>
    <s v="Food Sales"/>
    <n v="2910.7518"/>
    <n v="0"/>
    <s v="Daily Sales Import"/>
    <n v="-2910.7518"/>
    <n v="2910.7518"/>
    <x v="0"/>
    <s v="2100"/>
    <s v="000"/>
    <x v="5"/>
    <x v="2"/>
  </r>
  <r>
    <d v="2013-03-18T00:00:00"/>
    <s v="016-2210-000"/>
    <s v="Liquor Sales"/>
    <n v="676.06909999999993"/>
    <n v="0"/>
    <s v="Daily Sales Import"/>
    <n v="-676.06909999999993"/>
    <n v="676.06909999999993"/>
    <x v="0"/>
    <s v="2210"/>
    <s v="000"/>
    <x v="5"/>
    <x v="2"/>
  </r>
  <r>
    <d v="2013-03-18T00:00:00"/>
    <s v="016-2220-000"/>
    <s v="Beer Sales"/>
    <n v="137.48920000000001"/>
    <n v="0"/>
    <s v="Daily Sales Import"/>
    <n v="-137.48920000000001"/>
    <n v="137.48920000000001"/>
    <x v="0"/>
    <s v="2220"/>
    <s v="000"/>
    <x v="5"/>
    <x v="2"/>
  </r>
  <r>
    <d v="2013-03-18T00:00:00"/>
    <s v="016-2230-000"/>
    <s v="Wine Sales"/>
    <n v="36.932000000000002"/>
    <n v="0"/>
    <s v="Daily Sales Import"/>
    <n v="-36.932000000000002"/>
    <n v="36.932000000000002"/>
    <x v="0"/>
    <s v="2230"/>
    <s v="000"/>
    <x v="5"/>
    <x v="2"/>
  </r>
  <r>
    <d v="2013-03-19T00:00:00"/>
    <s v="016-2100-000"/>
    <s v="Food Sales"/>
    <n v="7937.7215999999999"/>
    <n v="0"/>
    <s v="Daily Sales Import"/>
    <n v="-7937.7215999999999"/>
    <n v="7937.7215999999999"/>
    <x v="0"/>
    <s v="2100"/>
    <s v="000"/>
    <x v="5"/>
    <x v="2"/>
  </r>
  <r>
    <d v="2013-03-19T00:00:00"/>
    <s v="016-2210-000"/>
    <s v="Liquor Sales"/>
    <n v="2120.991"/>
    <n v="0"/>
    <s v="Daily Sales Import"/>
    <n v="-2120.991"/>
    <n v="2120.991"/>
    <x v="0"/>
    <s v="2210"/>
    <s v="000"/>
    <x v="5"/>
    <x v="2"/>
  </r>
  <r>
    <d v="2013-03-19T00:00:00"/>
    <s v="016-2220-000"/>
    <s v="Beer Sales"/>
    <n v="988.50349999999992"/>
    <n v="0"/>
    <s v="Daily Sales Import"/>
    <n v="-988.50349999999992"/>
    <n v="988.50349999999992"/>
    <x v="0"/>
    <s v="2220"/>
    <s v="000"/>
    <x v="5"/>
    <x v="2"/>
  </r>
  <r>
    <d v="2013-03-19T00:00:00"/>
    <s v="016-2230-000"/>
    <s v="Wine Sales"/>
    <n v="157.56"/>
    <n v="0"/>
    <s v="Daily Sales Import"/>
    <n v="-157.56"/>
    <n v="157.56"/>
    <x v="0"/>
    <s v="2230"/>
    <s v="000"/>
    <x v="5"/>
    <x v="2"/>
  </r>
  <r>
    <d v="2013-03-20T00:00:00"/>
    <s v="016-2100-000"/>
    <s v="Food Sales"/>
    <n v="4367.3027999999995"/>
    <n v="0"/>
    <s v="Daily Sales Import"/>
    <n v="-4367.3027999999995"/>
    <n v="4367.3027999999995"/>
    <x v="0"/>
    <s v="2100"/>
    <s v="000"/>
    <x v="5"/>
    <x v="2"/>
  </r>
  <r>
    <d v="2013-03-20T00:00:00"/>
    <s v="016-2210-000"/>
    <s v="Liquor Sales"/>
    <n v="1102.4163000000001"/>
    <n v="0"/>
    <s v="Daily Sales Import"/>
    <n v="-1102.4163000000001"/>
    <n v="1102.4163000000001"/>
    <x v="0"/>
    <s v="2210"/>
    <s v="000"/>
    <x v="5"/>
    <x v="2"/>
  </r>
  <r>
    <d v="2013-03-20T00:00:00"/>
    <s v="016-2220-000"/>
    <s v="Beer Sales"/>
    <n v="188.43440000000001"/>
    <n v="0"/>
    <s v="Daily Sales Import"/>
    <n v="-188.43440000000001"/>
    <n v="188.43440000000001"/>
    <x v="0"/>
    <s v="2220"/>
    <s v="000"/>
    <x v="5"/>
    <x v="2"/>
  </r>
  <r>
    <d v="2013-03-20T00:00:00"/>
    <s v="016-2230-000"/>
    <s v="Wine Sales"/>
    <n v="85.939499999999995"/>
    <n v="0"/>
    <s v="Daily Sales Import"/>
    <n v="-85.939499999999995"/>
    <n v="85.939499999999995"/>
    <x v="0"/>
    <s v="2230"/>
    <s v="000"/>
    <x v="5"/>
    <x v="2"/>
  </r>
  <r>
    <d v="2013-03-21T00:00:00"/>
    <s v="016-2100-000"/>
    <s v="Food Sales"/>
    <n v="3653.8559999999998"/>
    <n v="0"/>
    <s v="Daily Sales Import"/>
    <n v="-3653.8559999999998"/>
    <n v="3653.8559999999998"/>
    <x v="0"/>
    <s v="2100"/>
    <s v="000"/>
    <x v="5"/>
    <x v="2"/>
  </r>
  <r>
    <d v="2013-03-21T00:00:00"/>
    <s v="016-2210-000"/>
    <s v="Liquor Sales"/>
    <n v="1225.4025000000001"/>
    <n v="0"/>
    <s v="Daily Sales Import"/>
    <n v="-1225.4025000000001"/>
    <n v="1225.4025000000001"/>
    <x v="0"/>
    <s v="2210"/>
    <s v="000"/>
    <x v="5"/>
    <x v="2"/>
  </r>
  <r>
    <d v="2013-03-21T00:00:00"/>
    <s v="016-2220-000"/>
    <s v="Beer Sales"/>
    <n v="147.97049999999999"/>
    <n v="0"/>
    <s v="Daily Sales Import"/>
    <n v="-147.97049999999999"/>
    <n v="147.97049999999999"/>
    <x v="0"/>
    <s v="2220"/>
    <s v="000"/>
    <x v="5"/>
    <x v="2"/>
  </r>
  <r>
    <d v="2013-03-21T00:00:00"/>
    <s v="016-2230-000"/>
    <s v="Wine Sales"/>
    <n v="120.205"/>
    <n v="0"/>
    <s v="Daily Sales Import"/>
    <n v="-120.205"/>
    <n v="120.205"/>
    <x v="0"/>
    <s v="2230"/>
    <s v="000"/>
    <x v="5"/>
    <x v="2"/>
  </r>
  <r>
    <d v="2013-03-22T00:00:00"/>
    <s v="016-2100-000"/>
    <s v="Food Sales"/>
    <n v="6948.0851999999995"/>
    <n v="0"/>
    <s v="Daily Sales Import"/>
    <n v="-6948.0851999999995"/>
    <n v="6948.0851999999995"/>
    <x v="0"/>
    <s v="2100"/>
    <s v="000"/>
    <x v="5"/>
    <x v="2"/>
  </r>
  <r>
    <d v="2013-03-22T00:00:00"/>
    <s v="016-2210-000"/>
    <s v="Liquor Sales"/>
    <n v="1564.338"/>
    <n v="0"/>
    <s v="Daily Sales Import"/>
    <n v="-1564.338"/>
    <n v="1564.338"/>
    <x v="0"/>
    <s v="2210"/>
    <s v="000"/>
    <x v="5"/>
    <x v="2"/>
  </r>
  <r>
    <d v="2013-03-22T00:00:00"/>
    <s v="016-2220-000"/>
    <s v="Beer Sales"/>
    <n v="280.053"/>
    <n v="0"/>
    <s v="Daily Sales Import"/>
    <n v="-280.053"/>
    <n v="280.053"/>
    <x v="0"/>
    <s v="2220"/>
    <s v="000"/>
    <x v="5"/>
    <x v="2"/>
  </r>
  <r>
    <d v="2013-03-22T00:00:00"/>
    <s v="016-2230-000"/>
    <s v="Wine Sales"/>
    <n v="195.54820000000001"/>
    <n v="0"/>
    <s v="Daily Sales Import"/>
    <n v="-195.54820000000001"/>
    <n v="195.54820000000001"/>
    <x v="0"/>
    <s v="2230"/>
    <s v="000"/>
    <x v="5"/>
    <x v="2"/>
  </r>
  <r>
    <d v="2013-03-23T00:00:00"/>
    <s v="016-2100-000"/>
    <s v="Food Sales"/>
    <n v="8805.1779000000006"/>
    <n v="0"/>
    <s v="Daily Sales Import"/>
    <n v="-8805.1779000000006"/>
    <n v="8805.1779000000006"/>
    <x v="0"/>
    <s v="2100"/>
    <s v="000"/>
    <x v="5"/>
    <x v="2"/>
  </r>
  <r>
    <d v="2013-03-23T00:00:00"/>
    <s v="016-2210-000"/>
    <s v="Liquor Sales"/>
    <n v="2319.0387000000001"/>
    <n v="0"/>
    <s v="Daily Sales Import"/>
    <n v="-2319.0387000000001"/>
    <n v="2319.0387000000001"/>
    <x v="0"/>
    <s v="2210"/>
    <s v="000"/>
    <x v="5"/>
    <x v="2"/>
  </r>
  <r>
    <d v="2013-03-23T00:00:00"/>
    <s v="016-2220-000"/>
    <s v="Beer Sales"/>
    <n v="381.28499999999997"/>
    <n v="0"/>
    <s v="Daily Sales Import"/>
    <n v="-381.28499999999997"/>
    <n v="381.28499999999997"/>
    <x v="0"/>
    <s v="2220"/>
    <s v="000"/>
    <x v="5"/>
    <x v="2"/>
  </r>
  <r>
    <d v="2013-03-23T00:00:00"/>
    <s v="016-2230-000"/>
    <s v="Wine Sales"/>
    <n v="218.60929999999999"/>
    <n v="0"/>
    <s v="Daily Sales Import"/>
    <n v="-218.60929999999999"/>
    <n v="218.60929999999999"/>
    <x v="0"/>
    <s v="2230"/>
    <s v="000"/>
    <x v="5"/>
    <x v="2"/>
  </r>
  <r>
    <d v="2013-03-24T00:00:00"/>
    <s v="016-2100-000"/>
    <s v="Food Sales"/>
    <n v="7015.4034000000001"/>
    <n v="0"/>
    <s v="Daily Sales Import"/>
    <n v="-7015.4034000000001"/>
    <n v="7015.4034000000001"/>
    <x v="0"/>
    <s v="2100"/>
    <s v="000"/>
    <x v="5"/>
    <x v="2"/>
  </r>
  <r>
    <d v="2013-03-24T00:00:00"/>
    <s v="016-2210-000"/>
    <s v="Liquor Sales"/>
    <n v="1850.5989000000002"/>
    <n v="0"/>
    <s v="Daily Sales Import"/>
    <n v="-1850.5989000000002"/>
    <n v="1850.5989000000002"/>
    <x v="0"/>
    <s v="2210"/>
    <s v="000"/>
    <x v="5"/>
    <x v="2"/>
  </r>
  <r>
    <d v="2013-03-24T00:00:00"/>
    <s v="016-2220-000"/>
    <s v="Beer Sales"/>
    <n v="277.28190000000001"/>
    <n v="0"/>
    <s v="Daily Sales Import"/>
    <n v="-277.28190000000001"/>
    <n v="277.28190000000001"/>
    <x v="0"/>
    <s v="2220"/>
    <s v="000"/>
    <x v="5"/>
    <x v="2"/>
  </r>
  <r>
    <d v="2013-03-24T00:00:00"/>
    <s v="016-2230-000"/>
    <s v="Wine Sales"/>
    <n v="97.495000000000005"/>
    <n v="0"/>
    <s v="Daily Sales Import"/>
    <n v="-97.495000000000005"/>
    <n v="97.495000000000005"/>
    <x v="0"/>
    <s v="2230"/>
    <s v="000"/>
    <x v="5"/>
    <x v="2"/>
  </r>
  <r>
    <d v="2013-03-18T00:00:00"/>
    <s v="017-2100-000"/>
    <s v="Food Sales"/>
    <n v="3674.8424999999997"/>
    <n v="0"/>
    <s v="Daily Sales Import"/>
    <n v="-3674.8424999999997"/>
    <n v="3674.8424999999997"/>
    <x v="1"/>
    <s v="2100"/>
    <s v="000"/>
    <x v="5"/>
    <x v="2"/>
  </r>
  <r>
    <d v="2013-03-18T00:00:00"/>
    <s v="017-2210-000"/>
    <s v="Liquor Sales"/>
    <n v="853.75839999999994"/>
    <n v="0"/>
    <s v="Daily Sales Import"/>
    <n v="-853.75839999999994"/>
    <n v="853.75839999999994"/>
    <x v="1"/>
    <s v="2210"/>
    <s v="000"/>
    <x v="5"/>
    <x v="2"/>
  </r>
  <r>
    <d v="2013-03-18T00:00:00"/>
    <s v="017-2220-000"/>
    <s v="Beer Sales"/>
    <n v="273.45120000000003"/>
    <n v="0"/>
    <s v="Daily Sales Import"/>
    <n v="-273.45120000000003"/>
    <n v="273.45120000000003"/>
    <x v="1"/>
    <s v="2220"/>
    <s v="000"/>
    <x v="5"/>
    <x v="2"/>
  </r>
  <r>
    <d v="2013-03-18T00:00:00"/>
    <s v="017-2230-000"/>
    <s v="Wine Sales"/>
    <n v="56.538300000000007"/>
    <n v="0"/>
    <s v="Daily Sales Import"/>
    <n v="-56.538300000000007"/>
    <n v="56.538300000000007"/>
    <x v="1"/>
    <s v="2230"/>
    <s v="000"/>
    <x v="5"/>
    <x v="2"/>
  </r>
  <r>
    <d v="2013-03-19T00:00:00"/>
    <s v="017-2100-000"/>
    <s v="Food Sales"/>
    <n v="5150.4592000000002"/>
    <n v="0"/>
    <s v="Daily Sales Import"/>
    <n v="-5150.4592000000002"/>
    <n v="5150.4592000000002"/>
    <x v="1"/>
    <s v="2100"/>
    <s v="000"/>
    <x v="5"/>
    <x v="2"/>
  </r>
  <r>
    <d v="2013-03-19T00:00:00"/>
    <s v="017-2210-000"/>
    <s v="Liquor Sales"/>
    <n v="1419.8261"/>
    <n v="0"/>
    <s v="Daily Sales Import"/>
    <n v="-1419.8261"/>
    <n v="1419.8261"/>
    <x v="1"/>
    <s v="2210"/>
    <s v="000"/>
    <x v="5"/>
    <x v="2"/>
  </r>
  <r>
    <d v="2013-03-19T00:00:00"/>
    <s v="017-2220-000"/>
    <s v="Beer Sales"/>
    <n v="493.32929999999999"/>
    <n v="0"/>
    <s v="Daily Sales Import"/>
    <n v="-493.32929999999999"/>
    <n v="493.32929999999999"/>
    <x v="1"/>
    <s v="2220"/>
    <s v="000"/>
    <x v="5"/>
    <x v="2"/>
  </r>
  <r>
    <d v="2013-03-19T00:00:00"/>
    <s v="017-2230-000"/>
    <s v="Wine Sales"/>
    <n v="297.55500000000001"/>
    <n v="0"/>
    <s v="Daily Sales Import"/>
    <n v="-297.55500000000001"/>
    <n v="297.55500000000001"/>
    <x v="1"/>
    <s v="2230"/>
    <s v="000"/>
    <x v="5"/>
    <x v="2"/>
  </r>
  <r>
    <d v="2013-03-20T00:00:00"/>
    <s v="017-2100-000"/>
    <s v="Food Sales"/>
    <n v="9113.4589000000014"/>
    <n v="0"/>
    <s v="Daily Sales Import"/>
    <n v="-9113.4589000000014"/>
    <n v="9113.4589000000014"/>
    <x v="1"/>
    <s v="2100"/>
    <s v="000"/>
    <x v="5"/>
    <x v="2"/>
  </r>
  <r>
    <d v="2013-03-20T00:00:00"/>
    <s v="017-2210-000"/>
    <s v="Liquor Sales"/>
    <n v="2316.4304000000002"/>
    <n v="0"/>
    <s v="Daily Sales Import"/>
    <n v="-2316.4304000000002"/>
    <n v="2316.4304000000002"/>
    <x v="1"/>
    <s v="2210"/>
    <s v="000"/>
    <x v="5"/>
    <x v="2"/>
  </r>
  <r>
    <d v="2013-03-20T00:00:00"/>
    <s v="017-2220-000"/>
    <s v="Beer Sales"/>
    <n v="681.33100000000002"/>
    <n v="0"/>
    <s v="Daily Sales Import"/>
    <n v="-681.33100000000002"/>
    <n v="681.33100000000002"/>
    <x v="1"/>
    <s v="2220"/>
    <s v="000"/>
    <x v="5"/>
    <x v="2"/>
  </r>
  <r>
    <d v="2013-03-20T00:00:00"/>
    <s v="017-2230-000"/>
    <s v="Wine Sales"/>
    <n v="49.029300000000006"/>
    <n v="0"/>
    <s v="Daily Sales Import"/>
    <n v="-49.029300000000006"/>
    <n v="49.029300000000006"/>
    <x v="1"/>
    <s v="2230"/>
    <s v="000"/>
    <x v="5"/>
    <x v="2"/>
  </r>
  <r>
    <d v="2013-03-21T00:00:00"/>
    <s v="017-2100-000"/>
    <s v="Food Sales"/>
    <n v="6520.5168000000003"/>
    <n v="0"/>
    <s v="Daily Sales Import"/>
    <n v="-6520.5168000000003"/>
    <n v="6520.5168000000003"/>
    <x v="1"/>
    <s v="2100"/>
    <s v="000"/>
    <x v="5"/>
    <x v="2"/>
  </r>
  <r>
    <d v="2013-03-21T00:00:00"/>
    <s v="017-2210-000"/>
    <s v="Liquor Sales"/>
    <n v="659.85919999999999"/>
    <n v="0"/>
    <s v="Daily Sales Import"/>
    <n v="-659.85919999999999"/>
    <n v="659.85919999999999"/>
    <x v="1"/>
    <s v="2210"/>
    <s v="000"/>
    <x v="5"/>
    <x v="2"/>
  </r>
  <r>
    <d v="2013-03-21T00:00:00"/>
    <s v="017-2220-000"/>
    <s v="Beer Sales"/>
    <n v="307.226"/>
    <n v="0"/>
    <s v="Daily Sales Import"/>
    <n v="-307.226"/>
    <n v="307.226"/>
    <x v="1"/>
    <s v="2220"/>
    <s v="000"/>
    <x v="5"/>
    <x v="2"/>
  </r>
  <r>
    <d v="2013-03-21T00:00:00"/>
    <s v="017-2230-000"/>
    <s v="Wine Sales"/>
    <n v="136.1283"/>
    <n v="0"/>
    <s v="Daily Sales Import"/>
    <n v="-136.1283"/>
    <n v="136.1283"/>
    <x v="1"/>
    <s v="2230"/>
    <s v="000"/>
    <x v="5"/>
    <x v="2"/>
  </r>
  <r>
    <d v="2013-03-22T00:00:00"/>
    <s v="017-2100-000"/>
    <s v="Food Sales"/>
    <n v="9258.2291999999998"/>
    <n v="0"/>
    <s v="Daily Sales Import"/>
    <n v="-9258.2291999999998"/>
    <n v="9258.2291999999998"/>
    <x v="1"/>
    <s v="2100"/>
    <s v="000"/>
    <x v="5"/>
    <x v="2"/>
  </r>
  <r>
    <d v="2013-03-22T00:00:00"/>
    <s v="017-2210-000"/>
    <s v="Liquor Sales"/>
    <n v="2660.8343999999997"/>
    <n v="0"/>
    <s v="Daily Sales Import"/>
    <n v="-2660.8343999999997"/>
    <n v="2660.8343999999997"/>
    <x v="1"/>
    <s v="2210"/>
    <s v="000"/>
    <x v="5"/>
    <x v="2"/>
  </r>
  <r>
    <d v="2013-03-22T00:00:00"/>
    <s v="017-2220-000"/>
    <s v="Beer Sales"/>
    <n v="349.73899999999998"/>
    <n v="0"/>
    <s v="Daily Sales Import"/>
    <n v="-349.73899999999998"/>
    <n v="349.73899999999998"/>
    <x v="1"/>
    <s v="2220"/>
    <s v="000"/>
    <x v="5"/>
    <x v="2"/>
  </r>
  <r>
    <d v="2013-03-22T00:00:00"/>
    <s v="017-2230-000"/>
    <s v="Wine Sales"/>
    <n v="150.74499999999998"/>
    <n v="0"/>
    <s v="Daily Sales Import"/>
    <n v="-150.74499999999998"/>
    <n v="150.74499999999998"/>
    <x v="1"/>
    <s v="2230"/>
    <s v="000"/>
    <x v="5"/>
    <x v="2"/>
  </r>
  <r>
    <d v="2013-03-23T00:00:00"/>
    <s v="017-2100-000"/>
    <s v="Food Sales"/>
    <n v="9624.7380999999987"/>
    <n v="0"/>
    <s v="Daily Sales Import"/>
    <n v="-9624.7380999999987"/>
    <n v="9624.7380999999987"/>
    <x v="1"/>
    <s v="2100"/>
    <s v="000"/>
    <x v="5"/>
    <x v="2"/>
  </r>
  <r>
    <d v="2013-03-23T00:00:00"/>
    <s v="017-2210-000"/>
    <s v="Liquor Sales"/>
    <n v="2178.8108999999999"/>
    <n v="0"/>
    <s v="Daily Sales Import"/>
    <n v="-2178.8108999999999"/>
    <n v="2178.8108999999999"/>
    <x v="1"/>
    <s v="2210"/>
    <s v="000"/>
    <x v="5"/>
    <x v="2"/>
  </r>
  <r>
    <d v="2013-03-23T00:00:00"/>
    <s v="017-2220-000"/>
    <s v="Beer Sales"/>
    <n v="546.90499999999997"/>
    <n v="0"/>
    <s v="Daily Sales Import"/>
    <n v="-546.90499999999997"/>
    <n v="546.90499999999997"/>
    <x v="1"/>
    <s v="2220"/>
    <s v="000"/>
    <x v="5"/>
    <x v="2"/>
  </r>
  <r>
    <d v="2013-03-23T00:00:00"/>
    <s v="017-2230-000"/>
    <s v="Wine Sales"/>
    <n v="89.923200000000008"/>
    <n v="0"/>
    <s v="Daily Sales Import"/>
    <n v="-89.923200000000008"/>
    <n v="89.923200000000008"/>
    <x v="1"/>
    <s v="2230"/>
    <s v="000"/>
    <x v="5"/>
    <x v="2"/>
  </r>
  <r>
    <d v="2013-03-24T00:00:00"/>
    <s v="017-2100-000"/>
    <s v="Food Sales"/>
    <n v="3866.1349999999998"/>
    <n v="0"/>
    <s v="Daily Sales Import"/>
    <n v="-3866.1349999999998"/>
    <n v="3866.1349999999998"/>
    <x v="1"/>
    <s v="2100"/>
    <s v="000"/>
    <x v="5"/>
    <x v="2"/>
  </r>
  <r>
    <d v="2013-03-24T00:00:00"/>
    <s v="017-2210-000"/>
    <s v="Liquor Sales"/>
    <n v="916.3152"/>
    <n v="0"/>
    <s v="Daily Sales Import"/>
    <n v="-916.3152"/>
    <n v="916.3152"/>
    <x v="1"/>
    <s v="2210"/>
    <s v="000"/>
    <x v="5"/>
    <x v="2"/>
  </r>
  <r>
    <d v="2013-03-24T00:00:00"/>
    <s v="017-2220-000"/>
    <s v="Beer Sales"/>
    <n v="143.82049999999998"/>
    <n v="0"/>
    <s v="Daily Sales Import"/>
    <n v="-143.82049999999998"/>
    <n v="143.82049999999998"/>
    <x v="1"/>
    <s v="2220"/>
    <s v="000"/>
    <x v="5"/>
    <x v="2"/>
  </r>
  <r>
    <d v="2013-03-24T00:00:00"/>
    <s v="017-2230-000"/>
    <s v="Wine Sales"/>
    <n v="14.591399999999998"/>
    <n v="0"/>
    <s v="Daily Sales Import"/>
    <n v="-14.591399999999998"/>
    <n v="14.591399999999998"/>
    <x v="1"/>
    <s v="2230"/>
    <s v="000"/>
    <x v="5"/>
    <x v="2"/>
  </r>
  <r>
    <d v="2013-03-18T00:00:00"/>
    <s v="018-2100-000"/>
    <s v="Food Sales"/>
    <n v="2456.9423999999999"/>
    <n v="0"/>
    <s v="Daily Sales Import"/>
    <n v="-2456.9423999999999"/>
    <n v="2456.9423999999999"/>
    <x v="2"/>
    <s v="2100"/>
    <s v="000"/>
    <x v="5"/>
    <x v="2"/>
  </r>
  <r>
    <d v="2013-03-18T00:00:00"/>
    <s v="018-2210-000"/>
    <s v="Liquor Sales"/>
    <n v="307.59960000000001"/>
    <n v="0"/>
    <s v="Daily Sales Import"/>
    <n v="-307.59960000000001"/>
    <n v="307.59960000000001"/>
    <x v="2"/>
    <s v="2210"/>
    <s v="000"/>
    <x v="5"/>
    <x v="2"/>
  </r>
  <r>
    <d v="2013-03-18T00:00:00"/>
    <s v="018-2220-000"/>
    <s v="Beer Sales"/>
    <n v="85.600799999999992"/>
    <n v="0"/>
    <s v="Daily Sales Import"/>
    <n v="-85.600799999999992"/>
    <n v="85.600799999999992"/>
    <x v="2"/>
    <s v="2220"/>
    <s v="000"/>
    <x v="5"/>
    <x v="2"/>
  </r>
  <r>
    <d v="2013-03-18T00:00:00"/>
    <s v="018-2230-000"/>
    <s v="Wine Sales"/>
    <n v="47.792000000000002"/>
    <n v="0"/>
    <s v="Daily Sales Import"/>
    <n v="-47.792000000000002"/>
    <n v="47.792000000000002"/>
    <x v="2"/>
    <s v="2230"/>
    <s v="000"/>
    <x v="5"/>
    <x v="2"/>
  </r>
  <r>
    <d v="2013-03-19T00:00:00"/>
    <s v="018-2100-000"/>
    <s v="Food Sales"/>
    <n v="3071.6824999999999"/>
    <n v="0"/>
    <s v="Daily Sales Import"/>
    <n v="-3071.6824999999999"/>
    <n v="3071.6824999999999"/>
    <x v="2"/>
    <s v="2100"/>
    <s v="000"/>
    <x v="5"/>
    <x v="2"/>
  </r>
  <r>
    <d v="2013-03-19T00:00:00"/>
    <s v="018-2210-000"/>
    <s v="Liquor Sales"/>
    <n v="257.08139999999997"/>
    <n v="0"/>
    <s v="Daily Sales Import"/>
    <n v="-257.08139999999997"/>
    <n v="257.08139999999997"/>
    <x v="2"/>
    <s v="2210"/>
    <s v="000"/>
    <x v="5"/>
    <x v="2"/>
  </r>
  <r>
    <d v="2013-03-19T00:00:00"/>
    <s v="018-2220-000"/>
    <s v="Beer Sales"/>
    <n v="98.852699999999999"/>
    <n v="0"/>
    <s v="Daily Sales Import"/>
    <n v="-98.852699999999999"/>
    <n v="98.852699999999999"/>
    <x v="2"/>
    <s v="2220"/>
    <s v="000"/>
    <x v="5"/>
    <x v="2"/>
  </r>
  <r>
    <d v="2013-03-19T00:00:00"/>
    <s v="018-2230-000"/>
    <s v="Wine Sales"/>
    <n v="28.775600000000001"/>
    <n v="0"/>
    <s v="Daily Sales Import"/>
    <n v="-28.775600000000001"/>
    <n v="28.775600000000001"/>
    <x v="2"/>
    <s v="2230"/>
    <s v="000"/>
    <x v="5"/>
    <x v="2"/>
  </r>
  <r>
    <d v="2013-03-20T00:00:00"/>
    <s v="018-2100-000"/>
    <s v="Food Sales"/>
    <n v="2916.924"/>
    <n v="0"/>
    <s v="Daily Sales Import"/>
    <n v="-2916.924"/>
    <n v="2916.924"/>
    <x v="2"/>
    <s v="2100"/>
    <s v="000"/>
    <x v="5"/>
    <x v="2"/>
  </r>
  <r>
    <d v="2013-03-20T00:00:00"/>
    <s v="018-2210-000"/>
    <s v="Liquor Sales"/>
    <n v="454.81120000000004"/>
    <n v="0"/>
    <s v="Daily Sales Import"/>
    <n v="-454.81120000000004"/>
    <n v="454.81120000000004"/>
    <x v="2"/>
    <s v="2210"/>
    <s v="000"/>
    <x v="5"/>
    <x v="2"/>
  </r>
  <r>
    <d v="2013-03-20T00:00:00"/>
    <s v="018-2220-000"/>
    <s v="Beer Sales"/>
    <n v="186.06099999999998"/>
    <n v="0"/>
    <s v="Daily Sales Import"/>
    <n v="-186.06099999999998"/>
    <n v="186.06099999999998"/>
    <x v="2"/>
    <s v="2220"/>
    <s v="000"/>
    <x v="5"/>
    <x v="2"/>
  </r>
  <r>
    <d v="2013-03-20T00:00:00"/>
    <s v="018-2230-000"/>
    <s v="Wine Sales"/>
    <n v="25.855199999999996"/>
    <n v="0"/>
    <s v="Daily Sales Import"/>
    <n v="-25.855199999999996"/>
    <n v="25.855199999999996"/>
    <x v="2"/>
    <s v="2230"/>
    <s v="000"/>
    <x v="5"/>
    <x v="2"/>
  </r>
  <r>
    <d v="2013-03-21T00:00:00"/>
    <s v="018-2100-000"/>
    <s v="Food Sales"/>
    <n v="3661.8316999999997"/>
    <n v="0"/>
    <s v="Daily Sales Import"/>
    <n v="-3661.8316999999997"/>
    <n v="3661.8316999999997"/>
    <x v="2"/>
    <s v="2100"/>
    <s v="000"/>
    <x v="5"/>
    <x v="2"/>
  </r>
  <r>
    <d v="2013-03-21T00:00:00"/>
    <s v="018-2210-000"/>
    <s v="Liquor Sales"/>
    <n v="353.09000000000003"/>
    <n v="0"/>
    <s v="Daily Sales Import"/>
    <n v="-353.09000000000003"/>
    <n v="353.09000000000003"/>
    <x v="2"/>
    <s v="2210"/>
    <s v="000"/>
    <x v="5"/>
    <x v="2"/>
  </r>
  <r>
    <d v="2013-03-21T00:00:00"/>
    <s v="018-2220-000"/>
    <s v="Beer Sales"/>
    <n v="159.63480000000001"/>
    <n v="0"/>
    <s v="Daily Sales Import"/>
    <n v="-159.63480000000001"/>
    <n v="159.63480000000001"/>
    <x v="2"/>
    <s v="2220"/>
    <s v="000"/>
    <x v="5"/>
    <x v="2"/>
  </r>
  <r>
    <d v="2013-03-21T00:00:00"/>
    <s v="018-2230-000"/>
    <s v="Wine Sales"/>
    <n v="10.3818"/>
    <n v="0"/>
    <s v="Daily Sales Import"/>
    <n v="-10.3818"/>
    <n v="10.3818"/>
    <x v="2"/>
    <s v="2230"/>
    <s v="000"/>
    <x v="5"/>
    <x v="2"/>
  </r>
  <r>
    <d v="2013-03-22T00:00:00"/>
    <s v="018-2100-000"/>
    <s v="Food Sales"/>
    <n v="9582.7577999999994"/>
    <n v="0"/>
    <s v="Daily Sales Import"/>
    <n v="-9582.7577999999994"/>
    <n v="9582.7577999999994"/>
    <x v="2"/>
    <s v="2100"/>
    <s v="000"/>
    <x v="5"/>
    <x v="2"/>
  </r>
  <r>
    <d v="2013-03-22T00:00:00"/>
    <s v="018-2210-000"/>
    <s v="Liquor Sales"/>
    <n v="2335.2648000000004"/>
    <n v="0"/>
    <s v="Daily Sales Import"/>
    <n v="-2335.2648000000004"/>
    <n v="2335.2648000000004"/>
    <x v="2"/>
    <s v="2210"/>
    <s v="000"/>
    <x v="5"/>
    <x v="2"/>
  </r>
  <r>
    <d v="2013-03-22T00:00:00"/>
    <s v="018-2220-000"/>
    <s v="Beer Sales"/>
    <n v="597.35360000000003"/>
    <n v="0"/>
    <s v="Daily Sales Import"/>
    <n v="-597.35360000000003"/>
    <n v="597.35360000000003"/>
    <x v="2"/>
    <s v="2220"/>
    <s v="000"/>
    <x v="5"/>
    <x v="2"/>
  </r>
  <r>
    <d v="2013-03-22T00:00:00"/>
    <s v="018-2230-000"/>
    <s v="Wine Sales"/>
    <n v="135.62639999999999"/>
    <n v="0"/>
    <s v="Daily Sales Import"/>
    <n v="-135.62639999999999"/>
    <n v="135.62639999999999"/>
    <x v="2"/>
    <s v="2230"/>
    <s v="000"/>
    <x v="5"/>
    <x v="2"/>
  </r>
  <r>
    <d v="2013-03-23T00:00:00"/>
    <s v="018-2100-000"/>
    <s v="Food Sales"/>
    <n v="15736.6152"/>
    <n v="0"/>
    <s v="Daily Sales Import"/>
    <n v="-15736.6152"/>
    <n v="15736.6152"/>
    <x v="2"/>
    <s v="2100"/>
    <s v="000"/>
    <x v="5"/>
    <x v="2"/>
  </r>
  <r>
    <d v="2013-03-23T00:00:00"/>
    <s v="018-2210-000"/>
    <s v="Liquor Sales"/>
    <n v="2501.471"/>
    <n v="0"/>
    <s v="Daily Sales Import"/>
    <n v="-2501.471"/>
    <n v="2501.471"/>
    <x v="2"/>
    <s v="2210"/>
    <s v="000"/>
    <x v="5"/>
    <x v="2"/>
  </r>
  <r>
    <d v="2013-03-23T00:00:00"/>
    <s v="018-2220-000"/>
    <s v="Beer Sales"/>
    <n v="730.08"/>
    <n v="0"/>
    <s v="Daily Sales Import"/>
    <n v="-730.08"/>
    <n v="730.08"/>
    <x v="2"/>
    <s v="2220"/>
    <s v="000"/>
    <x v="5"/>
    <x v="2"/>
  </r>
  <r>
    <d v="2013-03-23T00:00:00"/>
    <s v="018-2230-000"/>
    <s v="Wine Sales"/>
    <n v="126.0232"/>
    <n v="0"/>
    <s v="Daily Sales Import"/>
    <n v="-126.0232"/>
    <n v="126.0232"/>
    <x v="2"/>
    <s v="2230"/>
    <s v="000"/>
    <x v="5"/>
    <x v="2"/>
  </r>
  <r>
    <d v="2013-03-24T00:00:00"/>
    <s v="018-2100-000"/>
    <s v="Food Sales"/>
    <n v="9322.6980000000003"/>
    <n v="0"/>
    <s v="Daily Sales Import"/>
    <n v="-9322.6980000000003"/>
    <n v="9322.6980000000003"/>
    <x v="2"/>
    <s v="2100"/>
    <s v="000"/>
    <x v="5"/>
    <x v="2"/>
  </r>
  <r>
    <d v="2013-03-24T00:00:00"/>
    <s v="018-2210-000"/>
    <s v="Liquor Sales"/>
    <n v="1355.4059999999999"/>
    <n v="0"/>
    <s v="Daily Sales Import"/>
    <n v="-1355.4059999999999"/>
    <n v="1355.4059999999999"/>
    <x v="2"/>
    <s v="2210"/>
    <s v="000"/>
    <x v="5"/>
    <x v="2"/>
  </r>
  <r>
    <d v="2013-03-24T00:00:00"/>
    <s v="018-2220-000"/>
    <s v="Beer Sales"/>
    <n v="267.37279999999998"/>
    <n v="0"/>
    <s v="Daily Sales Import"/>
    <n v="-267.37279999999998"/>
    <n v="267.37279999999998"/>
    <x v="2"/>
    <s v="2220"/>
    <s v="000"/>
    <x v="5"/>
    <x v="2"/>
  </r>
  <r>
    <d v="2013-03-24T00:00:00"/>
    <s v="018-2230-000"/>
    <s v="Wine Sales"/>
    <n v="68.314499999999995"/>
    <n v="0"/>
    <s v="Daily Sales Import"/>
    <n v="-68.314499999999995"/>
    <n v="68.314499999999995"/>
    <x v="2"/>
    <s v="2230"/>
    <s v="000"/>
    <x v="5"/>
    <x v="2"/>
  </r>
  <r>
    <d v="2013-03-25T00:00:00"/>
    <s v="016-2100-000"/>
    <s v="Food Sales"/>
    <n v="3048.9925999999996"/>
    <n v="0"/>
    <s v="Daily Sales Import"/>
    <n v="-3048.9925999999996"/>
    <n v="3048.9925999999996"/>
    <x v="0"/>
    <s v="2100"/>
    <s v="000"/>
    <x v="5"/>
    <x v="2"/>
  </r>
  <r>
    <d v="2013-03-25T00:00:00"/>
    <s v="016-2210-000"/>
    <s v="Liquor Sales"/>
    <n v="642.71339999999998"/>
    <n v="0"/>
    <s v="Daily Sales Import"/>
    <n v="-642.71339999999998"/>
    <n v="642.71339999999998"/>
    <x v="0"/>
    <s v="2210"/>
    <s v="000"/>
    <x v="5"/>
    <x v="2"/>
  </r>
  <r>
    <d v="2013-03-25T00:00:00"/>
    <s v="016-2220-000"/>
    <s v="Beer Sales"/>
    <n v="152.40150000000003"/>
    <n v="0"/>
    <s v="Daily Sales Import"/>
    <n v="-152.40150000000003"/>
    <n v="152.40150000000003"/>
    <x v="0"/>
    <s v="2220"/>
    <s v="000"/>
    <x v="5"/>
    <x v="2"/>
  </r>
  <r>
    <d v="2013-03-25T00:00:00"/>
    <s v="016-2230-000"/>
    <s v="Wine Sales"/>
    <n v="90.670999999999992"/>
    <n v="0"/>
    <s v="Daily Sales Import"/>
    <n v="-90.670999999999992"/>
    <n v="90.670999999999992"/>
    <x v="0"/>
    <s v="2230"/>
    <s v="000"/>
    <x v="5"/>
    <x v="2"/>
  </r>
  <r>
    <d v="2013-03-26T00:00:00"/>
    <s v="016-2100-000"/>
    <s v="Food Sales"/>
    <n v="6090.1680000000006"/>
    <n v="0"/>
    <s v="Daily Sales Import"/>
    <n v="-6090.1680000000006"/>
    <n v="6090.1680000000006"/>
    <x v="0"/>
    <s v="2100"/>
    <s v="000"/>
    <x v="5"/>
    <x v="2"/>
  </r>
  <r>
    <d v="2013-03-26T00:00:00"/>
    <s v="016-2210-000"/>
    <s v="Liquor Sales"/>
    <n v="2277.9535000000001"/>
    <n v="0"/>
    <s v="Daily Sales Import"/>
    <n v="-2277.9535000000001"/>
    <n v="2277.9535000000001"/>
    <x v="0"/>
    <s v="2210"/>
    <s v="000"/>
    <x v="5"/>
    <x v="2"/>
  </r>
  <r>
    <d v="2013-03-26T00:00:00"/>
    <s v="016-2220-000"/>
    <s v="Beer Sales"/>
    <n v="783"/>
    <n v="0"/>
    <s v="Daily Sales Import"/>
    <n v="-783"/>
    <n v="783"/>
    <x v="0"/>
    <s v="2220"/>
    <s v="000"/>
    <x v="5"/>
    <x v="2"/>
  </r>
  <r>
    <d v="2013-03-26T00:00:00"/>
    <s v="016-2230-000"/>
    <s v="Wine Sales"/>
    <n v="303.20940000000002"/>
    <n v="0"/>
    <s v="Daily Sales Import"/>
    <n v="-303.20940000000002"/>
    <n v="303.20940000000002"/>
    <x v="0"/>
    <s v="2230"/>
    <s v="000"/>
    <x v="5"/>
    <x v="2"/>
  </r>
  <r>
    <d v="2013-03-27T00:00:00"/>
    <s v="016-2100-000"/>
    <s v="Food Sales"/>
    <n v="6116.1522000000004"/>
    <n v="0"/>
    <s v="Daily Sales Import"/>
    <n v="-6116.1522000000004"/>
    <n v="6116.1522000000004"/>
    <x v="0"/>
    <s v="2100"/>
    <s v="000"/>
    <x v="5"/>
    <x v="2"/>
  </r>
  <r>
    <d v="2013-03-27T00:00:00"/>
    <s v="016-2210-000"/>
    <s v="Liquor Sales"/>
    <n v="952.53139999999996"/>
    <n v="0"/>
    <s v="Daily Sales Import"/>
    <n v="-952.53139999999996"/>
    <n v="952.53139999999996"/>
    <x v="0"/>
    <s v="2210"/>
    <s v="000"/>
    <x v="5"/>
    <x v="2"/>
  </r>
  <r>
    <d v="2013-03-27T00:00:00"/>
    <s v="016-2220-000"/>
    <s v="Beer Sales"/>
    <n v="239.03100000000003"/>
    <n v="0"/>
    <s v="Daily Sales Import"/>
    <n v="-239.03100000000003"/>
    <n v="239.03100000000003"/>
    <x v="0"/>
    <s v="2220"/>
    <s v="000"/>
    <x v="5"/>
    <x v="2"/>
  </r>
  <r>
    <d v="2013-03-27T00:00:00"/>
    <s v="016-2230-000"/>
    <s v="Wine Sales"/>
    <n v="231.20000000000002"/>
    <n v="0"/>
    <s v="Daily Sales Import"/>
    <n v="-231.20000000000002"/>
    <n v="231.20000000000002"/>
    <x v="0"/>
    <s v="2230"/>
    <s v="000"/>
    <x v="5"/>
    <x v="2"/>
  </r>
  <r>
    <d v="2013-03-28T00:00:00"/>
    <s v="016-2100-000"/>
    <s v="Food Sales"/>
    <n v="5748.0875999999998"/>
    <n v="0"/>
    <s v="Daily Sales Import"/>
    <n v="-5748.0875999999998"/>
    <n v="5748.0875999999998"/>
    <x v="0"/>
    <s v="2100"/>
    <s v="000"/>
    <x v="5"/>
    <x v="2"/>
  </r>
  <r>
    <d v="2013-03-28T00:00:00"/>
    <s v="016-2210-000"/>
    <s v="Liquor Sales"/>
    <n v="1684.9275"/>
    <n v="0"/>
    <s v="Daily Sales Import"/>
    <n v="-1684.9275"/>
    <n v="1684.9275"/>
    <x v="0"/>
    <s v="2210"/>
    <s v="000"/>
    <x v="5"/>
    <x v="2"/>
  </r>
  <r>
    <d v="2013-03-28T00:00:00"/>
    <s v="016-2220-000"/>
    <s v="Beer Sales"/>
    <n v="239.11719999999997"/>
    <n v="0"/>
    <s v="Daily Sales Import"/>
    <n v="-239.11719999999997"/>
    <n v="239.11719999999997"/>
    <x v="0"/>
    <s v="2220"/>
    <s v="000"/>
    <x v="5"/>
    <x v="2"/>
  </r>
  <r>
    <d v="2013-03-28T00:00:00"/>
    <s v="016-2230-000"/>
    <s v="Wine Sales"/>
    <n v="80.471999999999994"/>
    <n v="0"/>
    <s v="Daily Sales Import"/>
    <n v="-80.471999999999994"/>
    <n v="80.471999999999994"/>
    <x v="0"/>
    <s v="2230"/>
    <s v="000"/>
    <x v="5"/>
    <x v="2"/>
  </r>
  <r>
    <d v="2013-03-29T00:00:00"/>
    <s v="016-2100-000"/>
    <s v="Food Sales"/>
    <n v="5150.7720000000008"/>
    <n v="0"/>
    <s v="Daily Sales Import"/>
    <n v="-5150.7720000000008"/>
    <n v="5150.7720000000008"/>
    <x v="0"/>
    <s v="2100"/>
    <s v="000"/>
    <x v="5"/>
    <x v="2"/>
  </r>
  <r>
    <d v="2013-03-29T00:00:00"/>
    <s v="016-2210-000"/>
    <s v="Liquor Sales"/>
    <n v="2885.4935999999998"/>
    <n v="0"/>
    <s v="Daily Sales Import"/>
    <n v="-2885.4935999999998"/>
    <n v="2885.4935999999998"/>
    <x v="0"/>
    <s v="2210"/>
    <s v="000"/>
    <x v="5"/>
    <x v="2"/>
  </r>
  <r>
    <d v="2013-03-29T00:00:00"/>
    <s v="016-2220-000"/>
    <s v="Beer Sales"/>
    <n v="303.2484"/>
    <n v="0"/>
    <s v="Daily Sales Import"/>
    <n v="-303.2484"/>
    <n v="303.2484"/>
    <x v="0"/>
    <s v="2220"/>
    <s v="000"/>
    <x v="5"/>
    <x v="2"/>
  </r>
  <r>
    <d v="2013-03-29T00:00:00"/>
    <s v="016-2230-000"/>
    <s v="Wine Sales"/>
    <n v="201.01350000000002"/>
    <n v="0"/>
    <s v="Daily Sales Import"/>
    <n v="-201.01350000000002"/>
    <n v="201.01350000000002"/>
    <x v="0"/>
    <s v="2230"/>
    <s v="000"/>
    <x v="5"/>
    <x v="2"/>
  </r>
  <r>
    <d v="2013-03-30T00:00:00"/>
    <s v="016-2100-000"/>
    <s v="Food Sales"/>
    <n v="12173.451999999999"/>
    <n v="0"/>
    <s v="Daily Sales Import"/>
    <n v="-12173.451999999999"/>
    <n v="12173.451999999999"/>
    <x v="0"/>
    <s v="2100"/>
    <s v="000"/>
    <x v="5"/>
    <x v="2"/>
  </r>
  <r>
    <d v="2013-03-30T00:00:00"/>
    <s v="016-2210-000"/>
    <s v="Liquor Sales"/>
    <n v="2917.9079999999999"/>
    <n v="0"/>
    <s v="Daily Sales Import"/>
    <n v="-2917.9079999999999"/>
    <n v="2917.9079999999999"/>
    <x v="0"/>
    <s v="2210"/>
    <s v="000"/>
    <x v="5"/>
    <x v="2"/>
  </r>
  <r>
    <d v="2013-03-30T00:00:00"/>
    <s v="016-2220-000"/>
    <s v="Beer Sales"/>
    <n v="673.14600000000007"/>
    <n v="0"/>
    <s v="Daily Sales Import"/>
    <n v="-673.14600000000007"/>
    <n v="673.14600000000007"/>
    <x v="0"/>
    <s v="2220"/>
    <s v="000"/>
    <x v="5"/>
    <x v="2"/>
  </r>
  <r>
    <d v="2013-03-30T00:00:00"/>
    <s v="016-2230-000"/>
    <s v="Wine Sales"/>
    <n v="199.95359999999999"/>
    <n v="0"/>
    <s v="Daily Sales Import"/>
    <n v="-199.95359999999999"/>
    <n v="199.95359999999999"/>
    <x v="0"/>
    <s v="2230"/>
    <s v="000"/>
    <x v="5"/>
    <x v="2"/>
  </r>
  <r>
    <d v="2013-03-31T00:00:00"/>
    <s v="016-2100-000"/>
    <s v="Food Sales"/>
    <n v="3094.0226999999995"/>
    <n v="0"/>
    <s v="Daily Sales Import"/>
    <n v="-3094.0226999999995"/>
    <n v="3094.0226999999995"/>
    <x v="0"/>
    <s v="2100"/>
    <s v="000"/>
    <x v="5"/>
    <x v="2"/>
  </r>
  <r>
    <d v="2013-03-31T00:00:00"/>
    <s v="016-2210-000"/>
    <s v="Liquor Sales"/>
    <n v="681.99879999999996"/>
    <n v="0"/>
    <s v="Daily Sales Import"/>
    <n v="-681.99879999999996"/>
    <n v="681.99879999999996"/>
    <x v="0"/>
    <s v="2210"/>
    <s v="000"/>
    <x v="5"/>
    <x v="2"/>
  </r>
  <r>
    <d v="2013-03-31T00:00:00"/>
    <s v="016-2220-000"/>
    <s v="Beer Sales"/>
    <n v="250.86649999999997"/>
    <n v="0"/>
    <s v="Daily Sales Import"/>
    <n v="-250.86649999999997"/>
    <n v="250.86649999999997"/>
    <x v="0"/>
    <s v="2220"/>
    <s v="000"/>
    <x v="5"/>
    <x v="2"/>
  </r>
  <r>
    <d v="2013-03-31T00:00:00"/>
    <s v="016-2230-000"/>
    <s v="Wine Sales"/>
    <n v="53.026400000000002"/>
    <n v="0"/>
    <s v="Daily Sales Import"/>
    <n v="-53.026400000000002"/>
    <n v="53.026400000000002"/>
    <x v="0"/>
    <s v="2230"/>
    <s v="000"/>
    <x v="5"/>
    <x v="2"/>
  </r>
  <r>
    <d v="2013-03-25T00:00:00"/>
    <s v="017-2100-000"/>
    <s v="Food Sales"/>
    <n v="2815.8854999999994"/>
    <n v="0"/>
    <s v="Daily Sales Import"/>
    <n v="-2815.8854999999994"/>
    <n v="2815.8854999999994"/>
    <x v="1"/>
    <s v="2100"/>
    <s v="000"/>
    <x v="5"/>
    <x v="2"/>
  </r>
  <r>
    <d v="2013-03-25T00:00:00"/>
    <s v="017-2210-000"/>
    <s v="Liquor Sales"/>
    <n v="527.94970000000001"/>
    <n v="0"/>
    <s v="Daily Sales Import"/>
    <n v="-527.94970000000001"/>
    <n v="527.94970000000001"/>
    <x v="1"/>
    <s v="2210"/>
    <s v="000"/>
    <x v="5"/>
    <x v="2"/>
  </r>
  <r>
    <d v="2013-03-25T00:00:00"/>
    <s v="017-2220-000"/>
    <s v="Beer Sales"/>
    <n v="266.10639999999995"/>
    <n v="0"/>
    <s v="Daily Sales Import"/>
    <n v="-266.10639999999995"/>
    <n v="266.10639999999995"/>
    <x v="1"/>
    <s v="2220"/>
    <s v="000"/>
    <x v="5"/>
    <x v="2"/>
  </r>
  <r>
    <d v="2013-03-25T00:00:00"/>
    <s v="017-2230-000"/>
    <s v="Wine Sales"/>
    <n v="35.173400000000001"/>
    <n v="0"/>
    <s v="Daily Sales Import"/>
    <n v="-35.173400000000001"/>
    <n v="35.173400000000001"/>
    <x v="1"/>
    <s v="2230"/>
    <s v="000"/>
    <x v="5"/>
    <x v="2"/>
  </r>
  <r>
    <d v="2013-03-26T00:00:00"/>
    <s v="017-2100-000"/>
    <s v="Food Sales"/>
    <n v="5559.6815999999999"/>
    <n v="0"/>
    <s v="Daily Sales Import"/>
    <n v="-5559.6815999999999"/>
    <n v="5559.6815999999999"/>
    <x v="1"/>
    <s v="2100"/>
    <s v="000"/>
    <x v="5"/>
    <x v="2"/>
  </r>
  <r>
    <d v="2013-03-26T00:00:00"/>
    <s v="017-2210-000"/>
    <s v="Liquor Sales"/>
    <n v="1884.1937999999998"/>
    <n v="0"/>
    <s v="Daily Sales Import"/>
    <n v="-1884.1937999999998"/>
    <n v="1884.1937999999998"/>
    <x v="1"/>
    <s v="2210"/>
    <s v="000"/>
    <x v="5"/>
    <x v="2"/>
  </r>
  <r>
    <d v="2013-03-26T00:00:00"/>
    <s v="017-2220-000"/>
    <s v="Beer Sales"/>
    <n v="608.74289999999996"/>
    <n v="0"/>
    <s v="Daily Sales Import"/>
    <n v="-608.74289999999996"/>
    <n v="608.74289999999996"/>
    <x v="1"/>
    <s v="2220"/>
    <s v="000"/>
    <x v="5"/>
    <x v="2"/>
  </r>
  <r>
    <d v="2013-03-26T00:00:00"/>
    <s v="017-2230-000"/>
    <s v="Wine Sales"/>
    <n v="207.0822"/>
    <n v="0"/>
    <s v="Daily Sales Import"/>
    <n v="-207.0822"/>
    <n v="207.0822"/>
    <x v="1"/>
    <s v="2230"/>
    <s v="000"/>
    <x v="5"/>
    <x v="2"/>
  </r>
  <r>
    <d v="2013-03-27T00:00:00"/>
    <s v="017-2100-000"/>
    <s v="Food Sales"/>
    <n v="7053.8332"/>
    <n v="0"/>
    <s v="Daily Sales Import"/>
    <n v="-7053.8332"/>
    <n v="7053.8332"/>
    <x v="1"/>
    <s v="2100"/>
    <s v="000"/>
    <x v="5"/>
    <x v="2"/>
  </r>
  <r>
    <d v="2013-03-27T00:00:00"/>
    <s v="017-2210-000"/>
    <s v="Liquor Sales"/>
    <n v="1446.1019999999999"/>
    <n v="0"/>
    <s v="Daily Sales Import"/>
    <n v="-1446.1019999999999"/>
    <n v="1446.1019999999999"/>
    <x v="1"/>
    <s v="2210"/>
    <s v="000"/>
    <x v="5"/>
    <x v="2"/>
  </r>
  <r>
    <d v="2013-03-27T00:00:00"/>
    <s v="017-2220-000"/>
    <s v="Beer Sales"/>
    <n v="487.46699999999998"/>
    <n v="0"/>
    <s v="Daily Sales Import"/>
    <n v="-487.46699999999998"/>
    <n v="487.46699999999998"/>
    <x v="1"/>
    <s v="2220"/>
    <s v="000"/>
    <x v="5"/>
    <x v="2"/>
  </r>
  <r>
    <d v="2013-03-27T00:00:00"/>
    <s v="017-2230-000"/>
    <s v="Wine Sales"/>
    <n v="65.883499999999998"/>
    <n v="0"/>
    <s v="Daily Sales Import"/>
    <n v="-65.883499999999998"/>
    <n v="65.883499999999998"/>
    <x v="1"/>
    <s v="2230"/>
    <s v="000"/>
    <x v="5"/>
    <x v="2"/>
  </r>
  <r>
    <d v="2013-03-28T00:00:00"/>
    <s v="017-2100-000"/>
    <s v="Food Sales"/>
    <n v="8417.8528000000006"/>
    <n v="0"/>
    <s v="Daily Sales Import"/>
    <n v="-8417.8528000000006"/>
    <n v="8417.8528000000006"/>
    <x v="1"/>
    <s v="2100"/>
    <s v="000"/>
    <x v="5"/>
    <x v="2"/>
  </r>
  <r>
    <d v="2013-03-28T00:00:00"/>
    <s v="017-2210-000"/>
    <s v="Liquor Sales"/>
    <n v="2643.3712"/>
    <n v="0"/>
    <s v="Daily Sales Import"/>
    <n v="-2643.3712"/>
    <n v="2643.3712"/>
    <x v="1"/>
    <s v="2210"/>
    <s v="000"/>
    <x v="5"/>
    <x v="2"/>
  </r>
  <r>
    <d v="2013-03-28T00:00:00"/>
    <s v="017-2220-000"/>
    <s v="Beer Sales"/>
    <n v="461.51699999999994"/>
    <n v="0"/>
    <s v="Daily Sales Import"/>
    <n v="-461.51699999999994"/>
    <n v="461.51699999999994"/>
    <x v="1"/>
    <s v="2220"/>
    <s v="000"/>
    <x v="5"/>
    <x v="2"/>
  </r>
  <r>
    <d v="2013-03-28T00:00:00"/>
    <s v="017-2230-000"/>
    <s v="Wine Sales"/>
    <n v="133.87400000000002"/>
    <n v="0"/>
    <s v="Daily Sales Import"/>
    <n v="-133.87400000000002"/>
    <n v="133.87400000000002"/>
    <x v="1"/>
    <s v="2230"/>
    <s v="000"/>
    <x v="5"/>
    <x v="2"/>
  </r>
  <r>
    <d v="2013-03-29T00:00:00"/>
    <s v="017-2100-000"/>
    <s v="Food Sales"/>
    <n v="10641.3532"/>
    <n v="0"/>
    <s v="Daily Sales Import"/>
    <n v="-10641.3532"/>
    <n v="10641.3532"/>
    <x v="1"/>
    <s v="2100"/>
    <s v="000"/>
    <x v="5"/>
    <x v="2"/>
  </r>
  <r>
    <d v="2013-03-29T00:00:00"/>
    <s v="017-2210-000"/>
    <s v="Liquor Sales"/>
    <n v="3223.0547999999999"/>
    <n v="0"/>
    <s v="Daily Sales Import"/>
    <n v="-3223.0547999999999"/>
    <n v="3223.0547999999999"/>
    <x v="1"/>
    <s v="2210"/>
    <s v="000"/>
    <x v="5"/>
    <x v="2"/>
  </r>
  <r>
    <d v="2013-03-29T00:00:00"/>
    <s v="017-2220-000"/>
    <s v="Beer Sales"/>
    <n v="460.17180000000002"/>
    <n v="0"/>
    <s v="Daily Sales Import"/>
    <n v="-460.17180000000002"/>
    <n v="460.17180000000002"/>
    <x v="1"/>
    <s v="2220"/>
    <s v="000"/>
    <x v="5"/>
    <x v="2"/>
  </r>
  <r>
    <d v="2013-03-29T00:00:00"/>
    <s v="017-2230-000"/>
    <s v="Wine Sales"/>
    <n v="113.26180000000001"/>
    <n v="0"/>
    <s v="Daily Sales Import"/>
    <n v="-113.26180000000001"/>
    <n v="113.26180000000001"/>
    <x v="1"/>
    <s v="2230"/>
    <s v="000"/>
    <x v="5"/>
    <x v="2"/>
  </r>
  <r>
    <d v="2013-03-30T00:00:00"/>
    <s v="017-2100-000"/>
    <s v="Food Sales"/>
    <n v="10058.1309"/>
    <n v="0"/>
    <s v="Daily Sales Import"/>
    <n v="-10058.1309"/>
    <n v="10058.1309"/>
    <x v="1"/>
    <s v="2100"/>
    <s v="000"/>
    <x v="5"/>
    <x v="2"/>
  </r>
  <r>
    <d v="2013-03-30T00:00:00"/>
    <s v="017-2210-000"/>
    <s v="Liquor Sales"/>
    <n v="1543.674"/>
    <n v="0"/>
    <s v="Daily Sales Import"/>
    <n v="-1543.674"/>
    <n v="1543.674"/>
    <x v="1"/>
    <s v="2210"/>
    <s v="000"/>
    <x v="5"/>
    <x v="2"/>
  </r>
  <r>
    <d v="2013-03-30T00:00:00"/>
    <s v="017-2220-000"/>
    <s v="Beer Sales"/>
    <n v="722.10799999999995"/>
    <n v="0"/>
    <s v="Daily Sales Import"/>
    <n v="-722.10799999999995"/>
    <n v="722.10799999999995"/>
    <x v="1"/>
    <s v="2220"/>
    <s v="000"/>
    <x v="5"/>
    <x v="2"/>
  </r>
  <r>
    <d v="2013-03-30T00:00:00"/>
    <s v="017-2230-000"/>
    <s v="Wine Sales"/>
    <n v="57.657600000000002"/>
    <n v="0"/>
    <s v="Daily Sales Import"/>
    <n v="-57.657600000000002"/>
    <n v="57.657600000000002"/>
    <x v="1"/>
    <s v="2230"/>
    <s v="000"/>
    <x v="5"/>
    <x v="2"/>
  </r>
  <r>
    <d v="2013-03-31T00:00:00"/>
    <s v="017-2100-000"/>
    <s v="Food Sales"/>
    <n v="4095.2296000000001"/>
    <n v="0"/>
    <s v="Daily Sales Import"/>
    <n v="-4095.2296000000001"/>
    <n v="4095.2296000000001"/>
    <x v="1"/>
    <s v="2100"/>
    <s v="000"/>
    <x v="5"/>
    <x v="2"/>
  </r>
  <r>
    <d v="2013-03-31T00:00:00"/>
    <s v="017-2210-000"/>
    <s v="Liquor Sales"/>
    <n v="455.03399999999999"/>
    <n v="0"/>
    <s v="Daily Sales Import"/>
    <n v="-455.03399999999999"/>
    <n v="455.03399999999999"/>
    <x v="1"/>
    <s v="2210"/>
    <s v="000"/>
    <x v="5"/>
    <x v="2"/>
  </r>
  <r>
    <d v="2013-03-31T00:00:00"/>
    <s v="017-2220-000"/>
    <s v="Beer Sales"/>
    <n v="83.405999999999992"/>
    <n v="0"/>
    <s v="Daily Sales Import"/>
    <n v="-83.405999999999992"/>
    <n v="83.405999999999992"/>
    <x v="1"/>
    <s v="2220"/>
    <s v="000"/>
    <x v="5"/>
    <x v="2"/>
  </r>
  <r>
    <d v="2013-03-31T00:00:00"/>
    <s v="017-2230-000"/>
    <s v="Wine Sales"/>
    <n v="46.404600000000002"/>
    <n v="0"/>
    <s v="Daily Sales Import"/>
    <n v="-46.404600000000002"/>
    <n v="46.404600000000002"/>
    <x v="1"/>
    <s v="2230"/>
    <s v="000"/>
    <x v="5"/>
    <x v="2"/>
  </r>
  <r>
    <d v="2013-03-25T00:00:00"/>
    <s v="018-2100-000"/>
    <s v="Food Sales"/>
    <n v="3020.7096000000001"/>
    <n v="0"/>
    <s v="Daily Sales Import"/>
    <n v="-3020.7096000000001"/>
    <n v="3020.7096000000001"/>
    <x v="2"/>
    <s v="2100"/>
    <s v="000"/>
    <x v="5"/>
    <x v="2"/>
  </r>
  <r>
    <d v="2013-03-25T00:00:00"/>
    <s v="018-2210-000"/>
    <s v="Liquor Sales"/>
    <n v="659.15560000000005"/>
    <n v="0"/>
    <s v="Daily Sales Import"/>
    <n v="-659.15560000000005"/>
    <n v="659.15560000000005"/>
    <x v="2"/>
    <s v="2210"/>
    <s v="000"/>
    <x v="5"/>
    <x v="2"/>
  </r>
  <r>
    <d v="2013-03-25T00:00:00"/>
    <s v="018-2220-000"/>
    <s v="Beer Sales"/>
    <n v="135.32849999999999"/>
    <n v="0"/>
    <s v="Daily Sales Import"/>
    <n v="-135.32849999999999"/>
    <n v="135.32849999999999"/>
    <x v="2"/>
    <s v="2220"/>
    <s v="000"/>
    <x v="5"/>
    <x v="2"/>
  </r>
  <r>
    <d v="2013-03-25T00:00:00"/>
    <s v="018-2230-000"/>
    <s v="Wine Sales"/>
    <n v="11.984999999999999"/>
    <n v="0"/>
    <s v="Daily Sales Import"/>
    <n v="-11.984999999999999"/>
    <n v="11.984999999999999"/>
    <x v="2"/>
    <s v="2230"/>
    <s v="000"/>
    <x v="5"/>
    <x v="2"/>
  </r>
  <r>
    <d v="2013-03-26T00:00:00"/>
    <s v="018-2100-000"/>
    <s v="Food Sales"/>
    <n v="5279.5604000000003"/>
    <n v="0"/>
    <s v="Daily Sales Import"/>
    <n v="-5279.5604000000003"/>
    <n v="5279.5604000000003"/>
    <x v="2"/>
    <s v="2100"/>
    <s v="000"/>
    <x v="5"/>
    <x v="2"/>
  </r>
  <r>
    <d v="2013-03-26T00:00:00"/>
    <s v="018-2210-000"/>
    <s v="Liquor Sales"/>
    <n v="754.24719999999991"/>
    <n v="0"/>
    <s v="Daily Sales Import"/>
    <n v="-754.24719999999991"/>
    <n v="754.24719999999991"/>
    <x v="2"/>
    <s v="2210"/>
    <s v="000"/>
    <x v="5"/>
    <x v="2"/>
  </r>
  <r>
    <d v="2013-03-26T00:00:00"/>
    <s v="018-2220-000"/>
    <s v="Beer Sales"/>
    <n v="281.54699999999997"/>
    <n v="0"/>
    <s v="Daily Sales Import"/>
    <n v="-281.54699999999997"/>
    <n v="281.54699999999997"/>
    <x v="2"/>
    <s v="2220"/>
    <s v="000"/>
    <x v="5"/>
    <x v="2"/>
  </r>
  <r>
    <d v="2013-03-26T00:00:00"/>
    <s v="018-2230-000"/>
    <s v="Wine Sales"/>
    <n v="25.258800000000001"/>
    <n v="0"/>
    <s v="Daily Sales Import"/>
    <n v="-25.258800000000001"/>
    <n v="25.258800000000001"/>
    <x v="2"/>
    <s v="2230"/>
    <s v="000"/>
    <x v="5"/>
    <x v="2"/>
  </r>
  <r>
    <d v="2013-03-27T00:00:00"/>
    <s v="018-2100-000"/>
    <s v="Food Sales"/>
    <n v="4382.5205999999998"/>
    <n v="0"/>
    <s v="Daily Sales Import"/>
    <n v="-4382.5205999999998"/>
    <n v="4382.5205999999998"/>
    <x v="2"/>
    <s v="2100"/>
    <s v="000"/>
    <x v="5"/>
    <x v="2"/>
  </r>
  <r>
    <d v="2013-03-27T00:00:00"/>
    <s v="018-2210-000"/>
    <s v="Liquor Sales"/>
    <n v="863.41679999999985"/>
    <n v="0"/>
    <s v="Daily Sales Import"/>
    <n v="-863.41679999999985"/>
    <n v="863.41679999999985"/>
    <x v="2"/>
    <s v="2210"/>
    <s v="000"/>
    <x v="5"/>
    <x v="2"/>
  </r>
  <r>
    <d v="2013-03-27T00:00:00"/>
    <s v="018-2220-000"/>
    <s v="Beer Sales"/>
    <n v="381.7122"/>
    <n v="0"/>
    <s v="Daily Sales Import"/>
    <n v="-381.7122"/>
    <n v="381.7122"/>
    <x v="2"/>
    <s v="2220"/>
    <s v="000"/>
    <x v="5"/>
    <x v="2"/>
  </r>
  <r>
    <d v="2013-03-27T00:00:00"/>
    <s v="018-2230-000"/>
    <s v="Wine Sales"/>
    <n v="83.748000000000005"/>
    <n v="0"/>
    <s v="Daily Sales Import"/>
    <n v="-83.748000000000005"/>
    <n v="83.748000000000005"/>
    <x v="2"/>
    <s v="2230"/>
    <s v="000"/>
    <x v="5"/>
    <x v="2"/>
  </r>
  <r>
    <d v="2013-03-28T00:00:00"/>
    <s v="018-2100-000"/>
    <s v="Food Sales"/>
    <n v="5140.8449999999993"/>
    <n v="0"/>
    <s v="Daily Sales Import"/>
    <n v="-5140.8449999999993"/>
    <n v="5140.8449999999993"/>
    <x v="2"/>
    <s v="2100"/>
    <s v="000"/>
    <x v="5"/>
    <x v="2"/>
  </r>
  <r>
    <d v="2013-03-28T00:00:00"/>
    <s v="018-2210-000"/>
    <s v="Liquor Sales"/>
    <n v="1399.0716"/>
    <n v="0"/>
    <s v="Daily Sales Import"/>
    <n v="-1399.0716"/>
    <n v="1399.0716"/>
    <x v="2"/>
    <s v="2210"/>
    <s v="000"/>
    <x v="5"/>
    <x v="2"/>
  </r>
  <r>
    <d v="2013-03-28T00:00:00"/>
    <s v="018-2220-000"/>
    <s v="Beer Sales"/>
    <n v="273.548"/>
    <n v="0"/>
    <s v="Daily Sales Import"/>
    <n v="-273.548"/>
    <n v="273.548"/>
    <x v="2"/>
    <s v="2220"/>
    <s v="000"/>
    <x v="5"/>
    <x v="2"/>
  </r>
  <r>
    <d v="2013-03-28T00:00:00"/>
    <s v="018-2230-000"/>
    <s v="Wine Sales"/>
    <n v="51.006999999999998"/>
    <n v="0"/>
    <s v="Daily Sales Import"/>
    <n v="-51.006999999999998"/>
    <n v="51.006999999999998"/>
    <x v="2"/>
    <s v="2230"/>
    <s v="000"/>
    <x v="5"/>
    <x v="2"/>
  </r>
  <r>
    <d v="2013-03-29T00:00:00"/>
    <s v="018-2100-000"/>
    <s v="Food Sales"/>
    <n v="8749.2553000000007"/>
    <n v="0"/>
    <s v="Daily Sales Import"/>
    <n v="-8749.2553000000007"/>
    <n v="8749.2553000000007"/>
    <x v="2"/>
    <s v="2100"/>
    <s v="000"/>
    <x v="5"/>
    <x v="2"/>
  </r>
  <r>
    <d v="2013-03-29T00:00:00"/>
    <s v="018-2210-000"/>
    <s v="Liquor Sales"/>
    <n v="3238.8202000000001"/>
    <n v="0"/>
    <s v="Daily Sales Import"/>
    <n v="-3238.8202000000001"/>
    <n v="3238.8202000000001"/>
    <x v="2"/>
    <s v="2210"/>
    <s v="000"/>
    <x v="5"/>
    <x v="2"/>
  </r>
  <r>
    <d v="2013-03-29T00:00:00"/>
    <s v="018-2220-000"/>
    <s v="Beer Sales"/>
    <n v="644.48720000000003"/>
    <n v="0"/>
    <s v="Daily Sales Import"/>
    <n v="-644.48720000000003"/>
    <n v="644.48720000000003"/>
    <x v="2"/>
    <s v="2220"/>
    <s v="000"/>
    <x v="5"/>
    <x v="2"/>
  </r>
  <r>
    <d v="2013-03-29T00:00:00"/>
    <s v="018-2230-000"/>
    <s v="Wine Sales"/>
    <n v="145.5608"/>
    <n v="0"/>
    <s v="Daily Sales Import"/>
    <n v="-145.5608"/>
    <n v="145.5608"/>
    <x v="2"/>
    <s v="2230"/>
    <s v="000"/>
    <x v="5"/>
    <x v="2"/>
  </r>
  <r>
    <d v="2013-03-30T00:00:00"/>
    <s v="018-2100-000"/>
    <s v="Food Sales"/>
    <n v="12778.3539"/>
    <n v="0"/>
    <s v="Daily Sales Import"/>
    <n v="-12778.3539"/>
    <n v="12778.3539"/>
    <x v="2"/>
    <s v="2100"/>
    <s v="000"/>
    <x v="5"/>
    <x v="2"/>
  </r>
  <r>
    <d v="2013-03-30T00:00:00"/>
    <s v="018-2210-000"/>
    <s v="Liquor Sales"/>
    <n v="3887.3813999999998"/>
    <n v="0"/>
    <s v="Daily Sales Import"/>
    <n v="-3887.3813999999998"/>
    <n v="3887.3813999999998"/>
    <x v="2"/>
    <s v="2210"/>
    <s v="000"/>
    <x v="5"/>
    <x v="2"/>
  </r>
  <r>
    <d v="2013-03-30T00:00:00"/>
    <s v="018-2220-000"/>
    <s v="Beer Sales"/>
    <n v="737.59"/>
    <n v="0"/>
    <s v="Daily Sales Import"/>
    <n v="-737.59"/>
    <n v="737.59"/>
    <x v="2"/>
    <s v="2220"/>
    <s v="000"/>
    <x v="5"/>
    <x v="2"/>
  </r>
  <r>
    <d v="2013-03-30T00:00:00"/>
    <s v="018-2230-000"/>
    <s v="Wine Sales"/>
    <n v="130.34700000000001"/>
    <n v="0"/>
    <s v="Daily Sales Import"/>
    <n v="-130.34700000000001"/>
    <n v="130.34700000000001"/>
    <x v="2"/>
    <s v="2230"/>
    <s v="000"/>
    <x v="5"/>
    <x v="2"/>
  </r>
  <r>
    <d v="2013-03-31T00:00:00"/>
    <s v="018-2100-000"/>
    <s v="Food Sales"/>
    <n v="7767.585"/>
    <n v="0"/>
    <s v="Daily Sales Import"/>
    <n v="-7767.585"/>
    <n v="7767.585"/>
    <x v="2"/>
    <s v="2100"/>
    <s v="000"/>
    <x v="5"/>
    <x v="2"/>
  </r>
  <r>
    <d v="2013-03-31T00:00:00"/>
    <s v="018-2210-000"/>
    <s v="Liquor Sales"/>
    <n v="849.36880000000008"/>
    <n v="0"/>
    <s v="Daily Sales Import"/>
    <n v="-849.36880000000008"/>
    <n v="849.36880000000008"/>
    <x v="2"/>
    <s v="2210"/>
    <s v="000"/>
    <x v="5"/>
    <x v="2"/>
  </r>
  <r>
    <d v="2013-03-31T00:00:00"/>
    <s v="018-2220-000"/>
    <s v="Beer Sales"/>
    <n v="226.85039999999998"/>
    <n v="0"/>
    <s v="Daily Sales Import"/>
    <n v="-226.85039999999998"/>
    <n v="226.85039999999998"/>
    <x v="2"/>
    <s v="2220"/>
    <s v="000"/>
    <x v="5"/>
    <x v="2"/>
  </r>
  <r>
    <d v="2013-03-31T00:00:00"/>
    <s v="018-2230-000"/>
    <s v="Wine Sales"/>
    <n v="140.43780000000001"/>
    <n v="0"/>
    <s v="Daily Sales Import"/>
    <n v="-140.43780000000001"/>
    <n v="140.43780000000001"/>
    <x v="2"/>
    <s v="2230"/>
    <s v="000"/>
    <x v="5"/>
    <x v="2"/>
  </r>
  <r>
    <d v="2013-04-01T00:00:00"/>
    <s v="016-2100-000"/>
    <s v="Food Sales"/>
    <n v="4554.0054"/>
    <n v="0"/>
    <s v="Daily Sales Import"/>
    <n v="-4554.0054"/>
    <n v="4554.0054"/>
    <x v="0"/>
    <s v="2100"/>
    <s v="000"/>
    <x v="6"/>
    <x v="2"/>
  </r>
  <r>
    <d v="2013-04-01T00:00:00"/>
    <s v="016-2210-000"/>
    <s v="Liquor Sales"/>
    <n v="855.22050000000002"/>
    <n v="0"/>
    <s v="Daily Sales Import"/>
    <n v="-855.22050000000002"/>
    <n v="855.22050000000002"/>
    <x v="0"/>
    <s v="2210"/>
    <s v="000"/>
    <x v="6"/>
    <x v="2"/>
  </r>
  <r>
    <d v="2013-04-01T00:00:00"/>
    <s v="016-2220-000"/>
    <s v="Beer Sales"/>
    <n v="134.5017"/>
    <n v="0"/>
    <s v="Daily Sales Import"/>
    <n v="-134.5017"/>
    <n v="134.5017"/>
    <x v="0"/>
    <s v="2220"/>
    <s v="000"/>
    <x v="6"/>
    <x v="2"/>
  </r>
  <r>
    <d v="2013-04-01T00:00:00"/>
    <s v="016-2230-000"/>
    <s v="Wine Sales"/>
    <n v="67.807599999999994"/>
    <n v="0"/>
    <s v="Daily Sales Import"/>
    <n v="-67.807599999999994"/>
    <n v="67.807599999999994"/>
    <x v="0"/>
    <s v="2230"/>
    <s v="000"/>
    <x v="6"/>
    <x v="2"/>
  </r>
  <r>
    <d v="2013-04-02T00:00:00"/>
    <s v="016-2100-000"/>
    <s v="Food Sales"/>
    <n v="5282.1720000000005"/>
    <n v="0"/>
    <s v="Daily Sales Import"/>
    <n v="-5282.1720000000005"/>
    <n v="5282.1720000000005"/>
    <x v="0"/>
    <s v="2100"/>
    <s v="000"/>
    <x v="6"/>
    <x v="2"/>
  </r>
  <r>
    <d v="2013-04-02T00:00:00"/>
    <s v="016-2210-000"/>
    <s v="Liquor Sales"/>
    <n v="2251.386"/>
    <n v="0"/>
    <s v="Daily Sales Import"/>
    <n v="-2251.386"/>
    <n v="2251.386"/>
    <x v="0"/>
    <s v="2210"/>
    <s v="000"/>
    <x v="6"/>
    <x v="2"/>
  </r>
  <r>
    <d v="2013-04-02T00:00:00"/>
    <s v="016-2220-000"/>
    <s v="Beer Sales"/>
    <n v="1047.6316000000002"/>
    <n v="0"/>
    <s v="Daily Sales Import"/>
    <n v="-1047.6316000000002"/>
    <n v="1047.6316000000002"/>
    <x v="0"/>
    <s v="2220"/>
    <s v="000"/>
    <x v="6"/>
    <x v="2"/>
  </r>
  <r>
    <d v="2013-04-02T00:00:00"/>
    <s v="016-2230-000"/>
    <s v="Wine Sales"/>
    <n v="189.7484"/>
    <n v="0"/>
    <s v="Daily Sales Import"/>
    <n v="-189.7484"/>
    <n v="189.7484"/>
    <x v="0"/>
    <s v="2230"/>
    <s v="000"/>
    <x v="6"/>
    <x v="2"/>
  </r>
  <r>
    <d v="2013-04-03T00:00:00"/>
    <s v="016-2100-000"/>
    <s v="Food Sales"/>
    <n v="4191.4719000000005"/>
    <n v="0"/>
    <s v="Daily Sales Import"/>
    <n v="-4191.4719000000005"/>
    <n v="4191.4719000000005"/>
    <x v="0"/>
    <s v="2100"/>
    <s v="000"/>
    <x v="6"/>
    <x v="2"/>
  </r>
  <r>
    <d v="2013-04-03T00:00:00"/>
    <s v="016-2210-000"/>
    <s v="Liquor Sales"/>
    <n v="1190.2080000000001"/>
    <n v="0"/>
    <s v="Daily Sales Import"/>
    <n v="-1190.2080000000001"/>
    <n v="1190.2080000000001"/>
    <x v="0"/>
    <s v="2210"/>
    <s v="000"/>
    <x v="6"/>
    <x v="2"/>
  </r>
  <r>
    <d v="2013-04-03T00:00:00"/>
    <s v="016-2220-000"/>
    <s v="Beer Sales"/>
    <n v="193.18799999999999"/>
    <n v="0"/>
    <s v="Daily Sales Import"/>
    <n v="-193.18799999999999"/>
    <n v="193.18799999999999"/>
    <x v="0"/>
    <s v="2220"/>
    <s v="000"/>
    <x v="6"/>
    <x v="2"/>
  </r>
  <r>
    <d v="2013-04-03T00:00:00"/>
    <s v="016-2230-000"/>
    <s v="Wine Sales"/>
    <n v="79.128"/>
    <n v="0"/>
    <s v="Daily Sales Import"/>
    <n v="-79.128"/>
    <n v="79.128"/>
    <x v="0"/>
    <s v="2230"/>
    <s v="000"/>
    <x v="6"/>
    <x v="2"/>
  </r>
  <r>
    <d v="2013-04-04T00:00:00"/>
    <s v="016-2100-000"/>
    <s v="Food Sales"/>
    <n v="3120.105"/>
    <n v="0"/>
    <s v="Daily Sales Import"/>
    <n v="-3120.105"/>
    <n v="3120.105"/>
    <x v="0"/>
    <s v="2100"/>
    <s v="000"/>
    <x v="6"/>
    <x v="2"/>
  </r>
  <r>
    <d v="2013-04-04T00:00:00"/>
    <s v="016-2210-000"/>
    <s v="Liquor Sales"/>
    <n v="612.90440000000012"/>
    <n v="0"/>
    <s v="Daily Sales Import"/>
    <n v="-612.90440000000012"/>
    <n v="612.90440000000012"/>
    <x v="0"/>
    <s v="2210"/>
    <s v="000"/>
    <x v="6"/>
    <x v="2"/>
  </r>
  <r>
    <d v="2013-04-04T00:00:00"/>
    <s v="016-2220-000"/>
    <s v="Beer Sales"/>
    <n v="143.46400000000003"/>
    <n v="0"/>
    <s v="Daily Sales Import"/>
    <n v="-143.46400000000003"/>
    <n v="143.46400000000003"/>
    <x v="0"/>
    <s v="2220"/>
    <s v="000"/>
    <x v="6"/>
    <x v="2"/>
  </r>
  <r>
    <d v="2013-04-04T00:00:00"/>
    <s v="016-2230-000"/>
    <s v="Wine Sales"/>
    <n v="119.624"/>
    <n v="0"/>
    <s v="Daily Sales Import"/>
    <n v="-119.624"/>
    <n v="119.624"/>
    <x v="0"/>
    <s v="2230"/>
    <s v="000"/>
    <x v="6"/>
    <x v="2"/>
  </r>
  <r>
    <d v="2013-04-05T00:00:00"/>
    <s v="016-2100-000"/>
    <s v="Food Sales"/>
    <n v="7257.9433000000008"/>
    <n v="0"/>
    <s v="Daily Sales Import"/>
    <n v="-7257.9433000000008"/>
    <n v="7257.9433000000008"/>
    <x v="0"/>
    <s v="2100"/>
    <s v="000"/>
    <x v="6"/>
    <x v="2"/>
  </r>
  <r>
    <d v="2013-04-05T00:00:00"/>
    <s v="016-2210-000"/>
    <s v="Liquor Sales"/>
    <n v="2666.5650000000001"/>
    <n v="0"/>
    <s v="Daily Sales Import"/>
    <n v="-2666.5650000000001"/>
    <n v="2666.5650000000001"/>
    <x v="0"/>
    <s v="2210"/>
    <s v="000"/>
    <x v="6"/>
    <x v="2"/>
  </r>
  <r>
    <d v="2013-04-05T00:00:00"/>
    <s v="016-2220-000"/>
    <s v="Beer Sales"/>
    <n v="299.60450000000003"/>
    <n v="0"/>
    <s v="Daily Sales Import"/>
    <n v="-299.60450000000003"/>
    <n v="299.60450000000003"/>
    <x v="0"/>
    <s v="2220"/>
    <s v="000"/>
    <x v="6"/>
    <x v="2"/>
  </r>
  <r>
    <d v="2013-04-05T00:00:00"/>
    <s v="016-2230-000"/>
    <s v="Wine Sales"/>
    <n v="99.815100000000001"/>
    <n v="0"/>
    <s v="Daily Sales Import"/>
    <n v="-99.815100000000001"/>
    <n v="99.815100000000001"/>
    <x v="0"/>
    <s v="2230"/>
    <s v="000"/>
    <x v="6"/>
    <x v="2"/>
  </r>
  <r>
    <d v="2013-04-06T00:00:00"/>
    <s v="016-2100-000"/>
    <s v="Food Sales"/>
    <n v="7991.0469000000003"/>
    <n v="0"/>
    <s v="Daily Sales Import"/>
    <n v="-7991.0469000000003"/>
    <n v="7991.0469000000003"/>
    <x v="0"/>
    <s v="2100"/>
    <s v="000"/>
    <x v="6"/>
    <x v="2"/>
  </r>
  <r>
    <d v="2013-04-06T00:00:00"/>
    <s v="016-2210-000"/>
    <s v="Liquor Sales"/>
    <n v="2096.8793999999998"/>
    <n v="0"/>
    <s v="Daily Sales Import"/>
    <n v="-2096.8793999999998"/>
    <n v="2096.8793999999998"/>
    <x v="0"/>
    <s v="2210"/>
    <s v="000"/>
    <x v="6"/>
    <x v="2"/>
  </r>
  <r>
    <d v="2013-04-06T00:00:00"/>
    <s v="016-2220-000"/>
    <s v="Beer Sales"/>
    <n v="309.2672"/>
    <n v="0"/>
    <s v="Daily Sales Import"/>
    <n v="-309.2672"/>
    <n v="309.2672"/>
    <x v="0"/>
    <s v="2220"/>
    <s v="000"/>
    <x v="6"/>
    <x v="2"/>
  </r>
  <r>
    <d v="2013-04-06T00:00:00"/>
    <s v="016-2230-000"/>
    <s v="Wine Sales"/>
    <n v="239.2842"/>
    <n v="0"/>
    <s v="Daily Sales Import"/>
    <n v="-239.2842"/>
    <n v="239.2842"/>
    <x v="0"/>
    <s v="2230"/>
    <s v="000"/>
    <x v="6"/>
    <x v="2"/>
  </r>
  <r>
    <d v="2013-04-07T00:00:00"/>
    <s v="016-2100-000"/>
    <s v="Food Sales"/>
    <n v="4996.6601999999993"/>
    <n v="0"/>
    <s v="Daily Sales Import"/>
    <n v="-4996.6601999999993"/>
    <n v="4996.6601999999993"/>
    <x v="0"/>
    <s v="2100"/>
    <s v="000"/>
    <x v="6"/>
    <x v="2"/>
  </r>
  <r>
    <d v="2013-04-07T00:00:00"/>
    <s v="016-2210-000"/>
    <s v="Liquor Sales"/>
    <n v="1231.4440999999999"/>
    <n v="0"/>
    <s v="Daily Sales Import"/>
    <n v="-1231.4440999999999"/>
    <n v="1231.4440999999999"/>
    <x v="0"/>
    <s v="2210"/>
    <s v="000"/>
    <x v="6"/>
    <x v="2"/>
  </r>
  <r>
    <d v="2013-04-07T00:00:00"/>
    <s v="016-2220-000"/>
    <s v="Beer Sales"/>
    <n v="251.5975"/>
    <n v="0"/>
    <s v="Daily Sales Import"/>
    <n v="-251.5975"/>
    <n v="251.5975"/>
    <x v="0"/>
    <s v="2220"/>
    <s v="000"/>
    <x v="6"/>
    <x v="2"/>
  </r>
  <r>
    <d v="2013-04-07T00:00:00"/>
    <s v="016-2230-000"/>
    <s v="Wine Sales"/>
    <n v="227.64420000000001"/>
    <n v="0"/>
    <s v="Daily Sales Import"/>
    <n v="-227.64420000000001"/>
    <n v="227.64420000000001"/>
    <x v="0"/>
    <s v="2230"/>
    <s v="000"/>
    <x v="6"/>
    <x v="2"/>
  </r>
  <r>
    <d v="2013-04-01T00:00:00"/>
    <s v="017-2100-000"/>
    <s v="Food Sales"/>
    <n v="5006.4560000000001"/>
    <n v="0"/>
    <s v="Daily Sales Import"/>
    <n v="-5006.4560000000001"/>
    <n v="5006.4560000000001"/>
    <x v="1"/>
    <s v="2100"/>
    <s v="000"/>
    <x v="6"/>
    <x v="2"/>
  </r>
  <r>
    <d v="2013-04-01T00:00:00"/>
    <s v="017-2210-000"/>
    <s v="Liquor Sales"/>
    <n v="1221.57"/>
    <n v="0"/>
    <s v="Daily Sales Import"/>
    <n v="-1221.57"/>
    <n v="1221.57"/>
    <x v="1"/>
    <s v="2210"/>
    <s v="000"/>
    <x v="6"/>
    <x v="2"/>
  </r>
  <r>
    <d v="2013-04-01T00:00:00"/>
    <s v="017-2220-000"/>
    <s v="Beer Sales"/>
    <n v="250.768"/>
    <n v="0"/>
    <s v="Daily Sales Import"/>
    <n v="-250.768"/>
    <n v="250.768"/>
    <x v="1"/>
    <s v="2220"/>
    <s v="000"/>
    <x v="6"/>
    <x v="2"/>
  </r>
  <r>
    <d v="2013-04-01T00:00:00"/>
    <s v="017-2230-000"/>
    <s v="Wine Sales"/>
    <n v="92.822400000000002"/>
    <n v="0"/>
    <s v="Daily Sales Import"/>
    <n v="-92.822400000000002"/>
    <n v="92.822400000000002"/>
    <x v="1"/>
    <s v="2230"/>
    <s v="000"/>
    <x v="6"/>
    <x v="2"/>
  </r>
  <r>
    <d v="2013-04-02T00:00:00"/>
    <s v="017-2100-000"/>
    <s v="Food Sales"/>
    <n v="5029.4552000000003"/>
    <n v="0"/>
    <s v="Daily Sales Import"/>
    <n v="-5029.4552000000003"/>
    <n v="5029.4552000000003"/>
    <x v="1"/>
    <s v="2100"/>
    <s v="000"/>
    <x v="6"/>
    <x v="2"/>
  </r>
  <r>
    <d v="2013-04-02T00:00:00"/>
    <s v="017-2210-000"/>
    <s v="Liquor Sales"/>
    <n v="1243.539"/>
    <n v="0"/>
    <s v="Daily Sales Import"/>
    <n v="-1243.539"/>
    <n v="1243.539"/>
    <x v="1"/>
    <s v="2210"/>
    <s v="000"/>
    <x v="6"/>
    <x v="2"/>
  </r>
  <r>
    <d v="2013-04-02T00:00:00"/>
    <s v="017-2220-000"/>
    <s v="Beer Sales"/>
    <n v="322.96420000000001"/>
    <n v="0"/>
    <s v="Daily Sales Import"/>
    <n v="-322.96420000000001"/>
    <n v="322.96420000000001"/>
    <x v="1"/>
    <s v="2220"/>
    <s v="000"/>
    <x v="6"/>
    <x v="2"/>
  </r>
  <r>
    <d v="2013-04-02T00:00:00"/>
    <s v="017-2230-000"/>
    <s v="Wine Sales"/>
    <n v="74.733000000000004"/>
    <n v="0"/>
    <s v="Daily Sales Import"/>
    <n v="-74.733000000000004"/>
    <n v="74.733000000000004"/>
    <x v="1"/>
    <s v="2230"/>
    <s v="000"/>
    <x v="6"/>
    <x v="2"/>
  </r>
  <r>
    <d v="2013-04-03T00:00:00"/>
    <s v="017-2100-000"/>
    <s v="Food Sales"/>
    <n v="6446.3040000000001"/>
    <n v="0"/>
    <s v="Daily Sales Import"/>
    <n v="-6446.3040000000001"/>
    <n v="6446.3040000000001"/>
    <x v="1"/>
    <s v="2100"/>
    <s v="000"/>
    <x v="6"/>
    <x v="2"/>
  </r>
  <r>
    <d v="2013-04-03T00:00:00"/>
    <s v="017-2210-000"/>
    <s v="Liquor Sales"/>
    <n v="862.17200000000014"/>
    <n v="0"/>
    <s v="Daily Sales Import"/>
    <n v="-862.17200000000014"/>
    <n v="862.17200000000014"/>
    <x v="1"/>
    <s v="2210"/>
    <s v="000"/>
    <x v="6"/>
    <x v="2"/>
  </r>
  <r>
    <d v="2013-04-03T00:00:00"/>
    <s v="017-2220-000"/>
    <s v="Beer Sales"/>
    <n v="300.53520000000003"/>
    <n v="0"/>
    <s v="Daily Sales Import"/>
    <n v="-300.53520000000003"/>
    <n v="300.53520000000003"/>
    <x v="1"/>
    <s v="2220"/>
    <s v="000"/>
    <x v="6"/>
    <x v="2"/>
  </r>
  <r>
    <d v="2013-04-03T00:00:00"/>
    <s v="017-2230-000"/>
    <s v="Wine Sales"/>
    <n v="56.617400000000004"/>
    <n v="0"/>
    <s v="Daily Sales Import"/>
    <n v="-56.617400000000004"/>
    <n v="56.617400000000004"/>
    <x v="1"/>
    <s v="2230"/>
    <s v="000"/>
    <x v="6"/>
    <x v="2"/>
  </r>
  <r>
    <d v="2013-04-04T00:00:00"/>
    <s v="017-2100-000"/>
    <s v="Food Sales"/>
    <n v="5256.5349999999999"/>
    <n v="0"/>
    <s v="Daily Sales Import"/>
    <n v="-5256.5349999999999"/>
    <n v="5256.5349999999999"/>
    <x v="1"/>
    <s v="2100"/>
    <s v="000"/>
    <x v="6"/>
    <x v="2"/>
  </r>
  <r>
    <d v="2013-04-04T00:00:00"/>
    <s v="017-2210-000"/>
    <s v="Liquor Sales"/>
    <n v="1439.1454000000001"/>
    <n v="0"/>
    <s v="Daily Sales Import"/>
    <n v="-1439.1454000000001"/>
    <n v="1439.1454000000001"/>
    <x v="1"/>
    <s v="2210"/>
    <s v="000"/>
    <x v="6"/>
    <x v="2"/>
  </r>
  <r>
    <d v="2013-04-04T00:00:00"/>
    <s v="017-2220-000"/>
    <s v="Beer Sales"/>
    <n v="340.51800000000003"/>
    <n v="0"/>
    <s v="Daily Sales Import"/>
    <n v="-340.51800000000003"/>
    <n v="340.51800000000003"/>
    <x v="1"/>
    <s v="2220"/>
    <s v="000"/>
    <x v="6"/>
    <x v="2"/>
  </r>
  <r>
    <d v="2013-04-04T00:00:00"/>
    <s v="017-2230-000"/>
    <s v="Wine Sales"/>
    <n v="172.126"/>
    <n v="0"/>
    <s v="Daily Sales Import"/>
    <n v="-172.126"/>
    <n v="172.126"/>
    <x v="1"/>
    <s v="2230"/>
    <s v="000"/>
    <x v="6"/>
    <x v="2"/>
  </r>
  <r>
    <d v="2013-04-05T00:00:00"/>
    <s v="017-2100-000"/>
    <s v="Food Sales"/>
    <n v="8693.3375999999989"/>
    <n v="0"/>
    <s v="Daily Sales Import"/>
    <n v="-8693.3375999999989"/>
    <n v="8693.3375999999989"/>
    <x v="1"/>
    <s v="2100"/>
    <s v="000"/>
    <x v="6"/>
    <x v="2"/>
  </r>
  <r>
    <d v="2013-04-05T00:00:00"/>
    <s v="017-2210-000"/>
    <s v="Liquor Sales"/>
    <n v="2794.0311000000002"/>
    <n v="0"/>
    <s v="Daily Sales Import"/>
    <n v="-2794.0311000000002"/>
    <n v="2794.0311000000002"/>
    <x v="1"/>
    <s v="2210"/>
    <s v="000"/>
    <x v="6"/>
    <x v="2"/>
  </r>
  <r>
    <d v="2013-04-05T00:00:00"/>
    <s v="017-2220-000"/>
    <s v="Beer Sales"/>
    <n v="871.00799999999992"/>
    <n v="0"/>
    <s v="Daily Sales Import"/>
    <n v="-871.00799999999992"/>
    <n v="871.00799999999992"/>
    <x v="1"/>
    <s v="2220"/>
    <s v="000"/>
    <x v="6"/>
    <x v="2"/>
  </r>
  <r>
    <d v="2013-04-05T00:00:00"/>
    <s v="017-2230-000"/>
    <s v="Wine Sales"/>
    <n v="65.951899999999995"/>
    <n v="0"/>
    <s v="Daily Sales Import"/>
    <n v="-65.951899999999995"/>
    <n v="65.951899999999995"/>
    <x v="1"/>
    <s v="2230"/>
    <s v="000"/>
    <x v="6"/>
    <x v="2"/>
  </r>
  <r>
    <d v="2013-04-06T00:00:00"/>
    <s v="017-2100-000"/>
    <s v="Food Sales"/>
    <n v="9799.362000000001"/>
    <n v="0"/>
    <s v="Daily Sales Import"/>
    <n v="-9799.362000000001"/>
    <n v="9799.362000000001"/>
    <x v="1"/>
    <s v="2100"/>
    <s v="000"/>
    <x v="6"/>
    <x v="2"/>
  </r>
  <r>
    <d v="2013-04-06T00:00:00"/>
    <s v="017-2210-000"/>
    <s v="Liquor Sales"/>
    <n v="2079.337"/>
    <n v="0"/>
    <s v="Daily Sales Import"/>
    <n v="-2079.337"/>
    <n v="2079.337"/>
    <x v="1"/>
    <s v="2210"/>
    <s v="000"/>
    <x v="6"/>
    <x v="2"/>
  </r>
  <r>
    <d v="2013-04-06T00:00:00"/>
    <s v="017-2220-000"/>
    <s v="Beer Sales"/>
    <n v="408.61579999999998"/>
    <n v="0"/>
    <s v="Daily Sales Import"/>
    <n v="-408.61579999999998"/>
    <n v="408.61579999999998"/>
    <x v="1"/>
    <s v="2220"/>
    <s v="000"/>
    <x v="6"/>
    <x v="2"/>
  </r>
  <r>
    <d v="2013-04-06T00:00:00"/>
    <s v="017-2230-000"/>
    <s v="Wine Sales"/>
    <n v="93.045399999999987"/>
    <n v="0"/>
    <s v="Daily Sales Import"/>
    <n v="-93.045399999999987"/>
    <n v="93.045399999999987"/>
    <x v="1"/>
    <s v="2230"/>
    <s v="000"/>
    <x v="6"/>
    <x v="2"/>
  </r>
  <r>
    <d v="2013-04-07T00:00:00"/>
    <s v="017-2100-000"/>
    <s v="Food Sales"/>
    <n v="5542.9084000000003"/>
    <n v="0"/>
    <s v="Daily Sales Import"/>
    <n v="-5542.9084000000003"/>
    <n v="5542.9084000000003"/>
    <x v="1"/>
    <s v="2100"/>
    <s v="000"/>
    <x v="6"/>
    <x v="2"/>
  </r>
  <r>
    <d v="2013-04-07T00:00:00"/>
    <s v="017-2210-000"/>
    <s v="Liquor Sales"/>
    <n v="1429.2549999999999"/>
    <n v="0"/>
    <s v="Daily Sales Import"/>
    <n v="-1429.2549999999999"/>
    <n v="1429.2549999999999"/>
    <x v="1"/>
    <s v="2210"/>
    <s v="000"/>
    <x v="6"/>
    <x v="2"/>
  </r>
  <r>
    <d v="2013-04-07T00:00:00"/>
    <s v="017-2220-000"/>
    <s v="Beer Sales"/>
    <n v="361.62700000000001"/>
    <n v="0"/>
    <s v="Daily Sales Import"/>
    <n v="-361.62700000000001"/>
    <n v="361.62700000000001"/>
    <x v="1"/>
    <s v="2220"/>
    <s v="000"/>
    <x v="6"/>
    <x v="2"/>
  </r>
  <r>
    <d v="2013-04-07T00:00:00"/>
    <s v="017-2230-000"/>
    <s v="Wine Sales"/>
    <n v="131.69919999999999"/>
    <n v="0"/>
    <s v="Daily Sales Import"/>
    <n v="-131.69919999999999"/>
    <n v="131.69919999999999"/>
    <x v="1"/>
    <s v="2230"/>
    <s v="000"/>
    <x v="6"/>
    <x v="2"/>
  </r>
  <r>
    <d v="2013-04-01T00:00:00"/>
    <s v="018-2100-000"/>
    <s v="Food Sales"/>
    <n v="3499.0889999999999"/>
    <n v="0"/>
    <s v="Daily Sales Import"/>
    <n v="-3499.0889999999999"/>
    <n v="3499.0889999999999"/>
    <x v="2"/>
    <s v="2100"/>
    <s v="000"/>
    <x v="6"/>
    <x v="2"/>
  </r>
  <r>
    <d v="2013-04-01T00:00:00"/>
    <s v="018-2210-000"/>
    <s v="Liquor Sales"/>
    <n v="798.35850000000005"/>
    <n v="0"/>
    <s v="Daily Sales Import"/>
    <n v="-798.35850000000005"/>
    <n v="798.35850000000005"/>
    <x v="2"/>
    <s v="2210"/>
    <s v="000"/>
    <x v="6"/>
    <x v="2"/>
  </r>
  <r>
    <d v="2013-04-01T00:00:00"/>
    <s v="018-2220-000"/>
    <s v="Beer Sales"/>
    <n v="138.8835"/>
    <n v="0"/>
    <s v="Daily Sales Import"/>
    <n v="-138.8835"/>
    <n v="138.8835"/>
    <x v="2"/>
    <s v="2220"/>
    <s v="000"/>
    <x v="6"/>
    <x v="2"/>
  </r>
  <r>
    <d v="2013-04-01T00:00:00"/>
    <s v="018-2230-000"/>
    <s v="Wine Sales"/>
    <n v="17.232400000000002"/>
    <n v="0"/>
    <s v="Daily Sales Import"/>
    <n v="-17.232400000000002"/>
    <n v="17.232400000000002"/>
    <x v="2"/>
    <s v="2230"/>
    <s v="000"/>
    <x v="6"/>
    <x v="2"/>
  </r>
  <r>
    <d v="2013-04-02T00:00:00"/>
    <s v="018-2100-000"/>
    <s v="Food Sales"/>
    <n v="3711.3047999999999"/>
    <n v="0"/>
    <s v="Daily Sales Import"/>
    <n v="-3711.3047999999999"/>
    <n v="3711.3047999999999"/>
    <x v="2"/>
    <s v="2100"/>
    <s v="000"/>
    <x v="6"/>
    <x v="2"/>
  </r>
  <r>
    <d v="2013-04-02T00:00:00"/>
    <s v="018-2210-000"/>
    <s v="Liquor Sales"/>
    <n v="570.61699999999996"/>
    <n v="0"/>
    <s v="Daily Sales Import"/>
    <n v="-570.61699999999996"/>
    <n v="570.61699999999996"/>
    <x v="2"/>
    <s v="2210"/>
    <s v="000"/>
    <x v="6"/>
    <x v="2"/>
  </r>
  <r>
    <d v="2013-04-02T00:00:00"/>
    <s v="018-2220-000"/>
    <s v="Beer Sales"/>
    <n v="61.342799999999997"/>
    <n v="0"/>
    <s v="Daily Sales Import"/>
    <n v="-61.342799999999997"/>
    <n v="61.342799999999997"/>
    <x v="2"/>
    <s v="2220"/>
    <s v="000"/>
    <x v="6"/>
    <x v="2"/>
  </r>
  <r>
    <d v="2013-04-02T00:00:00"/>
    <s v="018-2230-000"/>
    <s v="Wine Sales"/>
    <n v="56.334199999999996"/>
    <n v="0"/>
    <s v="Daily Sales Import"/>
    <n v="-56.334199999999996"/>
    <n v="56.334199999999996"/>
    <x v="2"/>
    <s v="2230"/>
    <s v="000"/>
    <x v="6"/>
    <x v="2"/>
  </r>
  <r>
    <d v="2013-04-03T00:00:00"/>
    <s v="018-2100-000"/>
    <s v="Food Sales"/>
    <n v="3324.3925000000004"/>
    <n v="0"/>
    <s v="Daily Sales Import"/>
    <n v="-3324.3925000000004"/>
    <n v="3324.3925000000004"/>
    <x v="2"/>
    <s v="2100"/>
    <s v="000"/>
    <x v="6"/>
    <x v="2"/>
  </r>
  <r>
    <d v="2013-04-03T00:00:00"/>
    <s v="018-2210-000"/>
    <s v="Liquor Sales"/>
    <n v="952.82150000000001"/>
    <n v="0"/>
    <s v="Daily Sales Import"/>
    <n v="-952.82150000000001"/>
    <n v="952.82150000000001"/>
    <x v="2"/>
    <s v="2210"/>
    <s v="000"/>
    <x v="6"/>
    <x v="2"/>
  </r>
  <r>
    <d v="2013-04-03T00:00:00"/>
    <s v="018-2220-000"/>
    <s v="Beer Sales"/>
    <n v="263.15519999999998"/>
    <n v="0"/>
    <s v="Daily Sales Import"/>
    <n v="-263.15519999999998"/>
    <n v="263.15519999999998"/>
    <x v="2"/>
    <s v="2220"/>
    <s v="000"/>
    <x v="6"/>
    <x v="2"/>
  </r>
  <r>
    <d v="2013-04-03T00:00:00"/>
    <s v="018-2230-000"/>
    <s v="Wine Sales"/>
    <n v="7.8183999999999996"/>
    <n v="0"/>
    <s v="Daily Sales Import"/>
    <n v="-7.8183999999999996"/>
    <n v="7.8183999999999996"/>
    <x v="2"/>
    <s v="2230"/>
    <s v="000"/>
    <x v="6"/>
    <x v="2"/>
  </r>
  <r>
    <d v="2013-04-04T00:00:00"/>
    <s v="018-2100-000"/>
    <s v="Food Sales"/>
    <n v="4034.3098000000005"/>
    <n v="0"/>
    <s v="Daily Sales Import"/>
    <n v="-4034.3098000000005"/>
    <n v="4034.3098000000005"/>
    <x v="2"/>
    <s v="2100"/>
    <s v="000"/>
    <x v="6"/>
    <x v="2"/>
  </r>
  <r>
    <d v="2013-04-04T00:00:00"/>
    <s v="018-2210-000"/>
    <s v="Liquor Sales"/>
    <n v="637.60400000000004"/>
    <n v="0"/>
    <s v="Daily Sales Import"/>
    <n v="-637.60400000000004"/>
    <n v="637.60400000000004"/>
    <x v="2"/>
    <s v="2210"/>
    <s v="000"/>
    <x v="6"/>
    <x v="2"/>
  </r>
  <r>
    <d v="2013-04-04T00:00:00"/>
    <s v="018-2220-000"/>
    <s v="Beer Sales"/>
    <n v="281.74960000000004"/>
    <n v="0"/>
    <s v="Daily Sales Import"/>
    <n v="-281.74960000000004"/>
    <n v="281.74960000000004"/>
    <x v="2"/>
    <s v="2220"/>
    <s v="000"/>
    <x v="6"/>
    <x v="2"/>
  </r>
  <r>
    <d v="2013-04-04T00:00:00"/>
    <s v="018-2230-000"/>
    <s v="Wine Sales"/>
    <n v="97.430999999999997"/>
    <n v="0"/>
    <s v="Daily Sales Import"/>
    <n v="-97.430999999999997"/>
    <n v="97.430999999999997"/>
    <x v="2"/>
    <s v="2230"/>
    <s v="000"/>
    <x v="6"/>
    <x v="2"/>
  </r>
  <r>
    <d v="2013-04-05T00:00:00"/>
    <s v="018-2100-000"/>
    <s v="Food Sales"/>
    <n v="12929.571399999999"/>
    <n v="0"/>
    <s v="Daily Sales Import"/>
    <n v="-12929.571399999999"/>
    <n v="12929.571399999999"/>
    <x v="2"/>
    <s v="2100"/>
    <s v="000"/>
    <x v="6"/>
    <x v="2"/>
  </r>
  <r>
    <d v="2013-04-05T00:00:00"/>
    <s v="018-2210-000"/>
    <s v="Liquor Sales"/>
    <n v="2539.3472000000002"/>
    <n v="0"/>
    <s v="Daily Sales Import"/>
    <n v="-2539.3472000000002"/>
    <n v="2539.3472000000002"/>
    <x v="2"/>
    <s v="2210"/>
    <s v="000"/>
    <x v="6"/>
    <x v="2"/>
  </r>
  <r>
    <d v="2013-04-05T00:00:00"/>
    <s v="018-2220-000"/>
    <s v="Beer Sales"/>
    <n v="981.90899999999999"/>
    <n v="0"/>
    <s v="Daily Sales Import"/>
    <n v="-981.90899999999999"/>
    <n v="981.90899999999999"/>
    <x v="2"/>
    <s v="2220"/>
    <s v="000"/>
    <x v="6"/>
    <x v="2"/>
  </r>
  <r>
    <d v="2013-04-05T00:00:00"/>
    <s v="018-2230-000"/>
    <s v="Wine Sales"/>
    <n v="198.9134"/>
    <n v="0"/>
    <s v="Daily Sales Import"/>
    <n v="-198.9134"/>
    <n v="198.9134"/>
    <x v="2"/>
    <s v="2230"/>
    <s v="000"/>
    <x v="6"/>
    <x v="2"/>
  </r>
  <r>
    <d v="2013-04-06T00:00:00"/>
    <s v="018-2100-000"/>
    <s v="Food Sales"/>
    <n v="17717.850000000002"/>
    <n v="0"/>
    <s v="Daily Sales Import"/>
    <n v="-17717.850000000002"/>
    <n v="17717.850000000002"/>
    <x v="2"/>
    <s v="2100"/>
    <s v="000"/>
    <x v="6"/>
    <x v="2"/>
  </r>
  <r>
    <d v="2013-04-06T00:00:00"/>
    <s v="018-2210-000"/>
    <s v="Liquor Sales"/>
    <n v="3304.2359999999999"/>
    <n v="0"/>
    <s v="Daily Sales Import"/>
    <n v="-3304.2359999999999"/>
    <n v="3304.2359999999999"/>
    <x v="2"/>
    <s v="2210"/>
    <s v="000"/>
    <x v="6"/>
    <x v="2"/>
  </r>
  <r>
    <d v="2013-04-06T00:00:00"/>
    <s v="018-2220-000"/>
    <s v="Beer Sales"/>
    <n v="878.94159999999999"/>
    <n v="0"/>
    <s v="Daily Sales Import"/>
    <n v="-878.94159999999999"/>
    <n v="878.94159999999999"/>
    <x v="2"/>
    <s v="2220"/>
    <s v="000"/>
    <x v="6"/>
    <x v="2"/>
  </r>
  <r>
    <d v="2013-04-06T00:00:00"/>
    <s v="018-2230-000"/>
    <s v="Wine Sales"/>
    <n v="309.72720000000004"/>
    <n v="0"/>
    <s v="Daily Sales Import"/>
    <n v="-309.72720000000004"/>
    <n v="309.72720000000004"/>
    <x v="2"/>
    <s v="2230"/>
    <s v="000"/>
    <x v="6"/>
    <x v="2"/>
  </r>
  <r>
    <d v="2013-04-07T00:00:00"/>
    <s v="018-2100-000"/>
    <s v="Food Sales"/>
    <n v="10976.856599999999"/>
    <n v="0"/>
    <s v="Daily Sales Import"/>
    <n v="-10976.856599999999"/>
    <n v="10976.856599999999"/>
    <x v="2"/>
    <s v="2100"/>
    <s v="000"/>
    <x v="6"/>
    <x v="2"/>
  </r>
  <r>
    <d v="2013-04-07T00:00:00"/>
    <s v="018-2210-000"/>
    <s v="Liquor Sales"/>
    <n v="1290.4512"/>
    <n v="0"/>
    <s v="Daily Sales Import"/>
    <n v="-1290.4512"/>
    <n v="1290.4512"/>
    <x v="2"/>
    <s v="2210"/>
    <s v="000"/>
    <x v="6"/>
    <x v="2"/>
  </r>
  <r>
    <d v="2013-04-07T00:00:00"/>
    <s v="018-2220-000"/>
    <s v="Beer Sales"/>
    <n v="545.93649999999991"/>
    <n v="0"/>
    <s v="Daily Sales Import"/>
    <n v="-545.93649999999991"/>
    <n v="545.93649999999991"/>
    <x v="2"/>
    <s v="2220"/>
    <s v="000"/>
    <x v="6"/>
    <x v="2"/>
  </r>
  <r>
    <d v="2013-04-07T00:00:00"/>
    <s v="018-2230-000"/>
    <s v="Wine Sales"/>
    <n v="53.888000000000005"/>
    <n v="0"/>
    <s v="Daily Sales Import"/>
    <n v="-53.888000000000005"/>
    <n v="53.888000000000005"/>
    <x v="2"/>
    <s v="2230"/>
    <s v="000"/>
    <x v="6"/>
    <x v="2"/>
  </r>
  <r>
    <d v="2013-04-08T00:00:00"/>
    <s v="016-2100-000"/>
    <s v="Food Sales"/>
    <n v="2363.3714"/>
    <n v="0"/>
    <s v="Daily Sales Import"/>
    <n v="-2363.3714"/>
    <n v="2363.3714"/>
    <x v="0"/>
    <s v="2100"/>
    <s v="000"/>
    <x v="6"/>
    <x v="2"/>
  </r>
  <r>
    <d v="2013-04-08T00:00:00"/>
    <s v="016-2210-000"/>
    <s v="Liquor Sales"/>
    <n v="751.0752"/>
    <n v="0"/>
    <s v="Daily Sales Import"/>
    <n v="-751.0752"/>
    <n v="751.0752"/>
    <x v="0"/>
    <s v="2210"/>
    <s v="000"/>
    <x v="6"/>
    <x v="2"/>
  </r>
  <r>
    <d v="2013-04-08T00:00:00"/>
    <s v="016-2220-000"/>
    <s v="Beer Sales"/>
    <n v="157.86750000000001"/>
    <n v="0"/>
    <s v="Daily Sales Import"/>
    <n v="-157.86750000000001"/>
    <n v="157.86750000000001"/>
    <x v="0"/>
    <s v="2220"/>
    <s v="000"/>
    <x v="6"/>
    <x v="2"/>
  </r>
  <r>
    <d v="2013-04-08T00:00:00"/>
    <s v="016-2230-000"/>
    <s v="Wine Sales"/>
    <n v="7.5341999999999993"/>
    <n v="0"/>
    <s v="Daily Sales Import"/>
    <n v="-7.5341999999999993"/>
    <n v="7.5341999999999993"/>
    <x v="0"/>
    <s v="2230"/>
    <s v="000"/>
    <x v="6"/>
    <x v="2"/>
  </r>
  <r>
    <d v="2013-04-09T00:00:00"/>
    <s v="016-2100-000"/>
    <s v="Food Sales"/>
    <n v="5469.7306999999992"/>
    <n v="0"/>
    <s v="Daily Sales Import"/>
    <n v="-5469.7306999999992"/>
    <n v="5469.7306999999992"/>
    <x v="0"/>
    <s v="2100"/>
    <s v="000"/>
    <x v="6"/>
    <x v="2"/>
  </r>
  <r>
    <d v="2013-04-09T00:00:00"/>
    <s v="016-2210-000"/>
    <s v="Liquor Sales"/>
    <n v="2933.88"/>
    <n v="0"/>
    <s v="Daily Sales Import"/>
    <n v="-2933.88"/>
    <n v="2933.88"/>
    <x v="0"/>
    <s v="2210"/>
    <s v="000"/>
    <x v="6"/>
    <x v="2"/>
  </r>
  <r>
    <d v="2013-04-09T00:00:00"/>
    <s v="016-2220-000"/>
    <s v="Beer Sales"/>
    <n v="855.57229999999993"/>
    <n v="0"/>
    <s v="Daily Sales Import"/>
    <n v="-855.57229999999993"/>
    <n v="855.57229999999993"/>
    <x v="0"/>
    <s v="2220"/>
    <s v="000"/>
    <x v="6"/>
    <x v="2"/>
  </r>
  <r>
    <d v="2013-04-09T00:00:00"/>
    <s v="016-2230-000"/>
    <s v="Wine Sales"/>
    <n v="173.8064"/>
    <n v="0"/>
    <s v="Daily Sales Import"/>
    <n v="-173.8064"/>
    <n v="173.8064"/>
    <x v="0"/>
    <s v="2230"/>
    <s v="000"/>
    <x v="6"/>
    <x v="2"/>
  </r>
  <r>
    <d v="2013-04-10T00:00:00"/>
    <s v="016-2100-000"/>
    <s v="Food Sales"/>
    <n v="3371.25"/>
    <n v="0"/>
    <s v="Daily Sales Import"/>
    <n v="-3371.25"/>
    <n v="3371.25"/>
    <x v="0"/>
    <s v="2100"/>
    <s v="000"/>
    <x v="6"/>
    <x v="2"/>
  </r>
  <r>
    <d v="2013-04-10T00:00:00"/>
    <s v="016-2210-000"/>
    <s v="Liquor Sales"/>
    <n v="781.83"/>
    <n v="0"/>
    <s v="Daily Sales Import"/>
    <n v="-781.83"/>
    <n v="781.83"/>
    <x v="0"/>
    <s v="2210"/>
    <s v="000"/>
    <x v="6"/>
    <x v="2"/>
  </r>
  <r>
    <d v="2013-04-10T00:00:00"/>
    <s v="016-2220-000"/>
    <s v="Beer Sales"/>
    <n v="130.416"/>
    <n v="0"/>
    <s v="Daily Sales Import"/>
    <n v="-130.416"/>
    <n v="130.416"/>
    <x v="0"/>
    <s v="2220"/>
    <s v="000"/>
    <x v="6"/>
    <x v="2"/>
  </r>
  <r>
    <d v="2013-04-10T00:00:00"/>
    <s v="016-2230-000"/>
    <s v="Wine Sales"/>
    <n v="75.463800000000006"/>
    <n v="0"/>
    <s v="Daily Sales Import"/>
    <n v="-75.463800000000006"/>
    <n v="75.463800000000006"/>
    <x v="0"/>
    <s v="2230"/>
    <s v="000"/>
    <x v="6"/>
    <x v="2"/>
  </r>
  <r>
    <d v="2013-04-11T00:00:00"/>
    <s v="016-2100-000"/>
    <s v="Food Sales"/>
    <n v="3130.1759999999999"/>
    <n v="0"/>
    <s v="Daily Sales Import"/>
    <n v="-3130.1759999999999"/>
    <n v="3130.1759999999999"/>
    <x v="0"/>
    <s v="2100"/>
    <s v="000"/>
    <x v="6"/>
    <x v="2"/>
  </r>
  <r>
    <d v="2013-04-11T00:00:00"/>
    <s v="016-2210-000"/>
    <s v="Liquor Sales"/>
    <n v="780.87710000000004"/>
    <n v="0"/>
    <s v="Daily Sales Import"/>
    <n v="-780.87710000000004"/>
    <n v="780.87710000000004"/>
    <x v="0"/>
    <s v="2210"/>
    <s v="000"/>
    <x v="6"/>
    <x v="2"/>
  </r>
  <r>
    <d v="2013-04-11T00:00:00"/>
    <s v="016-2220-000"/>
    <s v="Beer Sales"/>
    <n v="97.662000000000006"/>
    <n v="0"/>
    <s v="Daily Sales Import"/>
    <n v="-97.662000000000006"/>
    <n v="97.662000000000006"/>
    <x v="0"/>
    <s v="2220"/>
    <s v="000"/>
    <x v="6"/>
    <x v="2"/>
  </r>
  <r>
    <d v="2013-04-11T00:00:00"/>
    <s v="016-2230-000"/>
    <s v="Wine Sales"/>
    <n v="48.803000000000004"/>
    <n v="0"/>
    <s v="Daily Sales Import"/>
    <n v="-48.803000000000004"/>
    <n v="48.803000000000004"/>
    <x v="0"/>
    <s v="2230"/>
    <s v="000"/>
    <x v="6"/>
    <x v="2"/>
  </r>
  <r>
    <d v="2013-04-12T00:00:00"/>
    <s v="016-2100-000"/>
    <s v="Food Sales"/>
    <n v="5016.4290000000001"/>
    <n v="0"/>
    <s v="Daily Sales Import"/>
    <n v="-5016.4290000000001"/>
    <n v="5016.4290000000001"/>
    <x v="0"/>
    <s v="2100"/>
    <s v="000"/>
    <x v="6"/>
    <x v="2"/>
  </r>
  <r>
    <d v="2013-04-12T00:00:00"/>
    <s v="016-2210-000"/>
    <s v="Liquor Sales"/>
    <n v="1648.0853999999999"/>
    <n v="0"/>
    <s v="Daily Sales Import"/>
    <n v="-1648.0853999999999"/>
    <n v="1648.0853999999999"/>
    <x v="0"/>
    <s v="2210"/>
    <s v="000"/>
    <x v="6"/>
    <x v="2"/>
  </r>
  <r>
    <d v="2013-04-12T00:00:00"/>
    <s v="016-2220-000"/>
    <s v="Beer Sales"/>
    <n v="339.38080000000002"/>
    <n v="0"/>
    <s v="Daily Sales Import"/>
    <n v="-339.38080000000002"/>
    <n v="339.38080000000002"/>
    <x v="0"/>
    <s v="2220"/>
    <s v="000"/>
    <x v="6"/>
    <x v="2"/>
  </r>
  <r>
    <d v="2013-04-12T00:00:00"/>
    <s v="016-2230-000"/>
    <s v="Wine Sales"/>
    <n v="169.0872"/>
    <n v="0"/>
    <s v="Daily Sales Import"/>
    <n v="-169.0872"/>
    <n v="169.0872"/>
    <x v="0"/>
    <s v="2230"/>
    <s v="000"/>
    <x v="6"/>
    <x v="2"/>
  </r>
  <r>
    <d v="2013-04-13T00:00:00"/>
    <s v="016-2100-000"/>
    <s v="Food Sales"/>
    <n v="7002.3625000000002"/>
    <n v="0"/>
    <s v="Daily Sales Import"/>
    <n v="-7002.3625000000002"/>
    <n v="7002.3625000000002"/>
    <x v="0"/>
    <s v="2100"/>
    <s v="000"/>
    <x v="6"/>
    <x v="2"/>
  </r>
  <r>
    <d v="2013-04-13T00:00:00"/>
    <s v="016-2210-000"/>
    <s v="Liquor Sales"/>
    <n v="1884.7728000000002"/>
    <n v="0"/>
    <s v="Daily Sales Import"/>
    <n v="-1884.7728000000002"/>
    <n v="1884.7728000000002"/>
    <x v="0"/>
    <s v="2210"/>
    <s v="000"/>
    <x v="6"/>
    <x v="2"/>
  </r>
  <r>
    <d v="2013-04-13T00:00:00"/>
    <s v="016-2220-000"/>
    <s v="Beer Sales"/>
    <n v="328.28399999999999"/>
    <n v="0"/>
    <s v="Daily Sales Import"/>
    <n v="-328.28399999999999"/>
    <n v="328.28399999999999"/>
    <x v="0"/>
    <s v="2220"/>
    <s v="000"/>
    <x v="6"/>
    <x v="2"/>
  </r>
  <r>
    <d v="2013-04-13T00:00:00"/>
    <s v="016-2230-000"/>
    <s v="Wine Sales"/>
    <n v="220.17199999999997"/>
    <n v="0"/>
    <s v="Daily Sales Import"/>
    <n v="-220.17199999999997"/>
    <n v="220.17199999999997"/>
    <x v="0"/>
    <s v="2230"/>
    <s v="000"/>
    <x v="6"/>
    <x v="2"/>
  </r>
  <r>
    <d v="2013-04-14T00:00:00"/>
    <s v="016-2100-000"/>
    <s v="Food Sales"/>
    <n v="6185.9349000000002"/>
    <n v="0"/>
    <s v="Daily Sales Import"/>
    <n v="-6185.9349000000002"/>
    <n v="6185.9349000000002"/>
    <x v="0"/>
    <s v="2100"/>
    <s v="000"/>
    <x v="6"/>
    <x v="2"/>
  </r>
  <r>
    <d v="2013-04-14T00:00:00"/>
    <s v="016-2210-000"/>
    <s v="Liquor Sales"/>
    <n v="980.84700000000009"/>
    <n v="0"/>
    <s v="Daily Sales Import"/>
    <n v="-980.84700000000009"/>
    <n v="980.84700000000009"/>
    <x v="0"/>
    <s v="2210"/>
    <s v="000"/>
    <x v="6"/>
    <x v="2"/>
  </r>
  <r>
    <d v="2013-04-14T00:00:00"/>
    <s v="016-2220-000"/>
    <s v="Beer Sales"/>
    <n v="243.73759999999999"/>
    <n v="0"/>
    <s v="Daily Sales Import"/>
    <n v="-243.73759999999999"/>
    <n v="243.73759999999999"/>
    <x v="0"/>
    <s v="2220"/>
    <s v="000"/>
    <x v="6"/>
    <x v="2"/>
  </r>
  <r>
    <d v="2013-04-14T00:00:00"/>
    <s v="016-2230-000"/>
    <s v="Wine Sales"/>
    <n v="99.4422"/>
    <n v="0"/>
    <s v="Daily Sales Import"/>
    <n v="-99.4422"/>
    <n v="99.4422"/>
    <x v="0"/>
    <s v="2230"/>
    <s v="000"/>
    <x v="6"/>
    <x v="2"/>
  </r>
  <r>
    <d v="2013-04-08T00:00:00"/>
    <s v="017-2100-000"/>
    <s v="Food Sales"/>
    <n v="5990.2012999999997"/>
    <n v="0"/>
    <s v="Daily Sales Import"/>
    <n v="-5990.2012999999997"/>
    <n v="5990.2012999999997"/>
    <x v="1"/>
    <s v="2100"/>
    <s v="000"/>
    <x v="6"/>
    <x v="2"/>
  </r>
  <r>
    <d v="2013-04-08T00:00:00"/>
    <s v="017-2210-000"/>
    <s v="Liquor Sales"/>
    <n v="1013.4735999999999"/>
    <n v="0"/>
    <s v="Daily Sales Import"/>
    <n v="-1013.4735999999999"/>
    <n v="1013.4735999999999"/>
    <x v="1"/>
    <s v="2210"/>
    <s v="000"/>
    <x v="6"/>
    <x v="2"/>
  </r>
  <r>
    <d v="2013-04-08T00:00:00"/>
    <s v="017-2220-000"/>
    <s v="Beer Sales"/>
    <n v="439.4196"/>
    <n v="0"/>
    <s v="Daily Sales Import"/>
    <n v="-439.4196"/>
    <n v="439.4196"/>
    <x v="1"/>
    <s v="2220"/>
    <s v="000"/>
    <x v="6"/>
    <x v="2"/>
  </r>
  <r>
    <d v="2013-04-08T00:00:00"/>
    <s v="017-2230-000"/>
    <s v="Wine Sales"/>
    <n v="43.551200000000001"/>
    <n v="0"/>
    <s v="Daily Sales Import"/>
    <n v="-43.551200000000001"/>
    <n v="43.551200000000001"/>
    <x v="1"/>
    <s v="2230"/>
    <s v="000"/>
    <x v="6"/>
    <x v="2"/>
  </r>
  <r>
    <d v="2013-04-09T00:00:00"/>
    <s v="017-2100-000"/>
    <s v="Food Sales"/>
    <n v="6996.8430000000008"/>
    <n v="0"/>
    <s v="Daily Sales Import"/>
    <n v="-6996.8430000000008"/>
    <n v="6996.8430000000008"/>
    <x v="1"/>
    <s v="2100"/>
    <s v="000"/>
    <x v="6"/>
    <x v="2"/>
  </r>
  <r>
    <d v="2013-04-09T00:00:00"/>
    <s v="017-2210-000"/>
    <s v="Liquor Sales"/>
    <n v="1358.0364"/>
    <n v="0"/>
    <s v="Daily Sales Import"/>
    <n v="-1358.0364"/>
    <n v="1358.0364"/>
    <x v="1"/>
    <s v="2210"/>
    <s v="000"/>
    <x v="6"/>
    <x v="2"/>
  </r>
  <r>
    <d v="2013-04-09T00:00:00"/>
    <s v="017-2220-000"/>
    <s v="Beer Sales"/>
    <n v="446.22"/>
    <n v="0"/>
    <s v="Daily Sales Import"/>
    <n v="-446.22"/>
    <n v="446.22"/>
    <x v="1"/>
    <s v="2220"/>
    <s v="000"/>
    <x v="6"/>
    <x v="2"/>
  </r>
  <r>
    <d v="2013-04-09T00:00:00"/>
    <s v="017-2230-000"/>
    <s v="Wine Sales"/>
    <n v="99.209000000000003"/>
    <n v="0"/>
    <s v="Daily Sales Import"/>
    <n v="-99.209000000000003"/>
    <n v="99.209000000000003"/>
    <x v="1"/>
    <s v="2230"/>
    <s v="000"/>
    <x v="6"/>
    <x v="2"/>
  </r>
  <r>
    <d v="2013-04-10T00:00:00"/>
    <s v="017-2100-000"/>
    <s v="Food Sales"/>
    <n v="6196.1056000000008"/>
    <n v="0"/>
    <s v="Daily Sales Import"/>
    <n v="-6196.1056000000008"/>
    <n v="6196.1056000000008"/>
    <x v="1"/>
    <s v="2100"/>
    <s v="000"/>
    <x v="6"/>
    <x v="2"/>
  </r>
  <r>
    <d v="2013-04-10T00:00:00"/>
    <s v="017-2210-000"/>
    <s v="Liquor Sales"/>
    <n v="1605.6578999999999"/>
    <n v="0"/>
    <s v="Daily Sales Import"/>
    <n v="-1605.6578999999999"/>
    <n v="1605.6578999999999"/>
    <x v="1"/>
    <s v="2210"/>
    <s v="000"/>
    <x v="6"/>
    <x v="2"/>
  </r>
  <r>
    <d v="2013-04-10T00:00:00"/>
    <s v="017-2220-000"/>
    <s v="Beer Sales"/>
    <n v="493.12230000000005"/>
    <n v="0"/>
    <s v="Daily Sales Import"/>
    <n v="-493.12230000000005"/>
    <n v="493.12230000000005"/>
    <x v="1"/>
    <s v="2220"/>
    <s v="000"/>
    <x v="6"/>
    <x v="2"/>
  </r>
  <r>
    <d v="2013-04-10T00:00:00"/>
    <s v="017-2230-000"/>
    <s v="Wine Sales"/>
    <n v="78.966200000000001"/>
    <n v="0"/>
    <s v="Daily Sales Import"/>
    <n v="-78.966200000000001"/>
    <n v="78.966200000000001"/>
    <x v="1"/>
    <s v="2230"/>
    <s v="000"/>
    <x v="6"/>
    <x v="2"/>
  </r>
  <r>
    <d v="2013-04-11T00:00:00"/>
    <s v="017-2100-000"/>
    <s v="Food Sales"/>
    <n v="5707.2673999999997"/>
    <n v="0"/>
    <s v="Daily Sales Import"/>
    <n v="-5707.2673999999997"/>
    <n v="5707.2673999999997"/>
    <x v="1"/>
    <s v="2100"/>
    <s v="000"/>
    <x v="6"/>
    <x v="2"/>
  </r>
  <r>
    <d v="2013-04-11T00:00:00"/>
    <s v="017-2210-000"/>
    <s v="Liquor Sales"/>
    <n v="1329.2628"/>
    <n v="0"/>
    <s v="Daily Sales Import"/>
    <n v="-1329.2628"/>
    <n v="1329.2628"/>
    <x v="1"/>
    <s v="2210"/>
    <s v="000"/>
    <x v="6"/>
    <x v="2"/>
  </r>
  <r>
    <d v="2013-04-11T00:00:00"/>
    <s v="017-2220-000"/>
    <s v="Beer Sales"/>
    <n v="481.73070000000001"/>
    <n v="0"/>
    <s v="Daily Sales Import"/>
    <n v="-481.73070000000001"/>
    <n v="481.73070000000001"/>
    <x v="1"/>
    <s v="2220"/>
    <s v="000"/>
    <x v="6"/>
    <x v="2"/>
  </r>
  <r>
    <d v="2013-04-11T00:00:00"/>
    <s v="017-2230-000"/>
    <s v="Wine Sales"/>
    <n v="108.7086"/>
    <n v="0"/>
    <s v="Daily Sales Import"/>
    <n v="-108.7086"/>
    <n v="108.7086"/>
    <x v="1"/>
    <s v="2230"/>
    <s v="000"/>
    <x v="6"/>
    <x v="2"/>
  </r>
  <r>
    <d v="2013-04-12T00:00:00"/>
    <s v="017-2100-000"/>
    <s v="Food Sales"/>
    <n v="6774.6156000000001"/>
    <n v="0"/>
    <s v="Daily Sales Import"/>
    <n v="-6774.6156000000001"/>
    <n v="6774.6156000000001"/>
    <x v="1"/>
    <s v="2100"/>
    <s v="000"/>
    <x v="6"/>
    <x v="2"/>
  </r>
  <r>
    <d v="2013-04-12T00:00:00"/>
    <s v="017-2210-000"/>
    <s v="Liquor Sales"/>
    <n v="1718.5225999999998"/>
    <n v="0"/>
    <s v="Daily Sales Import"/>
    <n v="-1718.5225999999998"/>
    <n v="1718.5225999999998"/>
    <x v="1"/>
    <s v="2210"/>
    <s v="000"/>
    <x v="6"/>
    <x v="2"/>
  </r>
  <r>
    <d v="2013-04-12T00:00:00"/>
    <s v="017-2220-000"/>
    <s v="Beer Sales"/>
    <n v="481.59980000000002"/>
    <n v="0"/>
    <s v="Daily Sales Import"/>
    <n v="-481.59980000000002"/>
    <n v="481.59980000000002"/>
    <x v="1"/>
    <s v="2220"/>
    <s v="000"/>
    <x v="6"/>
    <x v="2"/>
  </r>
  <r>
    <d v="2013-04-12T00:00:00"/>
    <s v="017-2230-000"/>
    <s v="Wine Sales"/>
    <n v="132.52330000000001"/>
    <n v="0"/>
    <s v="Daily Sales Import"/>
    <n v="-132.52330000000001"/>
    <n v="132.52330000000001"/>
    <x v="1"/>
    <s v="2230"/>
    <s v="000"/>
    <x v="6"/>
    <x v="2"/>
  </r>
  <r>
    <d v="2013-04-13T00:00:00"/>
    <s v="017-2100-000"/>
    <s v="Food Sales"/>
    <n v="6546.4895999999999"/>
    <n v="0"/>
    <s v="Daily Sales Import"/>
    <n v="-6546.4895999999999"/>
    <n v="6546.4895999999999"/>
    <x v="1"/>
    <s v="2100"/>
    <s v="000"/>
    <x v="6"/>
    <x v="2"/>
  </r>
  <r>
    <d v="2013-04-13T00:00:00"/>
    <s v="017-2210-000"/>
    <s v="Liquor Sales"/>
    <n v="2531.0911999999998"/>
    <n v="0"/>
    <s v="Daily Sales Import"/>
    <n v="-2531.0911999999998"/>
    <n v="2531.0911999999998"/>
    <x v="1"/>
    <s v="2210"/>
    <s v="000"/>
    <x v="6"/>
    <x v="2"/>
  </r>
  <r>
    <d v="2013-04-13T00:00:00"/>
    <s v="017-2220-000"/>
    <s v="Beer Sales"/>
    <n v="486.43740000000003"/>
    <n v="0"/>
    <s v="Daily Sales Import"/>
    <n v="-486.43740000000003"/>
    <n v="486.43740000000003"/>
    <x v="1"/>
    <s v="2220"/>
    <s v="000"/>
    <x v="6"/>
    <x v="2"/>
  </r>
  <r>
    <d v="2013-04-13T00:00:00"/>
    <s v="017-2230-000"/>
    <s v="Wine Sales"/>
    <n v="64.38"/>
    <n v="0"/>
    <s v="Daily Sales Import"/>
    <n v="-64.38"/>
    <n v="64.38"/>
    <x v="1"/>
    <s v="2230"/>
    <s v="000"/>
    <x v="6"/>
    <x v="2"/>
  </r>
  <r>
    <d v="2013-04-14T00:00:00"/>
    <s v="017-2100-000"/>
    <s v="Food Sales"/>
    <n v="4209.0574999999999"/>
    <n v="0"/>
    <s v="Daily Sales Import"/>
    <n v="-4209.0574999999999"/>
    <n v="4209.0574999999999"/>
    <x v="1"/>
    <s v="2100"/>
    <s v="000"/>
    <x v="6"/>
    <x v="2"/>
  </r>
  <r>
    <d v="2013-04-14T00:00:00"/>
    <s v="017-2210-000"/>
    <s v="Liquor Sales"/>
    <n v="796.33439999999996"/>
    <n v="0"/>
    <s v="Daily Sales Import"/>
    <n v="-796.33439999999996"/>
    <n v="796.33439999999996"/>
    <x v="1"/>
    <s v="2210"/>
    <s v="000"/>
    <x v="6"/>
    <x v="2"/>
  </r>
  <r>
    <d v="2013-04-14T00:00:00"/>
    <s v="017-2220-000"/>
    <s v="Beer Sales"/>
    <n v="110.94880000000001"/>
    <n v="0"/>
    <s v="Daily Sales Import"/>
    <n v="-110.94880000000001"/>
    <n v="110.94880000000001"/>
    <x v="1"/>
    <s v="2220"/>
    <s v="000"/>
    <x v="6"/>
    <x v="2"/>
  </r>
  <r>
    <d v="2013-04-14T00:00:00"/>
    <s v="017-2230-000"/>
    <s v="Wine Sales"/>
    <n v="62.6432"/>
    <n v="0"/>
    <s v="Daily Sales Import"/>
    <n v="-62.6432"/>
    <n v="62.6432"/>
    <x v="1"/>
    <s v="2230"/>
    <s v="000"/>
    <x v="6"/>
    <x v="2"/>
  </r>
  <r>
    <d v="2013-04-08T00:00:00"/>
    <s v="018-2100-000"/>
    <s v="Food Sales"/>
    <n v="2694.1475"/>
    <n v="0"/>
    <s v="Daily Sales Import"/>
    <n v="-2694.1475"/>
    <n v="2694.1475"/>
    <x v="2"/>
    <s v="2100"/>
    <s v="000"/>
    <x v="6"/>
    <x v="2"/>
  </r>
  <r>
    <d v="2013-04-08T00:00:00"/>
    <s v="018-2210-000"/>
    <s v="Liquor Sales"/>
    <n v="845.39909999999998"/>
    <n v="0"/>
    <s v="Daily Sales Import"/>
    <n v="-845.39909999999998"/>
    <n v="845.39909999999998"/>
    <x v="2"/>
    <s v="2210"/>
    <s v="000"/>
    <x v="6"/>
    <x v="2"/>
  </r>
  <r>
    <d v="2013-04-08T00:00:00"/>
    <s v="018-2220-000"/>
    <s v="Beer Sales"/>
    <n v="207.44200000000001"/>
    <n v="0"/>
    <s v="Daily Sales Import"/>
    <n v="-207.44200000000001"/>
    <n v="207.44200000000001"/>
    <x v="2"/>
    <s v="2220"/>
    <s v="000"/>
    <x v="6"/>
    <x v="2"/>
  </r>
  <r>
    <d v="2013-04-08T00:00:00"/>
    <s v="018-2230-000"/>
    <s v="Wine Sales"/>
    <n v="53.808300000000003"/>
    <n v="0"/>
    <s v="Daily Sales Import"/>
    <n v="-53.808300000000003"/>
    <n v="53.808300000000003"/>
    <x v="2"/>
    <s v="2230"/>
    <s v="000"/>
    <x v="6"/>
    <x v="2"/>
  </r>
  <r>
    <d v="2013-04-09T00:00:00"/>
    <s v="018-2100-000"/>
    <s v="Food Sales"/>
    <n v="4049.0447999999997"/>
    <n v="0"/>
    <s v="Daily Sales Import"/>
    <n v="-4049.0447999999997"/>
    <n v="4049.0447999999997"/>
    <x v="2"/>
    <s v="2100"/>
    <s v="000"/>
    <x v="6"/>
    <x v="2"/>
  </r>
  <r>
    <d v="2013-04-09T00:00:00"/>
    <s v="018-2210-000"/>
    <s v="Liquor Sales"/>
    <n v="905.79000000000008"/>
    <n v="0"/>
    <s v="Daily Sales Import"/>
    <n v="-905.79000000000008"/>
    <n v="905.79000000000008"/>
    <x v="2"/>
    <s v="2210"/>
    <s v="000"/>
    <x v="6"/>
    <x v="2"/>
  </r>
  <r>
    <d v="2013-04-09T00:00:00"/>
    <s v="018-2220-000"/>
    <s v="Beer Sales"/>
    <n v="255.3973"/>
    <n v="0"/>
    <s v="Daily Sales Import"/>
    <n v="-255.3973"/>
    <n v="255.3973"/>
    <x v="2"/>
    <s v="2220"/>
    <s v="000"/>
    <x v="6"/>
    <x v="2"/>
  </r>
  <r>
    <d v="2013-04-09T00:00:00"/>
    <s v="018-2230-000"/>
    <s v="Wine Sales"/>
    <n v="67.23899999999999"/>
    <n v="0"/>
    <s v="Daily Sales Import"/>
    <n v="-67.23899999999999"/>
    <n v="67.23899999999999"/>
    <x v="2"/>
    <s v="2230"/>
    <s v="000"/>
    <x v="6"/>
    <x v="2"/>
  </r>
  <r>
    <d v="2013-04-10T00:00:00"/>
    <s v="018-2100-000"/>
    <s v="Food Sales"/>
    <n v="5114.2783000000009"/>
    <n v="0"/>
    <s v="Daily Sales Import"/>
    <n v="-5114.2783000000009"/>
    <n v="5114.2783000000009"/>
    <x v="2"/>
    <s v="2100"/>
    <s v="000"/>
    <x v="6"/>
    <x v="2"/>
  </r>
  <r>
    <d v="2013-04-10T00:00:00"/>
    <s v="018-2210-000"/>
    <s v="Liquor Sales"/>
    <n v="702.06640000000004"/>
    <n v="0"/>
    <s v="Daily Sales Import"/>
    <n v="-702.06640000000004"/>
    <n v="702.06640000000004"/>
    <x v="2"/>
    <s v="2210"/>
    <s v="000"/>
    <x v="6"/>
    <x v="2"/>
  </r>
  <r>
    <d v="2013-04-10T00:00:00"/>
    <s v="018-2220-000"/>
    <s v="Beer Sales"/>
    <n v="271.32300000000004"/>
    <n v="0"/>
    <s v="Daily Sales Import"/>
    <n v="-271.32300000000004"/>
    <n v="271.32300000000004"/>
    <x v="2"/>
    <s v="2220"/>
    <s v="000"/>
    <x v="6"/>
    <x v="2"/>
  </r>
  <r>
    <d v="2013-04-10T00:00:00"/>
    <s v="018-2230-000"/>
    <s v="Wine Sales"/>
    <n v="19.2989"/>
    <n v="0"/>
    <s v="Daily Sales Import"/>
    <n v="-19.2989"/>
    <n v="19.2989"/>
    <x v="2"/>
    <s v="2230"/>
    <s v="000"/>
    <x v="6"/>
    <x v="2"/>
  </r>
  <r>
    <d v="2013-04-11T00:00:00"/>
    <s v="018-2100-000"/>
    <s v="Food Sales"/>
    <n v="6447.4454999999998"/>
    <n v="0"/>
    <s v="Daily Sales Import"/>
    <n v="-6447.4454999999998"/>
    <n v="6447.4454999999998"/>
    <x v="2"/>
    <s v="2100"/>
    <s v="000"/>
    <x v="6"/>
    <x v="2"/>
  </r>
  <r>
    <d v="2013-04-11T00:00:00"/>
    <s v="018-2210-000"/>
    <s v="Liquor Sales"/>
    <n v="979.38539999999989"/>
    <n v="0"/>
    <s v="Daily Sales Import"/>
    <n v="-979.38539999999989"/>
    <n v="979.38539999999989"/>
    <x v="2"/>
    <s v="2210"/>
    <s v="000"/>
    <x v="6"/>
    <x v="2"/>
  </r>
  <r>
    <d v="2013-04-11T00:00:00"/>
    <s v="018-2220-000"/>
    <s v="Beer Sales"/>
    <n v="343.8861"/>
    <n v="0"/>
    <s v="Daily Sales Import"/>
    <n v="-343.8861"/>
    <n v="343.8861"/>
    <x v="2"/>
    <s v="2220"/>
    <s v="000"/>
    <x v="6"/>
    <x v="2"/>
  </r>
  <r>
    <d v="2013-04-11T00:00:00"/>
    <s v="018-2230-000"/>
    <s v="Wine Sales"/>
    <n v="12.4062"/>
    <n v="0"/>
    <s v="Daily Sales Import"/>
    <n v="-12.4062"/>
    <n v="12.4062"/>
    <x v="2"/>
    <s v="2230"/>
    <s v="000"/>
    <x v="6"/>
    <x v="2"/>
  </r>
  <r>
    <d v="2013-04-12T00:00:00"/>
    <s v="018-2100-000"/>
    <s v="Food Sales"/>
    <n v="9803.8796000000002"/>
    <n v="0"/>
    <s v="Daily Sales Import"/>
    <n v="-9803.8796000000002"/>
    <n v="9803.8796000000002"/>
    <x v="2"/>
    <s v="2100"/>
    <s v="000"/>
    <x v="6"/>
    <x v="2"/>
  </r>
  <r>
    <d v="2013-04-12T00:00:00"/>
    <s v="018-2210-000"/>
    <s v="Liquor Sales"/>
    <n v="3865.1592000000005"/>
    <n v="0"/>
    <s v="Daily Sales Import"/>
    <n v="-3865.1592000000005"/>
    <n v="3865.1592000000005"/>
    <x v="2"/>
    <s v="2210"/>
    <s v="000"/>
    <x v="6"/>
    <x v="2"/>
  </r>
  <r>
    <d v="2013-04-12T00:00:00"/>
    <s v="018-2220-000"/>
    <s v="Beer Sales"/>
    <n v="722.46240000000012"/>
    <n v="0"/>
    <s v="Daily Sales Import"/>
    <n v="-722.46240000000012"/>
    <n v="722.46240000000012"/>
    <x v="2"/>
    <s v="2220"/>
    <s v="000"/>
    <x v="6"/>
    <x v="2"/>
  </r>
  <r>
    <d v="2013-04-12T00:00:00"/>
    <s v="018-2230-000"/>
    <s v="Wine Sales"/>
    <n v="177.6652"/>
    <n v="0"/>
    <s v="Daily Sales Import"/>
    <n v="-177.6652"/>
    <n v="177.6652"/>
    <x v="2"/>
    <s v="2230"/>
    <s v="000"/>
    <x v="6"/>
    <x v="2"/>
  </r>
  <r>
    <d v="2013-04-13T00:00:00"/>
    <s v="018-2100-000"/>
    <s v="Food Sales"/>
    <n v="20734.861499999999"/>
    <n v="0"/>
    <s v="Daily Sales Import"/>
    <n v="-20734.861499999999"/>
    <n v="20734.861499999999"/>
    <x v="2"/>
    <s v="2100"/>
    <s v="000"/>
    <x v="6"/>
    <x v="2"/>
  </r>
  <r>
    <d v="2013-04-13T00:00:00"/>
    <s v="018-2210-000"/>
    <s v="Liquor Sales"/>
    <n v="3388.8817999999997"/>
    <n v="0"/>
    <s v="Daily Sales Import"/>
    <n v="-3388.8817999999997"/>
    <n v="3388.8817999999997"/>
    <x v="2"/>
    <s v="2210"/>
    <s v="000"/>
    <x v="6"/>
    <x v="2"/>
  </r>
  <r>
    <d v="2013-04-13T00:00:00"/>
    <s v="018-2220-000"/>
    <s v="Beer Sales"/>
    <n v="941.01600000000008"/>
    <n v="0"/>
    <s v="Daily Sales Import"/>
    <n v="-941.01600000000008"/>
    <n v="941.01600000000008"/>
    <x v="2"/>
    <s v="2220"/>
    <s v="000"/>
    <x v="6"/>
    <x v="2"/>
  </r>
  <r>
    <d v="2013-04-13T00:00:00"/>
    <s v="018-2230-000"/>
    <s v="Wine Sales"/>
    <n v="120.60400000000001"/>
    <n v="0"/>
    <s v="Daily Sales Import"/>
    <n v="-120.60400000000001"/>
    <n v="120.60400000000001"/>
    <x v="2"/>
    <s v="2230"/>
    <s v="000"/>
    <x v="6"/>
    <x v="2"/>
  </r>
  <r>
    <d v="2013-04-14T00:00:00"/>
    <s v="018-2100-000"/>
    <s v="Food Sales"/>
    <n v="9498.3119999999999"/>
    <n v="0"/>
    <s v="Daily Sales Import"/>
    <n v="-9498.3119999999999"/>
    <n v="9498.3119999999999"/>
    <x v="2"/>
    <s v="2100"/>
    <s v="000"/>
    <x v="6"/>
    <x v="2"/>
  </r>
  <r>
    <d v="2013-04-14T00:00:00"/>
    <s v="018-2210-000"/>
    <s v="Liquor Sales"/>
    <n v="2140.0886"/>
    <n v="0"/>
    <s v="Daily Sales Import"/>
    <n v="-2140.0886"/>
    <n v="2140.0886"/>
    <x v="2"/>
    <s v="2210"/>
    <s v="000"/>
    <x v="6"/>
    <x v="2"/>
  </r>
  <r>
    <d v="2013-04-14T00:00:00"/>
    <s v="018-2220-000"/>
    <s v="Beer Sales"/>
    <n v="319.33960000000002"/>
    <n v="0"/>
    <s v="Daily Sales Import"/>
    <n v="-319.33960000000002"/>
    <n v="319.33960000000002"/>
    <x v="2"/>
    <s v="2220"/>
    <s v="000"/>
    <x v="6"/>
    <x v="2"/>
  </r>
  <r>
    <d v="2013-04-14T00:00:00"/>
    <s v="018-2230-000"/>
    <s v="Wine Sales"/>
    <n v="134.51939999999999"/>
    <n v="0"/>
    <s v="Daily Sales Import"/>
    <n v="-134.51939999999999"/>
    <n v="134.51939999999999"/>
    <x v="2"/>
    <s v="2230"/>
    <s v="000"/>
    <x v="6"/>
    <x v="2"/>
  </r>
  <r>
    <d v="2013-04-15T00:00:00"/>
    <s v="016-2100-000"/>
    <s v="Food Sales"/>
    <n v="2547.0936000000002"/>
    <n v="0"/>
    <s v="Daily Sales Import"/>
    <n v="-2547.0936000000002"/>
    <n v="2547.0936000000002"/>
    <x v="0"/>
    <s v="2100"/>
    <s v="000"/>
    <x v="6"/>
    <x v="2"/>
  </r>
  <r>
    <d v="2013-04-15T00:00:00"/>
    <s v="016-2210-000"/>
    <s v="Liquor Sales"/>
    <n v="600.77710000000002"/>
    <n v="0"/>
    <s v="Daily Sales Import"/>
    <n v="-600.77710000000002"/>
    <n v="600.77710000000002"/>
    <x v="0"/>
    <s v="2210"/>
    <s v="000"/>
    <x v="6"/>
    <x v="2"/>
  </r>
  <r>
    <d v="2013-04-15T00:00:00"/>
    <s v="016-2220-000"/>
    <s v="Beer Sales"/>
    <n v="143.1585"/>
    <n v="0"/>
    <s v="Daily Sales Import"/>
    <n v="-143.1585"/>
    <n v="143.1585"/>
    <x v="0"/>
    <s v="2220"/>
    <s v="000"/>
    <x v="6"/>
    <x v="2"/>
  </r>
  <r>
    <d v="2013-04-15T00:00:00"/>
    <s v="016-2230-000"/>
    <s v="Wine Sales"/>
    <n v="18.304300000000001"/>
    <n v="0"/>
    <s v="Daily Sales Import"/>
    <n v="-18.304300000000001"/>
    <n v="18.304300000000001"/>
    <x v="0"/>
    <s v="2230"/>
    <s v="000"/>
    <x v="6"/>
    <x v="2"/>
  </r>
  <r>
    <d v="2013-04-16T00:00:00"/>
    <s v="016-2100-000"/>
    <s v="Food Sales"/>
    <n v="6119.6668000000009"/>
    <n v="0"/>
    <s v="Daily Sales Import"/>
    <n v="-6119.6668000000009"/>
    <n v="6119.6668000000009"/>
    <x v="0"/>
    <s v="2100"/>
    <s v="000"/>
    <x v="6"/>
    <x v="2"/>
  </r>
  <r>
    <d v="2013-04-16T00:00:00"/>
    <s v="016-2210-000"/>
    <s v="Liquor Sales"/>
    <n v="2113.2403000000004"/>
    <n v="0"/>
    <s v="Daily Sales Import"/>
    <n v="-2113.2403000000004"/>
    <n v="2113.2403000000004"/>
    <x v="0"/>
    <s v="2210"/>
    <s v="000"/>
    <x v="6"/>
    <x v="2"/>
  </r>
  <r>
    <d v="2013-04-16T00:00:00"/>
    <s v="016-2220-000"/>
    <s v="Beer Sales"/>
    <n v="923.1339999999999"/>
    <n v="0"/>
    <s v="Daily Sales Import"/>
    <n v="-923.1339999999999"/>
    <n v="923.1339999999999"/>
    <x v="0"/>
    <s v="2220"/>
    <s v="000"/>
    <x v="6"/>
    <x v="2"/>
  </r>
  <r>
    <d v="2013-04-16T00:00:00"/>
    <s v="016-2230-000"/>
    <s v="Wine Sales"/>
    <n v="105.78399999999999"/>
    <n v="0"/>
    <s v="Daily Sales Import"/>
    <n v="-105.78399999999999"/>
    <n v="105.78399999999999"/>
    <x v="0"/>
    <s v="2230"/>
    <s v="000"/>
    <x v="6"/>
    <x v="2"/>
  </r>
  <r>
    <d v="2013-04-17T00:00:00"/>
    <s v="016-2100-000"/>
    <s v="Food Sales"/>
    <n v="3290.7420000000002"/>
    <n v="0"/>
    <s v="Daily Sales Import"/>
    <n v="-3290.7420000000002"/>
    <n v="3290.7420000000002"/>
    <x v="0"/>
    <s v="2100"/>
    <s v="000"/>
    <x v="6"/>
    <x v="2"/>
  </r>
  <r>
    <d v="2013-04-17T00:00:00"/>
    <s v="016-2210-000"/>
    <s v="Liquor Sales"/>
    <n v="1260.2392"/>
    <n v="0"/>
    <s v="Daily Sales Import"/>
    <n v="-1260.2392"/>
    <n v="1260.2392"/>
    <x v="0"/>
    <s v="2210"/>
    <s v="000"/>
    <x v="6"/>
    <x v="2"/>
  </r>
  <r>
    <d v="2013-04-17T00:00:00"/>
    <s v="016-2220-000"/>
    <s v="Beer Sales"/>
    <n v="134.84800000000001"/>
    <n v="0"/>
    <s v="Daily Sales Import"/>
    <n v="-134.84800000000001"/>
    <n v="134.84800000000001"/>
    <x v="0"/>
    <s v="2220"/>
    <s v="000"/>
    <x v="6"/>
    <x v="2"/>
  </r>
  <r>
    <d v="2013-04-17T00:00:00"/>
    <s v="016-2230-000"/>
    <s v="Wine Sales"/>
    <n v="76.385400000000004"/>
    <n v="0"/>
    <s v="Daily Sales Import"/>
    <n v="-76.385400000000004"/>
    <n v="76.385400000000004"/>
    <x v="0"/>
    <s v="2230"/>
    <s v="000"/>
    <x v="6"/>
    <x v="2"/>
  </r>
  <r>
    <d v="2013-04-18T00:00:00"/>
    <s v="016-2100-000"/>
    <s v="Food Sales"/>
    <n v="3381.6992"/>
    <n v="0"/>
    <s v="Daily Sales Import"/>
    <n v="-3381.6992"/>
    <n v="3381.6992"/>
    <x v="0"/>
    <s v="2100"/>
    <s v="000"/>
    <x v="6"/>
    <x v="2"/>
  </r>
  <r>
    <d v="2013-04-18T00:00:00"/>
    <s v="016-2210-000"/>
    <s v="Liquor Sales"/>
    <n v="1004.01"/>
    <n v="0"/>
    <s v="Daily Sales Import"/>
    <n v="-1004.01"/>
    <n v="1004.01"/>
    <x v="0"/>
    <s v="2210"/>
    <s v="000"/>
    <x v="6"/>
    <x v="2"/>
  </r>
  <r>
    <d v="2013-04-18T00:00:00"/>
    <s v="016-2220-000"/>
    <s v="Beer Sales"/>
    <n v="182.60850000000002"/>
    <n v="0"/>
    <s v="Daily Sales Import"/>
    <n v="-182.60850000000002"/>
    <n v="182.60850000000002"/>
    <x v="0"/>
    <s v="2220"/>
    <s v="000"/>
    <x v="6"/>
    <x v="2"/>
  </r>
  <r>
    <d v="2013-04-18T00:00:00"/>
    <s v="016-2230-000"/>
    <s v="Wine Sales"/>
    <n v="33.267199999999995"/>
    <n v="0"/>
    <s v="Daily Sales Import"/>
    <n v="-33.267199999999995"/>
    <n v="33.267199999999995"/>
    <x v="0"/>
    <s v="2230"/>
    <s v="000"/>
    <x v="6"/>
    <x v="2"/>
  </r>
  <r>
    <d v="2013-04-19T00:00:00"/>
    <s v="016-2100-000"/>
    <s v="Food Sales"/>
    <n v="5537.0573999999997"/>
    <n v="0"/>
    <s v="Daily Sales Import"/>
    <n v="-5537.0573999999997"/>
    <n v="5537.0573999999997"/>
    <x v="0"/>
    <s v="2100"/>
    <s v="000"/>
    <x v="6"/>
    <x v="2"/>
  </r>
  <r>
    <d v="2013-04-19T00:00:00"/>
    <s v="016-2210-000"/>
    <s v="Liquor Sales"/>
    <n v="2306.7352000000001"/>
    <n v="0"/>
    <s v="Daily Sales Import"/>
    <n v="-2306.7352000000001"/>
    <n v="2306.7352000000001"/>
    <x v="0"/>
    <s v="2210"/>
    <s v="000"/>
    <x v="6"/>
    <x v="2"/>
  </r>
  <r>
    <d v="2013-04-19T00:00:00"/>
    <s v="016-2220-000"/>
    <s v="Beer Sales"/>
    <n v="481.02649999999994"/>
    <n v="0"/>
    <s v="Daily Sales Import"/>
    <n v="-481.02649999999994"/>
    <n v="481.02649999999994"/>
    <x v="0"/>
    <s v="2220"/>
    <s v="000"/>
    <x v="6"/>
    <x v="2"/>
  </r>
  <r>
    <d v="2013-04-19T00:00:00"/>
    <s v="016-2230-000"/>
    <s v="Wine Sales"/>
    <n v="111.711"/>
    <n v="0"/>
    <s v="Daily Sales Import"/>
    <n v="-111.711"/>
    <n v="111.711"/>
    <x v="0"/>
    <s v="2230"/>
    <s v="000"/>
    <x v="6"/>
    <x v="2"/>
  </r>
  <r>
    <d v="2013-04-20T00:00:00"/>
    <s v="016-2100-000"/>
    <s v="Food Sales"/>
    <n v="6309.1979999999994"/>
    <n v="0"/>
    <s v="Daily Sales Import"/>
    <n v="-6309.1979999999994"/>
    <n v="6309.1979999999994"/>
    <x v="0"/>
    <s v="2100"/>
    <s v="000"/>
    <x v="6"/>
    <x v="2"/>
  </r>
  <r>
    <d v="2013-04-20T00:00:00"/>
    <s v="016-2210-000"/>
    <s v="Liquor Sales"/>
    <n v="1504.3210000000001"/>
    <n v="0"/>
    <s v="Daily Sales Import"/>
    <n v="-1504.3210000000001"/>
    <n v="1504.3210000000001"/>
    <x v="0"/>
    <s v="2210"/>
    <s v="000"/>
    <x v="6"/>
    <x v="2"/>
  </r>
  <r>
    <d v="2013-04-20T00:00:00"/>
    <s v="016-2220-000"/>
    <s v="Beer Sales"/>
    <n v="274.13749999999999"/>
    <n v="0"/>
    <s v="Daily Sales Import"/>
    <n v="-274.13749999999999"/>
    <n v="274.13749999999999"/>
    <x v="0"/>
    <s v="2220"/>
    <s v="000"/>
    <x v="6"/>
    <x v="2"/>
  </r>
  <r>
    <d v="2013-04-20T00:00:00"/>
    <s v="016-2230-000"/>
    <s v="Wine Sales"/>
    <n v="140.7338"/>
    <n v="0"/>
    <s v="Daily Sales Import"/>
    <n v="-140.7338"/>
    <n v="140.7338"/>
    <x v="0"/>
    <s v="2230"/>
    <s v="000"/>
    <x v="6"/>
    <x v="2"/>
  </r>
  <r>
    <d v="2013-04-21T00:00:00"/>
    <s v="016-2100-000"/>
    <s v="Food Sales"/>
    <n v="3607.2245000000003"/>
    <n v="0"/>
    <s v="Daily Sales Import"/>
    <n v="-3607.2245000000003"/>
    <n v="3607.2245000000003"/>
    <x v="0"/>
    <s v="2100"/>
    <s v="000"/>
    <x v="6"/>
    <x v="2"/>
  </r>
  <r>
    <d v="2013-04-21T00:00:00"/>
    <s v="016-2210-000"/>
    <s v="Liquor Sales"/>
    <n v="1527.0068000000001"/>
    <n v="0"/>
    <s v="Daily Sales Import"/>
    <n v="-1527.0068000000001"/>
    <n v="1527.0068000000001"/>
    <x v="0"/>
    <s v="2210"/>
    <s v="000"/>
    <x v="6"/>
    <x v="2"/>
  </r>
  <r>
    <d v="2013-04-21T00:00:00"/>
    <s v="016-2220-000"/>
    <s v="Beer Sales"/>
    <n v="243.00000000000003"/>
    <n v="0"/>
    <s v="Daily Sales Import"/>
    <n v="-243.00000000000003"/>
    <n v="243.00000000000003"/>
    <x v="0"/>
    <s v="2220"/>
    <s v="000"/>
    <x v="6"/>
    <x v="2"/>
  </r>
  <r>
    <d v="2013-04-21T00:00:00"/>
    <s v="016-2230-000"/>
    <s v="Wine Sales"/>
    <n v="101.0343"/>
    <n v="0"/>
    <s v="Daily Sales Import"/>
    <n v="-101.0343"/>
    <n v="101.0343"/>
    <x v="0"/>
    <s v="2230"/>
    <s v="000"/>
    <x v="6"/>
    <x v="2"/>
  </r>
  <r>
    <d v="2013-04-15T00:00:00"/>
    <s v="017-2100-000"/>
    <s v="Food Sales"/>
    <n v="5375.7528000000002"/>
    <n v="0"/>
    <s v="Daily Sales Import"/>
    <n v="-5375.7528000000002"/>
    <n v="5375.7528000000002"/>
    <x v="1"/>
    <s v="2100"/>
    <s v="000"/>
    <x v="6"/>
    <x v="2"/>
  </r>
  <r>
    <d v="2013-04-15T00:00:00"/>
    <s v="017-2210-000"/>
    <s v="Liquor Sales"/>
    <n v="1104.9168"/>
    <n v="0"/>
    <s v="Daily Sales Import"/>
    <n v="-1104.9168"/>
    <n v="1104.9168"/>
    <x v="1"/>
    <s v="2210"/>
    <s v="000"/>
    <x v="6"/>
    <x v="2"/>
  </r>
  <r>
    <d v="2013-04-15T00:00:00"/>
    <s v="017-2220-000"/>
    <s v="Beer Sales"/>
    <n v="566.6626"/>
    <n v="0"/>
    <s v="Daily Sales Import"/>
    <n v="-566.6626"/>
    <n v="566.6626"/>
    <x v="1"/>
    <s v="2220"/>
    <s v="000"/>
    <x v="6"/>
    <x v="2"/>
  </r>
  <r>
    <d v="2013-04-15T00:00:00"/>
    <s v="017-2230-000"/>
    <s v="Wine Sales"/>
    <n v="22.372"/>
    <n v="0"/>
    <s v="Daily Sales Import"/>
    <n v="-22.372"/>
    <n v="22.372"/>
    <x v="1"/>
    <s v="2230"/>
    <s v="000"/>
    <x v="6"/>
    <x v="2"/>
  </r>
  <r>
    <d v="2013-04-16T00:00:00"/>
    <s v="017-2100-000"/>
    <s v="Food Sales"/>
    <n v="7846.2358000000004"/>
    <n v="0"/>
    <s v="Daily Sales Import"/>
    <n v="-7846.2358000000004"/>
    <n v="7846.2358000000004"/>
    <x v="1"/>
    <s v="2100"/>
    <s v="000"/>
    <x v="6"/>
    <x v="2"/>
  </r>
  <r>
    <d v="2013-04-16T00:00:00"/>
    <s v="017-2210-000"/>
    <s v="Liquor Sales"/>
    <n v="1848.9032999999999"/>
    <n v="0"/>
    <s v="Daily Sales Import"/>
    <n v="-1848.9032999999999"/>
    <n v="1848.9032999999999"/>
    <x v="1"/>
    <s v="2210"/>
    <s v="000"/>
    <x v="6"/>
    <x v="2"/>
  </r>
  <r>
    <d v="2013-04-16T00:00:00"/>
    <s v="017-2220-000"/>
    <s v="Beer Sales"/>
    <n v="965.55390000000011"/>
    <n v="0"/>
    <s v="Daily Sales Import"/>
    <n v="-965.55390000000011"/>
    <n v="965.55390000000011"/>
    <x v="1"/>
    <s v="2220"/>
    <s v="000"/>
    <x v="6"/>
    <x v="2"/>
  </r>
  <r>
    <d v="2013-04-16T00:00:00"/>
    <s v="017-2230-000"/>
    <s v="Wine Sales"/>
    <n v="166.95239999999998"/>
    <n v="0"/>
    <s v="Daily Sales Import"/>
    <n v="-166.95239999999998"/>
    <n v="166.95239999999998"/>
    <x v="1"/>
    <s v="2230"/>
    <s v="000"/>
    <x v="6"/>
    <x v="2"/>
  </r>
  <r>
    <d v="2013-04-17T00:00:00"/>
    <s v="017-2100-000"/>
    <s v="Food Sales"/>
    <n v="5976.3798999999999"/>
    <n v="0"/>
    <s v="Daily Sales Import"/>
    <n v="-5976.3798999999999"/>
    <n v="5976.3798999999999"/>
    <x v="1"/>
    <s v="2100"/>
    <s v="000"/>
    <x v="6"/>
    <x v="2"/>
  </r>
  <r>
    <d v="2013-04-17T00:00:00"/>
    <s v="017-2210-000"/>
    <s v="Liquor Sales"/>
    <n v="1540.9381999999998"/>
    <n v="0"/>
    <s v="Daily Sales Import"/>
    <n v="-1540.9381999999998"/>
    <n v="1540.9381999999998"/>
    <x v="1"/>
    <s v="2210"/>
    <s v="000"/>
    <x v="6"/>
    <x v="2"/>
  </r>
  <r>
    <d v="2013-04-17T00:00:00"/>
    <s v="017-2220-000"/>
    <s v="Beer Sales"/>
    <n v="650.87100000000009"/>
    <n v="0"/>
    <s v="Daily Sales Import"/>
    <n v="-650.87100000000009"/>
    <n v="650.87100000000009"/>
    <x v="1"/>
    <s v="2220"/>
    <s v="000"/>
    <x v="6"/>
    <x v="2"/>
  </r>
  <r>
    <d v="2013-04-17T00:00:00"/>
    <s v="017-2230-000"/>
    <s v="Wine Sales"/>
    <n v="186.08250000000001"/>
    <n v="0"/>
    <s v="Daily Sales Import"/>
    <n v="-186.08250000000001"/>
    <n v="186.08250000000001"/>
    <x v="1"/>
    <s v="2230"/>
    <s v="000"/>
    <x v="6"/>
    <x v="2"/>
  </r>
  <r>
    <d v="2013-04-18T00:00:00"/>
    <s v="017-2100-000"/>
    <s v="Food Sales"/>
    <n v="4767.4274999999998"/>
    <n v="0"/>
    <s v="Daily Sales Import"/>
    <n v="-4767.4274999999998"/>
    <n v="4767.4274999999998"/>
    <x v="1"/>
    <s v="2100"/>
    <s v="000"/>
    <x v="6"/>
    <x v="2"/>
  </r>
  <r>
    <d v="2013-04-18T00:00:00"/>
    <s v="017-2210-000"/>
    <s v="Liquor Sales"/>
    <n v="2643.8962999999999"/>
    <n v="0"/>
    <s v="Daily Sales Import"/>
    <n v="-2643.8962999999999"/>
    <n v="2643.8962999999999"/>
    <x v="1"/>
    <s v="2210"/>
    <s v="000"/>
    <x v="6"/>
    <x v="2"/>
  </r>
  <r>
    <d v="2013-04-18T00:00:00"/>
    <s v="017-2220-000"/>
    <s v="Beer Sales"/>
    <n v="924.81989999999996"/>
    <n v="0"/>
    <s v="Daily Sales Import"/>
    <n v="-924.81989999999996"/>
    <n v="924.81989999999996"/>
    <x v="1"/>
    <s v="2220"/>
    <s v="000"/>
    <x v="6"/>
    <x v="2"/>
  </r>
  <r>
    <d v="2013-04-18T00:00:00"/>
    <s v="017-2230-000"/>
    <s v="Wine Sales"/>
    <n v="169.31879999999998"/>
    <n v="0"/>
    <s v="Daily Sales Import"/>
    <n v="-169.31879999999998"/>
    <n v="169.31879999999998"/>
    <x v="1"/>
    <s v="2230"/>
    <s v="000"/>
    <x v="6"/>
    <x v="2"/>
  </r>
  <r>
    <d v="2013-04-19T00:00:00"/>
    <s v="017-2100-000"/>
    <s v="Food Sales"/>
    <n v="7939.9369999999999"/>
    <n v="0"/>
    <s v="Daily Sales Import"/>
    <n v="-7939.9369999999999"/>
    <n v="7939.9369999999999"/>
    <x v="1"/>
    <s v="2100"/>
    <s v="000"/>
    <x v="6"/>
    <x v="2"/>
  </r>
  <r>
    <d v="2013-04-19T00:00:00"/>
    <s v="017-2210-000"/>
    <s v="Liquor Sales"/>
    <n v="1736.778"/>
    <n v="0"/>
    <s v="Daily Sales Import"/>
    <n v="-1736.778"/>
    <n v="1736.778"/>
    <x v="1"/>
    <s v="2210"/>
    <s v="000"/>
    <x v="6"/>
    <x v="2"/>
  </r>
  <r>
    <d v="2013-04-19T00:00:00"/>
    <s v="017-2220-000"/>
    <s v="Beer Sales"/>
    <n v="488.13639999999992"/>
    <n v="0"/>
    <s v="Daily Sales Import"/>
    <n v="-488.13639999999992"/>
    <n v="488.13639999999992"/>
    <x v="1"/>
    <s v="2220"/>
    <s v="000"/>
    <x v="6"/>
    <x v="2"/>
  </r>
  <r>
    <d v="2013-04-19T00:00:00"/>
    <s v="017-2230-000"/>
    <s v="Wine Sales"/>
    <n v="208.03440000000001"/>
    <n v="0"/>
    <s v="Daily Sales Import"/>
    <n v="-208.03440000000001"/>
    <n v="208.03440000000001"/>
    <x v="1"/>
    <s v="2230"/>
    <s v="000"/>
    <x v="6"/>
    <x v="2"/>
  </r>
  <r>
    <d v="2013-04-20T00:00:00"/>
    <s v="017-2100-000"/>
    <s v="Food Sales"/>
    <n v="7925.0941000000003"/>
    <n v="0"/>
    <s v="Daily Sales Import"/>
    <n v="-7925.0941000000003"/>
    <n v="7925.0941000000003"/>
    <x v="1"/>
    <s v="2100"/>
    <s v="000"/>
    <x v="6"/>
    <x v="2"/>
  </r>
  <r>
    <d v="2013-04-20T00:00:00"/>
    <s v="017-2210-000"/>
    <s v="Liquor Sales"/>
    <n v="1834.1939999999997"/>
    <n v="0"/>
    <s v="Daily Sales Import"/>
    <n v="-1834.1939999999997"/>
    <n v="1834.1939999999997"/>
    <x v="1"/>
    <s v="2210"/>
    <s v="000"/>
    <x v="6"/>
    <x v="2"/>
  </r>
  <r>
    <d v="2013-04-20T00:00:00"/>
    <s v="017-2220-000"/>
    <s v="Beer Sales"/>
    <n v="492.71510000000006"/>
    <n v="0"/>
    <s v="Daily Sales Import"/>
    <n v="-492.71510000000006"/>
    <n v="492.71510000000006"/>
    <x v="1"/>
    <s v="2220"/>
    <s v="000"/>
    <x v="6"/>
    <x v="2"/>
  </r>
  <r>
    <d v="2013-04-20T00:00:00"/>
    <s v="017-2230-000"/>
    <s v="Wine Sales"/>
    <n v="112.74120000000001"/>
    <n v="0"/>
    <s v="Daily Sales Import"/>
    <n v="-112.74120000000001"/>
    <n v="112.74120000000001"/>
    <x v="1"/>
    <s v="2230"/>
    <s v="000"/>
    <x v="6"/>
    <x v="2"/>
  </r>
  <r>
    <d v="2013-04-21T00:00:00"/>
    <s v="017-2100-000"/>
    <s v="Food Sales"/>
    <n v="5134.4004999999997"/>
    <n v="0"/>
    <s v="Daily Sales Import"/>
    <n v="-5134.4004999999997"/>
    <n v="5134.4004999999997"/>
    <x v="1"/>
    <s v="2100"/>
    <s v="000"/>
    <x v="6"/>
    <x v="2"/>
  </r>
  <r>
    <d v="2013-04-21T00:00:00"/>
    <s v="017-2210-000"/>
    <s v="Liquor Sales"/>
    <n v="1399.6312"/>
    <n v="0"/>
    <s v="Daily Sales Import"/>
    <n v="-1399.6312"/>
    <n v="1399.6312"/>
    <x v="1"/>
    <s v="2210"/>
    <s v="000"/>
    <x v="6"/>
    <x v="2"/>
  </r>
  <r>
    <d v="2013-04-21T00:00:00"/>
    <s v="017-2220-000"/>
    <s v="Beer Sales"/>
    <n v="166.75200000000001"/>
    <n v="0"/>
    <s v="Daily Sales Import"/>
    <n v="-166.75200000000001"/>
    <n v="166.75200000000001"/>
    <x v="1"/>
    <s v="2220"/>
    <s v="000"/>
    <x v="6"/>
    <x v="2"/>
  </r>
  <r>
    <d v="2013-04-21T00:00:00"/>
    <s v="017-2230-000"/>
    <s v="Wine Sales"/>
    <n v="132.77879999999999"/>
    <n v="0"/>
    <s v="Daily Sales Import"/>
    <n v="-132.77879999999999"/>
    <n v="132.77879999999999"/>
    <x v="1"/>
    <s v="2230"/>
    <s v="000"/>
    <x v="6"/>
    <x v="2"/>
  </r>
  <r>
    <d v="2013-04-15T00:00:00"/>
    <s v="018-2100-000"/>
    <s v="Food Sales"/>
    <n v="4373.1688000000004"/>
    <n v="0"/>
    <s v="Daily Sales Import"/>
    <n v="-4373.1688000000004"/>
    <n v="4373.1688000000004"/>
    <x v="2"/>
    <s v="2100"/>
    <s v="000"/>
    <x v="6"/>
    <x v="2"/>
  </r>
  <r>
    <d v="2013-04-15T00:00:00"/>
    <s v="018-2210-000"/>
    <s v="Liquor Sales"/>
    <n v="316.53159999999997"/>
    <n v="0"/>
    <s v="Daily Sales Import"/>
    <n v="-316.53159999999997"/>
    <n v="316.53159999999997"/>
    <x v="2"/>
    <s v="2210"/>
    <s v="000"/>
    <x v="6"/>
    <x v="2"/>
  </r>
  <r>
    <d v="2013-04-15T00:00:00"/>
    <s v="018-2220-000"/>
    <s v="Beer Sales"/>
    <n v="163.86400000000003"/>
    <n v="0"/>
    <s v="Daily Sales Import"/>
    <n v="-163.86400000000003"/>
    <n v="163.86400000000003"/>
    <x v="2"/>
    <s v="2220"/>
    <s v="000"/>
    <x v="6"/>
    <x v="2"/>
  </r>
  <r>
    <d v="2013-04-15T00:00:00"/>
    <s v="018-2230-000"/>
    <s v="Wine Sales"/>
    <n v="30.042400000000001"/>
    <n v="0"/>
    <s v="Daily Sales Import"/>
    <n v="-30.042400000000001"/>
    <n v="30.042400000000001"/>
    <x v="2"/>
    <s v="2230"/>
    <s v="000"/>
    <x v="6"/>
    <x v="2"/>
  </r>
  <r>
    <d v="2013-04-16T00:00:00"/>
    <s v="018-2100-000"/>
    <s v="Food Sales"/>
    <n v="4016.5038"/>
    <n v="0"/>
    <s v="Daily Sales Import"/>
    <n v="-4016.5038"/>
    <n v="4016.5038"/>
    <x v="2"/>
    <s v="2100"/>
    <s v="000"/>
    <x v="6"/>
    <x v="2"/>
  </r>
  <r>
    <d v="2013-04-16T00:00:00"/>
    <s v="018-2210-000"/>
    <s v="Liquor Sales"/>
    <n v="1148.3532"/>
    <n v="0"/>
    <s v="Daily Sales Import"/>
    <n v="-1148.3532"/>
    <n v="1148.3532"/>
    <x v="2"/>
    <s v="2210"/>
    <s v="000"/>
    <x v="6"/>
    <x v="2"/>
  </r>
  <r>
    <d v="2013-04-16T00:00:00"/>
    <s v="018-2220-000"/>
    <s v="Beer Sales"/>
    <n v="291.745"/>
    <n v="0"/>
    <s v="Daily Sales Import"/>
    <n v="-291.745"/>
    <n v="291.745"/>
    <x v="2"/>
    <s v="2220"/>
    <s v="000"/>
    <x v="6"/>
    <x v="2"/>
  </r>
  <r>
    <d v="2013-04-16T00:00:00"/>
    <s v="018-2230-000"/>
    <s v="Wine Sales"/>
    <n v="60.846699999999991"/>
    <n v="0"/>
    <s v="Daily Sales Import"/>
    <n v="-60.846699999999991"/>
    <n v="60.846699999999991"/>
    <x v="2"/>
    <s v="2230"/>
    <s v="000"/>
    <x v="6"/>
    <x v="2"/>
  </r>
  <r>
    <d v="2013-04-17T00:00:00"/>
    <s v="018-2100-000"/>
    <s v="Food Sales"/>
    <n v="4620.8850000000002"/>
    <n v="0"/>
    <s v="Daily Sales Import"/>
    <n v="-4620.8850000000002"/>
    <n v="4620.8850000000002"/>
    <x v="2"/>
    <s v="2100"/>
    <s v="000"/>
    <x v="6"/>
    <x v="2"/>
  </r>
  <r>
    <d v="2013-04-17T00:00:00"/>
    <s v="018-2210-000"/>
    <s v="Liquor Sales"/>
    <n v="995.21780000000001"/>
    <n v="0"/>
    <s v="Daily Sales Import"/>
    <n v="-995.21780000000001"/>
    <n v="995.21780000000001"/>
    <x v="2"/>
    <s v="2210"/>
    <s v="000"/>
    <x v="6"/>
    <x v="2"/>
  </r>
  <r>
    <d v="2013-04-17T00:00:00"/>
    <s v="018-2220-000"/>
    <s v="Beer Sales"/>
    <n v="219.26999999999998"/>
    <n v="0"/>
    <s v="Daily Sales Import"/>
    <n v="-219.26999999999998"/>
    <n v="219.26999999999998"/>
    <x v="2"/>
    <s v="2220"/>
    <s v="000"/>
    <x v="6"/>
    <x v="2"/>
  </r>
  <r>
    <d v="2013-04-17T00:00:00"/>
    <s v="018-2230-000"/>
    <s v="Wine Sales"/>
    <n v="42.753599999999999"/>
    <n v="0"/>
    <s v="Daily Sales Import"/>
    <n v="-42.753599999999999"/>
    <n v="42.753599999999999"/>
    <x v="2"/>
    <s v="2230"/>
    <s v="000"/>
    <x v="6"/>
    <x v="2"/>
  </r>
  <r>
    <d v="2013-04-18T00:00:00"/>
    <s v="018-2100-000"/>
    <s v="Food Sales"/>
    <n v="5127.29"/>
    <n v="0"/>
    <s v="Daily Sales Import"/>
    <n v="-5127.29"/>
    <n v="5127.29"/>
    <x v="2"/>
    <s v="2100"/>
    <s v="000"/>
    <x v="6"/>
    <x v="2"/>
  </r>
  <r>
    <d v="2013-04-18T00:00:00"/>
    <s v="018-2210-000"/>
    <s v="Liquor Sales"/>
    <n v="1030.5440000000001"/>
    <n v="0"/>
    <s v="Daily Sales Import"/>
    <n v="-1030.5440000000001"/>
    <n v="1030.5440000000001"/>
    <x v="2"/>
    <s v="2210"/>
    <s v="000"/>
    <x v="6"/>
    <x v="2"/>
  </r>
  <r>
    <d v="2013-04-18T00:00:00"/>
    <s v="018-2220-000"/>
    <s v="Beer Sales"/>
    <n v="452.40289999999999"/>
    <n v="0"/>
    <s v="Daily Sales Import"/>
    <n v="-452.40289999999999"/>
    <n v="452.40289999999999"/>
    <x v="2"/>
    <s v="2220"/>
    <s v="000"/>
    <x v="6"/>
    <x v="2"/>
  </r>
  <r>
    <d v="2013-04-18T00:00:00"/>
    <s v="018-2230-000"/>
    <s v="Wine Sales"/>
    <n v="46.9161"/>
    <n v="0"/>
    <s v="Daily Sales Import"/>
    <n v="-46.9161"/>
    <n v="46.9161"/>
    <x v="2"/>
    <s v="2230"/>
    <s v="000"/>
    <x v="6"/>
    <x v="2"/>
  </r>
  <r>
    <d v="2013-04-19T00:00:00"/>
    <s v="018-2100-000"/>
    <s v="Food Sales"/>
    <n v="9009.0231000000003"/>
    <n v="0"/>
    <s v="Daily Sales Import"/>
    <n v="-9009.0231000000003"/>
    <n v="9009.0231000000003"/>
    <x v="2"/>
    <s v="2100"/>
    <s v="000"/>
    <x v="6"/>
    <x v="2"/>
  </r>
  <r>
    <d v="2013-04-19T00:00:00"/>
    <s v="018-2210-000"/>
    <s v="Liquor Sales"/>
    <n v="2484.9245000000001"/>
    <n v="0"/>
    <s v="Daily Sales Import"/>
    <n v="-2484.9245000000001"/>
    <n v="2484.9245000000001"/>
    <x v="2"/>
    <s v="2210"/>
    <s v="000"/>
    <x v="6"/>
    <x v="2"/>
  </r>
  <r>
    <d v="2013-04-19T00:00:00"/>
    <s v="018-2220-000"/>
    <s v="Beer Sales"/>
    <n v="469.13279999999997"/>
    <n v="0"/>
    <s v="Daily Sales Import"/>
    <n v="-469.13279999999997"/>
    <n v="469.13279999999997"/>
    <x v="2"/>
    <s v="2220"/>
    <s v="000"/>
    <x v="6"/>
    <x v="2"/>
  </r>
  <r>
    <d v="2013-04-19T00:00:00"/>
    <s v="018-2230-000"/>
    <s v="Wine Sales"/>
    <n v="112.59990000000001"/>
    <n v="0"/>
    <s v="Daily Sales Import"/>
    <n v="-112.59990000000001"/>
    <n v="112.59990000000001"/>
    <x v="2"/>
    <s v="2230"/>
    <s v="000"/>
    <x v="6"/>
    <x v="2"/>
  </r>
  <r>
    <d v="2013-04-20T00:00:00"/>
    <s v="018-2100-000"/>
    <s v="Food Sales"/>
    <n v="15650.432000000001"/>
    <n v="0"/>
    <s v="Daily Sales Import"/>
    <n v="-15650.432000000001"/>
    <n v="15650.432000000001"/>
    <x v="2"/>
    <s v="2100"/>
    <s v="000"/>
    <x v="6"/>
    <x v="2"/>
  </r>
  <r>
    <d v="2013-04-20T00:00:00"/>
    <s v="018-2210-000"/>
    <s v="Liquor Sales"/>
    <n v="4296.2705000000005"/>
    <n v="0"/>
    <s v="Daily Sales Import"/>
    <n v="-4296.2705000000005"/>
    <n v="4296.2705000000005"/>
    <x v="2"/>
    <s v="2210"/>
    <s v="000"/>
    <x v="6"/>
    <x v="2"/>
  </r>
  <r>
    <d v="2013-04-20T00:00:00"/>
    <s v="018-2220-000"/>
    <s v="Beer Sales"/>
    <n v="899.94430000000011"/>
    <n v="0"/>
    <s v="Daily Sales Import"/>
    <n v="-899.94430000000011"/>
    <n v="899.94430000000011"/>
    <x v="2"/>
    <s v="2220"/>
    <s v="000"/>
    <x v="6"/>
    <x v="2"/>
  </r>
  <r>
    <d v="2013-04-20T00:00:00"/>
    <s v="018-2230-000"/>
    <s v="Wine Sales"/>
    <n v="74.18549999999999"/>
    <n v="0"/>
    <s v="Daily Sales Import"/>
    <n v="-74.18549999999999"/>
    <n v="74.18549999999999"/>
    <x v="2"/>
    <s v="2230"/>
    <s v="000"/>
    <x v="6"/>
    <x v="2"/>
  </r>
  <r>
    <d v="2013-04-21T00:00:00"/>
    <s v="018-2100-000"/>
    <s v="Food Sales"/>
    <n v="8727.5105999999996"/>
    <n v="0"/>
    <s v="Daily Sales Import"/>
    <n v="-8727.5105999999996"/>
    <n v="8727.5105999999996"/>
    <x v="2"/>
    <s v="2100"/>
    <s v="000"/>
    <x v="6"/>
    <x v="2"/>
  </r>
  <r>
    <d v="2013-04-21T00:00:00"/>
    <s v="018-2210-000"/>
    <s v="Liquor Sales"/>
    <n v="1241.8535999999999"/>
    <n v="0"/>
    <s v="Daily Sales Import"/>
    <n v="-1241.8535999999999"/>
    <n v="1241.8535999999999"/>
    <x v="2"/>
    <s v="2210"/>
    <s v="000"/>
    <x v="6"/>
    <x v="2"/>
  </r>
  <r>
    <d v="2013-04-21T00:00:00"/>
    <s v="018-2220-000"/>
    <s v="Beer Sales"/>
    <n v="510.4008"/>
    <n v="0"/>
    <s v="Daily Sales Import"/>
    <n v="-510.4008"/>
    <n v="510.4008"/>
    <x v="2"/>
    <s v="2220"/>
    <s v="000"/>
    <x v="6"/>
    <x v="2"/>
  </r>
  <r>
    <d v="2013-04-21T00:00:00"/>
    <s v="018-2230-000"/>
    <s v="Wine Sales"/>
    <n v="39.741599999999998"/>
    <n v="0"/>
    <s v="Daily Sales Import"/>
    <n v="-39.741599999999998"/>
    <n v="39.741599999999998"/>
    <x v="2"/>
    <s v="2230"/>
    <s v="000"/>
    <x v="6"/>
    <x v="2"/>
  </r>
  <r>
    <d v="2013-04-22T00:00:00"/>
    <s v="016-2100-000"/>
    <s v="Food Sales"/>
    <n v="2101.5084999999999"/>
    <n v="0"/>
    <s v="Daily Sales Import"/>
    <n v="-2101.5084999999999"/>
    <n v="2101.5084999999999"/>
    <x v="0"/>
    <s v="2100"/>
    <s v="000"/>
    <x v="6"/>
    <x v="2"/>
  </r>
  <r>
    <d v="2013-04-22T00:00:00"/>
    <s v="016-2210-000"/>
    <s v="Liquor Sales"/>
    <n v="240.68999999999997"/>
    <n v="0"/>
    <s v="Daily Sales Import"/>
    <n v="-240.68999999999997"/>
    <n v="240.68999999999997"/>
    <x v="0"/>
    <s v="2210"/>
    <s v="000"/>
    <x v="6"/>
    <x v="2"/>
  </r>
  <r>
    <d v="2013-04-22T00:00:00"/>
    <s v="016-2220-000"/>
    <s v="Beer Sales"/>
    <n v="67.515000000000001"/>
    <n v="0"/>
    <s v="Daily Sales Import"/>
    <n v="-67.515000000000001"/>
    <n v="67.515000000000001"/>
    <x v="0"/>
    <s v="2220"/>
    <s v="000"/>
    <x v="6"/>
    <x v="2"/>
  </r>
  <r>
    <d v="2013-04-22T00:00:00"/>
    <s v="016-2230-000"/>
    <s v="Wine Sales"/>
    <n v="21.8139"/>
    <n v="0"/>
    <s v="Daily Sales Import"/>
    <n v="-21.8139"/>
    <n v="21.8139"/>
    <x v="0"/>
    <s v="2230"/>
    <s v="000"/>
    <x v="6"/>
    <x v="2"/>
  </r>
  <r>
    <d v="2013-04-23T00:00:00"/>
    <s v="016-2100-000"/>
    <s v="Food Sales"/>
    <n v="9025.7795999999998"/>
    <n v="0"/>
    <s v="Daily Sales Import"/>
    <n v="-9025.7795999999998"/>
    <n v="9025.7795999999998"/>
    <x v="0"/>
    <s v="2100"/>
    <s v="000"/>
    <x v="6"/>
    <x v="2"/>
  </r>
  <r>
    <d v="2013-04-23T00:00:00"/>
    <s v="016-2210-000"/>
    <s v="Liquor Sales"/>
    <n v="2581.5605"/>
    <n v="0"/>
    <s v="Daily Sales Import"/>
    <n v="-2581.5605"/>
    <n v="2581.5605"/>
    <x v="0"/>
    <s v="2210"/>
    <s v="000"/>
    <x v="6"/>
    <x v="2"/>
  </r>
  <r>
    <d v="2013-04-23T00:00:00"/>
    <s v="016-2220-000"/>
    <s v="Beer Sales"/>
    <n v="1015.0577"/>
    <n v="0"/>
    <s v="Daily Sales Import"/>
    <n v="-1015.0577"/>
    <n v="1015.0577"/>
    <x v="0"/>
    <s v="2220"/>
    <s v="000"/>
    <x v="6"/>
    <x v="2"/>
  </r>
  <r>
    <d v="2013-04-23T00:00:00"/>
    <s v="016-2230-000"/>
    <s v="Wine Sales"/>
    <n v="338.14299999999997"/>
    <n v="0"/>
    <s v="Daily Sales Import"/>
    <n v="-338.14299999999997"/>
    <n v="338.14299999999997"/>
    <x v="0"/>
    <s v="2230"/>
    <s v="000"/>
    <x v="6"/>
    <x v="2"/>
  </r>
  <r>
    <d v="2013-04-24T00:00:00"/>
    <s v="016-2100-000"/>
    <s v="Food Sales"/>
    <n v="3390.9011999999998"/>
    <n v="0"/>
    <s v="Daily Sales Import"/>
    <n v="-3390.9011999999998"/>
    <n v="3390.9011999999998"/>
    <x v="0"/>
    <s v="2100"/>
    <s v="000"/>
    <x v="6"/>
    <x v="2"/>
  </r>
  <r>
    <d v="2013-04-24T00:00:00"/>
    <s v="016-2210-000"/>
    <s v="Liquor Sales"/>
    <n v="1146.9272000000001"/>
    <n v="0"/>
    <s v="Daily Sales Import"/>
    <n v="-1146.9272000000001"/>
    <n v="1146.9272000000001"/>
    <x v="0"/>
    <s v="2210"/>
    <s v="000"/>
    <x v="6"/>
    <x v="2"/>
  </r>
  <r>
    <d v="2013-04-24T00:00:00"/>
    <s v="016-2220-000"/>
    <s v="Beer Sales"/>
    <n v="130.92240000000001"/>
    <n v="0"/>
    <s v="Daily Sales Import"/>
    <n v="-130.92240000000001"/>
    <n v="130.92240000000001"/>
    <x v="0"/>
    <s v="2220"/>
    <s v="000"/>
    <x v="6"/>
    <x v="2"/>
  </r>
  <r>
    <d v="2013-04-24T00:00:00"/>
    <s v="016-2230-000"/>
    <s v="Wine Sales"/>
    <n v="61.342400000000012"/>
    <n v="0"/>
    <s v="Daily Sales Import"/>
    <n v="-61.342400000000012"/>
    <n v="61.342400000000012"/>
    <x v="0"/>
    <s v="2230"/>
    <s v="000"/>
    <x v="6"/>
    <x v="2"/>
  </r>
  <r>
    <d v="2013-04-25T00:00:00"/>
    <s v="016-2100-000"/>
    <s v="Food Sales"/>
    <n v="2425.866"/>
    <n v="0"/>
    <s v="Daily Sales Import"/>
    <n v="-2425.866"/>
    <n v="2425.866"/>
    <x v="0"/>
    <s v="2100"/>
    <s v="000"/>
    <x v="6"/>
    <x v="2"/>
  </r>
  <r>
    <d v="2013-04-25T00:00:00"/>
    <s v="016-2210-000"/>
    <s v="Liquor Sales"/>
    <n v="874.10210000000018"/>
    <n v="0"/>
    <s v="Daily Sales Import"/>
    <n v="-874.10210000000018"/>
    <n v="874.10210000000018"/>
    <x v="0"/>
    <s v="2210"/>
    <s v="000"/>
    <x v="6"/>
    <x v="2"/>
  </r>
  <r>
    <d v="2013-04-25T00:00:00"/>
    <s v="016-2220-000"/>
    <s v="Beer Sales"/>
    <n v="195.5772"/>
    <n v="0"/>
    <s v="Daily Sales Import"/>
    <n v="-195.5772"/>
    <n v="195.5772"/>
    <x v="0"/>
    <s v="2220"/>
    <s v="000"/>
    <x v="6"/>
    <x v="2"/>
  </r>
  <r>
    <d v="2013-04-25T00:00:00"/>
    <s v="016-2230-000"/>
    <s v="Wine Sales"/>
    <n v="84.112000000000009"/>
    <n v="0"/>
    <s v="Daily Sales Import"/>
    <n v="-84.112000000000009"/>
    <n v="84.112000000000009"/>
    <x v="0"/>
    <s v="2230"/>
    <s v="000"/>
    <x v="6"/>
    <x v="2"/>
  </r>
  <r>
    <d v="2013-04-26T00:00:00"/>
    <s v="016-2100-000"/>
    <s v="Food Sales"/>
    <n v="7174.6660000000002"/>
    <n v="0"/>
    <s v="Daily Sales Import"/>
    <n v="-7174.6660000000002"/>
    <n v="7174.6660000000002"/>
    <x v="0"/>
    <s v="2100"/>
    <s v="000"/>
    <x v="6"/>
    <x v="2"/>
  </r>
  <r>
    <d v="2013-04-26T00:00:00"/>
    <s v="016-2210-000"/>
    <s v="Liquor Sales"/>
    <n v="2468.0320000000002"/>
    <n v="0"/>
    <s v="Daily Sales Import"/>
    <n v="-2468.0320000000002"/>
    <n v="2468.0320000000002"/>
    <x v="0"/>
    <s v="2210"/>
    <s v="000"/>
    <x v="6"/>
    <x v="2"/>
  </r>
  <r>
    <d v="2013-04-26T00:00:00"/>
    <s v="016-2220-000"/>
    <s v="Beer Sales"/>
    <n v="404.88300000000004"/>
    <n v="0"/>
    <s v="Daily Sales Import"/>
    <n v="-404.88300000000004"/>
    <n v="404.88300000000004"/>
    <x v="0"/>
    <s v="2220"/>
    <s v="000"/>
    <x v="6"/>
    <x v="2"/>
  </r>
  <r>
    <d v="2013-04-26T00:00:00"/>
    <s v="016-2230-000"/>
    <s v="Wine Sales"/>
    <n v="74.51039999999999"/>
    <n v="0"/>
    <s v="Daily Sales Import"/>
    <n v="-74.51039999999999"/>
    <n v="74.51039999999999"/>
    <x v="0"/>
    <s v="2230"/>
    <s v="000"/>
    <x v="6"/>
    <x v="2"/>
  </r>
  <r>
    <d v="2013-04-27T00:00:00"/>
    <s v="016-2100-000"/>
    <s v="Food Sales"/>
    <n v="8861.1849000000002"/>
    <n v="0"/>
    <s v="Daily Sales Import"/>
    <n v="-8861.1849000000002"/>
    <n v="8861.1849000000002"/>
    <x v="0"/>
    <s v="2100"/>
    <s v="000"/>
    <x v="6"/>
    <x v="2"/>
  </r>
  <r>
    <d v="2013-04-27T00:00:00"/>
    <s v="016-2210-000"/>
    <s v="Liquor Sales"/>
    <n v="1932.5736000000002"/>
    <n v="0"/>
    <s v="Daily Sales Import"/>
    <n v="-1932.5736000000002"/>
    <n v="1932.5736000000002"/>
    <x v="0"/>
    <s v="2210"/>
    <s v="000"/>
    <x v="6"/>
    <x v="2"/>
  </r>
  <r>
    <d v="2013-04-27T00:00:00"/>
    <s v="016-2220-000"/>
    <s v="Beer Sales"/>
    <n v="501.79559999999998"/>
    <n v="0"/>
    <s v="Daily Sales Import"/>
    <n v="-501.79559999999998"/>
    <n v="501.79559999999998"/>
    <x v="0"/>
    <s v="2220"/>
    <s v="000"/>
    <x v="6"/>
    <x v="2"/>
  </r>
  <r>
    <d v="2013-04-27T00:00:00"/>
    <s v="016-2230-000"/>
    <s v="Wine Sales"/>
    <n v="109.2234"/>
    <n v="0"/>
    <s v="Daily Sales Import"/>
    <n v="-109.2234"/>
    <n v="109.2234"/>
    <x v="0"/>
    <s v="2230"/>
    <s v="000"/>
    <x v="6"/>
    <x v="2"/>
  </r>
  <r>
    <d v="2013-04-28T00:00:00"/>
    <s v="016-2100-000"/>
    <s v="Food Sales"/>
    <n v="6797.7995999999994"/>
    <n v="0"/>
    <s v="Daily Sales Import"/>
    <n v="-6797.7995999999994"/>
    <n v="6797.7995999999994"/>
    <x v="0"/>
    <s v="2100"/>
    <s v="000"/>
    <x v="6"/>
    <x v="2"/>
  </r>
  <r>
    <d v="2013-04-28T00:00:00"/>
    <s v="016-2210-000"/>
    <s v="Liquor Sales"/>
    <n v="1535.5388"/>
    <n v="0"/>
    <s v="Daily Sales Import"/>
    <n v="-1535.5388"/>
    <n v="1535.5388"/>
    <x v="0"/>
    <s v="2210"/>
    <s v="000"/>
    <x v="6"/>
    <x v="2"/>
  </r>
  <r>
    <d v="2013-04-28T00:00:00"/>
    <s v="016-2220-000"/>
    <s v="Beer Sales"/>
    <n v="306.70949999999999"/>
    <n v="0"/>
    <s v="Daily Sales Import"/>
    <n v="-306.70949999999999"/>
    <n v="306.70949999999999"/>
    <x v="0"/>
    <s v="2220"/>
    <s v="000"/>
    <x v="6"/>
    <x v="2"/>
  </r>
  <r>
    <d v="2013-04-28T00:00:00"/>
    <s v="016-2230-000"/>
    <s v="Wine Sales"/>
    <n v="64.752600000000001"/>
    <n v="0"/>
    <s v="Daily Sales Import"/>
    <n v="-64.752600000000001"/>
    <n v="64.752600000000001"/>
    <x v="0"/>
    <s v="2230"/>
    <s v="000"/>
    <x v="6"/>
    <x v="2"/>
  </r>
  <r>
    <d v="2013-04-22T00:00:00"/>
    <s v="017-2100-000"/>
    <s v="Food Sales"/>
    <n v="5057.1863999999996"/>
    <n v="0"/>
    <s v="Daily Sales Import"/>
    <n v="-5057.1863999999996"/>
    <n v="5057.1863999999996"/>
    <x v="1"/>
    <s v="2100"/>
    <s v="000"/>
    <x v="6"/>
    <x v="2"/>
  </r>
  <r>
    <d v="2013-04-22T00:00:00"/>
    <s v="017-2210-000"/>
    <s v="Liquor Sales"/>
    <n v="805.7885"/>
    <n v="0"/>
    <s v="Daily Sales Import"/>
    <n v="-805.7885"/>
    <n v="805.7885"/>
    <x v="1"/>
    <s v="2210"/>
    <s v="000"/>
    <x v="6"/>
    <x v="2"/>
  </r>
  <r>
    <d v="2013-04-22T00:00:00"/>
    <s v="017-2220-000"/>
    <s v="Beer Sales"/>
    <n v="352.95599999999996"/>
    <n v="0"/>
    <s v="Daily Sales Import"/>
    <n v="-352.95599999999996"/>
    <n v="352.95599999999996"/>
    <x v="1"/>
    <s v="2220"/>
    <s v="000"/>
    <x v="6"/>
    <x v="2"/>
  </r>
  <r>
    <d v="2013-04-22T00:00:00"/>
    <s v="017-2230-000"/>
    <s v="Wine Sales"/>
    <n v="50.0032"/>
    <n v="0"/>
    <s v="Daily Sales Import"/>
    <n v="-50.0032"/>
    <n v="50.0032"/>
    <x v="1"/>
    <s v="2230"/>
    <s v="000"/>
    <x v="6"/>
    <x v="2"/>
  </r>
  <r>
    <d v="2013-04-23T00:00:00"/>
    <s v="017-2100-000"/>
    <s v="Food Sales"/>
    <n v="9662.0148000000008"/>
    <n v="0"/>
    <s v="Daily Sales Import"/>
    <n v="-9662.0148000000008"/>
    <n v="9662.0148000000008"/>
    <x v="1"/>
    <s v="2100"/>
    <s v="000"/>
    <x v="6"/>
    <x v="2"/>
  </r>
  <r>
    <d v="2013-04-23T00:00:00"/>
    <s v="017-2210-000"/>
    <s v="Liquor Sales"/>
    <n v="3219.7087999999999"/>
    <n v="0"/>
    <s v="Daily Sales Import"/>
    <n v="-3219.7087999999999"/>
    <n v="3219.7087999999999"/>
    <x v="1"/>
    <s v="2210"/>
    <s v="000"/>
    <x v="6"/>
    <x v="2"/>
  </r>
  <r>
    <d v="2013-04-23T00:00:00"/>
    <s v="017-2220-000"/>
    <s v="Beer Sales"/>
    <n v="797.11450000000002"/>
    <n v="0"/>
    <s v="Daily Sales Import"/>
    <n v="-797.11450000000002"/>
    <n v="797.11450000000002"/>
    <x v="1"/>
    <s v="2220"/>
    <s v="000"/>
    <x v="6"/>
    <x v="2"/>
  </r>
  <r>
    <d v="2013-04-23T00:00:00"/>
    <s v="017-2230-000"/>
    <s v="Wine Sales"/>
    <n v="293.71239999999995"/>
    <n v="0"/>
    <s v="Daily Sales Import"/>
    <n v="-293.71239999999995"/>
    <n v="293.71239999999995"/>
    <x v="1"/>
    <s v="2230"/>
    <s v="000"/>
    <x v="6"/>
    <x v="2"/>
  </r>
  <r>
    <d v="2013-04-24T00:00:00"/>
    <s v="017-2100-000"/>
    <s v="Food Sales"/>
    <n v="4705.0991999999997"/>
    <n v="0"/>
    <s v="Daily Sales Import"/>
    <n v="-4705.0991999999997"/>
    <n v="4705.0991999999997"/>
    <x v="1"/>
    <s v="2100"/>
    <s v="000"/>
    <x v="6"/>
    <x v="2"/>
  </r>
  <r>
    <d v="2013-04-24T00:00:00"/>
    <s v="017-2210-000"/>
    <s v="Liquor Sales"/>
    <n v="1457.1216000000002"/>
    <n v="0"/>
    <s v="Daily Sales Import"/>
    <n v="-1457.1216000000002"/>
    <n v="1457.1216000000002"/>
    <x v="1"/>
    <s v="2210"/>
    <s v="000"/>
    <x v="6"/>
    <x v="2"/>
  </r>
  <r>
    <d v="2013-04-24T00:00:00"/>
    <s v="017-2220-000"/>
    <s v="Beer Sales"/>
    <n v="591.51959999999997"/>
    <n v="0"/>
    <s v="Daily Sales Import"/>
    <n v="-591.51959999999997"/>
    <n v="591.51959999999997"/>
    <x v="1"/>
    <s v="2220"/>
    <s v="000"/>
    <x v="6"/>
    <x v="2"/>
  </r>
  <r>
    <d v="2013-04-24T00:00:00"/>
    <s v="017-2230-000"/>
    <s v="Wine Sales"/>
    <n v="83.020499999999998"/>
    <n v="0"/>
    <s v="Daily Sales Import"/>
    <n v="-83.020499999999998"/>
    <n v="83.020499999999998"/>
    <x v="1"/>
    <s v="2230"/>
    <s v="000"/>
    <x v="6"/>
    <x v="2"/>
  </r>
  <r>
    <d v="2013-04-25T00:00:00"/>
    <s v="017-2100-000"/>
    <s v="Food Sales"/>
    <n v="7219.2222000000011"/>
    <n v="0"/>
    <s v="Daily Sales Import"/>
    <n v="-7219.2222000000011"/>
    <n v="7219.2222000000011"/>
    <x v="1"/>
    <s v="2100"/>
    <s v="000"/>
    <x v="6"/>
    <x v="2"/>
  </r>
  <r>
    <d v="2013-04-25T00:00:00"/>
    <s v="017-2210-000"/>
    <s v="Liquor Sales"/>
    <n v="1609.9649999999997"/>
    <n v="0"/>
    <s v="Daily Sales Import"/>
    <n v="-1609.9649999999997"/>
    <n v="1609.9649999999997"/>
    <x v="1"/>
    <s v="2210"/>
    <s v="000"/>
    <x v="6"/>
    <x v="2"/>
  </r>
  <r>
    <d v="2013-04-25T00:00:00"/>
    <s v="017-2220-000"/>
    <s v="Beer Sales"/>
    <n v="610.4319999999999"/>
    <n v="0"/>
    <s v="Daily Sales Import"/>
    <n v="-610.4319999999999"/>
    <n v="610.4319999999999"/>
    <x v="1"/>
    <s v="2220"/>
    <s v="000"/>
    <x v="6"/>
    <x v="2"/>
  </r>
  <r>
    <d v="2013-04-25T00:00:00"/>
    <s v="017-2230-000"/>
    <s v="Wine Sales"/>
    <n v="114.70800000000001"/>
    <n v="0"/>
    <s v="Daily Sales Import"/>
    <n v="-114.70800000000001"/>
    <n v="114.70800000000001"/>
    <x v="1"/>
    <s v="2230"/>
    <s v="000"/>
    <x v="6"/>
    <x v="2"/>
  </r>
  <r>
    <d v="2013-04-26T00:00:00"/>
    <s v="017-2100-000"/>
    <s v="Food Sales"/>
    <n v="8025.9840000000004"/>
    <n v="0"/>
    <s v="Daily Sales Import"/>
    <n v="-8025.9840000000004"/>
    <n v="8025.9840000000004"/>
    <x v="1"/>
    <s v="2100"/>
    <s v="000"/>
    <x v="6"/>
    <x v="2"/>
  </r>
  <r>
    <d v="2013-04-26T00:00:00"/>
    <s v="017-2210-000"/>
    <s v="Liquor Sales"/>
    <n v="3251.0324000000005"/>
    <n v="0"/>
    <s v="Daily Sales Import"/>
    <n v="-3251.0324000000005"/>
    <n v="3251.0324000000005"/>
    <x v="1"/>
    <s v="2210"/>
    <s v="000"/>
    <x v="6"/>
    <x v="2"/>
  </r>
  <r>
    <d v="2013-04-26T00:00:00"/>
    <s v="017-2220-000"/>
    <s v="Beer Sales"/>
    <n v="600.45140000000004"/>
    <n v="0"/>
    <s v="Daily Sales Import"/>
    <n v="-600.45140000000004"/>
    <n v="600.45140000000004"/>
    <x v="1"/>
    <s v="2220"/>
    <s v="000"/>
    <x v="6"/>
    <x v="2"/>
  </r>
  <r>
    <d v="2013-04-26T00:00:00"/>
    <s v="017-2230-000"/>
    <s v="Wine Sales"/>
    <n v="169.3956"/>
    <n v="0"/>
    <s v="Daily Sales Import"/>
    <n v="-169.3956"/>
    <n v="169.3956"/>
    <x v="1"/>
    <s v="2230"/>
    <s v="000"/>
    <x v="6"/>
    <x v="2"/>
  </r>
  <r>
    <d v="2013-04-27T00:00:00"/>
    <s v="017-2100-000"/>
    <s v="Food Sales"/>
    <n v="8615.259"/>
    <n v="0"/>
    <s v="Daily Sales Import"/>
    <n v="-8615.259"/>
    <n v="8615.259"/>
    <x v="1"/>
    <s v="2100"/>
    <s v="000"/>
    <x v="6"/>
    <x v="2"/>
  </r>
  <r>
    <d v="2013-04-27T00:00:00"/>
    <s v="017-2210-000"/>
    <s v="Liquor Sales"/>
    <n v="1759.4090000000001"/>
    <n v="0"/>
    <s v="Daily Sales Import"/>
    <n v="-1759.4090000000001"/>
    <n v="1759.4090000000001"/>
    <x v="1"/>
    <s v="2210"/>
    <s v="000"/>
    <x v="6"/>
    <x v="2"/>
  </r>
  <r>
    <d v="2013-04-27T00:00:00"/>
    <s v="017-2220-000"/>
    <s v="Beer Sales"/>
    <n v="505.87749999999994"/>
    <n v="0"/>
    <s v="Daily Sales Import"/>
    <n v="-505.87749999999994"/>
    <n v="505.87749999999994"/>
    <x v="1"/>
    <s v="2220"/>
    <s v="000"/>
    <x v="6"/>
    <x v="2"/>
  </r>
  <r>
    <d v="2013-04-27T00:00:00"/>
    <s v="017-2230-000"/>
    <s v="Wine Sales"/>
    <n v="141.37199999999999"/>
    <n v="0"/>
    <s v="Daily Sales Import"/>
    <n v="-141.37199999999999"/>
    <n v="141.37199999999999"/>
    <x v="1"/>
    <s v="2230"/>
    <s v="000"/>
    <x v="6"/>
    <x v="2"/>
  </r>
  <r>
    <d v="2013-04-28T00:00:00"/>
    <s v="017-2100-000"/>
    <s v="Food Sales"/>
    <n v="4183.9021999999995"/>
    <n v="0"/>
    <s v="Daily Sales Import"/>
    <n v="-4183.9021999999995"/>
    <n v="4183.9021999999995"/>
    <x v="1"/>
    <s v="2100"/>
    <s v="000"/>
    <x v="6"/>
    <x v="2"/>
  </r>
  <r>
    <d v="2013-04-28T00:00:00"/>
    <s v="017-2210-000"/>
    <s v="Liquor Sales"/>
    <n v="599.31760000000008"/>
    <n v="0"/>
    <s v="Daily Sales Import"/>
    <n v="-599.31760000000008"/>
    <n v="599.31760000000008"/>
    <x v="1"/>
    <s v="2210"/>
    <s v="000"/>
    <x v="6"/>
    <x v="2"/>
  </r>
  <r>
    <d v="2013-04-28T00:00:00"/>
    <s v="017-2220-000"/>
    <s v="Beer Sales"/>
    <n v="84.884800000000013"/>
    <n v="0"/>
    <s v="Daily Sales Import"/>
    <n v="-84.884800000000013"/>
    <n v="84.884800000000013"/>
    <x v="1"/>
    <s v="2220"/>
    <s v="000"/>
    <x v="6"/>
    <x v="2"/>
  </r>
  <r>
    <d v="2013-04-28T00:00:00"/>
    <s v="017-2230-000"/>
    <s v="Wine Sales"/>
    <n v="65.832000000000008"/>
    <n v="0"/>
    <s v="Daily Sales Import"/>
    <n v="-65.832000000000008"/>
    <n v="65.832000000000008"/>
    <x v="1"/>
    <s v="2230"/>
    <s v="000"/>
    <x v="6"/>
    <x v="2"/>
  </r>
  <r>
    <d v="2013-04-22T00:00:00"/>
    <s v="018-2100-000"/>
    <s v="Food Sales"/>
    <n v="2209.8944999999999"/>
    <n v="0"/>
    <s v="Daily Sales Import"/>
    <n v="-2209.8944999999999"/>
    <n v="2209.8944999999999"/>
    <x v="2"/>
    <s v="2100"/>
    <s v="000"/>
    <x v="6"/>
    <x v="2"/>
  </r>
  <r>
    <d v="2013-04-22T00:00:00"/>
    <s v="018-2210-000"/>
    <s v="Liquor Sales"/>
    <n v="390.1474"/>
    <n v="0"/>
    <s v="Daily Sales Import"/>
    <n v="-390.1474"/>
    <n v="390.1474"/>
    <x v="2"/>
    <s v="2210"/>
    <s v="000"/>
    <x v="6"/>
    <x v="2"/>
  </r>
  <r>
    <d v="2013-04-22T00:00:00"/>
    <s v="018-2220-000"/>
    <s v="Beer Sales"/>
    <n v="108.7385"/>
    <n v="0"/>
    <s v="Daily Sales Import"/>
    <n v="-108.7385"/>
    <n v="108.7385"/>
    <x v="2"/>
    <s v="2220"/>
    <s v="000"/>
    <x v="6"/>
    <x v="2"/>
  </r>
  <r>
    <d v="2013-04-22T00:00:00"/>
    <s v="018-2230-000"/>
    <s v="Wine Sales"/>
    <n v="36.507000000000005"/>
    <n v="0"/>
    <s v="Daily Sales Import"/>
    <n v="-36.507000000000005"/>
    <n v="36.507000000000005"/>
    <x v="2"/>
    <s v="2230"/>
    <s v="000"/>
    <x v="6"/>
    <x v="2"/>
  </r>
  <r>
    <d v="2013-04-23T00:00:00"/>
    <s v="018-2100-000"/>
    <s v="Food Sales"/>
    <n v="3804.9689999999996"/>
    <n v="0"/>
    <s v="Daily Sales Import"/>
    <n v="-3804.9689999999996"/>
    <n v="3804.9689999999996"/>
    <x v="2"/>
    <s v="2100"/>
    <s v="000"/>
    <x v="6"/>
    <x v="2"/>
  </r>
  <r>
    <d v="2013-04-23T00:00:00"/>
    <s v="018-2210-000"/>
    <s v="Liquor Sales"/>
    <n v="687.69539999999995"/>
    <n v="0"/>
    <s v="Daily Sales Import"/>
    <n v="-687.69539999999995"/>
    <n v="687.69539999999995"/>
    <x v="2"/>
    <s v="2210"/>
    <s v="000"/>
    <x v="6"/>
    <x v="2"/>
  </r>
  <r>
    <d v="2013-04-23T00:00:00"/>
    <s v="018-2220-000"/>
    <s v="Beer Sales"/>
    <n v="108.6751"/>
    <n v="0"/>
    <s v="Daily Sales Import"/>
    <n v="-108.6751"/>
    <n v="108.6751"/>
    <x v="2"/>
    <s v="2220"/>
    <s v="000"/>
    <x v="6"/>
    <x v="2"/>
  </r>
  <r>
    <d v="2013-04-23T00:00:00"/>
    <s v="018-2230-000"/>
    <s v="Wine Sales"/>
    <n v="23.095400000000001"/>
    <n v="0"/>
    <s v="Daily Sales Import"/>
    <n v="-23.095400000000001"/>
    <n v="23.095400000000001"/>
    <x v="2"/>
    <s v="2230"/>
    <s v="000"/>
    <x v="6"/>
    <x v="2"/>
  </r>
  <r>
    <d v="2013-04-24T00:00:00"/>
    <s v="018-2100-000"/>
    <s v="Food Sales"/>
    <n v="4935.8945999999996"/>
    <n v="0"/>
    <s v="Daily Sales Import"/>
    <n v="-4935.8945999999996"/>
    <n v="4935.8945999999996"/>
    <x v="2"/>
    <s v="2100"/>
    <s v="000"/>
    <x v="6"/>
    <x v="2"/>
  </r>
  <r>
    <d v="2013-04-24T00:00:00"/>
    <s v="018-2210-000"/>
    <s v="Liquor Sales"/>
    <n v="932.27039999999988"/>
    <n v="0"/>
    <s v="Daily Sales Import"/>
    <n v="-932.27039999999988"/>
    <n v="932.27039999999988"/>
    <x v="2"/>
    <s v="2210"/>
    <s v="000"/>
    <x v="6"/>
    <x v="2"/>
  </r>
  <r>
    <d v="2013-04-24T00:00:00"/>
    <s v="018-2220-000"/>
    <s v="Beer Sales"/>
    <n v="180.57"/>
    <n v="0"/>
    <s v="Daily Sales Import"/>
    <n v="-180.57"/>
    <n v="180.57"/>
    <x v="2"/>
    <s v="2220"/>
    <s v="000"/>
    <x v="6"/>
    <x v="2"/>
  </r>
  <r>
    <d v="2013-04-24T00:00:00"/>
    <s v="018-2230-000"/>
    <s v="Wine Sales"/>
    <n v="45.233600000000003"/>
    <n v="0"/>
    <s v="Daily Sales Import"/>
    <n v="-45.233600000000003"/>
    <n v="45.233600000000003"/>
    <x v="2"/>
    <s v="2230"/>
    <s v="000"/>
    <x v="6"/>
    <x v="2"/>
  </r>
  <r>
    <d v="2013-04-25T00:00:00"/>
    <s v="018-2100-000"/>
    <s v="Food Sales"/>
    <n v="6008.9507000000003"/>
    <n v="0"/>
    <s v="Daily Sales Import"/>
    <n v="-6008.9507000000003"/>
    <n v="6008.9507000000003"/>
    <x v="2"/>
    <s v="2100"/>
    <s v="000"/>
    <x v="6"/>
    <x v="2"/>
  </r>
  <r>
    <d v="2013-04-25T00:00:00"/>
    <s v="018-2210-000"/>
    <s v="Liquor Sales"/>
    <n v="1024.5983999999999"/>
    <n v="0"/>
    <s v="Daily Sales Import"/>
    <n v="-1024.5983999999999"/>
    <n v="1024.5983999999999"/>
    <x v="2"/>
    <s v="2210"/>
    <s v="000"/>
    <x v="6"/>
    <x v="2"/>
  </r>
  <r>
    <d v="2013-04-25T00:00:00"/>
    <s v="018-2220-000"/>
    <s v="Beer Sales"/>
    <n v="228.64760000000001"/>
    <n v="0"/>
    <s v="Daily Sales Import"/>
    <n v="-228.64760000000001"/>
    <n v="228.64760000000001"/>
    <x v="2"/>
    <s v="2220"/>
    <s v="000"/>
    <x v="6"/>
    <x v="2"/>
  </r>
  <r>
    <d v="2013-04-25T00:00:00"/>
    <s v="018-2230-000"/>
    <s v="Wine Sales"/>
    <n v="16.6205"/>
    <n v="0"/>
    <s v="Daily Sales Import"/>
    <n v="-16.6205"/>
    <n v="16.6205"/>
    <x v="2"/>
    <s v="2230"/>
    <s v="000"/>
    <x v="6"/>
    <x v="2"/>
  </r>
  <r>
    <d v="2013-04-26T00:00:00"/>
    <s v="018-2100-000"/>
    <s v="Food Sales"/>
    <n v="7879.4464000000007"/>
    <n v="0"/>
    <s v="Daily Sales Import"/>
    <n v="-7879.4464000000007"/>
    <n v="7879.4464000000007"/>
    <x v="2"/>
    <s v="2100"/>
    <s v="000"/>
    <x v="6"/>
    <x v="2"/>
  </r>
  <r>
    <d v="2013-04-26T00:00:00"/>
    <s v="018-2210-000"/>
    <s v="Liquor Sales"/>
    <n v="1937.9684999999999"/>
    <n v="0"/>
    <s v="Daily Sales Import"/>
    <n v="-1937.9684999999999"/>
    <n v="1937.9684999999999"/>
    <x v="2"/>
    <s v="2210"/>
    <s v="000"/>
    <x v="6"/>
    <x v="2"/>
  </r>
  <r>
    <d v="2013-04-26T00:00:00"/>
    <s v="018-2220-000"/>
    <s v="Beer Sales"/>
    <n v="576.58260000000007"/>
    <n v="0"/>
    <s v="Daily Sales Import"/>
    <n v="-576.58260000000007"/>
    <n v="576.58260000000007"/>
    <x v="2"/>
    <s v="2220"/>
    <s v="000"/>
    <x v="6"/>
    <x v="2"/>
  </r>
  <r>
    <d v="2013-04-26T00:00:00"/>
    <s v="018-2230-000"/>
    <s v="Wine Sales"/>
    <n v="120.5568"/>
    <n v="0"/>
    <s v="Daily Sales Import"/>
    <n v="-120.5568"/>
    <n v="120.5568"/>
    <x v="2"/>
    <s v="2230"/>
    <s v="000"/>
    <x v="6"/>
    <x v="2"/>
  </r>
  <r>
    <d v="2013-04-27T00:00:00"/>
    <s v="018-2100-000"/>
    <s v="Food Sales"/>
    <n v="17266.016899999999"/>
    <n v="0"/>
    <s v="Daily Sales Import"/>
    <n v="-17266.016899999999"/>
    <n v="17266.016899999999"/>
    <x v="2"/>
    <s v="2100"/>
    <s v="000"/>
    <x v="6"/>
    <x v="2"/>
  </r>
  <r>
    <d v="2013-04-27T00:00:00"/>
    <s v="018-2210-000"/>
    <s v="Liquor Sales"/>
    <n v="4843.5933000000005"/>
    <n v="0"/>
    <s v="Daily Sales Import"/>
    <n v="-4843.5933000000005"/>
    <n v="4843.5933000000005"/>
    <x v="2"/>
    <s v="2210"/>
    <s v="000"/>
    <x v="6"/>
    <x v="2"/>
  </r>
  <r>
    <d v="2013-04-27T00:00:00"/>
    <s v="018-2220-000"/>
    <s v="Beer Sales"/>
    <n v="765.14250000000004"/>
    <n v="0"/>
    <s v="Daily Sales Import"/>
    <n v="-765.14250000000004"/>
    <n v="765.14250000000004"/>
    <x v="2"/>
    <s v="2220"/>
    <s v="000"/>
    <x v="6"/>
    <x v="2"/>
  </r>
  <r>
    <d v="2013-04-27T00:00:00"/>
    <s v="018-2230-000"/>
    <s v="Wine Sales"/>
    <n v="119.6874"/>
    <n v="0"/>
    <s v="Daily Sales Import"/>
    <n v="-119.6874"/>
    <n v="119.6874"/>
    <x v="2"/>
    <s v="2230"/>
    <s v="000"/>
    <x v="6"/>
    <x v="2"/>
  </r>
  <r>
    <d v="2013-04-28T00:00:00"/>
    <s v="018-2100-000"/>
    <s v="Food Sales"/>
    <n v="12064.3614"/>
    <n v="0"/>
    <s v="Daily Sales Import"/>
    <n v="-12064.3614"/>
    <n v="12064.3614"/>
    <x v="2"/>
    <s v="2100"/>
    <s v="000"/>
    <x v="6"/>
    <x v="2"/>
  </r>
  <r>
    <d v="2013-04-28T00:00:00"/>
    <s v="018-2210-000"/>
    <s v="Liquor Sales"/>
    <n v="1835.8481999999999"/>
    <n v="0"/>
    <s v="Daily Sales Import"/>
    <n v="-1835.8481999999999"/>
    <n v="1835.8481999999999"/>
    <x v="2"/>
    <s v="2210"/>
    <s v="000"/>
    <x v="6"/>
    <x v="2"/>
  </r>
  <r>
    <d v="2013-04-28T00:00:00"/>
    <s v="018-2220-000"/>
    <s v="Beer Sales"/>
    <n v="413.12419999999997"/>
    <n v="0"/>
    <s v="Daily Sales Import"/>
    <n v="-413.12419999999997"/>
    <n v="413.12419999999997"/>
    <x v="2"/>
    <s v="2220"/>
    <s v="000"/>
    <x v="6"/>
    <x v="2"/>
  </r>
  <r>
    <d v="2013-04-28T00:00:00"/>
    <s v="018-2230-000"/>
    <s v="Wine Sales"/>
    <n v="177.65290000000002"/>
    <n v="0"/>
    <s v="Daily Sales Import"/>
    <n v="-177.65290000000002"/>
    <n v="177.65290000000002"/>
    <x v="2"/>
    <s v="2230"/>
    <s v="000"/>
    <x v="6"/>
    <x v="2"/>
  </r>
  <r>
    <d v="2013-04-29T00:00:00"/>
    <s v="016-2100-000"/>
    <s v="Food Sales"/>
    <n v="3068.163"/>
    <n v="0"/>
    <s v="Daily Sales Import"/>
    <n v="-3068.163"/>
    <n v="3068.163"/>
    <x v="0"/>
    <s v="2100"/>
    <s v="000"/>
    <x v="6"/>
    <x v="2"/>
  </r>
  <r>
    <d v="2013-04-29T00:00:00"/>
    <s v="016-2210-000"/>
    <s v="Liquor Sales"/>
    <n v="418.16400000000004"/>
    <n v="0"/>
    <s v="Daily Sales Import"/>
    <n v="-418.16400000000004"/>
    <n v="418.16400000000004"/>
    <x v="0"/>
    <s v="2210"/>
    <s v="000"/>
    <x v="6"/>
    <x v="2"/>
  </r>
  <r>
    <d v="2013-04-29T00:00:00"/>
    <s v="016-2220-000"/>
    <s v="Beer Sales"/>
    <n v="125.96849999999999"/>
    <n v="0"/>
    <s v="Daily Sales Import"/>
    <n v="-125.96849999999999"/>
    <n v="125.96849999999999"/>
    <x v="0"/>
    <s v="2220"/>
    <s v="000"/>
    <x v="6"/>
    <x v="2"/>
  </r>
  <r>
    <d v="2013-04-29T00:00:00"/>
    <s v="016-2230-000"/>
    <s v="Wine Sales"/>
    <n v="51.534400000000005"/>
    <n v="0"/>
    <s v="Daily Sales Import"/>
    <n v="-51.534400000000005"/>
    <n v="51.534400000000005"/>
    <x v="0"/>
    <s v="2230"/>
    <s v="000"/>
    <x v="6"/>
    <x v="2"/>
  </r>
  <r>
    <d v="2013-04-30T00:00:00"/>
    <s v="016-2100-000"/>
    <s v="Food Sales"/>
    <n v="7625.1419999999998"/>
    <n v="0"/>
    <s v="Daily Sales Import"/>
    <n v="-7625.1419999999998"/>
    <n v="7625.1419999999998"/>
    <x v="0"/>
    <s v="2100"/>
    <s v="000"/>
    <x v="6"/>
    <x v="2"/>
  </r>
  <r>
    <d v="2013-04-30T00:00:00"/>
    <s v="016-2210-000"/>
    <s v="Liquor Sales"/>
    <n v="2562.5628000000002"/>
    <n v="0"/>
    <s v="Daily Sales Import"/>
    <n v="-2562.5628000000002"/>
    <n v="2562.5628000000002"/>
    <x v="0"/>
    <s v="2210"/>
    <s v="000"/>
    <x v="6"/>
    <x v="2"/>
  </r>
  <r>
    <d v="2013-04-30T00:00:00"/>
    <s v="016-2220-000"/>
    <s v="Beer Sales"/>
    <n v="709.88749999999993"/>
    <n v="0"/>
    <s v="Daily Sales Import"/>
    <n v="-709.88749999999993"/>
    <n v="709.88749999999993"/>
    <x v="0"/>
    <s v="2220"/>
    <s v="000"/>
    <x v="6"/>
    <x v="2"/>
  </r>
  <r>
    <d v="2013-04-30T00:00:00"/>
    <s v="016-2230-000"/>
    <s v="Wine Sales"/>
    <n v="151.33420000000001"/>
    <n v="0"/>
    <s v="Daily Sales Import"/>
    <n v="-151.33420000000001"/>
    <n v="151.33420000000001"/>
    <x v="0"/>
    <s v="2230"/>
    <s v="000"/>
    <x v="6"/>
    <x v="2"/>
  </r>
  <r>
    <d v="2013-05-01T00:00:00"/>
    <s v="016-2100-000"/>
    <s v="Food Sales"/>
    <n v="2785.9962"/>
    <n v="0"/>
    <s v="Daily Sales Import"/>
    <n v="-2785.9962"/>
    <n v="2785.9962"/>
    <x v="0"/>
    <s v="2100"/>
    <s v="000"/>
    <x v="7"/>
    <x v="2"/>
  </r>
  <r>
    <d v="2013-05-01T00:00:00"/>
    <s v="016-2210-000"/>
    <s v="Liquor Sales"/>
    <n v="559.52819999999997"/>
    <n v="0"/>
    <s v="Daily Sales Import"/>
    <n v="-559.52819999999997"/>
    <n v="559.52819999999997"/>
    <x v="0"/>
    <s v="2210"/>
    <s v="000"/>
    <x v="7"/>
    <x v="2"/>
  </r>
  <r>
    <d v="2013-05-01T00:00:00"/>
    <s v="016-2220-000"/>
    <s v="Beer Sales"/>
    <n v="141.12"/>
    <n v="0"/>
    <s v="Daily Sales Import"/>
    <n v="-141.12"/>
    <n v="141.12"/>
    <x v="0"/>
    <s v="2220"/>
    <s v="000"/>
    <x v="7"/>
    <x v="2"/>
  </r>
  <r>
    <d v="2013-05-01T00:00:00"/>
    <s v="016-2230-000"/>
    <s v="Wine Sales"/>
    <n v="82.355000000000004"/>
    <n v="0"/>
    <s v="Daily Sales Import"/>
    <n v="-82.355000000000004"/>
    <n v="82.355000000000004"/>
    <x v="0"/>
    <s v="2230"/>
    <s v="000"/>
    <x v="7"/>
    <x v="2"/>
  </r>
  <r>
    <d v="2013-05-02T00:00:00"/>
    <s v="016-2100-000"/>
    <s v="Food Sales"/>
    <n v="2214.6104000000005"/>
    <n v="0"/>
    <s v="Daily Sales Import"/>
    <n v="-2214.6104000000005"/>
    <n v="2214.6104000000005"/>
    <x v="0"/>
    <s v="2100"/>
    <s v="000"/>
    <x v="7"/>
    <x v="2"/>
  </r>
  <r>
    <d v="2013-05-02T00:00:00"/>
    <s v="016-2210-000"/>
    <s v="Liquor Sales"/>
    <n v="515.1898000000001"/>
    <n v="0"/>
    <s v="Daily Sales Import"/>
    <n v="-515.1898000000001"/>
    <n v="515.1898000000001"/>
    <x v="0"/>
    <s v="2210"/>
    <s v="000"/>
    <x v="7"/>
    <x v="2"/>
  </r>
  <r>
    <d v="2013-05-02T00:00:00"/>
    <s v="016-2220-000"/>
    <s v="Beer Sales"/>
    <n v="133.61670000000001"/>
    <n v="0"/>
    <s v="Daily Sales Import"/>
    <n v="-133.61670000000001"/>
    <n v="133.61670000000001"/>
    <x v="0"/>
    <s v="2220"/>
    <s v="000"/>
    <x v="7"/>
    <x v="2"/>
  </r>
  <r>
    <d v="2013-05-02T00:00:00"/>
    <s v="016-2230-000"/>
    <s v="Wine Sales"/>
    <n v="109.8134"/>
    <n v="0"/>
    <s v="Daily Sales Import"/>
    <n v="-109.8134"/>
    <n v="109.8134"/>
    <x v="0"/>
    <s v="2230"/>
    <s v="000"/>
    <x v="7"/>
    <x v="2"/>
  </r>
  <r>
    <d v="2013-05-03T00:00:00"/>
    <s v="016-2100-000"/>
    <s v="Food Sales"/>
    <n v="6502.0173999999997"/>
    <n v="0"/>
    <s v="Daily Sales Import"/>
    <n v="-6502.0173999999997"/>
    <n v="6502.0173999999997"/>
    <x v="0"/>
    <s v="2100"/>
    <s v="000"/>
    <x v="7"/>
    <x v="2"/>
  </r>
  <r>
    <d v="2013-05-03T00:00:00"/>
    <s v="016-2210-000"/>
    <s v="Liquor Sales"/>
    <n v="1971.1527999999998"/>
    <n v="0"/>
    <s v="Daily Sales Import"/>
    <n v="-1971.1527999999998"/>
    <n v="1971.1527999999998"/>
    <x v="0"/>
    <s v="2210"/>
    <s v="000"/>
    <x v="7"/>
    <x v="2"/>
  </r>
  <r>
    <d v="2013-05-03T00:00:00"/>
    <s v="016-2220-000"/>
    <s v="Beer Sales"/>
    <n v="610.70100000000002"/>
    <n v="0"/>
    <s v="Daily Sales Import"/>
    <n v="-610.70100000000002"/>
    <n v="610.70100000000002"/>
    <x v="0"/>
    <s v="2220"/>
    <s v="000"/>
    <x v="7"/>
    <x v="2"/>
  </r>
  <r>
    <d v="2013-05-03T00:00:00"/>
    <s v="016-2230-000"/>
    <s v="Wine Sales"/>
    <n v="118.31599999999999"/>
    <n v="0"/>
    <s v="Daily Sales Import"/>
    <n v="-118.31599999999999"/>
    <n v="118.31599999999999"/>
    <x v="0"/>
    <s v="2230"/>
    <s v="000"/>
    <x v="7"/>
    <x v="2"/>
  </r>
  <r>
    <d v="2013-05-04T00:00:00"/>
    <s v="016-2100-000"/>
    <s v="Food Sales"/>
    <n v="8445.2999999999993"/>
    <n v="0"/>
    <s v="Daily Sales Import"/>
    <n v="-8445.2999999999993"/>
    <n v="8445.2999999999993"/>
    <x v="0"/>
    <s v="2100"/>
    <s v="000"/>
    <x v="7"/>
    <x v="2"/>
  </r>
  <r>
    <d v="2013-05-04T00:00:00"/>
    <s v="016-2210-000"/>
    <s v="Liquor Sales"/>
    <n v="2295.7559999999999"/>
    <n v="0"/>
    <s v="Daily Sales Import"/>
    <n v="-2295.7559999999999"/>
    <n v="2295.7559999999999"/>
    <x v="0"/>
    <s v="2210"/>
    <s v="000"/>
    <x v="7"/>
    <x v="2"/>
  </r>
  <r>
    <d v="2013-05-04T00:00:00"/>
    <s v="016-2220-000"/>
    <s v="Beer Sales"/>
    <n v="442.92959999999994"/>
    <n v="0"/>
    <s v="Daily Sales Import"/>
    <n v="-442.92959999999994"/>
    <n v="442.92959999999994"/>
    <x v="0"/>
    <s v="2220"/>
    <s v="000"/>
    <x v="7"/>
    <x v="2"/>
  </r>
  <r>
    <d v="2013-05-04T00:00:00"/>
    <s v="016-2230-000"/>
    <s v="Wine Sales"/>
    <n v="90.801000000000002"/>
    <n v="0"/>
    <s v="Daily Sales Import"/>
    <n v="-90.801000000000002"/>
    <n v="90.801000000000002"/>
    <x v="0"/>
    <s v="2230"/>
    <s v="000"/>
    <x v="7"/>
    <x v="2"/>
  </r>
  <r>
    <d v="2013-05-05T00:00:00"/>
    <s v="016-2100-000"/>
    <s v="Food Sales"/>
    <n v="20109.777600000001"/>
    <n v="0"/>
    <s v="Daily Sales Import"/>
    <n v="-20109.777600000001"/>
    <n v="20109.777600000001"/>
    <x v="0"/>
    <s v="2100"/>
    <s v="000"/>
    <x v="7"/>
    <x v="2"/>
  </r>
  <r>
    <d v="2013-05-05T00:00:00"/>
    <s v="016-2210-000"/>
    <s v="Liquor Sales"/>
    <n v="15414.539200000001"/>
    <n v="0"/>
    <s v="Daily Sales Import"/>
    <n v="-15414.539200000001"/>
    <n v="15414.539200000001"/>
    <x v="0"/>
    <s v="2210"/>
    <s v="000"/>
    <x v="7"/>
    <x v="2"/>
  </r>
  <r>
    <d v="2013-05-05T00:00:00"/>
    <s v="016-2220-000"/>
    <s v="Beer Sales"/>
    <n v="7719.9168"/>
    <n v="0"/>
    <s v="Daily Sales Import"/>
    <n v="-7719.9168"/>
    <n v="7719.9168"/>
    <x v="0"/>
    <s v="2220"/>
    <s v="000"/>
    <x v="7"/>
    <x v="2"/>
  </r>
  <r>
    <d v="2013-05-05T00:00:00"/>
    <s v="016-2230-000"/>
    <s v="Wine Sales"/>
    <n v="186.05439999999999"/>
    <n v="0"/>
    <s v="Daily Sales Import"/>
    <n v="-186.05439999999999"/>
    <n v="186.05439999999999"/>
    <x v="0"/>
    <s v="2230"/>
    <s v="000"/>
    <x v="7"/>
    <x v="2"/>
  </r>
  <r>
    <d v="2013-04-29T00:00:00"/>
    <s v="017-2100-000"/>
    <s v="Food Sales"/>
    <n v="3565.5232000000001"/>
    <n v="0"/>
    <s v="Daily Sales Import"/>
    <n v="-3565.5232000000001"/>
    <n v="3565.5232000000001"/>
    <x v="1"/>
    <s v="2100"/>
    <s v="000"/>
    <x v="6"/>
    <x v="2"/>
  </r>
  <r>
    <d v="2013-04-29T00:00:00"/>
    <s v="017-2210-000"/>
    <s v="Liquor Sales"/>
    <n v="839.17439999999999"/>
    <n v="0"/>
    <s v="Daily Sales Import"/>
    <n v="-839.17439999999999"/>
    <n v="839.17439999999999"/>
    <x v="1"/>
    <s v="2210"/>
    <s v="000"/>
    <x v="6"/>
    <x v="2"/>
  </r>
  <r>
    <d v="2013-04-29T00:00:00"/>
    <s v="017-2220-000"/>
    <s v="Beer Sales"/>
    <n v="378.09150000000005"/>
    <n v="0"/>
    <s v="Daily Sales Import"/>
    <n v="-378.09150000000005"/>
    <n v="378.09150000000005"/>
    <x v="1"/>
    <s v="2220"/>
    <s v="000"/>
    <x v="6"/>
    <x v="2"/>
  </r>
  <r>
    <d v="2013-04-29T00:00:00"/>
    <s v="017-2230-000"/>
    <s v="Wine Sales"/>
    <n v="69.667500000000004"/>
    <n v="0"/>
    <s v="Daily Sales Import"/>
    <n v="-69.667500000000004"/>
    <n v="69.667500000000004"/>
    <x v="1"/>
    <s v="2230"/>
    <s v="000"/>
    <x v="6"/>
    <x v="2"/>
  </r>
  <r>
    <d v="2013-04-30T00:00:00"/>
    <s v="017-2100-000"/>
    <s v="Food Sales"/>
    <n v="7077.9385999999995"/>
    <n v="0"/>
    <s v="Daily Sales Import"/>
    <n v="-7077.9385999999995"/>
    <n v="7077.9385999999995"/>
    <x v="1"/>
    <s v="2100"/>
    <s v="000"/>
    <x v="6"/>
    <x v="2"/>
  </r>
  <r>
    <d v="2013-04-30T00:00:00"/>
    <s v="017-2210-000"/>
    <s v="Liquor Sales"/>
    <n v="1889.9024999999999"/>
    <n v="0"/>
    <s v="Daily Sales Import"/>
    <n v="-1889.9024999999999"/>
    <n v="1889.9024999999999"/>
    <x v="1"/>
    <s v="2210"/>
    <s v="000"/>
    <x v="6"/>
    <x v="2"/>
  </r>
  <r>
    <d v="2013-04-30T00:00:00"/>
    <s v="017-2220-000"/>
    <s v="Beer Sales"/>
    <n v="584.31579999999997"/>
    <n v="0"/>
    <s v="Daily Sales Import"/>
    <n v="-584.31579999999997"/>
    <n v="584.31579999999997"/>
    <x v="1"/>
    <s v="2220"/>
    <s v="000"/>
    <x v="6"/>
    <x v="2"/>
  </r>
  <r>
    <d v="2013-04-30T00:00:00"/>
    <s v="017-2230-000"/>
    <s v="Wine Sales"/>
    <n v="157.7962"/>
    <n v="0"/>
    <s v="Daily Sales Import"/>
    <n v="-157.7962"/>
    <n v="157.7962"/>
    <x v="1"/>
    <s v="2230"/>
    <s v="000"/>
    <x v="6"/>
    <x v="2"/>
  </r>
  <r>
    <d v="2013-05-01T00:00:00"/>
    <s v="017-2100-000"/>
    <s v="Food Sales"/>
    <n v="5375.4297999999999"/>
    <n v="0"/>
    <s v="Daily Sales Import"/>
    <n v="-5375.4297999999999"/>
    <n v="5375.4297999999999"/>
    <x v="1"/>
    <s v="2100"/>
    <s v="000"/>
    <x v="7"/>
    <x v="2"/>
  </r>
  <r>
    <d v="2013-05-01T00:00:00"/>
    <s v="017-2210-000"/>
    <s v="Liquor Sales"/>
    <n v="2120.0682000000002"/>
    <n v="0"/>
    <s v="Daily Sales Import"/>
    <n v="-2120.0682000000002"/>
    <n v="2120.0682000000002"/>
    <x v="1"/>
    <s v="2210"/>
    <s v="000"/>
    <x v="7"/>
    <x v="2"/>
  </r>
  <r>
    <d v="2013-05-01T00:00:00"/>
    <s v="017-2220-000"/>
    <s v="Beer Sales"/>
    <n v="694.23559999999998"/>
    <n v="0"/>
    <s v="Daily Sales Import"/>
    <n v="-694.23559999999998"/>
    <n v="694.23559999999998"/>
    <x v="1"/>
    <s v="2220"/>
    <s v="000"/>
    <x v="7"/>
    <x v="2"/>
  </r>
  <r>
    <d v="2013-05-01T00:00:00"/>
    <s v="017-2230-000"/>
    <s v="Wine Sales"/>
    <n v="102.0224"/>
    <n v="0"/>
    <s v="Daily Sales Import"/>
    <n v="-102.0224"/>
    <n v="102.0224"/>
    <x v="1"/>
    <s v="2230"/>
    <s v="000"/>
    <x v="7"/>
    <x v="2"/>
  </r>
  <r>
    <d v="2013-05-02T00:00:00"/>
    <s v="017-2100-000"/>
    <s v="Food Sales"/>
    <n v="5941.3949999999995"/>
    <n v="0"/>
    <s v="Daily Sales Import"/>
    <n v="-5941.3949999999995"/>
    <n v="5941.3949999999995"/>
    <x v="1"/>
    <s v="2100"/>
    <s v="000"/>
    <x v="7"/>
    <x v="2"/>
  </r>
  <r>
    <d v="2013-05-02T00:00:00"/>
    <s v="017-2210-000"/>
    <s v="Liquor Sales"/>
    <n v="2177.7231000000002"/>
    <n v="0"/>
    <s v="Daily Sales Import"/>
    <n v="-2177.7231000000002"/>
    <n v="2177.7231000000002"/>
    <x v="1"/>
    <s v="2210"/>
    <s v="000"/>
    <x v="7"/>
    <x v="2"/>
  </r>
  <r>
    <d v="2013-05-02T00:00:00"/>
    <s v="017-2220-000"/>
    <s v="Beer Sales"/>
    <n v="739.83780000000002"/>
    <n v="0"/>
    <s v="Daily Sales Import"/>
    <n v="-739.83780000000002"/>
    <n v="739.83780000000002"/>
    <x v="1"/>
    <s v="2220"/>
    <s v="000"/>
    <x v="7"/>
    <x v="2"/>
  </r>
  <r>
    <d v="2013-05-02T00:00:00"/>
    <s v="017-2230-000"/>
    <s v="Wine Sales"/>
    <n v="85.161999999999992"/>
    <n v="0"/>
    <s v="Daily Sales Import"/>
    <n v="-85.161999999999992"/>
    <n v="85.161999999999992"/>
    <x v="1"/>
    <s v="2230"/>
    <s v="000"/>
    <x v="7"/>
    <x v="2"/>
  </r>
  <r>
    <d v="2013-05-03T00:00:00"/>
    <s v="017-2100-000"/>
    <s v="Food Sales"/>
    <n v="8936.7408000000014"/>
    <n v="0"/>
    <s v="Daily Sales Import"/>
    <n v="-8936.7408000000014"/>
    <n v="8936.7408000000014"/>
    <x v="1"/>
    <s v="2100"/>
    <s v="000"/>
    <x v="7"/>
    <x v="2"/>
  </r>
  <r>
    <d v="2013-05-03T00:00:00"/>
    <s v="017-2210-000"/>
    <s v="Liquor Sales"/>
    <n v="3058.748"/>
    <n v="0"/>
    <s v="Daily Sales Import"/>
    <n v="-3058.748"/>
    <n v="3058.748"/>
    <x v="1"/>
    <s v="2210"/>
    <s v="000"/>
    <x v="7"/>
    <x v="2"/>
  </r>
  <r>
    <d v="2013-05-03T00:00:00"/>
    <s v="017-2220-000"/>
    <s v="Beer Sales"/>
    <n v="736.35540000000003"/>
    <n v="0"/>
    <s v="Daily Sales Import"/>
    <n v="-736.35540000000003"/>
    <n v="736.35540000000003"/>
    <x v="1"/>
    <s v="2220"/>
    <s v="000"/>
    <x v="7"/>
    <x v="2"/>
  </r>
  <r>
    <d v="2013-05-03T00:00:00"/>
    <s v="017-2230-000"/>
    <s v="Wine Sales"/>
    <n v="84.977999999999994"/>
    <n v="0"/>
    <s v="Daily Sales Import"/>
    <n v="-84.977999999999994"/>
    <n v="84.977999999999994"/>
    <x v="1"/>
    <s v="2230"/>
    <s v="000"/>
    <x v="7"/>
    <x v="2"/>
  </r>
  <r>
    <d v="2013-05-04T00:00:00"/>
    <s v="017-2100-000"/>
    <s v="Food Sales"/>
    <n v="7504.7440000000006"/>
    <n v="0"/>
    <s v="Daily Sales Import"/>
    <n v="-7504.7440000000006"/>
    <n v="7504.7440000000006"/>
    <x v="1"/>
    <s v="2100"/>
    <s v="000"/>
    <x v="7"/>
    <x v="2"/>
  </r>
  <r>
    <d v="2013-05-04T00:00:00"/>
    <s v="017-2210-000"/>
    <s v="Liquor Sales"/>
    <n v="2177.7272000000003"/>
    <n v="0"/>
    <s v="Daily Sales Import"/>
    <n v="-2177.7272000000003"/>
    <n v="2177.7272000000003"/>
    <x v="1"/>
    <s v="2210"/>
    <s v="000"/>
    <x v="7"/>
    <x v="2"/>
  </r>
  <r>
    <d v="2013-05-04T00:00:00"/>
    <s v="017-2220-000"/>
    <s v="Beer Sales"/>
    <n v="476.56440000000003"/>
    <n v="0"/>
    <s v="Daily Sales Import"/>
    <n v="-476.56440000000003"/>
    <n v="476.56440000000003"/>
    <x v="1"/>
    <s v="2220"/>
    <s v="000"/>
    <x v="7"/>
    <x v="2"/>
  </r>
  <r>
    <d v="2013-05-04T00:00:00"/>
    <s v="017-2230-000"/>
    <s v="Wine Sales"/>
    <n v="101.96000000000001"/>
    <n v="0"/>
    <s v="Daily Sales Import"/>
    <n v="-101.96000000000001"/>
    <n v="101.96000000000001"/>
    <x v="1"/>
    <s v="2230"/>
    <s v="000"/>
    <x v="7"/>
    <x v="2"/>
  </r>
  <r>
    <d v="2013-05-05T00:00:00"/>
    <s v="017-2100-000"/>
    <s v="Food Sales"/>
    <n v="14419.2739"/>
    <n v="0"/>
    <s v="Daily Sales Import"/>
    <n v="-14419.2739"/>
    <n v="14419.2739"/>
    <x v="1"/>
    <s v="2100"/>
    <s v="000"/>
    <x v="7"/>
    <x v="2"/>
  </r>
  <r>
    <d v="2013-05-05T00:00:00"/>
    <s v="017-2210-000"/>
    <s v="Liquor Sales"/>
    <n v="8045.6382000000003"/>
    <n v="0"/>
    <s v="Daily Sales Import"/>
    <n v="-8045.6382000000003"/>
    <n v="8045.6382000000003"/>
    <x v="1"/>
    <s v="2210"/>
    <s v="000"/>
    <x v="7"/>
    <x v="2"/>
  </r>
  <r>
    <d v="2013-05-05T00:00:00"/>
    <s v="017-2220-000"/>
    <s v="Beer Sales"/>
    <n v="1349.1576"/>
    <n v="0"/>
    <s v="Daily Sales Import"/>
    <n v="-1349.1576"/>
    <n v="1349.1576"/>
    <x v="1"/>
    <s v="2220"/>
    <s v="000"/>
    <x v="7"/>
    <x v="2"/>
  </r>
  <r>
    <d v="2013-05-05T00:00:00"/>
    <s v="017-2230-000"/>
    <s v="Wine Sales"/>
    <n v="62.839299999999994"/>
    <n v="0"/>
    <s v="Daily Sales Import"/>
    <n v="-62.839299999999994"/>
    <n v="62.839299999999994"/>
    <x v="1"/>
    <s v="2230"/>
    <s v="000"/>
    <x v="7"/>
    <x v="2"/>
  </r>
  <r>
    <d v="2013-04-29T00:00:00"/>
    <s v="018-2100-000"/>
    <s v="Food Sales"/>
    <n v="2635.0073999999995"/>
    <n v="0"/>
    <s v="Daily Sales Import"/>
    <n v="-2635.0073999999995"/>
    <n v="2635.0073999999995"/>
    <x v="2"/>
    <s v="2100"/>
    <s v="000"/>
    <x v="6"/>
    <x v="2"/>
  </r>
  <r>
    <d v="2013-04-29T00:00:00"/>
    <s v="018-2210-000"/>
    <s v="Liquor Sales"/>
    <n v="631.87199999999996"/>
    <n v="0"/>
    <s v="Daily Sales Import"/>
    <n v="-631.87199999999996"/>
    <n v="631.87199999999996"/>
    <x v="2"/>
    <s v="2210"/>
    <s v="000"/>
    <x v="6"/>
    <x v="2"/>
  </r>
  <r>
    <d v="2013-04-29T00:00:00"/>
    <s v="018-2220-000"/>
    <s v="Beer Sales"/>
    <n v="182.69129999999998"/>
    <n v="0"/>
    <s v="Daily Sales Import"/>
    <n v="-182.69129999999998"/>
    <n v="182.69129999999998"/>
    <x v="2"/>
    <s v="2220"/>
    <s v="000"/>
    <x v="6"/>
    <x v="2"/>
  </r>
  <r>
    <d v="2013-04-29T00:00:00"/>
    <s v="018-2230-000"/>
    <s v="Wine Sales"/>
    <n v="15.103200000000001"/>
    <n v="0"/>
    <s v="Daily Sales Import"/>
    <n v="-15.103200000000001"/>
    <n v="15.103200000000001"/>
    <x v="2"/>
    <s v="2230"/>
    <s v="000"/>
    <x v="6"/>
    <x v="2"/>
  </r>
  <r>
    <d v="2013-04-30T00:00:00"/>
    <s v="018-2100-000"/>
    <s v="Food Sales"/>
    <n v="4241.9719999999998"/>
    <n v="0"/>
    <s v="Daily Sales Import"/>
    <n v="-4241.9719999999998"/>
    <n v="4241.9719999999998"/>
    <x v="2"/>
    <s v="2100"/>
    <s v="000"/>
    <x v="6"/>
    <x v="2"/>
  </r>
  <r>
    <d v="2013-04-30T00:00:00"/>
    <s v="018-2210-000"/>
    <s v="Liquor Sales"/>
    <n v="650.81219999999996"/>
    <n v="0"/>
    <s v="Daily Sales Import"/>
    <n v="-650.81219999999996"/>
    <n v="650.81219999999996"/>
    <x v="2"/>
    <s v="2210"/>
    <s v="000"/>
    <x v="6"/>
    <x v="2"/>
  </r>
  <r>
    <d v="2013-04-30T00:00:00"/>
    <s v="018-2220-000"/>
    <s v="Beer Sales"/>
    <n v="164.4564"/>
    <n v="0"/>
    <s v="Daily Sales Import"/>
    <n v="-164.4564"/>
    <n v="164.4564"/>
    <x v="2"/>
    <s v="2220"/>
    <s v="000"/>
    <x v="6"/>
    <x v="2"/>
  </r>
  <r>
    <d v="2013-04-30T00:00:00"/>
    <s v="018-2230-000"/>
    <s v="Wine Sales"/>
    <n v="15.4518"/>
    <n v="0"/>
    <s v="Daily Sales Import"/>
    <n v="-15.4518"/>
    <n v="15.4518"/>
    <x v="2"/>
    <s v="2230"/>
    <s v="000"/>
    <x v="6"/>
    <x v="2"/>
  </r>
  <r>
    <d v="2013-05-01T00:00:00"/>
    <s v="018-2100-000"/>
    <s v="Food Sales"/>
    <n v="5062.8023999999996"/>
    <n v="0"/>
    <s v="Daily Sales Import"/>
    <n v="-5062.8023999999996"/>
    <n v="5062.8023999999996"/>
    <x v="2"/>
    <s v="2100"/>
    <s v="000"/>
    <x v="7"/>
    <x v="2"/>
  </r>
  <r>
    <d v="2013-05-01T00:00:00"/>
    <s v="018-2210-000"/>
    <s v="Liquor Sales"/>
    <n v="1097.0119999999999"/>
    <n v="0"/>
    <s v="Daily Sales Import"/>
    <n v="-1097.0119999999999"/>
    <n v="1097.0119999999999"/>
    <x v="2"/>
    <s v="2210"/>
    <s v="000"/>
    <x v="7"/>
    <x v="2"/>
  </r>
  <r>
    <d v="2013-05-01T00:00:00"/>
    <s v="018-2220-000"/>
    <s v="Beer Sales"/>
    <n v="277.47720000000004"/>
    <n v="0"/>
    <s v="Daily Sales Import"/>
    <n v="-277.47720000000004"/>
    <n v="277.47720000000004"/>
    <x v="2"/>
    <s v="2220"/>
    <s v="000"/>
    <x v="7"/>
    <x v="2"/>
  </r>
  <r>
    <d v="2013-05-01T00:00:00"/>
    <s v="018-2230-000"/>
    <s v="Wine Sales"/>
    <n v="57.922800000000009"/>
    <n v="0"/>
    <s v="Daily Sales Import"/>
    <n v="-57.922800000000009"/>
    <n v="57.922800000000009"/>
    <x v="2"/>
    <s v="2230"/>
    <s v="000"/>
    <x v="7"/>
    <x v="2"/>
  </r>
  <r>
    <d v="2013-05-02T00:00:00"/>
    <s v="018-2100-000"/>
    <s v="Food Sales"/>
    <n v="5525.3432000000003"/>
    <n v="0"/>
    <s v="Daily Sales Import"/>
    <n v="-5525.3432000000003"/>
    <n v="5525.3432000000003"/>
    <x v="2"/>
    <s v="2100"/>
    <s v="000"/>
    <x v="7"/>
    <x v="2"/>
  </r>
  <r>
    <d v="2013-05-02T00:00:00"/>
    <s v="018-2210-000"/>
    <s v="Liquor Sales"/>
    <n v="1085.8452"/>
    <n v="0"/>
    <s v="Daily Sales Import"/>
    <n v="-1085.8452"/>
    <n v="1085.8452"/>
    <x v="2"/>
    <s v="2210"/>
    <s v="000"/>
    <x v="7"/>
    <x v="2"/>
  </r>
  <r>
    <d v="2013-05-02T00:00:00"/>
    <s v="018-2220-000"/>
    <s v="Beer Sales"/>
    <n v="206.64749999999998"/>
    <n v="0"/>
    <s v="Daily Sales Import"/>
    <n v="-206.64749999999998"/>
    <n v="206.64749999999998"/>
    <x v="2"/>
    <s v="2220"/>
    <s v="000"/>
    <x v="7"/>
    <x v="2"/>
  </r>
  <r>
    <d v="2013-05-02T00:00:00"/>
    <s v="018-2230-000"/>
    <s v="Wine Sales"/>
    <n v="6.3920000000000003"/>
    <n v="0"/>
    <s v="Daily Sales Import"/>
    <n v="-6.3920000000000003"/>
    <n v="6.3920000000000003"/>
    <x v="2"/>
    <s v="2230"/>
    <s v="000"/>
    <x v="7"/>
    <x v="2"/>
  </r>
  <r>
    <d v="2013-05-03T00:00:00"/>
    <s v="018-2100-000"/>
    <s v="Food Sales"/>
    <n v="9464.5655999999999"/>
    <n v="0"/>
    <s v="Daily Sales Import"/>
    <n v="-9464.5655999999999"/>
    <n v="9464.5655999999999"/>
    <x v="2"/>
    <s v="2100"/>
    <s v="000"/>
    <x v="7"/>
    <x v="2"/>
  </r>
  <r>
    <d v="2013-05-03T00:00:00"/>
    <s v="018-2210-000"/>
    <s v="Liquor Sales"/>
    <n v="4166.1238000000003"/>
    <n v="0"/>
    <s v="Daily Sales Import"/>
    <n v="-4166.1238000000003"/>
    <n v="4166.1238000000003"/>
    <x v="2"/>
    <s v="2210"/>
    <s v="000"/>
    <x v="7"/>
    <x v="2"/>
  </r>
  <r>
    <d v="2013-05-03T00:00:00"/>
    <s v="018-2220-000"/>
    <s v="Beer Sales"/>
    <n v="958.51859999999999"/>
    <n v="0"/>
    <s v="Daily Sales Import"/>
    <n v="-958.51859999999999"/>
    <n v="958.51859999999999"/>
    <x v="2"/>
    <s v="2220"/>
    <s v="000"/>
    <x v="7"/>
    <x v="2"/>
  </r>
  <r>
    <d v="2013-05-03T00:00:00"/>
    <s v="018-2230-000"/>
    <s v="Wine Sales"/>
    <n v="66.182699999999997"/>
    <n v="0"/>
    <s v="Daily Sales Import"/>
    <n v="-66.182699999999997"/>
    <n v="66.182699999999997"/>
    <x v="2"/>
    <s v="2230"/>
    <s v="000"/>
    <x v="7"/>
    <x v="2"/>
  </r>
  <r>
    <d v="2013-05-04T00:00:00"/>
    <s v="018-2100-000"/>
    <s v="Food Sales"/>
    <n v="15914.0034"/>
    <n v="0"/>
    <s v="Daily Sales Import"/>
    <n v="-15914.0034"/>
    <n v="15914.0034"/>
    <x v="2"/>
    <s v="2100"/>
    <s v="000"/>
    <x v="7"/>
    <x v="2"/>
  </r>
  <r>
    <d v="2013-05-04T00:00:00"/>
    <s v="018-2210-000"/>
    <s v="Liquor Sales"/>
    <n v="3540.9"/>
    <n v="0"/>
    <s v="Daily Sales Import"/>
    <n v="-3540.9"/>
    <n v="3540.9"/>
    <x v="2"/>
    <s v="2210"/>
    <s v="000"/>
    <x v="7"/>
    <x v="2"/>
  </r>
  <r>
    <d v="2013-05-04T00:00:00"/>
    <s v="018-2220-000"/>
    <s v="Beer Sales"/>
    <n v="856.03700000000003"/>
    <n v="0"/>
    <s v="Daily Sales Import"/>
    <n v="-856.03700000000003"/>
    <n v="856.03700000000003"/>
    <x v="2"/>
    <s v="2220"/>
    <s v="000"/>
    <x v="7"/>
    <x v="2"/>
  </r>
  <r>
    <d v="2013-05-04T00:00:00"/>
    <s v="018-2230-000"/>
    <s v="Wine Sales"/>
    <n v="67.002199999999988"/>
    <n v="0"/>
    <s v="Daily Sales Import"/>
    <n v="-67.002199999999988"/>
    <n v="67.002199999999988"/>
    <x v="2"/>
    <s v="2230"/>
    <s v="000"/>
    <x v="7"/>
    <x v="2"/>
  </r>
  <r>
    <d v="2013-05-05T00:00:00"/>
    <s v="018-2100-000"/>
    <s v="Food Sales"/>
    <n v="18601.478999999999"/>
    <n v="0"/>
    <s v="Daily Sales Import"/>
    <n v="-18601.478999999999"/>
    <n v="18601.478999999999"/>
    <x v="2"/>
    <s v="2100"/>
    <s v="000"/>
    <x v="7"/>
    <x v="2"/>
  </r>
  <r>
    <d v="2013-05-05T00:00:00"/>
    <s v="018-2210-000"/>
    <s v="Liquor Sales"/>
    <n v="6007.7828999999992"/>
    <n v="0"/>
    <s v="Daily Sales Import"/>
    <n v="-6007.7828999999992"/>
    <n v="6007.7828999999992"/>
    <x v="2"/>
    <s v="2210"/>
    <s v="000"/>
    <x v="7"/>
    <x v="2"/>
  </r>
  <r>
    <d v="2013-05-05T00:00:00"/>
    <s v="018-2220-000"/>
    <s v="Beer Sales"/>
    <n v="1621.9463999999998"/>
    <n v="0"/>
    <s v="Daily Sales Import"/>
    <n v="-1621.9463999999998"/>
    <n v="1621.9463999999998"/>
    <x v="2"/>
    <s v="2220"/>
    <s v="000"/>
    <x v="7"/>
    <x v="2"/>
  </r>
  <r>
    <d v="2013-05-05T00:00:00"/>
    <s v="018-2230-000"/>
    <s v="Wine Sales"/>
    <n v="91.749800000000008"/>
    <n v="0"/>
    <s v="Daily Sales Import"/>
    <n v="-91.749800000000008"/>
    <n v="91.749800000000008"/>
    <x v="2"/>
    <s v="2230"/>
    <s v="000"/>
    <x v="7"/>
    <x v="2"/>
  </r>
  <r>
    <d v="2013-05-06T00:00:00"/>
    <s v="016-2100-000"/>
    <s v="Food Sales"/>
    <n v="1995.0000000000002"/>
    <n v="0"/>
    <s v="Daily Sales Import"/>
    <n v="-1995.0000000000002"/>
    <n v="1995.0000000000002"/>
    <x v="0"/>
    <s v="2100"/>
    <s v="000"/>
    <x v="7"/>
    <x v="2"/>
  </r>
  <r>
    <d v="2013-05-06T00:00:00"/>
    <s v="016-2210-000"/>
    <s v="Liquor Sales"/>
    <n v="556.14"/>
    <n v="0"/>
    <s v="Daily Sales Import"/>
    <n v="-556.14"/>
    <n v="556.14"/>
    <x v="0"/>
    <s v="2210"/>
    <s v="000"/>
    <x v="7"/>
    <x v="2"/>
  </r>
  <r>
    <d v="2013-05-06T00:00:00"/>
    <s v="016-2220-000"/>
    <s v="Beer Sales"/>
    <n v="202.03649999999999"/>
    <n v="0"/>
    <s v="Daily Sales Import"/>
    <n v="-202.03649999999999"/>
    <n v="202.03649999999999"/>
    <x v="0"/>
    <s v="2220"/>
    <s v="000"/>
    <x v="7"/>
    <x v="2"/>
  </r>
  <r>
    <d v="2013-05-06T00:00:00"/>
    <s v="016-2230-000"/>
    <s v="Wine Sales"/>
    <n v="115.15559999999999"/>
    <n v="0"/>
    <s v="Daily Sales Import"/>
    <n v="-115.15559999999999"/>
    <n v="115.15559999999999"/>
    <x v="0"/>
    <s v="2230"/>
    <s v="000"/>
    <x v="7"/>
    <x v="2"/>
  </r>
  <r>
    <d v="2013-05-07T00:00:00"/>
    <s v="016-2100-000"/>
    <s v="Food Sales"/>
    <n v="7256.3315999999995"/>
    <n v="0"/>
    <s v="Daily Sales Import"/>
    <n v="-7256.3315999999995"/>
    <n v="7256.3315999999995"/>
    <x v="0"/>
    <s v="2100"/>
    <s v="000"/>
    <x v="7"/>
    <x v="2"/>
  </r>
  <r>
    <d v="2013-05-07T00:00:00"/>
    <s v="016-2210-000"/>
    <s v="Liquor Sales"/>
    <n v="1934.6879999999999"/>
    <n v="0"/>
    <s v="Daily Sales Import"/>
    <n v="-1934.6879999999999"/>
    <n v="1934.6879999999999"/>
    <x v="0"/>
    <s v="2210"/>
    <s v="000"/>
    <x v="7"/>
    <x v="2"/>
  </r>
  <r>
    <d v="2013-05-07T00:00:00"/>
    <s v="016-2220-000"/>
    <s v="Beer Sales"/>
    <n v="674.10419999999999"/>
    <n v="0"/>
    <s v="Daily Sales Import"/>
    <n v="-674.10419999999999"/>
    <n v="674.10419999999999"/>
    <x v="0"/>
    <s v="2220"/>
    <s v="000"/>
    <x v="7"/>
    <x v="2"/>
  </r>
  <r>
    <d v="2013-05-07T00:00:00"/>
    <s v="016-2230-000"/>
    <s v="Wine Sales"/>
    <n v="115.16800000000001"/>
    <n v="0"/>
    <s v="Daily Sales Import"/>
    <n v="-115.16800000000001"/>
    <n v="115.16800000000001"/>
    <x v="0"/>
    <s v="2230"/>
    <s v="000"/>
    <x v="7"/>
    <x v="2"/>
  </r>
  <r>
    <d v="2013-05-08T00:00:00"/>
    <s v="016-2100-000"/>
    <s v="Food Sales"/>
    <n v="2158.4360000000001"/>
    <n v="0"/>
    <s v="Daily Sales Import"/>
    <n v="-2158.4360000000001"/>
    <n v="2158.4360000000001"/>
    <x v="0"/>
    <s v="2100"/>
    <s v="000"/>
    <x v="7"/>
    <x v="2"/>
  </r>
  <r>
    <d v="2013-05-08T00:00:00"/>
    <s v="016-2210-000"/>
    <s v="Liquor Sales"/>
    <n v="672.06470000000002"/>
    <n v="0"/>
    <s v="Daily Sales Import"/>
    <n v="-672.06470000000002"/>
    <n v="672.06470000000002"/>
    <x v="0"/>
    <s v="2210"/>
    <s v="000"/>
    <x v="7"/>
    <x v="2"/>
  </r>
  <r>
    <d v="2013-05-08T00:00:00"/>
    <s v="016-2220-000"/>
    <s v="Beer Sales"/>
    <n v="135.11500000000001"/>
    <n v="0"/>
    <s v="Daily Sales Import"/>
    <n v="-135.11500000000001"/>
    <n v="135.11500000000001"/>
    <x v="0"/>
    <s v="2220"/>
    <s v="000"/>
    <x v="7"/>
    <x v="2"/>
  </r>
  <r>
    <d v="2013-05-08T00:00:00"/>
    <s v="016-2230-000"/>
    <s v="Wine Sales"/>
    <n v="56.904299999999992"/>
    <n v="0"/>
    <s v="Daily Sales Import"/>
    <n v="-56.904299999999992"/>
    <n v="56.904299999999992"/>
    <x v="0"/>
    <s v="2230"/>
    <s v="000"/>
    <x v="7"/>
    <x v="2"/>
  </r>
  <r>
    <d v="2013-05-09T00:00:00"/>
    <s v="016-2100-000"/>
    <s v="Food Sales"/>
    <n v="3119.2960000000003"/>
    <n v="0"/>
    <s v="Daily Sales Import"/>
    <n v="-3119.2960000000003"/>
    <n v="3119.2960000000003"/>
    <x v="0"/>
    <s v="2100"/>
    <s v="000"/>
    <x v="7"/>
    <x v="2"/>
  </r>
  <r>
    <d v="2013-05-09T00:00:00"/>
    <s v="016-2210-000"/>
    <s v="Liquor Sales"/>
    <n v="825.01800000000003"/>
    <n v="0"/>
    <s v="Daily Sales Import"/>
    <n v="-825.01800000000003"/>
    <n v="825.01800000000003"/>
    <x v="0"/>
    <s v="2210"/>
    <s v="000"/>
    <x v="7"/>
    <x v="2"/>
  </r>
  <r>
    <d v="2013-05-09T00:00:00"/>
    <s v="016-2220-000"/>
    <s v="Beer Sales"/>
    <n v="155.45910000000001"/>
    <n v="0"/>
    <s v="Daily Sales Import"/>
    <n v="-155.45910000000001"/>
    <n v="155.45910000000001"/>
    <x v="0"/>
    <s v="2220"/>
    <s v="000"/>
    <x v="7"/>
    <x v="2"/>
  </r>
  <r>
    <d v="2013-05-09T00:00:00"/>
    <s v="016-2230-000"/>
    <s v="Wine Sales"/>
    <n v="61.612400000000001"/>
    <n v="0"/>
    <s v="Daily Sales Import"/>
    <n v="-61.612400000000001"/>
    <n v="61.612400000000001"/>
    <x v="0"/>
    <s v="2230"/>
    <s v="000"/>
    <x v="7"/>
    <x v="2"/>
  </r>
  <r>
    <d v="2013-05-10T00:00:00"/>
    <s v="016-2100-000"/>
    <s v="Food Sales"/>
    <n v="4617.8850999999995"/>
    <n v="0"/>
    <s v="Daily Sales Import"/>
    <n v="-4617.8850999999995"/>
    <n v="4617.8850999999995"/>
    <x v="0"/>
    <s v="2100"/>
    <s v="000"/>
    <x v="7"/>
    <x v="2"/>
  </r>
  <r>
    <d v="2013-05-10T00:00:00"/>
    <s v="016-2210-000"/>
    <s v="Liquor Sales"/>
    <n v="1689.4387000000002"/>
    <n v="0"/>
    <s v="Daily Sales Import"/>
    <n v="-1689.4387000000002"/>
    <n v="1689.4387000000002"/>
    <x v="0"/>
    <s v="2210"/>
    <s v="000"/>
    <x v="7"/>
    <x v="2"/>
  </r>
  <r>
    <d v="2013-05-10T00:00:00"/>
    <s v="016-2220-000"/>
    <s v="Beer Sales"/>
    <n v="293.11099999999999"/>
    <n v="0"/>
    <s v="Daily Sales Import"/>
    <n v="-293.11099999999999"/>
    <n v="293.11099999999999"/>
    <x v="0"/>
    <s v="2220"/>
    <s v="000"/>
    <x v="7"/>
    <x v="2"/>
  </r>
  <r>
    <d v="2013-05-10T00:00:00"/>
    <s v="016-2230-000"/>
    <s v="Wine Sales"/>
    <n v="100.492"/>
    <n v="0"/>
    <s v="Daily Sales Import"/>
    <n v="-100.492"/>
    <n v="100.492"/>
    <x v="0"/>
    <s v="2230"/>
    <s v="000"/>
    <x v="7"/>
    <x v="2"/>
  </r>
  <r>
    <d v="2013-05-11T00:00:00"/>
    <s v="016-2100-000"/>
    <s v="Food Sales"/>
    <n v="7668.4793999999993"/>
    <n v="0"/>
    <s v="Daily Sales Import"/>
    <n v="-7668.4793999999993"/>
    <n v="7668.4793999999993"/>
    <x v="0"/>
    <s v="2100"/>
    <s v="000"/>
    <x v="7"/>
    <x v="2"/>
  </r>
  <r>
    <d v="2013-05-11T00:00:00"/>
    <s v="016-2210-000"/>
    <s v="Liquor Sales"/>
    <n v="3025.2222000000002"/>
    <n v="0"/>
    <s v="Daily Sales Import"/>
    <n v="-3025.2222000000002"/>
    <n v="3025.2222000000002"/>
    <x v="0"/>
    <s v="2210"/>
    <s v="000"/>
    <x v="7"/>
    <x v="2"/>
  </r>
  <r>
    <d v="2013-05-11T00:00:00"/>
    <s v="016-2220-000"/>
    <s v="Beer Sales"/>
    <n v="505.85989999999998"/>
    <n v="0"/>
    <s v="Daily Sales Import"/>
    <n v="-505.85989999999998"/>
    <n v="505.85989999999998"/>
    <x v="0"/>
    <s v="2220"/>
    <s v="000"/>
    <x v="7"/>
    <x v="2"/>
  </r>
  <r>
    <d v="2013-05-11T00:00:00"/>
    <s v="016-2230-000"/>
    <s v="Wine Sales"/>
    <n v="121.842"/>
    <n v="0"/>
    <s v="Daily Sales Import"/>
    <n v="-121.842"/>
    <n v="121.842"/>
    <x v="0"/>
    <s v="2230"/>
    <s v="000"/>
    <x v="7"/>
    <x v="2"/>
  </r>
  <r>
    <d v="2013-05-12T00:00:00"/>
    <s v="016-2100-000"/>
    <s v="Food Sales"/>
    <n v="9599.6844000000001"/>
    <n v="0"/>
    <s v="Daily Sales Import"/>
    <n v="-9599.6844000000001"/>
    <n v="9599.6844000000001"/>
    <x v="0"/>
    <s v="2100"/>
    <s v="000"/>
    <x v="7"/>
    <x v="2"/>
  </r>
  <r>
    <d v="2013-05-12T00:00:00"/>
    <s v="016-2210-000"/>
    <s v="Liquor Sales"/>
    <n v="1452.1044000000002"/>
    <n v="0"/>
    <s v="Daily Sales Import"/>
    <n v="-1452.1044000000002"/>
    <n v="1452.1044000000002"/>
    <x v="0"/>
    <s v="2210"/>
    <s v="000"/>
    <x v="7"/>
    <x v="2"/>
  </r>
  <r>
    <d v="2013-05-12T00:00:00"/>
    <s v="016-2220-000"/>
    <s v="Beer Sales"/>
    <n v="328.58280000000002"/>
    <n v="0"/>
    <s v="Daily Sales Import"/>
    <n v="-328.58280000000002"/>
    <n v="328.58280000000002"/>
    <x v="0"/>
    <s v="2220"/>
    <s v="000"/>
    <x v="7"/>
    <x v="2"/>
  </r>
  <r>
    <d v="2013-05-12T00:00:00"/>
    <s v="016-2230-000"/>
    <s v="Wine Sales"/>
    <n v="101.38800000000001"/>
    <n v="0"/>
    <s v="Daily Sales Import"/>
    <n v="-101.38800000000001"/>
    <n v="101.38800000000001"/>
    <x v="0"/>
    <s v="2230"/>
    <s v="000"/>
    <x v="7"/>
    <x v="2"/>
  </r>
  <r>
    <d v="2013-05-06T00:00:00"/>
    <s v="017-2100-000"/>
    <s v="Food Sales"/>
    <n v="4162.241"/>
    <n v="0"/>
    <s v="Daily Sales Import"/>
    <n v="-4162.241"/>
    <n v="4162.241"/>
    <x v="1"/>
    <s v="2100"/>
    <s v="000"/>
    <x v="7"/>
    <x v="2"/>
  </r>
  <r>
    <d v="2013-05-06T00:00:00"/>
    <s v="017-2210-000"/>
    <s v="Liquor Sales"/>
    <n v="853.63199999999995"/>
    <n v="0"/>
    <s v="Daily Sales Import"/>
    <n v="-853.63199999999995"/>
    <n v="853.63199999999995"/>
    <x v="1"/>
    <s v="2210"/>
    <s v="000"/>
    <x v="7"/>
    <x v="2"/>
  </r>
  <r>
    <d v="2013-05-06T00:00:00"/>
    <s v="017-2220-000"/>
    <s v="Beer Sales"/>
    <n v="339.26620000000003"/>
    <n v="0"/>
    <s v="Daily Sales Import"/>
    <n v="-339.26620000000003"/>
    <n v="339.26620000000003"/>
    <x v="1"/>
    <s v="2220"/>
    <s v="000"/>
    <x v="7"/>
    <x v="2"/>
  </r>
  <r>
    <d v="2013-05-06T00:00:00"/>
    <s v="017-2230-000"/>
    <s v="Wine Sales"/>
    <n v="209.988"/>
    <n v="0"/>
    <s v="Daily Sales Import"/>
    <n v="-209.988"/>
    <n v="209.988"/>
    <x v="1"/>
    <s v="2230"/>
    <s v="000"/>
    <x v="7"/>
    <x v="2"/>
  </r>
  <r>
    <d v="2013-05-07T00:00:00"/>
    <s v="017-2100-000"/>
    <s v="Food Sales"/>
    <n v="5374.6514999999999"/>
    <n v="0"/>
    <s v="Daily Sales Import"/>
    <n v="-5374.6514999999999"/>
    <n v="5374.6514999999999"/>
    <x v="1"/>
    <s v="2100"/>
    <s v="000"/>
    <x v="7"/>
    <x v="2"/>
  </r>
  <r>
    <d v="2013-05-07T00:00:00"/>
    <s v="017-2210-000"/>
    <s v="Liquor Sales"/>
    <n v="1404.1393999999998"/>
    <n v="0"/>
    <s v="Daily Sales Import"/>
    <n v="-1404.1393999999998"/>
    <n v="1404.1393999999998"/>
    <x v="1"/>
    <s v="2210"/>
    <s v="000"/>
    <x v="7"/>
    <x v="2"/>
  </r>
  <r>
    <d v="2013-05-07T00:00:00"/>
    <s v="017-2220-000"/>
    <s v="Beer Sales"/>
    <n v="313.97919999999999"/>
    <n v="0"/>
    <s v="Daily Sales Import"/>
    <n v="-313.97919999999999"/>
    <n v="313.97919999999999"/>
    <x v="1"/>
    <s v="2220"/>
    <s v="000"/>
    <x v="7"/>
    <x v="2"/>
  </r>
  <r>
    <d v="2013-05-07T00:00:00"/>
    <s v="017-2230-000"/>
    <s v="Wine Sales"/>
    <n v="118.807"/>
    <n v="0"/>
    <s v="Daily Sales Import"/>
    <n v="-118.807"/>
    <n v="118.807"/>
    <x v="1"/>
    <s v="2230"/>
    <s v="000"/>
    <x v="7"/>
    <x v="2"/>
  </r>
  <r>
    <d v="2013-05-08T00:00:00"/>
    <s v="017-2100-000"/>
    <s v="Food Sales"/>
    <n v="6068.2578000000003"/>
    <n v="0"/>
    <s v="Daily Sales Import"/>
    <n v="-6068.2578000000003"/>
    <n v="6068.2578000000003"/>
    <x v="1"/>
    <s v="2100"/>
    <s v="000"/>
    <x v="7"/>
    <x v="2"/>
  </r>
  <r>
    <d v="2013-05-08T00:00:00"/>
    <s v="017-2210-000"/>
    <s v="Liquor Sales"/>
    <n v="1379.4660000000001"/>
    <n v="0"/>
    <s v="Daily Sales Import"/>
    <n v="-1379.4660000000001"/>
    <n v="1379.4660000000001"/>
    <x v="1"/>
    <s v="2210"/>
    <s v="000"/>
    <x v="7"/>
    <x v="2"/>
  </r>
  <r>
    <d v="2013-05-08T00:00:00"/>
    <s v="017-2220-000"/>
    <s v="Beer Sales"/>
    <n v="516.26250000000005"/>
    <n v="0"/>
    <s v="Daily Sales Import"/>
    <n v="-516.26250000000005"/>
    <n v="516.26250000000005"/>
    <x v="1"/>
    <s v="2220"/>
    <s v="000"/>
    <x v="7"/>
    <x v="2"/>
  </r>
  <r>
    <d v="2013-05-08T00:00:00"/>
    <s v="017-2230-000"/>
    <s v="Wine Sales"/>
    <n v="112.44750000000001"/>
    <n v="0"/>
    <s v="Daily Sales Import"/>
    <n v="-112.44750000000001"/>
    <n v="112.44750000000001"/>
    <x v="1"/>
    <s v="2230"/>
    <s v="000"/>
    <x v="7"/>
    <x v="2"/>
  </r>
  <r>
    <d v="2013-05-09T00:00:00"/>
    <s v="017-2100-000"/>
    <s v="Food Sales"/>
    <n v="6689.0732999999991"/>
    <n v="0"/>
    <s v="Daily Sales Import"/>
    <n v="-6689.0732999999991"/>
    <n v="6689.0732999999991"/>
    <x v="1"/>
    <s v="2100"/>
    <s v="000"/>
    <x v="7"/>
    <x v="2"/>
  </r>
  <r>
    <d v="2013-05-09T00:00:00"/>
    <s v="017-2210-000"/>
    <s v="Liquor Sales"/>
    <n v="2213.3555999999999"/>
    <n v="0"/>
    <s v="Daily Sales Import"/>
    <n v="-2213.3555999999999"/>
    <n v="2213.3555999999999"/>
    <x v="1"/>
    <s v="2210"/>
    <s v="000"/>
    <x v="7"/>
    <x v="2"/>
  </r>
  <r>
    <d v="2013-05-09T00:00:00"/>
    <s v="017-2220-000"/>
    <s v="Beer Sales"/>
    <n v="893.74259999999992"/>
    <n v="0"/>
    <s v="Daily Sales Import"/>
    <n v="-893.74259999999992"/>
    <n v="893.74259999999992"/>
    <x v="1"/>
    <s v="2220"/>
    <s v="000"/>
    <x v="7"/>
    <x v="2"/>
  </r>
  <r>
    <d v="2013-05-09T00:00:00"/>
    <s v="017-2230-000"/>
    <s v="Wine Sales"/>
    <n v="109.4628"/>
    <n v="0"/>
    <s v="Daily Sales Import"/>
    <n v="-109.4628"/>
    <n v="109.4628"/>
    <x v="1"/>
    <s v="2230"/>
    <s v="000"/>
    <x v="7"/>
    <x v="2"/>
  </r>
  <r>
    <d v="2013-05-10T00:00:00"/>
    <s v="017-2100-000"/>
    <s v="Food Sales"/>
    <n v="9434.3028999999988"/>
    <n v="0"/>
    <s v="Daily Sales Import"/>
    <n v="-9434.3028999999988"/>
    <n v="9434.3028999999988"/>
    <x v="1"/>
    <s v="2100"/>
    <s v="000"/>
    <x v="7"/>
    <x v="2"/>
  </r>
  <r>
    <d v="2013-05-10T00:00:00"/>
    <s v="017-2210-000"/>
    <s v="Liquor Sales"/>
    <n v="2569.348"/>
    <n v="0"/>
    <s v="Daily Sales Import"/>
    <n v="-2569.348"/>
    <n v="2569.348"/>
    <x v="1"/>
    <s v="2210"/>
    <s v="000"/>
    <x v="7"/>
    <x v="2"/>
  </r>
  <r>
    <d v="2013-05-10T00:00:00"/>
    <s v="017-2220-000"/>
    <s v="Beer Sales"/>
    <n v="470.80289999999997"/>
    <n v="0"/>
    <s v="Daily Sales Import"/>
    <n v="-470.80289999999997"/>
    <n v="470.80289999999997"/>
    <x v="1"/>
    <s v="2220"/>
    <s v="000"/>
    <x v="7"/>
    <x v="2"/>
  </r>
  <r>
    <d v="2013-05-10T00:00:00"/>
    <s v="017-2230-000"/>
    <s v="Wine Sales"/>
    <n v="213.10979999999998"/>
    <n v="0"/>
    <s v="Daily Sales Import"/>
    <n v="-213.10979999999998"/>
    <n v="213.10979999999998"/>
    <x v="1"/>
    <s v="2230"/>
    <s v="000"/>
    <x v="7"/>
    <x v="2"/>
  </r>
  <r>
    <d v="2013-05-11T00:00:00"/>
    <s v="017-2100-000"/>
    <s v="Food Sales"/>
    <n v="8105.2789999999986"/>
    <n v="0"/>
    <s v="Daily Sales Import"/>
    <n v="-8105.2789999999986"/>
    <n v="8105.2789999999986"/>
    <x v="1"/>
    <s v="2100"/>
    <s v="000"/>
    <x v="7"/>
    <x v="2"/>
  </r>
  <r>
    <d v="2013-05-11T00:00:00"/>
    <s v="017-2210-000"/>
    <s v="Liquor Sales"/>
    <n v="3046.8240000000001"/>
    <n v="0"/>
    <s v="Daily Sales Import"/>
    <n v="-3046.8240000000001"/>
    <n v="3046.8240000000001"/>
    <x v="1"/>
    <s v="2210"/>
    <s v="000"/>
    <x v="7"/>
    <x v="2"/>
  </r>
  <r>
    <d v="2013-05-11T00:00:00"/>
    <s v="017-2220-000"/>
    <s v="Beer Sales"/>
    <n v="560.04139999999995"/>
    <n v="0"/>
    <s v="Daily Sales Import"/>
    <n v="-560.04139999999995"/>
    <n v="560.04139999999995"/>
    <x v="1"/>
    <s v="2220"/>
    <s v="000"/>
    <x v="7"/>
    <x v="2"/>
  </r>
  <r>
    <d v="2013-05-11T00:00:00"/>
    <s v="017-2230-000"/>
    <s v="Wine Sales"/>
    <n v="195.67580000000001"/>
    <n v="0"/>
    <s v="Daily Sales Import"/>
    <n v="-195.67580000000001"/>
    <n v="195.67580000000001"/>
    <x v="1"/>
    <s v="2230"/>
    <s v="000"/>
    <x v="7"/>
    <x v="2"/>
  </r>
  <r>
    <d v="2013-05-12T00:00:00"/>
    <s v="017-2100-000"/>
    <s v="Food Sales"/>
    <n v="8722.3359999999993"/>
    <n v="0"/>
    <s v="Daily Sales Import"/>
    <n v="-8722.3359999999993"/>
    <n v="8722.3359999999993"/>
    <x v="1"/>
    <s v="2100"/>
    <s v="000"/>
    <x v="7"/>
    <x v="2"/>
  </r>
  <r>
    <d v="2013-05-12T00:00:00"/>
    <s v="017-2210-000"/>
    <s v="Liquor Sales"/>
    <n v="2013.384"/>
    <n v="0"/>
    <s v="Daily Sales Import"/>
    <n v="-2013.384"/>
    <n v="2013.384"/>
    <x v="1"/>
    <s v="2210"/>
    <s v="000"/>
    <x v="7"/>
    <x v="2"/>
  </r>
  <r>
    <d v="2013-05-12T00:00:00"/>
    <s v="017-2220-000"/>
    <s v="Beer Sales"/>
    <n v="297.06880000000001"/>
    <n v="0"/>
    <s v="Daily Sales Import"/>
    <n v="-297.06880000000001"/>
    <n v="297.06880000000001"/>
    <x v="1"/>
    <s v="2220"/>
    <s v="000"/>
    <x v="7"/>
    <x v="2"/>
  </r>
  <r>
    <d v="2013-05-12T00:00:00"/>
    <s v="017-2230-000"/>
    <s v="Wine Sales"/>
    <n v="112.5316"/>
    <n v="0"/>
    <s v="Daily Sales Import"/>
    <n v="-112.5316"/>
    <n v="112.5316"/>
    <x v="1"/>
    <s v="2230"/>
    <s v="000"/>
    <x v="7"/>
    <x v="2"/>
  </r>
  <r>
    <d v="2013-05-06T00:00:00"/>
    <s v="018-2100-000"/>
    <s v="Food Sales"/>
    <n v="3537.2921999999999"/>
    <n v="0"/>
    <s v="Daily Sales Import"/>
    <n v="-3537.2921999999999"/>
    <n v="3537.2921999999999"/>
    <x v="2"/>
    <s v="2100"/>
    <s v="000"/>
    <x v="7"/>
    <x v="2"/>
  </r>
  <r>
    <d v="2013-05-06T00:00:00"/>
    <s v="018-2210-000"/>
    <s v="Liquor Sales"/>
    <n v="438.48180000000002"/>
    <n v="0"/>
    <s v="Daily Sales Import"/>
    <n v="-438.48180000000002"/>
    <n v="438.48180000000002"/>
    <x v="2"/>
    <s v="2210"/>
    <s v="000"/>
    <x v="7"/>
    <x v="2"/>
  </r>
  <r>
    <d v="2013-05-06T00:00:00"/>
    <s v="018-2220-000"/>
    <s v="Beer Sales"/>
    <n v="133.18830000000003"/>
    <n v="0"/>
    <s v="Daily Sales Import"/>
    <n v="-133.18830000000003"/>
    <n v="133.18830000000003"/>
    <x v="2"/>
    <s v="2220"/>
    <s v="000"/>
    <x v="7"/>
    <x v="2"/>
  </r>
  <r>
    <d v="2013-05-06T00:00:00"/>
    <s v="018-2230-000"/>
    <s v="Wine Sales"/>
    <n v="10.051399999999997"/>
    <n v="0"/>
    <s v="Daily Sales Import"/>
    <n v="-10.051399999999997"/>
    <n v="10.051399999999997"/>
    <x v="2"/>
    <s v="2230"/>
    <s v="000"/>
    <x v="7"/>
    <x v="2"/>
  </r>
  <r>
    <d v="2013-05-07T00:00:00"/>
    <s v="018-2100-000"/>
    <s v="Food Sales"/>
    <n v="3958.1586000000002"/>
    <n v="0"/>
    <s v="Daily Sales Import"/>
    <n v="-3958.1586000000002"/>
    <n v="3958.1586000000002"/>
    <x v="2"/>
    <s v="2100"/>
    <s v="000"/>
    <x v="7"/>
    <x v="2"/>
  </r>
  <r>
    <d v="2013-05-07T00:00:00"/>
    <s v="018-2210-000"/>
    <s v="Liquor Sales"/>
    <n v="588.11789999999996"/>
    <n v="0"/>
    <s v="Daily Sales Import"/>
    <n v="-588.11789999999996"/>
    <n v="588.11789999999996"/>
    <x v="2"/>
    <s v="2210"/>
    <s v="000"/>
    <x v="7"/>
    <x v="2"/>
  </r>
  <r>
    <d v="2013-05-07T00:00:00"/>
    <s v="018-2220-000"/>
    <s v="Beer Sales"/>
    <n v="199.02959999999999"/>
    <n v="0"/>
    <s v="Daily Sales Import"/>
    <n v="-199.02959999999999"/>
    <n v="199.02959999999999"/>
    <x v="2"/>
    <s v="2220"/>
    <s v="000"/>
    <x v="7"/>
    <x v="2"/>
  </r>
  <r>
    <d v="2013-05-07T00:00:00"/>
    <s v="018-2230-000"/>
    <s v="Wine Sales"/>
    <n v="29.884800000000002"/>
    <n v="0"/>
    <s v="Daily Sales Import"/>
    <n v="-29.884800000000002"/>
    <n v="29.884800000000002"/>
    <x v="2"/>
    <s v="2230"/>
    <s v="000"/>
    <x v="7"/>
    <x v="2"/>
  </r>
  <r>
    <d v="2013-05-08T00:00:00"/>
    <s v="018-2100-000"/>
    <s v="Food Sales"/>
    <n v="4122.4175999999998"/>
    <n v="0"/>
    <s v="Daily Sales Import"/>
    <n v="-4122.4175999999998"/>
    <n v="4122.4175999999998"/>
    <x v="2"/>
    <s v="2100"/>
    <s v="000"/>
    <x v="7"/>
    <x v="2"/>
  </r>
  <r>
    <d v="2013-05-08T00:00:00"/>
    <s v="018-2210-000"/>
    <s v="Liquor Sales"/>
    <n v="920.94309999999996"/>
    <n v="0"/>
    <s v="Daily Sales Import"/>
    <n v="-920.94309999999996"/>
    <n v="920.94309999999996"/>
    <x v="2"/>
    <s v="2210"/>
    <s v="000"/>
    <x v="7"/>
    <x v="2"/>
  </r>
  <r>
    <d v="2013-05-08T00:00:00"/>
    <s v="018-2220-000"/>
    <s v="Beer Sales"/>
    <n v="197.178"/>
    <n v="0"/>
    <s v="Daily Sales Import"/>
    <n v="-197.178"/>
    <n v="197.178"/>
    <x v="2"/>
    <s v="2220"/>
    <s v="000"/>
    <x v="7"/>
    <x v="2"/>
  </r>
  <r>
    <d v="2013-05-08T00:00:00"/>
    <s v="018-2230-000"/>
    <s v="Wine Sales"/>
    <n v="45.132799999999996"/>
    <n v="0"/>
    <s v="Daily Sales Import"/>
    <n v="-45.132799999999996"/>
    <n v="45.132799999999996"/>
    <x v="2"/>
    <s v="2230"/>
    <s v="000"/>
    <x v="7"/>
    <x v="2"/>
  </r>
  <r>
    <d v="2013-05-09T00:00:00"/>
    <s v="018-2100-000"/>
    <s v="Food Sales"/>
    <n v="6168.4187999999995"/>
    <n v="0"/>
    <s v="Daily Sales Import"/>
    <n v="-6168.4187999999995"/>
    <n v="6168.4187999999995"/>
    <x v="2"/>
    <s v="2100"/>
    <s v="000"/>
    <x v="7"/>
    <x v="2"/>
  </r>
  <r>
    <d v="2013-05-09T00:00:00"/>
    <s v="018-2210-000"/>
    <s v="Liquor Sales"/>
    <n v="1296.3852999999999"/>
    <n v="0"/>
    <s v="Daily Sales Import"/>
    <n v="-1296.3852999999999"/>
    <n v="1296.3852999999999"/>
    <x v="2"/>
    <s v="2210"/>
    <s v="000"/>
    <x v="7"/>
    <x v="2"/>
  </r>
  <r>
    <d v="2013-05-09T00:00:00"/>
    <s v="018-2220-000"/>
    <s v="Beer Sales"/>
    <n v="321.02999999999997"/>
    <n v="0"/>
    <s v="Daily Sales Import"/>
    <n v="-321.02999999999997"/>
    <n v="321.02999999999997"/>
    <x v="2"/>
    <s v="2220"/>
    <s v="000"/>
    <x v="7"/>
    <x v="2"/>
  </r>
  <r>
    <d v="2013-05-09T00:00:00"/>
    <s v="018-2230-000"/>
    <s v="Wine Sales"/>
    <n v="100.2229"/>
    <n v="0"/>
    <s v="Daily Sales Import"/>
    <n v="-100.2229"/>
    <n v="100.2229"/>
    <x v="2"/>
    <s v="2230"/>
    <s v="000"/>
    <x v="7"/>
    <x v="2"/>
  </r>
  <r>
    <d v="2013-05-10T00:00:00"/>
    <s v="018-2100-000"/>
    <s v="Food Sales"/>
    <n v="18051.263500000001"/>
    <n v="0"/>
    <s v="Daily Sales Import"/>
    <n v="-18051.263500000001"/>
    <n v="18051.263500000001"/>
    <x v="2"/>
    <s v="2100"/>
    <s v="000"/>
    <x v="7"/>
    <x v="2"/>
  </r>
  <r>
    <d v="2013-05-10T00:00:00"/>
    <s v="018-2210-000"/>
    <s v="Liquor Sales"/>
    <n v="2067.0160000000001"/>
    <n v="0"/>
    <s v="Daily Sales Import"/>
    <n v="-2067.0160000000001"/>
    <n v="2067.0160000000001"/>
    <x v="2"/>
    <s v="2210"/>
    <s v="000"/>
    <x v="7"/>
    <x v="2"/>
  </r>
  <r>
    <d v="2013-05-10T00:00:00"/>
    <s v="018-2220-000"/>
    <s v="Beer Sales"/>
    <n v="990.80250000000001"/>
    <n v="0"/>
    <s v="Daily Sales Import"/>
    <n v="-990.80250000000001"/>
    <n v="990.80250000000001"/>
    <x v="2"/>
    <s v="2220"/>
    <s v="000"/>
    <x v="7"/>
    <x v="2"/>
  </r>
  <r>
    <d v="2013-05-10T00:00:00"/>
    <s v="018-2230-000"/>
    <s v="Wine Sales"/>
    <n v="130"/>
    <n v="0"/>
    <s v="Daily Sales Import"/>
    <n v="-130"/>
    <n v="130"/>
    <x v="2"/>
    <s v="2230"/>
    <s v="000"/>
    <x v="7"/>
    <x v="2"/>
  </r>
  <r>
    <d v="2013-05-11T00:00:00"/>
    <s v="018-2100-000"/>
    <s v="Food Sales"/>
    <n v="21941.3766"/>
    <n v="0"/>
    <s v="Daily Sales Import"/>
    <n v="-21941.3766"/>
    <n v="21941.3766"/>
    <x v="2"/>
    <s v="2100"/>
    <s v="000"/>
    <x v="7"/>
    <x v="2"/>
  </r>
  <r>
    <d v="2013-05-11T00:00:00"/>
    <s v="018-2210-000"/>
    <s v="Liquor Sales"/>
    <n v="3146.136"/>
    <n v="0"/>
    <s v="Daily Sales Import"/>
    <n v="-3146.136"/>
    <n v="3146.136"/>
    <x v="2"/>
    <s v="2210"/>
    <s v="000"/>
    <x v="7"/>
    <x v="2"/>
  </r>
  <r>
    <d v="2013-05-11T00:00:00"/>
    <s v="018-2220-000"/>
    <s v="Beer Sales"/>
    <n v="1179.6576"/>
    <n v="0"/>
    <s v="Daily Sales Import"/>
    <n v="-1179.6576"/>
    <n v="1179.6576"/>
    <x v="2"/>
    <s v="2220"/>
    <s v="000"/>
    <x v="7"/>
    <x v="2"/>
  </r>
  <r>
    <d v="2013-05-11T00:00:00"/>
    <s v="018-2230-000"/>
    <s v="Wine Sales"/>
    <n v="191.36540000000002"/>
    <n v="0"/>
    <s v="Daily Sales Import"/>
    <n v="-191.36540000000002"/>
    <n v="191.36540000000002"/>
    <x v="2"/>
    <s v="2230"/>
    <s v="000"/>
    <x v="7"/>
    <x v="2"/>
  </r>
  <r>
    <d v="2013-05-12T00:00:00"/>
    <s v="018-2100-000"/>
    <s v="Food Sales"/>
    <n v="19474.286599999999"/>
    <n v="0"/>
    <s v="Daily Sales Import"/>
    <n v="-19474.286599999999"/>
    <n v="19474.286599999999"/>
    <x v="2"/>
    <s v="2100"/>
    <s v="000"/>
    <x v="7"/>
    <x v="2"/>
  </r>
  <r>
    <d v="2013-05-12T00:00:00"/>
    <s v="018-2210-000"/>
    <s v="Liquor Sales"/>
    <n v="2499.6972000000001"/>
    <n v="0"/>
    <s v="Daily Sales Import"/>
    <n v="-2499.6972000000001"/>
    <n v="2499.6972000000001"/>
    <x v="2"/>
    <s v="2210"/>
    <s v="000"/>
    <x v="7"/>
    <x v="2"/>
  </r>
  <r>
    <d v="2013-05-12T00:00:00"/>
    <s v="018-2220-000"/>
    <s v="Beer Sales"/>
    <n v="1094.2638999999999"/>
    <n v="0"/>
    <s v="Daily Sales Import"/>
    <n v="-1094.2638999999999"/>
    <n v="1094.2638999999999"/>
    <x v="2"/>
    <s v="2220"/>
    <s v="000"/>
    <x v="7"/>
    <x v="2"/>
  </r>
  <r>
    <d v="2013-05-12T00:00:00"/>
    <s v="018-2230-000"/>
    <s v="Wine Sales"/>
    <n v="128.18960000000001"/>
    <n v="0"/>
    <s v="Daily Sales Import"/>
    <n v="-128.18960000000001"/>
    <n v="128.18960000000001"/>
    <x v="2"/>
    <s v="2230"/>
    <s v="000"/>
    <x v="7"/>
    <x v="2"/>
  </r>
  <r>
    <d v="2013-05-13T00:00:00"/>
    <s v="016-2100-000"/>
    <s v="Food Sales"/>
    <n v="1614.5135999999998"/>
    <n v="0"/>
    <s v="Daily Sales Import"/>
    <n v="-1614.5135999999998"/>
    <n v="1614.5135999999998"/>
    <x v="0"/>
    <s v="2100"/>
    <s v="000"/>
    <x v="7"/>
    <x v="2"/>
  </r>
  <r>
    <d v="2013-05-13T00:00:00"/>
    <s v="016-2210-000"/>
    <s v="Liquor Sales"/>
    <n v="604.572"/>
    <n v="0"/>
    <s v="Daily Sales Import"/>
    <n v="-604.572"/>
    <n v="604.572"/>
    <x v="0"/>
    <s v="2210"/>
    <s v="000"/>
    <x v="7"/>
    <x v="2"/>
  </r>
  <r>
    <d v="2013-05-13T00:00:00"/>
    <s v="016-2220-000"/>
    <s v="Beer Sales"/>
    <n v="157.50909999999999"/>
    <n v="0"/>
    <s v="Daily Sales Import"/>
    <n v="-157.50909999999999"/>
    <n v="157.50909999999999"/>
    <x v="0"/>
    <s v="2220"/>
    <s v="000"/>
    <x v="7"/>
    <x v="2"/>
  </r>
  <r>
    <d v="2013-05-13T00:00:00"/>
    <s v="016-2230-000"/>
    <s v="Wine Sales"/>
    <n v="45.805500000000002"/>
    <n v="0"/>
    <s v="Daily Sales Import"/>
    <n v="-45.805500000000002"/>
    <n v="45.805500000000002"/>
    <x v="0"/>
    <s v="2230"/>
    <s v="000"/>
    <x v="7"/>
    <x v="2"/>
  </r>
  <r>
    <d v="2013-05-14T00:00:00"/>
    <s v="016-2100-000"/>
    <s v="Food Sales"/>
    <n v="7210.6265000000003"/>
    <n v="0"/>
    <s v="Daily Sales Import"/>
    <n v="-7210.6265000000003"/>
    <n v="7210.6265000000003"/>
    <x v="0"/>
    <s v="2100"/>
    <s v="000"/>
    <x v="7"/>
    <x v="2"/>
  </r>
  <r>
    <d v="2013-05-14T00:00:00"/>
    <s v="016-2210-000"/>
    <s v="Liquor Sales"/>
    <n v="3375.4553999999998"/>
    <n v="0"/>
    <s v="Daily Sales Import"/>
    <n v="-3375.4553999999998"/>
    <n v="3375.4553999999998"/>
    <x v="0"/>
    <s v="2210"/>
    <s v="000"/>
    <x v="7"/>
    <x v="2"/>
  </r>
  <r>
    <d v="2013-05-14T00:00:00"/>
    <s v="016-2220-000"/>
    <s v="Beer Sales"/>
    <n v="502.56360000000001"/>
    <n v="0"/>
    <s v="Daily Sales Import"/>
    <n v="-502.56360000000001"/>
    <n v="502.56360000000001"/>
    <x v="0"/>
    <s v="2220"/>
    <s v="000"/>
    <x v="7"/>
    <x v="2"/>
  </r>
  <r>
    <d v="2013-05-14T00:00:00"/>
    <s v="016-2230-000"/>
    <s v="Wine Sales"/>
    <n v="116.127"/>
    <n v="0"/>
    <s v="Daily Sales Import"/>
    <n v="-116.127"/>
    <n v="116.127"/>
    <x v="0"/>
    <s v="2230"/>
    <s v="000"/>
    <x v="7"/>
    <x v="2"/>
  </r>
  <r>
    <d v="2013-05-15T00:00:00"/>
    <s v="016-2100-000"/>
    <s v="Food Sales"/>
    <n v="2243.4918000000002"/>
    <n v="0"/>
    <s v="Daily Sales Import"/>
    <n v="-2243.4918000000002"/>
    <n v="2243.4918000000002"/>
    <x v="0"/>
    <s v="2100"/>
    <s v="000"/>
    <x v="7"/>
    <x v="2"/>
  </r>
  <r>
    <d v="2013-05-15T00:00:00"/>
    <s v="016-2210-000"/>
    <s v="Liquor Sales"/>
    <n v="628.93319999999994"/>
    <n v="0"/>
    <s v="Daily Sales Import"/>
    <n v="-628.93319999999994"/>
    <n v="628.93319999999994"/>
    <x v="0"/>
    <s v="2210"/>
    <s v="000"/>
    <x v="7"/>
    <x v="2"/>
  </r>
  <r>
    <d v="2013-05-15T00:00:00"/>
    <s v="016-2220-000"/>
    <s v="Beer Sales"/>
    <n v="187.65699999999998"/>
    <n v="0"/>
    <s v="Daily Sales Import"/>
    <n v="-187.65699999999998"/>
    <n v="187.65699999999998"/>
    <x v="0"/>
    <s v="2220"/>
    <s v="000"/>
    <x v="7"/>
    <x v="2"/>
  </r>
  <r>
    <d v="2013-05-15T00:00:00"/>
    <s v="016-2230-000"/>
    <s v="Wine Sales"/>
    <n v="26.208599999999997"/>
    <n v="0"/>
    <s v="Daily Sales Import"/>
    <n v="-26.208599999999997"/>
    <n v="26.208599999999997"/>
    <x v="0"/>
    <s v="2230"/>
    <s v="000"/>
    <x v="7"/>
    <x v="2"/>
  </r>
  <r>
    <d v="2013-05-17T00:00:00"/>
    <s v="016-2100-000"/>
    <s v="Food Sales"/>
    <n v="4948.6575000000003"/>
    <n v="0"/>
    <s v="Daily Sales Import"/>
    <n v="-4948.6575000000003"/>
    <n v="4948.6575000000003"/>
    <x v="0"/>
    <s v="2100"/>
    <s v="000"/>
    <x v="7"/>
    <x v="2"/>
  </r>
  <r>
    <d v="2013-05-17T00:00:00"/>
    <s v="016-2210-000"/>
    <s v="Liquor Sales"/>
    <n v="1478.6351999999999"/>
    <n v="0"/>
    <s v="Daily Sales Import"/>
    <n v="-1478.6351999999999"/>
    <n v="1478.6351999999999"/>
    <x v="0"/>
    <s v="2210"/>
    <s v="000"/>
    <x v="7"/>
    <x v="2"/>
  </r>
  <r>
    <d v="2013-05-17T00:00:00"/>
    <s v="016-2220-000"/>
    <s v="Beer Sales"/>
    <n v="250.64040000000003"/>
    <n v="0"/>
    <s v="Daily Sales Import"/>
    <n v="-250.64040000000003"/>
    <n v="250.64040000000003"/>
    <x v="0"/>
    <s v="2220"/>
    <s v="000"/>
    <x v="7"/>
    <x v="2"/>
  </r>
  <r>
    <d v="2013-05-17T00:00:00"/>
    <s v="016-2230-000"/>
    <s v="Wine Sales"/>
    <n v="74.343500000000006"/>
    <n v="0"/>
    <s v="Daily Sales Import"/>
    <n v="-74.343500000000006"/>
    <n v="74.343500000000006"/>
    <x v="0"/>
    <s v="2230"/>
    <s v="000"/>
    <x v="7"/>
    <x v="2"/>
  </r>
  <r>
    <d v="2013-05-18T00:00:00"/>
    <s v="016-2100-000"/>
    <s v="Food Sales"/>
    <n v="5150.9920000000011"/>
    <n v="0"/>
    <s v="Daily Sales Import"/>
    <n v="-5150.9920000000011"/>
    <n v="5150.9920000000011"/>
    <x v="0"/>
    <s v="2100"/>
    <s v="000"/>
    <x v="7"/>
    <x v="2"/>
  </r>
  <r>
    <d v="2013-05-18T00:00:00"/>
    <s v="016-2210-000"/>
    <s v="Liquor Sales"/>
    <n v="1869.9387999999999"/>
    <n v="0"/>
    <s v="Daily Sales Import"/>
    <n v="-1869.9387999999999"/>
    <n v="1869.9387999999999"/>
    <x v="0"/>
    <s v="2210"/>
    <s v="000"/>
    <x v="7"/>
    <x v="2"/>
  </r>
  <r>
    <d v="2013-05-18T00:00:00"/>
    <s v="016-2220-000"/>
    <s v="Beer Sales"/>
    <n v="279.63629999999995"/>
    <n v="0"/>
    <s v="Daily Sales Import"/>
    <n v="-279.63629999999995"/>
    <n v="279.63629999999995"/>
    <x v="0"/>
    <s v="2220"/>
    <s v="000"/>
    <x v="7"/>
    <x v="2"/>
  </r>
  <r>
    <d v="2013-05-18T00:00:00"/>
    <s v="016-2230-000"/>
    <s v="Wine Sales"/>
    <n v="84.975000000000009"/>
    <n v="0"/>
    <s v="Daily Sales Import"/>
    <n v="-84.975000000000009"/>
    <n v="84.975000000000009"/>
    <x v="0"/>
    <s v="2230"/>
    <s v="000"/>
    <x v="7"/>
    <x v="2"/>
  </r>
  <r>
    <d v="2013-05-19T00:00:00"/>
    <s v="016-2100-000"/>
    <s v="Food Sales"/>
    <n v="6808.4967999999999"/>
    <n v="0"/>
    <s v="Daily Sales Import"/>
    <n v="-6808.4967999999999"/>
    <n v="6808.4967999999999"/>
    <x v="0"/>
    <s v="2100"/>
    <s v="000"/>
    <x v="7"/>
    <x v="2"/>
  </r>
  <r>
    <d v="2013-05-19T00:00:00"/>
    <s v="016-2210-000"/>
    <s v="Liquor Sales"/>
    <n v="1731.9390000000001"/>
    <n v="0"/>
    <s v="Daily Sales Import"/>
    <n v="-1731.9390000000001"/>
    <n v="1731.9390000000001"/>
    <x v="0"/>
    <s v="2210"/>
    <s v="000"/>
    <x v="7"/>
    <x v="2"/>
  </r>
  <r>
    <d v="2013-05-19T00:00:00"/>
    <s v="016-2220-000"/>
    <s v="Beer Sales"/>
    <n v="207.69779999999997"/>
    <n v="0"/>
    <s v="Daily Sales Import"/>
    <n v="-207.69779999999997"/>
    <n v="207.69779999999997"/>
    <x v="0"/>
    <s v="2220"/>
    <s v="000"/>
    <x v="7"/>
    <x v="2"/>
  </r>
  <r>
    <d v="2013-05-19T00:00:00"/>
    <s v="016-2230-000"/>
    <s v="Wine Sales"/>
    <n v="66.584999999999994"/>
    <n v="0"/>
    <s v="Daily Sales Import"/>
    <n v="-66.584999999999994"/>
    <n v="66.584999999999994"/>
    <x v="0"/>
    <s v="2230"/>
    <s v="000"/>
    <x v="7"/>
    <x v="2"/>
  </r>
  <r>
    <d v="2013-05-13T00:00:00"/>
    <s v="017-2100-000"/>
    <s v="Food Sales"/>
    <n v="5509.424"/>
    <n v="0"/>
    <s v="Daily Sales Import"/>
    <n v="-5509.424"/>
    <n v="5509.424"/>
    <x v="1"/>
    <s v="2100"/>
    <s v="000"/>
    <x v="7"/>
    <x v="2"/>
  </r>
  <r>
    <d v="2013-05-13T00:00:00"/>
    <s v="017-2210-000"/>
    <s v="Liquor Sales"/>
    <n v="1936.818"/>
    <n v="0"/>
    <s v="Daily Sales Import"/>
    <n v="-1936.818"/>
    <n v="1936.818"/>
    <x v="1"/>
    <s v="2210"/>
    <s v="000"/>
    <x v="7"/>
    <x v="2"/>
  </r>
  <r>
    <d v="2013-05-13T00:00:00"/>
    <s v="017-2220-000"/>
    <s v="Beer Sales"/>
    <n v="316.85519999999997"/>
    <n v="0"/>
    <s v="Daily Sales Import"/>
    <n v="-316.85519999999997"/>
    <n v="316.85519999999997"/>
    <x v="1"/>
    <s v="2220"/>
    <s v="000"/>
    <x v="7"/>
    <x v="2"/>
  </r>
  <r>
    <d v="2013-05-13T00:00:00"/>
    <s v="017-2230-000"/>
    <s v="Wine Sales"/>
    <n v="85.3185"/>
    <n v="0"/>
    <s v="Daily Sales Import"/>
    <n v="-85.3185"/>
    <n v="85.3185"/>
    <x v="1"/>
    <s v="2230"/>
    <s v="000"/>
    <x v="7"/>
    <x v="2"/>
  </r>
  <r>
    <d v="2013-05-14T00:00:00"/>
    <s v="017-2100-000"/>
    <s v="Food Sales"/>
    <n v="4607.4600000000009"/>
    <n v="0"/>
    <s v="Daily Sales Import"/>
    <n v="-4607.4600000000009"/>
    <n v="4607.4600000000009"/>
    <x v="1"/>
    <s v="2100"/>
    <s v="000"/>
    <x v="7"/>
    <x v="2"/>
  </r>
  <r>
    <d v="2013-05-14T00:00:00"/>
    <s v="017-2210-000"/>
    <s v="Liquor Sales"/>
    <n v="2415.0862000000002"/>
    <n v="0"/>
    <s v="Daily Sales Import"/>
    <n v="-2415.0862000000002"/>
    <n v="2415.0862000000002"/>
    <x v="1"/>
    <s v="2210"/>
    <s v="000"/>
    <x v="7"/>
    <x v="2"/>
  </r>
  <r>
    <d v="2013-05-14T00:00:00"/>
    <s v="017-2220-000"/>
    <s v="Beer Sales"/>
    <n v="490.02499999999998"/>
    <n v="0"/>
    <s v="Daily Sales Import"/>
    <n v="-490.02499999999998"/>
    <n v="490.02499999999998"/>
    <x v="1"/>
    <s v="2220"/>
    <s v="000"/>
    <x v="7"/>
    <x v="2"/>
  </r>
  <r>
    <d v="2013-05-14T00:00:00"/>
    <s v="017-2230-000"/>
    <s v="Wine Sales"/>
    <n v="195.27859999999998"/>
    <n v="0"/>
    <s v="Daily Sales Import"/>
    <n v="-195.27859999999998"/>
    <n v="195.27859999999998"/>
    <x v="1"/>
    <s v="2230"/>
    <s v="000"/>
    <x v="7"/>
    <x v="2"/>
  </r>
  <r>
    <d v="2013-05-15T00:00:00"/>
    <s v="017-2100-000"/>
    <s v="Food Sales"/>
    <n v="8361.1213999999982"/>
    <n v="0"/>
    <s v="Daily Sales Import"/>
    <n v="-8361.1213999999982"/>
    <n v="8361.1213999999982"/>
    <x v="1"/>
    <s v="2100"/>
    <s v="000"/>
    <x v="7"/>
    <x v="2"/>
  </r>
  <r>
    <d v="2013-05-15T00:00:00"/>
    <s v="017-2210-000"/>
    <s v="Liquor Sales"/>
    <n v="2291.9072000000001"/>
    <n v="0"/>
    <s v="Daily Sales Import"/>
    <n v="-2291.9072000000001"/>
    <n v="2291.9072000000001"/>
    <x v="1"/>
    <s v="2210"/>
    <s v="000"/>
    <x v="7"/>
    <x v="2"/>
  </r>
  <r>
    <d v="2013-05-15T00:00:00"/>
    <s v="017-2220-000"/>
    <s v="Beer Sales"/>
    <n v="867.80649999999991"/>
    <n v="0"/>
    <s v="Daily Sales Import"/>
    <n v="-867.80649999999991"/>
    <n v="867.80649999999991"/>
    <x v="1"/>
    <s v="2220"/>
    <s v="000"/>
    <x v="7"/>
    <x v="2"/>
  </r>
  <r>
    <d v="2013-05-15T00:00:00"/>
    <s v="017-2230-000"/>
    <s v="Wine Sales"/>
    <n v="53.234400000000001"/>
    <n v="0"/>
    <s v="Daily Sales Import"/>
    <n v="-53.234400000000001"/>
    <n v="53.234400000000001"/>
    <x v="1"/>
    <s v="2230"/>
    <s v="000"/>
    <x v="7"/>
    <x v="2"/>
  </r>
  <r>
    <d v="2013-05-16T00:00:00"/>
    <s v="017-2100-000"/>
    <s v="Food Sales"/>
    <n v="6476.6516000000001"/>
    <n v="0"/>
    <s v="Daily Sales Import"/>
    <n v="-6476.6516000000001"/>
    <n v="6476.6516000000001"/>
    <x v="1"/>
    <s v="2100"/>
    <s v="000"/>
    <x v="7"/>
    <x v="2"/>
  </r>
  <r>
    <d v="2013-05-16T00:00:00"/>
    <s v="017-2210-000"/>
    <s v="Liquor Sales"/>
    <n v="2031.5180000000003"/>
    <n v="0"/>
    <s v="Daily Sales Import"/>
    <n v="-2031.5180000000003"/>
    <n v="2031.5180000000003"/>
    <x v="1"/>
    <s v="2210"/>
    <s v="000"/>
    <x v="7"/>
    <x v="2"/>
  </r>
  <r>
    <d v="2013-05-16T00:00:00"/>
    <s v="017-2220-000"/>
    <s v="Beer Sales"/>
    <n v="728.51189999999997"/>
    <n v="0"/>
    <s v="Daily Sales Import"/>
    <n v="-728.51189999999997"/>
    <n v="728.51189999999997"/>
    <x v="1"/>
    <s v="2220"/>
    <s v="000"/>
    <x v="7"/>
    <x v="2"/>
  </r>
  <r>
    <d v="2013-05-16T00:00:00"/>
    <s v="017-2230-000"/>
    <s v="Wine Sales"/>
    <n v="171.01439999999999"/>
    <n v="0"/>
    <s v="Daily Sales Import"/>
    <n v="-171.01439999999999"/>
    <n v="171.01439999999999"/>
    <x v="1"/>
    <s v="2230"/>
    <s v="000"/>
    <x v="7"/>
    <x v="2"/>
  </r>
  <r>
    <d v="2013-05-17T00:00:00"/>
    <s v="017-2100-000"/>
    <s v="Food Sales"/>
    <n v="7505.2992000000004"/>
    <n v="0"/>
    <s v="Daily Sales Import"/>
    <n v="-7505.2992000000004"/>
    <n v="7505.2992000000004"/>
    <x v="1"/>
    <s v="2100"/>
    <s v="000"/>
    <x v="7"/>
    <x v="2"/>
  </r>
  <r>
    <d v="2013-05-17T00:00:00"/>
    <s v="017-2210-000"/>
    <s v="Liquor Sales"/>
    <n v="3771.7204000000002"/>
    <n v="0"/>
    <s v="Daily Sales Import"/>
    <n v="-3771.7204000000002"/>
    <n v="3771.7204000000002"/>
    <x v="1"/>
    <s v="2210"/>
    <s v="000"/>
    <x v="7"/>
    <x v="2"/>
  </r>
  <r>
    <d v="2013-05-17T00:00:00"/>
    <s v="017-2220-000"/>
    <s v="Beer Sales"/>
    <n v="644.65919999999994"/>
    <n v="0"/>
    <s v="Daily Sales Import"/>
    <n v="-644.65919999999994"/>
    <n v="644.65919999999994"/>
    <x v="1"/>
    <s v="2220"/>
    <s v="000"/>
    <x v="7"/>
    <x v="2"/>
  </r>
  <r>
    <d v="2013-05-17T00:00:00"/>
    <s v="017-2230-000"/>
    <s v="Wine Sales"/>
    <n v="209.50120000000001"/>
    <n v="0"/>
    <s v="Daily Sales Import"/>
    <n v="-209.50120000000001"/>
    <n v="209.50120000000001"/>
    <x v="1"/>
    <s v="2230"/>
    <s v="000"/>
    <x v="7"/>
    <x v="2"/>
  </r>
  <r>
    <d v="2013-05-18T00:00:00"/>
    <s v="017-2100-000"/>
    <s v="Food Sales"/>
    <n v="7875.0355999999992"/>
    <n v="0"/>
    <s v="Daily Sales Import"/>
    <n v="-7875.0355999999992"/>
    <n v="7875.0355999999992"/>
    <x v="1"/>
    <s v="2100"/>
    <s v="000"/>
    <x v="7"/>
    <x v="2"/>
  </r>
  <r>
    <d v="2013-05-18T00:00:00"/>
    <s v="017-2210-000"/>
    <s v="Liquor Sales"/>
    <n v="1941.8335000000002"/>
    <n v="0"/>
    <s v="Daily Sales Import"/>
    <n v="-1941.8335000000002"/>
    <n v="1941.8335000000002"/>
    <x v="1"/>
    <s v="2210"/>
    <s v="000"/>
    <x v="7"/>
    <x v="2"/>
  </r>
  <r>
    <d v="2013-05-18T00:00:00"/>
    <s v="017-2220-000"/>
    <s v="Beer Sales"/>
    <n v="216.09840000000003"/>
    <n v="0"/>
    <s v="Daily Sales Import"/>
    <n v="-216.09840000000003"/>
    <n v="216.09840000000003"/>
    <x v="1"/>
    <s v="2220"/>
    <s v="000"/>
    <x v="7"/>
    <x v="2"/>
  </r>
  <r>
    <d v="2013-05-18T00:00:00"/>
    <s v="017-2230-000"/>
    <s v="Wine Sales"/>
    <n v="123.77250000000001"/>
    <n v="0"/>
    <s v="Daily Sales Import"/>
    <n v="-123.77250000000001"/>
    <n v="123.77250000000001"/>
    <x v="1"/>
    <s v="2230"/>
    <s v="000"/>
    <x v="7"/>
    <x v="2"/>
  </r>
  <r>
    <d v="2013-05-19T00:00:00"/>
    <s v="017-2100-000"/>
    <s v="Food Sales"/>
    <n v="5006.3631999999998"/>
    <n v="0"/>
    <s v="Daily Sales Import"/>
    <n v="-5006.3631999999998"/>
    <n v="5006.3631999999998"/>
    <x v="1"/>
    <s v="2100"/>
    <s v="000"/>
    <x v="7"/>
    <x v="2"/>
  </r>
  <r>
    <d v="2013-05-19T00:00:00"/>
    <s v="017-2210-000"/>
    <s v="Liquor Sales"/>
    <n v="929.97719999999993"/>
    <n v="0"/>
    <s v="Daily Sales Import"/>
    <n v="-929.97719999999993"/>
    <n v="929.97719999999993"/>
    <x v="1"/>
    <s v="2210"/>
    <s v="000"/>
    <x v="7"/>
    <x v="2"/>
  </r>
  <r>
    <d v="2013-05-19T00:00:00"/>
    <s v="017-2220-000"/>
    <s v="Beer Sales"/>
    <n v="156.374"/>
    <n v="0"/>
    <s v="Daily Sales Import"/>
    <n v="-156.374"/>
    <n v="156.374"/>
    <x v="1"/>
    <s v="2220"/>
    <s v="000"/>
    <x v="7"/>
    <x v="2"/>
  </r>
  <r>
    <d v="2013-05-19T00:00:00"/>
    <s v="017-2230-000"/>
    <s v="Wine Sales"/>
    <n v="58.672000000000004"/>
    <n v="0"/>
    <s v="Daily Sales Import"/>
    <n v="-58.672000000000004"/>
    <n v="58.672000000000004"/>
    <x v="1"/>
    <s v="2230"/>
    <s v="000"/>
    <x v="7"/>
    <x v="2"/>
  </r>
  <r>
    <d v="2013-05-13T00:00:00"/>
    <s v="018-2100-000"/>
    <s v="Food Sales"/>
    <n v="3944.34"/>
    <n v="0"/>
    <s v="Daily Sales Import"/>
    <n v="-3944.34"/>
    <n v="3944.34"/>
    <x v="2"/>
    <s v="2100"/>
    <s v="000"/>
    <x v="7"/>
    <x v="2"/>
  </r>
  <r>
    <d v="2013-05-13T00:00:00"/>
    <s v="018-2210-000"/>
    <s v="Liquor Sales"/>
    <n v="617.85239999999999"/>
    <n v="0"/>
    <s v="Daily Sales Import"/>
    <n v="-617.85239999999999"/>
    <n v="617.85239999999999"/>
    <x v="2"/>
    <s v="2210"/>
    <s v="000"/>
    <x v="7"/>
    <x v="2"/>
  </r>
  <r>
    <d v="2013-05-13T00:00:00"/>
    <s v="018-2220-000"/>
    <s v="Beer Sales"/>
    <n v="140.7859"/>
    <n v="0"/>
    <s v="Daily Sales Import"/>
    <n v="-140.7859"/>
    <n v="140.7859"/>
    <x v="2"/>
    <s v="2220"/>
    <s v="000"/>
    <x v="7"/>
    <x v="2"/>
  </r>
  <r>
    <d v="2013-05-14T00:00:00"/>
    <s v="018-2100-000"/>
    <s v="Food Sales"/>
    <n v="5053.4800000000005"/>
    <n v="0"/>
    <s v="Daily Sales Import"/>
    <n v="-5053.4800000000005"/>
    <n v="5053.4800000000005"/>
    <x v="2"/>
    <s v="2100"/>
    <s v="000"/>
    <x v="7"/>
    <x v="2"/>
  </r>
  <r>
    <d v="2013-05-14T00:00:00"/>
    <s v="018-2210-000"/>
    <s v="Liquor Sales"/>
    <n v="733.48080000000004"/>
    <n v="0"/>
    <s v="Daily Sales Import"/>
    <n v="-733.48080000000004"/>
    <n v="733.48080000000004"/>
    <x v="2"/>
    <s v="2210"/>
    <s v="000"/>
    <x v="7"/>
    <x v="2"/>
  </r>
  <r>
    <d v="2013-05-14T00:00:00"/>
    <s v="018-2220-000"/>
    <s v="Beer Sales"/>
    <n v="273.73079999999999"/>
    <n v="0"/>
    <s v="Daily Sales Import"/>
    <n v="-273.73079999999999"/>
    <n v="273.73079999999999"/>
    <x v="2"/>
    <s v="2220"/>
    <s v="000"/>
    <x v="7"/>
    <x v="2"/>
  </r>
  <r>
    <d v="2013-05-14T00:00:00"/>
    <s v="018-2230-000"/>
    <s v="Wine Sales"/>
    <n v="6.9222999999999999"/>
    <n v="0"/>
    <s v="Daily Sales Import"/>
    <n v="-6.9222999999999999"/>
    <n v="6.9222999999999999"/>
    <x v="2"/>
    <s v="2230"/>
    <s v="000"/>
    <x v="7"/>
    <x v="2"/>
  </r>
  <r>
    <d v="2013-05-15T00:00:00"/>
    <s v="018-2100-000"/>
    <s v="Food Sales"/>
    <n v="4440.0095999999994"/>
    <n v="0"/>
    <s v="Daily Sales Import"/>
    <n v="-4440.0095999999994"/>
    <n v="4440.0095999999994"/>
    <x v="2"/>
    <s v="2100"/>
    <s v="000"/>
    <x v="7"/>
    <x v="2"/>
  </r>
  <r>
    <d v="2013-05-15T00:00:00"/>
    <s v="018-2210-000"/>
    <s v="Liquor Sales"/>
    <n v="1351.2578000000001"/>
    <n v="0"/>
    <s v="Daily Sales Import"/>
    <n v="-1351.2578000000001"/>
    <n v="1351.2578000000001"/>
    <x v="2"/>
    <s v="2210"/>
    <s v="000"/>
    <x v="7"/>
    <x v="2"/>
  </r>
  <r>
    <d v="2013-05-15T00:00:00"/>
    <s v="018-2220-000"/>
    <s v="Beer Sales"/>
    <n v="338.745"/>
    <n v="0"/>
    <s v="Daily Sales Import"/>
    <n v="-338.745"/>
    <n v="338.745"/>
    <x v="2"/>
    <s v="2220"/>
    <s v="000"/>
    <x v="7"/>
    <x v="2"/>
  </r>
  <r>
    <d v="2013-05-15T00:00:00"/>
    <s v="018-2230-000"/>
    <s v="Wine Sales"/>
    <n v="40.408999999999999"/>
    <n v="0"/>
    <s v="Daily Sales Import"/>
    <n v="-40.408999999999999"/>
    <n v="40.408999999999999"/>
    <x v="2"/>
    <s v="2230"/>
    <s v="000"/>
    <x v="7"/>
    <x v="2"/>
  </r>
  <r>
    <d v="2013-05-16T00:00:00"/>
    <s v="018-2100-000"/>
    <s v="Food Sales"/>
    <n v="6372.1307999999999"/>
    <n v="0"/>
    <s v="Daily Sales Import"/>
    <n v="-6372.1307999999999"/>
    <n v="6372.1307999999999"/>
    <x v="2"/>
    <s v="2100"/>
    <s v="000"/>
    <x v="7"/>
    <x v="2"/>
  </r>
  <r>
    <d v="2013-05-16T00:00:00"/>
    <s v="018-2210-000"/>
    <s v="Liquor Sales"/>
    <n v="1131.7608"/>
    <n v="0"/>
    <s v="Daily Sales Import"/>
    <n v="-1131.7608"/>
    <n v="1131.7608"/>
    <x v="2"/>
    <s v="2210"/>
    <s v="000"/>
    <x v="7"/>
    <x v="2"/>
  </r>
  <r>
    <d v="2013-05-16T00:00:00"/>
    <s v="018-2220-000"/>
    <s v="Beer Sales"/>
    <n v="263.24700000000001"/>
    <n v="0"/>
    <s v="Daily Sales Import"/>
    <n v="-263.24700000000001"/>
    <n v="263.24700000000001"/>
    <x v="2"/>
    <s v="2220"/>
    <s v="000"/>
    <x v="7"/>
    <x v="2"/>
  </r>
  <r>
    <d v="2013-05-16T00:00:00"/>
    <s v="018-2230-000"/>
    <s v="Wine Sales"/>
    <n v="109.69199999999999"/>
    <n v="0"/>
    <s v="Daily Sales Import"/>
    <n v="-109.69199999999999"/>
    <n v="109.69199999999999"/>
    <x v="2"/>
    <s v="2230"/>
    <s v="000"/>
    <x v="7"/>
    <x v="2"/>
  </r>
  <r>
    <d v="2013-05-17T00:00:00"/>
    <s v="018-2100-000"/>
    <s v="Food Sales"/>
    <n v="13780.570399999999"/>
    <n v="0"/>
    <s v="Daily Sales Import"/>
    <n v="-13780.570399999999"/>
    <n v="13780.570399999999"/>
    <x v="2"/>
    <s v="2100"/>
    <s v="000"/>
    <x v="7"/>
    <x v="2"/>
  </r>
  <r>
    <d v="2013-05-17T00:00:00"/>
    <s v="018-2210-000"/>
    <s v="Liquor Sales"/>
    <n v="3043.3202999999999"/>
    <n v="0"/>
    <s v="Daily Sales Import"/>
    <n v="-3043.3202999999999"/>
    <n v="3043.3202999999999"/>
    <x v="2"/>
    <s v="2210"/>
    <s v="000"/>
    <x v="7"/>
    <x v="2"/>
  </r>
  <r>
    <d v="2013-05-17T00:00:00"/>
    <s v="018-2220-000"/>
    <s v="Beer Sales"/>
    <n v="914.40269999999998"/>
    <n v="0"/>
    <s v="Daily Sales Import"/>
    <n v="-914.40269999999998"/>
    <n v="914.40269999999998"/>
    <x v="2"/>
    <s v="2220"/>
    <s v="000"/>
    <x v="7"/>
    <x v="2"/>
  </r>
  <r>
    <d v="2013-05-17T00:00:00"/>
    <s v="018-2230-000"/>
    <s v="Wine Sales"/>
    <n v="108.92819999999999"/>
    <n v="0"/>
    <s v="Daily Sales Import"/>
    <n v="-108.92819999999999"/>
    <n v="108.92819999999999"/>
    <x v="2"/>
    <s v="2230"/>
    <s v="000"/>
    <x v="7"/>
    <x v="2"/>
  </r>
  <r>
    <d v="2013-05-18T00:00:00"/>
    <s v="018-2100-000"/>
    <s v="Food Sales"/>
    <n v="12765.54"/>
    <n v="0"/>
    <s v="Daily Sales Import"/>
    <n v="-12765.54"/>
    <n v="12765.54"/>
    <x v="2"/>
    <s v="2100"/>
    <s v="000"/>
    <x v="7"/>
    <x v="2"/>
  </r>
  <r>
    <d v="2013-05-18T00:00:00"/>
    <s v="018-2210-000"/>
    <s v="Liquor Sales"/>
    <n v="2822.7718999999997"/>
    <n v="0"/>
    <s v="Daily Sales Import"/>
    <n v="-2822.7718999999997"/>
    <n v="2822.7718999999997"/>
    <x v="2"/>
    <s v="2210"/>
    <s v="000"/>
    <x v="7"/>
    <x v="2"/>
  </r>
  <r>
    <d v="2013-05-18T00:00:00"/>
    <s v="018-2220-000"/>
    <s v="Beer Sales"/>
    <n v="523.72640000000001"/>
    <n v="0"/>
    <s v="Daily Sales Import"/>
    <n v="-523.72640000000001"/>
    <n v="523.72640000000001"/>
    <x v="2"/>
    <s v="2220"/>
    <s v="000"/>
    <x v="7"/>
    <x v="2"/>
  </r>
  <r>
    <d v="2013-05-18T00:00:00"/>
    <s v="018-2230-000"/>
    <s v="Wine Sales"/>
    <n v="78.570900000000009"/>
    <n v="0"/>
    <s v="Daily Sales Import"/>
    <n v="-78.570900000000009"/>
    <n v="78.570900000000009"/>
    <x v="2"/>
    <s v="2230"/>
    <s v="000"/>
    <x v="7"/>
    <x v="2"/>
  </r>
  <r>
    <d v="2013-05-19T00:00:00"/>
    <s v="018-2100-000"/>
    <s v="Food Sales"/>
    <n v="10892.0856"/>
    <n v="0"/>
    <s v="Daily Sales Import"/>
    <n v="-10892.0856"/>
    <n v="10892.0856"/>
    <x v="2"/>
    <s v="2100"/>
    <s v="000"/>
    <x v="7"/>
    <x v="2"/>
  </r>
  <r>
    <d v="2013-05-19T00:00:00"/>
    <s v="018-2210-000"/>
    <s v="Liquor Sales"/>
    <n v="1953.4851000000001"/>
    <n v="0"/>
    <s v="Daily Sales Import"/>
    <n v="-1953.4851000000001"/>
    <n v="1953.4851000000001"/>
    <x v="2"/>
    <s v="2210"/>
    <s v="000"/>
    <x v="7"/>
    <x v="2"/>
  </r>
  <r>
    <d v="2013-05-19T00:00:00"/>
    <s v="018-2220-000"/>
    <s v="Beer Sales"/>
    <n v="634.37779999999998"/>
    <n v="0"/>
    <s v="Daily Sales Import"/>
    <n v="-634.37779999999998"/>
    <n v="634.37779999999998"/>
    <x v="2"/>
    <s v="2220"/>
    <s v="000"/>
    <x v="7"/>
    <x v="2"/>
  </r>
  <r>
    <d v="2013-05-19T00:00:00"/>
    <s v="018-2230-000"/>
    <s v="Wine Sales"/>
    <n v="154.83520000000001"/>
    <n v="0"/>
    <s v="Daily Sales Import"/>
    <n v="-154.83520000000001"/>
    <n v="154.83520000000001"/>
    <x v="2"/>
    <s v="2230"/>
    <s v="000"/>
    <x v="7"/>
    <x v="2"/>
  </r>
  <r>
    <d v="2013-05-20T00:00:00"/>
    <s v="016-2100-000"/>
    <s v="Food Sales"/>
    <n v="2484.2334000000001"/>
    <n v="0"/>
    <s v="Daily Sales Import"/>
    <n v="-2484.2334000000001"/>
    <n v="2484.2334000000001"/>
    <x v="0"/>
    <s v="2100"/>
    <s v="000"/>
    <x v="7"/>
    <x v="2"/>
  </r>
  <r>
    <d v="2013-05-20T00:00:00"/>
    <s v="016-2210-000"/>
    <s v="Liquor Sales"/>
    <n v="733.73580000000004"/>
    <n v="0"/>
    <s v="Daily Sales Import"/>
    <n v="-733.73580000000004"/>
    <n v="733.73580000000004"/>
    <x v="0"/>
    <s v="2210"/>
    <s v="000"/>
    <x v="7"/>
    <x v="2"/>
  </r>
  <r>
    <d v="2013-05-20T00:00:00"/>
    <s v="016-2220-000"/>
    <s v="Beer Sales"/>
    <n v="168.06329999999997"/>
    <n v="0"/>
    <s v="Daily Sales Import"/>
    <n v="-168.06329999999997"/>
    <n v="168.06329999999997"/>
    <x v="0"/>
    <s v="2220"/>
    <s v="000"/>
    <x v="7"/>
    <x v="2"/>
  </r>
  <r>
    <d v="2013-05-20T00:00:00"/>
    <s v="016-2230-000"/>
    <s v="Wine Sales"/>
    <n v="51.180799999999998"/>
    <n v="0"/>
    <s v="Daily Sales Import"/>
    <n v="-51.180799999999998"/>
    <n v="51.180799999999998"/>
    <x v="0"/>
    <s v="2230"/>
    <s v="000"/>
    <x v="7"/>
    <x v="2"/>
  </r>
  <r>
    <d v="2013-05-21T00:00:00"/>
    <s v="016-2100-000"/>
    <s v="Food Sales"/>
    <n v="5324.0478999999996"/>
    <n v="0"/>
    <s v="Daily Sales Import"/>
    <n v="-5324.0478999999996"/>
    <n v="5324.0478999999996"/>
    <x v="0"/>
    <s v="2100"/>
    <s v="000"/>
    <x v="7"/>
    <x v="2"/>
  </r>
  <r>
    <d v="2013-05-21T00:00:00"/>
    <s v="016-2210-000"/>
    <s v="Liquor Sales"/>
    <n v="2371.2768000000001"/>
    <n v="0"/>
    <s v="Daily Sales Import"/>
    <n v="-2371.2768000000001"/>
    <n v="2371.2768000000001"/>
    <x v="0"/>
    <s v="2210"/>
    <s v="000"/>
    <x v="7"/>
    <x v="2"/>
  </r>
  <r>
    <d v="2013-05-21T00:00:00"/>
    <s v="016-2220-000"/>
    <s v="Beer Sales"/>
    <n v="896.24480000000005"/>
    <n v="0"/>
    <s v="Daily Sales Import"/>
    <n v="-896.24480000000005"/>
    <n v="896.24480000000005"/>
    <x v="0"/>
    <s v="2220"/>
    <s v="000"/>
    <x v="7"/>
    <x v="2"/>
  </r>
  <r>
    <d v="2013-05-21T00:00:00"/>
    <s v="016-2230-000"/>
    <s v="Wine Sales"/>
    <n v="89.641500000000008"/>
    <n v="0"/>
    <s v="Daily Sales Import"/>
    <n v="-89.641500000000008"/>
    <n v="89.641500000000008"/>
    <x v="0"/>
    <s v="2230"/>
    <s v="000"/>
    <x v="7"/>
    <x v="2"/>
  </r>
  <r>
    <d v="2013-05-22T00:00:00"/>
    <s v="016-2100-000"/>
    <s v="Food Sales"/>
    <n v="2399.2458999999999"/>
    <n v="0"/>
    <s v="Daily Sales Import"/>
    <n v="-2399.2458999999999"/>
    <n v="2399.2458999999999"/>
    <x v="0"/>
    <s v="2100"/>
    <s v="000"/>
    <x v="7"/>
    <x v="2"/>
  </r>
  <r>
    <d v="2013-05-22T00:00:00"/>
    <s v="016-2210-000"/>
    <s v="Liquor Sales"/>
    <n v="710.32800000000009"/>
    <n v="0"/>
    <s v="Daily Sales Import"/>
    <n v="-710.32800000000009"/>
    <n v="710.32800000000009"/>
    <x v="0"/>
    <s v="2210"/>
    <s v="000"/>
    <x v="7"/>
    <x v="2"/>
  </r>
  <r>
    <d v="2013-05-22T00:00:00"/>
    <s v="016-2220-000"/>
    <s v="Beer Sales"/>
    <n v="149.98769999999999"/>
    <n v="0"/>
    <s v="Daily Sales Import"/>
    <n v="-149.98769999999999"/>
    <n v="149.98769999999999"/>
    <x v="0"/>
    <s v="2220"/>
    <s v="000"/>
    <x v="7"/>
    <x v="2"/>
  </r>
  <r>
    <d v="2013-05-22T00:00:00"/>
    <s v="016-2230-000"/>
    <s v="Wine Sales"/>
    <n v="78.733199999999997"/>
    <n v="0"/>
    <s v="Daily Sales Import"/>
    <n v="-78.733199999999997"/>
    <n v="78.733199999999997"/>
    <x v="0"/>
    <s v="2230"/>
    <s v="000"/>
    <x v="7"/>
    <x v="2"/>
  </r>
  <r>
    <d v="2013-05-23T00:00:00"/>
    <s v="016-2100-000"/>
    <s v="Food Sales"/>
    <n v="3218.81"/>
    <n v="0"/>
    <s v="Daily Sales Import"/>
    <n v="-3218.81"/>
    <n v="3218.81"/>
    <x v="0"/>
    <s v="2100"/>
    <s v="000"/>
    <x v="7"/>
    <x v="2"/>
  </r>
  <r>
    <d v="2013-05-23T00:00:00"/>
    <s v="016-2210-000"/>
    <s v="Liquor Sales"/>
    <n v="934.93679999999995"/>
    <n v="0"/>
    <s v="Daily Sales Import"/>
    <n v="-934.93679999999995"/>
    <n v="934.93679999999995"/>
    <x v="0"/>
    <s v="2210"/>
    <s v="000"/>
    <x v="7"/>
    <x v="2"/>
  </r>
  <r>
    <d v="2013-05-23T00:00:00"/>
    <s v="016-2220-000"/>
    <s v="Beer Sales"/>
    <n v="139.55200000000002"/>
    <n v="0"/>
    <s v="Daily Sales Import"/>
    <n v="-139.55200000000002"/>
    <n v="139.55200000000002"/>
    <x v="0"/>
    <s v="2220"/>
    <s v="000"/>
    <x v="7"/>
    <x v="2"/>
  </r>
  <r>
    <d v="2013-05-23T00:00:00"/>
    <s v="016-2230-000"/>
    <s v="Wine Sales"/>
    <n v="51.936299999999996"/>
    <n v="0"/>
    <s v="Daily Sales Import"/>
    <n v="-51.936299999999996"/>
    <n v="51.936299999999996"/>
    <x v="0"/>
    <s v="2230"/>
    <s v="000"/>
    <x v="7"/>
    <x v="2"/>
  </r>
  <r>
    <d v="2013-05-24T00:00:00"/>
    <s v="016-2100-000"/>
    <s v="Food Sales"/>
    <n v="8455.3657999999996"/>
    <n v="0"/>
    <s v="Daily Sales Import"/>
    <n v="-8455.3657999999996"/>
    <n v="8455.3657999999996"/>
    <x v="0"/>
    <s v="2100"/>
    <s v="000"/>
    <x v="7"/>
    <x v="2"/>
  </r>
  <r>
    <d v="2013-05-24T00:00:00"/>
    <s v="016-2210-000"/>
    <s v="Liquor Sales"/>
    <n v="1692.1671999999999"/>
    <n v="0"/>
    <s v="Daily Sales Import"/>
    <n v="-1692.1671999999999"/>
    <n v="1692.1671999999999"/>
    <x v="0"/>
    <s v="2210"/>
    <s v="000"/>
    <x v="7"/>
    <x v="2"/>
  </r>
  <r>
    <d v="2013-05-24T00:00:00"/>
    <s v="016-2220-000"/>
    <s v="Beer Sales"/>
    <n v="568.1825"/>
    <n v="0"/>
    <s v="Daily Sales Import"/>
    <n v="-568.1825"/>
    <n v="568.1825"/>
    <x v="0"/>
    <s v="2220"/>
    <s v="000"/>
    <x v="7"/>
    <x v="2"/>
  </r>
  <r>
    <d v="2013-05-24T00:00:00"/>
    <s v="016-2230-000"/>
    <s v="Wine Sales"/>
    <n v="263.40989999999999"/>
    <n v="0"/>
    <s v="Daily Sales Import"/>
    <n v="-263.40989999999999"/>
    <n v="263.40989999999999"/>
    <x v="0"/>
    <s v="2230"/>
    <s v="000"/>
    <x v="7"/>
    <x v="2"/>
  </r>
  <r>
    <d v="2013-05-25T00:00:00"/>
    <s v="016-2100-000"/>
    <s v="Food Sales"/>
    <n v="9409.8984"/>
    <n v="0"/>
    <s v="Daily Sales Import"/>
    <n v="-9409.8984"/>
    <n v="9409.8984"/>
    <x v="0"/>
    <s v="2100"/>
    <s v="000"/>
    <x v="7"/>
    <x v="2"/>
  </r>
  <r>
    <d v="2013-05-25T00:00:00"/>
    <s v="016-2210-000"/>
    <s v="Liquor Sales"/>
    <n v="2759.9414999999999"/>
    <n v="0"/>
    <s v="Daily Sales Import"/>
    <n v="-2759.9414999999999"/>
    <n v="2759.9414999999999"/>
    <x v="0"/>
    <s v="2210"/>
    <s v="000"/>
    <x v="7"/>
    <x v="2"/>
  </r>
  <r>
    <d v="2013-05-25T00:00:00"/>
    <s v="016-2220-000"/>
    <s v="Beer Sales"/>
    <n v="306.81420000000003"/>
    <n v="0"/>
    <s v="Daily Sales Import"/>
    <n v="-306.81420000000003"/>
    <n v="306.81420000000003"/>
    <x v="0"/>
    <s v="2220"/>
    <s v="000"/>
    <x v="7"/>
    <x v="2"/>
  </r>
  <r>
    <d v="2013-05-25T00:00:00"/>
    <s v="016-2230-000"/>
    <s v="Wine Sales"/>
    <n v="115.74160000000001"/>
    <n v="0"/>
    <s v="Daily Sales Import"/>
    <n v="-115.74160000000001"/>
    <n v="115.74160000000001"/>
    <x v="0"/>
    <s v="2230"/>
    <s v="000"/>
    <x v="7"/>
    <x v="2"/>
  </r>
  <r>
    <d v="2013-05-26T00:00:00"/>
    <s v="016-2100-000"/>
    <s v="Food Sales"/>
    <n v="6949.3040000000001"/>
    <n v="0"/>
    <s v="Daily Sales Import"/>
    <n v="-6949.3040000000001"/>
    <n v="6949.3040000000001"/>
    <x v="0"/>
    <s v="2100"/>
    <s v="000"/>
    <x v="7"/>
    <x v="2"/>
  </r>
  <r>
    <d v="2013-05-26T00:00:00"/>
    <s v="016-2210-000"/>
    <s v="Liquor Sales"/>
    <n v="1759.5340000000003"/>
    <n v="0"/>
    <s v="Daily Sales Import"/>
    <n v="-1759.5340000000003"/>
    <n v="1759.5340000000003"/>
    <x v="0"/>
    <s v="2210"/>
    <s v="000"/>
    <x v="7"/>
    <x v="2"/>
  </r>
  <r>
    <d v="2013-05-26T00:00:00"/>
    <s v="016-2220-000"/>
    <s v="Beer Sales"/>
    <n v="224.98629999999997"/>
    <n v="0"/>
    <s v="Daily Sales Import"/>
    <n v="-224.98629999999997"/>
    <n v="224.98629999999997"/>
    <x v="0"/>
    <s v="2220"/>
    <s v="000"/>
    <x v="7"/>
    <x v="2"/>
  </r>
  <r>
    <d v="2013-05-26T00:00:00"/>
    <s v="016-2230-000"/>
    <s v="Wine Sales"/>
    <n v="84.600899999999996"/>
    <n v="0"/>
    <s v="Daily Sales Import"/>
    <n v="-84.600899999999996"/>
    <n v="84.600899999999996"/>
    <x v="0"/>
    <s v="2230"/>
    <s v="000"/>
    <x v="7"/>
    <x v="2"/>
  </r>
  <r>
    <d v="2013-05-20T00:00:00"/>
    <s v="017-2100-000"/>
    <s v="Food Sales"/>
    <n v="5255.2589000000007"/>
    <n v="0"/>
    <s v="Daily Sales Import"/>
    <n v="-5255.2589000000007"/>
    <n v="5255.2589000000007"/>
    <x v="1"/>
    <s v="2100"/>
    <s v="000"/>
    <x v="7"/>
    <x v="2"/>
  </r>
  <r>
    <d v="2013-05-20T00:00:00"/>
    <s v="017-2210-000"/>
    <s v="Liquor Sales"/>
    <n v="3147.6896000000002"/>
    <n v="0"/>
    <s v="Daily Sales Import"/>
    <n v="-3147.6896000000002"/>
    <n v="3147.6896000000002"/>
    <x v="1"/>
    <s v="2210"/>
    <s v="000"/>
    <x v="7"/>
    <x v="2"/>
  </r>
  <r>
    <d v="2013-05-20T00:00:00"/>
    <s v="017-2220-000"/>
    <s v="Beer Sales"/>
    <n v="364.03299999999996"/>
    <n v="0"/>
    <s v="Daily Sales Import"/>
    <n v="-364.03299999999996"/>
    <n v="364.03299999999996"/>
    <x v="1"/>
    <s v="2220"/>
    <s v="000"/>
    <x v="7"/>
    <x v="2"/>
  </r>
  <r>
    <d v="2013-05-20T00:00:00"/>
    <s v="017-2230-000"/>
    <s v="Wine Sales"/>
    <n v="187.33270000000002"/>
    <n v="0"/>
    <s v="Daily Sales Import"/>
    <n v="-187.33270000000002"/>
    <n v="187.33270000000002"/>
    <x v="1"/>
    <s v="2230"/>
    <s v="000"/>
    <x v="7"/>
    <x v="2"/>
  </r>
  <r>
    <d v="2013-05-21T00:00:00"/>
    <s v="017-2100-000"/>
    <s v="Food Sales"/>
    <n v="6998.9128000000001"/>
    <n v="0"/>
    <s v="Daily Sales Import"/>
    <n v="-6998.9128000000001"/>
    <n v="6998.9128000000001"/>
    <x v="1"/>
    <s v="2100"/>
    <s v="000"/>
    <x v="7"/>
    <x v="2"/>
  </r>
  <r>
    <d v="2013-05-21T00:00:00"/>
    <s v="017-2210-000"/>
    <s v="Liquor Sales"/>
    <n v="1729.0493000000001"/>
    <n v="0"/>
    <s v="Daily Sales Import"/>
    <n v="-1729.0493000000001"/>
    <n v="1729.0493000000001"/>
    <x v="1"/>
    <s v="2210"/>
    <s v="000"/>
    <x v="7"/>
    <x v="2"/>
  </r>
  <r>
    <d v="2013-05-21T00:00:00"/>
    <s v="017-2220-000"/>
    <s v="Beer Sales"/>
    <n v="368.1216"/>
    <n v="0"/>
    <s v="Daily Sales Import"/>
    <n v="-368.1216"/>
    <n v="368.1216"/>
    <x v="1"/>
    <s v="2220"/>
    <s v="000"/>
    <x v="7"/>
    <x v="2"/>
  </r>
  <r>
    <d v="2013-05-21T00:00:00"/>
    <s v="017-2230-000"/>
    <s v="Wine Sales"/>
    <n v="137.0478"/>
    <n v="0"/>
    <s v="Daily Sales Import"/>
    <n v="-137.0478"/>
    <n v="137.0478"/>
    <x v="1"/>
    <s v="2230"/>
    <s v="000"/>
    <x v="7"/>
    <x v="2"/>
  </r>
  <r>
    <d v="2013-05-22T00:00:00"/>
    <s v="017-2100-000"/>
    <s v="Food Sales"/>
    <n v="7079.1947999999993"/>
    <n v="0"/>
    <s v="Daily Sales Import"/>
    <n v="-7079.1947999999993"/>
    <n v="7079.1947999999993"/>
    <x v="1"/>
    <s v="2100"/>
    <s v="000"/>
    <x v="7"/>
    <x v="2"/>
  </r>
  <r>
    <d v="2013-05-22T00:00:00"/>
    <s v="017-2210-000"/>
    <s v="Liquor Sales"/>
    <n v="1988.1680000000001"/>
    <n v="0"/>
    <s v="Daily Sales Import"/>
    <n v="-1988.1680000000001"/>
    <n v="1988.1680000000001"/>
    <x v="1"/>
    <s v="2210"/>
    <s v="000"/>
    <x v="7"/>
    <x v="2"/>
  </r>
  <r>
    <d v="2013-05-22T00:00:00"/>
    <s v="017-2220-000"/>
    <s v="Beer Sales"/>
    <n v="422.61599999999999"/>
    <n v="0"/>
    <s v="Daily Sales Import"/>
    <n v="-422.61599999999999"/>
    <n v="422.61599999999999"/>
    <x v="1"/>
    <s v="2220"/>
    <s v="000"/>
    <x v="7"/>
    <x v="2"/>
  </r>
  <r>
    <d v="2013-05-22T00:00:00"/>
    <s v="017-2230-000"/>
    <s v="Wine Sales"/>
    <n v="92.137499999999989"/>
    <n v="0"/>
    <s v="Daily Sales Import"/>
    <n v="-92.137499999999989"/>
    <n v="92.137499999999989"/>
    <x v="1"/>
    <s v="2230"/>
    <s v="000"/>
    <x v="7"/>
    <x v="2"/>
  </r>
  <r>
    <d v="2013-05-23T00:00:00"/>
    <s v="017-2100-000"/>
    <s v="Food Sales"/>
    <n v="6436.3151999999991"/>
    <n v="0"/>
    <s v="Daily Sales Import"/>
    <n v="-6436.3151999999991"/>
    <n v="6436.3151999999991"/>
    <x v="1"/>
    <s v="2100"/>
    <s v="000"/>
    <x v="7"/>
    <x v="2"/>
  </r>
  <r>
    <d v="2013-05-23T00:00:00"/>
    <s v="017-2210-000"/>
    <s v="Liquor Sales"/>
    <n v="2390.7599999999998"/>
    <n v="0"/>
    <s v="Daily Sales Import"/>
    <n v="-2390.7599999999998"/>
    <n v="2390.7599999999998"/>
    <x v="1"/>
    <s v="2210"/>
    <s v="000"/>
    <x v="7"/>
    <x v="2"/>
  </r>
  <r>
    <d v="2013-05-23T00:00:00"/>
    <s v="017-2220-000"/>
    <s v="Beer Sales"/>
    <n v="576.58320000000003"/>
    <n v="0"/>
    <s v="Daily Sales Import"/>
    <n v="-576.58320000000003"/>
    <n v="576.58320000000003"/>
    <x v="1"/>
    <s v="2220"/>
    <s v="000"/>
    <x v="7"/>
    <x v="2"/>
  </r>
  <r>
    <d v="2013-05-23T00:00:00"/>
    <s v="017-2230-000"/>
    <s v="Wine Sales"/>
    <n v="52.570800000000006"/>
    <n v="0"/>
    <s v="Daily Sales Import"/>
    <n v="-52.570800000000006"/>
    <n v="52.570800000000006"/>
    <x v="1"/>
    <s v="2230"/>
    <s v="000"/>
    <x v="7"/>
    <x v="2"/>
  </r>
  <r>
    <d v="2013-05-24T00:00:00"/>
    <s v="017-2100-000"/>
    <s v="Food Sales"/>
    <n v="8538.2142999999996"/>
    <n v="0"/>
    <s v="Daily Sales Import"/>
    <n v="-8538.2142999999996"/>
    <n v="8538.2142999999996"/>
    <x v="1"/>
    <s v="2100"/>
    <s v="000"/>
    <x v="7"/>
    <x v="2"/>
  </r>
  <r>
    <d v="2013-05-24T00:00:00"/>
    <s v="017-2210-000"/>
    <s v="Liquor Sales"/>
    <n v="2518.5042000000003"/>
    <n v="0"/>
    <s v="Daily Sales Import"/>
    <n v="-2518.5042000000003"/>
    <n v="2518.5042000000003"/>
    <x v="1"/>
    <s v="2210"/>
    <s v="000"/>
    <x v="7"/>
    <x v="2"/>
  </r>
  <r>
    <d v="2013-05-24T00:00:00"/>
    <s v="017-2220-000"/>
    <s v="Beer Sales"/>
    <n v="256.66739999999999"/>
    <n v="0"/>
    <s v="Daily Sales Import"/>
    <n v="-256.66739999999999"/>
    <n v="256.66739999999999"/>
    <x v="1"/>
    <s v="2220"/>
    <s v="000"/>
    <x v="7"/>
    <x v="2"/>
  </r>
  <r>
    <d v="2013-05-24T00:00:00"/>
    <s v="017-2230-000"/>
    <s v="Wine Sales"/>
    <n v="103.30240000000001"/>
    <n v="0"/>
    <s v="Daily Sales Import"/>
    <n v="-103.30240000000001"/>
    <n v="103.30240000000001"/>
    <x v="1"/>
    <s v="2230"/>
    <s v="000"/>
    <x v="7"/>
    <x v="2"/>
  </r>
  <r>
    <d v="2013-05-25T00:00:00"/>
    <s v="017-2100-000"/>
    <s v="Food Sales"/>
    <n v="6522.8160000000007"/>
    <n v="0"/>
    <s v="Daily Sales Import"/>
    <n v="-6522.8160000000007"/>
    <n v="6522.8160000000007"/>
    <x v="1"/>
    <s v="2100"/>
    <s v="000"/>
    <x v="7"/>
    <x v="2"/>
  </r>
  <r>
    <d v="2013-05-25T00:00:00"/>
    <s v="017-2210-000"/>
    <s v="Liquor Sales"/>
    <n v="1738.8820000000001"/>
    <n v="0"/>
    <s v="Daily Sales Import"/>
    <n v="-1738.8820000000001"/>
    <n v="1738.8820000000001"/>
    <x v="1"/>
    <s v="2210"/>
    <s v="000"/>
    <x v="7"/>
    <x v="2"/>
  </r>
  <r>
    <d v="2013-05-25T00:00:00"/>
    <s v="017-2220-000"/>
    <s v="Beer Sales"/>
    <n v="204.85920000000002"/>
    <n v="0"/>
    <s v="Daily Sales Import"/>
    <n v="-204.85920000000002"/>
    <n v="204.85920000000002"/>
    <x v="1"/>
    <s v="2220"/>
    <s v="000"/>
    <x v="7"/>
    <x v="2"/>
  </r>
  <r>
    <d v="2013-05-25T00:00:00"/>
    <s v="017-2230-000"/>
    <s v="Wine Sales"/>
    <n v="19.5245"/>
    <n v="0"/>
    <s v="Daily Sales Import"/>
    <n v="-19.5245"/>
    <n v="19.5245"/>
    <x v="1"/>
    <s v="2230"/>
    <s v="000"/>
    <x v="7"/>
    <x v="2"/>
  </r>
  <r>
    <d v="2013-05-26T00:00:00"/>
    <s v="017-2100-000"/>
    <s v="Food Sales"/>
    <n v="4413.7151999999996"/>
    <n v="0"/>
    <s v="Daily Sales Import"/>
    <n v="-4413.7151999999996"/>
    <n v="4413.7151999999996"/>
    <x v="1"/>
    <s v="2100"/>
    <s v="000"/>
    <x v="7"/>
    <x v="2"/>
  </r>
  <r>
    <d v="2013-05-26T00:00:00"/>
    <s v="017-2210-000"/>
    <s v="Liquor Sales"/>
    <n v="1609.414"/>
    <n v="0"/>
    <s v="Daily Sales Import"/>
    <n v="-1609.414"/>
    <n v="1609.414"/>
    <x v="1"/>
    <s v="2210"/>
    <s v="000"/>
    <x v="7"/>
    <x v="2"/>
  </r>
  <r>
    <d v="2013-05-26T00:00:00"/>
    <s v="017-2220-000"/>
    <s v="Beer Sales"/>
    <n v="244.39170000000001"/>
    <n v="0"/>
    <s v="Daily Sales Import"/>
    <n v="-244.39170000000001"/>
    <n v="244.39170000000001"/>
    <x v="1"/>
    <s v="2220"/>
    <s v="000"/>
    <x v="7"/>
    <x v="2"/>
  </r>
  <r>
    <d v="2013-05-26T00:00:00"/>
    <s v="017-2230-000"/>
    <s v="Wine Sales"/>
    <n v="49.070499999999996"/>
    <n v="0"/>
    <s v="Daily Sales Import"/>
    <n v="-49.070499999999996"/>
    <n v="49.070499999999996"/>
    <x v="1"/>
    <s v="2230"/>
    <s v="000"/>
    <x v="7"/>
    <x v="2"/>
  </r>
  <r>
    <d v="2013-05-20T00:00:00"/>
    <s v="018-2100-000"/>
    <s v="Food Sales"/>
    <n v="5148.3666000000003"/>
    <n v="0"/>
    <s v="Daily Sales Import"/>
    <n v="-5148.3666000000003"/>
    <n v="5148.3666000000003"/>
    <x v="2"/>
    <s v="2100"/>
    <s v="000"/>
    <x v="7"/>
    <x v="2"/>
  </r>
  <r>
    <d v="2013-05-20T00:00:00"/>
    <s v="018-2210-000"/>
    <s v="Liquor Sales"/>
    <n v="981.56679999999994"/>
    <n v="0"/>
    <s v="Daily Sales Import"/>
    <n v="-981.56679999999994"/>
    <n v="981.56679999999994"/>
    <x v="2"/>
    <s v="2210"/>
    <s v="000"/>
    <x v="7"/>
    <x v="2"/>
  </r>
  <r>
    <d v="2013-05-20T00:00:00"/>
    <s v="018-2220-000"/>
    <s v="Beer Sales"/>
    <n v="153.07050000000001"/>
    <n v="0"/>
    <s v="Daily Sales Import"/>
    <n v="-153.07050000000001"/>
    <n v="153.07050000000001"/>
    <x v="2"/>
    <s v="2220"/>
    <s v="000"/>
    <x v="7"/>
    <x v="2"/>
  </r>
  <r>
    <d v="2013-05-20T00:00:00"/>
    <s v="018-2230-000"/>
    <s v="Wine Sales"/>
    <n v="48.755699999999997"/>
    <n v="0"/>
    <s v="Daily Sales Import"/>
    <n v="-48.755699999999997"/>
    <n v="48.755699999999997"/>
    <x v="2"/>
    <s v="2230"/>
    <s v="000"/>
    <x v="7"/>
    <x v="2"/>
  </r>
  <r>
    <d v="2013-05-21T00:00:00"/>
    <s v="018-2100-000"/>
    <s v="Food Sales"/>
    <n v="4621.8711000000003"/>
    <n v="0"/>
    <s v="Daily Sales Import"/>
    <n v="-4621.8711000000003"/>
    <n v="4621.8711000000003"/>
    <x v="2"/>
    <s v="2100"/>
    <s v="000"/>
    <x v="7"/>
    <x v="2"/>
  </r>
  <r>
    <d v="2013-05-21T00:00:00"/>
    <s v="018-2210-000"/>
    <s v="Liquor Sales"/>
    <n v="633.63760000000013"/>
    <n v="0"/>
    <s v="Daily Sales Import"/>
    <n v="-633.63760000000013"/>
    <n v="633.63760000000013"/>
    <x v="2"/>
    <s v="2210"/>
    <s v="000"/>
    <x v="7"/>
    <x v="2"/>
  </r>
  <r>
    <d v="2013-05-21T00:00:00"/>
    <s v="018-2220-000"/>
    <s v="Beer Sales"/>
    <n v="168.58240000000004"/>
    <n v="0"/>
    <s v="Daily Sales Import"/>
    <n v="-168.58240000000004"/>
    <n v="168.58240000000004"/>
    <x v="2"/>
    <s v="2220"/>
    <s v="000"/>
    <x v="7"/>
    <x v="2"/>
  </r>
  <r>
    <d v="2013-05-21T00:00:00"/>
    <s v="018-2230-000"/>
    <s v="Wine Sales"/>
    <n v="11.594299999999999"/>
    <n v="0"/>
    <s v="Daily Sales Import"/>
    <n v="-11.594299999999999"/>
    <n v="11.594299999999999"/>
    <x v="2"/>
    <s v="2230"/>
    <s v="000"/>
    <x v="7"/>
    <x v="2"/>
  </r>
  <r>
    <d v="2013-05-22T00:00:00"/>
    <s v="018-2100-000"/>
    <s v="Food Sales"/>
    <n v="5223.3852000000006"/>
    <n v="0"/>
    <s v="Daily Sales Import"/>
    <n v="-5223.3852000000006"/>
    <n v="5223.3852000000006"/>
    <x v="2"/>
    <s v="2100"/>
    <s v="000"/>
    <x v="7"/>
    <x v="2"/>
  </r>
  <r>
    <d v="2013-05-22T00:00:00"/>
    <s v="018-2210-000"/>
    <s v="Liquor Sales"/>
    <n v="793.95619999999997"/>
    <n v="0"/>
    <s v="Daily Sales Import"/>
    <n v="-793.95619999999997"/>
    <n v="793.95619999999997"/>
    <x v="2"/>
    <s v="2210"/>
    <s v="000"/>
    <x v="7"/>
    <x v="2"/>
  </r>
  <r>
    <d v="2013-05-22T00:00:00"/>
    <s v="018-2220-000"/>
    <s v="Beer Sales"/>
    <n v="239.46450000000002"/>
    <n v="0"/>
    <s v="Daily Sales Import"/>
    <n v="-239.46450000000002"/>
    <n v="239.46450000000002"/>
    <x v="2"/>
    <s v="2220"/>
    <s v="000"/>
    <x v="7"/>
    <x v="2"/>
  </r>
  <r>
    <d v="2013-05-22T00:00:00"/>
    <s v="018-2230-000"/>
    <s v="Wine Sales"/>
    <n v="32.795400000000001"/>
    <n v="0"/>
    <s v="Daily Sales Import"/>
    <n v="-32.795400000000001"/>
    <n v="32.795400000000001"/>
    <x v="2"/>
    <s v="2230"/>
    <s v="000"/>
    <x v="7"/>
    <x v="2"/>
  </r>
  <r>
    <d v="2013-05-23T00:00:00"/>
    <s v="018-2100-000"/>
    <s v="Food Sales"/>
    <n v="4809.7275"/>
    <n v="0"/>
    <s v="Daily Sales Import"/>
    <n v="-4809.7275"/>
    <n v="4809.7275"/>
    <x v="2"/>
    <s v="2100"/>
    <s v="000"/>
    <x v="7"/>
    <x v="2"/>
  </r>
  <r>
    <d v="2013-05-23T00:00:00"/>
    <s v="018-2210-000"/>
    <s v="Liquor Sales"/>
    <n v="836.88340000000005"/>
    <n v="0"/>
    <s v="Daily Sales Import"/>
    <n v="-836.88340000000005"/>
    <n v="836.88340000000005"/>
    <x v="2"/>
    <s v="2210"/>
    <s v="000"/>
    <x v="7"/>
    <x v="2"/>
  </r>
  <r>
    <d v="2013-05-23T00:00:00"/>
    <s v="018-2220-000"/>
    <s v="Beer Sales"/>
    <n v="160.185"/>
    <n v="0"/>
    <s v="Daily Sales Import"/>
    <n v="-160.185"/>
    <n v="160.185"/>
    <x v="2"/>
    <s v="2220"/>
    <s v="000"/>
    <x v="7"/>
    <x v="2"/>
  </r>
  <r>
    <d v="2013-05-23T00:00:00"/>
    <s v="018-2230-000"/>
    <s v="Wine Sales"/>
    <n v="50.993700000000004"/>
    <n v="0"/>
    <s v="Daily Sales Import"/>
    <n v="-50.993700000000004"/>
    <n v="50.993700000000004"/>
    <x v="2"/>
    <s v="2230"/>
    <s v="000"/>
    <x v="7"/>
    <x v="2"/>
  </r>
  <r>
    <d v="2013-05-24T00:00:00"/>
    <s v="018-2100-000"/>
    <s v="Food Sales"/>
    <n v="10307.816000000001"/>
    <n v="0"/>
    <s v="Daily Sales Import"/>
    <n v="-10307.816000000001"/>
    <n v="10307.816000000001"/>
    <x v="2"/>
    <s v="2100"/>
    <s v="000"/>
    <x v="7"/>
    <x v="2"/>
  </r>
  <r>
    <d v="2013-05-24T00:00:00"/>
    <s v="018-2210-000"/>
    <s v="Liquor Sales"/>
    <n v="2548.9631999999997"/>
    <n v="0"/>
    <s v="Daily Sales Import"/>
    <n v="-2548.9631999999997"/>
    <n v="2548.9631999999997"/>
    <x v="2"/>
    <s v="2210"/>
    <s v="000"/>
    <x v="7"/>
    <x v="2"/>
  </r>
  <r>
    <d v="2013-05-24T00:00:00"/>
    <s v="018-2220-000"/>
    <s v="Beer Sales"/>
    <n v="581.51299999999992"/>
    <n v="0"/>
    <s v="Daily Sales Import"/>
    <n v="-581.51299999999992"/>
    <n v="581.51299999999992"/>
    <x v="2"/>
    <s v="2220"/>
    <s v="000"/>
    <x v="7"/>
    <x v="2"/>
  </r>
  <r>
    <d v="2013-05-24T00:00:00"/>
    <s v="018-2230-000"/>
    <s v="Wine Sales"/>
    <n v="117.84779999999999"/>
    <n v="0"/>
    <s v="Daily Sales Import"/>
    <n v="-117.84779999999999"/>
    <n v="117.84779999999999"/>
    <x v="2"/>
    <s v="2230"/>
    <s v="000"/>
    <x v="7"/>
    <x v="2"/>
  </r>
  <r>
    <d v="2013-05-25T00:00:00"/>
    <s v="018-2100-000"/>
    <s v="Food Sales"/>
    <n v="11100.5375"/>
    <n v="0"/>
    <s v="Daily Sales Import"/>
    <n v="-11100.5375"/>
    <n v="11100.5375"/>
    <x v="2"/>
    <s v="2100"/>
    <s v="000"/>
    <x v="7"/>
    <x v="2"/>
  </r>
  <r>
    <d v="2013-05-25T00:00:00"/>
    <s v="018-2210-000"/>
    <s v="Liquor Sales"/>
    <n v="3643.6383000000001"/>
    <n v="0"/>
    <s v="Daily Sales Import"/>
    <n v="-3643.6383000000001"/>
    <n v="3643.6383000000001"/>
    <x v="2"/>
    <s v="2210"/>
    <s v="000"/>
    <x v="7"/>
    <x v="2"/>
  </r>
  <r>
    <d v="2013-05-25T00:00:00"/>
    <s v="018-2220-000"/>
    <s v="Beer Sales"/>
    <n v="692.01279999999997"/>
    <n v="0"/>
    <s v="Daily Sales Import"/>
    <n v="-692.01279999999997"/>
    <n v="692.01279999999997"/>
    <x v="2"/>
    <s v="2220"/>
    <s v="000"/>
    <x v="7"/>
    <x v="2"/>
  </r>
  <r>
    <d v="2013-05-25T00:00:00"/>
    <s v="018-2230-000"/>
    <s v="Wine Sales"/>
    <n v="38.1678"/>
    <n v="0"/>
    <s v="Daily Sales Import"/>
    <n v="-38.1678"/>
    <n v="38.1678"/>
    <x v="2"/>
    <s v="2230"/>
    <s v="000"/>
    <x v="7"/>
    <x v="2"/>
  </r>
  <r>
    <d v="2013-05-26T00:00:00"/>
    <s v="018-2100-000"/>
    <s v="Food Sales"/>
    <n v="9771.1851999999999"/>
    <n v="0"/>
    <s v="Daily Sales Import"/>
    <n v="-9771.1851999999999"/>
    <n v="9771.1851999999999"/>
    <x v="2"/>
    <s v="2100"/>
    <s v="000"/>
    <x v="7"/>
    <x v="2"/>
  </r>
  <r>
    <d v="2013-05-26T00:00:00"/>
    <s v="018-2210-000"/>
    <s v="Liquor Sales"/>
    <n v="1440.7848000000001"/>
    <n v="0"/>
    <s v="Daily Sales Import"/>
    <n v="-1440.7848000000001"/>
    <n v="1440.7848000000001"/>
    <x v="2"/>
    <s v="2210"/>
    <s v="000"/>
    <x v="7"/>
    <x v="2"/>
  </r>
  <r>
    <d v="2013-05-26T00:00:00"/>
    <s v="018-2220-000"/>
    <s v="Beer Sales"/>
    <n v="522.80280000000005"/>
    <n v="0"/>
    <s v="Daily Sales Import"/>
    <n v="-522.80280000000005"/>
    <n v="522.80280000000005"/>
    <x v="2"/>
    <s v="2220"/>
    <s v="000"/>
    <x v="7"/>
    <x v="2"/>
  </r>
  <r>
    <d v="2013-05-26T00:00:00"/>
    <s v="018-2230-000"/>
    <s v="Wine Sales"/>
    <n v="120.5856"/>
    <n v="0"/>
    <s v="Daily Sales Import"/>
    <n v="-120.5856"/>
    <n v="120.5856"/>
    <x v="2"/>
    <s v="2230"/>
    <s v="000"/>
    <x v="7"/>
    <x v="2"/>
  </r>
  <r>
    <d v="2013-05-16T00:00:00"/>
    <s v="016-2100-000"/>
    <s v="Food Sales"/>
    <n v="2954.1182999999996"/>
    <n v="0"/>
    <s v="Daily Sales Import"/>
    <n v="-2954.1182999999996"/>
    <n v="2954.1182999999996"/>
    <x v="0"/>
    <s v="2100"/>
    <s v="000"/>
    <x v="7"/>
    <x v="2"/>
  </r>
  <r>
    <d v="2013-05-16T00:00:00"/>
    <s v="016-2210-000"/>
    <s v="Liquor Sales"/>
    <n v="959.56470000000002"/>
    <n v="0"/>
    <s v="Daily Sales Import"/>
    <n v="-959.56470000000002"/>
    <n v="959.56470000000002"/>
    <x v="0"/>
    <s v="2210"/>
    <s v="000"/>
    <x v="7"/>
    <x v="2"/>
  </r>
  <r>
    <d v="2013-05-16T00:00:00"/>
    <s v="016-2220-000"/>
    <s v="Beer Sales"/>
    <n v="77.621499999999997"/>
    <n v="0"/>
    <s v="Daily Sales Import"/>
    <n v="-77.621499999999997"/>
    <n v="77.621499999999997"/>
    <x v="0"/>
    <s v="2220"/>
    <s v="000"/>
    <x v="7"/>
    <x v="2"/>
  </r>
  <r>
    <d v="2013-05-16T00:00:00"/>
    <s v="016-2230-000"/>
    <s v="Wine Sales"/>
    <n v="53.193199999999997"/>
    <n v="0"/>
    <s v="Daily Sales Import"/>
    <n v="-53.193199999999997"/>
    <n v="53.193199999999997"/>
    <x v="0"/>
    <s v="2230"/>
    <s v="000"/>
    <x v="7"/>
    <x v="2"/>
  </r>
  <r>
    <d v="2013-05-27T00:00:00"/>
    <s v="016-2100-000"/>
    <s v="Food Sales"/>
    <n v="3286.4179999999997"/>
    <n v="0"/>
    <s v="Daily Sales Import"/>
    <n v="-3286.4179999999997"/>
    <n v="3286.4179999999997"/>
    <x v="0"/>
    <s v="2100"/>
    <s v="000"/>
    <x v="7"/>
    <x v="2"/>
  </r>
  <r>
    <d v="2013-05-27T00:00:00"/>
    <s v="016-2210-000"/>
    <s v="Liquor Sales"/>
    <n v="935.27199999999993"/>
    <n v="0"/>
    <s v="Daily Sales Import"/>
    <n v="-935.27199999999993"/>
    <n v="935.27199999999993"/>
    <x v="0"/>
    <s v="2210"/>
    <s v="000"/>
    <x v="7"/>
    <x v="2"/>
  </r>
  <r>
    <d v="2013-05-27T00:00:00"/>
    <s v="016-2220-000"/>
    <s v="Beer Sales"/>
    <n v="180.93600000000001"/>
    <n v="0"/>
    <s v="Daily Sales Import"/>
    <n v="-180.93600000000001"/>
    <n v="180.93600000000001"/>
    <x v="0"/>
    <s v="2220"/>
    <s v="000"/>
    <x v="7"/>
    <x v="2"/>
  </r>
  <r>
    <d v="2013-05-27T00:00:00"/>
    <s v="016-2230-000"/>
    <s v="Wine Sales"/>
    <n v="115.4478"/>
    <n v="0"/>
    <s v="Daily Sales Import"/>
    <n v="-115.4478"/>
    <n v="115.4478"/>
    <x v="0"/>
    <s v="2230"/>
    <s v="000"/>
    <x v="7"/>
    <x v="2"/>
  </r>
  <r>
    <d v="2013-05-28T00:00:00"/>
    <s v="016-2100-000"/>
    <s v="Food Sales"/>
    <n v="4988.9143999999997"/>
    <n v="0"/>
    <s v="Daily Sales Import"/>
    <n v="-4988.9143999999997"/>
    <n v="4988.9143999999997"/>
    <x v="0"/>
    <s v="2100"/>
    <s v="000"/>
    <x v="7"/>
    <x v="2"/>
  </r>
  <r>
    <d v="2013-05-28T00:00:00"/>
    <s v="016-2210-000"/>
    <s v="Liquor Sales"/>
    <n v="1475.4204"/>
    <n v="0"/>
    <s v="Daily Sales Import"/>
    <n v="-1475.4204"/>
    <n v="1475.4204"/>
    <x v="0"/>
    <s v="2210"/>
    <s v="000"/>
    <x v="7"/>
    <x v="2"/>
  </r>
  <r>
    <d v="2013-05-28T00:00:00"/>
    <s v="016-2220-000"/>
    <s v="Beer Sales"/>
    <n v="448.57"/>
    <n v="0"/>
    <s v="Daily Sales Import"/>
    <n v="-448.57"/>
    <n v="448.57"/>
    <x v="0"/>
    <s v="2220"/>
    <s v="000"/>
    <x v="7"/>
    <x v="2"/>
  </r>
  <r>
    <d v="2013-05-28T00:00:00"/>
    <s v="016-2230-000"/>
    <s v="Wine Sales"/>
    <n v="66.913499999999999"/>
    <n v="0"/>
    <s v="Daily Sales Import"/>
    <n v="-66.913499999999999"/>
    <n v="66.913499999999999"/>
    <x v="0"/>
    <s v="2230"/>
    <s v="000"/>
    <x v="7"/>
    <x v="2"/>
  </r>
  <r>
    <d v="2013-05-29T00:00:00"/>
    <s v="016-2100-000"/>
    <s v="Food Sales"/>
    <n v="2941.143"/>
    <n v="0"/>
    <s v="Daily Sales Import"/>
    <n v="-2941.143"/>
    <n v="2941.143"/>
    <x v="0"/>
    <s v="2100"/>
    <s v="000"/>
    <x v="7"/>
    <x v="2"/>
  </r>
  <r>
    <d v="2013-05-29T00:00:00"/>
    <s v="016-2210-000"/>
    <s v="Liquor Sales"/>
    <n v="631.28560000000004"/>
    <n v="0"/>
    <s v="Daily Sales Import"/>
    <n v="-631.28560000000004"/>
    <n v="631.28560000000004"/>
    <x v="0"/>
    <s v="2210"/>
    <s v="000"/>
    <x v="7"/>
    <x v="2"/>
  </r>
  <r>
    <d v="2013-05-29T00:00:00"/>
    <s v="016-2220-000"/>
    <s v="Beer Sales"/>
    <n v="105.74940000000001"/>
    <n v="0"/>
    <s v="Daily Sales Import"/>
    <n v="-105.74940000000001"/>
    <n v="105.74940000000001"/>
    <x v="0"/>
    <s v="2220"/>
    <s v="000"/>
    <x v="7"/>
    <x v="2"/>
  </r>
  <r>
    <d v="2013-05-29T00:00:00"/>
    <s v="016-2230-000"/>
    <s v="Wine Sales"/>
    <n v="61.347200000000001"/>
    <n v="0"/>
    <s v="Daily Sales Import"/>
    <n v="-61.347200000000001"/>
    <n v="61.347200000000001"/>
    <x v="0"/>
    <s v="2230"/>
    <s v="000"/>
    <x v="7"/>
    <x v="2"/>
  </r>
  <r>
    <d v="2013-05-30T00:00:00"/>
    <s v="016-2100-000"/>
    <s v="Food Sales"/>
    <n v="2100.9602999999997"/>
    <n v="0"/>
    <s v="Daily Sales Import"/>
    <n v="-2100.9602999999997"/>
    <n v="2100.9602999999997"/>
    <x v="0"/>
    <s v="2100"/>
    <s v="000"/>
    <x v="7"/>
    <x v="2"/>
  </r>
  <r>
    <d v="2013-05-30T00:00:00"/>
    <s v="016-2210-000"/>
    <s v="Liquor Sales"/>
    <n v="783.39300000000003"/>
    <n v="0"/>
    <s v="Daily Sales Import"/>
    <n v="-783.39300000000003"/>
    <n v="783.39300000000003"/>
    <x v="0"/>
    <s v="2210"/>
    <s v="000"/>
    <x v="7"/>
    <x v="2"/>
  </r>
  <r>
    <d v="2013-05-30T00:00:00"/>
    <s v="016-2220-000"/>
    <s v="Beer Sales"/>
    <n v="149.80440000000002"/>
    <n v="0"/>
    <s v="Daily Sales Import"/>
    <n v="-149.80440000000002"/>
    <n v="149.80440000000002"/>
    <x v="0"/>
    <s v="2220"/>
    <s v="000"/>
    <x v="7"/>
    <x v="2"/>
  </r>
  <r>
    <d v="2013-05-30T00:00:00"/>
    <s v="016-2230-000"/>
    <s v="Wine Sales"/>
    <n v="30.786300000000001"/>
    <n v="0"/>
    <s v="Daily Sales Import"/>
    <n v="-30.786300000000001"/>
    <n v="30.786300000000001"/>
    <x v="0"/>
    <s v="2230"/>
    <s v="000"/>
    <x v="7"/>
    <x v="2"/>
  </r>
  <r>
    <d v="2013-05-31T00:00:00"/>
    <s v="016-2100-000"/>
    <s v="Food Sales"/>
    <n v="5957.913599999999"/>
    <n v="0"/>
    <s v="Daily Sales Import"/>
    <n v="-5957.913599999999"/>
    <n v="5957.913599999999"/>
    <x v="0"/>
    <s v="2100"/>
    <s v="000"/>
    <x v="7"/>
    <x v="2"/>
  </r>
  <r>
    <d v="2013-05-31T00:00:00"/>
    <s v="016-2210-000"/>
    <s v="Liquor Sales"/>
    <n v="1878.5316000000003"/>
    <n v="0"/>
    <s v="Daily Sales Import"/>
    <n v="-1878.5316000000003"/>
    <n v="1878.5316000000003"/>
    <x v="0"/>
    <s v="2210"/>
    <s v="000"/>
    <x v="7"/>
    <x v="2"/>
  </r>
  <r>
    <d v="2013-05-31T00:00:00"/>
    <s v="016-2220-000"/>
    <s v="Beer Sales"/>
    <n v="376.30799999999999"/>
    <n v="0"/>
    <s v="Daily Sales Import"/>
    <n v="-376.30799999999999"/>
    <n v="376.30799999999999"/>
    <x v="0"/>
    <s v="2220"/>
    <s v="000"/>
    <x v="7"/>
    <x v="2"/>
  </r>
  <r>
    <d v="2013-05-31T00:00:00"/>
    <s v="016-2230-000"/>
    <s v="Wine Sales"/>
    <n v="107.4392"/>
    <n v="0"/>
    <s v="Daily Sales Import"/>
    <n v="-107.4392"/>
    <n v="107.4392"/>
    <x v="0"/>
    <s v="2230"/>
    <s v="000"/>
    <x v="7"/>
    <x v="2"/>
  </r>
  <r>
    <d v="2013-06-01T00:00:00"/>
    <s v="016-2100-000"/>
    <s v="Food Sales"/>
    <n v="5469.1482999999998"/>
    <n v="0"/>
    <s v="Daily Sales Import"/>
    <n v="-5469.1482999999998"/>
    <n v="5469.1482999999998"/>
    <x v="0"/>
    <s v="2100"/>
    <s v="000"/>
    <x v="8"/>
    <x v="2"/>
  </r>
  <r>
    <d v="2013-06-01T00:00:00"/>
    <s v="016-2210-000"/>
    <s v="Liquor Sales"/>
    <n v="1886.5050000000001"/>
    <n v="0"/>
    <s v="Daily Sales Import"/>
    <n v="-1886.5050000000001"/>
    <n v="1886.5050000000001"/>
    <x v="0"/>
    <s v="2210"/>
    <s v="000"/>
    <x v="8"/>
    <x v="2"/>
  </r>
  <r>
    <d v="2013-06-01T00:00:00"/>
    <s v="016-2220-000"/>
    <s v="Beer Sales"/>
    <n v="299.5127"/>
    <n v="0"/>
    <s v="Daily Sales Import"/>
    <n v="-299.5127"/>
    <n v="299.5127"/>
    <x v="0"/>
    <s v="2220"/>
    <s v="000"/>
    <x v="8"/>
    <x v="2"/>
  </r>
  <r>
    <d v="2013-06-01T00:00:00"/>
    <s v="016-2230-000"/>
    <s v="Wine Sales"/>
    <n v="171.51349999999999"/>
    <n v="0"/>
    <s v="Daily Sales Import"/>
    <n v="-171.51349999999999"/>
    <n v="171.51349999999999"/>
    <x v="0"/>
    <s v="2230"/>
    <s v="000"/>
    <x v="8"/>
    <x v="2"/>
  </r>
  <r>
    <d v="2013-06-02T00:00:00"/>
    <s v="016-2100-000"/>
    <s v="Food Sales"/>
    <n v="5108.2125999999998"/>
    <n v="0"/>
    <s v="Daily Sales Import"/>
    <n v="-5108.2125999999998"/>
    <n v="5108.2125999999998"/>
    <x v="0"/>
    <s v="2100"/>
    <s v="000"/>
    <x v="8"/>
    <x v="2"/>
  </r>
  <r>
    <d v="2013-06-02T00:00:00"/>
    <s v="016-2210-000"/>
    <s v="Liquor Sales"/>
    <n v="1644.9069"/>
    <n v="0"/>
    <s v="Daily Sales Import"/>
    <n v="-1644.9069"/>
    <n v="1644.9069"/>
    <x v="0"/>
    <s v="2210"/>
    <s v="000"/>
    <x v="8"/>
    <x v="2"/>
  </r>
  <r>
    <d v="2013-06-02T00:00:00"/>
    <s v="016-2220-000"/>
    <s v="Beer Sales"/>
    <n v="308.40479999999997"/>
    <n v="0"/>
    <s v="Daily Sales Import"/>
    <n v="-308.40479999999997"/>
    <n v="308.40479999999997"/>
    <x v="0"/>
    <s v="2220"/>
    <s v="000"/>
    <x v="8"/>
    <x v="2"/>
  </r>
  <r>
    <d v="2013-06-02T00:00:00"/>
    <s v="016-2230-000"/>
    <s v="Wine Sales"/>
    <n v="103.05120000000001"/>
    <n v="0"/>
    <s v="Daily Sales Import"/>
    <n v="-103.05120000000001"/>
    <n v="103.05120000000001"/>
    <x v="0"/>
    <s v="2230"/>
    <s v="000"/>
    <x v="8"/>
    <x v="2"/>
  </r>
  <r>
    <d v="2013-05-27T00:00:00"/>
    <s v="017-2100-000"/>
    <s v="Food Sales"/>
    <n v="3853.7464"/>
    <n v="0"/>
    <s v="Daily Sales Import"/>
    <n v="-3853.7464"/>
    <n v="3853.7464"/>
    <x v="1"/>
    <s v="2100"/>
    <s v="000"/>
    <x v="7"/>
    <x v="2"/>
  </r>
  <r>
    <d v="2013-05-27T00:00:00"/>
    <s v="017-2210-000"/>
    <s v="Liquor Sales"/>
    <n v="959.80560000000003"/>
    <n v="0"/>
    <s v="Daily Sales Import"/>
    <n v="-959.80560000000003"/>
    <n v="959.80560000000003"/>
    <x v="1"/>
    <s v="2210"/>
    <s v="000"/>
    <x v="7"/>
    <x v="2"/>
  </r>
  <r>
    <d v="2013-05-27T00:00:00"/>
    <s v="017-2220-000"/>
    <s v="Beer Sales"/>
    <n v="160.7079"/>
    <n v="0"/>
    <s v="Daily Sales Import"/>
    <n v="-160.7079"/>
    <n v="160.7079"/>
    <x v="1"/>
    <s v="2220"/>
    <s v="000"/>
    <x v="7"/>
    <x v="2"/>
  </r>
  <r>
    <d v="2013-05-27T00:00:00"/>
    <s v="017-2230-000"/>
    <s v="Wine Sales"/>
    <n v="26.72"/>
    <n v="0"/>
    <s v="Daily Sales Import"/>
    <n v="-26.72"/>
    <n v="26.72"/>
    <x v="1"/>
    <s v="2230"/>
    <s v="000"/>
    <x v="7"/>
    <x v="2"/>
  </r>
  <r>
    <d v="2013-05-28T00:00:00"/>
    <s v="017-2100-000"/>
    <s v="Food Sales"/>
    <n v="4620.8924999999999"/>
    <n v="0"/>
    <s v="Daily Sales Import"/>
    <n v="-4620.8924999999999"/>
    <n v="4620.8924999999999"/>
    <x v="1"/>
    <s v="2100"/>
    <s v="000"/>
    <x v="7"/>
    <x v="2"/>
  </r>
  <r>
    <d v="2013-05-28T00:00:00"/>
    <s v="017-2210-000"/>
    <s v="Liquor Sales"/>
    <n v="622.91419999999994"/>
    <n v="0"/>
    <s v="Daily Sales Import"/>
    <n v="-622.91419999999994"/>
    <n v="622.91419999999994"/>
    <x v="1"/>
    <s v="2210"/>
    <s v="000"/>
    <x v="7"/>
    <x v="2"/>
  </r>
  <r>
    <d v="2013-05-28T00:00:00"/>
    <s v="017-2220-000"/>
    <s v="Beer Sales"/>
    <n v="368.67559999999997"/>
    <n v="0"/>
    <s v="Daily Sales Import"/>
    <n v="-368.67559999999997"/>
    <n v="368.67559999999997"/>
    <x v="1"/>
    <s v="2220"/>
    <s v="000"/>
    <x v="7"/>
    <x v="2"/>
  </r>
  <r>
    <d v="2013-05-28T00:00:00"/>
    <s v="017-2230-000"/>
    <s v="Wine Sales"/>
    <n v="71.528599999999997"/>
    <n v="0"/>
    <s v="Daily Sales Import"/>
    <n v="-71.528599999999997"/>
    <n v="71.528599999999997"/>
    <x v="1"/>
    <s v="2230"/>
    <s v="000"/>
    <x v="7"/>
    <x v="2"/>
  </r>
  <r>
    <d v="2013-05-29T00:00:00"/>
    <s v="017-2100-000"/>
    <s v="Food Sales"/>
    <n v="6327.8663999999999"/>
    <n v="0"/>
    <s v="Daily Sales Import"/>
    <n v="-6327.8663999999999"/>
    <n v="6327.8663999999999"/>
    <x v="1"/>
    <s v="2100"/>
    <s v="000"/>
    <x v="7"/>
    <x v="2"/>
  </r>
  <r>
    <d v="2013-05-29T00:00:00"/>
    <s v="017-2210-000"/>
    <s v="Liquor Sales"/>
    <n v="2031.1824000000001"/>
    <n v="0"/>
    <s v="Daily Sales Import"/>
    <n v="-2031.1824000000001"/>
    <n v="2031.1824000000001"/>
    <x v="1"/>
    <s v="2210"/>
    <s v="000"/>
    <x v="7"/>
    <x v="2"/>
  </r>
  <r>
    <d v="2013-05-29T00:00:00"/>
    <s v="017-2220-000"/>
    <s v="Beer Sales"/>
    <n v="484.15320000000003"/>
    <n v="0"/>
    <s v="Daily Sales Import"/>
    <n v="-484.15320000000003"/>
    <n v="484.15320000000003"/>
    <x v="1"/>
    <s v="2220"/>
    <s v="000"/>
    <x v="7"/>
    <x v="2"/>
  </r>
  <r>
    <d v="2013-05-29T00:00:00"/>
    <s v="017-2230-000"/>
    <s v="Wine Sales"/>
    <n v="169.065"/>
    <n v="0"/>
    <s v="Daily Sales Import"/>
    <n v="-169.065"/>
    <n v="169.065"/>
    <x v="1"/>
    <s v="2230"/>
    <s v="000"/>
    <x v="7"/>
    <x v="2"/>
  </r>
  <r>
    <d v="2013-05-30T00:00:00"/>
    <s v="017-2100-000"/>
    <s v="Food Sales"/>
    <n v="4749.7864"/>
    <n v="0"/>
    <s v="Daily Sales Import"/>
    <n v="-4749.7864"/>
    <n v="4749.7864"/>
    <x v="1"/>
    <s v="2100"/>
    <s v="000"/>
    <x v="7"/>
    <x v="2"/>
  </r>
  <r>
    <d v="2013-05-30T00:00:00"/>
    <s v="017-2210-000"/>
    <s v="Liquor Sales"/>
    <n v="1190.713"/>
    <n v="0"/>
    <s v="Daily Sales Import"/>
    <n v="-1190.713"/>
    <n v="1190.713"/>
    <x v="1"/>
    <s v="2210"/>
    <s v="000"/>
    <x v="7"/>
    <x v="2"/>
  </r>
  <r>
    <d v="2013-05-30T00:00:00"/>
    <s v="017-2220-000"/>
    <s v="Beer Sales"/>
    <n v="362.82400000000001"/>
    <n v="0"/>
    <s v="Daily Sales Import"/>
    <n v="-362.82400000000001"/>
    <n v="362.82400000000001"/>
    <x v="1"/>
    <s v="2220"/>
    <s v="000"/>
    <x v="7"/>
    <x v="2"/>
  </r>
  <r>
    <d v="2013-05-30T00:00:00"/>
    <s v="017-2230-000"/>
    <s v="Wine Sales"/>
    <n v="86.89800000000001"/>
    <n v="0"/>
    <s v="Daily Sales Import"/>
    <n v="-86.89800000000001"/>
    <n v="86.89800000000001"/>
    <x v="1"/>
    <s v="2230"/>
    <s v="000"/>
    <x v="7"/>
    <x v="2"/>
  </r>
  <r>
    <d v="2013-05-31T00:00:00"/>
    <s v="017-2100-000"/>
    <s v="Food Sales"/>
    <n v="9302.0925000000007"/>
    <n v="0"/>
    <s v="Daily Sales Import"/>
    <n v="-9302.0925000000007"/>
    <n v="9302.0925000000007"/>
    <x v="1"/>
    <s v="2100"/>
    <s v="000"/>
    <x v="7"/>
    <x v="2"/>
  </r>
  <r>
    <d v="2013-05-31T00:00:00"/>
    <s v="017-2210-000"/>
    <s v="Liquor Sales"/>
    <n v="3518.4636999999998"/>
    <n v="0"/>
    <s v="Daily Sales Import"/>
    <n v="-3518.4636999999998"/>
    <n v="3518.4636999999998"/>
    <x v="1"/>
    <s v="2210"/>
    <s v="000"/>
    <x v="7"/>
    <x v="2"/>
  </r>
  <r>
    <d v="2013-05-31T00:00:00"/>
    <s v="017-2220-000"/>
    <s v="Beer Sales"/>
    <n v="503.43919999999997"/>
    <n v="0"/>
    <s v="Daily Sales Import"/>
    <n v="-503.43919999999997"/>
    <n v="503.43919999999997"/>
    <x v="1"/>
    <s v="2220"/>
    <s v="000"/>
    <x v="7"/>
    <x v="2"/>
  </r>
  <r>
    <d v="2013-05-31T00:00:00"/>
    <s v="017-2230-000"/>
    <s v="Wine Sales"/>
    <n v="63.178500000000007"/>
    <n v="0"/>
    <s v="Daily Sales Import"/>
    <n v="-63.178500000000007"/>
    <n v="63.178500000000007"/>
    <x v="1"/>
    <s v="2230"/>
    <s v="000"/>
    <x v="7"/>
    <x v="2"/>
  </r>
  <r>
    <d v="2013-06-01T00:00:00"/>
    <s v="017-2100-000"/>
    <s v="Food Sales"/>
    <n v="5181.6244999999999"/>
    <n v="0"/>
    <s v="Daily Sales Import"/>
    <n v="-5181.6244999999999"/>
    <n v="5181.6244999999999"/>
    <x v="1"/>
    <s v="2100"/>
    <s v="000"/>
    <x v="8"/>
    <x v="2"/>
  </r>
  <r>
    <d v="2013-06-01T00:00:00"/>
    <s v="017-2210-000"/>
    <s v="Liquor Sales"/>
    <n v="1570.1565000000001"/>
    <n v="0"/>
    <s v="Daily Sales Import"/>
    <n v="-1570.1565000000001"/>
    <n v="1570.1565000000001"/>
    <x v="1"/>
    <s v="2210"/>
    <s v="000"/>
    <x v="8"/>
    <x v="2"/>
  </r>
  <r>
    <d v="2013-06-01T00:00:00"/>
    <s v="017-2220-000"/>
    <s v="Beer Sales"/>
    <n v="270.69390000000004"/>
    <n v="0"/>
    <s v="Daily Sales Import"/>
    <n v="-270.69390000000004"/>
    <n v="270.69390000000004"/>
    <x v="1"/>
    <s v="2220"/>
    <s v="000"/>
    <x v="8"/>
    <x v="2"/>
  </r>
  <r>
    <d v="2013-06-01T00:00:00"/>
    <s v="017-2230-000"/>
    <s v="Wine Sales"/>
    <n v="82.6965"/>
    <n v="0"/>
    <s v="Daily Sales Import"/>
    <n v="-82.6965"/>
    <n v="82.6965"/>
    <x v="1"/>
    <s v="2230"/>
    <s v="000"/>
    <x v="8"/>
    <x v="2"/>
  </r>
  <r>
    <d v="2013-06-02T00:00:00"/>
    <s v="017-2100-000"/>
    <s v="Food Sales"/>
    <n v="5630.5430999999999"/>
    <n v="0"/>
    <s v="Daily Sales Import"/>
    <n v="-5630.5430999999999"/>
    <n v="5630.5430999999999"/>
    <x v="1"/>
    <s v="2100"/>
    <s v="000"/>
    <x v="8"/>
    <x v="2"/>
  </r>
  <r>
    <d v="2013-06-02T00:00:00"/>
    <s v="017-2210-000"/>
    <s v="Liquor Sales"/>
    <n v="919.1318"/>
    <n v="0"/>
    <s v="Daily Sales Import"/>
    <n v="-919.1318"/>
    <n v="919.1318"/>
    <x v="1"/>
    <s v="2210"/>
    <s v="000"/>
    <x v="8"/>
    <x v="2"/>
  </r>
  <r>
    <d v="2013-06-02T00:00:00"/>
    <s v="017-2220-000"/>
    <s v="Beer Sales"/>
    <n v="184.45769999999999"/>
    <n v="0"/>
    <s v="Daily Sales Import"/>
    <n v="-184.45769999999999"/>
    <n v="184.45769999999999"/>
    <x v="1"/>
    <s v="2220"/>
    <s v="000"/>
    <x v="8"/>
    <x v="2"/>
  </r>
  <r>
    <d v="2013-06-02T00:00:00"/>
    <s v="017-2230-000"/>
    <s v="Wine Sales"/>
    <n v="63.537600000000005"/>
    <n v="0"/>
    <s v="Daily Sales Import"/>
    <n v="-63.537600000000005"/>
    <n v="63.537600000000005"/>
    <x v="1"/>
    <s v="2230"/>
    <s v="000"/>
    <x v="8"/>
    <x v="2"/>
  </r>
  <r>
    <d v="2013-05-27T00:00:00"/>
    <s v="018-2100-000"/>
    <s v="Food Sales"/>
    <n v="8683.8804"/>
    <n v="0"/>
    <s v="Daily Sales Import"/>
    <n v="-8683.8804"/>
    <n v="8683.8804"/>
    <x v="2"/>
    <s v="2100"/>
    <s v="000"/>
    <x v="7"/>
    <x v="2"/>
  </r>
  <r>
    <d v="2013-05-27T00:00:00"/>
    <s v="018-2210-000"/>
    <s v="Liquor Sales"/>
    <n v="1139.838"/>
    <n v="0"/>
    <s v="Daily Sales Import"/>
    <n v="-1139.838"/>
    <n v="1139.838"/>
    <x v="2"/>
    <s v="2210"/>
    <s v="000"/>
    <x v="7"/>
    <x v="2"/>
  </r>
  <r>
    <d v="2013-05-27T00:00:00"/>
    <s v="018-2220-000"/>
    <s v="Beer Sales"/>
    <n v="328.07119999999998"/>
    <n v="0"/>
    <s v="Daily Sales Import"/>
    <n v="-328.07119999999998"/>
    <n v="328.07119999999998"/>
    <x v="2"/>
    <s v="2220"/>
    <s v="000"/>
    <x v="7"/>
    <x v="2"/>
  </r>
  <r>
    <d v="2013-05-27T00:00:00"/>
    <s v="018-2230-000"/>
    <s v="Wine Sales"/>
    <n v="9.752600000000001"/>
    <n v="0"/>
    <s v="Daily Sales Import"/>
    <n v="-9.752600000000001"/>
    <n v="9.752600000000001"/>
    <x v="2"/>
    <s v="2230"/>
    <s v="000"/>
    <x v="7"/>
    <x v="2"/>
  </r>
  <r>
    <d v="2013-05-28T00:00:00"/>
    <s v="018-2100-000"/>
    <s v="Food Sales"/>
    <n v="4729.7744999999995"/>
    <n v="0"/>
    <s v="Daily Sales Import"/>
    <n v="-4729.7744999999995"/>
    <n v="4729.7744999999995"/>
    <x v="2"/>
    <s v="2100"/>
    <s v="000"/>
    <x v="7"/>
    <x v="2"/>
  </r>
  <r>
    <d v="2013-05-28T00:00:00"/>
    <s v="018-2210-000"/>
    <s v="Liquor Sales"/>
    <n v="535.59359999999992"/>
    <n v="0"/>
    <s v="Daily Sales Import"/>
    <n v="-535.59359999999992"/>
    <n v="535.59359999999992"/>
    <x v="2"/>
    <s v="2210"/>
    <s v="000"/>
    <x v="7"/>
    <x v="2"/>
  </r>
  <r>
    <d v="2013-05-28T00:00:00"/>
    <s v="018-2220-000"/>
    <s v="Beer Sales"/>
    <n v="138.447"/>
    <n v="0"/>
    <s v="Daily Sales Import"/>
    <n v="-138.447"/>
    <n v="138.447"/>
    <x v="2"/>
    <s v="2220"/>
    <s v="000"/>
    <x v="7"/>
    <x v="2"/>
  </r>
  <r>
    <d v="2013-05-28T00:00:00"/>
    <s v="018-2230-000"/>
    <s v="Wine Sales"/>
    <n v="15.282999999999999"/>
    <n v="0"/>
    <s v="Daily Sales Import"/>
    <n v="-15.282999999999999"/>
    <n v="15.282999999999999"/>
    <x v="2"/>
    <s v="2230"/>
    <s v="000"/>
    <x v="7"/>
    <x v="2"/>
  </r>
  <r>
    <d v="2013-05-29T00:00:00"/>
    <s v="018-2100-000"/>
    <s v="Food Sales"/>
    <n v="6002.1894000000002"/>
    <n v="0"/>
    <s v="Daily Sales Import"/>
    <n v="-6002.1894000000002"/>
    <n v="6002.1894000000002"/>
    <x v="2"/>
    <s v="2100"/>
    <s v="000"/>
    <x v="7"/>
    <x v="2"/>
  </r>
  <r>
    <d v="2013-05-29T00:00:00"/>
    <s v="018-2210-000"/>
    <s v="Liquor Sales"/>
    <n v="1361.7329999999999"/>
    <n v="0"/>
    <s v="Daily Sales Import"/>
    <n v="-1361.7329999999999"/>
    <n v="1361.7329999999999"/>
    <x v="2"/>
    <s v="2210"/>
    <s v="000"/>
    <x v="7"/>
    <x v="2"/>
  </r>
  <r>
    <d v="2013-05-29T00:00:00"/>
    <s v="018-2220-000"/>
    <s v="Beer Sales"/>
    <n v="204.77670000000001"/>
    <n v="0"/>
    <s v="Daily Sales Import"/>
    <n v="-204.77670000000001"/>
    <n v="204.77670000000001"/>
    <x v="2"/>
    <s v="2220"/>
    <s v="000"/>
    <x v="7"/>
    <x v="2"/>
  </r>
  <r>
    <d v="2013-05-29T00:00:00"/>
    <s v="018-2230-000"/>
    <s v="Wine Sales"/>
    <n v="24.9314"/>
    <n v="0"/>
    <s v="Daily Sales Import"/>
    <n v="-24.9314"/>
    <n v="24.9314"/>
    <x v="2"/>
    <s v="2230"/>
    <s v="000"/>
    <x v="7"/>
    <x v="2"/>
  </r>
  <r>
    <d v="2013-05-30T00:00:00"/>
    <s v="018-2100-000"/>
    <s v="Food Sales"/>
    <n v="4600.3610999999992"/>
    <n v="0"/>
    <s v="Daily Sales Import"/>
    <n v="-4600.3610999999992"/>
    <n v="4600.3610999999992"/>
    <x v="2"/>
    <s v="2100"/>
    <s v="000"/>
    <x v="7"/>
    <x v="2"/>
  </r>
  <r>
    <d v="2013-05-30T00:00:00"/>
    <s v="018-2210-000"/>
    <s v="Liquor Sales"/>
    <n v="1286.0411999999999"/>
    <n v="0"/>
    <s v="Daily Sales Import"/>
    <n v="-1286.0411999999999"/>
    <n v="1286.0411999999999"/>
    <x v="2"/>
    <s v="2210"/>
    <s v="000"/>
    <x v="7"/>
    <x v="2"/>
  </r>
  <r>
    <d v="2013-05-30T00:00:00"/>
    <s v="018-2220-000"/>
    <s v="Beer Sales"/>
    <n v="265.19320000000005"/>
    <n v="0"/>
    <s v="Daily Sales Import"/>
    <n v="-265.19320000000005"/>
    <n v="265.19320000000005"/>
    <x v="2"/>
    <s v="2220"/>
    <s v="000"/>
    <x v="7"/>
    <x v="2"/>
  </r>
  <r>
    <d v="2013-05-30T00:00:00"/>
    <s v="018-2230-000"/>
    <s v="Wine Sales"/>
    <n v="27.188700000000001"/>
    <n v="0"/>
    <s v="Daily Sales Import"/>
    <n v="-27.188700000000001"/>
    <n v="27.188700000000001"/>
    <x v="2"/>
    <s v="2230"/>
    <s v="000"/>
    <x v="7"/>
    <x v="2"/>
  </r>
  <r>
    <d v="2013-05-31T00:00:00"/>
    <s v="018-2100-000"/>
    <s v="Food Sales"/>
    <n v="13566.9"/>
    <n v="0"/>
    <s v="Daily Sales Import"/>
    <n v="-13566.9"/>
    <n v="13566.9"/>
    <x v="2"/>
    <s v="2100"/>
    <s v="000"/>
    <x v="7"/>
    <x v="2"/>
  </r>
  <r>
    <d v="2013-05-31T00:00:00"/>
    <s v="018-2210-000"/>
    <s v="Liquor Sales"/>
    <n v="2730.15"/>
    <n v="0"/>
    <s v="Daily Sales Import"/>
    <n v="-2730.15"/>
    <n v="2730.15"/>
    <x v="2"/>
    <s v="2210"/>
    <s v="000"/>
    <x v="7"/>
    <x v="2"/>
  </r>
  <r>
    <d v="2013-05-31T00:00:00"/>
    <s v="018-2220-000"/>
    <s v="Beer Sales"/>
    <n v="516.14380000000006"/>
    <n v="0"/>
    <s v="Daily Sales Import"/>
    <n v="-516.14380000000006"/>
    <n v="516.14380000000006"/>
    <x v="2"/>
    <s v="2220"/>
    <s v="000"/>
    <x v="7"/>
    <x v="2"/>
  </r>
  <r>
    <d v="2013-05-31T00:00:00"/>
    <s v="018-2230-000"/>
    <s v="Wine Sales"/>
    <n v="42.242699999999999"/>
    <n v="0"/>
    <s v="Daily Sales Import"/>
    <n v="-42.242699999999999"/>
    <n v="42.242699999999999"/>
    <x v="2"/>
    <s v="2230"/>
    <s v="000"/>
    <x v="7"/>
    <x v="2"/>
  </r>
  <r>
    <d v="2013-06-01T00:00:00"/>
    <s v="018-2100-000"/>
    <s v="Food Sales"/>
    <n v="13837.941199999999"/>
    <n v="0"/>
    <s v="Daily Sales Import"/>
    <n v="-13837.941199999999"/>
    <n v="13837.941199999999"/>
    <x v="2"/>
    <s v="2100"/>
    <s v="000"/>
    <x v="8"/>
    <x v="2"/>
  </r>
  <r>
    <d v="2013-06-01T00:00:00"/>
    <s v="018-2210-000"/>
    <s v="Liquor Sales"/>
    <n v="4336.8320000000003"/>
    <n v="0"/>
    <s v="Daily Sales Import"/>
    <n v="-4336.8320000000003"/>
    <n v="4336.8320000000003"/>
    <x v="2"/>
    <s v="2210"/>
    <s v="000"/>
    <x v="8"/>
    <x v="2"/>
  </r>
  <r>
    <d v="2013-06-01T00:00:00"/>
    <s v="018-2220-000"/>
    <s v="Beer Sales"/>
    <n v="703.59659999999997"/>
    <n v="0"/>
    <s v="Daily Sales Import"/>
    <n v="-703.59659999999997"/>
    <n v="703.59659999999997"/>
    <x v="2"/>
    <s v="2220"/>
    <s v="000"/>
    <x v="8"/>
    <x v="2"/>
  </r>
  <r>
    <d v="2013-06-01T00:00:00"/>
    <s v="018-2230-000"/>
    <s v="Wine Sales"/>
    <n v="78.301799999999986"/>
    <n v="0"/>
    <s v="Daily Sales Import"/>
    <n v="-78.301799999999986"/>
    <n v="78.301799999999986"/>
    <x v="2"/>
    <s v="2230"/>
    <s v="000"/>
    <x v="8"/>
    <x v="2"/>
  </r>
  <r>
    <d v="2013-06-02T00:00:00"/>
    <s v="018-2100-000"/>
    <s v="Food Sales"/>
    <n v="14660.6967"/>
    <n v="0"/>
    <s v="Daily Sales Import"/>
    <n v="-14660.6967"/>
    <n v="14660.6967"/>
    <x v="2"/>
    <s v="2100"/>
    <s v="000"/>
    <x v="8"/>
    <x v="2"/>
  </r>
  <r>
    <d v="2013-06-02T00:00:00"/>
    <s v="018-2210-000"/>
    <s v="Liquor Sales"/>
    <n v="2019.9460999999999"/>
    <n v="0"/>
    <s v="Daily Sales Import"/>
    <n v="-2019.9460999999999"/>
    <n v="2019.9460999999999"/>
    <x v="2"/>
    <s v="2210"/>
    <s v="000"/>
    <x v="8"/>
    <x v="2"/>
  </r>
  <r>
    <d v="2013-06-02T00:00:00"/>
    <s v="018-2220-000"/>
    <s v="Beer Sales"/>
    <n v="462.34550000000002"/>
    <n v="0"/>
    <s v="Daily Sales Import"/>
    <n v="-462.34550000000002"/>
    <n v="462.34550000000002"/>
    <x v="2"/>
    <s v="2220"/>
    <s v="000"/>
    <x v="8"/>
    <x v="2"/>
  </r>
  <r>
    <d v="2013-06-02T00:00:00"/>
    <s v="018-2230-000"/>
    <s v="Wine Sales"/>
    <n v="63.4465"/>
    <n v="0"/>
    <s v="Daily Sales Import"/>
    <n v="-63.4465"/>
    <n v="63.4465"/>
    <x v="2"/>
    <s v="2230"/>
    <s v="000"/>
    <x v="8"/>
    <x v="2"/>
  </r>
  <r>
    <d v="2013-06-03T00:00:00"/>
    <s v="016-2100-000"/>
    <s v="Food Sales"/>
    <n v="2114.3137999999999"/>
    <n v="0"/>
    <s v="Daily Sales Import"/>
    <n v="-2114.3137999999999"/>
    <n v="2114.3137999999999"/>
    <x v="0"/>
    <s v="2100"/>
    <s v="000"/>
    <x v="8"/>
    <x v="2"/>
  </r>
  <r>
    <d v="2013-06-03T00:00:00"/>
    <s v="016-2210-000"/>
    <s v="Liquor Sales"/>
    <n v="586.57199999999989"/>
    <n v="0"/>
    <s v="Daily Sales Import"/>
    <n v="-586.57199999999989"/>
    <n v="586.57199999999989"/>
    <x v="0"/>
    <s v="2210"/>
    <s v="000"/>
    <x v="8"/>
    <x v="2"/>
  </r>
  <r>
    <d v="2013-06-03T00:00:00"/>
    <s v="016-2220-000"/>
    <s v="Beer Sales"/>
    <n v="63.804000000000002"/>
    <n v="0"/>
    <s v="Daily Sales Import"/>
    <n v="-63.804000000000002"/>
    <n v="63.804000000000002"/>
    <x v="0"/>
    <s v="2220"/>
    <s v="000"/>
    <x v="8"/>
    <x v="2"/>
  </r>
  <r>
    <d v="2013-06-03T00:00:00"/>
    <s v="016-2230-000"/>
    <s v="Wine Sales"/>
    <n v="18.05"/>
    <n v="0"/>
    <s v="Daily Sales Import"/>
    <n v="-18.05"/>
    <n v="18.05"/>
    <x v="0"/>
    <s v="2230"/>
    <s v="000"/>
    <x v="8"/>
    <x v="2"/>
  </r>
  <r>
    <d v="2013-06-04T00:00:00"/>
    <s v="016-2100-000"/>
    <s v="Food Sales"/>
    <n v="6297.7638999999999"/>
    <n v="0"/>
    <s v="Daily Sales Import"/>
    <n v="-6297.7638999999999"/>
    <n v="6297.7638999999999"/>
    <x v="0"/>
    <s v="2100"/>
    <s v="000"/>
    <x v="8"/>
    <x v="2"/>
  </r>
  <r>
    <d v="2013-06-04T00:00:00"/>
    <s v="016-2210-000"/>
    <s v="Liquor Sales"/>
    <n v="2497.3560000000002"/>
    <n v="0"/>
    <s v="Daily Sales Import"/>
    <n v="-2497.3560000000002"/>
    <n v="2497.3560000000002"/>
    <x v="0"/>
    <s v="2210"/>
    <s v="000"/>
    <x v="8"/>
    <x v="2"/>
  </r>
  <r>
    <d v="2013-06-04T00:00:00"/>
    <s v="016-2220-000"/>
    <s v="Beer Sales"/>
    <n v="651.89250000000004"/>
    <n v="0"/>
    <s v="Daily Sales Import"/>
    <n v="-651.89250000000004"/>
    <n v="651.89250000000004"/>
    <x v="0"/>
    <s v="2220"/>
    <s v="000"/>
    <x v="8"/>
    <x v="2"/>
  </r>
  <r>
    <d v="2013-06-04T00:00:00"/>
    <s v="016-2230-000"/>
    <s v="Wine Sales"/>
    <n v="66.033500000000004"/>
    <n v="0"/>
    <s v="Daily Sales Import"/>
    <n v="-66.033500000000004"/>
    <n v="66.033500000000004"/>
    <x v="0"/>
    <s v="2230"/>
    <s v="000"/>
    <x v="8"/>
    <x v="2"/>
  </r>
  <r>
    <d v="2013-06-05T00:00:00"/>
    <s v="016-2100-000"/>
    <s v="Food Sales"/>
    <n v="2565.7764000000002"/>
    <n v="0"/>
    <s v="Daily Sales Import"/>
    <n v="-2565.7764000000002"/>
    <n v="2565.7764000000002"/>
    <x v="0"/>
    <s v="2100"/>
    <s v="000"/>
    <x v="8"/>
    <x v="2"/>
  </r>
  <r>
    <d v="2013-06-05T00:00:00"/>
    <s v="016-2210-000"/>
    <s v="Liquor Sales"/>
    <n v="1370.097"/>
    <n v="0"/>
    <s v="Daily Sales Import"/>
    <n v="-1370.097"/>
    <n v="1370.097"/>
    <x v="0"/>
    <s v="2210"/>
    <s v="000"/>
    <x v="8"/>
    <x v="2"/>
  </r>
  <r>
    <d v="2013-06-05T00:00:00"/>
    <s v="016-2220-000"/>
    <s v="Beer Sales"/>
    <n v="315.62619999999998"/>
    <n v="0"/>
    <s v="Daily Sales Import"/>
    <n v="-315.62619999999998"/>
    <n v="315.62619999999998"/>
    <x v="0"/>
    <s v="2220"/>
    <s v="000"/>
    <x v="8"/>
    <x v="2"/>
  </r>
  <r>
    <d v="2013-06-05T00:00:00"/>
    <s v="016-2230-000"/>
    <s v="Wine Sales"/>
    <n v="114.01599999999999"/>
    <n v="0"/>
    <s v="Daily Sales Import"/>
    <n v="-114.01599999999999"/>
    <n v="114.01599999999999"/>
    <x v="0"/>
    <s v="2230"/>
    <s v="000"/>
    <x v="8"/>
    <x v="2"/>
  </r>
  <r>
    <d v="2013-06-06T00:00:00"/>
    <s v="016-2100-000"/>
    <s v="Food Sales"/>
    <n v="2926.9026000000003"/>
    <n v="0"/>
    <s v="Daily Sales Import"/>
    <n v="-2926.9026000000003"/>
    <n v="2926.9026000000003"/>
    <x v="0"/>
    <s v="2100"/>
    <s v="000"/>
    <x v="8"/>
    <x v="2"/>
  </r>
  <r>
    <d v="2013-06-06T00:00:00"/>
    <s v="016-2210-000"/>
    <s v="Liquor Sales"/>
    <n v="999.61849999999993"/>
    <n v="0"/>
    <s v="Daily Sales Import"/>
    <n v="-999.61849999999993"/>
    <n v="999.61849999999993"/>
    <x v="0"/>
    <s v="2210"/>
    <s v="000"/>
    <x v="8"/>
    <x v="2"/>
  </r>
  <r>
    <d v="2013-06-06T00:00:00"/>
    <s v="016-2220-000"/>
    <s v="Beer Sales"/>
    <n v="153.84330000000003"/>
    <n v="0"/>
    <s v="Daily Sales Import"/>
    <n v="-153.84330000000003"/>
    <n v="153.84330000000003"/>
    <x v="0"/>
    <s v="2220"/>
    <s v="000"/>
    <x v="8"/>
    <x v="2"/>
  </r>
  <r>
    <d v="2013-06-06T00:00:00"/>
    <s v="016-2230-000"/>
    <s v="Wine Sales"/>
    <n v="35.226199999999999"/>
    <n v="0"/>
    <s v="Daily Sales Import"/>
    <n v="-35.226199999999999"/>
    <n v="35.226199999999999"/>
    <x v="0"/>
    <s v="2230"/>
    <s v="000"/>
    <x v="8"/>
    <x v="2"/>
  </r>
  <r>
    <d v="2013-06-07T00:00:00"/>
    <s v="016-2100-000"/>
    <s v="Food Sales"/>
    <n v="3980.2092000000002"/>
    <n v="0"/>
    <s v="Daily Sales Import"/>
    <n v="-3980.2092000000002"/>
    <n v="3980.2092000000002"/>
    <x v="0"/>
    <s v="2100"/>
    <s v="000"/>
    <x v="8"/>
    <x v="2"/>
  </r>
  <r>
    <d v="2013-06-07T00:00:00"/>
    <s v="016-2210-000"/>
    <s v="Liquor Sales"/>
    <n v="1397.8156000000001"/>
    <n v="0"/>
    <s v="Daily Sales Import"/>
    <n v="-1397.8156000000001"/>
    <n v="1397.8156000000001"/>
    <x v="0"/>
    <s v="2210"/>
    <s v="000"/>
    <x v="8"/>
    <x v="2"/>
  </r>
  <r>
    <d v="2013-06-07T00:00:00"/>
    <s v="016-2220-000"/>
    <s v="Beer Sales"/>
    <n v="203.63249999999999"/>
    <n v="0"/>
    <s v="Daily Sales Import"/>
    <n v="-203.63249999999999"/>
    <n v="203.63249999999999"/>
    <x v="0"/>
    <s v="2220"/>
    <s v="000"/>
    <x v="8"/>
    <x v="2"/>
  </r>
  <r>
    <d v="2013-06-07T00:00:00"/>
    <s v="016-2230-000"/>
    <s v="Wine Sales"/>
    <n v="16.967099999999999"/>
    <n v="0"/>
    <s v="Daily Sales Import"/>
    <n v="-16.967099999999999"/>
    <n v="16.967099999999999"/>
    <x v="0"/>
    <s v="2230"/>
    <s v="000"/>
    <x v="8"/>
    <x v="2"/>
  </r>
  <r>
    <d v="2013-06-08T00:00:00"/>
    <s v="016-2100-000"/>
    <s v="Food Sales"/>
    <n v="7703.7632000000003"/>
    <n v="0"/>
    <s v="Daily Sales Import"/>
    <n v="-7703.7632000000003"/>
    <n v="7703.7632000000003"/>
    <x v="0"/>
    <s v="2100"/>
    <s v="000"/>
    <x v="8"/>
    <x v="2"/>
  </r>
  <r>
    <d v="2013-06-08T00:00:00"/>
    <s v="016-2210-000"/>
    <s v="Liquor Sales"/>
    <n v="3032.5329999999994"/>
    <n v="0"/>
    <s v="Daily Sales Import"/>
    <n v="-3032.5329999999994"/>
    <n v="3032.5329999999994"/>
    <x v="0"/>
    <s v="2210"/>
    <s v="000"/>
    <x v="8"/>
    <x v="2"/>
  </r>
  <r>
    <d v="2013-06-08T00:00:00"/>
    <s v="016-2220-000"/>
    <s v="Beer Sales"/>
    <n v="568.6146"/>
    <n v="0"/>
    <s v="Daily Sales Import"/>
    <n v="-568.6146"/>
    <n v="568.6146"/>
    <x v="0"/>
    <s v="2220"/>
    <s v="000"/>
    <x v="8"/>
    <x v="2"/>
  </r>
  <r>
    <d v="2013-06-08T00:00:00"/>
    <s v="016-2230-000"/>
    <s v="Wine Sales"/>
    <n v="155.06820000000002"/>
    <n v="0"/>
    <s v="Daily Sales Import"/>
    <n v="-155.06820000000002"/>
    <n v="155.06820000000002"/>
    <x v="0"/>
    <s v="2230"/>
    <s v="000"/>
    <x v="8"/>
    <x v="2"/>
  </r>
  <r>
    <d v="2013-06-09T00:00:00"/>
    <s v="016-2100-000"/>
    <s v="Food Sales"/>
    <n v="3807.0239999999999"/>
    <n v="0"/>
    <s v="Daily Sales Import"/>
    <n v="-3807.0239999999999"/>
    <n v="3807.0239999999999"/>
    <x v="0"/>
    <s v="2100"/>
    <s v="000"/>
    <x v="8"/>
    <x v="2"/>
  </r>
  <r>
    <d v="2013-06-09T00:00:00"/>
    <s v="016-2210-000"/>
    <s v="Liquor Sales"/>
    <n v="1406.86"/>
    <n v="0"/>
    <s v="Daily Sales Import"/>
    <n v="-1406.86"/>
    <n v="1406.86"/>
    <x v="0"/>
    <s v="2210"/>
    <s v="000"/>
    <x v="8"/>
    <x v="2"/>
  </r>
  <r>
    <d v="2013-06-09T00:00:00"/>
    <s v="016-2220-000"/>
    <s v="Beer Sales"/>
    <n v="201.57479999999998"/>
    <n v="0"/>
    <s v="Daily Sales Import"/>
    <n v="-201.57479999999998"/>
    <n v="201.57479999999998"/>
    <x v="0"/>
    <s v="2220"/>
    <s v="000"/>
    <x v="8"/>
    <x v="2"/>
  </r>
  <r>
    <d v="2013-06-09T00:00:00"/>
    <s v="016-2230-000"/>
    <s v="Wine Sales"/>
    <n v="117.33810000000001"/>
    <n v="0"/>
    <s v="Daily Sales Import"/>
    <n v="-117.33810000000001"/>
    <n v="117.33810000000001"/>
    <x v="0"/>
    <s v="2230"/>
    <s v="000"/>
    <x v="8"/>
    <x v="2"/>
  </r>
  <r>
    <d v="2013-06-03T00:00:00"/>
    <s v="017-2100-000"/>
    <s v="Food Sales"/>
    <n v="3401.7239999999997"/>
    <n v="0"/>
    <s v="Daily Sales Import"/>
    <n v="-3401.7239999999997"/>
    <n v="3401.7239999999997"/>
    <x v="1"/>
    <s v="2100"/>
    <s v="000"/>
    <x v="8"/>
    <x v="2"/>
  </r>
  <r>
    <d v="2013-06-03T00:00:00"/>
    <s v="017-2210-000"/>
    <s v="Liquor Sales"/>
    <n v="680.92769999999996"/>
    <n v="0"/>
    <s v="Daily Sales Import"/>
    <n v="-680.92769999999996"/>
    <n v="680.92769999999996"/>
    <x v="1"/>
    <s v="2210"/>
    <s v="000"/>
    <x v="8"/>
    <x v="2"/>
  </r>
  <r>
    <d v="2013-06-03T00:00:00"/>
    <s v="017-2220-000"/>
    <s v="Beer Sales"/>
    <n v="155.75319999999999"/>
    <n v="0"/>
    <s v="Daily Sales Import"/>
    <n v="-155.75319999999999"/>
    <n v="155.75319999999999"/>
    <x v="1"/>
    <s v="2220"/>
    <s v="000"/>
    <x v="8"/>
    <x v="2"/>
  </r>
  <r>
    <d v="2013-06-03T00:00:00"/>
    <s v="017-2230-000"/>
    <s v="Wine Sales"/>
    <n v="101.9738"/>
    <n v="0"/>
    <s v="Daily Sales Import"/>
    <n v="-101.9738"/>
    <n v="101.9738"/>
    <x v="1"/>
    <s v="2230"/>
    <s v="000"/>
    <x v="8"/>
    <x v="2"/>
  </r>
  <r>
    <d v="2013-06-04T00:00:00"/>
    <s v="017-2100-000"/>
    <s v="Food Sales"/>
    <n v="6615.2898999999998"/>
    <n v="0"/>
    <s v="Daily Sales Import"/>
    <n v="-6615.2898999999998"/>
    <n v="6615.2898999999998"/>
    <x v="1"/>
    <s v="2100"/>
    <s v="000"/>
    <x v="8"/>
    <x v="2"/>
  </r>
  <r>
    <d v="2013-06-04T00:00:00"/>
    <s v="017-2210-000"/>
    <s v="Liquor Sales"/>
    <n v="1211.9956999999999"/>
    <n v="0"/>
    <s v="Daily Sales Import"/>
    <n v="-1211.9956999999999"/>
    <n v="1211.9956999999999"/>
    <x v="1"/>
    <s v="2210"/>
    <s v="000"/>
    <x v="8"/>
    <x v="2"/>
  </r>
  <r>
    <d v="2013-06-04T00:00:00"/>
    <s v="017-2220-000"/>
    <s v="Beer Sales"/>
    <n v="539.1844000000001"/>
    <n v="0"/>
    <s v="Daily Sales Import"/>
    <n v="-539.1844000000001"/>
    <n v="539.1844000000001"/>
    <x v="1"/>
    <s v="2220"/>
    <s v="000"/>
    <x v="8"/>
    <x v="2"/>
  </r>
  <r>
    <d v="2013-06-04T00:00:00"/>
    <s v="017-2230-000"/>
    <s v="Wine Sales"/>
    <n v="178.29599999999999"/>
    <n v="0"/>
    <s v="Daily Sales Import"/>
    <n v="-178.29599999999999"/>
    <n v="178.29599999999999"/>
    <x v="1"/>
    <s v="2230"/>
    <s v="000"/>
    <x v="8"/>
    <x v="2"/>
  </r>
  <r>
    <d v="2013-06-05T00:00:00"/>
    <s v="017-2100-000"/>
    <s v="Food Sales"/>
    <n v="7303.4296000000004"/>
    <n v="0"/>
    <s v="Daily Sales Import"/>
    <n v="-7303.4296000000004"/>
    <n v="7303.4296000000004"/>
    <x v="1"/>
    <s v="2100"/>
    <s v="000"/>
    <x v="8"/>
    <x v="2"/>
  </r>
  <r>
    <d v="2013-06-05T00:00:00"/>
    <s v="017-2210-000"/>
    <s v="Liquor Sales"/>
    <n v="1299.3416"/>
    <n v="0"/>
    <s v="Daily Sales Import"/>
    <n v="-1299.3416"/>
    <n v="1299.3416"/>
    <x v="1"/>
    <s v="2210"/>
    <s v="000"/>
    <x v="8"/>
    <x v="2"/>
  </r>
  <r>
    <d v="2013-06-05T00:00:00"/>
    <s v="017-2220-000"/>
    <s v="Beer Sales"/>
    <n v="707.94950000000006"/>
    <n v="0"/>
    <s v="Daily Sales Import"/>
    <n v="-707.94950000000006"/>
    <n v="707.94950000000006"/>
    <x v="1"/>
    <s v="2220"/>
    <s v="000"/>
    <x v="8"/>
    <x v="2"/>
  </r>
  <r>
    <d v="2013-06-05T00:00:00"/>
    <s v="017-2230-000"/>
    <s v="Wine Sales"/>
    <n v="105.41760000000001"/>
    <n v="0"/>
    <s v="Daily Sales Import"/>
    <n v="-105.41760000000001"/>
    <n v="105.41760000000001"/>
    <x v="1"/>
    <s v="2230"/>
    <s v="000"/>
    <x v="8"/>
    <x v="2"/>
  </r>
  <r>
    <d v="2013-06-06T00:00:00"/>
    <s v="017-2100-000"/>
    <s v="Food Sales"/>
    <n v="5055.2172"/>
    <n v="0"/>
    <s v="Daily Sales Import"/>
    <n v="-5055.2172"/>
    <n v="5055.2172"/>
    <x v="1"/>
    <s v="2100"/>
    <s v="000"/>
    <x v="8"/>
    <x v="2"/>
  </r>
  <r>
    <d v="2013-06-06T00:00:00"/>
    <s v="017-2210-000"/>
    <s v="Liquor Sales"/>
    <n v="1602.6119999999999"/>
    <n v="0"/>
    <s v="Daily Sales Import"/>
    <n v="-1602.6119999999999"/>
    <n v="1602.6119999999999"/>
    <x v="1"/>
    <s v="2210"/>
    <s v="000"/>
    <x v="8"/>
    <x v="2"/>
  </r>
  <r>
    <d v="2013-06-06T00:00:00"/>
    <s v="017-2220-000"/>
    <s v="Beer Sales"/>
    <n v="261.86939999999998"/>
    <n v="0"/>
    <s v="Daily Sales Import"/>
    <n v="-261.86939999999998"/>
    <n v="261.86939999999998"/>
    <x v="1"/>
    <s v="2220"/>
    <s v="000"/>
    <x v="8"/>
    <x v="2"/>
  </r>
  <r>
    <d v="2013-06-06T00:00:00"/>
    <s v="017-2230-000"/>
    <s v="Wine Sales"/>
    <n v="219.55500000000001"/>
    <n v="0"/>
    <s v="Daily Sales Import"/>
    <n v="-219.55500000000001"/>
    <n v="219.55500000000001"/>
    <x v="1"/>
    <s v="2230"/>
    <s v="000"/>
    <x v="8"/>
    <x v="2"/>
  </r>
  <r>
    <d v="2013-06-07T00:00:00"/>
    <s v="017-2100-000"/>
    <s v="Food Sales"/>
    <n v="8940.6996999999992"/>
    <n v="0"/>
    <s v="Daily Sales Import"/>
    <n v="-8940.6996999999992"/>
    <n v="8940.6996999999992"/>
    <x v="1"/>
    <s v="2100"/>
    <s v="000"/>
    <x v="8"/>
    <x v="2"/>
  </r>
  <r>
    <d v="2013-06-07T00:00:00"/>
    <s v="017-2210-000"/>
    <s v="Liquor Sales"/>
    <n v="3246.0883000000003"/>
    <n v="0"/>
    <s v="Daily Sales Import"/>
    <n v="-3246.0883000000003"/>
    <n v="3246.0883000000003"/>
    <x v="1"/>
    <s v="2210"/>
    <s v="000"/>
    <x v="8"/>
    <x v="2"/>
  </r>
  <r>
    <d v="2013-06-07T00:00:00"/>
    <s v="017-2220-000"/>
    <s v="Beer Sales"/>
    <n v="451.47480000000002"/>
    <n v="0"/>
    <s v="Daily Sales Import"/>
    <n v="-451.47480000000002"/>
    <n v="451.47480000000002"/>
    <x v="1"/>
    <s v="2220"/>
    <s v="000"/>
    <x v="8"/>
    <x v="2"/>
  </r>
  <r>
    <d v="2013-06-07T00:00:00"/>
    <s v="017-2230-000"/>
    <s v="Wine Sales"/>
    <n v="99.212800000000016"/>
    <n v="0"/>
    <s v="Daily Sales Import"/>
    <n v="-99.212800000000016"/>
    <n v="99.212800000000016"/>
    <x v="1"/>
    <s v="2230"/>
    <s v="000"/>
    <x v="8"/>
    <x v="2"/>
  </r>
  <r>
    <d v="2013-06-08T00:00:00"/>
    <s v="017-2100-000"/>
    <s v="Food Sales"/>
    <n v="9695.9871999999996"/>
    <n v="0"/>
    <s v="Daily Sales Import"/>
    <n v="-9695.9871999999996"/>
    <n v="9695.9871999999996"/>
    <x v="1"/>
    <s v="2100"/>
    <s v="000"/>
    <x v="8"/>
    <x v="2"/>
  </r>
  <r>
    <d v="2013-06-08T00:00:00"/>
    <s v="017-2210-000"/>
    <s v="Liquor Sales"/>
    <n v="1852.0064000000002"/>
    <n v="0"/>
    <s v="Daily Sales Import"/>
    <n v="-1852.0064000000002"/>
    <n v="1852.0064000000002"/>
    <x v="1"/>
    <s v="2210"/>
    <s v="000"/>
    <x v="8"/>
    <x v="2"/>
  </r>
  <r>
    <d v="2013-06-08T00:00:00"/>
    <s v="017-2220-000"/>
    <s v="Beer Sales"/>
    <n v="330.02749999999997"/>
    <n v="0"/>
    <s v="Daily Sales Import"/>
    <n v="-330.02749999999997"/>
    <n v="330.02749999999997"/>
    <x v="1"/>
    <s v="2220"/>
    <s v="000"/>
    <x v="8"/>
    <x v="2"/>
  </r>
  <r>
    <d v="2013-06-08T00:00:00"/>
    <s v="017-2230-000"/>
    <s v="Wine Sales"/>
    <n v="16.979600000000001"/>
    <n v="0"/>
    <s v="Daily Sales Import"/>
    <n v="-16.979600000000001"/>
    <n v="16.979600000000001"/>
    <x v="1"/>
    <s v="2230"/>
    <s v="000"/>
    <x v="8"/>
    <x v="2"/>
  </r>
  <r>
    <d v="2013-06-09T00:00:00"/>
    <s v="017-2100-000"/>
    <s v="Food Sales"/>
    <n v="6668.4992000000002"/>
    <n v="0"/>
    <s v="Daily Sales Import"/>
    <n v="-6668.4992000000002"/>
    <n v="6668.4992000000002"/>
    <x v="1"/>
    <s v="2100"/>
    <s v="000"/>
    <x v="8"/>
    <x v="2"/>
  </r>
  <r>
    <d v="2013-06-09T00:00:00"/>
    <s v="017-2210-000"/>
    <s v="Liquor Sales"/>
    <n v="795.0302999999999"/>
    <n v="0"/>
    <s v="Daily Sales Import"/>
    <n v="-795.0302999999999"/>
    <n v="795.0302999999999"/>
    <x v="1"/>
    <s v="2210"/>
    <s v="000"/>
    <x v="8"/>
    <x v="2"/>
  </r>
  <r>
    <d v="2013-06-09T00:00:00"/>
    <s v="017-2220-000"/>
    <s v="Beer Sales"/>
    <n v="140.43120000000002"/>
    <n v="0"/>
    <s v="Daily Sales Import"/>
    <n v="-140.43120000000002"/>
    <n v="140.43120000000002"/>
    <x v="1"/>
    <s v="2220"/>
    <s v="000"/>
    <x v="8"/>
    <x v="2"/>
  </r>
  <r>
    <d v="2013-06-09T00:00:00"/>
    <s v="017-2230-000"/>
    <s v="Wine Sales"/>
    <n v="118.12230000000002"/>
    <n v="0"/>
    <s v="Daily Sales Import"/>
    <n v="-118.12230000000002"/>
    <n v="118.12230000000002"/>
    <x v="1"/>
    <s v="2230"/>
    <s v="000"/>
    <x v="8"/>
    <x v="2"/>
  </r>
  <r>
    <d v="2013-06-03T00:00:00"/>
    <s v="018-2100-000"/>
    <s v="Food Sales"/>
    <n v="4133.5411999999997"/>
    <n v="0"/>
    <s v="Daily Sales Import"/>
    <n v="-4133.5411999999997"/>
    <n v="4133.5411999999997"/>
    <x v="2"/>
    <s v="2100"/>
    <s v="000"/>
    <x v="8"/>
    <x v="2"/>
  </r>
  <r>
    <d v="2013-06-03T00:00:00"/>
    <s v="018-2210-000"/>
    <s v="Liquor Sales"/>
    <n v="565.69440000000009"/>
    <n v="0"/>
    <s v="Daily Sales Import"/>
    <n v="-565.69440000000009"/>
    <n v="565.69440000000009"/>
    <x v="2"/>
    <s v="2210"/>
    <s v="000"/>
    <x v="8"/>
    <x v="2"/>
  </r>
  <r>
    <d v="2013-06-03T00:00:00"/>
    <s v="018-2220-000"/>
    <s v="Beer Sales"/>
    <n v="81.575299999999999"/>
    <n v="0"/>
    <s v="Daily Sales Import"/>
    <n v="-81.575299999999999"/>
    <n v="81.575299999999999"/>
    <x v="2"/>
    <s v="2220"/>
    <s v="000"/>
    <x v="8"/>
    <x v="2"/>
  </r>
  <r>
    <d v="2013-06-03T00:00:00"/>
    <s v="018-2230-000"/>
    <s v="Wine Sales"/>
    <n v="27.027200000000001"/>
    <n v="0"/>
    <s v="Daily Sales Import"/>
    <n v="-27.027200000000001"/>
    <n v="27.027200000000001"/>
    <x v="2"/>
    <s v="2230"/>
    <s v="000"/>
    <x v="8"/>
    <x v="2"/>
  </r>
  <r>
    <d v="2013-06-04T00:00:00"/>
    <s v="018-2100-000"/>
    <s v="Food Sales"/>
    <n v="4940.3436000000002"/>
    <n v="0"/>
    <s v="Daily Sales Import"/>
    <n v="-4940.3436000000002"/>
    <n v="4940.3436000000002"/>
    <x v="2"/>
    <s v="2100"/>
    <s v="000"/>
    <x v="8"/>
    <x v="2"/>
  </r>
  <r>
    <d v="2013-06-04T00:00:00"/>
    <s v="018-2210-000"/>
    <s v="Liquor Sales"/>
    <n v="860.30010000000004"/>
    <n v="0"/>
    <s v="Daily Sales Import"/>
    <n v="-860.30010000000004"/>
    <n v="860.30010000000004"/>
    <x v="2"/>
    <s v="2210"/>
    <s v="000"/>
    <x v="8"/>
    <x v="2"/>
  </r>
  <r>
    <d v="2013-06-04T00:00:00"/>
    <s v="018-2220-000"/>
    <s v="Beer Sales"/>
    <n v="173.46359999999999"/>
    <n v="0"/>
    <s v="Daily Sales Import"/>
    <n v="-173.46359999999999"/>
    <n v="173.46359999999999"/>
    <x v="2"/>
    <s v="2220"/>
    <s v="000"/>
    <x v="8"/>
    <x v="2"/>
  </r>
  <r>
    <d v="2013-06-04T00:00:00"/>
    <s v="018-2230-000"/>
    <s v="Wine Sales"/>
    <n v="71.391599999999997"/>
    <n v="0"/>
    <s v="Daily Sales Import"/>
    <n v="-71.391599999999997"/>
    <n v="71.391599999999997"/>
    <x v="2"/>
    <s v="2230"/>
    <s v="000"/>
    <x v="8"/>
    <x v="2"/>
  </r>
  <r>
    <d v="2013-06-05T00:00:00"/>
    <s v="018-2100-000"/>
    <s v="Food Sales"/>
    <n v="7243.6588000000002"/>
    <n v="0"/>
    <s v="Daily Sales Import"/>
    <n v="-7243.6588000000002"/>
    <n v="7243.6588000000002"/>
    <x v="2"/>
    <s v="2100"/>
    <s v="000"/>
    <x v="8"/>
    <x v="2"/>
  </r>
  <r>
    <d v="2013-06-05T00:00:00"/>
    <s v="018-2210-000"/>
    <s v="Liquor Sales"/>
    <n v="752.7632000000001"/>
    <n v="0"/>
    <s v="Daily Sales Import"/>
    <n v="-752.7632000000001"/>
    <n v="752.7632000000001"/>
    <x v="2"/>
    <s v="2210"/>
    <s v="000"/>
    <x v="8"/>
    <x v="2"/>
  </r>
  <r>
    <d v="2013-06-05T00:00:00"/>
    <s v="018-2220-000"/>
    <s v="Beer Sales"/>
    <n v="224.38109999999998"/>
    <n v="0"/>
    <s v="Daily Sales Import"/>
    <n v="-224.38109999999998"/>
    <n v="224.38109999999998"/>
    <x v="2"/>
    <s v="2220"/>
    <s v="000"/>
    <x v="8"/>
    <x v="2"/>
  </r>
  <r>
    <d v="2013-06-05T00:00:00"/>
    <s v="018-2230-000"/>
    <s v="Wine Sales"/>
    <n v="81.070400000000006"/>
    <n v="0"/>
    <s v="Daily Sales Import"/>
    <n v="-81.070400000000006"/>
    <n v="81.070400000000006"/>
    <x v="2"/>
    <s v="2230"/>
    <s v="000"/>
    <x v="8"/>
    <x v="2"/>
  </r>
  <r>
    <d v="2013-06-06T00:00:00"/>
    <s v="018-2100-000"/>
    <s v="Food Sales"/>
    <n v="3030.4937"/>
    <n v="0"/>
    <s v="Daily Sales Import"/>
    <n v="-3030.4937"/>
    <n v="3030.4937"/>
    <x v="2"/>
    <s v="2100"/>
    <s v="000"/>
    <x v="8"/>
    <x v="2"/>
  </r>
  <r>
    <d v="2013-06-06T00:00:00"/>
    <s v="018-2210-000"/>
    <s v="Liquor Sales"/>
    <n v="530.63679999999999"/>
    <n v="0"/>
    <s v="Daily Sales Import"/>
    <n v="-530.63679999999999"/>
    <n v="530.63679999999999"/>
    <x v="2"/>
    <s v="2210"/>
    <s v="000"/>
    <x v="8"/>
    <x v="2"/>
  </r>
  <r>
    <d v="2013-06-06T00:00:00"/>
    <s v="018-2220-000"/>
    <s v="Beer Sales"/>
    <n v="146.95129999999997"/>
    <n v="0"/>
    <s v="Daily Sales Import"/>
    <n v="-146.95129999999997"/>
    <n v="146.95129999999997"/>
    <x v="2"/>
    <s v="2220"/>
    <s v="000"/>
    <x v="8"/>
    <x v="2"/>
  </r>
  <r>
    <d v="2013-06-06T00:00:00"/>
    <s v="018-2230-000"/>
    <s v="Wine Sales"/>
    <n v="9.8890000000000011"/>
    <n v="0"/>
    <s v="Daily Sales Import"/>
    <n v="-9.8890000000000011"/>
    <n v="9.8890000000000011"/>
    <x v="2"/>
    <s v="2230"/>
    <s v="000"/>
    <x v="8"/>
    <x v="2"/>
  </r>
  <r>
    <d v="2013-06-07T00:00:00"/>
    <s v="018-2100-000"/>
    <s v="Food Sales"/>
    <n v="9368.9652999999998"/>
    <n v="0"/>
    <s v="Daily Sales Import"/>
    <n v="-9368.9652999999998"/>
    <n v="9368.9652999999998"/>
    <x v="2"/>
    <s v="2100"/>
    <s v="000"/>
    <x v="8"/>
    <x v="2"/>
  </r>
  <r>
    <d v="2013-06-07T00:00:00"/>
    <s v="018-2210-000"/>
    <s v="Liquor Sales"/>
    <n v="1729.6713000000002"/>
    <n v="0"/>
    <s v="Daily Sales Import"/>
    <n v="-1729.6713000000002"/>
    <n v="1729.6713000000002"/>
    <x v="2"/>
    <s v="2210"/>
    <s v="000"/>
    <x v="8"/>
    <x v="2"/>
  </r>
  <r>
    <d v="2013-06-07T00:00:00"/>
    <s v="018-2220-000"/>
    <s v="Beer Sales"/>
    <n v="480.63"/>
    <n v="0"/>
    <s v="Daily Sales Import"/>
    <n v="-480.63"/>
    <n v="480.63"/>
    <x v="2"/>
    <s v="2220"/>
    <s v="000"/>
    <x v="8"/>
    <x v="2"/>
  </r>
  <r>
    <d v="2013-06-07T00:00:00"/>
    <s v="018-2230-000"/>
    <s v="Wine Sales"/>
    <n v="61.715500000000006"/>
    <n v="0"/>
    <s v="Daily Sales Import"/>
    <n v="-61.715500000000006"/>
    <n v="61.715500000000006"/>
    <x v="2"/>
    <s v="2230"/>
    <s v="000"/>
    <x v="8"/>
    <x v="2"/>
  </r>
  <r>
    <d v="2013-06-08T00:00:00"/>
    <s v="018-2100-000"/>
    <s v="Food Sales"/>
    <n v="16411.78"/>
    <n v="0"/>
    <s v="Daily Sales Import"/>
    <n v="-16411.78"/>
    <n v="16411.78"/>
    <x v="2"/>
    <s v="2100"/>
    <s v="000"/>
    <x v="8"/>
    <x v="2"/>
  </r>
  <r>
    <d v="2013-06-08T00:00:00"/>
    <s v="018-2210-000"/>
    <s v="Liquor Sales"/>
    <n v="3146.3738999999996"/>
    <n v="0"/>
    <s v="Daily Sales Import"/>
    <n v="-3146.3738999999996"/>
    <n v="3146.3738999999996"/>
    <x v="2"/>
    <s v="2210"/>
    <s v="000"/>
    <x v="8"/>
    <x v="2"/>
  </r>
  <r>
    <d v="2013-06-08T00:00:00"/>
    <s v="018-2220-000"/>
    <s v="Beer Sales"/>
    <n v="1141.92"/>
    <n v="0"/>
    <s v="Daily Sales Import"/>
    <n v="-1141.92"/>
    <n v="1141.92"/>
    <x v="2"/>
    <s v="2220"/>
    <s v="000"/>
    <x v="8"/>
    <x v="2"/>
  </r>
  <r>
    <d v="2013-06-08T00:00:00"/>
    <s v="018-2230-000"/>
    <s v="Wine Sales"/>
    <n v="180.6344"/>
    <n v="0"/>
    <s v="Daily Sales Import"/>
    <n v="-180.6344"/>
    <n v="180.6344"/>
    <x v="2"/>
    <s v="2230"/>
    <s v="000"/>
    <x v="8"/>
    <x v="2"/>
  </r>
  <r>
    <d v="2013-06-09T00:00:00"/>
    <s v="018-2100-000"/>
    <s v="Food Sales"/>
    <n v="7985.9844000000003"/>
    <n v="0"/>
    <s v="Daily Sales Import"/>
    <n v="-7985.9844000000003"/>
    <n v="7985.9844000000003"/>
    <x v="2"/>
    <s v="2100"/>
    <s v="000"/>
    <x v="8"/>
    <x v="2"/>
  </r>
  <r>
    <d v="2013-06-09T00:00:00"/>
    <s v="018-2210-000"/>
    <s v="Liquor Sales"/>
    <n v="1131.6419999999998"/>
    <n v="0"/>
    <s v="Daily Sales Import"/>
    <n v="-1131.6419999999998"/>
    <n v="1131.6419999999998"/>
    <x v="2"/>
    <s v="2210"/>
    <s v="000"/>
    <x v="8"/>
    <x v="2"/>
  </r>
  <r>
    <d v="2013-06-09T00:00:00"/>
    <s v="018-2220-000"/>
    <s v="Beer Sales"/>
    <n v="456.98599999999993"/>
    <n v="0"/>
    <s v="Daily Sales Import"/>
    <n v="-456.98599999999993"/>
    <n v="456.98599999999993"/>
    <x v="2"/>
    <s v="2220"/>
    <s v="000"/>
    <x v="8"/>
    <x v="2"/>
  </r>
  <r>
    <d v="2013-06-09T00:00:00"/>
    <s v="018-2230-000"/>
    <s v="Wine Sales"/>
    <n v="28.8855"/>
    <n v="0"/>
    <s v="Daily Sales Import"/>
    <n v="-28.8855"/>
    <n v="28.8855"/>
    <x v="2"/>
    <s v="2230"/>
    <s v="000"/>
    <x v="8"/>
    <x v="2"/>
  </r>
  <r>
    <d v="2013-06-10T00:00:00"/>
    <s v="016-2100-000"/>
    <s v="Food Sales"/>
    <n v="1948.4605000000001"/>
    <n v="0"/>
    <s v="Daily Sales Import"/>
    <n v="-1948.4605000000001"/>
    <n v="1948.4605000000001"/>
    <x v="0"/>
    <s v="2100"/>
    <s v="000"/>
    <x v="8"/>
    <x v="2"/>
  </r>
  <r>
    <d v="2013-06-10T00:00:00"/>
    <s v="016-2210-000"/>
    <s v="Liquor Sales"/>
    <n v="676.70680000000004"/>
    <n v="0"/>
    <s v="Daily Sales Import"/>
    <n v="-676.70680000000004"/>
    <n v="676.70680000000004"/>
    <x v="0"/>
    <s v="2210"/>
    <s v="000"/>
    <x v="8"/>
    <x v="2"/>
  </r>
  <r>
    <d v="2013-06-10T00:00:00"/>
    <s v="016-2220-000"/>
    <s v="Beer Sales"/>
    <n v="159.80840000000001"/>
    <n v="0"/>
    <s v="Daily Sales Import"/>
    <n v="-159.80840000000001"/>
    <n v="159.80840000000001"/>
    <x v="0"/>
    <s v="2220"/>
    <s v="000"/>
    <x v="8"/>
    <x v="2"/>
  </r>
  <r>
    <d v="2013-06-10T00:00:00"/>
    <s v="016-2230-000"/>
    <s v="Wine Sales"/>
    <n v="32.340000000000003"/>
    <n v="0"/>
    <s v="Daily Sales Import"/>
    <n v="-32.340000000000003"/>
    <n v="32.340000000000003"/>
    <x v="0"/>
    <s v="2230"/>
    <s v="000"/>
    <x v="8"/>
    <x v="2"/>
  </r>
  <r>
    <d v="2013-06-11T00:00:00"/>
    <s v="016-2100-000"/>
    <s v="Food Sales"/>
    <n v="6312.9924000000001"/>
    <n v="0"/>
    <s v="Daily Sales Import"/>
    <n v="-6312.9924000000001"/>
    <n v="6312.9924000000001"/>
    <x v="0"/>
    <s v="2100"/>
    <s v="000"/>
    <x v="8"/>
    <x v="2"/>
  </r>
  <r>
    <d v="2013-06-11T00:00:00"/>
    <s v="016-2210-000"/>
    <s v="Liquor Sales"/>
    <n v="1671.3686"/>
    <n v="0"/>
    <s v="Daily Sales Import"/>
    <n v="-1671.3686"/>
    <n v="1671.3686"/>
    <x v="0"/>
    <s v="2210"/>
    <s v="000"/>
    <x v="8"/>
    <x v="2"/>
  </r>
  <r>
    <d v="2013-06-11T00:00:00"/>
    <s v="016-2220-000"/>
    <s v="Beer Sales"/>
    <n v="710.06599999999992"/>
    <n v="0"/>
    <s v="Daily Sales Import"/>
    <n v="-710.06599999999992"/>
    <n v="710.06599999999992"/>
    <x v="0"/>
    <s v="2220"/>
    <s v="000"/>
    <x v="8"/>
    <x v="2"/>
  </r>
  <r>
    <d v="2013-06-11T00:00:00"/>
    <s v="016-2230-000"/>
    <s v="Wine Sales"/>
    <n v="102.04810000000001"/>
    <n v="0"/>
    <s v="Daily Sales Import"/>
    <n v="-102.04810000000001"/>
    <n v="102.04810000000001"/>
    <x v="0"/>
    <s v="2230"/>
    <s v="000"/>
    <x v="8"/>
    <x v="2"/>
  </r>
  <r>
    <d v="2013-06-12T00:00:00"/>
    <s v="016-2100-000"/>
    <s v="Food Sales"/>
    <n v="2112.2592"/>
    <n v="0"/>
    <s v="Daily Sales Import"/>
    <n v="-2112.2592"/>
    <n v="2112.2592"/>
    <x v="0"/>
    <s v="2100"/>
    <s v="000"/>
    <x v="8"/>
    <x v="2"/>
  </r>
  <r>
    <d v="2013-06-12T00:00:00"/>
    <s v="016-2210-000"/>
    <s v="Liquor Sales"/>
    <n v="915.25620000000004"/>
    <n v="0"/>
    <s v="Daily Sales Import"/>
    <n v="-915.25620000000004"/>
    <n v="915.25620000000004"/>
    <x v="0"/>
    <s v="2210"/>
    <s v="000"/>
    <x v="8"/>
    <x v="2"/>
  </r>
  <r>
    <d v="2013-06-12T00:00:00"/>
    <s v="016-2220-000"/>
    <s v="Beer Sales"/>
    <n v="603.28399999999999"/>
    <n v="0"/>
    <s v="Daily Sales Import"/>
    <n v="-603.28399999999999"/>
    <n v="603.28399999999999"/>
    <x v="0"/>
    <s v="2220"/>
    <s v="000"/>
    <x v="8"/>
    <x v="2"/>
  </r>
  <r>
    <d v="2013-06-12T00:00:00"/>
    <s v="016-2230-000"/>
    <s v="Wine Sales"/>
    <n v="72.624000000000009"/>
    <n v="0"/>
    <s v="Daily Sales Import"/>
    <n v="-72.624000000000009"/>
    <n v="72.624000000000009"/>
    <x v="0"/>
    <s v="2230"/>
    <s v="000"/>
    <x v="8"/>
    <x v="2"/>
  </r>
  <r>
    <d v="2013-06-13T00:00:00"/>
    <s v="016-2100-000"/>
    <s v="Food Sales"/>
    <n v="2733.3208000000004"/>
    <n v="0"/>
    <s v="Daily Sales Import"/>
    <n v="-2733.3208000000004"/>
    <n v="2733.3208000000004"/>
    <x v="0"/>
    <s v="2100"/>
    <s v="000"/>
    <x v="8"/>
    <x v="2"/>
  </r>
  <r>
    <d v="2013-06-13T00:00:00"/>
    <s v="016-2210-000"/>
    <s v="Liquor Sales"/>
    <n v="982.74219999999991"/>
    <n v="0"/>
    <s v="Daily Sales Import"/>
    <n v="-982.74219999999991"/>
    <n v="982.74219999999991"/>
    <x v="0"/>
    <s v="2210"/>
    <s v="000"/>
    <x v="8"/>
    <x v="2"/>
  </r>
  <r>
    <d v="2013-06-13T00:00:00"/>
    <s v="016-2220-000"/>
    <s v="Beer Sales"/>
    <n v="145.53700000000001"/>
    <n v="0"/>
    <s v="Daily Sales Import"/>
    <n v="-145.53700000000001"/>
    <n v="145.53700000000001"/>
    <x v="0"/>
    <s v="2220"/>
    <s v="000"/>
    <x v="8"/>
    <x v="2"/>
  </r>
  <r>
    <d v="2013-06-13T00:00:00"/>
    <s v="016-2230-000"/>
    <s v="Wine Sales"/>
    <n v="64.279800000000009"/>
    <n v="0"/>
    <s v="Daily Sales Import"/>
    <n v="-64.279800000000009"/>
    <n v="64.279800000000009"/>
    <x v="0"/>
    <s v="2230"/>
    <s v="000"/>
    <x v="8"/>
    <x v="2"/>
  </r>
  <r>
    <d v="2013-06-14T00:00:00"/>
    <s v="016-2100-000"/>
    <s v="Food Sales"/>
    <n v="5083.1402999999991"/>
    <n v="0"/>
    <s v="Daily Sales Import"/>
    <n v="-5083.1402999999991"/>
    <n v="5083.1402999999991"/>
    <x v="0"/>
    <s v="2100"/>
    <s v="000"/>
    <x v="8"/>
    <x v="2"/>
  </r>
  <r>
    <d v="2013-06-14T00:00:00"/>
    <s v="016-2210-000"/>
    <s v="Liquor Sales"/>
    <n v="1474.2953999999997"/>
    <n v="0"/>
    <s v="Daily Sales Import"/>
    <n v="-1474.2953999999997"/>
    <n v="1474.2953999999997"/>
    <x v="0"/>
    <s v="2210"/>
    <s v="000"/>
    <x v="8"/>
    <x v="2"/>
  </r>
  <r>
    <d v="2013-06-14T00:00:00"/>
    <s v="016-2220-000"/>
    <s v="Beer Sales"/>
    <n v="327.05419999999998"/>
    <n v="0"/>
    <s v="Daily Sales Import"/>
    <n v="-327.05419999999998"/>
    <n v="327.05419999999998"/>
    <x v="0"/>
    <s v="2220"/>
    <s v="000"/>
    <x v="8"/>
    <x v="2"/>
  </r>
  <r>
    <d v="2013-06-14T00:00:00"/>
    <s v="016-2230-000"/>
    <s v="Wine Sales"/>
    <n v="121.30559999999998"/>
    <n v="0"/>
    <s v="Daily Sales Import"/>
    <n v="-121.30559999999998"/>
    <n v="121.30559999999998"/>
    <x v="0"/>
    <s v="2230"/>
    <s v="000"/>
    <x v="8"/>
    <x v="2"/>
  </r>
  <r>
    <d v="2013-06-15T00:00:00"/>
    <s v="016-2100-000"/>
    <s v="Food Sales"/>
    <n v="8505.2268000000004"/>
    <n v="0"/>
    <s v="Daily Sales Import"/>
    <n v="-8505.2268000000004"/>
    <n v="8505.2268000000004"/>
    <x v="0"/>
    <s v="2100"/>
    <s v="000"/>
    <x v="8"/>
    <x v="2"/>
  </r>
  <r>
    <d v="2013-06-15T00:00:00"/>
    <s v="016-2210-000"/>
    <s v="Liquor Sales"/>
    <n v="1726.9771999999998"/>
    <n v="0"/>
    <s v="Daily Sales Import"/>
    <n v="-1726.9771999999998"/>
    <n v="1726.9771999999998"/>
    <x v="0"/>
    <s v="2210"/>
    <s v="000"/>
    <x v="8"/>
    <x v="2"/>
  </r>
  <r>
    <d v="2013-06-15T00:00:00"/>
    <s v="016-2220-000"/>
    <s v="Beer Sales"/>
    <n v="469.28809999999999"/>
    <n v="0"/>
    <s v="Daily Sales Import"/>
    <n v="-469.28809999999999"/>
    <n v="469.28809999999999"/>
    <x v="0"/>
    <s v="2220"/>
    <s v="000"/>
    <x v="8"/>
    <x v="2"/>
  </r>
  <r>
    <d v="2013-06-15T00:00:00"/>
    <s v="016-2230-000"/>
    <s v="Wine Sales"/>
    <n v="164.13120000000001"/>
    <n v="0"/>
    <s v="Daily Sales Import"/>
    <n v="-164.13120000000001"/>
    <n v="164.13120000000001"/>
    <x v="0"/>
    <s v="2230"/>
    <s v="000"/>
    <x v="8"/>
    <x v="2"/>
  </r>
  <r>
    <d v="2013-06-16T00:00:00"/>
    <s v="016-2100-000"/>
    <s v="Food Sales"/>
    <n v="8916.1514999999999"/>
    <n v="0"/>
    <s v="Daily Sales Import"/>
    <n v="-8916.1514999999999"/>
    <n v="8916.1514999999999"/>
    <x v="0"/>
    <s v="2100"/>
    <s v="000"/>
    <x v="8"/>
    <x v="2"/>
  </r>
  <r>
    <d v="2013-06-16T00:00:00"/>
    <s v="016-2210-000"/>
    <s v="Liquor Sales"/>
    <n v="1994.4743000000001"/>
    <n v="0"/>
    <s v="Daily Sales Import"/>
    <n v="-1994.4743000000001"/>
    <n v="1994.4743000000001"/>
    <x v="0"/>
    <s v="2210"/>
    <s v="000"/>
    <x v="8"/>
    <x v="2"/>
  </r>
  <r>
    <d v="2013-06-16T00:00:00"/>
    <s v="016-2220-000"/>
    <s v="Beer Sales"/>
    <n v="413.54640000000001"/>
    <n v="0"/>
    <s v="Daily Sales Import"/>
    <n v="-413.54640000000001"/>
    <n v="413.54640000000001"/>
    <x v="0"/>
    <s v="2220"/>
    <s v="000"/>
    <x v="8"/>
    <x v="2"/>
  </r>
  <r>
    <d v="2013-06-16T00:00:00"/>
    <s v="016-2230-000"/>
    <s v="Wine Sales"/>
    <n v="84.090500000000006"/>
    <n v="0"/>
    <s v="Daily Sales Import"/>
    <n v="-84.090500000000006"/>
    <n v="84.090500000000006"/>
    <x v="0"/>
    <s v="2230"/>
    <s v="000"/>
    <x v="8"/>
    <x v="2"/>
  </r>
  <r>
    <d v="2013-06-10T00:00:00"/>
    <s v="017-2100-000"/>
    <s v="Food Sales"/>
    <n v="3640.0774000000001"/>
    <n v="0"/>
    <s v="Daily Sales Import"/>
    <n v="-3640.0774000000001"/>
    <n v="3640.0774000000001"/>
    <x v="1"/>
    <s v="2100"/>
    <s v="000"/>
    <x v="8"/>
    <x v="2"/>
  </r>
  <r>
    <d v="2013-06-10T00:00:00"/>
    <s v="017-2210-000"/>
    <s v="Liquor Sales"/>
    <n v="759.86820000000012"/>
    <n v="0"/>
    <s v="Daily Sales Import"/>
    <n v="-759.86820000000012"/>
    <n v="759.86820000000012"/>
    <x v="1"/>
    <s v="2210"/>
    <s v="000"/>
    <x v="8"/>
    <x v="2"/>
  </r>
  <r>
    <d v="2013-06-10T00:00:00"/>
    <s v="017-2220-000"/>
    <s v="Beer Sales"/>
    <n v="209.51339999999999"/>
    <n v="0"/>
    <s v="Daily Sales Import"/>
    <n v="-209.51339999999999"/>
    <n v="209.51339999999999"/>
    <x v="1"/>
    <s v="2220"/>
    <s v="000"/>
    <x v="8"/>
    <x v="2"/>
  </r>
  <r>
    <d v="2013-06-10T00:00:00"/>
    <s v="017-2230-000"/>
    <s v="Wine Sales"/>
    <n v="73.3536"/>
    <n v="0"/>
    <s v="Daily Sales Import"/>
    <n v="-73.3536"/>
    <n v="73.3536"/>
    <x v="1"/>
    <s v="2230"/>
    <s v="000"/>
    <x v="8"/>
    <x v="2"/>
  </r>
  <r>
    <d v="2013-06-11T00:00:00"/>
    <s v="017-2100-000"/>
    <s v="Food Sales"/>
    <n v="6597.7631999999994"/>
    <n v="0"/>
    <s v="Daily Sales Import"/>
    <n v="-6597.7631999999994"/>
    <n v="6597.7631999999994"/>
    <x v="1"/>
    <s v="2100"/>
    <s v="000"/>
    <x v="8"/>
    <x v="2"/>
  </r>
  <r>
    <d v="2013-06-11T00:00:00"/>
    <s v="017-2210-000"/>
    <s v="Liquor Sales"/>
    <n v="1365.8792000000003"/>
    <n v="0"/>
    <s v="Daily Sales Import"/>
    <n v="-1365.8792000000003"/>
    <n v="1365.8792000000003"/>
    <x v="1"/>
    <s v="2210"/>
    <s v="000"/>
    <x v="8"/>
    <x v="2"/>
  </r>
  <r>
    <d v="2013-06-11T00:00:00"/>
    <s v="017-2220-000"/>
    <s v="Beer Sales"/>
    <n v="813.26249999999993"/>
    <n v="0"/>
    <s v="Daily Sales Import"/>
    <n v="-813.26249999999993"/>
    <n v="813.26249999999993"/>
    <x v="1"/>
    <s v="2220"/>
    <s v="000"/>
    <x v="8"/>
    <x v="2"/>
  </r>
  <r>
    <d v="2013-06-11T00:00:00"/>
    <s v="017-2230-000"/>
    <s v="Wine Sales"/>
    <n v="98.951999999999984"/>
    <n v="0"/>
    <s v="Daily Sales Import"/>
    <n v="-98.951999999999984"/>
    <n v="98.951999999999984"/>
    <x v="1"/>
    <s v="2230"/>
    <s v="000"/>
    <x v="8"/>
    <x v="2"/>
  </r>
  <r>
    <d v="2013-06-12T00:00:00"/>
    <s v="017-2100-000"/>
    <s v="Food Sales"/>
    <n v="7134.5039999999999"/>
    <n v="0"/>
    <s v="Daily Sales Import"/>
    <n v="-7134.5039999999999"/>
    <n v="7134.5039999999999"/>
    <x v="1"/>
    <s v="2100"/>
    <s v="000"/>
    <x v="8"/>
    <x v="2"/>
  </r>
  <r>
    <d v="2013-06-12T00:00:00"/>
    <s v="017-2210-000"/>
    <s v="Liquor Sales"/>
    <n v="1999.8498"/>
    <n v="0"/>
    <s v="Daily Sales Import"/>
    <n v="-1999.8498"/>
    <n v="1999.8498"/>
    <x v="1"/>
    <s v="2210"/>
    <s v="000"/>
    <x v="8"/>
    <x v="2"/>
  </r>
  <r>
    <d v="2013-06-12T00:00:00"/>
    <s v="017-2220-000"/>
    <s v="Beer Sales"/>
    <n v="435.98559999999998"/>
    <n v="0"/>
    <s v="Daily Sales Import"/>
    <n v="-435.98559999999998"/>
    <n v="435.98559999999998"/>
    <x v="1"/>
    <s v="2220"/>
    <s v="000"/>
    <x v="8"/>
    <x v="2"/>
  </r>
  <r>
    <d v="2013-06-12T00:00:00"/>
    <s v="017-2230-000"/>
    <s v="Wine Sales"/>
    <n v="121.91550000000001"/>
    <n v="0"/>
    <s v="Daily Sales Import"/>
    <n v="-121.91550000000001"/>
    <n v="121.91550000000001"/>
    <x v="1"/>
    <s v="2230"/>
    <s v="000"/>
    <x v="8"/>
    <x v="2"/>
  </r>
  <r>
    <d v="2013-06-13T00:00:00"/>
    <s v="017-2100-000"/>
    <s v="Food Sales"/>
    <n v="6434.2200999999995"/>
    <n v="0"/>
    <s v="Daily Sales Import"/>
    <n v="-6434.2200999999995"/>
    <n v="6434.2200999999995"/>
    <x v="1"/>
    <s v="2100"/>
    <s v="000"/>
    <x v="8"/>
    <x v="2"/>
  </r>
  <r>
    <d v="2013-06-13T00:00:00"/>
    <s v="017-2210-000"/>
    <s v="Liquor Sales"/>
    <n v="1787.9740000000002"/>
    <n v="0"/>
    <s v="Daily Sales Import"/>
    <n v="-1787.9740000000002"/>
    <n v="1787.9740000000002"/>
    <x v="1"/>
    <s v="2210"/>
    <s v="000"/>
    <x v="8"/>
    <x v="2"/>
  </r>
  <r>
    <d v="2013-06-13T00:00:00"/>
    <s v="017-2220-000"/>
    <s v="Beer Sales"/>
    <n v="911.79099999999994"/>
    <n v="0"/>
    <s v="Daily Sales Import"/>
    <n v="-911.79099999999994"/>
    <n v="911.79099999999994"/>
    <x v="1"/>
    <s v="2220"/>
    <s v="000"/>
    <x v="8"/>
    <x v="2"/>
  </r>
  <r>
    <d v="2013-06-13T00:00:00"/>
    <s v="017-2230-000"/>
    <s v="Wine Sales"/>
    <n v="195.9975"/>
    <n v="0"/>
    <s v="Daily Sales Import"/>
    <n v="-195.9975"/>
    <n v="195.9975"/>
    <x v="1"/>
    <s v="2230"/>
    <s v="000"/>
    <x v="8"/>
    <x v="2"/>
  </r>
  <r>
    <d v="2013-06-14T00:00:00"/>
    <s v="017-2100-000"/>
    <s v="Food Sales"/>
    <n v="10623.740399999999"/>
    <n v="0"/>
    <s v="Daily Sales Import"/>
    <n v="-10623.740399999999"/>
    <n v="10623.740399999999"/>
    <x v="1"/>
    <s v="2100"/>
    <s v="000"/>
    <x v="8"/>
    <x v="2"/>
  </r>
  <r>
    <d v="2013-06-14T00:00:00"/>
    <s v="017-2210-000"/>
    <s v="Liquor Sales"/>
    <n v="3094.0914000000002"/>
    <n v="0"/>
    <s v="Daily Sales Import"/>
    <n v="-3094.0914000000002"/>
    <n v="3094.0914000000002"/>
    <x v="1"/>
    <s v="2210"/>
    <s v="000"/>
    <x v="8"/>
    <x v="2"/>
  </r>
  <r>
    <d v="2013-06-14T00:00:00"/>
    <s v="017-2220-000"/>
    <s v="Beer Sales"/>
    <n v="435.65099999999995"/>
    <n v="0"/>
    <s v="Daily Sales Import"/>
    <n v="-435.65099999999995"/>
    <n v="435.65099999999995"/>
    <x v="1"/>
    <s v="2220"/>
    <s v="000"/>
    <x v="8"/>
    <x v="2"/>
  </r>
  <r>
    <d v="2013-06-14T00:00:00"/>
    <s v="017-2230-000"/>
    <s v="Wine Sales"/>
    <n v="154.32419999999999"/>
    <n v="0"/>
    <s v="Daily Sales Import"/>
    <n v="-154.32419999999999"/>
    <n v="154.32419999999999"/>
    <x v="1"/>
    <s v="2230"/>
    <s v="000"/>
    <x v="8"/>
    <x v="2"/>
  </r>
  <r>
    <d v="2013-06-15T00:00:00"/>
    <s v="017-2100-000"/>
    <s v="Food Sales"/>
    <n v="7470.5990000000002"/>
    <n v="0"/>
    <s v="Daily Sales Import"/>
    <n v="-7470.5990000000002"/>
    <n v="7470.5990000000002"/>
    <x v="1"/>
    <s v="2100"/>
    <s v="000"/>
    <x v="8"/>
    <x v="2"/>
  </r>
  <r>
    <d v="2013-06-15T00:00:00"/>
    <s v="017-2210-000"/>
    <s v="Liquor Sales"/>
    <n v="1925.182"/>
    <n v="0"/>
    <s v="Daily Sales Import"/>
    <n v="-1925.182"/>
    <n v="1925.182"/>
    <x v="1"/>
    <s v="2210"/>
    <s v="000"/>
    <x v="8"/>
    <x v="2"/>
  </r>
  <r>
    <d v="2013-06-15T00:00:00"/>
    <s v="017-2220-000"/>
    <s v="Beer Sales"/>
    <n v="375.30599999999998"/>
    <n v="0"/>
    <s v="Daily Sales Import"/>
    <n v="-375.30599999999998"/>
    <n v="375.30599999999998"/>
    <x v="1"/>
    <s v="2220"/>
    <s v="000"/>
    <x v="8"/>
    <x v="2"/>
  </r>
  <r>
    <d v="2013-06-15T00:00:00"/>
    <s v="017-2230-000"/>
    <s v="Wine Sales"/>
    <n v="47.374200000000002"/>
    <n v="0"/>
    <s v="Daily Sales Import"/>
    <n v="-47.374200000000002"/>
    <n v="47.374200000000002"/>
    <x v="1"/>
    <s v="2230"/>
    <s v="000"/>
    <x v="8"/>
    <x v="2"/>
  </r>
  <r>
    <d v="2013-06-16T00:00:00"/>
    <s v="017-2100-000"/>
    <s v="Food Sales"/>
    <n v="7356.3074999999999"/>
    <n v="0"/>
    <s v="Daily Sales Import"/>
    <n v="-7356.3074999999999"/>
    <n v="7356.3074999999999"/>
    <x v="1"/>
    <s v="2100"/>
    <s v="000"/>
    <x v="8"/>
    <x v="2"/>
  </r>
  <r>
    <d v="2013-06-16T00:00:00"/>
    <s v="017-2210-000"/>
    <s v="Liquor Sales"/>
    <n v="1149.4079999999999"/>
    <n v="0"/>
    <s v="Daily Sales Import"/>
    <n v="-1149.4079999999999"/>
    <n v="1149.4079999999999"/>
    <x v="1"/>
    <s v="2210"/>
    <s v="000"/>
    <x v="8"/>
    <x v="2"/>
  </r>
  <r>
    <d v="2013-06-16T00:00:00"/>
    <s v="017-2220-000"/>
    <s v="Beer Sales"/>
    <n v="245.79720000000003"/>
    <n v="0"/>
    <s v="Daily Sales Import"/>
    <n v="-245.79720000000003"/>
    <n v="245.79720000000003"/>
    <x v="1"/>
    <s v="2220"/>
    <s v="000"/>
    <x v="8"/>
    <x v="2"/>
  </r>
  <r>
    <d v="2013-06-16T00:00:00"/>
    <s v="017-2230-000"/>
    <s v="Wine Sales"/>
    <n v="61.164300000000004"/>
    <n v="0"/>
    <s v="Daily Sales Import"/>
    <n v="-61.164300000000004"/>
    <n v="61.164300000000004"/>
    <x v="1"/>
    <s v="2230"/>
    <s v="000"/>
    <x v="8"/>
    <x v="2"/>
  </r>
  <r>
    <d v="2013-06-10T00:00:00"/>
    <s v="018-2100-000"/>
    <s v="Food Sales"/>
    <n v="3488.3029999999999"/>
    <n v="0"/>
    <s v="Daily Sales Import"/>
    <n v="-3488.3029999999999"/>
    <n v="3488.3029999999999"/>
    <x v="2"/>
    <s v="2100"/>
    <s v="000"/>
    <x v="8"/>
    <x v="2"/>
  </r>
  <r>
    <d v="2013-06-10T00:00:00"/>
    <s v="018-2210-000"/>
    <s v="Liquor Sales"/>
    <n v="851.72270000000015"/>
    <n v="0"/>
    <s v="Daily Sales Import"/>
    <n v="-851.72270000000015"/>
    <n v="851.72270000000015"/>
    <x v="2"/>
    <s v="2210"/>
    <s v="000"/>
    <x v="8"/>
    <x v="2"/>
  </r>
  <r>
    <d v="2013-06-10T00:00:00"/>
    <s v="018-2220-000"/>
    <s v="Beer Sales"/>
    <n v="92.624000000000009"/>
    <n v="0"/>
    <s v="Daily Sales Import"/>
    <n v="-92.624000000000009"/>
    <n v="92.624000000000009"/>
    <x v="2"/>
    <s v="2220"/>
    <s v="000"/>
    <x v="8"/>
    <x v="2"/>
  </r>
  <r>
    <d v="2013-06-10T00:00:00"/>
    <s v="018-2230-000"/>
    <s v="Wine Sales"/>
    <n v="10.458299999999999"/>
    <n v="0"/>
    <s v="Daily Sales Import"/>
    <n v="-10.458299999999999"/>
    <n v="10.458299999999999"/>
    <x v="2"/>
    <s v="2230"/>
    <s v="000"/>
    <x v="8"/>
    <x v="2"/>
  </r>
  <r>
    <d v="2013-06-11T00:00:00"/>
    <s v="018-2100-000"/>
    <s v="Food Sales"/>
    <n v="4595.4276"/>
    <n v="0"/>
    <s v="Daily Sales Import"/>
    <n v="-4595.4276"/>
    <n v="4595.4276"/>
    <x v="2"/>
    <s v="2100"/>
    <s v="000"/>
    <x v="8"/>
    <x v="2"/>
  </r>
  <r>
    <d v="2013-06-11T00:00:00"/>
    <s v="018-2210-000"/>
    <s v="Liquor Sales"/>
    <n v="954.92520000000013"/>
    <n v="0"/>
    <s v="Daily Sales Import"/>
    <n v="-954.92520000000013"/>
    <n v="954.92520000000013"/>
    <x v="2"/>
    <s v="2210"/>
    <s v="000"/>
    <x v="8"/>
    <x v="2"/>
  </r>
  <r>
    <d v="2013-06-11T00:00:00"/>
    <s v="018-2220-000"/>
    <s v="Beer Sales"/>
    <n v="271.863"/>
    <n v="0"/>
    <s v="Daily Sales Import"/>
    <n v="-271.863"/>
    <n v="271.863"/>
    <x v="2"/>
    <s v="2220"/>
    <s v="000"/>
    <x v="8"/>
    <x v="2"/>
  </r>
  <r>
    <d v="2013-06-11T00:00:00"/>
    <s v="018-2230-000"/>
    <s v="Wine Sales"/>
    <n v="33.207999999999998"/>
    <n v="0"/>
    <s v="Daily Sales Import"/>
    <n v="-33.207999999999998"/>
    <n v="33.207999999999998"/>
    <x v="2"/>
    <s v="2230"/>
    <s v="000"/>
    <x v="8"/>
    <x v="2"/>
  </r>
  <r>
    <d v="2013-06-12T00:00:00"/>
    <s v="018-2100-000"/>
    <s v="Food Sales"/>
    <n v="6829.3079999999991"/>
    <n v="0"/>
    <s v="Daily Sales Import"/>
    <n v="-6829.3079999999991"/>
    <n v="6829.3079999999991"/>
    <x v="2"/>
    <s v="2100"/>
    <s v="000"/>
    <x v="8"/>
    <x v="2"/>
  </r>
  <r>
    <d v="2013-06-12T00:00:00"/>
    <s v="018-2210-000"/>
    <s v="Liquor Sales"/>
    <n v="1016.0964"/>
    <n v="0"/>
    <s v="Daily Sales Import"/>
    <n v="-1016.0964"/>
    <n v="1016.0964"/>
    <x v="2"/>
    <s v="2210"/>
    <s v="000"/>
    <x v="8"/>
    <x v="2"/>
  </r>
  <r>
    <d v="2013-06-12T00:00:00"/>
    <s v="018-2220-000"/>
    <s v="Beer Sales"/>
    <n v="276.88799999999998"/>
    <n v="0"/>
    <s v="Daily Sales Import"/>
    <n v="-276.88799999999998"/>
    <n v="276.88799999999998"/>
    <x v="2"/>
    <s v="2220"/>
    <s v="000"/>
    <x v="8"/>
    <x v="2"/>
  </r>
  <r>
    <d v="2013-06-12T00:00:00"/>
    <s v="018-2230-000"/>
    <s v="Wine Sales"/>
    <n v="81.451799999999992"/>
    <n v="0"/>
    <s v="Daily Sales Import"/>
    <n v="-81.451799999999992"/>
    <n v="81.451799999999992"/>
    <x v="2"/>
    <s v="2230"/>
    <s v="000"/>
    <x v="8"/>
    <x v="2"/>
  </r>
  <r>
    <d v="2013-06-13T00:00:00"/>
    <s v="018-2100-000"/>
    <s v="Food Sales"/>
    <n v="4641.3883999999998"/>
    <n v="0"/>
    <s v="Daily Sales Import"/>
    <n v="-4641.3883999999998"/>
    <n v="4641.3883999999998"/>
    <x v="2"/>
    <s v="2100"/>
    <s v="000"/>
    <x v="8"/>
    <x v="2"/>
  </r>
  <r>
    <d v="2013-06-13T00:00:00"/>
    <s v="018-2210-000"/>
    <s v="Liquor Sales"/>
    <n v="1186.1623999999999"/>
    <n v="0"/>
    <s v="Daily Sales Import"/>
    <n v="-1186.1623999999999"/>
    <n v="1186.1623999999999"/>
    <x v="2"/>
    <s v="2210"/>
    <s v="000"/>
    <x v="8"/>
    <x v="2"/>
  </r>
  <r>
    <d v="2013-06-13T00:00:00"/>
    <s v="018-2220-000"/>
    <s v="Beer Sales"/>
    <n v="320.58879999999999"/>
    <n v="0"/>
    <s v="Daily Sales Import"/>
    <n v="-320.58879999999999"/>
    <n v="320.58879999999999"/>
    <x v="2"/>
    <s v="2220"/>
    <s v="000"/>
    <x v="8"/>
    <x v="2"/>
  </r>
  <r>
    <d v="2013-06-13T00:00:00"/>
    <s v="018-2230-000"/>
    <s v="Wine Sales"/>
    <n v="43.011600000000001"/>
    <n v="0"/>
    <s v="Daily Sales Import"/>
    <n v="-43.011600000000001"/>
    <n v="43.011600000000001"/>
    <x v="2"/>
    <s v="2230"/>
    <s v="000"/>
    <x v="8"/>
    <x v="2"/>
  </r>
  <r>
    <d v="2013-06-14T00:00:00"/>
    <s v="018-2100-000"/>
    <s v="Food Sales"/>
    <n v="10290.220600000001"/>
    <n v="0"/>
    <s v="Daily Sales Import"/>
    <n v="-10290.220600000001"/>
    <n v="10290.220600000001"/>
    <x v="2"/>
    <s v="2100"/>
    <s v="000"/>
    <x v="8"/>
    <x v="2"/>
  </r>
  <r>
    <d v="2013-06-14T00:00:00"/>
    <s v="018-2210-000"/>
    <s v="Liquor Sales"/>
    <n v="3515.5889999999999"/>
    <n v="0"/>
    <s v="Daily Sales Import"/>
    <n v="-3515.5889999999999"/>
    <n v="3515.5889999999999"/>
    <x v="2"/>
    <s v="2210"/>
    <s v="000"/>
    <x v="8"/>
    <x v="2"/>
  </r>
  <r>
    <d v="2013-06-14T00:00:00"/>
    <s v="018-2220-000"/>
    <s v="Beer Sales"/>
    <n v="1085.9736"/>
    <n v="0"/>
    <s v="Daily Sales Import"/>
    <n v="-1085.9736"/>
    <n v="1085.9736"/>
    <x v="2"/>
    <s v="2220"/>
    <s v="000"/>
    <x v="8"/>
    <x v="2"/>
  </r>
  <r>
    <d v="2013-06-14T00:00:00"/>
    <s v="018-2230-000"/>
    <s v="Wine Sales"/>
    <n v="77.238"/>
    <n v="0"/>
    <s v="Daily Sales Import"/>
    <n v="-77.238"/>
    <n v="77.238"/>
    <x v="2"/>
    <s v="2230"/>
    <s v="000"/>
    <x v="8"/>
    <x v="2"/>
  </r>
  <r>
    <d v="2013-06-15T00:00:00"/>
    <s v="018-2100-000"/>
    <s v="Food Sales"/>
    <n v="16945.616000000002"/>
    <n v="0"/>
    <s v="Daily Sales Import"/>
    <n v="-16945.616000000002"/>
    <n v="16945.616000000002"/>
    <x v="2"/>
    <s v="2100"/>
    <s v="000"/>
    <x v="8"/>
    <x v="2"/>
  </r>
  <r>
    <d v="2013-06-15T00:00:00"/>
    <s v="018-2210-000"/>
    <s v="Liquor Sales"/>
    <n v="3287.1224999999999"/>
    <n v="0"/>
    <s v="Daily Sales Import"/>
    <n v="-3287.1224999999999"/>
    <n v="3287.1224999999999"/>
    <x v="2"/>
    <s v="2210"/>
    <s v="000"/>
    <x v="8"/>
    <x v="2"/>
  </r>
  <r>
    <d v="2013-06-15T00:00:00"/>
    <s v="018-2220-000"/>
    <s v="Beer Sales"/>
    <n v="680.47199999999987"/>
    <n v="0"/>
    <s v="Daily Sales Import"/>
    <n v="-680.47199999999987"/>
    <n v="680.47199999999987"/>
    <x v="2"/>
    <s v="2220"/>
    <s v="000"/>
    <x v="8"/>
    <x v="2"/>
  </r>
  <r>
    <d v="2013-06-15T00:00:00"/>
    <s v="018-2230-000"/>
    <s v="Wine Sales"/>
    <n v="96.912000000000006"/>
    <n v="0"/>
    <s v="Daily Sales Import"/>
    <n v="-96.912000000000006"/>
    <n v="96.912000000000006"/>
    <x v="2"/>
    <s v="2230"/>
    <s v="000"/>
    <x v="8"/>
    <x v="2"/>
  </r>
  <r>
    <d v="2013-06-16T00:00:00"/>
    <s v="018-2100-000"/>
    <s v="Food Sales"/>
    <n v="18505.004399999998"/>
    <n v="0"/>
    <s v="Daily Sales Import"/>
    <n v="-18505.004399999998"/>
    <n v="18505.004399999998"/>
    <x v="2"/>
    <s v="2100"/>
    <s v="000"/>
    <x v="8"/>
    <x v="2"/>
  </r>
  <r>
    <d v="2013-06-16T00:00:00"/>
    <s v="018-2210-000"/>
    <s v="Liquor Sales"/>
    <n v="2631.15"/>
    <n v="0"/>
    <s v="Daily Sales Import"/>
    <n v="-2631.15"/>
    <n v="2631.15"/>
    <x v="2"/>
    <s v="2210"/>
    <s v="000"/>
    <x v="8"/>
    <x v="2"/>
  </r>
  <r>
    <d v="2013-06-16T00:00:00"/>
    <s v="018-2220-000"/>
    <s v="Beer Sales"/>
    <n v="574.03559999999993"/>
    <n v="0"/>
    <s v="Daily Sales Import"/>
    <n v="-574.03559999999993"/>
    <n v="574.03559999999993"/>
    <x v="2"/>
    <s v="2220"/>
    <s v="000"/>
    <x v="8"/>
    <x v="2"/>
  </r>
  <r>
    <d v="2013-06-16T00:00:00"/>
    <s v="018-2230-000"/>
    <s v="Wine Sales"/>
    <n v="122.6324"/>
    <n v="0"/>
    <s v="Daily Sales Import"/>
    <n v="-122.6324"/>
    <n v="122.6324"/>
    <x v="2"/>
    <s v="2230"/>
    <s v="000"/>
    <x v="8"/>
    <x v="2"/>
  </r>
  <r>
    <d v="2013-06-17T00:00:00"/>
    <s v="016-2100-000"/>
    <s v="Food Sales"/>
    <n v="3511.6354000000001"/>
    <n v="0"/>
    <s v="Daily Sales Import"/>
    <n v="-3511.6354000000001"/>
    <n v="3511.6354000000001"/>
    <x v="0"/>
    <s v="2100"/>
    <s v="000"/>
    <x v="8"/>
    <x v="2"/>
  </r>
  <r>
    <d v="2013-06-17T00:00:00"/>
    <s v="016-2210-000"/>
    <s v="Liquor Sales"/>
    <n v="790.08690000000001"/>
    <n v="0"/>
    <s v="Daily Sales Import"/>
    <n v="-790.08690000000001"/>
    <n v="790.08690000000001"/>
    <x v="0"/>
    <s v="2210"/>
    <s v="000"/>
    <x v="8"/>
    <x v="2"/>
  </r>
  <r>
    <d v="2013-06-17T00:00:00"/>
    <s v="016-2220-000"/>
    <s v="Beer Sales"/>
    <n v="211.22379999999995"/>
    <n v="0"/>
    <s v="Daily Sales Import"/>
    <n v="-211.22379999999995"/>
    <n v="211.22379999999995"/>
    <x v="0"/>
    <s v="2220"/>
    <s v="000"/>
    <x v="8"/>
    <x v="2"/>
  </r>
  <r>
    <d v="2013-06-17T00:00:00"/>
    <s v="016-2230-000"/>
    <s v="Wine Sales"/>
    <n v="6.3920000000000003"/>
    <n v="0"/>
    <s v="Daily Sales Import"/>
    <n v="-6.3920000000000003"/>
    <n v="6.3920000000000003"/>
    <x v="0"/>
    <s v="2230"/>
    <s v="000"/>
    <x v="8"/>
    <x v="2"/>
  </r>
  <r>
    <d v="2013-06-18T00:00:00"/>
    <s v="016-2100-000"/>
    <s v="Food Sales"/>
    <n v="6591.9892"/>
    <n v="0"/>
    <s v="Daily Sales Import"/>
    <n v="-6591.9892"/>
    <n v="6591.9892"/>
    <x v="0"/>
    <s v="2100"/>
    <s v="000"/>
    <x v="8"/>
    <x v="2"/>
  </r>
  <r>
    <d v="2013-06-18T00:00:00"/>
    <s v="016-2210-000"/>
    <s v="Liquor Sales"/>
    <n v="1624.7963999999999"/>
    <n v="0"/>
    <s v="Daily Sales Import"/>
    <n v="-1624.7963999999999"/>
    <n v="1624.7963999999999"/>
    <x v="0"/>
    <s v="2210"/>
    <s v="000"/>
    <x v="8"/>
    <x v="2"/>
  </r>
  <r>
    <d v="2013-06-18T00:00:00"/>
    <s v="016-2220-000"/>
    <s v="Beer Sales"/>
    <n v="700.03440000000001"/>
    <n v="0"/>
    <s v="Daily Sales Import"/>
    <n v="-700.03440000000001"/>
    <n v="700.03440000000001"/>
    <x v="0"/>
    <s v="2220"/>
    <s v="000"/>
    <x v="8"/>
    <x v="2"/>
  </r>
  <r>
    <d v="2013-06-18T00:00:00"/>
    <s v="016-2230-000"/>
    <s v="Wine Sales"/>
    <n v="112.456"/>
    <n v="0"/>
    <s v="Daily Sales Import"/>
    <n v="-112.456"/>
    <n v="112.456"/>
    <x v="0"/>
    <s v="2230"/>
    <s v="000"/>
    <x v="8"/>
    <x v="2"/>
  </r>
  <r>
    <d v="2013-06-19T00:00:00"/>
    <s v="016-2100-000"/>
    <s v="Food Sales"/>
    <n v="3651.5994000000001"/>
    <n v="0"/>
    <s v="Daily Sales Import"/>
    <n v="-3651.5994000000001"/>
    <n v="3651.5994000000001"/>
    <x v="0"/>
    <s v="2100"/>
    <s v="000"/>
    <x v="8"/>
    <x v="2"/>
  </r>
  <r>
    <d v="2013-06-19T00:00:00"/>
    <s v="016-2210-000"/>
    <s v="Liquor Sales"/>
    <n v="952.14210000000003"/>
    <n v="0"/>
    <s v="Daily Sales Import"/>
    <n v="-952.14210000000003"/>
    <n v="952.14210000000003"/>
    <x v="0"/>
    <s v="2210"/>
    <s v="000"/>
    <x v="8"/>
    <x v="2"/>
  </r>
  <r>
    <d v="2013-06-19T00:00:00"/>
    <s v="016-2220-000"/>
    <s v="Beer Sales"/>
    <n v="243.77759999999998"/>
    <n v="0"/>
    <s v="Daily Sales Import"/>
    <n v="-243.77759999999998"/>
    <n v="243.77759999999998"/>
    <x v="0"/>
    <s v="2220"/>
    <s v="000"/>
    <x v="8"/>
    <x v="2"/>
  </r>
  <r>
    <d v="2013-06-19T00:00:00"/>
    <s v="016-2230-000"/>
    <s v="Wine Sales"/>
    <n v="104.99049999999998"/>
    <n v="0"/>
    <s v="Daily Sales Import"/>
    <n v="-104.99049999999998"/>
    <n v="104.99049999999998"/>
    <x v="0"/>
    <s v="2230"/>
    <s v="000"/>
    <x v="8"/>
    <x v="2"/>
  </r>
  <r>
    <d v="2013-06-20T00:00:00"/>
    <s v="016-2100-000"/>
    <s v="Food Sales"/>
    <n v="2828.0358000000001"/>
    <n v="0"/>
    <s v="Daily Sales Import"/>
    <n v="-2828.0358000000001"/>
    <n v="2828.0358000000001"/>
    <x v="0"/>
    <s v="2100"/>
    <s v="000"/>
    <x v="8"/>
    <x v="2"/>
  </r>
  <r>
    <d v="2013-06-20T00:00:00"/>
    <s v="016-2210-000"/>
    <s v="Liquor Sales"/>
    <n v="639.03680000000008"/>
    <n v="0"/>
    <s v="Daily Sales Import"/>
    <n v="-639.03680000000008"/>
    <n v="639.03680000000008"/>
    <x v="0"/>
    <s v="2210"/>
    <s v="000"/>
    <x v="8"/>
    <x v="2"/>
  </r>
  <r>
    <d v="2013-06-20T00:00:00"/>
    <s v="016-2220-000"/>
    <s v="Beer Sales"/>
    <n v="204.6035"/>
    <n v="0"/>
    <s v="Daily Sales Import"/>
    <n v="-204.6035"/>
    <n v="204.6035"/>
    <x v="0"/>
    <s v="2220"/>
    <s v="000"/>
    <x v="8"/>
    <x v="2"/>
  </r>
  <r>
    <d v="2013-06-20T00:00:00"/>
    <s v="016-2230-000"/>
    <s v="Wine Sales"/>
    <n v="48.948599999999992"/>
    <n v="0"/>
    <s v="Daily Sales Import"/>
    <n v="-48.948599999999992"/>
    <n v="48.948599999999992"/>
    <x v="0"/>
    <s v="2230"/>
    <s v="000"/>
    <x v="8"/>
    <x v="2"/>
  </r>
  <r>
    <d v="2013-06-21T00:00:00"/>
    <s v="016-2100-000"/>
    <s v="Food Sales"/>
    <n v="6235.4931999999999"/>
    <n v="0"/>
    <s v="Daily Sales Import"/>
    <n v="-6235.4931999999999"/>
    <n v="6235.4931999999999"/>
    <x v="0"/>
    <s v="2100"/>
    <s v="000"/>
    <x v="8"/>
    <x v="2"/>
  </r>
  <r>
    <d v="2013-06-21T00:00:00"/>
    <s v="016-2210-000"/>
    <s v="Liquor Sales"/>
    <n v="1470.7368000000001"/>
    <n v="0"/>
    <s v="Daily Sales Import"/>
    <n v="-1470.7368000000001"/>
    <n v="1470.7368000000001"/>
    <x v="0"/>
    <s v="2210"/>
    <s v="000"/>
    <x v="8"/>
    <x v="2"/>
  </r>
  <r>
    <d v="2013-06-21T00:00:00"/>
    <s v="016-2220-000"/>
    <s v="Beer Sales"/>
    <n v="159.06150000000002"/>
    <n v="0"/>
    <s v="Daily Sales Import"/>
    <n v="-159.06150000000002"/>
    <n v="159.06150000000002"/>
    <x v="0"/>
    <s v="2220"/>
    <s v="000"/>
    <x v="8"/>
    <x v="2"/>
  </r>
  <r>
    <d v="2013-06-21T00:00:00"/>
    <s v="016-2230-000"/>
    <s v="Wine Sales"/>
    <n v="118.77"/>
    <n v="0"/>
    <s v="Daily Sales Import"/>
    <n v="-118.77"/>
    <n v="118.77"/>
    <x v="0"/>
    <s v="2230"/>
    <s v="000"/>
    <x v="8"/>
    <x v="2"/>
  </r>
  <r>
    <d v="2013-06-22T00:00:00"/>
    <s v="016-2100-000"/>
    <s v="Food Sales"/>
    <n v="9085.8768"/>
    <n v="0"/>
    <s v="Daily Sales Import"/>
    <n v="-9085.8768"/>
    <n v="9085.8768"/>
    <x v="0"/>
    <s v="2100"/>
    <s v="000"/>
    <x v="8"/>
    <x v="2"/>
  </r>
  <r>
    <d v="2013-06-22T00:00:00"/>
    <s v="016-2210-000"/>
    <s v="Liquor Sales"/>
    <n v="2521.3049999999998"/>
    <n v="0"/>
    <s v="Daily Sales Import"/>
    <n v="-2521.3049999999998"/>
    <n v="2521.3049999999998"/>
    <x v="0"/>
    <s v="2210"/>
    <s v="000"/>
    <x v="8"/>
    <x v="2"/>
  </r>
  <r>
    <d v="2013-06-22T00:00:00"/>
    <s v="016-2220-000"/>
    <s v="Beer Sales"/>
    <n v="369.06320000000005"/>
    <n v="0"/>
    <s v="Daily Sales Import"/>
    <n v="-369.06320000000005"/>
    <n v="369.06320000000005"/>
    <x v="0"/>
    <s v="2220"/>
    <s v="000"/>
    <x v="8"/>
    <x v="2"/>
  </r>
  <r>
    <d v="2013-06-22T00:00:00"/>
    <s v="016-2230-000"/>
    <s v="Wine Sales"/>
    <n v="233.85509999999999"/>
    <n v="0"/>
    <s v="Daily Sales Import"/>
    <n v="-233.85509999999999"/>
    <n v="233.85509999999999"/>
    <x v="0"/>
    <s v="2230"/>
    <s v="000"/>
    <x v="8"/>
    <x v="2"/>
  </r>
  <r>
    <d v="2013-06-23T00:00:00"/>
    <s v="016-2100-000"/>
    <s v="Food Sales"/>
    <n v="4906.1000999999997"/>
    <n v="0"/>
    <s v="Daily Sales Import"/>
    <n v="-4906.1000999999997"/>
    <n v="4906.1000999999997"/>
    <x v="0"/>
    <s v="2100"/>
    <s v="000"/>
    <x v="8"/>
    <x v="2"/>
  </r>
  <r>
    <d v="2013-06-23T00:00:00"/>
    <s v="016-2210-000"/>
    <s v="Liquor Sales"/>
    <n v="1302.0129999999999"/>
    <n v="0"/>
    <s v="Daily Sales Import"/>
    <n v="-1302.0129999999999"/>
    <n v="1302.0129999999999"/>
    <x v="0"/>
    <s v="2210"/>
    <s v="000"/>
    <x v="8"/>
    <x v="2"/>
  </r>
  <r>
    <d v="2013-06-23T00:00:00"/>
    <s v="016-2220-000"/>
    <s v="Beer Sales"/>
    <n v="175.98890000000003"/>
    <n v="0"/>
    <s v="Daily Sales Import"/>
    <n v="-175.98890000000003"/>
    <n v="175.98890000000003"/>
    <x v="0"/>
    <s v="2220"/>
    <s v="000"/>
    <x v="8"/>
    <x v="2"/>
  </r>
  <r>
    <d v="2013-06-23T00:00:00"/>
    <s v="016-2230-000"/>
    <s v="Wine Sales"/>
    <n v="122.47560000000001"/>
    <n v="0"/>
    <s v="Daily Sales Import"/>
    <n v="-122.47560000000001"/>
    <n v="122.47560000000001"/>
    <x v="0"/>
    <s v="2230"/>
    <s v="000"/>
    <x v="8"/>
    <x v="2"/>
  </r>
  <r>
    <d v="2013-06-17T00:00:00"/>
    <s v="017-2100-000"/>
    <s v="Food Sales"/>
    <n v="6308.8455000000004"/>
    <n v="0"/>
    <s v="Daily Sales Import"/>
    <n v="-6308.8455000000004"/>
    <n v="6308.8455000000004"/>
    <x v="1"/>
    <s v="2100"/>
    <s v="000"/>
    <x v="8"/>
    <x v="2"/>
  </r>
  <r>
    <d v="2013-06-17T00:00:00"/>
    <s v="017-2210-000"/>
    <s v="Liquor Sales"/>
    <n v="688.87699999999995"/>
    <n v="0"/>
    <s v="Daily Sales Import"/>
    <n v="-688.87699999999995"/>
    <n v="688.87699999999995"/>
    <x v="1"/>
    <s v="2210"/>
    <s v="000"/>
    <x v="8"/>
    <x v="2"/>
  </r>
  <r>
    <d v="2013-06-17T00:00:00"/>
    <s v="017-2220-000"/>
    <s v="Beer Sales"/>
    <n v="277.40010000000001"/>
    <n v="0"/>
    <s v="Daily Sales Import"/>
    <n v="-277.40010000000001"/>
    <n v="277.40010000000001"/>
    <x v="1"/>
    <s v="2220"/>
    <s v="000"/>
    <x v="8"/>
    <x v="2"/>
  </r>
  <r>
    <d v="2013-06-17T00:00:00"/>
    <s v="017-2230-000"/>
    <s v="Wine Sales"/>
    <n v="31.546400000000002"/>
    <n v="0"/>
    <s v="Daily Sales Import"/>
    <n v="-31.546400000000002"/>
    <n v="31.546400000000002"/>
    <x v="1"/>
    <s v="2230"/>
    <s v="000"/>
    <x v="8"/>
    <x v="2"/>
  </r>
  <r>
    <d v="2013-06-18T00:00:00"/>
    <s v="017-2100-000"/>
    <s v="Food Sales"/>
    <n v="4537.9026000000003"/>
    <n v="0"/>
    <s v="Daily Sales Import"/>
    <n v="-4537.9026000000003"/>
    <n v="4537.9026000000003"/>
    <x v="1"/>
    <s v="2100"/>
    <s v="000"/>
    <x v="8"/>
    <x v="2"/>
  </r>
  <r>
    <d v="2013-06-18T00:00:00"/>
    <s v="017-2210-000"/>
    <s v="Liquor Sales"/>
    <n v="2119.4991999999997"/>
    <n v="0"/>
    <s v="Daily Sales Import"/>
    <n v="-2119.4991999999997"/>
    <n v="2119.4991999999997"/>
    <x v="1"/>
    <s v="2210"/>
    <s v="000"/>
    <x v="8"/>
    <x v="2"/>
  </r>
  <r>
    <d v="2013-06-18T00:00:00"/>
    <s v="017-2220-000"/>
    <s v="Beer Sales"/>
    <n v="435.51200000000006"/>
    <n v="0"/>
    <s v="Daily Sales Import"/>
    <n v="-435.51200000000006"/>
    <n v="435.51200000000006"/>
    <x v="1"/>
    <s v="2220"/>
    <s v="000"/>
    <x v="8"/>
    <x v="2"/>
  </r>
  <r>
    <d v="2013-06-18T00:00:00"/>
    <s v="017-2230-000"/>
    <s v="Wine Sales"/>
    <n v="199.0625"/>
    <n v="0"/>
    <s v="Daily Sales Import"/>
    <n v="-199.0625"/>
    <n v="199.0625"/>
    <x v="1"/>
    <s v="2230"/>
    <s v="000"/>
    <x v="8"/>
    <x v="2"/>
  </r>
  <r>
    <d v="2013-06-19T00:00:00"/>
    <s v="017-2100-000"/>
    <s v="Food Sales"/>
    <n v="7985.9507000000003"/>
    <n v="0"/>
    <s v="Daily Sales Import"/>
    <n v="-7985.9507000000003"/>
    <n v="7985.9507000000003"/>
    <x v="1"/>
    <s v="2100"/>
    <s v="000"/>
    <x v="8"/>
    <x v="2"/>
  </r>
  <r>
    <d v="2013-06-19T00:00:00"/>
    <s v="017-2210-000"/>
    <s v="Liquor Sales"/>
    <n v="1027.5705"/>
    <n v="0"/>
    <s v="Daily Sales Import"/>
    <n v="-1027.5705"/>
    <n v="1027.5705"/>
    <x v="1"/>
    <s v="2210"/>
    <s v="000"/>
    <x v="8"/>
    <x v="2"/>
  </r>
  <r>
    <d v="2013-06-19T00:00:00"/>
    <s v="017-2220-000"/>
    <s v="Beer Sales"/>
    <n v="294.69760000000002"/>
    <n v="0"/>
    <s v="Daily Sales Import"/>
    <n v="-294.69760000000002"/>
    <n v="294.69760000000002"/>
    <x v="1"/>
    <s v="2220"/>
    <s v="000"/>
    <x v="8"/>
    <x v="2"/>
  </r>
  <r>
    <d v="2013-06-19T00:00:00"/>
    <s v="017-2230-000"/>
    <s v="Wine Sales"/>
    <n v="103.86919999999999"/>
    <n v="0"/>
    <s v="Daily Sales Import"/>
    <n v="-103.86919999999999"/>
    <n v="103.86919999999999"/>
    <x v="1"/>
    <s v="2230"/>
    <s v="000"/>
    <x v="8"/>
    <x v="2"/>
  </r>
  <r>
    <d v="2013-06-20T00:00:00"/>
    <s v="017-2100-000"/>
    <s v="Food Sales"/>
    <n v="7967.2152000000006"/>
    <n v="0"/>
    <s v="Daily Sales Import"/>
    <n v="-7967.2152000000006"/>
    <n v="7967.2152000000006"/>
    <x v="1"/>
    <s v="2100"/>
    <s v="000"/>
    <x v="8"/>
    <x v="2"/>
  </r>
  <r>
    <d v="2013-06-20T00:00:00"/>
    <s v="017-2210-000"/>
    <s v="Liquor Sales"/>
    <n v="1362.1272000000001"/>
    <n v="0"/>
    <s v="Daily Sales Import"/>
    <n v="-1362.1272000000001"/>
    <n v="1362.1272000000001"/>
    <x v="1"/>
    <s v="2210"/>
    <s v="000"/>
    <x v="8"/>
    <x v="2"/>
  </r>
  <r>
    <d v="2013-06-20T00:00:00"/>
    <s v="017-2220-000"/>
    <s v="Beer Sales"/>
    <n v="605.89409999999998"/>
    <n v="0"/>
    <s v="Daily Sales Import"/>
    <n v="-605.89409999999998"/>
    <n v="605.89409999999998"/>
    <x v="1"/>
    <s v="2220"/>
    <s v="000"/>
    <x v="8"/>
    <x v="2"/>
  </r>
  <r>
    <d v="2013-06-20T00:00:00"/>
    <s v="017-2230-000"/>
    <s v="Wine Sales"/>
    <n v="183.85640000000001"/>
    <n v="0"/>
    <s v="Daily Sales Import"/>
    <n v="-183.85640000000001"/>
    <n v="183.85640000000001"/>
    <x v="1"/>
    <s v="2230"/>
    <s v="000"/>
    <x v="8"/>
    <x v="2"/>
  </r>
  <r>
    <d v="2013-06-21T00:00:00"/>
    <s v="017-2100-000"/>
    <s v="Food Sales"/>
    <n v="8270.2103999999999"/>
    <n v="0"/>
    <s v="Daily Sales Import"/>
    <n v="-8270.2103999999999"/>
    <n v="8270.2103999999999"/>
    <x v="1"/>
    <s v="2100"/>
    <s v="000"/>
    <x v="8"/>
    <x v="2"/>
  </r>
  <r>
    <d v="2013-06-21T00:00:00"/>
    <s v="017-2210-000"/>
    <s v="Liquor Sales"/>
    <n v="2384.1728999999996"/>
    <n v="0"/>
    <s v="Daily Sales Import"/>
    <n v="-2384.1728999999996"/>
    <n v="2384.1728999999996"/>
    <x v="1"/>
    <s v="2210"/>
    <s v="000"/>
    <x v="8"/>
    <x v="2"/>
  </r>
  <r>
    <d v="2013-06-21T00:00:00"/>
    <s v="017-2220-000"/>
    <s v="Beer Sales"/>
    <n v="361.26"/>
    <n v="0"/>
    <s v="Daily Sales Import"/>
    <n v="-361.26"/>
    <n v="361.26"/>
    <x v="1"/>
    <s v="2220"/>
    <s v="000"/>
    <x v="8"/>
    <x v="2"/>
  </r>
  <r>
    <d v="2013-06-21T00:00:00"/>
    <s v="017-2230-000"/>
    <s v="Wine Sales"/>
    <n v="80.567999999999998"/>
    <n v="0"/>
    <s v="Daily Sales Import"/>
    <n v="-80.567999999999998"/>
    <n v="80.567999999999998"/>
    <x v="1"/>
    <s v="2230"/>
    <s v="000"/>
    <x v="8"/>
    <x v="2"/>
  </r>
  <r>
    <d v="2013-06-22T00:00:00"/>
    <s v="017-2100-000"/>
    <s v="Food Sales"/>
    <n v="8403.768"/>
    <n v="0"/>
    <s v="Daily Sales Import"/>
    <n v="-8403.768"/>
    <n v="8403.768"/>
    <x v="1"/>
    <s v="2100"/>
    <s v="000"/>
    <x v="8"/>
    <x v="2"/>
  </r>
  <r>
    <d v="2013-06-22T00:00:00"/>
    <s v="017-2210-000"/>
    <s v="Liquor Sales"/>
    <n v="2822.6802000000002"/>
    <n v="0"/>
    <s v="Daily Sales Import"/>
    <n v="-2822.6802000000002"/>
    <n v="2822.6802000000002"/>
    <x v="1"/>
    <s v="2210"/>
    <s v="000"/>
    <x v="8"/>
    <x v="2"/>
  </r>
  <r>
    <d v="2013-06-22T00:00:00"/>
    <s v="017-2220-000"/>
    <s v="Beer Sales"/>
    <n v="330.7484"/>
    <n v="0"/>
    <s v="Daily Sales Import"/>
    <n v="-330.7484"/>
    <n v="330.7484"/>
    <x v="1"/>
    <s v="2220"/>
    <s v="000"/>
    <x v="8"/>
    <x v="2"/>
  </r>
  <r>
    <d v="2013-06-22T00:00:00"/>
    <s v="017-2230-000"/>
    <s v="Wine Sales"/>
    <n v="51.219000000000001"/>
    <n v="0"/>
    <s v="Daily Sales Import"/>
    <n v="-51.219000000000001"/>
    <n v="51.219000000000001"/>
    <x v="1"/>
    <s v="2230"/>
    <s v="000"/>
    <x v="8"/>
    <x v="2"/>
  </r>
  <r>
    <d v="2013-06-23T00:00:00"/>
    <s v="017-2100-000"/>
    <s v="Food Sales"/>
    <n v="5269.0679999999993"/>
    <n v="0"/>
    <s v="Daily Sales Import"/>
    <n v="-5269.0679999999993"/>
    <n v="5269.0679999999993"/>
    <x v="1"/>
    <s v="2100"/>
    <s v="000"/>
    <x v="8"/>
    <x v="2"/>
  </r>
  <r>
    <d v="2013-06-23T00:00:00"/>
    <s v="017-2210-000"/>
    <s v="Liquor Sales"/>
    <n v="1292.2668000000001"/>
    <n v="0"/>
    <s v="Daily Sales Import"/>
    <n v="-1292.2668000000001"/>
    <n v="1292.2668000000001"/>
    <x v="1"/>
    <s v="2210"/>
    <s v="000"/>
    <x v="8"/>
    <x v="2"/>
  </r>
  <r>
    <d v="2013-06-23T00:00:00"/>
    <s v="017-2220-000"/>
    <s v="Beer Sales"/>
    <n v="251.38740000000001"/>
    <n v="0"/>
    <s v="Daily Sales Import"/>
    <n v="-251.38740000000001"/>
    <n v="251.38740000000001"/>
    <x v="1"/>
    <s v="2220"/>
    <s v="000"/>
    <x v="8"/>
    <x v="2"/>
  </r>
  <r>
    <d v="2013-06-23T00:00:00"/>
    <s v="017-2230-000"/>
    <s v="Wine Sales"/>
    <n v="99.164400000000015"/>
    <n v="0"/>
    <s v="Daily Sales Import"/>
    <n v="-99.164400000000015"/>
    <n v="99.164400000000015"/>
    <x v="1"/>
    <s v="2230"/>
    <s v="000"/>
    <x v="8"/>
    <x v="2"/>
  </r>
  <r>
    <d v="2013-06-17T00:00:00"/>
    <s v="018-2100-000"/>
    <s v="Food Sales"/>
    <n v="5904.2253999999994"/>
    <n v="0"/>
    <s v="Daily Sales Import"/>
    <n v="-5904.2253999999994"/>
    <n v="5904.2253999999994"/>
    <x v="2"/>
    <s v="2100"/>
    <s v="000"/>
    <x v="8"/>
    <x v="2"/>
  </r>
  <r>
    <d v="2013-06-17T00:00:00"/>
    <s v="018-2210-000"/>
    <s v="Liquor Sales"/>
    <n v="1134.9013"/>
    <n v="0"/>
    <s v="Daily Sales Import"/>
    <n v="-1134.9013"/>
    <n v="1134.9013"/>
    <x v="2"/>
    <s v="2210"/>
    <s v="000"/>
    <x v="8"/>
    <x v="2"/>
  </r>
  <r>
    <d v="2013-06-17T00:00:00"/>
    <s v="018-2220-000"/>
    <s v="Beer Sales"/>
    <n v="269.892"/>
    <n v="0"/>
    <s v="Daily Sales Import"/>
    <n v="-269.892"/>
    <n v="269.892"/>
    <x v="2"/>
    <s v="2220"/>
    <s v="000"/>
    <x v="8"/>
    <x v="2"/>
  </r>
  <r>
    <d v="2013-06-17T00:00:00"/>
    <s v="018-2230-000"/>
    <s v="Wine Sales"/>
    <n v="46.921600000000005"/>
    <n v="0"/>
    <s v="Daily Sales Import"/>
    <n v="-46.921600000000005"/>
    <n v="46.921600000000005"/>
    <x v="2"/>
    <s v="2230"/>
    <s v="000"/>
    <x v="8"/>
    <x v="2"/>
  </r>
  <r>
    <d v="2013-06-18T00:00:00"/>
    <s v="018-2100-000"/>
    <s v="Food Sales"/>
    <n v="6286.7699999999995"/>
    <n v="0"/>
    <s v="Daily Sales Import"/>
    <n v="-6286.7699999999995"/>
    <n v="6286.7699999999995"/>
    <x v="2"/>
    <s v="2100"/>
    <s v="000"/>
    <x v="8"/>
    <x v="2"/>
  </r>
  <r>
    <d v="2013-06-18T00:00:00"/>
    <s v="018-2210-000"/>
    <s v="Liquor Sales"/>
    <n v="831.22149999999988"/>
    <n v="0"/>
    <s v="Daily Sales Import"/>
    <n v="-831.22149999999988"/>
    <n v="831.22149999999988"/>
    <x v="2"/>
    <s v="2210"/>
    <s v="000"/>
    <x v="8"/>
    <x v="2"/>
  </r>
  <r>
    <d v="2013-06-18T00:00:00"/>
    <s v="018-2220-000"/>
    <s v="Beer Sales"/>
    <n v="255.11760000000001"/>
    <n v="0"/>
    <s v="Daily Sales Import"/>
    <n v="-255.11760000000001"/>
    <n v="255.11760000000001"/>
    <x v="2"/>
    <s v="2220"/>
    <s v="000"/>
    <x v="8"/>
    <x v="2"/>
  </r>
  <r>
    <d v="2013-06-18T00:00:00"/>
    <s v="018-2230-000"/>
    <s v="Wine Sales"/>
    <n v="31.718399999999995"/>
    <n v="0"/>
    <s v="Daily Sales Import"/>
    <n v="-31.718399999999995"/>
    <n v="31.718399999999995"/>
    <x v="2"/>
    <s v="2230"/>
    <s v="000"/>
    <x v="8"/>
    <x v="2"/>
  </r>
  <r>
    <d v="2013-06-19T00:00:00"/>
    <s v="018-2100-000"/>
    <s v="Food Sales"/>
    <n v="4593.6099999999997"/>
    <n v="0"/>
    <s v="Daily Sales Import"/>
    <n v="-4593.6099999999997"/>
    <n v="4593.6099999999997"/>
    <x v="2"/>
    <s v="2100"/>
    <s v="000"/>
    <x v="8"/>
    <x v="2"/>
  </r>
  <r>
    <d v="2013-06-19T00:00:00"/>
    <s v="018-2210-000"/>
    <s v="Liquor Sales"/>
    <n v="956.38019999999983"/>
    <n v="0"/>
    <s v="Daily Sales Import"/>
    <n v="-956.38019999999983"/>
    <n v="956.38019999999983"/>
    <x v="2"/>
    <s v="2210"/>
    <s v="000"/>
    <x v="8"/>
    <x v="2"/>
  </r>
  <r>
    <d v="2013-06-19T00:00:00"/>
    <s v="018-2220-000"/>
    <s v="Beer Sales"/>
    <n v="205.5361"/>
    <n v="0"/>
    <s v="Daily Sales Import"/>
    <n v="-205.5361"/>
    <n v="205.5361"/>
    <x v="2"/>
    <s v="2220"/>
    <s v="000"/>
    <x v="8"/>
    <x v="2"/>
  </r>
  <r>
    <d v="2013-06-19T00:00:00"/>
    <s v="018-2230-000"/>
    <s v="Wine Sales"/>
    <n v="65.497599999999991"/>
    <n v="0"/>
    <s v="Daily Sales Import"/>
    <n v="-65.497599999999991"/>
    <n v="65.497599999999991"/>
    <x v="2"/>
    <s v="2230"/>
    <s v="000"/>
    <x v="8"/>
    <x v="2"/>
  </r>
  <r>
    <d v="2013-06-20T00:00:00"/>
    <s v="018-2100-000"/>
    <s v="Food Sales"/>
    <n v="5591.0010000000011"/>
    <n v="0"/>
    <s v="Daily Sales Import"/>
    <n v="-5591.0010000000011"/>
    <n v="5591.0010000000011"/>
    <x v="2"/>
    <s v="2100"/>
    <s v="000"/>
    <x v="8"/>
    <x v="2"/>
  </r>
  <r>
    <d v="2013-06-20T00:00:00"/>
    <s v="018-2210-000"/>
    <s v="Liquor Sales"/>
    <n v="1416.9666"/>
    <n v="0"/>
    <s v="Daily Sales Import"/>
    <n v="-1416.9666"/>
    <n v="1416.9666"/>
    <x v="2"/>
    <s v="2210"/>
    <s v="000"/>
    <x v="8"/>
    <x v="2"/>
  </r>
  <r>
    <d v="2013-06-20T00:00:00"/>
    <s v="018-2220-000"/>
    <s v="Beer Sales"/>
    <n v="217.55399999999997"/>
    <n v="0"/>
    <s v="Daily Sales Import"/>
    <n v="-217.55399999999997"/>
    <n v="217.55399999999997"/>
    <x v="2"/>
    <s v="2220"/>
    <s v="000"/>
    <x v="8"/>
    <x v="2"/>
  </r>
  <r>
    <d v="2013-06-20T00:00:00"/>
    <s v="018-2230-000"/>
    <s v="Wine Sales"/>
    <n v="56.832599999999999"/>
    <n v="0"/>
    <s v="Daily Sales Import"/>
    <n v="-56.832599999999999"/>
    <n v="56.832599999999999"/>
    <x v="2"/>
    <s v="2230"/>
    <s v="000"/>
    <x v="8"/>
    <x v="2"/>
  </r>
  <r>
    <d v="2013-06-21T00:00:00"/>
    <s v="018-2100-000"/>
    <s v="Food Sales"/>
    <n v="9465.1712000000007"/>
    <n v="0"/>
    <s v="Daily Sales Import"/>
    <n v="-9465.1712000000007"/>
    <n v="9465.1712000000007"/>
    <x v="2"/>
    <s v="2100"/>
    <s v="000"/>
    <x v="8"/>
    <x v="2"/>
  </r>
  <r>
    <d v="2013-06-21T00:00:00"/>
    <s v="018-2210-000"/>
    <s v="Liquor Sales"/>
    <n v="3002.3090999999999"/>
    <n v="0"/>
    <s v="Daily Sales Import"/>
    <n v="-3002.3090999999999"/>
    <n v="3002.3090999999999"/>
    <x v="2"/>
    <s v="2210"/>
    <s v="000"/>
    <x v="8"/>
    <x v="2"/>
  </r>
  <r>
    <d v="2013-06-21T00:00:00"/>
    <s v="018-2220-000"/>
    <s v="Beer Sales"/>
    <n v="782.51880000000006"/>
    <n v="0"/>
    <s v="Daily Sales Import"/>
    <n v="-782.51880000000006"/>
    <n v="782.51880000000006"/>
    <x v="2"/>
    <s v="2220"/>
    <s v="000"/>
    <x v="8"/>
    <x v="2"/>
  </r>
  <r>
    <d v="2013-06-21T00:00:00"/>
    <s v="018-2230-000"/>
    <s v="Wine Sales"/>
    <n v="135.13999999999999"/>
    <n v="0"/>
    <s v="Daily Sales Import"/>
    <n v="-135.13999999999999"/>
    <n v="135.13999999999999"/>
    <x v="2"/>
    <s v="2230"/>
    <s v="000"/>
    <x v="8"/>
    <x v="2"/>
  </r>
  <r>
    <d v="2013-06-22T00:00:00"/>
    <s v="018-2100-000"/>
    <s v="Food Sales"/>
    <n v="13183.114"/>
    <n v="0"/>
    <s v="Daily Sales Import"/>
    <n v="-13183.114"/>
    <n v="13183.114"/>
    <x v="2"/>
    <s v="2100"/>
    <s v="000"/>
    <x v="8"/>
    <x v="2"/>
  </r>
  <r>
    <d v="2013-06-22T00:00:00"/>
    <s v="018-2210-000"/>
    <s v="Liquor Sales"/>
    <n v="3572.6064000000001"/>
    <n v="0"/>
    <s v="Daily Sales Import"/>
    <n v="-3572.6064000000001"/>
    <n v="3572.6064000000001"/>
    <x v="2"/>
    <s v="2210"/>
    <s v="000"/>
    <x v="8"/>
    <x v="2"/>
  </r>
  <r>
    <d v="2013-06-22T00:00:00"/>
    <s v="018-2220-000"/>
    <s v="Beer Sales"/>
    <n v="580.20479999999998"/>
    <n v="0"/>
    <s v="Daily Sales Import"/>
    <n v="-580.20479999999998"/>
    <n v="580.20479999999998"/>
    <x v="2"/>
    <s v="2220"/>
    <s v="000"/>
    <x v="8"/>
    <x v="2"/>
  </r>
  <r>
    <d v="2013-06-22T00:00:00"/>
    <s v="018-2230-000"/>
    <s v="Wine Sales"/>
    <n v="68.001900000000006"/>
    <n v="0"/>
    <s v="Daily Sales Import"/>
    <n v="-68.001900000000006"/>
    <n v="68.001900000000006"/>
    <x v="2"/>
    <s v="2230"/>
    <s v="000"/>
    <x v="8"/>
    <x v="2"/>
  </r>
  <r>
    <d v="2013-06-23T00:00:00"/>
    <s v="018-2100-000"/>
    <s v="Food Sales"/>
    <n v="8213.4822000000004"/>
    <n v="0"/>
    <s v="Daily Sales Import"/>
    <n v="-8213.4822000000004"/>
    <n v="8213.4822000000004"/>
    <x v="2"/>
    <s v="2100"/>
    <s v="000"/>
    <x v="8"/>
    <x v="2"/>
  </r>
  <r>
    <d v="2013-06-23T00:00:00"/>
    <s v="018-2210-000"/>
    <s v="Liquor Sales"/>
    <n v="1113.6033"/>
    <n v="0"/>
    <s v="Daily Sales Import"/>
    <n v="-1113.6033"/>
    <n v="1113.6033"/>
    <x v="2"/>
    <s v="2210"/>
    <s v="000"/>
    <x v="8"/>
    <x v="2"/>
  </r>
  <r>
    <d v="2013-06-23T00:00:00"/>
    <s v="018-2220-000"/>
    <s v="Beer Sales"/>
    <n v="347.536"/>
    <n v="0"/>
    <s v="Daily Sales Import"/>
    <n v="-347.536"/>
    <n v="347.536"/>
    <x v="2"/>
    <s v="2220"/>
    <s v="000"/>
    <x v="8"/>
    <x v="2"/>
  </r>
  <r>
    <d v="2013-06-23T00:00:00"/>
    <s v="018-2230-000"/>
    <s v="Wine Sales"/>
    <n v="96.282000000000011"/>
    <n v="0"/>
    <s v="Daily Sales Import"/>
    <n v="-96.282000000000011"/>
    <n v="96.282000000000011"/>
    <x v="2"/>
    <s v="2230"/>
    <s v="000"/>
    <x v="8"/>
    <x v="2"/>
  </r>
  <r>
    <d v="2013-06-24T00:00:00"/>
    <s v="016-2100-000"/>
    <s v="Food Sales"/>
    <n v="2313.7365999999997"/>
    <n v="0"/>
    <s v="Daily Sales Import"/>
    <n v="-2313.7365999999997"/>
    <n v="2313.7365999999997"/>
    <x v="0"/>
    <s v="2100"/>
    <s v="000"/>
    <x v="8"/>
    <x v="2"/>
  </r>
  <r>
    <d v="2013-06-24T00:00:00"/>
    <s v="016-2210-000"/>
    <s v="Liquor Sales"/>
    <n v="463.11840000000007"/>
    <n v="0"/>
    <s v="Daily Sales Import"/>
    <n v="-463.11840000000007"/>
    <n v="463.11840000000007"/>
    <x v="0"/>
    <s v="2210"/>
    <s v="000"/>
    <x v="8"/>
    <x v="2"/>
  </r>
  <r>
    <d v="2013-06-24T00:00:00"/>
    <s v="016-2220-000"/>
    <s v="Beer Sales"/>
    <n v="140.72400000000002"/>
    <n v="0"/>
    <s v="Daily Sales Import"/>
    <n v="-140.72400000000002"/>
    <n v="140.72400000000002"/>
    <x v="0"/>
    <s v="2220"/>
    <s v="000"/>
    <x v="8"/>
    <x v="2"/>
  </r>
  <r>
    <d v="2013-06-24T00:00:00"/>
    <s v="016-2230-000"/>
    <s v="Wine Sales"/>
    <n v="61.148999999999994"/>
    <n v="0"/>
    <s v="Daily Sales Import"/>
    <n v="-61.148999999999994"/>
    <n v="61.148999999999994"/>
    <x v="0"/>
    <s v="2230"/>
    <s v="000"/>
    <x v="8"/>
    <x v="2"/>
  </r>
  <r>
    <d v="2013-06-25T00:00:00"/>
    <s v="016-2100-000"/>
    <s v="Food Sales"/>
    <n v="7353.0828000000001"/>
    <n v="0"/>
    <s v="Daily Sales Import"/>
    <n v="-7353.0828000000001"/>
    <n v="7353.0828000000001"/>
    <x v="0"/>
    <s v="2100"/>
    <s v="000"/>
    <x v="8"/>
    <x v="2"/>
  </r>
  <r>
    <d v="2013-06-25T00:00:00"/>
    <s v="016-2210-000"/>
    <s v="Liquor Sales"/>
    <n v="2909.3490000000002"/>
    <n v="0"/>
    <s v="Daily Sales Import"/>
    <n v="-2909.3490000000002"/>
    <n v="2909.3490000000002"/>
    <x v="0"/>
    <s v="2210"/>
    <s v="000"/>
    <x v="8"/>
    <x v="2"/>
  </r>
  <r>
    <d v="2013-06-25T00:00:00"/>
    <s v="016-2220-000"/>
    <s v="Beer Sales"/>
    <n v="954.91779999999994"/>
    <n v="0"/>
    <s v="Daily Sales Import"/>
    <n v="-954.91779999999994"/>
    <n v="954.91779999999994"/>
    <x v="0"/>
    <s v="2220"/>
    <s v="000"/>
    <x v="8"/>
    <x v="2"/>
  </r>
  <r>
    <d v="2013-06-25T00:00:00"/>
    <s v="016-2230-000"/>
    <s v="Wine Sales"/>
    <n v="156.37639999999999"/>
    <n v="0"/>
    <s v="Daily Sales Import"/>
    <n v="-156.37639999999999"/>
    <n v="156.37639999999999"/>
    <x v="0"/>
    <s v="2230"/>
    <s v="000"/>
    <x v="8"/>
    <x v="2"/>
  </r>
  <r>
    <d v="2013-06-26T00:00:00"/>
    <s v="016-2100-000"/>
    <s v="Food Sales"/>
    <n v="2848.1862999999998"/>
    <n v="0"/>
    <s v="Daily Sales Import"/>
    <n v="-2848.1862999999998"/>
    <n v="2848.1862999999998"/>
    <x v="0"/>
    <s v="2100"/>
    <s v="000"/>
    <x v="8"/>
    <x v="2"/>
  </r>
  <r>
    <d v="2013-06-26T00:00:00"/>
    <s v="016-2210-000"/>
    <s v="Liquor Sales"/>
    <n v="597.71280000000002"/>
    <n v="0"/>
    <s v="Daily Sales Import"/>
    <n v="-597.71280000000002"/>
    <n v="597.71280000000002"/>
    <x v="0"/>
    <s v="2210"/>
    <s v="000"/>
    <x v="8"/>
    <x v="2"/>
  </r>
  <r>
    <d v="2013-06-26T00:00:00"/>
    <s v="016-2220-000"/>
    <s v="Beer Sales"/>
    <n v="132.93600000000001"/>
    <n v="0"/>
    <s v="Daily Sales Import"/>
    <n v="-132.93600000000001"/>
    <n v="132.93600000000001"/>
    <x v="0"/>
    <s v="2220"/>
    <s v="000"/>
    <x v="8"/>
    <x v="2"/>
  </r>
  <r>
    <d v="2013-06-26T00:00:00"/>
    <s v="016-2230-000"/>
    <s v="Wine Sales"/>
    <n v="54.404000000000011"/>
    <n v="0"/>
    <s v="Daily Sales Import"/>
    <n v="-54.404000000000011"/>
    <n v="54.404000000000011"/>
    <x v="0"/>
    <s v="2230"/>
    <s v="000"/>
    <x v="8"/>
    <x v="2"/>
  </r>
  <r>
    <d v="2013-06-27T00:00:00"/>
    <s v="016-2100-000"/>
    <s v="Food Sales"/>
    <n v="3589.7043000000003"/>
    <n v="0"/>
    <s v="Daily Sales Import"/>
    <n v="-3589.7043000000003"/>
    <n v="3589.7043000000003"/>
    <x v="0"/>
    <s v="2100"/>
    <s v="000"/>
    <x v="8"/>
    <x v="2"/>
  </r>
  <r>
    <d v="2013-06-27T00:00:00"/>
    <s v="016-2210-000"/>
    <s v="Liquor Sales"/>
    <n v="934.13059999999984"/>
    <n v="0"/>
    <s v="Daily Sales Import"/>
    <n v="-934.13059999999984"/>
    <n v="934.13059999999984"/>
    <x v="0"/>
    <s v="2210"/>
    <s v="000"/>
    <x v="8"/>
    <x v="2"/>
  </r>
  <r>
    <d v="2013-06-27T00:00:00"/>
    <s v="016-2220-000"/>
    <s v="Beer Sales"/>
    <n v="192.57750000000001"/>
    <n v="0"/>
    <s v="Daily Sales Import"/>
    <n v="-192.57750000000001"/>
    <n v="192.57750000000001"/>
    <x v="0"/>
    <s v="2220"/>
    <s v="000"/>
    <x v="8"/>
    <x v="2"/>
  </r>
  <r>
    <d v="2013-06-27T00:00:00"/>
    <s v="016-2230-000"/>
    <s v="Wine Sales"/>
    <n v="121.595"/>
    <n v="0"/>
    <s v="Daily Sales Import"/>
    <n v="-121.595"/>
    <n v="121.595"/>
    <x v="0"/>
    <s v="2230"/>
    <s v="000"/>
    <x v="8"/>
    <x v="2"/>
  </r>
  <r>
    <d v="2013-06-28T00:00:00"/>
    <s v="016-2100-000"/>
    <s v="Food Sales"/>
    <n v="4605.2728000000006"/>
    <n v="0"/>
    <s v="Daily Sales Import"/>
    <n v="-4605.2728000000006"/>
    <n v="4605.2728000000006"/>
    <x v="0"/>
    <s v="2100"/>
    <s v="000"/>
    <x v="8"/>
    <x v="2"/>
  </r>
  <r>
    <d v="2013-06-28T00:00:00"/>
    <s v="016-2210-000"/>
    <s v="Liquor Sales"/>
    <n v="1601.5719999999999"/>
    <n v="0"/>
    <s v="Daily Sales Import"/>
    <n v="-1601.5719999999999"/>
    <n v="1601.5719999999999"/>
    <x v="0"/>
    <s v="2210"/>
    <s v="000"/>
    <x v="8"/>
    <x v="2"/>
  </r>
  <r>
    <d v="2013-06-28T00:00:00"/>
    <s v="016-2220-000"/>
    <s v="Beer Sales"/>
    <n v="314.041"/>
    <n v="0"/>
    <s v="Daily Sales Import"/>
    <n v="-314.041"/>
    <n v="314.041"/>
    <x v="0"/>
    <s v="2220"/>
    <s v="000"/>
    <x v="8"/>
    <x v="2"/>
  </r>
  <r>
    <d v="2013-06-28T00:00:00"/>
    <s v="016-2230-000"/>
    <s v="Wine Sales"/>
    <n v="185.74709999999999"/>
    <n v="0"/>
    <s v="Daily Sales Import"/>
    <n v="-185.74709999999999"/>
    <n v="185.74709999999999"/>
    <x v="0"/>
    <s v="2230"/>
    <s v="000"/>
    <x v="8"/>
    <x v="2"/>
  </r>
  <r>
    <d v="2013-06-29T00:00:00"/>
    <s v="016-2100-000"/>
    <s v="Food Sales"/>
    <n v="5924.5416999999998"/>
    <n v="0"/>
    <s v="Daily Sales Import"/>
    <n v="-5924.5416999999998"/>
    <n v="5924.5416999999998"/>
    <x v="0"/>
    <s v="2100"/>
    <s v="000"/>
    <x v="8"/>
    <x v="2"/>
  </r>
  <r>
    <d v="2013-06-29T00:00:00"/>
    <s v="016-2210-000"/>
    <s v="Liquor Sales"/>
    <n v="1354.4561999999999"/>
    <n v="0"/>
    <s v="Daily Sales Import"/>
    <n v="-1354.4561999999999"/>
    <n v="1354.4561999999999"/>
    <x v="0"/>
    <s v="2210"/>
    <s v="000"/>
    <x v="8"/>
    <x v="2"/>
  </r>
  <r>
    <d v="2013-06-29T00:00:00"/>
    <s v="016-2220-000"/>
    <s v="Beer Sales"/>
    <n v="355.07120000000003"/>
    <n v="0"/>
    <s v="Daily Sales Import"/>
    <n v="-355.07120000000003"/>
    <n v="355.07120000000003"/>
    <x v="0"/>
    <s v="2220"/>
    <s v="000"/>
    <x v="8"/>
    <x v="2"/>
  </r>
  <r>
    <d v="2013-06-29T00:00:00"/>
    <s v="016-2230-000"/>
    <s v="Wine Sales"/>
    <n v="43.749200000000002"/>
    <n v="0"/>
    <s v="Daily Sales Import"/>
    <n v="-43.749200000000002"/>
    <n v="43.749200000000002"/>
    <x v="0"/>
    <s v="2230"/>
    <s v="000"/>
    <x v="8"/>
    <x v="2"/>
  </r>
  <r>
    <d v="2013-06-30T00:00:00"/>
    <s v="016-2100-000"/>
    <s v="Food Sales"/>
    <n v="5634.3468000000003"/>
    <n v="0"/>
    <s v="Daily Sales Import"/>
    <n v="-5634.3468000000003"/>
    <n v="5634.3468000000003"/>
    <x v="0"/>
    <s v="2100"/>
    <s v="000"/>
    <x v="8"/>
    <x v="2"/>
  </r>
  <r>
    <d v="2013-06-30T00:00:00"/>
    <s v="016-2210-000"/>
    <s v="Liquor Sales"/>
    <n v="1043.2296000000001"/>
    <n v="0"/>
    <s v="Daily Sales Import"/>
    <n v="-1043.2296000000001"/>
    <n v="1043.2296000000001"/>
    <x v="0"/>
    <s v="2210"/>
    <s v="000"/>
    <x v="8"/>
    <x v="2"/>
  </r>
  <r>
    <d v="2013-06-30T00:00:00"/>
    <s v="016-2220-000"/>
    <s v="Beer Sales"/>
    <n v="158.3194"/>
    <n v="0"/>
    <s v="Daily Sales Import"/>
    <n v="-158.3194"/>
    <n v="158.3194"/>
    <x v="0"/>
    <s v="2220"/>
    <s v="000"/>
    <x v="8"/>
    <x v="2"/>
  </r>
  <r>
    <d v="2013-06-30T00:00:00"/>
    <s v="016-2230-000"/>
    <s v="Wine Sales"/>
    <n v="75.314400000000006"/>
    <n v="0"/>
    <s v="Daily Sales Import"/>
    <n v="-75.314400000000006"/>
    <n v="75.314400000000006"/>
    <x v="0"/>
    <s v="2230"/>
    <s v="000"/>
    <x v="8"/>
    <x v="2"/>
  </r>
  <r>
    <d v="2013-06-24T00:00:00"/>
    <s v="017-2100-000"/>
    <s v="Food Sales"/>
    <n v="3823.8984000000005"/>
    <n v="0"/>
    <s v="Daily Sales Import"/>
    <n v="-3823.8984000000005"/>
    <n v="3823.8984000000005"/>
    <x v="1"/>
    <s v="2100"/>
    <s v="000"/>
    <x v="8"/>
    <x v="2"/>
  </r>
  <r>
    <d v="2013-06-24T00:00:00"/>
    <s v="017-2210-000"/>
    <s v="Liquor Sales"/>
    <n v="934.8818"/>
    <n v="0"/>
    <s v="Daily Sales Import"/>
    <n v="-934.8818"/>
    <n v="934.8818"/>
    <x v="1"/>
    <s v="2210"/>
    <s v="000"/>
    <x v="8"/>
    <x v="2"/>
  </r>
  <r>
    <d v="2013-06-24T00:00:00"/>
    <s v="017-2220-000"/>
    <s v="Beer Sales"/>
    <n v="158.98979999999997"/>
    <n v="0"/>
    <s v="Daily Sales Import"/>
    <n v="-158.98979999999997"/>
    <n v="158.98979999999997"/>
    <x v="1"/>
    <s v="2220"/>
    <s v="000"/>
    <x v="8"/>
    <x v="2"/>
  </r>
  <r>
    <d v="2013-06-24T00:00:00"/>
    <s v="017-2230-000"/>
    <s v="Wine Sales"/>
    <n v="68.662199999999984"/>
    <n v="0"/>
    <s v="Daily Sales Import"/>
    <n v="-68.662199999999984"/>
    <n v="68.662199999999984"/>
    <x v="1"/>
    <s v="2230"/>
    <s v="000"/>
    <x v="8"/>
    <x v="2"/>
  </r>
  <r>
    <d v="2013-06-25T00:00:00"/>
    <s v="017-2100-000"/>
    <s v="Food Sales"/>
    <n v="5290.3296"/>
    <n v="0"/>
    <s v="Daily Sales Import"/>
    <n v="-5290.3296"/>
    <n v="5290.3296"/>
    <x v="1"/>
    <s v="2100"/>
    <s v="000"/>
    <x v="8"/>
    <x v="2"/>
  </r>
  <r>
    <d v="2013-06-25T00:00:00"/>
    <s v="017-2210-000"/>
    <s v="Liquor Sales"/>
    <n v="1439.8184000000001"/>
    <n v="0"/>
    <s v="Daily Sales Import"/>
    <n v="-1439.8184000000001"/>
    <n v="1439.8184000000001"/>
    <x v="1"/>
    <s v="2210"/>
    <s v="000"/>
    <x v="8"/>
    <x v="2"/>
  </r>
  <r>
    <d v="2013-06-25T00:00:00"/>
    <s v="017-2220-000"/>
    <s v="Beer Sales"/>
    <n v="494.24699999999996"/>
    <n v="0"/>
    <s v="Daily Sales Import"/>
    <n v="-494.24699999999996"/>
    <n v="494.24699999999996"/>
    <x v="1"/>
    <s v="2220"/>
    <s v="000"/>
    <x v="8"/>
    <x v="2"/>
  </r>
  <r>
    <d v="2013-06-25T00:00:00"/>
    <s v="017-2230-000"/>
    <s v="Wine Sales"/>
    <n v="191.04599999999999"/>
    <n v="0"/>
    <s v="Daily Sales Import"/>
    <n v="-191.04599999999999"/>
    <n v="191.04599999999999"/>
    <x v="1"/>
    <s v="2230"/>
    <s v="000"/>
    <x v="8"/>
    <x v="2"/>
  </r>
  <r>
    <d v="2013-06-26T00:00:00"/>
    <s v="017-2100-000"/>
    <s v="Food Sales"/>
    <n v="7303.0601999999999"/>
    <n v="0"/>
    <s v="Daily Sales Import"/>
    <n v="-7303.0601999999999"/>
    <n v="7303.0601999999999"/>
    <x v="1"/>
    <s v="2100"/>
    <s v="000"/>
    <x v="8"/>
    <x v="2"/>
  </r>
  <r>
    <d v="2013-06-26T00:00:00"/>
    <s v="017-2210-000"/>
    <s v="Liquor Sales"/>
    <n v="1827.9878000000001"/>
    <n v="0"/>
    <s v="Daily Sales Import"/>
    <n v="-1827.9878000000001"/>
    <n v="1827.9878000000001"/>
    <x v="1"/>
    <s v="2210"/>
    <s v="000"/>
    <x v="8"/>
    <x v="2"/>
  </r>
  <r>
    <d v="2013-06-26T00:00:00"/>
    <s v="017-2220-000"/>
    <s v="Beer Sales"/>
    <n v="383.05919999999998"/>
    <n v="0"/>
    <s v="Daily Sales Import"/>
    <n v="-383.05919999999998"/>
    <n v="383.05919999999998"/>
    <x v="1"/>
    <s v="2220"/>
    <s v="000"/>
    <x v="8"/>
    <x v="2"/>
  </r>
  <r>
    <d v="2013-06-26T00:00:00"/>
    <s v="017-2230-000"/>
    <s v="Wine Sales"/>
    <n v="138.83760000000001"/>
    <n v="0"/>
    <s v="Daily Sales Import"/>
    <n v="-138.83760000000001"/>
    <n v="138.83760000000001"/>
    <x v="1"/>
    <s v="2230"/>
    <s v="000"/>
    <x v="8"/>
    <x v="2"/>
  </r>
  <r>
    <d v="2013-06-27T00:00:00"/>
    <s v="017-2100-000"/>
    <s v="Food Sales"/>
    <n v="7337.3549999999996"/>
    <n v="0"/>
    <s v="Daily Sales Import"/>
    <n v="-7337.3549999999996"/>
    <n v="7337.3549999999996"/>
    <x v="1"/>
    <s v="2100"/>
    <s v="000"/>
    <x v="8"/>
    <x v="2"/>
  </r>
  <r>
    <d v="2013-06-27T00:00:00"/>
    <s v="017-2210-000"/>
    <s v="Liquor Sales"/>
    <n v="2399.9535000000001"/>
    <n v="0"/>
    <s v="Daily Sales Import"/>
    <n v="-2399.9535000000001"/>
    <n v="2399.9535000000001"/>
    <x v="1"/>
    <s v="2210"/>
    <s v="000"/>
    <x v="8"/>
    <x v="2"/>
  </r>
  <r>
    <d v="2013-06-27T00:00:00"/>
    <s v="017-2220-000"/>
    <s v="Beer Sales"/>
    <n v="836.10630000000003"/>
    <n v="0"/>
    <s v="Daily Sales Import"/>
    <n v="-836.10630000000003"/>
    <n v="836.10630000000003"/>
    <x v="1"/>
    <s v="2220"/>
    <s v="000"/>
    <x v="8"/>
    <x v="2"/>
  </r>
  <r>
    <d v="2013-06-27T00:00:00"/>
    <s v="017-2230-000"/>
    <s v="Wine Sales"/>
    <n v="133.52670000000001"/>
    <n v="0"/>
    <s v="Daily Sales Import"/>
    <n v="-133.52670000000001"/>
    <n v="133.52670000000001"/>
    <x v="1"/>
    <s v="2230"/>
    <s v="000"/>
    <x v="8"/>
    <x v="2"/>
  </r>
  <r>
    <d v="2013-06-28T00:00:00"/>
    <s v="017-2100-000"/>
    <s v="Food Sales"/>
    <n v="9819.4856999999993"/>
    <n v="0"/>
    <s v="Daily Sales Import"/>
    <n v="-9819.4856999999993"/>
    <n v="9819.4856999999993"/>
    <x v="1"/>
    <s v="2100"/>
    <s v="000"/>
    <x v="8"/>
    <x v="2"/>
  </r>
  <r>
    <d v="2013-06-28T00:00:00"/>
    <s v="017-2210-000"/>
    <s v="Liquor Sales"/>
    <n v="2719.558"/>
    <n v="0"/>
    <s v="Daily Sales Import"/>
    <n v="-2719.558"/>
    <n v="2719.558"/>
    <x v="1"/>
    <s v="2210"/>
    <s v="000"/>
    <x v="8"/>
    <x v="2"/>
  </r>
  <r>
    <d v="2013-06-28T00:00:00"/>
    <s v="017-2220-000"/>
    <s v="Beer Sales"/>
    <n v="560.19690000000003"/>
    <n v="0"/>
    <s v="Daily Sales Import"/>
    <n v="-560.19690000000003"/>
    <n v="560.19690000000003"/>
    <x v="1"/>
    <s v="2220"/>
    <s v="000"/>
    <x v="8"/>
    <x v="2"/>
  </r>
  <r>
    <d v="2013-06-28T00:00:00"/>
    <s v="017-2230-000"/>
    <s v="Wine Sales"/>
    <n v="142.45999999999998"/>
    <n v="0"/>
    <s v="Daily Sales Import"/>
    <n v="-142.45999999999998"/>
    <n v="142.45999999999998"/>
    <x v="1"/>
    <s v="2230"/>
    <s v="000"/>
    <x v="8"/>
    <x v="2"/>
  </r>
  <r>
    <d v="2013-06-29T00:00:00"/>
    <s v="017-2100-000"/>
    <s v="Food Sales"/>
    <n v="6800.7019"/>
    <n v="0"/>
    <s v="Daily Sales Import"/>
    <n v="-6800.7019"/>
    <n v="6800.7019"/>
    <x v="1"/>
    <s v="2100"/>
    <s v="000"/>
    <x v="8"/>
    <x v="2"/>
  </r>
  <r>
    <d v="2013-06-29T00:00:00"/>
    <s v="017-2210-000"/>
    <s v="Liquor Sales"/>
    <n v="1695.8447999999999"/>
    <n v="0"/>
    <s v="Daily Sales Import"/>
    <n v="-1695.8447999999999"/>
    <n v="1695.8447999999999"/>
    <x v="1"/>
    <s v="2210"/>
    <s v="000"/>
    <x v="8"/>
    <x v="2"/>
  </r>
  <r>
    <d v="2013-06-29T00:00:00"/>
    <s v="017-2220-000"/>
    <s v="Beer Sales"/>
    <n v="328.34159999999997"/>
    <n v="0"/>
    <s v="Daily Sales Import"/>
    <n v="-328.34159999999997"/>
    <n v="328.34159999999997"/>
    <x v="1"/>
    <s v="2220"/>
    <s v="000"/>
    <x v="8"/>
    <x v="2"/>
  </r>
  <r>
    <d v="2013-06-29T00:00:00"/>
    <s v="017-2230-000"/>
    <s v="Wine Sales"/>
    <n v="56.02239999999999"/>
    <n v="0"/>
    <s v="Daily Sales Import"/>
    <n v="-56.02239999999999"/>
    <n v="56.02239999999999"/>
    <x v="1"/>
    <s v="2230"/>
    <s v="000"/>
    <x v="8"/>
    <x v="2"/>
  </r>
  <r>
    <d v="2013-06-30T00:00:00"/>
    <s v="017-2100-000"/>
    <s v="Food Sales"/>
    <n v="6643.9364000000005"/>
    <n v="0"/>
    <s v="Daily Sales Import"/>
    <n v="-6643.9364000000005"/>
    <n v="6643.9364000000005"/>
    <x v="1"/>
    <s v="2100"/>
    <s v="000"/>
    <x v="8"/>
    <x v="2"/>
  </r>
  <r>
    <d v="2013-06-30T00:00:00"/>
    <s v="017-2210-000"/>
    <s v="Liquor Sales"/>
    <n v="951.98400000000004"/>
    <n v="0"/>
    <s v="Daily Sales Import"/>
    <n v="-951.98400000000004"/>
    <n v="951.98400000000004"/>
    <x v="1"/>
    <s v="2210"/>
    <s v="000"/>
    <x v="8"/>
    <x v="2"/>
  </r>
  <r>
    <d v="2013-06-30T00:00:00"/>
    <s v="017-2220-000"/>
    <s v="Beer Sales"/>
    <n v="294.32800000000003"/>
    <n v="0"/>
    <s v="Daily Sales Import"/>
    <n v="-294.32800000000003"/>
    <n v="294.32800000000003"/>
    <x v="1"/>
    <s v="2220"/>
    <s v="000"/>
    <x v="8"/>
    <x v="2"/>
  </r>
  <r>
    <d v="2013-06-30T00:00:00"/>
    <s v="017-2230-000"/>
    <s v="Wine Sales"/>
    <n v="110.02680000000001"/>
    <n v="0"/>
    <s v="Daily Sales Import"/>
    <n v="-110.02680000000001"/>
    <n v="110.02680000000001"/>
    <x v="1"/>
    <s v="2230"/>
    <s v="000"/>
    <x v="8"/>
    <x v="2"/>
  </r>
  <r>
    <d v="2013-06-24T00:00:00"/>
    <s v="018-2100-000"/>
    <s v="Food Sales"/>
    <n v="3560.0320000000002"/>
    <n v="0"/>
    <s v="Daily Sales Import"/>
    <n v="-3560.0320000000002"/>
    <n v="3560.0320000000002"/>
    <x v="2"/>
    <s v="2100"/>
    <s v="000"/>
    <x v="8"/>
    <x v="2"/>
  </r>
  <r>
    <d v="2013-06-24T00:00:00"/>
    <s v="018-2210-000"/>
    <s v="Liquor Sales"/>
    <n v="633.05200000000013"/>
    <n v="0"/>
    <s v="Daily Sales Import"/>
    <n v="-633.05200000000013"/>
    <n v="633.05200000000013"/>
    <x v="2"/>
    <s v="2210"/>
    <s v="000"/>
    <x v="8"/>
    <x v="2"/>
  </r>
  <r>
    <d v="2013-06-24T00:00:00"/>
    <s v="018-2220-000"/>
    <s v="Beer Sales"/>
    <n v="190.20960000000002"/>
    <n v="0"/>
    <s v="Daily Sales Import"/>
    <n v="-190.20960000000002"/>
    <n v="190.20960000000002"/>
    <x v="2"/>
    <s v="2220"/>
    <s v="000"/>
    <x v="8"/>
    <x v="2"/>
  </r>
  <r>
    <d v="2013-06-24T00:00:00"/>
    <s v="018-2230-000"/>
    <s v="Wine Sales"/>
    <n v="40.252200000000002"/>
    <n v="0"/>
    <s v="Daily Sales Import"/>
    <n v="-40.252200000000002"/>
    <n v="40.252200000000002"/>
    <x v="2"/>
    <s v="2230"/>
    <s v="000"/>
    <x v="8"/>
    <x v="2"/>
  </r>
  <r>
    <d v="2013-06-25T00:00:00"/>
    <s v="018-2100-000"/>
    <s v="Food Sales"/>
    <n v="3533.4242999999997"/>
    <n v="0"/>
    <s v="Daily Sales Import"/>
    <n v="-3533.4242999999997"/>
    <n v="3533.4242999999997"/>
    <x v="2"/>
    <s v="2100"/>
    <s v="000"/>
    <x v="8"/>
    <x v="2"/>
  </r>
  <r>
    <d v="2013-06-25T00:00:00"/>
    <s v="018-2210-000"/>
    <s v="Liquor Sales"/>
    <n v="709.65899999999988"/>
    <n v="0"/>
    <s v="Daily Sales Import"/>
    <n v="-709.65899999999988"/>
    <n v="709.65899999999988"/>
    <x v="2"/>
    <s v="2210"/>
    <s v="000"/>
    <x v="8"/>
    <x v="2"/>
  </r>
  <r>
    <d v="2013-06-25T00:00:00"/>
    <s v="018-2220-000"/>
    <s v="Beer Sales"/>
    <n v="309.82319999999999"/>
    <n v="0"/>
    <s v="Daily Sales Import"/>
    <n v="-309.82319999999999"/>
    <n v="309.82319999999999"/>
    <x v="2"/>
    <s v="2220"/>
    <s v="000"/>
    <x v="8"/>
    <x v="2"/>
  </r>
  <r>
    <d v="2013-06-25T00:00:00"/>
    <s v="018-2230-000"/>
    <s v="Wine Sales"/>
    <n v="79.6053"/>
    <n v="0"/>
    <s v="Daily Sales Import"/>
    <n v="-79.6053"/>
    <n v="79.6053"/>
    <x v="2"/>
    <s v="2230"/>
    <s v="000"/>
    <x v="8"/>
    <x v="2"/>
  </r>
  <r>
    <d v="2013-06-26T00:00:00"/>
    <s v="018-2100-000"/>
    <s v="Food Sales"/>
    <n v="5492.0168000000003"/>
    <n v="0"/>
    <s v="Daily Sales Import"/>
    <n v="-5492.0168000000003"/>
    <n v="5492.0168000000003"/>
    <x v="2"/>
    <s v="2100"/>
    <s v="000"/>
    <x v="8"/>
    <x v="2"/>
  </r>
  <r>
    <d v="2013-06-26T00:00:00"/>
    <s v="018-2210-000"/>
    <s v="Liquor Sales"/>
    <n v="883.74329999999986"/>
    <n v="0"/>
    <s v="Daily Sales Import"/>
    <n v="-883.74329999999986"/>
    <n v="883.74329999999986"/>
    <x v="2"/>
    <s v="2210"/>
    <s v="000"/>
    <x v="8"/>
    <x v="2"/>
  </r>
  <r>
    <d v="2013-06-26T00:00:00"/>
    <s v="018-2220-000"/>
    <s v="Beer Sales"/>
    <n v="451.80099999999999"/>
    <n v="0"/>
    <s v="Daily Sales Import"/>
    <n v="-451.80099999999999"/>
    <n v="451.80099999999999"/>
    <x v="2"/>
    <s v="2220"/>
    <s v="000"/>
    <x v="8"/>
    <x v="2"/>
  </r>
  <r>
    <d v="2013-06-26T00:00:00"/>
    <s v="018-2230-000"/>
    <s v="Wine Sales"/>
    <n v="69.292299999999997"/>
    <n v="0"/>
    <s v="Daily Sales Import"/>
    <n v="-69.292299999999997"/>
    <n v="69.292299999999997"/>
    <x v="2"/>
    <s v="2230"/>
    <s v="000"/>
    <x v="8"/>
    <x v="2"/>
  </r>
  <r>
    <d v="2013-06-27T00:00:00"/>
    <s v="018-2100-000"/>
    <s v="Food Sales"/>
    <n v="5310.5236999999997"/>
    <n v="0"/>
    <s v="Daily Sales Import"/>
    <n v="-5310.5236999999997"/>
    <n v="5310.5236999999997"/>
    <x v="2"/>
    <s v="2100"/>
    <s v="000"/>
    <x v="8"/>
    <x v="2"/>
  </r>
  <r>
    <d v="2013-06-27T00:00:00"/>
    <s v="018-2210-000"/>
    <s v="Liquor Sales"/>
    <n v="1264.7103"/>
    <n v="0"/>
    <s v="Daily Sales Import"/>
    <n v="-1264.7103"/>
    <n v="1264.7103"/>
    <x v="2"/>
    <s v="2210"/>
    <s v="000"/>
    <x v="8"/>
    <x v="2"/>
  </r>
  <r>
    <d v="2013-06-27T00:00:00"/>
    <s v="018-2220-000"/>
    <s v="Beer Sales"/>
    <n v="425.48869999999999"/>
    <n v="0"/>
    <s v="Daily Sales Import"/>
    <n v="-425.48869999999999"/>
    <n v="425.48869999999999"/>
    <x v="2"/>
    <s v="2220"/>
    <s v="000"/>
    <x v="8"/>
    <x v="2"/>
  </r>
  <r>
    <d v="2013-06-27T00:00:00"/>
    <s v="018-2230-000"/>
    <s v="Wine Sales"/>
    <n v="54.924199999999999"/>
    <n v="0"/>
    <s v="Daily Sales Import"/>
    <n v="-54.924199999999999"/>
    <n v="54.924199999999999"/>
    <x v="2"/>
    <s v="2230"/>
    <s v="000"/>
    <x v="8"/>
    <x v="2"/>
  </r>
  <r>
    <d v="2013-06-28T00:00:00"/>
    <s v="018-2100-000"/>
    <s v="Food Sales"/>
    <n v="8213.7909999999993"/>
    <n v="0"/>
    <s v="Daily Sales Import"/>
    <n v="-8213.7909999999993"/>
    <n v="8213.7909999999993"/>
    <x v="2"/>
    <s v="2100"/>
    <s v="000"/>
    <x v="8"/>
    <x v="2"/>
  </r>
  <r>
    <d v="2013-06-28T00:00:00"/>
    <s v="018-2210-000"/>
    <s v="Liquor Sales"/>
    <n v="2467.3308000000002"/>
    <n v="0"/>
    <s v="Daily Sales Import"/>
    <n v="-2467.3308000000002"/>
    <n v="2467.3308000000002"/>
    <x v="2"/>
    <s v="2210"/>
    <s v="000"/>
    <x v="8"/>
    <x v="2"/>
  </r>
  <r>
    <d v="2013-06-28T00:00:00"/>
    <s v="018-2220-000"/>
    <s v="Beer Sales"/>
    <n v="686.56459999999993"/>
    <n v="0"/>
    <s v="Daily Sales Import"/>
    <n v="-686.56459999999993"/>
    <n v="686.56459999999993"/>
    <x v="2"/>
    <s v="2220"/>
    <s v="000"/>
    <x v="8"/>
    <x v="2"/>
  </r>
  <r>
    <d v="2013-06-28T00:00:00"/>
    <s v="018-2230-000"/>
    <s v="Wine Sales"/>
    <n v="104.05199999999999"/>
    <n v="0"/>
    <s v="Daily Sales Import"/>
    <n v="-104.05199999999999"/>
    <n v="104.05199999999999"/>
    <x v="2"/>
    <s v="2230"/>
    <s v="000"/>
    <x v="8"/>
    <x v="2"/>
  </r>
  <r>
    <d v="2013-06-29T00:00:00"/>
    <s v="018-2100-000"/>
    <s v="Food Sales"/>
    <n v="10691.915999999999"/>
    <n v="0"/>
    <s v="Daily Sales Import"/>
    <n v="-10691.915999999999"/>
    <n v="10691.915999999999"/>
    <x v="2"/>
    <s v="2100"/>
    <s v="000"/>
    <x v="8"/>
    <x v="2"/>
  </r>
  <r>
    <d v="2013-06-29T00:00:00"/>
    <s v="018-2210-000"/>
    <s v="Liquor Sales"/>
    <n v="2796.8616000000002"/>
    <n v="0"/>
    <s v="Daily Sales Import"/>
    <n v="-2796.8616000000002"/>
    <n v="2796.8616000000002"/>
    <x v="2"/>
    <s v="2210"/>
    <s v="000"/>
    <x v="8"/>
    <x v="2"/>
  </r>
  <r>
    <d v="2013-06-29T00:00:00"/>
    <s v="018-2220-000"/>
    <s v="Beer Sales"/>
    <n v="578.37599999999998"/>
    <n v="0"/>
    <s v="Daily Sales Import"/>
    <n v="-578.37599999999998"/>
    <n v="578.37599999999998"/>
    <x v="2"/>
    <s v="2220"/>
    <s v="000"/>
    <x v="8"/>
    <x v="2"/>
  </r>
  <r>
    <d v="2013-06-29T00:00:00"/>
    <s v="018-2230-000"/>
    <s v="Wine Sales"/>
    <n v="34.839999999999996"/>
    <n v="0"/>
    <s v="Daily Sales Import"/>
    <n v="-34.839999999999996"/>
    <n v="34.839999999999996"/>
    <x v="2"/>
    <s v="2230"/>
    <s v="000"/>
    <x v="8"/>
    <x v="2"/>
  </r>
  <r>
    <d v="2013-06-30T00:00:00"/>
    <s v="018-2100-000"/>
    <s v="Food Sales"/>
    <n v="11726.928000000002"/>
    <n v="0"/>
    <s v="Daily Sales Import"/>
    <n v="-11726.928000000002"/>
    <n v="11726.928000000002"/>
    <x v="2"/>
    <s v="2100"/>
    <s v="000"/>
    <x v="8"/>
    <x v="2"/>
  </r>
  <r>
    <d v="2013-06-30T00:00:00"/>
    <s v="018-2210-000"/>
    <s v="Liquor Sales"/>
    <n v="1386.615"/>
    <n v="0"/>
    <s v="Daily Sales Import"/>
    <n v="-1386.615"/>
    <n v="1386.615"/>
    <x v="2"/>
    <s v="2210"/>
    <s v="000"/>
    <x v="8"/>
    <x v="2"/>
  </r>
  <r>
    <d v="2013-06-30T00:00:00"/>
    <s v="018-2220-000"/>
    <s v="Beer Sales"/>
    <n v="257.024"/>
    <n v="0"/>
    <s v="Daily Sales Import"/>
    <n v="-257.024"/>
    <n v="257.024"/>
    <x v="2"/>
    <s v="2220"/>
    <s v="000"/>
    <x v="8"/>
    <x v="2"/>
  </r>
  <r>
    <d v="2013-06-30T00:00:00"/>
    <s v="018-2230-000"/>
    <s v="Wine Sales"/>
    <n v="150.518"/>
    <n v="0"/>
    <s v="Daily Sales Import"/>
    <n v="-150.518"/>
    <n v="150.518"/>
    <x v="2"/>
    <s v="2230"/>
    <s v="000"/>
    <x v="8"/>
    <x v="2"/>
  </r>
  <r>
    <d v="2013-07-01T00:00:00"/>
    <s v="016-2100-000"/>
    <s v="Food Sales"/>
    <n v="3946.0456000000004"/>
    <n v="0"/>
    <s v="Daily Sales Import"/>
    <n v="-3946.0456000000004"/>
    <n v="3946.0456000000004"/>
    <x v="0"/>
    <s v="2100"/>
    <s v="000"/>
    <x v="9"/>
    <x v="2"/>
  </r>
  <r>
    <d v="2013-07-01T00:00:00"/>
    <s v="016-2210-000"/>
    <s v="Liquor Sales"/>
    <n v="879.98470000000009"/>
    <n v="0"/>
    <s v="Daily Sales Import"/>
    <n v="-879.98470000000009"/>
    <n v="879.98470000000009"/>
    <x v="0"/>
    <s v="2210"/>
    <s v="000"/>
    <x v="9"/>
    <x v="2"/>
  </r>
  <r>
    <d v="2013-07-01T00:00:00"/>
    <s v="016-2220-000"/>
    <s v="Beer Sales"/>
    <n v="190.30870000000002"/>
    <n v="0"/>
    <s v="Daily Sales Import"/>
    <n v="-190.30870000000002"/>
    <n v="190.30870000000002"/>
    <x v="0"/>
    <s v="2220"/>
    <s v="000"/>
    <x v="9"/>
    <x v="2"/>
  </r>
  <r>
    <d v="2013-07-01T00:00:00"/>
    <s v="016-2230-000"/>
    <s v="Wine Sales"/>
    <n v="68.339200000000005"/>
    <n v="0"/>
    <s v="Daily Sales Import"/>
    <n v="-68.339200000000005"/>
    <n v="68.339200000000005"/>
    <x v="0"/>
    <s v="2230"/>
    <s v="000"/>
    <x v="9"/>
    <x v="2"/>
  </r>
  <r>
    <d v="2013-07-02T00:00:00"/>
    <s v="016-2100-000"/>
    <s v="Food Sales"/>
    <n v="8358.3755000000001"/>
    <n v="0"/>
    <s v="Daily Sales Import"/>
    <n v="-8358.3755000000001"/>
    <n v="8358.3755000000001"/>
    <x v="0"/>
    <s v="2100"/>
    <s v="000"/>
    <x v="9"/>
    <x v="2"/>
  </r>
  <r>
    <d v="2013-07-02T00:00:00"/>
    <s v="016-2210-000"/>
    <s v="Liquor Sales"/>
    <n v="2258.3824"/>
    <n v="0"/>
    <s v="Daily Sales Import"/>
    <n v="-2258.3824"/>
    <n v="2258.3824"/>
    <x v="0"/>
    <s v="2210"/>
    <s v="000"/>
    <x v="9"/>
    <x v="2"/>
  </r>
  <r>
    <d v="2013-07-02T00:00:00"/>
    <s v="016-2220-000"/>
    <s v="Beer Sales"/>
    <n v="673.01609999999994"/>
    <n v="0"/>
    <s v="Daily Sales Import"/>
    <n v="-673.01609999999994"/>
    <n v="673.01609999999994"/>
    <x v="0"/>
    <s v="2220"/>
    <s v="000"/>
    <x v="9"/>
    <x v="2"/>
  </r>
  <r>
    <d v="2013-07-02T00:00:00"/>
    <s v="016-2230-000"/>
    <s v="Wine Sales"/>
    <n v="130.05369999999999"/>
    <n v="0"/>
    <s v="Daily Sales Import"/>
    <n v="-130.05369999999999"/>
    <n v="130.05369999999999"/>
    <x v="0"/>
    <s v="2230"/>
    <s v="000"/>
    <x v="9"/>
    <x v="2"/>
  </r>
  <r>
    <d v="2013-07-03T00:00:00"/>
    <s v="016-2100-000"/>
    <s v="Food Sales"/>
    <n v="3317.8405000000002"/>
    <n v="0"/>
    <s v="Daily Sales Import"/>
    <n v="-3317.8405000000002"/>
    <n v="3317.8405000000002"/>
    <x v="0"/>
    <s v="2100"/>
    <s v="000"/>
    <x v="9"/>
    <x v="2"/>
  </r>
  <r>
    <d v="2013-07-03T00:00:00"/>
    <s v="016-2210-000"/>
    <s v="Liquor Sales"/>
    <n v="1516.3908999999999"/>
    <n v="0"/>
    <s v="Daily Sales Import"/>
    <n v="-1516.3908999999999"/>
    <n v="1516.3908999999999"/>
    <x v="0"/>
    <s v="2210"/>
    <s v="000"/>
    <x v="9"/>
    <x v="2"/>
  </r>
  <r>
    <d v="2013-07-03T00:00:00"/>
    <s v="016-2220-000"/>
    <s v="Beer Sales"/>
    <n v="284.60699999999997"/>
    <n v="0"/>
    <s v="Daily Sales Import"/>
    <n v="-284.60699999999997"/>
    <n v="284.60699999999997"/>
    <x v="0"/>
    <s v="2220"/>
    <s v="000"/>
    <x v="9"/>
    <x v="2"/>
  </r>
  <r>
    <d v="2013-07-03T00:00:00"/>
    <s v="016-2230-000"/>
    <s v="Wine Sales"/>
    <n v="51.704999999999998"/>
    <n v="0"/>
    <s v="Daily Sales Import"/>
    <n v="-51.704999999999998"/>
    <n v="51.704999999999998"/>
    <x v="0"/>
    <s v="2230"/>
    <s v="000"/>
    <x v="9"/>
    <x v="2"/>
  </r>
  <r>
    <d v="2013-07-04T00:00:00"/>
    <s v="016-2100-000"/>
    <s v="Food Sales"/>
    <n v="3769.74"/>
    <n v="0"/>
    <s v="Daily Sales Import"/>
    <n v="-3769.74"/>
    <n v="3769.74"/>
    <x v="0"/>
    <s v="2100"/>
    <s v="000"/>
    <x v="9"/>
    <x v="2"/>
  </r>
  <r>
    <d v="2013-07-04T00:00:00"/>
    <s v="016-2210-000"/>
    <s v="Liquor Sales"/>
    <n v="1197.9780000000001"/>
    <n v="0"/>
    <s v="Daily Sales Import"/>
    <n v="-1197.9780000000001"/>
    <n v="1197.9780000000001"/>
    <x v="0"/>
    <s v="2210"/>
    <s v="000"/>
    <x v="9"/>
    <x v="2"/>
  </r>
  <r>
    <d v="2013-07-04T00:00:00"/>
    <s v="016-2220-000"/>
    <s v="Beer Sales"/>
    <n v="253.24"/>
    <n v="0"/>
    <s v="Daily Sales Import"/>
    <n v="-253.24"/>
    <n v="253.24"/>
    <x v="0"/>
    <s v="2220"/>
    <s v="000"/>
    <x v="9"/>
    <x v="2"/>
  </r>
  <r>
    <d v="2013-07-04T00:00:00"/>
    <s v="016-2230-000"/>
    <s v="Wine Sales"/>
    <n v="87.651200000000003"/>
    <n v="0"/>
    <s v="Daily Sales Import"/>
    <n v="-87.651200000000003"/>
    <n v="87.651200000000003"/>
    <x v="0"/>
    <s v="2230"/>
    <s v="000"/>
    <x v="9"/>
    <x v="2"/>
  </r>
  <r>
    <d v="2013-07-05T00:00:00"/>
    <s v="016-2100-000"/>
    <s v="Food Sales"/>
    <n v="5997.9680000000008"/>
    <n v="0"/>
    <s v="Daily Sales Import"/>
    <n v="-5997.9680000000008"/>
    <n v="5997.9680000000008"/>
    <x v="0"/>
    <s v="2100"/>
    <s v="000"/>
    <x v="9"/>
    <x v="2"/>
  </r>
  <r>
    <d v="2013-07-05T00:00:00"/>
    <s v="016-2210-000"/>
    <s v="Liquor Sales"/>
    <n v="1092.1489999999999"/>
    <n v="0"/>
    <s v="Daily Sales Import"/>
    <n v="-1092.1489999999999"/>
    <n v="1092.1489999999999"/>
    <x v="0"/>
    <s v="2210"/>
    <s v="000"/>
    <x v="9"/>
    <x v="2"/>
  </r>
  <r>
    <d v="2013-07-05T00:00:00"/>
    <s v="016-2220-000"/>
    <s v="Beer Sales"/>
    <n v="218.52599999999998"/>
    <n v="0"/>
    <s v="Daily Sales Import"/>
    <n v="-218.52599999999998"/>
    <n v="218.52599999999998"/>
    <x v="0"/>
    <s v="2220"/>
    <s v="000"/>
    <x v="9"/>
    <x v="2"/>
  </r>
  <r>
    <d v="2013-07-05T00:00:00"/>
    <s v="016-2230-000"/>
    <s v="Wine Sales"/>
    <n v="114.15160000000002"/>
    <n v="0"/>
    <s v="Daily Sales Import"/>
    <n v="-114.15160000000002"/>
    <n v="114.15160000000002"/>
    <x v="0"/>
    <s v="2230"/>
    <s v="000"/>
    <x v="9"/>
    <x v="2"/>
  </r>
  <r>
    <d v="2013-07-06T00:00:00"/>
    <s v="016-2100-000"/>
    <s v="Food Sales"/>
    <n v="4774.8904000000002"/>
    <n v="0"/>
    <s v="Daily Sales Import"/>
    <n v="-4774.8904000000002"/>
    <n v="4774.8904000000002"/>
    <x v="0"/>
    <s v="2100"/>
    <s v="000"/>
    <x v="9"/>
    <x v="2"/>
  </r>
  <r>
    <d v="2013-07-06T00:00:00"/>
    <s v="016-2210-000"/>
    <s v="Liquor Sales"/>
    <n v="1862.0822999999998"/>
    <n v="0"/>
    <s v="Daily Sales Import"/>
    <n v="-1862.0822999999998"/>
    <n v="1862.0822999999998"/>
    <x v="0"/>
    <s v="2210"/>
    <s v="000"/>
    <x v="9"/>
    <x v="2"/>
  </r>
  <r>
    <d v="2013-07-06T00:00:00"/>
    <s v="016-2220-000"/>
    <s v="Beer Sales"/>
    <n v="284.7704"/>
    <n v="0"/>
    <s v="Daily Sales Import"/>
    <n v="-284.7704"/>
    <n v="284.7704"/>
    <x v="0"/>
    <s v="2220"/>
    <s v="000"/>
    <x v="9"/>
    <x v="2"/>
  </r>
  <r>
    <d v="2013-07-06T00:00:00"/>
    <s v="016-2230-000"/>
    <s v="Wine Sales"/>
    <n v="74.9375"/>
    <n v="0"/>
    <s v="Daily Sales Import"/>
    <n v="-74.9375"/>
    <n v="74.9375"/>
    <x v="0"/>
    <s v="2230"/>
    <s v="000"/>
    <x v="9"/>
    <x v="2"/>
  </r>
  <r>
    <d v="2013-07-07T00:00:00"/>
    <s v="016-2100-000"/>
    <s v="Food Sales"/>
    <n v="6897.7363000000005"/>
    <n v="0"/>
    <s v="Daily Sales Import"/>
    <n v="-6897.7363000000005"/>
    <n v="6897.7363000000005"/>
    <x v="0"/>
    <s v="2100"/>
    <s v="000"/>
    <x v="9"/>
    <x v="2"/>
  </r>
  <r>
    <d v="2013-07-07T00:00:00"/>
    <s v="016-2210-000"/>
    <s v="Liquor Sales"/>
    <n v="1284.9459999999999"/>
    <n v="0"/>
    <s v="Daily Sales Import"/>
    <n v="-1284.9459999999999"/>
    <n v="1284.9459999999999"/>
    <x v="0"/>
    <s v="2210"/>
    <s v="000"/>
    <x v="9"/>
    <x v="2"/>
  </r>
  <r>
    <d v="2013-07-07T00:00:00"/>
    <s v="016-2220-000"/>
    <s v="Beer Sales"/>
    <n v="281.0136"/>
    <n v="0"/>
    <s v="Daily Sales Import"/>
    <n v="-281.0136"/>
    <n v="281.0136"/>
    <x v="0"/>
    <s v="2220"/>
    <s v="000"/>
    <x v="9"/>
    <x v="2"/>
  </r>
  <r>
    <d v="2013-07-07T00:00:00"/>
    <s v="016-2230-000"/>
    <s v="Wine Sales"/>
    <n v="161.83860000000001"/>
    <n v="0"/>
    <s v="Daily Sales Import"/>
    <n v="-161.83860000000001"/>
    <n v="161.83860000000001"/>
    <x v="0"/>
    <s v="2230"/>
    <s v="000"/>
    <x v="9"/>
    <x v="2"/>
  </r>
  <r>
    <d v="2013-07-01T00:00:00"/>
    <s v="017-2100-000"/>
    <s v="Food Sales"/>
    <n v="4305.1320000000005"/>
    <n v="0"/>
    <s v="Daily Sales Import"/>
    <n v="-4305.1320000000005"/>
    <n v="4305.1320000000005"/>
    <x v="1"/>
    <s v="2100"/>
    <s v="000"/>
    <x v="9"/>
    <x v="2"/>
  </r>
  <r>
    <d v="2013-07-01T00:00:00"/>
    <s v="017-2210-000"/>
    <s v="Liquor Sales"/>
    <n v="1075.4562000000001"/>
    <n v="0"/>
    <s v="Daily Sales Import"/>
    <n v="-1075.4562000000001"/>
    <n v="1075.4562000000001"/>
    <x v="1"/>
    <s v="2210"/>
    <s v="000"/>
    <x v="9"/>
    <x v="2"/>
  </r>
  <r>
    <d v="2013-07-01T00:00:00"/>
    <s v="017-2220-000"/>
    <s v="Beer Sales"/>
    <n v="167.47900000000001"/>
    <n v="0"/>
    <s v="Daily Sales Import"/>
    <n v="-167.47900000000001"/>
    <n v="167.47900000000001"/>
    <x v="1"/>
    <s v="2220"/>
    <s v="000"/>
    <x v="9"/>
    <x v="2"/>
  </r>
  <r>
    <d v="2013-07-01T00:00:00"/>
    <s v="017-2230-000"/>
    <s v="Wine Sales"/>
    <n v="60.83"/>
    <n v="0"/>
    <s v="Daily Sales Import"/>
    <n v="-60.83"/>
    <n v="60.83"/>
    <x v="1"/>
    <s v="2230"/>
    <s v="000"/>
    <x v="9"/>
    <x v="2"/>
  </r>
  <r>
    <d v="2013-07-02T00:00:00"/>
    <s v="017-2100-000"/>
    <s v="Food Sales"/>
    <n v="6052.884"/>
    <n v="0"/>
    <s v="Daily Sales Import"/>
    <n v="-6052.884"/>
    <n v="6052.884"/>
    <x v="1"/>
    <s v="2100"/>
    <s v="000"/>
    <x v="9"/>
    <x v="2"/>
  </r>
  <r>
    <d v="2013-07-02T00:00:00"/>
    <s v="017-2210-000"/>
    <s v="Liquor Sales"/>
    <n v="1686.828"/>
    <n v="0"/>
    <s v="Daily Sales Import"/>
    <n v="-1686.828"/>
    <n v="1686.828"/>
    <x v="1"/>
    <s v="2210"/>
    <s v="000"/>
    <x v="9"/>
    <x v="2"/>
  </r>
  <r>
    <d v="2013-07-02T00:00:00"/>
    <s v="017-2220-000"/>
    <s v="Beer Sales"/>
    <n v="653.92920000000004"/>
    <n v="0"/>
    <s v="Daily Sales Import"/>
    <n v="-653.92920000000004"/>
    <n v="653.92920000000004"/>
    <x v="1"/>
    <s v="2220"/>
    <s v="000"/>
    <x v="9"/>
    <x v="2"/>
  </r>
  <r>
    <d v="2013-07-02T00:00:00"/>
    <s v="017-2230-000"/>
    <s v="Wine Sales"/>
    <n v="12.9048"/>
    <n v="0"/>
    <s v="Daily Sales Import"/>
    <n v="-12.9048"/>
    <n v="12.9048"/>
    <x v="1"/>
    <s v="2230"/>
    <s v="000"/>
    <x v="9"/>
    <x v="2"/>
  </r>
  <r>
    <d v="2013-07-03T00:00:00"/>
    <s v="017-2100-000"/>
    <s v="Food Sales"/>
    <n v="5093.1408000000001"/>
    <n v="0"/>
    <s v="Daily Sales Import"/>
    <n v="-5093.1408000000001"/>
    <n v="5093.1408000000001"/>
    <x v="1"/>
    <s v="2100"/>
    <s v="000"/>
    <x v="9"/>
    <x v="2"/>
  </r>
  <r>
    <d v="2013-07-03T00:00:00"/>
    <s v="017-2210-000"/>
    <s v="Liquor Sales"/>
    <n v="1550.0927999999999"/>
    <n v="0"/>
    <s v="Daily Sales Import"/>
    <n v="-1550.0927999999999"/>
    <n v="1550.0927999999999"/>
    <x v="1"/>
    <s v="2210"/>
    <s v="000"/>
    <x v="9"/>
    <x v="2"/>
  </r>
  <r>
    <d v="2013-07-03T00:00:00"/>
    <s v="017-2220-000"/>
    <s v="Beer Sales"/>
    <n v="284.99480000000005"/>
    <n v="0"/>
    <s v="Daily Sales Import"/>
    <n v="-284.99480000000005"/>
    <n v="284.99480000000005"/>
    <x v="1"/>
    <s v="2220"/>
    <s v="000"/>
    <x v="9"/>
    <x v="2"/>
  </r>
  <r>
    <d v="2013-07-03T00:00:00"/>
    <s v="017-2230-000"/>
    <s v="Wine Sales"/>
    <n v="49.142599999999995"/>
    <n v="0"/>
    <s v="Daily Sales Import"/>
    <n v="-49.142599999999995"/>
    <n v="49.142599999999995"/>
    <x v="1"/>
    <s v="2230"/>
    <s v="000"/>
    <x v="9"/>
    <x v="2"/>
  </r>
  <r>
    <d v="2013-07-04T00:00:00"/>
    <s v="017-2100-000"/>
    <s v="Food Sales"/>
    <n v="6304.1268"/>
    <n v="0"/>
    <s v="Daily Sales Import"/>
    <n v="-6304.1268"/>
    <n v="6304.1268"/>
    <x v="1"/>
    <s v="2100"/>
    <s v="000"/>
    <x v="9"/>
    <x v="2"/>
  </r>
  <r>
    <d v="2013-07-04T00:00:00"/>
    <s v="017-2210-000"/>
    <s v="Liquor Sales"/>
    <n v="1175.1080000000002"/>
    <n v="0"/>
    <s v="Daily Sales Import"/>
    <n v="-1175.1080000000002"/>
    <n v="1175.1080000000002"/>
    <x v="1"/>
    <s v="2210"/>
    <s v="000"/>
    <x v="9"/>
    <x v="2"/>
  </r>
  <r>
    <d v="2013-07-04T00:00:00"/>
    <s v="017-2220-000"/>
    <s v="Beer Sales"/>
    <n v="289.2765"/>
    <n v="0"/>
    <s v="Daily Sales Import"/>
    <n v="-289.2765"/>
    <n v="289.2765"/>
    <x v="1"/>
    <s v="2220"/>
    <s v="000"/>
    <x v="9"/>
    <x v="2"/>
  </r>
  <r>
    <d v="2013-07-04T00:00:00"/>
    <s v="017-2230-000"/>
    <s v="Wine Sales"/>
    <n v="100.47629999999999"/>
    <n v="0"/>
    <s v="Daily Sales Import"/>
    <n v="-100.47629999999999"/>
    <n v="100.47629999999999"/>
    <x v="1"/>
    <s v="2230"/>
    <s v="000"/>
    <x v="9"/>
    <x v="2"/>
  </r>
  <r>
    <d v="2013-07-05T00:00:00"/>
    <s v="017-2100-000"/>
    <s v="Food Sales"/>
    <n v="7570.4198999999999"/>
    <n v="0"/>
    <s v="Daily Sales Import"/>
    <n v="-7570.4198999999999"/>
    <n v="7570.4198999999999"/>
    <x v="1"/>
    <s v="2100"/>
    <s v="000"/>
    <x v="9"/>
    <x v="2"/>
  </r>
  <r>
    <d v="2013-07-05T00:00:00"/>
    <s v="017-2210-000"/>
    <s v="Liquor Sales"/>
    <n v="1408.8233999999998"/>
    <n v="0"/>
    <s v="Daily Sales Import"/>
    <n v="-1408.8233999999998"/>
    <n v="1408.8233999999998"/>
    <x v="1"/>
    <s v="2210"/>
    <s v="000"/>
    <x v="9"/>
    <x v="2"/>
  </r>
  <r>
    <d v="2013-07-05T00:00:00"/>
    <s v="017-2220-000"/>
    <s v="Beer Sales"/>
    <n v="509.49120000000005"/>
    <n v="0"/>
    <s v="Daily Sales Import"/>
    <n v="-509.49120000000005"/>
    <n v="509.49120000000005"/>
    <x v="1"/>
    <s v="2220"/>
    <s v="000"/>
    <x v="9"/>
    <x v="2"/>
  </r>
  <r>
    <d v="2013-07-05T00:00:00"/>
    <s v="017-2230-000"/>
    <s v="Wine Sales"/>
    <n v="104.181"/>
    <n v="0"/>
    <s v="Daily Sales Import"/>
    <n v="-104.181"/>
    <n v="104.181"/>
    <x v="1"/>
    <s v="2230"/>
    <s v="000"/>
    <x v="9"/>
    <x v="2"/>
  </r>
  <r>
    <d v="2013-07-06T00:00:00"/>
    <s v="017-2100-000"/>
    <s v="Food Sales"/>
    <n v="6745.4759999999997"/>
    <n v="0"/>
    <s v="Daily Sales Import"/>
    <n v="-6745.4759999999997"/>
    <n v="6745.4759999999997"/>
    <x v="1"/>
    <s v="2100"/>
    <s v="000"/>
    <x v="9"/>
    <x v="2"/>
  </r>
  <r>
    <d v="2013-07-06T00:00:00"/>
    <s v="017-2210-000"/>
    <s v="Liquor Sales"/>
    <n v="2268.3969000000002"/>
    <n v="0"/>
    <s v="Daily Sales Import"/>
    <n v="-2268.3969000000002"/>
    <n v="2268.3969000000002"/>
    <x v="1"/>
    <s v="2210"/>
    <s v="000"/>
    <x v="9"/>
    <x v="2"/>
  </r>
  <r>
    <d v="2013-07-06T00:00:00"/>
    <s v="017-2220-000"/>
    <s v="Beer Sales"/>
    <n v="424.86750000000001"/>
    <n v="0"/>
    <s v="Daily Sales Import"/>
    <n v="-424.86750000000001"/>
    <n v="424.86750000000001"/>
    <x v="1"/>
    <s v="2220"/>
    <s v="000"/>
    <x v="9"/>
    <x v="2"/>
  </r>
  <r>
    <d v="2013-07-06T00:00:00"/>
    <s v="017-2230-000"/>
    <s v="Wine Sales"/>
    <n v="215.5472"/>
    <n v="0"/>
    <s v="Daily Sales Import"/>
    <n v="-215.5472"/>
    <n v="215.5472"/>
    <x v="1"/>
    <s v="2230"/>
    <s v="000"/>
    <x v="9"/>
    <x v="2"/>
  </r>
  <r>
    <d v="2013-07-07T00:00:00"/>
    <s v="017-2100-000"/>
    <s v="Food Sales"/>
    <n v="5478.1289999999999"/>
    <n v="0"/>
    <s v="Daily Sales Import"/>
    <n v="-5478.1289999999999"/>
    <n v="5478.1289999999999"/>
    <x v="1"/>
    <s v="2100"/>
    <s v="000"/>
    <x v="9"/>
    <x v="2"/>
  </r>
  <r>
    <d v="2013-07-07T00:00:00"/>
    <s v="017-2210-000"/>
    <s v="Liquor Sales"/>
    <n v="1301.6528000000001"/>
    <n v="0"/>
    <s v="Daily Sales Import"/>
    <n v="-1301.6528000000001"/>
    <n v="1301.6528000000001"/>
    <x v="1"/>
    <s v="2210"/>
    <s v="000"/>
    <x v="9"/>
    <x v="2"/>
  </r>
  <r>
    <d v="2013-07-07T00:00:00"/>
    <s v="017-2220-000"/>
    <s v="Beer Sales"/>
    <n v="163.99799999999999"/>
    <n v="0"/>
    <s v="Daily Sales Import"/>
    <n v="-163.99799999999999"/>
    <n v="163.99799999999999"/>
    <x v="1"/>
    <s v="2220"/>
    <s v="000"/>
    <x v="9"/>
    <x v="2"/>
  </r>
  <r>
    <d v="2013-07-07T00:00:00"/>
    <s v="017-2230-000"/>
    <s v="Wine Sales"/>
    <n v="51.921299999999995"/>
    <n v="0"/>
    <s v="Daily Sales Import"/>
    <n v="-51.921299999999995"/>
    <n v="51.921299999999995"/>
    <x v="1"/>
    <s v="2230"/>
    <s v="000"/>
    <x v="9"/>
    <x v="2"/>
  </r>
  <r>
    <d v="2013-07-01T00:00:00"/>
    <s v="018-2100-000"/>
    <s v="Food Sales"/>
    <n v="4853.6866"/>
    <n v="0"/>
    <s v="Daily Sales Import"/>
    <n v="-4853.6866"/>
    <n v="4853.6866"/>
    <x v="2"/>
    <s v="2100"/>
    <s v="000"/>
    <x v="9"/>
    <x v="2"/>
  </r>
  <r>
    <d v="2013-07-01T00:00:00"/>
    <s v="018-2210-000"/>
    <s v="Liquor Sales"/>
    <n v="579.88980000000004"/>
    <n v="0"/>
    <s v="Daily Sales Import"/>
    <n v="-579.88980000000004"/>
    <n v="579.88980000000004"/>
    <x v="2"/>
    <s v="2210"/>
    <s v="000"/>
    <x v="9"/>
    <x v="2"/>
  </r>
  <r>
    <d v="2013-07-01T00:00:00"/>
    <s v="018-2220-000"/>
    <s v="Beer Sales"/>
    <n v="187.4229"/>
    <n v="0"/>
    <s v="Daily Sales Import"/>
    <n v="-187.4229"/>
    <n v="187.4229"/>
    <x v="2"/>
    <s v="2220"/>
    <s v="000"/>
    <x v="9"/>
    <x v="2"/>
  </r>
  <r>
    <d v="2013-07-01T00:00:00"/>
    <s v="018-2230-000"/>
    <s v="Wine Sales"/>
    <n v="16.3386"/>
    <n v="0"/>
    <s v="Daily Sales Import"/>
    <n v="-16.3386"/>
    <n v="16.3386"/>
    <x v="2"/>
    <s v="2230"/>
    <s v="000"/>
    <x v="9"/>
    <x v="2"/>
  </r>
  <r>
    <d v="2013-07-02T00:00:00"/>
    <s v="018-2100-000"/>
    <s v="Food Sales"/>
    <n v="4851.0150000000003"/>
    <n v="0"/>
    <s v="Daily Sales Import"/>
    <n v="-4851.0150000000003"/>
    <n v="4851.0150000000003"/>
    <x v="2"/>
    <s v="2100"/>
    <s v="000"/>
    <x v="9"/>
    <x v="2"/>
  </r>
  <r>
    <d v="2013-07-02T00:00:00"/>
    <s v="018-2210-000"/>
    <s v="Liquor Sales"/>
    <n v="839.75199999999995"/>
    <n v="0"/>
    <s v="Daily Sales Import"/>
    <n v="-839.75199999999995"/>
    <n v="839.75199999999995"/>
    <x v="2"/>
    <s v="2210"/>
    <s v="000"/>
    <x v="9"/>
    <x v="2"/>
  </r>
  <r>
    <d v="2013-07-02T00:00:00"/>
    <s v="018-2220-000"/>
    <s v="Beer Sales"/>
    <n v="350.149"/>
    <n v="0"/>
    <s v="Daily Sales Import"/>
    <n v="-350.149"/>
    <n v="350.149"/>
    <x v="2"/>
    <s v="2220"/>
    <s v="000"/>
    <x v="9"/>
    <x v="2"/>
  </r>
  <r>
    <d v="2013-07-02T00:00:00"/>
    <s v="018-2230-000"/>
    <s v="Wine Sales"/>
    <n v="21.865200000000002"/>
    <n v="0"/>
    <s v="Daily Sales Import"/>
    <n v="-21.865200000000002"/>
    <n v="21.865200000000002"/>
    <x v="2"/>
    <s v="2230"/>
    <s v="000"/>
    <x v="9"/>
    <x v="2"/>
  </r>
  <r>
    <d v="2013-07-03T00:00:00"/>
    <s v="018-2100-000"/>
    <s v="Food Sales"/>
    <n v="6843.2111999999997"/>
    <n v="0"/>
    <s v="Daily Sales Import"/>
    <n v="-6843.2111999999997"/>
    <n v="6843.2111999999997"/>
    <x v="2"/>
    <s v="2100"/>
    <s v="000"/>
    <x v="9"/>
    <x v="2"/>
  </r>
  <r>
    <d v="2013-07-03T00:00:00"/>
    <s v="018-2210-000"/>
    <s v="Liquor Sales"/>
    <n v="1380.06"/>
    <n v="0"/>
    <s v="Daily Sales Import"/>
    <n v="-1380.06"/>
    <n v="1380.06"/>
    <x v="2"/>
    <s v="2210"/>
    <s v="000"/>
    <x v="9"/>
    <x v="2"/>
  </r>
  <r>
    <d v="2013-07-03T00:00:00"/>
    <s v="018-2220-000"/>
    <s v="Beer Sales"/>
    <n v="350.15170000000001"/>
    <n v="0"/>
    <s v="Daily Sales Import"/>
    <n v="-350.15170000000001"/>
    <n v="350.15170000000001"/>
    <x v="2"/>
    <s v="2220"/>
    <s v="000"/>
    <x v="9"/>
    <x v="2"/>
  </r>
  <r>
    <d v="2013-07-03T00:00:00"/>
    <s v="018-2230-000"/>
    <s v="Wine Sales"/>
    <n v="28.831199999999995"/>
    <n v="0"/>
    <s v="Daily Sales Import"/>
    <n v="-28.831199999999995"/>
    <n v="28.831199999999995"/>
    <x v="2"/>
    <s v="2230"/>
    <s v="000"/>
    <x v="9"/>
    <x v="2"/>
  </r>
  <r>
    <d v="2013-07-04T00:00:00"/>
    <s v="018-2100-000"/>
    <s v="Food Sales"/>
    <n v="8267.7706999999991"/>
    <n v="0"/>
    <s v="Daily Sales Import"/>
    <n v="-8267.7706999999991"/>
    <n v="8267.7706999999991"/>
    <x v="2"/>
    <s v="2100"/>
    <s v="000"/>
    <x v="9"/>
    <x v="2"/>
  </r>
  <r>
    <d v="2013-07-04T00:00:00"/>
    <s v="018-2210-000"/>
    <s v="Liquor Sales"/>
    <n v="1349.0182000000002"/>
    <n v="0"/>
    <s v="Daily Sales Import"/>
    <n v="-1349.0182000000002"/>
    <n v="1349.0182000000002"/>
    <x v="2"/>
    <s v="2210"/>
    <s v="000"/>
    <x v="9"/>
    <x v="2"/>
  </r>
  <r>
    <d v="2013-07-04T00:00:00"/>
    <s v="018-2220-000"/>
    <s v="Beer Sales"/>
    <n v="307.16840000000002"/>
    <n v="0"/>
    <s v="Daily Sales Import"/>
    <n v="-307.16840000000002"/>
    <n v="307.16840000000002"/>
    <x v="2"/>
    <s v="2220"/>
    <s v="000"/>
    <x v="9"/>
    <x v="2"/>
  </r>
  <r>
    <d v="2013-07-04T00:00:00"/>
    <s v="018-2230-000"/>
    <s v="Wine Sales"/>
    <n v="15.808000000000002"/>
    <n v="0"/>
    <s v="Daily Sales Import"/>
    <n v="-15.808000000000002"/>
    <n v="15.808000000000002"/>
    <x v="2"/>
    <s v="2230"/>
    <s v="000"/>
    <x v="9"/>
    <x v="2"/>
  </r>
  <r>
    <d v="2013-07-05T00:00:00"/>
    <s v="018-2100-000"/>
    <s v="Food Sales"/>
    <n v="12037.7894"/>
    <n v="0"/>
    <s v="Daily Sales Import"/>
    <n v="-12037.7894"/>
    <n v="12037.7894"/>
    <x v="2"/>
    <s v="2100"/>
    <s v="000"/>
    <x v="9"/>
    <x v="2"/>
  </r>
  <r>
    <d v="2013-07-05T00:00:00"/>
    <s v="018-2210-000"/>
    <s v="Liquor Sales"/>
    <n v="2666.2262999999998"/>
    <n v="0"/>
    <s v="Daily Sales Import"/>
    <n v="-2666.2262999999998"/>
    <n v="2666.2262999999998"/>
    <x v="2"/>
    <s v="2210"/>
    <s v="000"/>
    <x v="9"/>
    <x v="2"/>
  </r>
  <r>
    <d v="2013-07-05T00:00:00"/>
    <s v="018-2220-000"/>
    <s v="Beer Sales"/>
    <n v="582.41960000000006"/>
    <n v="0"/>
    <s v="Daily Sales Import"/>
    <n v="-582.41960000000006"/>
    <n v="582.41960000000006"/>
    <x v="2"/>
    <s v="2220"/>
    <s v="000"/>
    <x v="9"/>
    <x v="2"/>
  </r>
  <r>
    <d v="2013-07-05T00:00:00"/>
    <s v="018-2230-000"/>
    <s v="Wine Sales"/>
    <n v="40.846400000000003"/>
    <n v="0"/>
    <s v="Daily Sales Import"/>
    <n v="-40.846400000000003"/>
    <n v="40.846400000000003"/>
    <x v="2"/>
    <s v="2230"/>
    <s v="000"/>
    <x v="9"/>
    <x v="2"/>
  </r>
  <r>
    <d v="2013-07-06T00:00:00"/>
    <s v="018-2100-000"/>
    <s v="Food Sales"/>
    <n v="11800.2384"/>
    <n v="0"/>
    <s v="Daily Sales Import"/>
    <n v="-11800.2384"/>
    <n v="11800.2384"/>
    <x v="2"/>
    <s v="2100"/>
    <s v="000"/>
    <x v="9"/>
    <x v="2"/>
  </r>
  <r>
    <d v="2013-07-06T00:00:00"/>
    <s v="018-2210-000"/>
    <s v="Liquor Sales"/>
    <n v="2084.4450000000002"/>
    <n v="0"/>
    <s v="Daily Sales Import"/>
    <n v="-2084.4450000000002"/>
    <n v="2084.4450000000002"/>
    <x v="2"/>
    <s v="2210"/>
    <s v="000"/>
    <x v="9"/>
    <x v="2"/>
  </r>
  <r>
    <d v="2013-07-06T00:00:00"/>
    <s v="018-2220-000"/>
    <s v="Beer Sales"/>
    <n v="760.66679999999997"/>
    <n v="0"/>
    <s v="Daily Sales Import"/>
    <n v="-760.66679999999997"/>
    <n v="760.66679999999997"/>
    <x v="2"/>
    <s v="2220"/>
    <s v="000"/>
    <x v="9"/>
    <x v="2"/>
  </r>
  <r>
    <d v="2013-07-06T00:00:00"/>
    <s v="018-2230-000"/>
    <s v="Wine Sales"/>
    <n v="50.667700000000004"/>
    <n v="0"/>
    <s v="Daily Sales Import"/>
    <n v="-50.667700000000004"/>
    <n v="50.667700000000004"/>
    <x v="2"/>
    <s v="2230"/>
    <s v="000"/>
    <x v="9"/>
    <x v="2"/>
  </r>
  <r>
    <d v="2013-07-07T00:00:00"/>
    <s v="018-2100-000"/>
    <s v="Food Sales"/>
    <n v="8205.7569999999996"/>
    <n v="0"/>
    <s v="Daily Sales Import"/>
    <n v="-8205.7569999999996"/>
    <n v="8205.7569999999996"/>
    <x v="2"/>
    <s v="2100"/>
    <s v="000"/>
    <x v="9"/>
    <x v="2"/>
  </r>
  <r>
    <d v="2013-07-07T00:00:00"/>
    <s v="018-2210-000"/>
    <s v="Liquor Sales"/>
    <n v="1613.6849999999999"/>
    <n v="0"/>
    <s v="Daily Sales Import"/>
    <n v="-1613.6849999999999"/>
    <n v="1613.6849999999999"/>
    <x v="2"/>
    <s v="2210"/>
    <s v="000"/>
    <x v="9"/>
    <x v="2"/>
  </r>
  <r>
    <d v="2013-07-07T00:00:00"/>
    <s v="018-2220-000"/>
    <s v="Beer Sales"/>
    <n v="218.59200000000001"/>
    <n v="0"/>
    <s v="Daily Sales Import"/>
    <n v="-218.59200000000001"/>
    <n v="218.59200000000001"/>
    <x v="2"/>
    <s v="2220"/>
    <s v="000"/>
    <x v="9"/>
    <x v="2"/>
  </r>
  <r>
    <d v="2013-07-07T00:00:00"/>
    <s v="018-2230-000"/>
    <s v="Wine Sales"/>
    <n v="82.133200000000002"/>
    <n v="0"/>
    <s v="Daily Sales Import"/>
    <n v="-82.133200000000002"/>
    <n v="82.133200000000002"/>
    <x v="2"/>
    <s v="2230"/>
    <s v="000"/>
    <x v="9"/>
    <x v="2"/>
  </r>
  <r>
    <d v="2013-07-08T00:00:00"/>
    <s v="016-2100-000"/>
    <s v="Food Sales"/>
    <n v="2250.1772000000001"/>
    <n v="0"/>
    <s v="Daily Sales Import"/>
    <n v="-2250.1772000000001"/>
    <n v="2250.1772000000001"/>
    <x v="0"/>
    <s v="2100"/>
    <s v="000"/>
    <x v="9"/>
    <x v="2"/>
  </r>
  <r>
    <d v="2013-07-08T00:00:00"/>
    <s v="016-2210-000"/>
    <s v="Liquor Sales"/>
    <n v="398.88720000000001"/>
    <n v="0"/>
    <s v="Daily Sales Import"/>
    <n v="-398.88720000000001"/>
    <n v="398.88720000000001"/>
    <x v="0"/>
    <s v="2210"/>
    <s v="000"/>
    <x v="9"/>
    <x v="2"/>
  </r>
  <r>
    <d v="2013-07-08T00:00:00"/>
    <s v="016-2220-000"/>
    <s v="Beer Sales"/>
    <n v="72.578800000000001"/>
    <n v="0"/>
    <s v="Daily Sales Import"/>
    <n v="-72.578800000000001"/>
    <n v="72.578800000000001"/>
    <x v="0"/>
    <s v="2220"/>
    <s v="000"/>
    <x v="9"/>
    <x v="2"/>
  </r>
  <r>
    <d v="2013-07-08T00:00:00"/>
    <s v="016-2230-000"/>
    <s v="Wine Sales"/>
    <n v="109.5857"/>
    <n v="0"/>
    <s v="Daily Sales Import"/>
    <n v="-109.5857"/>
    <n v="109.5857"/>
    <x v="0"/>
    <s v="2230"/>
    <s v="000"/>
    <x v="9"/>
    <x v="2"/>
  </r>
  <r>
    <d v="2013-07-09T00:00:00"/>
    <s v="016-2100-000"/>
    <s v="Food Sales"/>
    <n v="6879.4055999999991"/>
    <n v="0"/>
    <s v="Daily Sales Import"/>
    <n v="-6879.4055999999991"/>
    <n v="6879.4055999999991"/>
    <x v="0"/>
    <s v="2100"/>
    <s v="000"/>
    <x v="9"/>
    <x v="2"/>
  </r>
  <r>
    <d v="2013-07-09T00:00:00"/>
    <s v="016-2210-000"/>
    <s v="Liquor Sales"/>
    <n v="1972.68"/>
    <n v="0"/>
    <s v="Daily Sales Import"/>
    <n v="-1972.68"/>
    <n v="1972.68"/>
    <x v="0"/>
    <s v="2210"/>
    <s v="000"/>
    <x v="9"/>
    <x v="2"/>
  </r>
  <r>
    <d v="2013-07-09T00:00:00"/>
    <s v="016-2220-000"/>
    <s v="Beer Sales"/>
    <n v="1116.6207000000002"/>
    <n v="0"/>
    <s v="Daily Sales Import"/>
    <n v="-1116.6207000000002"/>
    <n v="1116.6207000000002"/>
    <x v="0"/>
    <s v="2220"/>
    <s v="000"/>
    <x v="9"/>
    <x v="2"/>
  </r>
  <r>
    <d v="2013-07-09T00:00:00"/>
    <s v="016-2230-000"/>
    <s v="Wine Sales"/>
    <n v="107.52719999999999"/>
    <n v="0"/>
    <s v="Daily Sales Import"/>
    <n v="-107.52719999999999"/>
    <n v="107.52719999999999"/>
    <x v="0"/>
    <s v="2230"/>
    <s v="000"/>
    <x v="9"/>
    <x v="2"/>
  </r>
  <r>
    <d v="2013-07-10T00:00:00"/>
    <s v="016-2100-000"/>
    <s v="Food Sales"/>
    <n v="2393.4592000000002"/>
    <n v="0"/>
    <s v="Daily Sales Import"/>
    <n v="-2393.4592000000002"/>
    <n v="2393.4592000000002"/>
    <x v="0"/>
    <s v="2100"/>
    <s v="000"/>
    <x v="9"/>
    <x v="2"/>
  </r>
  <r>
    <d v="2013-07-10T00:00:00"/>
    <s v="016-2210-000"/>
    <s v="Liquor Sales"/>
    <n v="447.98150000000004"/>
    <n v="0"/>
    <s v="Daily Sales Import"/>
    <n v="-447.98150000000004"/>
    <n v="447.98150000000004"/>
    <x v="0"/>
    <s v="2210"/>
    <s v="000"/>
    <x v="9"/>
    <x v="2"/>
  </r>
  <r>
    <d v="2013-07-10T00:00:00"/>
    <s v="016-2220-000"/>
    <s v="Beer Sales"/>
    <n v="83.869699999999995"/>
    <n v="0"/>
    <s v="Daily Sales Import"/>
    <n v="-83.869699999999995"/>
    <n v="83.869699999999995"/>
    <x v="0"/>
    <s v="2220"/>
    <s v="000"/>
    <x v="9"/>
    <x v="2"/>
  </r>
  <r>
    <d v="2013-07-10T00:00:00"/>
    <s v="016-2230-000"/>
    <s v="Wine Sales"/>
    <n v="68.563599999999994"/>
    <n v="0"/>
    <s v="Daily Sales Import"/>
    <n v="-68.563599999999994"/>
    <n v="68.563599999999994"/>
    <x v="0"/>
    <s v="2230"/>
    <s v="000"/>
    <x v="9"/>
    <x v="2"/>
  </r>
  <r>
    <d v="2013-07-11T00:00:00"/>
    <s v="016-2100-000"/>
    <s v="Food Sales"/>
    <n v="3491.7973999999999"/>
    <n v="0"/>
    <s v="Daily Sales Import"/>
    <n v="-3491.7973999999999"/>
    <n v="3491.7973999999999"/>
    <x v="0"/>
    <s v="2100"/>
    <s v="000"/>
    <x v="9"/>
    <x v="2"/>
  </r>
  <r>
    <d v="2013-07-11T00:00:00"/>
    <s v="016-2210-000"/>
    <s v="Liquor Sales"/>
    <n v="687.14"/>
    <n v="0"/>
    <s v="Daily Sales Import"/>
    <n v="-687.14"/>
    <n v="687.14"/>
    <x v="0"/>
    <s v="2210"/>
    <s v="000"/>
    <x v="9"/>
    <x v="2"/>
  </r>
  <r>
    <d v="2013-07-11T00:00:00"/>
    <s v="016-2220-000"/>
    <s v="Beer Sales"/>
    <n v="102.19560000000001"/>
    <n v="0"/>
    <s v="Daily Sales Import"/>
    <n v="-102.19560000000001"/>
    <n v="102.19560000000001"/>
    <x v="0"/>
    <s v="2220"/>
    <s v="000"/>
    <x v="9"/>
    <x v="2"/>
  </r>
  <r>
    <d v="2013-07-11T00:00:00"/>
    <s v="016-2230-000"/>
    <s v="Wine Sales"/>
    <n v="59.6676"/>
    <n v="0"/>
    <s v="Daily Sales Import"/>
    <n v="-59.6676"/>
    <n v="59.6676"/>
    <x v="0"/>
    <s v="2230"/>
    <s v="000"/>
    <x v="9"/>
    <x v="2"/>
  </r>
  <r>
    <d v="2013-07-12T00:00:00"/>
    <s v="016-2100-000"/>
    <s v="Food Sales"/>
    <n v="4025.9856000000004"/>
    <n v="0"/>
    <s v="Daily Sales Import"/>
    <n v="-4025.9856000000004"/>
    <n v="4025.9856000000004"/>
    <x v="0"/>
    <s v="2100"/>
    <s v="000"/>
    <x v="9"/>
    <x v="2"/>
  </r>
  <r>
    <d v="2013-07-12T00:00:00"/>
    <s v="016-2210-000"/>
    <s v="Liquor Sales"/>
    <n v="1712.7329999999999"/>
    <n v="0"/>
    <s v="Daily Sales Import"/>
    <n v="-1712.7329999999999"/>
    <n v="1712.7329999999999"/>
    <x v="0"/>
    <s v="2210"/>
    <s v="000"/>
    <x v="9"/>
    <x v="2"/>
  </r>
  <r>
    <d v="2013-07-12T00:00:00"/>
    <s v="016-2220-000"/>
    <s v="Beer Sales"/>
    <n v="216.83130000000003"/>
    <n v="0"/>
    <s v="Daily Sales Import"/>
    <n v="-216.83130000000003"/>
    <n v="216.83130000000003"/>
    <x v="0"/>
    <s v="2220"/>
    <s v="000"/>
    <x v="9"/>
    <x v="2"/>
  </r>
  <r>
    <d v="2013-07-12T00:00:00"/>
    <s v="016-2230-000"/>
    <s v="Wine Sales"/>
    <n v="103.9285"/>
    <n v="0"/>
    <s v="Daily Sales Import"/>
    <n v="-103.9285"/>
    <n v="103.9285"/>
    <x v="0"/>
    <s v="2230"/>
    <s v="000"/>
    <x v="9"/>
    <x v="2"/>
  </r>
  <r>
    <d v="2013-07-13T00:00:00"/>
    <s v="016-2100-000"/>
    <s v="Food Sales"/>
    <n v="6113.9584000000004"/>
    <n v="0"/>
    <s v="Daily Sales Import"/>
    <n v="-6113.9584000000004"/>
    <n v="6113.9584000000004"/>
    <x v="0"/>
    <s v="2100"/>
    <s v="000"/>
    <x v="9"/>
    <x v="2"/>
  </r>
  <r>
    <d v="2013-07-13T00:00:00"/>
    <s v="016-2210-000"/>
    <s v="Liquor Sales"/>
    <n v="1702.845"/>
    <n v="0"/>
    <s v="Daily Sales Import"/>
    <n v="-1702.845"/>
    <n v="1702.845"/>
    <x v="0"/>
    <s v="2210"/>
    <s v="000"/>
    <x v="9"/>
    <x v="2"/>
  </r>
  <r>
    <d v="2013-07-13T00:00:00"/>
    <s v="016-2220-000"/>
    <s v="Beer Sales"/>
    <n v="292.23079999999999"/>
    <n v="0"/>
    <s v="Daily Sales Import"/>
    <n v="-292.23079999999999"/>
    <n v="292.23079999999999"/>
    <x v="0"/>
    <s v="2220"/>
    <s v="000"/>
    <x v="9"/>
    <x v="2"/>
  </r>
  <r>
    <d v="2013-07-13T00:00:00"/>
    <s v="016-2230-000"/>
    <s v="Wine Sales"/>
    <n v="122.53289999999998"/>
    <n v="0"/>
    <s v="Daily Sales Import"/>
    <n v="-122.53289999999998"/>
    <n v="122.53289999999998"/>
    <x v="0"/>
    <s v="2230"/>
    <s v="000"/>
    <x v="9"/>
    <x v="2"/>
  </r>
  <r>
    <d v="2013-07-14T00:00:00"/>
    <s v="016-2100-000"/>
    <s v="Food Sales"/>
    <n v="5604.1596"/>
    <n v="0"/>
    <s v="Daily Sales Import"/>
    <n v="-5604.1596"/>
    <n v="5604.1596"/>
    <x v="0"/>
    <s v="2100"/>
    <s v="000"/>
    <x v="9"/>
    <x v="2"/>
  </r>
  <r>
    <d v="2013-07-14T00:00:00"/>
    <s v="016-2210-000"/>
    <s v="Liquor Sales"/>
    <n v="1542.3155999999999"/>
    <n v="0"/>
    <s v="Daily Sales Import"/>
    <n v="-1542.3155999999999"/>
    <n v="1542.3155999999999"/>
    <x v="0"/>
    <s v="2210"/>
    <s v="000"/>
    <x v="9"/>
    <x v="2"/>
  </r>
  <r>
    <d v="2013-07-14T00:00:00"/>
    <s v="016-2220-000"/>
    <s v="Beer Sales"/>
    <n v="212.81210000000002"/>
    <n v="0"/>
    <s v="Daily Sales Import"/>
    <n v="-212.81210000000002"/>
    <n v="212.81210000000002"/>
    <x v="0"/>
    <s v="2220"/>
    <s v="000"/>
    <x v="9"/>
    <x v="2"/>
  </r>
  <r>
    <d v="2013-07-14T00:00:00"/>
    <s v="016-2230-000"/>
    <s v="Wine Sales"/>
    <n v="43.425900000000006"/>
    <n v="0"/>
    <s v="Daily Sales Import"/>
    <n v="-43.425900000000006"/>
    <n v="43.425900000000006"/>
    <x v="0"/>
    <s v="2230"/>
    <s v="000"/>
    <x v="9"/>
    <x v="2"/>
  </r>
  <r>
    <d v="2013-07-08T00:00:00"/>
    <s v="017-2100-000"/>
    <s v="Food Sales"/>
    <n v="4328.3306000000002"/>
    <n v="0"/>
    <s v="Daily Sales Import"/>
    <n v="-4328.3306000000002"/>
    <n v="4328.3306000000002"/>
    <x v="1"/>
    <s v="2100"/>
    <s v="000"/>
    <x v="9"/>
    <x v="2"/>
  </r>
  <r>
    <d v="2013-07-08T00:00:00"/>
    <s v="017-2210-000"/>
    <s v="Liquor Sales"/>
    <n v="1379.7729999999999"/>
    <n v="0"/>
    <s v="Daily Sales Import"/>
    <n v="-1379.7729999999999"/>
    <n v="1379.7729999999999"/>
    <x v="1"/>
    <s v="2210"/>
    <s v="000"/>
    <x v="9"/>
    <x v="2"/>
  </r>
  <r>
    <d v="2013-07-08T00:00:00"/>
    <s v="017-2220-000"/>
    <s v="Beer Sales"/>
    <n v="439.58039999999994"/>
    <n v="0"/>
    <s v="Daily Sales Import"/>
    <n v="-439.58039999999994"/>
    <n v="439.58039999999994"/>
    <x v="1"/>
    <s v="2220"/>
    <s v="000"/>
    <x v="9"/>
    <x v="2"/>
  </r>
  <r>
    <d v="2013-07-08T00:00:00"/>
    <s v="017-2230-000"/>
    <s v="Wine Sales"/>
    <n v="33.24"/>
    <n v="0"/>
    <s v="Daily Sales Import"/>
    <n v="-33.24"/>
    <n v="33.24"/>
    <x v="1"/>
    <s v="2230"/>
    <s v="000"/>
    <x v="9"/>
    <x v="2"/>
  </r>
  <r>
    <d v="2013-07-09T00:00:00"/>
    <s v="017-2100-000"/>
    <s v="Food Sales"/>
    <n v="6685.9192000000003"/>
    <n v="0"/>
    <s v="Daily Sales Import"/>
    <n v="-6685.9192000000003"/>
    <n v="6685.9192000000003"/>
    <x v="1"/>
    <s v="2100"/>
    <s v="000"/>
    <x v="9"/>
    <x v="2"/>
  </r>
  <r>
    <d v="2013-07-09T00:00:00"/>
    <s v="017-2210-000"/>
    <s v="Liquor Sales"/>
    <n v="1264.0168999999999"/>
    <n v="0"/>
    <s v="Daily Sales Import"/>
    <n v="-1264.0168999999999"/>
    <n v="1264.0168999999999"/>
    <x v="1"/>
    <s v="2210"/>
    <s v="000"/>
    <x v="9"/>
    <x v="2"/>
  </r>
  <r>
    <d v="2013-07-09T00:00:00"/>
    <s v="017-2220-000"/>
    <s v="Beer Sales"/>
    <n v="479.79750000000001"/>
    <n v="0"/>
    <s v="Daily Sales Import"/>
    <n v="-479.79750000000001"/>
    <n v="479.79750000000001"/>
    <x v="1"/>
    <s v="2220"/>
    <s v="000"/>
    <x v="9"/>
    <x v="2"/>
  </r>
  <r>
    <d v="2013-07-09T00:00:00"/>
    <s v="017-2230-000"/>
    <s v="Wine Sales"/>
    <n v="61.705600000000004"/>
    <n v="0"/>
    <s v="Daily Sales Import"/>
    <n v="-61.705600000000004"/>
    <n v="61.705600000000004"/>
    <x v="1"/>
    <s v="2230"/>
    <s v="000"/>
    <x v="9"/>
    <x v="2"/>
  </r>
  <r>
    <d v="2013-07-10T00:00:00"/>
    <s v="017-2100-000"/>
    <s v="Food Sales"/>
    <n v="5954.0027"/>
    <n v="0"/>
    <s v="Daily Sales Import"/>
    <n v="-5954.0027"/>
    <n v="5954.0027"/>
    <x v="1"/>
    <s v="2100"/>
    <s v="000"/>
    <x v="9"/>
    <x v="2"/>
  </r>
  <r>
    <d v="2013-07-10T00:00:00"/>
    <s v="017-2210-000"/>
    <s v="Liquor Sales"/>
    <n v="1590.5608"/>
    <n v="0"/>
    <s v="Daily Sales Import"/>
    <n v="-1590.5608"/>
    <n v="1590.5608"/>
    <x v="1"/>
    <s v="2210"/>
    <s v="000"/>
    <x v="9"/>
    <x v="2"/>
  </r>
  <r>
    <d v="2013-07-10T00:00:00"/>
    <s v="017-2220-000"/>
    <s v="Beer Sales"/>
    <n v="548.37250000000006"/>
    <n v="0"/>
    <s v="Daily Sales Import"/>
    <n v="-548.37250000000006"/>
    <n v="548.37250000000006"/>
    <x v="1"/>
    <s v="2220"/>
    <s v="000"/>
    <x v="9"/>
    <x v="2"/>
  </r>
  <r>
    <d v="2013-07-10T00:00:00"/>
    <s v="017-2230-000"/>
    <s v="Wine Sales"/>
    <n v="111.35239999999999"/>
    <n v="0"/>
    <s v="Daily Sales Import"/>
    <n v="-111.35239999999999"/>
    <n v="111.35239999999999"/>
    <x v="1"/>
    <s v="2230"/>
    <s v="000"/>
    <x v="9"/>
    <x v="2"/>
  </r>
  <r>
    <d v="2013-07-11T00:00:00"/>
    <s v="017-2100-000"/>
    <s v="Food Sales"/>
    <n v="8101.5108"/>
    <n v="0"/>
    <s v="Daily Sales Import"/>
    <n v="-8101.5108"/>
    <n v="8101.5108"/>
    <x v="1"/>
    <s v="2100"/>
    <s v="000"/>
    <x v="9"/>
    <x v="2"/>
  </r>
  <r>
    <d v="2013-07-11T00:00:00"/>
    <s v="017-2210-000"/>
    <s v="Liquor Sales"/>
    <n v="1930.9585999999997"/>
    <n v="0"/>
    <s v="Daily Sales Import"/>
    <n v="-1930.9585999999997"/>
    <n v="1930.9585999999997"/>
    <x v="1"/>
    <s v="2210"/>
    <s v="000"/>
    <x v="9"/>
    <x v="2"/>
  </r>
  <r>
    <d v="2013-07-11T00:00:00"/>
    <s v="017-2220-000"/>
    <s v="Beer Sales"/>
    <n v="657.64139999999998"/>
    <n v="0"/>
    <s v="Daily Sales Import"/>
    <n v="-657.64139999999998"/>
    <n v="657.64139999999998"/>
    <x v="1"/>
    <s v="2220"/>
    <s v="000"/>
    <x v="9"/>
    <x v="2"/>
  </r>
  <r>
    <d v="2013-07-11T00:00:00"/>
    <s v="017-2230-000"/>
    <s v="Wine Sales"/>
    <n v="108.80799999999999"/>
    <n v="0"/>
    <s v="Daily Sales Import"/>
    <n v="-108.80799999999999"/>
    <n v="108.80799999999999"/>
    <x v="1"/>
    <s v="2230"/>
    <s v="000"/>
    <x v="9"/>
    <x v="2"/>
  </r>
  <r>
    <d v="2013-07-12T00:00:00"/>
    <s v="017-2100-000"/>
    <s v="Food Sales"/>
    <n v="9160.5971999999983"/>
    <n v="0"/>
    <s v="Daily Sales Import"/>
    <n v="-9160.5971999999983"/>
    <n v="9160.5971999999983"/>
    <x v="1"/>
    <s v="2100"/>
    <s v="000"/>
    <x v="9"/>
    <x v="2"/>
  </r>
  <r>
    <d v="2013-07-12T00:00:00"/>
    <s v="017-2210-000"/>
    <s v="Liquor Sales"/>
    <n v="2410.0063"/>
    <n v="0"/>
    <s v="Daily Sales Import"/>
    <n v="-2410.0063"/>
    <n v="2410.0063"/>
    <x v="1"/>
    <s v="2210"/>
    <s v="000"/>
    <x v="9"/>
    <x v="2"/>
  </r>
  <r>
    <d v="2013-07-12T00:00:00"/>
    <s v="017-2220-000"/>
    <s v="Beer Sales"/>
    <n v="556.28820000000007"/>
    <n v="0"/>
    <s v="Daily Sales Import"/>
    <n v="-556.28820000000007"/>
    <n v="556.28820000000007"/>
    <x v="1"/>
    <s v="2220"/>
    <s v="000"/>
    <x v="9"/>
    <x v="2"/>
  </r>
  <r>
    <d v="2013-07-12T00:00:00"/>
    <s v="017-2230-000"/>
    <s v="Wine Sales"/>
    <n v="68.474800000000002"/>
    <n v="0"/>
    <s v="Daily Sales Import"/>
    <n v="-68.474800000000002"/>
    <n v="68.474800000000002"/>
    <x v="1"/>
    <s v="2230"/>
    <s v="000"/>
    <x v="9"/>
    <x v="2"/>
  </r>
  <r>
    <d v="2013-07-13T00:00:00"/>
    <s v="017-2100-000"/>
    <s v="Food Sales"/>
    <n v="7642.7532999999994"/>
    <n v="0"/>
    <s v="Daily Sales Import"/>
    <n v="-7642.7532999999994"/>
    <n v="7642.7532999999994"/>
    <x v="1"/>
    <s v="2100"/>
    <s v="000"/>
    <x v="9"/>
    <x v="2"/>
  </r>
  <r>
    <d v="2013-07-13T00:00:00"/>
    <s v="017-2210-000"/>
    <s v="Liquor Sales"/>
    <n v="1313.8400000000001"/>
    <n v="0"/>
    <s v="Daily Sales Import"/>
    <n v="-1313.8400000000001"/>
    <n v="1313.8400000000001"/>
    <x v="1"/>
    <s v="2210"/>
    <s v="000"/>
    <x v="9"/>
    <x v="2"/>
  </r>
  <r>
    <d v="2013-07-13T00:00:00"/>
    <s v="017-2220-000"/>
    <s v="Beer Sales"/>
    <n v="273.084"/>
    <n v="0"/>
    <s v="Daily Sales Import"/>
    <n v="-273.084"/>
    <n v="273.084"/>
    <x v="1"/>
    <s v="2220"/>
    <s v="000"/>
    <x v="9"/>
    <x v="2"/>
  </r>
  <r>
    <d v="2013-07-13T00:00:00"/>
    <s v="017-2230-000"/>
    <s v="Wine Sales"/>
    <n v="42.426000000000002"/>
    <n v="0"/>
    <s v="Daily Sales Import"/>
    <n v="-42.426000000000002"/>
    <n v="42.426000000000002"/>
    <x v="1"/>
    <s v="2230"/>
    <s v="000"/>
    <x v="9"/>
    <x v="2"/>
  </r>
  <r>
    <d v="2013-07-14T00:00:00"/>
    <s v="017-2100-000"/>
    <s v="Food Sales"/>
    <n v="4993.076"/>
    <n v="0"/>
    <s v="Daily Sales Import"/>
    <n v="-4993.076"/>
    <n v="4993.076"/>
    <x v="1"/>
    <s v="2100"/>
    <s v="000"/>
    <x v="9"/>
    <x v="2"/>
  </r>
  <r>
    <d v="2013-07-14T00:00:00"/>
    <s v="017-2210-000"/>
    <s v="Liquor Sales"/>
    <n v="1155.3672000000001"/>
    <n v="0"/>
    <s v="Daily Sales Import"/>
    <n v="-1155.3672000000001"/>
    <n v="1155.3672000000001"/>
    <x v="1"/>
    <s v="2210"/>
    <s v="000"/>
    <x v="9"/>
    <x v="2"/>
  </r>
  <r>
    <d v="2013-07-14T00:00:00"/>
    <s v="017-2220-000"/>
    <s v="Beer Sales"/>
    <n v="216.46949999999998"/>
    <n v="0"/>
    <s v="Daily Sales Import"/>
    <n v="-216.46949999999998"/>
    <n v="216.46949999999998"/>
    <x v="1"/>
    <s v="2220"/>
    <s v="000"/>
    <x v="9"/>
    <x v="2"/>
  </r>
  <r>
    <d v="2013-07-14T00:00:00"/>
    <s v="017-2230-000"/>
    <s v="Wine Sales"/>
    <n v="60.515099999999997"/>
    <n v="0"/>
    <s v="Daily Sales Import"/>
    <n v="-60.515099999999997"/>
    <n v="60.515099999999997"/>
    <x v="1"/>
    <s v="2230"/>
    <s v="000"/>
    <x v="9"/>
    <x v="2"/>
  </r>
  <r>
    <d v="2013-07-08T00:00:00"/>
    <s v="018-2100-000"/>
    <s v="Food Sales"/>
    <n v="5071.1025999999993"/>
    <n v="0"/>
    <s v="Daily Sales Import"/>
    <n v="-5071.1025999999993"/>
    <n v="5071.1025999999993"/>
    <x v="2"/>
    <s v="2100"/>
    <s v="000"/>
    <x v="9"/>
    <x v="2"/>
  </r>
  <r>
    <d v="2013-07-08T00:00:00"/>
    <s v="018-2210-000"/>
    <s v="Liquor Sales"/>
    <n v="796.84140000000002"/>
    <n v="0"/>
    <s v="Daily Sales Import"/>
    <n v="-796.84140000000002"/>
    <n v="796.84140000000002"/>
    <x v="2"/>
    <s v="2210"/>
    <s v="000"/>
    <x v="9"/>
    <x v="2"/>
  </r>
  <r>
    <d v="2013-07-08T00:00:00"/>
    <s v="018-2220-000"/>
    <s v="Beer Sales"/>
    <n v="223.2216"/>
    <n v="0"/>
    <s v="Daily Sales Import"/>
    <n v="-223.2216"/>
    <n v="223.2216"/>
    <x v="2"/>
    <s v="2220"/>
    <s v="000"/>
    <x v="9"/>
    <x v="2"/>
  </r>
  <r>
    <d v="2013-07-08T00:00:00"/>
    <s v="018-2230-000"/>
    <s v="Wine Sales"/>
    <n v="26.761500000000002"/>
    <n v="0"/>
    <s v="Daily Sales Import"/>
    <n v="-26.761500000000002"/>
    <n v="26.761500000000002"/>
    <x v="2"/>
    <s v="2230"/>
    <s v="000"/>
    <x v="9"/>
    <x v="2"/>
  </r>
  <r>
    <d v="2013-07-09T00:00:00"/>
    <s v="018-2100-000"/>
    <s v="Food Sales"/>
    <n v="3785.7518999999998"/>
    <n v="0"/>
    <s v="Daily Sales Import"/>
    <n v="-3785.7518999999998"/>
    <n v="3785.7518999999998"/>
    <x v="2"/>
    <s v="2100"/>
    <s v="000"/>
    <x v="9"/>
    <x v="2"/>
  </r>
  <r>
    <d v="2013-07-09T00:00:00"/>
    <s v="018-2210-000"/>
    <s v="Liquor Sales"/>
    <n v="797.33949999999993"/>
    <n v="0"/>
    <s v="Daily Sales Import"/>
    <n v="-797.33949999999993"/>
    <n v="797.33949999999993"/>
    <x v="2"/>
    <s v="2210"/>
    <s v="000"/>
    <x v="9"/>
    <x v="2"/>
  </r>
  <r>
    <d v="2013-07-09T00:00:00"/>
    <s v="018-2220-000"/>
    <s v="Beer Sales"/>
    <n v="282.76650000000001"/>
    <n v="0"/>
    <s v="Daily Sales Import"/>
    <n v="-282.76650000000001"/>
    <n v="282.76650000000001"/>
    <x v="2"/>
    <s v="2220"/>
    <s v="000"/>
    <x v="9"/>
    <x v="2"/>
  </r>
  <r>
    <d v="2013-07-10T00:00:00"/>
    <s v="018-2100-000"/>
    <s v="Food Sales"/>
    <n v="4643.5024000000003"/>
    <n v="0"/>
    <s v="Daily Sales Import"/>
    <n v="-4643.5024000000003"/>
    <n v="4643.5024000000003"/>
    <x v="2"/>
    <s v="2100"/>
    <s v="000"/>
    <x v="9"/>
    <x v="2"/>
  </r>
  <r>
    <d v="2013-07-10T00:00:00"/>
    <s v="018-2210-000"/>
    <s v="Liquor Sales"/>
    <n v="763.68050000000005"/>
    <n v="0"/>
    <s v="Daily Sales Import"/>
    <n v="-763.68050000000005"/>
    <n v="763.68050000000005"/>
    <x v="2"/>
    <s v="2210"/>
    <s v="000"/>
    <x v="9"/>
    <x v="2"/>
  </r>
  <r>
    <d v="2013-07-10T00:00:00"/>
    <s v="018-2220-000"/>
    <s v="Beer Sales"/>
    <n v="385.66079999999999"/>
    <n v="0"/>
    <s v="Daily Sales Import"/>
    <n v="-385.66079999999999"/>
    <n v="385.66079999999999"/>
    <x v="2"/>
    <s v="2220"/>
    <s v="000"/>
    <x v="9"/>
    <x v="2"/>
  </r>
  <r>
    <d v="2013-07-10T00:00:00"/>
    <s v="018-2230-000"/>
    <s v="Wine Sales"/>
    <n v="48.191600000000008"/>
    <n v="0"/>
    <s v="Daily Sales Import"/>
    <n v="-48.191600000000008"/>
    <n v="48.191600000000008"/>
    <x v="2"/>
    <s v="2230"/>
    <s v="000"/>
    <x v="9"/>
    <x v="2"/>
  </r>
  <r>
    <d v="2013-07-11T00:00:00"/>
    <s v="018-2100-000"/>
    <s v="Food Sales"/>
    <n v="5287.7055"/>
    <n v="0"/>
    <s v="Daily Sales Import"/>
    <n v="-5287.7055"/>
    <n v="5287.7055"/>
    <x v="2"/>
    <s v="2100"/>
    <s v="000"/>
    <x v="9"/>
    <x v="2"/>
  </r>
  <r>
    <d v="2013-07-11T00:00:00"/>
    <s v="018-2210-000"/>
    <s v="Liquor Sales"/>
    <n v="1191.664"/>
    <n v="0"/>
    <s v="Daily Sales Import"/>
    <n v="-1191.664"/>
    <n v="1191.664"/>
    <x v="2"/>
    <s v="2210"/>
    <s v="000"/>
    <x v="9"/>
    <x v="2"/>
  </r>
  <r>
    <d v="2013-07-11T00:00:00"/>
    <s v="018-2220-000"/>
    <s v="Beer Sales"/>
    <n v="355.83699999999999"/>
    <n v="0"/>
    <s v="Daily Sales Import"/>
    <n v="-355.83699999999999"/>
    <n v="355.83699999999999"/>
    <x v="2"/>
    <s v="2220"/>
    <s v="000"/>
    <x v="9"/>
    <x v="2"/>
  </r>
  <r>
    <d v="2013-07-11T00:00:00"/>
    <s v="018-2230-000"/>
    <s v="Wine Sales"/>
    <n v="8.4505999999999997"/>
    <n v="0"/>
    <s v="Daily Sales Import"/>
    <n v="-8.4505999999999997"/>
    <n v="8.4505999999999997"/>
    <x v="2"/>
    <s v="2230"/>
    <s v="000"/>
    <x v="9"/>
    <x v="2"/>
  </r>
  <r>
    <d v="2013-07-12T00:00:00"/>
    <s v="018-2100-000"/>
    <s v="Food Sales"/>
    <n v="9768.5818999999992"/>
    <n v="0"/>
    <s v="Daily Sales Import"/>
    <n v="-9768.5818999999992"/>
    <n v="9768.5818999999992"/>
    <x v="2"/>
    <s v="2100"/>
    <s v="000"/>
    <x v="9"/>
    <x v="2"/>
  </r>
  <r>
    <d v="2013-07-12T00:00:00"/>
    <s v="018-2210-000"/>
    <s v="Liquor Sales"/>
    <n v="3178.6573000000003"/>
    <n v="0"/>
    <s v="Daily Sales Import"/>
    <n v="-3178.6573000000003"/>
    <n v="3178.6573000000003"/>
    <x v="2"/>
    <s v="2210"/>
    <s v="000"/>
    <x v="9"/>
    <x v="2"/>
  </r>
  <r>
    <d v="2013-07-12T00:00:00"/>
    <s v="018-2220-000"/>
    <s v="Beer Sales"/>
    <n v="682.19100000000003"/>
    <n v="0"/>
    <s v="Daily Sales Import"/>
    <n v="-682.19100000000003"/>
    <n v="682.19100000000003"/>
    <x v="2"/>
    <s v="2220"/>
    <s v="000"/>
    <x v="9"/>
    <x v="2"/>
  </r>
  <r>
    <d v="2013-07-12T00:00:00"/>
    <s v="018-2230-000"/>
    <s v="Wine Sales"/>
    <n v="196.4872"/>
    <n v="0"/>
    <s v="Daily Sales Import"/>
    <n v="-196.4872"/>
    <n v="196.4872"/>
    <x v="2"/>
    <s v="2230"/>
    <s v="000"/>
    <x v="9"/>
    <x v="2"/>
  </r>
  <r>
    <d v="2013-07-13T00:00:00"/>
    <s v="018-2100-000"/>
    <s v="Food Sales"/>
    <n v="16046.238600000001"/>
    <n v="0"/>
    <s v="Daily Sales Import"/>
    <n v="-16046.238600000001"/>
    <n v="16046.238600000001"/>
    <x v="2"/>
    <s v="2100"/>
    <s v="000"/>
    <x v="9"/>
    <x v="2"/>
  </r>
  <r>
    <d v="2013-07-13T00:00:00"/>
    <s v="018-2210-000"/>
    <s v="Liquor Sales"/>
    <n v="3153.7862"/>
    <n v="0"/>
    <s v="Daily Sales Import"/>
    <n v="-3153.7862"/>
    <n v="3153.7862"/>
    <x v="2"/>
    <s v="2210"/>
    <s v="000"/>
    <x v="9"/>
    <x v="2"/>
  </r>
  <r>
    <d v="2013-07-13T00:00:00"/>
    <s v="018-2220-000"/>
    <s v="Beer Sales"/>
    <n v="812.05599999999993"/>
    <n v="0"/>
    <s v="Daily Sales Import"/>
    <n v="-812.05599999999993"/>
    <n v="812.05599999999993"/>
    <x v="2"/>
    <s v="2220"/>
    <s v="000"/>
    <x v="9"/>
    <x v="2"/>
  </r>
  <r>
    <d v="2013-07-13T00:00:00"/>
    <s v="018-2230-000"/>
    <s v="Wine Sales"/>
    <n v="95.602500000000006"/>
    <n v="0"/>
    <s v="Daily Sales Import"/>
    <n v="-95.602500000000006"/>
    <n v="95.602500000000006"/>
    <x v="2"/>
    <s v="2230"/>
    <s v="000"/>
    <x v="9"/>
    <x v="2"/>
  </r>
  <r>
    <d v="2013-07-14T00:00:00"/>
    <s v="018-2100-000"/>
    <s v="Food Sales"/>
    <n v="13418.5695"/>
    <n v="0"/>
    <s v="Daily Sales Import"/>
    <n v="-13418.5695"/>
    <n v="13418.5695"/>
    <x v="2"/>
    <s v="2100"/>
    <s v="000"/>
    <x v="9"/>
    <x v="2"/>
  </r>
  <r>
    <d v="2013-07-14T00:00:00"/>
    <s v="018-2210-000"/>
    <s v="Liquor Sales"/>
    <n v="2250.8213000000001"/>
    <n v="0"/>
    <s v="Daily Sales Import"/>
    <n v="-2250.8213000000001"/>
    <n v="2250.8213000000001"/>
    <x v="2"/>
    <s v="2210"/>
    <s v="000"/>
    <x v="9"/>
    <x v="2"/>
  </r>
  <r>
    <d v="2013-07-14T00:00:00"/>
    <s v="018-2220-000"/>
    <s v="Beer Sales"/>
    <n v="416.78699999999998"/>
    <n v="0"/>
    <s v="Daily Sales Import"/>
    <n v="-416.78699999999998"/>
    <n v="416.78699999999998"/>
    <x v="2"/>
    <s v="2220"/>
    <s v="000"/>
    <x v="9"/>
    <x v="2"/>
  </r>
  <r>
    <d v="2013-07-14T00:00:00"/>
    <s v="018-2230-000"/>
    <s v="Wine Sales"/>
    <n v="25.157000000000004"/>
    <n v="0"/>
    <s v="Daily Sales Import"/>
    <n v="-25.157000000000004"/>
    <n v="25.157000000000004"/>
    <x v="2"/>
    <s v="2230"/>
    <s v="000"/>
    <x v="9"/>
    <x v="2"/>
  </r>
  <r>
    <d v="2013-07-15T00:00:00"/>
    <s v="016-2100-000"/>
    <s v="Food Sales"/>
    <n v="3657.9239999999995"/>
    <n v="0"/>
    <s v="Daily Sales Import"/>
    <n v="-3657.9239999999995"/>
    <n v="3657.9239999999995"/>
    <x v="0"/>
    <s v="2100"/>
    <s v="000"/>
    <x v="9"/>
    <x v="2"/>
  </r>
  <r>
    <d v="2013-07-15T00:00:00"/>
    <s v="016-2210-000"/>
    <s v="Liquor Sales"/>
    <n v="694.20039999999995"/>
    <n v="0"/>
    <s v="Daily Sales Import"/>
    <n v="-694.20039999999995"/>
    <n v="694.20039999999995"/>
    <x v="0"/>
    <s v="2210"/>
    <s v="000"/>
    <x v="9"/>
    <x v="2"/>
  </r>
  <r>
    <d v="2013-07-15T00:00:00"/>
    <s v="016-2220-000"/>
    <s v="Beer Sales"/>
    <n v="167.04"/>
    <n v="0"/>
    <s v="Daily Sales Import"/>
    <n v="-167.04"/>
    <n v="167.04"/>
    <x v="0"/>
    <s v="2220"/>
    <s v="000"/>
    <x v="9"/>
    <x v="2"/>
  </r>
  <r>
    <d v="2013-07-15T00:00:00"/>
    <s v="016-2230-000"/>
    <s v="Wine Sales"/>
    <n v="27.231799999999996"/>
    <n v="0"/>
    <s v="Daily Sales Import"/>
    <n v="-27.231799999999996"/>
    <n v="27.231799999999996"/>
    <x v="0"/>
    <s v="2230"/>
    <s v="000"/>
    <x v="9"/>
    <x v="2"/>
  </r>
  <r>
    <d v="2013-07-16T00:00:00"/>
    <s v="016-2100-000"/>
    <s v="Food Sales"/>
    <n v="7892.5"/>
    <n v="0"/>
    <s v="Daily Sales Import"/>
    <n v="-7892.5"/>
    <n v="7892.5"/>
    <x v="0"/>
    <s v="2100"/>
    <s v="000"/>
    <x v="9"/>
    <x v="2"/>
  </r>
  <r>
    <d v="2013-07-16T00:00:00"/>
    <s v="016-2210-000"/>
    <s v="Liquor Sales"/>
    <n v="3330.6555000000003"/>
    <n v="0"/>
    <s v="Daily Sales Import"/>
    <n v="-3330.6555000000003"/>
    <n v="3330.6555000000003"/>
    <x v="0"/>
    <s v="2210"/>
    <s v="000"/>
    <x v="9"/>
    <x v="2"/>
  </r>
  <r>
    <d v="2013-07-16T00:00:00"/>
    <s v="016-2220-000"/>
    <s v="Beer Sales"/>
    <n v="776.79200000000003"/>
    <n v="0"/>
    <s v="Daily Sales Import"/>
    <n v="-776.79200000000003"/>
    <n v="776.79200000000003"/>
    <x v="0"/>
    <s v="2220"/>
    <s v="000"/>
    <x v="9"/>
    <x v="2"/>
  </r>
  <r>
    <d v="2013-07-16T00:00:00"/>
    <s v="016-2230-000"/>
    <s v="Wine Sales"/>
    <n v="145.36079999999998"/>
    <n v="0"/>
    <s v="Daily Sales Import"/>
    <n v="-145.36079999999998"/>
    <n v="145.36079999999998"/>
    <x v="0"/>
    <s v="2230"/>
    <s v="000"/>
    <x v="9"/>
    <x v="2"/>
  </r>
  <r>
    <d v="2013-07-17T00:00:00"/>
    <s v="016-2100-000"/>
    <s v="Food Sales"/>
    <n v="2429.5463999999997"/>
    <n v="0"/>
    <s v="Daily Sales Import"/>
    <n v="-2429.5463999999997"/>
    <n v="2429.5463999999997"/>
    <x v="0"/>
    <s v="2100"/>
    <s v="000"/>
    <x v="9"/>
    <x v="2"/>
  </r>
  <r>
    <d v="2013-07-17T00:00:00"/>
    <s v="016-2210-000"/>
    <s v="Liquor Sales"/>
    <n v="536.63760000000002"/>
    <n v="0"/>
    <s v="Daily Sales Import"/>
    <n v="-536.63760000000002"/>
    <n v="536.63760000000002"/>
    <x v="0"/>
    <s v="2210"/>
    <s v="000"/>
    <x v="9"/>
    <x v="2"/>
  </r>
  <r>
    <d v="2013-07-17T00:00:00"/>
    <s v="016-2220-000"/>
    <s v="Beer Sales"/>
    <n v="120.8296"/>
    <n v="0"/>
    <s v="Daily Sales Import"/>
    <n v="-120.8296"/>
    <n v="120.8296"/>
    <x v="0"/>
    <s v="2220"/>
    <s v="000"/>
    <x v="9"/>
    <x v="2"/>
  </r>
  <r>
    <d v="2013-07-17T00:00:00"/>
    <s v="016-2230-000"/>
    <s v="Wine Sales"/>
    <n v="44.125499999999995"/>
    <n v="0"/>
    <s v="Daily Sales Import"/>
    <n v="-44.125499999999995"/>
    <n v="44.125499999999995"/>
    <x v="0"/>
    <s v="2230"/>
    <s v="000"/>
    <x v="9"/>
    <x v="2"/>
  </r>
  <r>
    <d v="2013-07-18T00:00:00"/>
    <s v="016-2100-000"/>
    <s v="Food Sales"/>
    <n v="2271.7314999999999"/>
    <n v="0"/>
    <s v="Daily Sales Import"/>
    <n v="-2271.7314999999999"/>
    <n v="2271.7314999999999"/>
    <x v="0"/>
    <s v="2100"/>
    <s v="000"/>
    <x v="9"/>
    <x v="2"/>
  </r>
  <r>
    <d v="2013-07-18T00:00:00"/>
    <s v="016-2210-000"/>
    <s v="Liquor Sales"/>
    <n v="675.90599999999995"/>
    <n v="0"/>
    <s v="Daily Sales Import"/>
    <n v="-675.90599999999995"/>
    <n v="675.90599999999995"/>
    <x v="0"/>
    <s v="2210"/>
    <s v="000"/>
    <x v="9"/>
    <x v="2"/>
  </r>
  <r>
    <d v="2013-07-18T00:00:00"/>
    <s v="016-2220-000"/>
    <s v="Beer Sales"/>
    <n v="153.16320000000002"/>
    <n v="0"/>
    <s v="Daily Sales Import"/>
    <n v="-153.16320000000002"/>
    <n v="153.16320000000002"/>
    <x v="0"/>
    <s v="2220"/>
    <s v="000"/>
    <x v="9"/>
    <x v="2"/>
  </r>
  <r>
    <d v="2013-07-18T00:00:00"/>
    <s v="016-2230-000"/>
    <s v="Wine Sales"/>
    <n v="80.246999999999986"/>
    <n v="0"/>
    <s v="Daily Sales Import"/>
    <n v="-80.246999999999986"/>
    <n v="80.246999999999986"/>
    <x v="0"/>
    <s v="2230"/>
    <s v="000"/>
    <x v="9"/>
    <x v="2"/>
  </r>
  <r>
    <d v="2013-07-19T00:00:00"/>
    <s v="016-2100-000"/>
    <s v="Food Sales"/>
    <n v="6960.3963000000003"/>
    <n v="0"/>
    <s v="Daily Sales Import"/>
    <n v="-6960.3963000000003"/>
    <n v="6960.3963000000003"/>
    <x v="0"/>
    <s v="2100"/>
    <s v="000"/>
    <x v="9"/>
    <x v="2"/>
  </r>
  <r>
    <d v="2013-07-19T00:00:00"/>
    <s v="016-2210-000"/>
    <s v="Liquor Sales"/>
    <n v="1706.7982000000002"/>
    <n v="0"/>
    <s v="Daily Sales Import"/>
    <n v="-1706.7982000000002"/>
    <n v="1706.7982000000002"/>
    <x v="0"/>
    <s v="2210"/>
    <s v="000"/>
    <x v="9"/>
    <x v="2"/>
  </r>
  <r>
    <d v="2013-07-19T00:00:00"/>
    <s v="016-2220-000"/>
    <s v="Beer Sales"/>
    <n v="384.78000000000003"/>
    <n v="0"/>
    <s v="Daily Sales Import"/>
    <n v="-384.78000000000003"/>
    <n v="384.78000000000003"/>
    <x v="0"/>
    <s v="2220"/>
    <s v="000"/>
    <x v="9"/>
    <x v="2"/>
  </r>
  <r>
    <d v="2013-07-19T00:00:00"/>
    <s v="016-2230-000"/>
    <s v="Wine Sales"/>
    <n v="122.32000000000001"/>
    <n v="0"/>
    <s v="Daily Sales Import"/>
    <n v="-122.32000000000001"/>
    <n v="122.32000000000001"/>
    <x v="0"/>
    <s v="2230"/>
    <s v="000"/>
    <x v="9"/>
    <x v="2"/>
  </r>
  <r>
    <d v="2013-07-20T00:00:00"/>
    <s v="016-2100-000"/>
    <s v="Food Sales"/>
    <n v="5719.4941999999992"/>
    <n v="0"/>
    <s v="Daily Sales Import"/>
    <n v="-5719.4941999999992"/>
    <n v="5719.4941999999992"/>
    <x v="0"/>
    <s v="2100"/>
    <s v="000"/>
    <x v="9"/>
    <x v="2"/>
  </r>
  <r>
    <d v="2013-07-20T00:00:00"/>
    <s v="016-2210-000"/>
    <s v="Liquor Sales"/>
    <n v="2571.8889999999997"/>
    <n v="0"/>
    <s v="Daily Sales Import"/>
    <n v="-2571.8889999999997"/>
    <n v="2571.8889999999997"/>
    <x v="0"/>
    <s v="2210"/>
    <s v="000"/>
    <x v="9"/>
    <x v="2"/>
  </r>
  <r>
    <d v="2013-07-20T00:00:00"/>
    <s v="016-2220-000"/>
    <s v="Beer Sales"/>
    <n v="551.08409999999992"/>
    <n v="0"/>
    <s v="Daily Sales Import"/>
    <n v="-551.08409999999992"/>
    <n v="551.08409999999992"/>
    <x v="0"/>
    <s v="2220"/>
    <s v="000"/>
    <x v="9"/>
    <x v="2"/>
  </r>
  <r>
    <d v="2013-07-20T00:00:00"/>
    <s v="016-2230-000"/>
    <s v="Wine Sales"/>
    <n v="90.175600000000003"/>
    <n v="0"/>
    <s v="Daily Sales Import"/>
    <n v="-90.175600000000003"/>
    <n v="90.175600000000003"/>
    <x v="0"/>
    <s v="2230"/>
    <s v="000"/>
    <x v="9"/>
    <x v="2"/>
  </r>
  <r>
    <d v="2013-07-21T00:00:00"/>
    <s v="016-2100-000"/>
    <s v="Food Sales"/>
    <n v="5083.4637000000002"/>
    <n v="0"/>
    <s v="Daily Sales Import"/>
    <n v="-5083.4637000000002"/>
    <n v="5083.4637000000002"/>
    <x v="0"/>
    <s v="2100"/>
    <s v="000"/>
    <x v="9"/>
    <x v="2"/>
  </r>
  <r>
    <d v="2013-07-21T00:00:00"/>
    <s v="016-2210-000"/>
    <s v="Liquor Sales"/>
    <n v="685.95839999999998"/>
    <n v="0"/>
    <s v="Daily Sales Import"/>
    <n v="-685.95839999999998"/>
    <n v="685.95839999999998"/>
    <x v="0"/>
    <s v="2210"/>
    <s v="000"/>
    <x v="9"/>
    <x v="2"/>
  </r>
  <r>
    <d v="2013-07-21T00:00:00"/>
    <s v="016-2220-000"/>
    <s v="Beer Sales"/>
    <n v="164.81300000000002"/>
    <n v="0"/>
    <s v="Daily Sales Import"/>
    <n v="-164.81300000000002"/>
    <n v="164.81300000000002"/>
    <x v="0"/>
    <s v="2220"/>
    <s v="000"/>
    <x v="9"/>
    <x v="2"/>
  </r>
  <r>
    <d v="2013-07-21T00:00:00"/>
    <s v="016-2230-000"/>
    <s v="Wine Sales"/>
    <n v="59.008799999999994"/>
    <n v="0"/>
    <s v="Daily Sales Import"/>
    <n v="-59.008799999999994"/>
    <n v="59.008799999999994"/>
    <x v="0"/>
    <s v="2230"/>
    <s v="000"/>
    <x v="9"/>
    <x v="2"/>
  </r>
  <r>
    <d v="2013-07-15T00:00:00"/>
    <s v="017-2100-000"/>
    <s v="Food Sales"/>
    <n v="4210.6122000000005"/>
    <n v="0"/>
    <s v="Daily Sales Import"/>
    <n v="-4210.6122000000005"/>
    <n v="4210.6122000000005"/>
    <x v="1"/>
    <s v="2100"/>
    <s v="000"/>
    <x v="9"/>
    <x v="2"/>
  </r>
  <r>
    <d v="2013-07-15T00:00:00"/>
    <s v="017-2210-000"/>
    <s v="Liquor Sales"/>
    <n v="1367.8117"/>
    <n v="0"/>
    <s v="Daily Sales Import"/>
    <n v="-1367.8117"/>
    <n v="1367.8117"/>
    <x v="1"/>
    <s v="2210"/>
    <s v="000"/>
    <x v="9"/>
    <x v="2"/>
  </r>
  <r>
    <d v="2013-07-15T00:00:00"/>
    <s v="017-2220-000"/>
    <s v="Beer Sales"/>
    <n v="386.72789999999998"/>
    <n v="0"/>
    <s v="Daily Sales Import"/>
    <n v="-386.72789999999998"/>
    <n v="386.72789999999998"/>
    <x v="1"/>
    <s v="2220"/>
    <s v="000"/>
    <x v="9"/>
    <x v="2"/>
  </r>
  <r>
    <d v="2013-07-15T00:00:00"/>
    <s v="017-2230-000"/>
    <s v="Wine Sales"/>
    <n v="120.91860000000001"/>
    <n v="0"/>
    <s v="Daily Sales Import"/>
    <n v="-120.91860000000001"/>
    <n v="120.91860000000001"/>
    <x v="1"/>
    <s v="2230"/>
    <s v="000"/>
    <x v="9"/>
    <x v="2"/>
  </r>
  <r>
    <d v="2013-07-16T00:00:00"/>
    <s v="017-2100-000"/>
    <s v="Food Sales"/>
    <n v="8297.0872999999992"/>
    <n v="0"/>
    <s v="Daily Sales Import"/>
    <n v="-8297.0872999999992"/>
    <n v="8297.0872999999992"/>
    <x v="1"/>
    <s v="2100"/>
    <s v="000"/>
    <x v="9"/>
    <x v="2"/>
  </r>
  <r>
    <d v="2013-07-16T00:00:00"/>
    <s v="017-2210-000"/>
    <s v="Liquor Sales"/>
    <n v="1632.8766000000001"/>
    <n v="0"/>
    <s v="Daily Sales Import"/>
    <n v="-1632.8766000000001"/>
    <n v="1632.8766000000001"/>
    <x v="1"/>
    <s v="2210"/>
    <s v="000"/>
    <x v="9"/>
    <x v="2"/>
  </r>
  <r>
    <d v="2013-07-16T00:00:00"/>
    <s v="017-2220-000"/>
    <s v="Beer Sales"/>
    <n v="838.22019999999998"/>
    <n v="0"/>
    <s v="Daily Sales Import"/>
    <n v="-838.22019999999998"/>
    <n v="838.22019999999998"/>
    <x v="1"/>
    <s v="2220"/>
    <s v="000"/>
    <x v="9"/>
    <x v="2"/>
  </r>
  <r>
    <d v="2013-07-16T00:00:00"/>
    <s v="017-2230-000"/>
    <s v="Wine Sales"/>
    <n v="195.12520000000001"/>
    <n v="0"/>
    <s v="Daily Sales Import"/>
    <n v="-195.12520000000001"/>
    <n v="195.12520000000001"/>
    <x v="1"/>
    <s v="2230"/>
    <s v="000"/>
    <x v="9"/>
    <x v="2"/>
  </r>
  <r>
    <d v="2013-07-17T00:00:00"/>
    <s v="017-2100-000"/>
    <s v="Food Sales"/>
    <n v="7691.2264000000005"/>
    <n v="0"/>
    <s v="Daily Sales Import"/>
    <n v="-7691.2264000000005"/>
    <n v="7691.2264000000005"/>
    <x v="1"/>
    <s v="2100"/>
    <s v="000"/>
    <x v="9"/>
    <x v="2"/>
  </r>
  <r>
    <d v="2013-07-17T00:00:00"/>
    <s v="017-2210-000"/>
    <s v="Liquor Sales"/>
    <n v="1513.0518"/>
    <n v="0"/>
    <s v="Daily Sales Import"/>
    <n v="-1513.0518"/>
    <n v="1513.0518"/>
    <x v="1"/>
    <s v="2210"/>
    <s v="000"/>
    <x v="9"/>
    <x v="2"/>
  </r>
  <r>
    <d v="2013-07-17T00:00:00"/>
    <s v="017-2220-000"/>
    <s v="Beer Sales"/>
    <n v="762.02840000000015"/>
    <n v="0"/>
    <s v="Daily Sales Import"/>
    <n v="-762.02840000000015"/>
    <n v="762.02840000000015"/>
    <x v="1"/>
    <s v="2220"/>
    <s v="000"/>
    <x v="9"/>
    <x v="2"/>
  </r>
  <r>
    <d v="2013-07-17T00:00:00"/>
    <s v="017-2230-000"/>
    <s v="Wine Sales"/>
    <n v="80.992800000000003"/>
    <n v="0"/>
    <s v="Daily Sales Import"/>
    <n v="-80.992800000000003"/>
    <n v="80.992800000000003"/>
    <x v="1"/>
    <s v="2230"/>
    <s v="000"/>
    <x v="9"/>
    <x v="2"/>
  </r>
  <r>
    <d v="2013-07-18T00:00:00"/>
    <s v="017-2100-000"/>
    <s v="Food Sales"/>
    <n v="4966.7438999999995"/>
    <n v="0"/>
    <s v="Daily Sales Import"/>
    <n v="-4966.7438999999995"/>
    <n v="4966.7438999999995"/>
    <x v="1"/>
    <s v="2100"/>
    <s v="000"/>
    <x v="9"/>
    <x v="2"/>
  </r>
  <r>
    <d v="2013-07-18T00:00:00"/>
    <s v="017-2210-000"/>
    <s v="Liquor Sales"/>
    <n v="1357.9520000000002"/>
    <n v="0"/>
    <s v="Daily Sales Import"/>
    <n v="-1357.9520000000002"/>
    <n v="1357.9520000000002"/>
    <x v="1"/>
    <s v="2210"/>
    <s v="000"/>
    <x v="9"/>
    <x v="2"/>
  </r>
  <r>
    <d v="2013-07-18T00:00:00"/>
    <s v="017-2220-000"/>
    <s v="Beer Sales"/>
    <n v="654.33759999999995"/>
    <n v="0"/>
    <s v="Daily Sales Import"/>
    <n v="-654.33759999999995"/>
    <n v="654.33759999999995"/>
    <x v="1"/>
    <s v="2220"/>
    <s v="000"/>
    <x v="9"/>
    <x v="2"/>
  </r>
  <r>
    <d v="2013-07-18T00:00:00"/>
    <s v="017-2230-000"/>
    <s v="Wine Sales"/>
    <n v="169.24179999999998"/>
    <n v="0"/>
    <s v="Daily Sales Import"/>
    <n v="-169.24179999999998"/>
    <n v="169.24179999999998"/>
    <x v="1"/>
    <s v="2230"/>
    <s v="000"/>
    <x v="9"/>
    <x v="2"/>
  </r>
  <r>
    <d v="2013-07-19T00:00:00"/>
    <s v="017-2100-000"/>
    <s v="Food Sales"/>
    <n v="10541.903399999999"/>
    <n v="0"/>
    <s v="Daily Sales Import"/>
    <n v="-10541.903399999999"/>
    <n v="10541.903399999999"/>
    <x v="1"/>
    <s v="2100"/>
    <s v="000"/>
    <x v="9"/>
    <x v="2"/>
  </r>
  <r>
    <d v="2013-07-19T00:00:00"/>
    <s v="017-2210-000"/>
    <s v="Liquor Sales"/>
    <n v="2173.0842000000002"/>
    <n v="0"/>
    <s v="Daily Sales Import"/>
    <n v="-2173.0842000000002"/>
    <n v="2173.0842000000002"/>
    <x v="1"/>
    <s v="2210"/>
    <s v="000"/>
    <x v="9"/>
    <x v="2"/>
  </r>
  <r>
    <d v="2013-07-19T00:00:00"/>
    <s v="017-2220-000"/>
    <s v="Beer Sales"/>
    <n v="413.91160000000002"/>
    <n v="0"/>
    <s v="Daily Sales Import"/>
    <n v="-413.91160000000002"/>
    <n v="413.91160000000002"/>
    <x v="1"/>
    <s v="2220"/>
    <s v="000"/>
    <x v="9"/>
    <x v="2"/>
  </r>
  <r>
    <d v="2013-07-19T00:00:00"/>
    <s v="017-2230-000"/>
    <s v="Wine Sales"/>
    <n v="66.039300000000011"/>
    <n v="0"/>
    <s v="Daily Sales Import"/>
    <n v="-66.039300000000011"/>
    <n v="66.039300000000011"/>
    <x v="1"/>
    <s v="2230"/>
    <s v="000"/>
    <x v="9"/>
    <x v="2"/>
  </r>
  <r>
    <d v="2013-07-20T00:00:00"/>
    <s v="017-2100-000"/>
    <s v="Food Sales"/>
    <n v="5403.7682999999997"/>
    <n v="0"/>
    <s v="Daily Sales Import"/>
    <n v="-5403.7682999999997"/>
    <n v="5403.7682999999997"/>
    <x v="1"/>
    <s v="2100"/>
    <s v="000"/>
    <x v="9"/>
    <x v="2"/>
  </r>
  <r>
    <d v="2013-07-20T00:00:00"/>
    <s v="017-2210-000"/>
    <s v="Liquor Sales"/>
    <n v="1131.5248000000001"/>
    <n v="0"/>
    <s v="Daily Sales Import"/>
    <n v="-1131.5248000000001"/>
    <n v="1131.5248000000001"/>
    <x v="1"/>
    <s v="2210"/>
    <s v="000"/>
    <x v="9"/>
    <x v="2"/>
  </r>
  <r>
    <d v="2013-07-20T00:00:00"/>
    <s v="017-2220-000"/>
    <s v="Beer Sales"/>
    <n v="225.50400000000002"/>
    <n v="0"/>
    <s v="Daily Sales Import"/>
    <n v="-225.50400000000002"/>
    <n v="225.50400000000002"/>
    <x v="1"/>
    <s v="2220"/>
    <s v="000"/>
    <x v="9"/>
    <x v="2"/>
  </r>
  <r>
    <d v="2013-07-20T00:00:00"/>
    <s v="017-2230-000"/>
    <s v="Wine Sales"/>
    <n v="106.26870000000001"/>
    <n v="0"/>
    <s v="Daily Sales Import"/>
    <n v="-106.26870000000001"/>
    <n v="106.26870000000001"/>
    <x v="1"/>
    <s v="2230"/>
    <s v="000"/>
    <x v="9"/>
    <x v="2"/>
  </r>
  <r>
    <d v="2013-07-21T00:00:00"/>
    <s v="017-2100-000"/>
    <s v="Food Sales"/>
    <n v="5418.8324999999995"/>
    <n v="0"/>
    <s v="Daily Sales Import"/>
    <n v="-5418.8324999999995"/>
    <n v="5418.8324999999995"/>
    <x v="1"/>
    <s v="2100"/>
    <s v="000"/>
    <x v="9"/>
    <x v="2"/>
  </r>
  <r>
    <d v="2013-07-21T00:00:00"/>
    <s v="017-2210-000"/>
    <s v="Liquor Sales"/>
    <n v="1303.8813"/>
    <n v="0"/>
    <s v="Daily Sales Import"/>
    <n v="-1303.8813"/>
    <n v="1303.8813"/>
    <x v="1"/>
    <s v="2210"/>
    <s v="000"/>
    <x v="9"/>
    <x v="2"/>
  </r>
  <r>
    <d v="2013-07-21T00:00:00"/>
    <s v="017-2220-000"/>
    <s v="Beer Sales"/>
    <n v="303.24120000000005"/>
    <n v="0"/>
    <s v="Daily Sales Import"/>
    <n v="-303.24120000000005"/>
    <n v="303.24120000000005"/>
    <x v="1"/>
    <s v="2220"/>
    <s v="000"/>
    <x v="9"/>
    <x v="2"/>
  </r>
  <r>
    <d v="2013-07-21T00:00:00"/>
    <s v="017-2230-000"/>
    <s v="Wine Sales"/>
    <n v="67.065299999999993"/>
    <n v="0"/>
    <s v="Daily Sales Import"/>
    <n v="-67.065299999999993"/>
    <n v="67.065299999999993"/>
    <x v="1"/>
    <s v="2230"/>
    <s v="000"/>
    <x v="9"/>
    <x v="2"/>
  </r>
  <r>
    <d v="2013-07-15T00:00:00"/>
    <s v="018-2100-000"/>
    <s v="Food Sales"/>
    <n v="4881.7223999999997"/>
    <n v="0"/>
    <s v="Daily Sales Import"/>
    <n v="-4881.7223999999997"/>
    <n v="4881.7223999999997"/>
    <x v="2"/>
    <s v="2100"/>
    <s v="000"/>
    <x v="9"/>
    <x v="2"/>
  </r>
  <r>
    <d v="2013-07-15T00:00:00"/>
    <s v="018-2210-000"/>
    <s v="Liquor Sales"/>
    <n v="737.10450000000014"/>
    <n v="0"/>
    <s v="Daily Sales Import"/>
    <n v="-737.10450000000014"/>
    <n v="737.10450000000014"/>
    <x v="2"/>
    <s v="2210"/>
    <s v="000"/>
    <x v="9"/>
    <x v="2"/>
  </r>
  <r>
    <d v="2013-07-15T00:00:00"/>
    <s v="018-2220-000"/>
    <s v="Beer Sales"/>
    <n v="193.79859999999999"/>
    <n v="0"/>
    <s v="Daily Sales Import"/>
    <n v="-193.79859999999999"/>
    <n v="193.79859999999999"/>
    <x v="2"/>
    <s v="2220"/>
    <s v="000"/>
    <x v="9"/>
    <x v="2"/>
  </r>
  <r>
    <d v="2013-07-15T00:00:00"/>
    <s v="018-2230-000"/>
    <s v="Wine Sales"/>
    <n v="26.991"/>
    <n v="0"/>
    <s v="Daily Sales Import"/>
    <n v="-26.991"/>
    <n v="26.991"/>
    <x v="2"/>
    <s v="2230"/>
    <s v="000"/>
    <x v="9"/>
    <x v="2"/>
  </r>
  <r>
    <d v="2013-07-16T00:00:00"/>
    <s v="018-2100-000"/>
    <s v="Food Sales"/>
    <n v="4653.009"/>
    <n v="0"/>
    <s v="Daily Sales Import"/>
    <n v="-4653.009"/>
    <n v="4653.009"/>
    <x v="2"/>
    <s v="2100"/>
    <s v="000"/>
    <x v="9"/>
    <x v="2"/>
  </r>
  <r>
    <d v="2013-07-16T00:00:00"/>
    <s v="018-2210-000"/>
    <s v="Liquor Sales"/>
    <n v="1081.7760000000001"/>
    <n v="0"/>
    <s v="Daily Sales Import"/>
    <n v="-1081.7760000000001"/>
    <n v="1081.7760000000001"/>
    <x v="2"/>
    <s v="2210"/>
    <s v="000"/>
    <x v="9"/>
    <x v="2"/>
  </r>
  <r>
    <d v="2013-07-16T00:00:00"/>
    <s v="018-2220-000"/>
    <s v="Beer Sales"/>
    <n v="324.80760000000004"/>
    <n v="0"/>
    <s v="Daily Sales Import"/>
    <n v="-324.80760000000004"/>
    <n v="324.80760000000004"/>
    <x v="2"/>
    <s v="2220"/>
    <s v="000"/>
    <x v="9"/>
    <x v="2"/>
  </r>
  <r>
    <d v="2013-07-16T00:00:00"/>
    <s v="018-2230-000"/>
    <s v="Wine Sales"/>
    <n v="36.325999999999993"/>
    <n v="0"/>
    <s v="Daily Sales Import"/>
    <n v="-36.325999999999993"/>
    <n v="36.325999999999993"/>
    <x v="2"/>
    <s v="2230"/>
    <s v="000"/>
    <x v="9"/>
    <x v="2"/>
  </r>
  <r>
    <d v="2013-07-17T00:00:00"/>
    <s v="018-2100-000"/>
    <s v="Food Sales"/>
    <n v="4160.8168000000005"/>
    <n v="0"/>
    <s v="Daily Sales Import"/>
    <n v="-4160.8168000000005"/>
    <n v="4160.8168000000005"/>
    <x v="2"/>
    <s v="2100"/>
    <s v="000"/>
    <x v="9"/>
    <x v="2"/>
  </r>
  <r>
    <d v="2013-07-17T00:00:00"/>
    <s v="018-2210-000"/>
    <s v="Liquor Sales"/>
    <n v="1122.3784000000001"/>
    <n v="0"/>
    <s v="Daily Sales Import"/>
    <n v="-1122.3784000000001"/>
    <n v="1122.3784000000001"/>
    <x v="2"/>
    <s v="2210"/>
    <s v="000"/>
    <x v="9"/>
    <x v="2"/>
  </r>
  <r>
    <d v="2013-07-17T00:00:00"/>
    <s v="018-2220-000"/>
    <s v="Beer Sales"/>
    <n v="251.38960000000003"/>
    <n v="0"/>
    <s v="Daily Sales Import"/>
    <n v="-251.38960000000003"/>
    <n v="251.38960000000003"/>
    <x v="2"/>
    <s v="2220"/>
    <s v="000"/>
    <x v="9"/>
    <x v="2"/>
  </r>
  <r>
    <d v="2013-07-17T00:00:00"/>
    <s v="018-2230-000"/>
    <s v="Wine Sales"/>
    <n v="37.665199999999999"/>
    <n v="0"/>
    <s v="Daily Sales Import"/>
    <n v="-37.665199999999999"/>
    <n v="37.665199999999999"/>
    <x v="2"/>
    <s v="2230"/>
    <s v="000"/>
    <x v="9"/>
    <x v="2"/>
  </r>
  <r>
    <d v="2013-07-18T00:00:00"/>
    <s v="018-2100-000"/>
    <s v="Food Sales"/>
    <n v="4616.2542999999996"/>
    <n v="0"/>
    <s v="Daily Sales Import"/>
    <n v="-4616.2542999999996"/>
    <n v="4616.2542999999996"/>
    <x v="2"/>
    <s v="2100"/>
    <s v="000"/>
    <x v="9"/>
    <x v="2"/>
  </r>
  <r>
    <d v="2013-07-18T00:00:00"/>
    <s v="018-2210-000"/>
    <s v="Liquor Sales"/>
    <n v="1112.3904"/>
    <n v="0"/>
    <s v="Daily Sales Import"/>
    <n v="-1112.3904"/>
    <n v="1112.3904"/>
    <x v="2"/>
    <s v="2210"/>
    <s v="000"/>
    <x v="9"/>
    <x v="2"/>
  </r>
  <r>
    <d v="2013-07-18T00:00:00"/>
    <s v="018-2220-000"/>
    <s v="Beer Sales"/>
    <n v="383.65230000000003"/>
    <n v="0"/>
    <s v="Daily Sales Import"/>
    <n v="-383.65230000000003"/>
    <n v="383.65230000000003"/>
    <x v="2"/>
    <s v="2220"/>
    <s v="000"/>
    <x v="9"/>
    <x v="2"/>
  </r>
  <r>
    <d v="2013-07-18T00:00:00"/>
    <s v="018-2230-000"/>
    <s v="Wine Sales"/>
    <n v="61.170200000000001"/>
    <n v="0"/>
    <s v="Daily Sales Import"/>
    <n v="-61.170200000000001"/>
    <n v="61.170200000000001"/>
    <x v="2"/>
    <s v="2230"/>
    <s v="000"/>
    <x v="9"/>
    <x v="2"/>
  </r>
  <r>
    <d v="2013-07-19T00:00:00"/>
    <s v="018-2100-000"/>
    <s v="Food Sales"/>
    <n v="6455.0915000000005"/>
    <n v="0"/>
    <s v="Daily Sales Import"/>
    <n v="-6455.0915000000005"/>
    <n v="6455.0915000000005"/>
    <x v="2"/>
    <s v="2100"/>
    <s v="000"/>
    <x v="9"/>
    <x v="2"/>
  </r>
  <r>
    <d v="2013-07-19T00:00:00"/>
    <s v="018-2210-000"/>
    <s v="Liquor Sales"/>
    <n v="2120.3910000000001"/>
    <n v="0"/>
    <s v="Daily Sales Import"/>
    <n v="-2120.3910000000001"/>
    <n v="2120.3910000000001"/>
    <x v="2"/>
    <s v="2210"/>
    <s v="000"/>
    <x v="9"/>
    <x v="2"/>
  </r>
  <r>
    <d v="2013-07-19T00:00:00"/>
    <s v="018-2220-000"/>
    <s v="Beer Sales"/>
    <n v="688.125"/>
    <n v="0"/>
    <s v="Daily Sales Import"/>
    <n v="-688.125"/>
    <n v="688.125"/>
    <x v="2"/>
    <s v="2220"/>
    <s v="000"/>
    <x v="9"/>
    <x v="2"/>
  </r>
  <r>
    <d v="2013-07-19T00:00:00"/>
    <s v="018-2230-000"/>
    <s v="Wine Sales"/>
    <n v="78.856800000000007"/>
    <n v="0"/>
    <s v="Daily Sales Import"/>
    <n v="-78.856800000000007"/>
    <n v="78.856800000000007"/>
    <x v="2"/>
    <s v="2230"/>
    <s v="000"/>
    <x v="9"/>
    <x v="2"/>
  </r>
  <r>
    <d v="2013-07-20T00:00:00"/>
    <s v="018-2100-000"/>
    <s v="Food Sales"/>
    <n v="14424.731100000003"/>
    <n v="0"/>
    <s v="Daily Sales Import"/>
    <n v="-14424.731100000003"/>
    <n v="14424.731100000003"/>
    <x v="2"/>
    <s v="2100"/>
    <s v="000"/>
    <x v="9"/>
    <x v="2"/>
  </r>
  <r>
    <d v="2013-07-20T00:00:00"/>
    <s v="018-2210-000"/>
    <s v="Liquor Sales"/>
    <n v="4038.7438000000002"/>
    <n v="0"/>
    <s v="Daily Sales Import"/>
    <n v="-4038.7438000000002"/>
    <n v="4038.7438000000002"/>
    <x v="2"/>
    <s v="2210"/>
    <s v="000"/>
    <x v="9"/>
    <x v="2"/>
  </r>
  <r>
    <d v="2013-07-20T00:00:00"/>
    <s v="018-2220-000"/>
    <s v="Beer Sales"/>
    <n v="785.34599999999989"/>
    <n v="0"/>
    <s v="Daily Sales Import"/>
    <n v="-785.34599999999989"/>
    <n v="785.34599999999989"/>
    <x v="2"/>
    <s v="2220"/>
    <s v="000"/>
    <x v="9"/>
    <x v="2"/>
  </r>
  <r>
    <d v="2013-07-20T00:00:00"/>
    <s v="018-2230-000"/>
    <s v="Wine Sales"/>
    <n v="48.333599999999997"/>
    <n v="0"/>
    <s v="Daily Sales Import"/>
    <n v="-48.333599999999997"/>
    <n v="48.333599999999997"/>
    <x v="2"/>
    <s v="2230"/>
    <s v="000"/>
    <x v="9"/>
    <x v="2"/>
  </r>
  <r>
    <d v="2013-07-21T00:00:00"/>
    <s v="018-2100-000"/>
    <s v="Food Sales"/>
    <n v="11018.103999999999"/>
    <n v="0"/>
    <s v="Daily Sales Import"/>
    <n v="-11018.103999999999"/>
    <n v="11018.103999999999"/>
    <x v="2"/>
    <s v="2100"/>
    <s v="000"/>
    <x v="9"/>
    <x v="2"/>
  </r>
  <r>
    <d v="2013-07-21T00:00:00"/>
    <s v="018-2210-000"/>
    <s v="Liquor Sales"/>
    <n v="1151.3238000000001"/>
    <n v="0"/>
    <s v="Daily Sales Import"/>
    <n v="-1151.3238000000001"/>
    <n v="1151.3238000000001"/>
    <x v="2"/>
    <s v="2210"/>
    <s v="000"/>
    <x v="9"/>
    <x v="2"/>
  </r>
  <r>
    <d v="2013-07-21T00:00:00"/>
    <s v="018-2220-000"/>
    <s v="Beer Sales"/>
    <n v="352.90300000000002"/>
    <n v="0"/>
    <s v="Daily Sales Import"/>
    <n v="-352.90300000000002"/>
    <n v="352.90300000000002"/>
    <x v="2"/>
    <s v="2220"/>
    <s v="000"/>
    <x v="9"/>
    <x v="2"/>
  </r>
  <r>
    <d v="2013-07-21T00:00:00"/>
    <s v="018-2230-000"/>
    <s v="Wine Sales"/>
    <n v="69.663399999999996"/>
    <n v="0"/>
    <s v="Daily Sales Import"/>
    <n v="-69.663399999999996"/>
    <n v="69.663399999999996"/>
    <x v="2"/>
    <s v="2230"/>
    <s v="000"/>
    <x v="9"/>
    <x v="2"/>
  </r>
  <r>
    <d v="2013-07-15T00:00:00"/>
    <s v="019-2100-000"/>
    <s v="Food Sales"/>
    <n v="4701.7483999999995"/>
    <n v="0"/>
    <s v="Daily Sales Import"/>
    <n v="-4701.7483999999995"/>
    <n v="4701.7483999999995"/>
    <x v="3"/>
    <s v="2100"/>
    <s v="000"/>
    <x v="9"/>
    <x v="2"/>
  </r>
  <r>
    <d v="2013-07-15T00:00:00"/>
    <s v="019-2210-000"/>
    <s v="Liquor Sales"/>
    <n v="1062.72"/>
    <n v="0"/>
    <s v="Daily Sales Import"/>
    <n v="-1062.72"/>
    <n v="1062.72"/>
    <x v="3"/>
    <s v="2210"/>
    <s v="000"/>
    <x v="9"/>
    <x v="2"/>
  </r>
  <r>
    <d v="2013-07-15T00:00:00"/>
    <s v="019-2220-000"/>
    <s v="Beer Sales"/>
    <n v="243.51599999999999"/>
    <n v="0"/>
    <s v="Daily Sales Import"/>
    <n v="-243.51599999999999"/>
    <n v="243.51599999999999"/>
    <x v="3"/>
    <s v="2220"/>
    <s v="000"/>
    <x v="9"/>
    <x v="2"/>
  </r>
  <r>
    <d v="2013-07-15T00:00:00"/>
    <s v="019-2230-000"/>
    <s v="Wine Sales"/>
    <n v="41.315300000000001"/>
    <n v="0"/>
    <s v="Daily Sales Import"/>
    <n v="-41.315300000000001"/>
    <n v="41.315300000000001"/>
    <x v="3"/>
    <s v="2230"/>
    <s v="000"/>
    <x v="9"/>
    <x v="2"/>
  </r>
  <r>
    <d v="2013-07-16T00:00:00"/>
    <s v="019-2100-000"/>
    <s v="Food Sales"/>
    <n v="5853.5727999999999"/>
    <n v="0"/>
    <s v="Daily Sales Import"/>
    <n v="-5853.5727999999999"/>
    <n v="5853.5727999999999"/>
    <x v="3"/>
    <s v="2100"/>
    <s v="000"/>
    <x v="9"/>
    <x v="2"/>
  </r>
  <r>
    <d v="2013-07-16T00:00:00"/>
    <s v="019-2210-000"/>
    <s v="Liquor Sales"/>
    <n v="2278.2669999999998"/>
    <n v="0"/>
    <s v="Daily Sales Import"/>
    <n v="-2278.2669999999998"/>
    <n v="2278.2669999999998"/>
    <x v="3"/>
    <s v="2210"/>
    <s v="000"/>
    <x v="9"/>
    <x v="2"/>
  </r>
  <r>
    <d v="2013-07-16T00:00:00"/>
    <s v="019-2220-000"/>
    <s v="Beer Sales"/>
    <n v="261.65750000000003"/>
    <n v="0"/>
    <s v="Daily Sales Import"/>
    <n v="-261.65750000000003"/>
    <n v="261.65750000000003"/>
    <x v="3"/>
    <s v="2220"/>
    <s v="000"/>
    <x v="9"/>
    <x v="2"/>
  </r>
  <r>
    <d v="2013-07-16T00:00:00"/>
    <s v="019-2230-000"/>
    <s v="Wine Sales"/>
    <n v="112.366"/>
    <n v="0"/>
    <s v="Daily Sales Import"/>
    <n v="-112.366"/>
    <n v="112.366"/>
    <x v="3"/>
    <s v="2230"/>
    <s v="000"/>
    <x v="9"/>
    <x v="2"/>
  </r>
  <r>
    <d v="2013-07-17T00:00:00"/>
    <s v="019-2100-000"/>
    <s v="Food Sales"/>
    <n v="4750.2302"/>
    <n v="0"/>
    <s v="Daily Sales Import"/>
    <n v="-4750.2302"/>
    <n v="4750.2302"/>
    <x v="3"/>
    <s v="2100"/>
    <s v="000"/>
    <x v="9"/>
    <x v="2"/>
  </r>
  <r>
    <d v="2013-07-17T00:00:00"/>
    <s v="019-2210-000"/>
    <s v="Liquor Sales"/>
    <n v="1001.0454"/>
    <n v="0"/>
    <s v="Daily Sales Import"/>
    <n v="-1001.0454"/>
    <n v="1001.0454"/>
    <x v="3"/>
    <s v="2210"/>
    <s v="000"/>
    <x v="9"/>
    <x v="2"/>
  </r>
  <r>
    <d v="2013-07-17T00:00:00"/>
    <s v="019-2220-000"/>
    <s v="Beer Sales"/>
    <n v="293.16160000000002"/>
    <n v="0"/>
    <s v="Daily Sales Import"/>
    <n v="-293.16160000000002"/>
    <n v="293.16160000000002"/>
    <x v="3"/>
    <s v="2220"/>
    <s v="000"/>
    <x v="9"/>
    <x v="2"/>
  </r>
  <r>
    <d v="2013-07-17T00:00:00"/>
    <s v="019-2230-000"/>
    <s v="Wine Sales"/>
    <n v="35.562599999999996"/>
    <n v="0"/>
    <s v="Daily Sales Import"/>
    <n v="-35.562599999999996"/>
    <n v="35.562599999999996"/>
    <x v="3"/>
    <s v="2230"/>
    <s v="000"/>
    <x v="9"/>
    <x v="2"/>
  </r>
  <r>
    <d v="2013-07-18T00:00:00"/>
    <s v="019-2100-000"/>
    <s v="Food Sales"/>
    <n v="4307.4075000000003"/>
    <n v="0"/>
    <s v="Daily Sales Import"/>
    <n v="-4307.4075000000003"/>
    <n v="4307.4075000000003"/>
    <x v="3"/>
    <s v="2100"/>
    <s v="000"/>
    <x v="9"/>
    <x v="2"/>
  </r>
  <r>
    <d v="2013-07-18T00:00:00"/>
    <s v="019-2210-000"/>
    <s v="Liquor Sales"/>
    <n v="1601.6847999999998"/>
    <n v="0"/>
    <s v="Daily Sales Import"/>
    <n v="-1601.6847999999998"/>
    <n v="1601.6847999999998"/>
    <x v="3"/>
    <s v="2210"/>
    <s v="000"/>
    <x v="9"/>
    <x v="2"/>
  </r>
  <r>
    <d v="2013-07-18T00:00:00"/>
    <s v="019-2220-000"/>
    <s v="Beer Sales"/>
    <n v="419.13900000000001"/>
    <n v="0"/>
    <s v="Daily Sales Import"/>
    <n v="-419.13900000000001"/>
    <n v="419.13900000000001"/>
    <x v="3"/>
    <s v="2220"/>
    <s v="000"/>
    <x v="9"/>
    <x v="2"/>
  </r>
  <r>
    <d v="2013-07-18T00:00:00"/>
    <s v="019-2230-000"/>
    <s v="Wine Sales"/>
    <n v="63.134999999999998"/>
    <n v="0"/>
    <s v="Daily Sales Import"/>
    <n v="-63.134999999999998"/>
    <n v="63.134999999999998"/>
    <x v="3"/>
    <s v="2230"/>
    <s v="000"/>
    <x v="9"/>
    <x v="2"/>
  </r>
  <r>
    <d v="2013-07-19T00:00:00"/>
    <s v="019-2100-000"/>
    <s v="Food Sales"/>
    <n v="5598.0414000000001"/>
    <n v="0"/>
    <s v="Daily Sales Import"/>
    <n v="-5598.0414000000001"/>
    <n v="5598.0414000000001"/>
    <x v="3"/>
    <s v="2100"/>
    <s v="000"/>
    <x v="9"/>
    <x v="2"/>
  </r>
  <r>
    <d v="2013-07-19T00:00:00"/>
    <s v="019-2210-000"/>
    <s v="Liquor Sales"/>
    <n v="2583.4596999999999"/>
    <n v="0"/>
    <s v="Daily Sales Import"/>
    <n v="-2583.4596999999999"/>
    <n v="2583.4596999999999"/>
    <x v="3"/>
    <s v="2210"/>
    <s v="000"/>
    <x v="9"/>
    <x v="2"/>
  </r>
  <r>
    <d v="2013-07-19T00:00:00"/>
    <s v="019-2220-000"/>
    <s v="Beer Sales"/>
    <n v="438.37200000000001"/>
    <n v="0"/>
    <s v="Daily Sales Import"/>
    <n v="-438.37200000000001"/>
    <n v="438.37200000000001"/>
    <x v="3"/>
    <s v="2220"/>
    <s v="000"/>
    <x v="9"/>
    <x v="2"/>
  </r>
  <r>
    <d v="2013-07-19T00:00:00"/>
    <s v="019-2230-000"/>
    <s v="Wine Sales"/>
    <n v="75.114000000000004"/>
    <n v="0"/>
    <s v="Daily Sales Import"/>
    <n v="-75.114000000000004"/>
    <n v="75.114000000000004"/>
    <x v="3"/>
    <s v="2230"/>
    <s v="000"/>
    <x v="9"/>
    <x v="2"/>
  </r>
  <r>
    <d v="2013-07-20T00:00:00"/>
    <s v="019-2100-000"/>
    <s v="Food Sales"/>
    <n v="4805.2759999999998"/>
    <n v="0"/>
    <s v="Daily Sales Import"/>
    <n v="-4805.2759999999998"/>
    <n v="4805.2759999999998"/>
    <x v="3"/>
    <s v="2100"/>
    <s v="000"/>
    <x v="9"/>
    <x v="2"/>
  </r>
  <r>
    <d v="2013-07-20T00:00:00"/>
    <s v="019-2210-000"/>
    <s v="Liquor Sales"/>
    <n v="2479.8912"/>
    <n v="0"/>
    <s v="Daily Sales Import"/>
    <n v="-2479.8912"/>
    <n v="2479.8912"/>
    <x v="3"/>
    <s v="2210"/>
    <s v="000"/>
    <x v="9"/>
    <x v="2"/>
  </r>
  <r>
    <d v="2013-07-20T00:00:00"/>
    <s v="019-2220-000"/>
    <s v="Beer Sales"/>
    <n v="372.32650000000001"/>
    <n v="0"/>
    <s v="Daily Sales Import"/>
    <n v="-372.32650000000001"/>
    <n v="372.32650000000001"/>
    <x v="3"/>
    <s v="2220"/>
    <s v="000"/>
    <x v="9"/>
    <x v="2"/>
  </r>
  <r>
    <d v="2013-07-20T00:00:00"/>
    <s v="019-2230-000"/>
    <s v="Wine Sales"/>
    <n v="25.798500000000001"/>
    <n v="0"/>
    <s v="Daily Sales Import"/>
    <n v="-25.798500000000001"/>
    <n v="25.798500000000001"/>
    <x v="3"/>
    <s v="2230"/>
    <s v="000"/>
    <x v="9"/>
    <x v="2"/>
  </r>
  <r>
    <d v="2013-07-21T00:00:00"/>
    <s v="019-2100-000"/>
    <s v="Food Sales"/>
    <n v="4612.4791999999998"/>
    <n v="0"/>
    <s v="Daily Sales Import"/>
    <n v="-4612.4791999999998"/>
    <n v="4612.4791999999998"/>
    <x v="3"/>
    <s v="2100"/>
    <s v="000"/>
    <x v="9"/>
    <x v="2"/>
  </r>
  <r>
    <d v="2013-07-21T00:00:00"/>
    <s v="019-2210-000"/>
    <s v="Liquor Sales"/>
    <n v="1461.894"/>
    <n v="0"/>
    <s v="Daily Sales Import"/>
    <n v="-1461.894"/>
    <n v="1461.894"/>
    <x v="3"/>
    <s v="2210"/>
    <s v="000"/>
    <x v="9"/>
    <x v="2"/>
  </r>
  <r>
    <d v="2013-07-21T00:00:00"/>
    <s v="019-2220-000"/>
    <s v="Beer Sales"/>
    <n v="303.67099999999999"/>
    <n v="0"/>
    <s v="Daily Sales Import"/>
    <n v="-303.67099999999999"/>
    <n v="303.67099999999999"/>
    <x v="3"/>
    <s v="2220"/>
    <s v="000"/>
    <x v="9"/>
    <x v="2"/>
  </r>
  <r>
    <d v="2013-07-21T00:00:00"/>
    <s v="019-2230-000"/>
    <s v="Wine Sales"/>
    <n v="70.975799999999992"/>
    <n v="0"/>
    <s v="Daily Sales Import"/>
    <n v="-70.975799999999992"/>
    <n v="70.975799999999992"/>
    <x v="3"/>
    <s v="2230"/>
    <s v="000"/>
    <x v="9"/>
    <x v="2"/>
  </r>
  <r>
    <d v="2013-07-22T00:00:00"/>
    <s v="016-2100-000"/>
    <s v="Food Sales"/>
    <n v="1675.5907"/>
    <n v="0"/>
    <s v="Daily Sales Import"/>
    <n v="-1675.5907"/>
    <n v="1675.5907"/>
    <x v="0"/>
    <s v="2100"/>
    <s v="000"/>
    <x v="9"/>
    <x v="2"/>
  </r>
  <r>
    <d v="2013-07-22T00:00:00"/>
    <s v="016-2210-000"/>
    <s v="Liquor Sales"/>
    <n v="359.58780000000002"/>
    <n v="0"/>
    <s v="Daily Sales Import"/>
    <n v="-359.58780000000002"/>
    <n v="359.58780000000002"/>
    <x v="0"/>
    <s v="2210"/>
    <s v="000"/>
    <x v="9"/>
    <x v="2"/>
  </r>
  <r>
    <d v="2013-07-22T00:00:00"/>
    <s v="016-2220-000"/>
    <s v="Beer Sales"/>
    <n v="70.707799999999992"/>
    <n v="0"/>
    <s v="Daily Sales Import"/>
    <n v="-70.707799999999992"/>
    <n v="70.707799999999992"/>
    <x v="0"/>
    <s v="2220"/>
    <s v="000"/>
    <x v="9"/>
    <x v="2"/>
  </r>
  <r>
    <d v="2013-07-22T00:00:00"/>
    <s v="016-2230-000"/>
    <s v="Wine Sales"/>
    <n v="53.777599999999993"/>
    <n v="0"/>
    <s v="Daily Sales Import"/>
    <n v="-53.777599999999993"/>
    <n v="53.777599999999993"/>
    <x v="0"/>
    <s v="2230"/>
    <s v="000"/>
    <x v="9"/>
    <x v="2"/>
  </r>
  <r>
    <d v="2013-07-23T00:00:00"/>
    <s v="016-2100-000"/>
    <s v="Food Sales"/>
    <n v="5901.4475000000002"/>
    <n v="0"/>
    <s v="Daily Sales Import"/>
    <n v="-5901.4475000000002"/>
    <n v="5901.4475000000002"/>
    <x v="0"/>
    <s v="2100"/>
    <s v="000"/>
    <x v="9"/>
    <x v="2"/>
  </r>
  <r>
    <d v="2013-07-23T00:00:00"/>
    <s v="016-2210-000"/>
    <s v="Liquor Sales"/>
    <n v="2284.7346000000002"/>
    <n v="0"/>
    <s v="Daily Sales Import"/>
    <n v="-2284.7346000000002"/>
    <n v="2284.7346000000002"/>
    <x v="0"/>
    <s v="2210"/>
    <s v="000"/>
    <x v="9"/>
    <x v="2"/>
  </r>
  <r>
    <d v="2013-07-23T00:00:00"/>
    <s v="016-2220-000"/>
    <s v="Beer Sales"/>
    <n v="781.47"/>
    <n v="0"/>
    <s v="Daily Sales Import"/>
    <n v="-781.47"/>
    <n v="781.47"/>
    <x v="0"/>
    <s v="2220"/>
    <s v="000"/>
    <x v="9"/>
    <x v="2"/>
  </r>
  <r>
    <d v="2013-07-23T00:00:00"/>
    <s v="016-2230-000"/>
    <s v="Wine Sales"/>
    <n v="119.97719999999998"/>
    <n v="0"/>
    <s v="Daily Sales Import"/>
    <n v="-119.97719999999998"/>
    <n v="119.97719999999998"/>
    <x v="0"/>
    <s v="2230"/>
    <s v="000"/>
    <x v="9"/>
    <x v="2"/>
  </r>
  <r>
    <d v="2013-07-24T00:00:00"/>
    <s v="016-2100-000"/>
    <s v="Food Sales"/>
    <n v="2417.2485999999999"/>
    <n v="0"/>
    <s v="Daily Sales Import"/>
    <n v="-2417.2485999999999"/>
    <n v="2417.2485999999999"/>
    <x v="0"/>
    <s v="2100"/>
    <s v="000"/>
    <x v="9"/>
    <x v="2"/>
  </r>
  <r>
    <d v="2013-07-24T00:00:00"/>
    <s v="016-2210-000"/>
    <s v="Liquor Sales"/>
    <n v="813.35649999999998"/>
    <n v="0"/>
    <s v="Daily Sales Import"/>
    <n v="-813.35649999999998"/>
    <n v="813.35649999999998"/>
    <x v="0"/>
    <s v="2210"/>
    <s v="000"/>
    <x v="9"/>
    <x v="2"/>
  </r>
  <r>
    <d v="2013-07-24T00:00:00"/>
    <s v="016-2220-000"/>
    <s v="Beer Sales"/>
    <n v="221.27399999999997"/>
    <n v="0"/>
    <s v="Daily Sales Import"/>
    <n v="-221.27399999999997"/>
    <n v="221.27399999999997"/>
    <x v="0"/>
    <s v="2220"/>
    <s v="000"/>
    <x v="9"/>
    <x v="2"/>
  </r>
  <r>
    <d v="2013-07-24T00:00:00"/>
    <s v="016-2230-000"/>
    <s v="Wine Sales"/>
    <n v="29.887"/>
    <n v="0"/>
    <s v="Daily Sales Import"/>
    <n v="-29.887"/>
    <n v="29.887"/>
    <x v="0"/>
    <s v="2230"/>
    <s v="000"/>
    <x v="9"/>
    <x v="2"/>
  </r>
  <r>
    <d v="2013-07-25T00:00:00"/>
    <s v="016-2100-000"/>
    <s v="Food Sales"/>
    <n v="4639.7240000000002"/>
    <n v="0"/>
    <s v="Daily Sales Import"/>
    <n v="-4639.7240000000002"/>
    <n v="4639.7240000000002"/>
    <x v="0"/>
    <s v="2100"/>
    <s v="000"/>
    <x v="9"/>
    <x v="2"/>
  </r>
  <r>
    <d v="2013-07-25T00:00:00"/>
    <s v="016-2210-000"/>
    <s v="Liquor Sales"/>
    <n v="969.77250000000004"/>
    <n v="0"/>
    <s v="Daily Sales Import"/>
    <n v="-969.77250000000004"/>
    <n v="969.77250000000004"/>
    <x v="0"/>
    <s v="2210"/>
    <s v="000"/>
    <x v="9"/>
    <x v="2"/>
  </r>
  <r>
    <d v="2013-07-25T00:00:00"/>
    <s v="016-2220-000"/>
    <s v="Beer Sales"/>
    <n v="279.04250000000002"/>
    <n v="0"/>
    <s v="Daily Sales Import"/>
    <n v="-279.04250000000002"/>
    <n v="279.04250000000002"/>
    <x v="0"/>
    <s v="2220"/>
    <s v="000"/>
    <x v="9"/>
    <x v="2"/>
  </r>
  <r>
    <d v="2013-07-25T00:00:00"/>
    <s v="016-2230-000"/>
    <s v="Wine Sales"/>
    <n v="65.162399999999991"/>
    <n v="0"/>
    <s v="Daily Sales Import"/>
    <n v="-65.162399999999991"/>
    <n v="65.162399999999991"/>
    <x v="0"/>
    <s v="2230"/>
    <s v="000"/>
    <x v="9"/>
    <x v="2"/>
  </r>
  <r>
    <d v="2013-07-26T00:00:00"/>
    <s v="016-2100-000"/>
    <s v="Food Sales"/>
    <n v="5738.9714999999997"/>
    <n v="0"/>
    <s v="Daily Sales Import"/>
    <n v="-5738.9714999999997"/>
    <n v="5738.9714999999997"/>
    <x v="0"/>
    <s v="2100"/>
    <s v="000"/>
    <x v="9"/>
    <x v="2"/>
  </r>
  <r>
    <d v="2013-07-26T00:00:00"/>
    <s v="016-2210-000"/>
    <s v="Liquor Sales"/>
    <n v="1809.4183999999998"/>
    <n v="0"/>
    <s v="Daily Sales Import"/>
    <n v="-1809.4183999999998"/>
    <n v="1809.4183999999998"/>
    <x v="0"/>
    <s v="2210"/>
    <s v="000"/>
    <x v="9"/>
    <x v="2"/>
  </r>
  <r>
    <d v="2013-07-26T00:00:00"/>
    <s v="016-2220-000"/>
    <s v="Beer Sales"/>
    <n v="234.41759999999999"/>
    <n v="0"/>
    <s v="Daily Sales Import"/>
    <n v="-234.41759999999999"/>
    <n v="234.41759999999999"/>
    <x v="0"/>
    <s v="2220"/>
    <s v="000"/>
    <x v="9"/>
    <x v="2"/>
  </r>
  <r>
    <d v="2013-07-26T00:00:00"/>
    <s v="016-2230-000"/>
    <s v="Wine Sales"/>
    <n v="94.133499999999984"/>
    <n v="0"/>
    <s v="Daily Sales Import"/>
    <n v="-94.133499999999984"/>
    <n v="94.133499999999984"/>
    <x v="0"/>
    <s v="2230"/>
    <s v="000"/>
    <x v="9"/>
    <x v="2"/>
  </r>
  <r>
    <d v="2013-07-27T00:00:00"/>
    <s v="016-2100-000"/>
    <s v="Food Sales"/>
    <n v="9602.9939999999988"/>
    <n v="0"/>
    <s v="Daily Sales Import"/>
    <n v="-9602.9939999999988"/>
    <n v="9602.9939999999988"/>
    <x v="0"/>
    <s v="2100"/>
    <s v="000"/>
    <x v="9"/>
    <x v="2"/>
  </r>
  <r>
    <d v="2013-07-27T00:00:00"/>
    <s v="016-2210-000"/>
    <s v="Liquor Sales"/>
    <n v="3578.3323999999993"/>
    <n v="0"/>
    <s v="Daily Sales Import"/>
    <n v="-3578.3323999999993"/>
    <n v="3578.3323999999993"/>
    <x v="0"/>
    <s v="2210"/>
    <s v="000"/>
    <x v="9"/>
    <x v="2"/>
  </r>
  <r>
    <d v="2013-07-27T00:00:00"/>
    <s v="016-2220-000"/>
    <s v="Beer Sales"/>
    <n v="634.74709999999993"/>
    <n v="0"/>
    <s v="Daily Sales Import"/>
    <n v="-634.74709999999993"/>
    <n v="634.74709999999993"/>
    <x v="0"/>
    <s v="2220"/>
    <s v="000"/>
    <x v="9"/>
    <x v="2"/>
  </r>
  <r>
    <d v="2013-07-27T00:00:00"/>
    <s v="016-2230-000"/>
    <s v="Wine Sales"/>
    <n v="212.73559999999998"/>
    <n v="0"/>
    <s v="Daily Sales Import"/>
    <n v="-212.73559999999998"/>
    <n v="212.73559999999998"/>
    <x v="0"/>
    <s v="2230"/>
    <s v="000"/>
    <x v="9"/>
    <x v="2"/>
  </r>
  <r>
    <d v="2013-07-28T00:00:00"/>
    <s v="016-2100-000"/>
    <s v="Food Sales"/>
    <n v="4536.1008000000002"/>
    <n v="0"/>
    <s v="Daily Sales Import"/>
    <n v="-4536.1008000000002"/>
    <n v="4536.1008000000002"/>
    <x v="0"/>
    <s v="2100"/>
    <s v="000"/>
    <x v="9"/>
    <x v="2"/>
  </r>
  <r>
    <d v="2013-07-28T00:00:00"/>
    <s v="016-2210-000"/>
    <s v="Liquor Sales"/>
    <n v="821.74930000000006"/>
    <n v="0"/>
    <s v="Daily Sales Import"/>
    <n v="-821.74930000000006"/>
    <n v="821.74930000000006"/>
    <x v="0"/>
    <s v="2210"/>
    <s v="000"/>
    <x v="9"/>
    <x v="2"/>
  </r>
  <r>
    <d v="2013-07-28T00:00:00"/>
    <s v="016-2220-000"/>
    <s v="Beer Sales"/>
    <n v="147.39680000000001"/>
    <n v="0"/>
    <s v="Daily Sales Import"/>
    <n v="-147.39680000000001"/>
    <n v="147.39680000000001"/>
    <x v="0"/>
    <s v="2220"/>
    <s v="000"/>
    <x v="9"/>
    <x v="2"/>
  </r>
  <r>
    <d v="2013-07-28T00:00:00"/>
    <s v="016-2230-000"/>
    <s v="Wine Sales"/>
    <n v="34.010399999999997"/>
    <n v="0"/>
    <s v="Daily Sales Import"/>
    <n v="-34.010399999999997"/>
    <n v="34.010399999999997"/>
    <x v="0"/>
    <s v="2230"/>
    <s v="000"/>
    <x v="9"/>
    <x v="2"/>
  </r>
  <r>
    <d v="2013-07-22T00:00:00"/>
    <s v="017-2100-000"/>
    <s v="Food Sales"/>
    <n v="5805.3980000000001"/>
    <n v="0"/>
    <s v="Daily Sales Import"/>
    <n v="-5805.3980000000001"/>
    <n v="5805.3980000000001"/>
    <x v="1"/>
    <s v="2100"/>
    <s v="000"/>
    <x v="9"/>
    <x v="2"/>
  </r>
  <r>
    <d v="2013-07-22T00:00:00"/>
    <s v="017-2210-000"/>
    <s v="Liquor Sales"/>
    <n v="1521.5424"/>
    <n v="0"/>
    <s v="Daily Sales Import"/>
    <n v="-1521.5424"/>
    <n v="1521.5424"/>
    <x v="1"/>
    <s v="2210"/>
    <s v="000"/>
    <x v="9"/>
    <x v="2"/>
  </r>
  <r>
    <d v="2013-07-22T00:00:00"/>
    <s v="017-2220-000"/>
    <s v="Beer Sales"/>
    <n v="566.19330000000002"/>
    <n v="0"/>
    <s v="Daily Sales Import"/>
    <n v="-566.19330000000002"/>
    <n v="566.19330000000002"/>
    <x v="1"/>
    <s v="2220"/>
    <s v="000"/>
    <x v="9"/>
    <x v="2"/>
  </r>
  <r>
    <d v="2013-07-22T00:00:00"/>
    <s v="017-2230-000"/>
    <s v="Wine Sales"/>
    <n v="124.45299999999999"/>
    <n v="0"/>
    <s v="Daily Sales Import"/>
    <n v="-124.45299999999999"/>
    <n v="124.45299999999999"/>
    <x v="1"/>
    <s v="2230"/>
    <s v="000"/>
    <x v="9"/>
    <x v="2"/>
  </r>
  <r>
    <d v="2013-07-23T00:00:00"/>
    <s v="017-2100-000"/>
    <s v="Food Sales"/>
    <n v="7318.2993000000006"/>
    <n v="0"/>
    <s v="Daily Sales Import"/>
    <n v="-7318.2993000000006"/>
    <n v="7318.2993000000006"/>
    <x v="1"/>
    <s v="2100"/>
    <s v="000"/>
    <x v="9"/>
    <x v="2"/>
  </r>
  <r>
    <d v="2013-07-23T00:00:00"/>
    <s v="017-2210-000"/>
    <s v="Liquor Sales"/>
    <n v="1396.9998000000001"/>
    <n v="0"/>
    <s v="Daily Sales Import"/>
    <n v="-1396.9998000000001"/>
    <n v="1396.9998000000001"/>
    <x v="1"/>
    <s v="2210"/>
    <s v="000"/>
    <x v="9"/>
    <x v="2"/>
  </r>
  <r>
    <d v="2013-07-23T00:00:00"/>
    <s v="017-2220-000"/>
    <s v="Beer Sales"/>
    <n v="438.34000000000003"/>
    <n v="0"/>
    <s v="Daily Sales Import"/>
    <n v="-438.34000000000003"/>
    <n v="438.34000000000003"/>
    <x v="1"/>
    <s v="2220"/>
    <s v="000"/>
    <x v="9"/>
    <x v="2"/>
  </r>
  <r>
    <d v="2013-07-23T00:00:00"/>
    <s v="017-2230-000"/>
    <s v="Wine Sales"/>
    <n v="145.26719999999997"/>
    <n v="0"/>
    <s v="Daily Sales Import"/>
    <n v="-145.26719999999997"/>
    <n v="145.26719999999997"/>
    <x v="1"/>
    <s v="2230"/>
    <s v="000"/>
    <x v="9"/>
    <x v="2"/>
  </r>
  <r>
    <d v="2013-07-24T00:00:00"/>
    <s v="017-2100-000"/>
    <s v="Food Sales"/>
    <n v="6103.4064000000008"/>
    <n v="0"/>
    <s v="Daily Sales Import"/>
    <n v="-6103.4064000000008"/>
    <n v="6103.4064000000008"/>
    <x v="1"/>
    <s v="2100"/>
    <s v="000"/>
    <x v="9"/>
    <x v="2"/>
  </r>
  <r>
    <d v="2013-07-24T00:00:00"/>
    <s v="017-2210-000"/>
    <s v="Liquor Sales"/>
    <n v="2203.4565000000002"/>
    <n v="0"/>
    <s v="Daily Sales Import"/>
    <n v="-2203.4565000000002"/>
    <n v="2203.4565000000002"/>
    <x v="1"/>
    <s v="2210"/>
    <s v="000"/>
    <x v="9"/>
    <x v="2"/>
  </r>
  <r>
    <d v="2013-07-24T00:00:00"/>
    <s v="017-2220-000"/>
    <s v="Beer Sales"/>
    <n v="988.42399999999998"/>
    <n v="0"/>
    <s v="Daily Sales Import"/>
    <n v="-988.42399999999998"/>
    <n v="988.42399999999998"/>
    <x v="1"/>
    <s v="2220"/>
    <s v="000"/>
    <x v="9"/>
    <x v="2"/>
  </r>
  <r>
    <d v="2013-07-24T00:00:00"/>
    <s v="017-2230-000"/>
    <s v="Wine Sales"/>
    <n v="123.1276"/>
    <n v="0"/>
    <s v="Daily Sales Import"/>
    <n v="-123.1276"/>
    <n v="123.1276"/>
    <x v="1"/>
    <s v="2230"/>
    <s v="000"/>
    <x v="9"/>
    <x v="2"/>
  </r>
  <r>
    <d v="2013-07-25T00:00:00"/>
    <s v="017-2100-000"/>
    <s v="Food Sales"/>
    <n v="4506.6890000000003"/>
    <n v="0"/>
    <s v="Daily Sales Import"/>
    <n v="-4506.6890000000003"/>
    <n v="4506.6890000000003"/>
    <x v="1"/>
    <s v="2100"/>
    <s v="000"/>
    <x v="9"/>
    <x v="2"/>
  </r>
  <r>
    <d v="2013-07-25T00:00:00"/>
    <s v="017-2210-000"/>
    <s v="Liquor Sales"/>
    <n v="1826.6498000000001"/>
    <n v="0"/>
    <s v="Daily Sales Import"/>
    <n v="-1826.6498000000001"/>
    <n v="1826.6498000000001"/>
    <x v="1"/>
    <s v="2210"/>
    <s v="000"/>
    <x v="9"/>
    <x v="2"/>
  </r>
  <r>
    <d v="2013-07-25T00:00:00"/>
    <s v="017-2220-000"/>
    <s v="Beer Sales"/>
    <n v="481.32049999999998"/>
    <n v="0"/>
    <s v="Daily Sales Import"/>
    <n v="-481.32049999999998"/>
    <n v="481.32049999999998"/>
    <x v="1"/>
    <s v="2220"/>
    <s v="000"/>
    <x v="9"/>
    <x v="2"/>
  </r>
  <r>
    <d v="2013-07-25T00:00:00"/>
    <s v="017-2230-000"/>
    <s v="Wine Sales"/>
    <n v="146.39200000000002"/>
    <n v="0"/>
    <s v="Daily Sales Import"/>
    <n v="-146.39200000000002"/>
    <n v="146.39200000000002"/>
    <x v="1"/>
    <s v="2230"/>
    <s v="000"/>
    <x v="9"/>
    <x v="2"/>
  </r>
  <r>
    <d v="2013-07-26T00:00:00"/>
    <s v="017-2100-000"/>
    <s v="Food Sales"/>
    <n v="8087.8643999999995"/>
    <n v="0"/>
    <s v="Daily Sales Import"/>
    <n v="-8087.8643999999995"/>
    <n v="8087.8643999999995"/>
    <x v="1"/>
    <s v="2100"/>
    <s v="000"/>
    <x v="9"/>
    <x v="2"/>
  </r>
  <r>
    <d v="2013-07-26T00:00:00"/>
    <s v="017-2210-000"/>
    <s v="Liquor Sales"/>
    <n v="2724.3643999999999"/>
    <n v="0"/>
    <s v="Daily Sales Import"/>
    <n v="-2724.3643999999999"/>
    <n v="2724.3643999999999"/>
    <x v="1"/>
    <s v="2210"/>
    <s v="000"/>
    <x v="9"/>
    <x v="2"/>
  </r>
  <r>
    <d v="2013-07-26T00:00:00"/>
    <s v="017-2220-000"/>
    <s v="Beer Sales"/>
    <n v="662.52420000000006"/>
    <n v="0"/>
    <s v="Daily Sales Import"/>
    <n v="-662.52420000000006"/>
    <n v="662.52420000000006"/>
    <x v="1"/>
    <s v="2220"/>
    <s v="000"/>
    <x v="9"/>
    <x v="2"/>
  </r>
  <r>
    <d v="2013-07-26T00:00:00"/>
    <s v="017-2230-000"/>
    <s v="Wine Sales"/>
    <n v="61.684999999999995"/>
    <n v="0"/>
    <s v="Daily Sales Import"/>
    <n v="-61.684999999999995"/>
    <n v="61.684999999999995"/>
    <x v="1"/>
    <s v="2230"/>
    <s v="000"/>
    <x v="9"/>
    <x v="2"/>
  </r>
  <r>
    <d v="2013-07-27T00:00:00"/>
    <s v="017-2100-000"/>
    <s v="Food Sales"/>
    <n v="7731.061200000001"/>
    <n v="0"/>
    <s v="Daily Sales Import"/>
    <n v="-7731.061200000001"/>
    <n v="7731.061200000001"/>
    <x v="1"/>
    <s v="2100"/>
    <s v="000"/>
    <x v="9"/>
    <x v="2"/>
  </r>
  <r>
    <d v="2013-07-27T00:00:00"/>
    <s v="017-2210-000"/>
    <s v="Liquor Sales"/>
    <n v="2146.0289999999995"/>
    <n v="0"/>
    <s v="Daily Sales Import"/>
    <n v="-2146.0289999999995"/>
    <n v="2146.0289999999995"/>
    <x v="1"/>
    <s v="2210"/>
    <s v="000"/>
    <x v="9"/>
    <x v="2"/>
  </r>
  <r>
    <d v="2013-07-27T00:00:00"/>
    <s v="017-2220-000"/>
    <s v="Beer Sales"/>
    <n v="380.23919999999998"/>
    <n v="0"/>
    <s v="Daily Sales Import"/>
    <n v="-380.23919999999998"/>
    <n v="380.23919999999998"/>
    <x v="1"/>
    <s v="2220"/>
    <s v="000"/>
    <x v="9"/>
    <x v="2"/>
  </r>
  <r>
    <d v="2013-07-27T00:00:00"/>
    <s v="017-2230-000"/>
    <s v="Wine Sales"/>
    <n v="59.968899999999998"/>
    <n v="0"/>
    <s v="Daily Sales Import"/>
    <n v="-59.968899999999998"/>
    <n v="59.968899999999998"/>
    <x v="1"/>
    <s v="2230"/>
    <s v="000"/>
    <x v="9"/>
    <x v="2"/>
  </r>
  <r>
    <d v="2013-07-28T00:00:00"/>
    <s v="017-2100-000"/>
    <s v="Food Sales"/>
    <n v="3505.5636000000004"/>
    <n v="0"/>
    <s v="Daily Sales Import"/>
    <n v="-3505.5636000000004"/>
    <n v="3505.5636000000004"/>
    <x v="1"/>
    <s v="2100"/>
    <s v="000"/>
    <x v="9"/>
    <x v="2"/>
  </r>
  <r>
    <d v="2013-07-28T00:00:00"/>
    <s v="017-2210-000"/>
    <s v="Liquor Sales"/>
    <n v="959.63279999999997"/>
    <n v="0"/>
    <s v="Daily Sales Import"/>
    <n v="-959.63279999999997"/>
    <n v="959.63279999999997"/>
    <x v="1"/>
    <s v="2210"/>
    <s v="000"/>
    <x v="9"/>
    <x v="2"/>
  </r>
  <r>
    <d v="2013-07-28T00:00:00"/>
    <s v="017-2220-000"/>
    <s v="Beer Sales"/>
    <n v="185.929"/>
    <n v="0"/>
    <s v="Daily Sales Import"/>
    <n v="-185.929"/>
    <n v="185.929"/>
    <x v="1"/>
    <s v="2220"/>
    <s v="000"/>
    <x v="9"/>
    <x v="2"/>
  </r>
  <r>
    <d v="2013-07-28T00:00:00"/>
    <s v="017-2230-000"/>
    <s v="Wine Sales"/>
    <n v="61.308000000000007"/>
    <n v="0"/>
    <s v="Daily Sales Import"/>
    <n v="-61.308000000000007"/>
    <n v="61.308000000000007"/>
    <x v="1"/>
    <s v="2230"/>
    <s v="000"/>
    <x v="9"/>
    <x v="2"/>
  </r>
  <r>
    <d v="2013-07-22T00:00:00"/>
    <s v="018-2100-000"/>
    <s v="Food Sales"/>
    <n v="4639.4304000000002"/>
    <n v="0"/>
    <s v="Daily Sales Import"/>
    <n v="-4639.4304000000002"/>
    <n v="4639.4304000000002"/>
    <x v="2"/>
    <s v="2100"/>
    <s v="000"/>
    <x v="9"/>
    <x v="2"/>
  </r>
  <r>
    <d v="2013-07-22T00:00:00"/>
    <s v="018-2210-000"/>
    <s v="Liquor Sales"/>
    <n v="494.25900000000007"/>
    <n v="0"/>
    <s v="Daily Sales Import"/>
    <n v="-494.25900000000007"/>
    <n v="494.25900000000007"/>
    <x v="2"/>
    <s v="2210"/>
    <s v="000"/>
    <x v="9"/>
    <x v="2"/>
  </r>
  <r>
    <d v="2013-07-22T00:00:00"/>
    <s v="018-2220-000"/>
    <s v="Beer Sales"/>
    <n v="235.14280000000002"/>
    <n v="0"/>
    <s v="Daily Sales Import"/>
    <n v="-235.14280000000002"/>
    <n v="235.14280000000002"/>
    <x v="2"/>
    <s v="2220"/>
    <s v="000"/>
    <x v="9"/>
    <x v="2"/>
  </r>
  <r>
    <d v="2013-07-23T00:00:00"/>
    <s v="018-2100-000"/>
    <s v="Food Sales"/>
    <n v="6194.6544000000004"/>
    <n v="0"/>
    <s v="Daily Sales Import"/>
    <n v="-6194.6544000000004"/>
    <n v="6194.6544000000004"/>
    <x v="2"/>
    <s v="2100"/>
    <s v="000"/>
    <x v="9"/>
    <x v="2"/>
  </r>
  <r>
    <d v="2013-07-23T00:00:00"/>
    <s v="018-2210-000"/>
    <s v="Liquor Sales"/>
    <n v="998.5397999999999"/>
    <n v="0"/>
    <s v="Daily Sales Import"/>
    <n v="-998.5397999999999"/>
    <n v="998.5397999999999"/>
    <x v="2"/>
    <s v="2210"/>
    <s v="000"/>
    <x v="9"/>
    <x v="2"/>
  </r>
  <r>
    <d v="2013-07-23T00:00:00"/>
    <s v="018-2220-000"/>
    <s v="Beer Sales"/>
    <n v="244.90790000000001"/>
    <n v="0"/>
    <s v="Daily Sales Import"/>
    <n v="-244.90790000000001"/>
    <n v="244.90790000000001"/>
    <x v="2"/>
    <s v="2220"/>
    <s v="000"/>
    <x v="9"/>
    <x v="2"/>
  </r>
  <r>
    <d v="2013-07-23T00:00:00"/>
    <s v="018-2230-000"/>
    <s v="Wine Sales"/>
    <n v="47.325800000000001"/>
    <n v="0"/>
    <s v="Daily Sales Import"/>
    <n v="-47.325800000000001"/>
    <n v="47.325800000000001"/>
    <x v="2"/>
    <s v="2230"/>
    <s v="000"/>
    <x v="9"/>
    <x v="2"/>
  </r>
  <r>
    <d v="2013-07-24T00:00:00"/>
    <s v="018-2100-000"/>
    <s v="Food Sales"/>
    <n v="5680.9282000000003"/>
    <n v="0"/>
    <s v="Daily Sales Import"/>
    <n v="-5680.9282000000003"/>
    <n v="5680.9282000000003"/>
    <x v="2"/>
    <s v="2100"/>
    <s v="000"/>
    <x v="9"/>
    <x v="2"/>
  </r>
  <r>
    <d v="2013-07-24T00:00:00"/>
    <s v="018-2210-000"/>
    <s v="Liquor Sales"/>
    <n v="1723.4888000000001"/>
    <n v="0"/>
    <s v="Daily Sales Import"/>
    <n v="-1723.4888000000001"/>
    <n v="1723.4888000000001"/>
    <x v="2"/>
    <s v="2210"/>
    <s v="000"/>
    <x v="9"/>
    <x v="2"/>
  </r>
  <r>
    <d v="2013-07-24T00:00:00"/>
    <s v="018-2220-000"/>
    <s v="Beer Sales"/>
    <n v="267.50119999999998"/>
    <n v="0"/>
    <s v="Daily Sales Import"/>
    <n v="-267.50119999999998"/>
    <n v="267.50119999999998"/>
    <x v="2"/>
    <s v="2220"/>
    <s v="000"/>
    <x v="9"/>
    <x v="2"/>
  </r>
  <r>
    <d v="2013-07-24T00:00:00"/>
    <s v="018-2230-000"/>
    <s v="Wine Sales"/>
    <n v="16.739100000000001"/>
    <n v="0"/>
    <s v="Daily Sales Import"/>
    <n v="-16.739100000000001"/>
    <n v="16.739100000000001"/>
    <x v="2"/>
    <s v="2230"/>
    <s v="000"/>
    <x v="9"/>
    <x v="2"/>
  </r>
  <r>
    <d v="2013-07-25T00:00:00"/>
    <s v="018-2100-000"/>
    <s v="Food Sales"/>
    <n v="7472.8932000000004"/>
    <n v="0"/>
    <s v="Daily Sales Import"/>
    <n v="-7472.8932000000004"/>
    <n v="7472.8932000000004"/>
    <x v="2"/>
    <s v="2100"/>
    <s v="000"/>
    <x v="9"/>
    <x v="2"/>
  </r>
  <r>
    <d v="2013-07-25T00:00:00"/>
    <s v="018-2210-000"/>
    <s v="Liquor Sales"/>
    <n v="1239.1028000000001"/>
    <n v="0"/>
    <s v="Daily Sales Import"/>
    <n v="-1239.1028000000001"/>
    <n v="1239.1028000000001"/>
    <x v="2"/>
    <s v="2210"/>
    <s v="000"/>
    <x v="9"/>
    <x v="2"/>
  </r>
  <r>
    <d v="2013-07-25T00:00:00"/>
    <s v="018-2220-000"/>
    <s v="Beer Sales"/>
    <n v="321.2672"/>
    <n v="0"/>
    <s v="Daily Sales Import"/>
    <n v="-321.2672"/>
    <n v="321.2672"/>
    <x v="2"/>
    <s v="2220"/>
    <s v="000"/>
    <x v="9"/>
    <x v="2"/>
  </r>
  <r>
    <d v="2013-07-25T00:00:00"/>
    <s v="018-2230-000"/>
    <s v="Wine Sales"/>
    <n v="48.079499999999996"/>
    <n v="0"/>
    <s v="Daily Sales Import"/>
    <n v="-48.079499999999996"/>
    <n v="48.079499999999996"/>
    <x v="2"/>
    <s v="2230"/>
    <s v="000"/>
    <x v="9"/>
    <x v="2"/>
  </r>
  <r>
    <d v="2013-07-26T00:00:00"/>
    <s v="018-2100-000"/>
    <s v="Food Sales"/>
    <n v="11186.829"/>
    <n v="0"/>
    <s v="Daily Sales Import"/>
    <n v="-11186.829"/>
    <n v="11186.829"/>
    <x v="2"/>
    <s v="2100"/>
    <s v="000"/>
    <x v="9"/>
    <x v="2"/>
  </r>
  <r>
    <d v="2013-07-26T00:00:00"/>
    <s v="018-2210-000"/>
    <s v="Liquor Sales"/>
    <n v="2257.4331000000002"/>
    <n v="0"/>
    <s v="Daily Sales Import"/>
    <n v="-2257.4331000000002"/>
    <n v="2257.4331000000002"/>
    <x v="2"/>
    <s v="2210"/>
    <s v="000"/>
    <x v="9"/>
    <x v="2"/>
  </r>
  <r>
    <d v="2013-07-26T00:00:00"/>
    <s v="018-2220-000"/>
    <s v="Beer Sales"/>
    <n v="480.91550000000001"/>
    <n v="0"/>
    <s v="Daily Sales Import"/>
    <n v="-480.91550000000001"/>
    <n v="480.91550000000001"/>
    <x v="2"/>
    <s v="2220"/>
    <s v="000"/>
    <x v="9"/>
    <x v="2"/>
  </r>
  <r>
    <d v="2013-07-26T00:00:00"/>
    <s v="018-2230-000"/>
    <s v="Wine Sales"/>
    <n v="61.565999999999995"/>
    <n v="0"/>
    <s v="Daily Sales Import"/>
    <n v="-61.565999999999995"/>
    <n v="61.565999999999995"/>
    <x v="2"/>
    <s v="2230"/>
    <s v="000"/>
    <x v="9"/>
    <x v="2"/>
  </r>
  <r>
    <d v="2013-07-27T00:00:00"/>
    <s v="018-2100-000"/>
    <s v="Food Sales"/>
    <n v="11425.2912"/>
    <n v="0"/>
    <s v="Daily Sales Import"/>
    <n v="-11425.2912"/>
    <n v="11425.2912"/>
    <x v="2"/>
    <s v="2100"/>
    <s v="000"/>
    <x v="9"/>
    <x v="2"/>
  </r>
  <r>
    <d v="2013-07-27T00:00:00"/>
    <s v="018-2210-000"/>
    <s v="Liquor Sales"/>
    <n v="2449.7883000000002"/>
    <n v="0"/>
    <s v="Daily Sales Import"/>
    <n v="-2449.7883000000002"/>
    <n v="2449.7883000000002"/>
    <x v="2"/>
    <s v="2210"/>
    <s v="000"/>
    <x v="9"/>
    <x v="2"/>
  </r>
  <r>
    <d v="2013-07-27T00:00:00"/>
    <s v="018-2220-000"/>
    <s v="Beer Sales"/>
    <n v="715.26"/>
    <n v="0"/>
    <s v="Daily Sales Import"/>
    <n v="-715.26"/>
    <n v="715.26"/>
    <x v="2"/>
    <s v="2220"/>
    <s v="000"/>
    <x v="9"/>
    <x v="2"/>
  </r>
  <r>
    <d v="2013-07-27T00:00:00"/>
    <s v="018-2230-000"/>
    <s v="Wine Sales"/>
    <n v="114.5355"/>
    <n v="0"/>
    <s v="Daily Sales Import"/>
    <n v="-114.5355"/>
    <n v="114.5355"/>
    <x v="2"/>
    <s v="2230"/>
    <s v="000"/>
    <x v="9"/>
    <x v="2"/>
  </r>
  <r>
    <d v="2013-07-28T00:00:00"/>
    <s v="018-2100-000"/>
    <s v="Food Sales"/>
    <n v="9679.1034"/>
    <n v="0"/>
    <s v="Daily Sales Import"/>
    <n v="-9679.1034"/>
    <n v="9679.1034"/>
    <x v="2"/>
    <s v="2100"/>
    <s v="000"/>
    <x v="9"/>
    <x v="2"/>
  </r>
  <r>
    <d v="2013-07-28T00:00:00"/>
    <s v="018-2210-000"/>
    <s v="Liquor Sales"/>
    <n v="1374.8449000000001"/>
    <n v="0"/>
    <s v="Daily Sales Import"/>
    <n v="-1374.8449000000001"/>
    <n v="1374.8449000000001"/>
    <x v="2"/>
    <s v="2210"/>
    <s v="000"/>
    <x v="9"/>
    <x v="2"/>
  </r>
  <r>
    <d v="2013-07-28T00:00:00"/>
    <s v="018-2220-000"/>
    <s v="Beer Sales"/>
    <n v="251.89439999999999"/>
    <n v="0"/>
    <s v="Daily Sales Import"/>
    <n v="-251.89439999999999"/>
    <n v="251.89439999999999"/>
    <x v="2"/>
    <s v="2220"/>
    <s v="000"/>
    <x v="9"/>
    <x v="2"/>
  </r>
  <r>
    <d v="2013-07-28T00:00:00"/>
    <s v="018-2230-000"/>
    <s v="Wine Sales"/>
    <n v="46.648000000000003"/>
    <n v="0"/>
    <s v="Daily Sales Import"/>
    <n v="-46.648000000000003"/>
    <n v="46.648000000000003"/>
    <x v="2"/>
    <s v="2230"/>
    <s v="000"/>
    <x v="9"/>
    <x v="2"/>
  </r>
  <r>
    <d v="2013-07-22T00:00:00"/>
    <s v="019-2100-000"/>
    <s v="Food Sales"/>
    <n v="3902.5429999999992"/>
    <n v="0"/>
    <s v="Daily Sales Import"/>
    <n v="-3902.5429999999992"/>
    <n v="3902.5429999999992"/>
    <x v="3"/>
    <s v="2100"/>
    <s v="000"/>
    <x v="9"/>
    <x v="2"/>
  </r>
  <r>
    <d v="2013-07-22T00:00:00"/>
    <s v="019-2210-000"/>
    <s v="Liquor Sales"/>
    <n v="814.83480000000009"/>
    <n v="0"/>
    <s v="Daily Sales Import"/>
    <n v="-814.83480000000009"/>
    <n v="814.83480000000009"/>
    <x v="3"/>
    <s v="2210"/>
    <s v="000"/>
    <x v="9"/>
    <x v="2"/>
  </r>
  <r>
    <d v="2013-07-22T00:00:00"/>
    <s v="019-2220-000"/>
    <s v="Beer Sales"/>
    <n v="144.17280000000002"/>
    <n v="0"/>
    <s v="Daily Sales Import"/>
    <n v="-144.17280000000002"/>
    <n v="144.17280000000002"/>
    <x v="3"/>
    <s v="2220"/>
    <s v="000"/>
    <x v="9"/>
    <x v="2"/>
  </r>
  <r>
    <d v="2013-07-22T00:00:00"/>
    <s v="019-2230-000"/>
    <s v="Wine Sales"/>
    <n v="57.595199999999998"/>
    <n v="0"/>
    <s v="Daily Sales Import"/>
    <n v="-57.595199999999998"/>
    <n v="57.595199999999998"/>
    <x v="3"/>
    <s v="2230"/>
    <s v="000"/>
    <x v="9"/>
    <x v="2"/>
  </r>
  <r>
    <d v="2013-07-23T00:00:00"/>
    <s v="019-2100-000"/>
    <s v="Food Sales"/>
    <n v="5068.8747999999996"/>
    <n v="0"/>
    <s v="Daily Sales Import"/>
    <n v="-5068.8747999999996"/>
    <n v="5068.8747999999996"/>
    <x v="3"/>
    <s v="2100"/>
    <s v="000"/>
    <x v="9"/>
    <x v="2"/>
  </r>
  <r>
    <d v="2013-07-23T00:00:00"/>
    <s v="019-2210-000"/>
    <s v="Liquor Sales"/>
    <n v="1021.2644"/>
    <n v="0"/>
    <s v="Daily Sales Import"/>
    <n v="-1021.2644"/>
    <n v="1021.2644"/>
    <x v="3"/>
    <s v="2210"/>
    <s v="000"/>
    <x v="9"/>
    <x v="2"/>
  </r>
  <r>
    <d v="2013-07-23T00:00:00"/>
    <s v="019-2220-000"/>
    <s v="Beer Sales"/>
    <n v="171.62400000000002"/>
    <n v="0"/>
    <s v="Daily Sales Import"/>
    <n v="-171.62400000000002"/>
    <n v="171.62400000000002"/>
    <x v="3"/>
    <s v="2220"/>
    <s v="000"/>
    <x v="9"/>
    <x v="2"/>
  </r>
  <r>
    <d v="2013-07-23T00:00:00"/>
    <s v="019-2230-000"/>
    <s v="Wine Sales"/>
    <n v="10.1556"/>
    <n v="0"/>
    <s v="Daily Sales Import"/>
    <n v="-10.1556"/>
    <n v="10.1556"/>
    <x v="3"/>
    <s v="2230"/>
    <s v="000"/>
    <x v="9"/>
    <x v="2"/>
  </r>
  <r>
    <d v="2013-07-24T00:00:00"/>
    <s v="019-2100-000"/>
    <s v="Food Sales"/>
    <n v="5144.7674999999999"/>
    <n v="0"/>
    <s v="Daily Sales Import"/>
    <n v="-5144.7674999999999"/>
    <n v="5144.7674999999999"/>
    <x v="3"/>
    <s v="2100"/>
    <s v="000"/>
    <x v="9"/>
    <x v="2"/>
  </r>
  <r>
    <d v="2013-07-24T00:00:00"/>
    <s v="019-2210-000"/>
    <s v="Liquor Sales"/>
    <n v="1133.2728"/>
    <n v="0"/>
    <s v="Daily Sales Import"/>
    <n v="-1133.2728"/>
    <n v="1133.2728"/>
    <x v="3"/>
    <s v="2210"/>
    <s v="000"/>
    <x v="9"/>
    <x v="2"/>
  </r>
  <r>
    <d v="2013-07-24T00:00:00"/>
    <s v="019-2220-000"/>
    <s v="Beer Sales"/>
    <n v="211.16600000000003"/>
    <n v="0"/>
    <s v="Daily Sales Import"/>
    <n v="-211.16600000000003"/>
    <n v="211.16600000000003"/>
    <x v="3"/>
    <s v="2220"/>
    <s v="000"/>
    <x v="9"/>
    <x v="2"/>
  </r>
  <r>
    <d v="2013-07-24T00:00:00"/>
    <s v="019-2230-000"/>
    <s v="Wine Sales"/>
    <n v="41.951199999999993"/>
    <n v="0"/>
    <s v="Daily Sales Import"/>
    <n v="-41.951199999999993"/>
    <n v="41.951199999999993"/>
    <x v="3"/>
    <s v="2230"/>
    <s v="000"/>
    <x v="9"/>
    <x v="2"/>
  </r>
  <r>
    <d v="2013-07-25T00:00:00"/>
    <s v="019-2100-000"/>
    <s v="Food Sales"/>
    <n v="5758.5420000000004"/>
    <n v="0"/>
    <s v="Daily Sales Import"/>
    <n v="-5758.5420000000004"/>
    <n v="5758.5420000000004"/>
    <x v="3"/>
    <s v="2100"/>
    <s v="000"/>
    <x v="9"/>
    <x v="2"/>
  </r>
  <r>
    <d v="2013-07-25T00:00:00"/>
    <s v="019-2210-000"/>
    <s v="Liquor Sales"/>
    <n v="1484.1591000000001"/>
    <n v="0"/>
    <s v="Daily Sales Import"/>
    <n v="-1484.1591000000001"/>
    <n v="1484.1591000000001"/>
    <x v="3"/>
    <s v="2210"/>
    <s v="000"/>
    <x v="9"/>
    <x v="2"/>
  </r>
  <r>
    <d v="2013-07-25T00:00:00"/>
    <s v="019-2220-000"/>
    <s v="Beer Sales"/>
    <n v="242.87500000000003"/>
    <n v="0"/>
    <s v="Daily Sales Import"/>
    <n v="-242.87500000000003"/>
    <n v="242.87500000000003"/>
    <x v="3"/>
    <s v="2220"/>
    <s v="000"/>
    <x v="9"/>
    <x v="2"/>
  </r>
  <r>
    <d v="2013-07-25T00:00:00"/>
    <s v="019-2230-000"/>
    <s v="Wine Sales"/>
    <n v="39.573"/>
    <n v="0"/>
    <s v="Daily Sales Import"/>
    <n v="-39.573"/>
    <n v="39.573"/>
    <x v="3"/>
    <s v="2230"/>
    <s v="000"/>
    <x v="9"/>
    <x v="2"/>
  </r>
  <r>
    <d v="2013-07-26T00:00:00"/>
    <s v="019-2100-000"/>
    <s v="Food Sales"/>
    <n v="7460.3288000000002"/>
    <n v="0"/>
    <s v="Daily Sales Import"/>
    <n v="-7460.3288000000002"/>
    <n v="7460.3288000000002"/>
    <x v="3"/>
    <s v="2100"/>
    <s v="000"/>
    <x v="9"/>
    <x v="2"/>
  </r>
  <r>
    <d v="2013-07-26T00:00:00"/>
    <s v="019-2210-000"/>
    <s v="Liquor Sales"/>
    <n v="3333.8851000000004"/>
    <n v="0"/>
    <s v="Daily Sales Import"/>
    <n v="-3333.8851000000004"/>
    <n v="3333.8851000000004"/>
    <x v="3"/>
    <s v="2210"/>
    <s v="000"/>
    <x v="9"/>
    <x v="2"/>
  </r>
  <r>
    <d v="2013-07-26T00:00:00"/>
    <s v="019-2220-000"/>
    <s v="Beer Sales"/>
    <n v="363.97800000000001"/>
    <n v="0"/>
    <s v="Daily Sales Import"/>
    <n v="-363.97800000000001"/>
    <n v="363.97800000000001"/>
    <x v="3"/>
    <s v="2220"/>
    <s v="000"/>
    <x v="9"/>
    <x v="2"/>
  </r>
  <r>
    <d v="2013-07-26T00:00:00"/>
    <s v="019-2230-000"/>
    <s v="Wine Sales"/>
    <n v="64.428000000000011"/>
    <n v="0"/>
    <s v="Daily Sales Import"/>
    <n v="-64.428000000000011"/>
    <n v="64.428000000000011"/>
    <x v="3"/>
    <s v="2230"/>
    <s v="000"/>
    <x v="9"/>
    <x v="2"/>
  </r>
  <r>
    <d v="2013-07-27T00:00:00"/>
    <s v="019-2100-000"/>
    <s v="Food Sales"/>
    <n v="5619.7256999999991"/>
    <n v="0"/>
    <s v="Daily Sales Import"/>
    <n v="-5619.7256999999991"/>
    <n v="5619.7256999999991"/>
    <x v="3"/>
    <s v="2100"/>
    <s v="000"/>
    <x v="9"/>
    <x v="2"/>
  </r>
  <r>
    <d v="2013-07-27T00:00:00"/>
    <s v="019-2210-000"/>
    <s v="Liquor Sales"/>
    <n v="2516.0158000000001"/>
    <n v="0"/>
    <s v="Daily Sales Import"/>
    <n v="-2516.0158000000001"/>
    <n v="2516.0158000000001"/>
    <x v="3"/>
    <s v="2210"/>
    <s v="000"/>
    <x v="9"/>
    <x v="2"/>
  </r>
  <r>
    <d v="2013-07-27T00:00:00"/>
    <s v="019-2220-000"/>
    <s v="Beer Sales"/>
    <n v="527.95399999999995"/>
    <n v="0"/>
    <s v="Daily Sales Import"/>
    <n v="-527.95399999999995"/>
    <n v="527.95399999999995"/>
    <x v="3"/>
    <s v="2220"/>
    <s v="000"/>
    <x v="9"/>
    <x v="2"/>
  </r>
  <r>
    <d v="2013-07-27T00:00:00"/>
    <s v="019-2230-000"/>
    <s v="Wine Sales"/>
    <n v="86.977399999999989"/>
    <n v="0"/>
    <s v="Daily Sales Import"/>
    <n v="-86.977399999999989"/>
    <n v="86.977399999999989"/>
    <x v="3"/>
    <s v="2230"/>
    <s v="000"/>
    <x v="9"/>
    <x v="2"/>
  </r>
  <r>
    <d v="2013-07-28T00:00:00"/>
    <s v="019-2100-000"/>
    <s v="Food Sales"/>
    <n v="4931.8191999999999"/>
    <n v="0"/>
    <s v="Daily Sales Import"/>
    <n v="-4931.8191999999999"/>
    <n v="4931.8191999999999"/>
    <x v="3"/>
    <s v="2100"/>
    <s v="000"/>
    <x v="9"/>
    <x v="2"/>
  </r>
  <r>
    <d v="2013-07-28T00:00:00"/>
    <s v="019-2210-000"/>
    <s v="Liquor Sales"/>
    <n v="1256.5992000000001"/>
    <n v="0"/>
    <s v="Daily Sales Import"/>
    <n v="-1256.5992000000001"/>
    <n v="1256.5992000000001"/>
    <x v="3"/>
    <s v="2210"/>
    <s v="000"/>
    <x v="9"/>
    <x v="2"/>
  </r>
  <r>
    <d v="2013-07-28T00:00:00"/>
    <s v="019-2220-000"/>
    <s v="Beer Sales"/>
    <n v="312.67600000000004"/>
    <n v="0"/>
    <s v="Daily Sales Import"/>
    <n v="-312.67600000000004"/>
    <n v="312.67600000000004"/>
    <x v="3"/>
    <s v="2220"/>
    <s v="000"/>
    <x v="9"/>
    <x v="2"/>
  </r>
  <r>
    <d v="2013-07-28T00:00:00"/>
    <s v="019-2230-000"/>
    <s v="Wine Sales"/>
    <n v="129.0795"/>
    <n v="0"/>
    <s v="Daily Sales Import"/>
    <n v="-129.0795"/>
    <n v="129.0795"/>
    <x v="3"/>
    <s v="2230"/>
    <s v="000"/>
    <x v="9"/>
    <x v="2"/>
  </r>
  <r>
    <d v="2013-07-29T00:00:00"/>
    <s v="016-2100-000"/>
    <s v="Food Sales"/>
    <n v="1774.2144000000001"/>
    <n v="0"/>
    <s v="Daily Sales Import"/>
    <n v="-1774.2144000000001"/>
    <n v="1774.2144000000001"/>
    <x v="0"/>
    <s v="2100"/>
    <s v="000"/>
    <x v="9"/>
    <x v="2"/>
  </r>
  <r>
    <d v="2013-07-29T00:00:00"/>
    <s v="016-2210-000"/>
    <s v="Liquor Sales"/>
    <n v="334.04789999999997"/>
    <n v="0"/>
    <s v="Daily Sales Import"/>
    <n v="-334.04789999999997"/>
    <n v="334.04789999999997"/>
    <x v="0"/>
    <s v="2210"/>
    <s v="000"/>
    <x v="9"/>
    <x v="2"/>
  </r>
  <r>
    <d v="2013-07-29T00:00:00"/>
    <s v="016-2220-000"/>
    <s v="Beer Sales"/>
    <n v="99.626199999999997"/>
    <n v="0"/>
    <s v="Daily Sales Import"/>
    <n v="-99.626199999999997"/>
    <n v="99.626199999999997"/>
    <x v="0"/>
    <s v="2220"/>
    <s v="000"/>
    <x v="9"/>
    <x v="2"/>
  </r>
  <r>
    <d v="2013-07-29T00:00:00"/>
    <s v="016-2230-000"/>
    <s v="Wine Sales"/>
    <n v="60.837299999999999"/>
    <n v="0"/>
    <s v="Daily Sales Import"/>
    <n v="-60.837299999999999"/>
    <n v="60.837299999999999"/>
    <x v="0"/>
    <s v="2230"/>
    <s v="000"/>
    <x v="9"/>
    <x v="2"/>
  </r>
  <r>
    <d v="2013-07-30T00:00:00"/>
    <s v="016-2100-000"/>
    <s v="Food Sales"/>
    <n v="7427.6513999999997"/>
    <n v="0"/>
    <s v="Daily Sales Import"/>
    <n v="-7427.6513999999997"/>
    <n v="7427.6513999999997"/>
    <x v="0"/>
    <s v="2100"/>
    <s v="000"/>
    <x v="9"/>
    <x v="2"/>
  </r>
  <r>
    <d v="2013-07-30T00:00:00"/>
    <s v="016-2210-000"/>
    <s v="Liquor Sales"/>
    <n v="2574.2586000000001"/>
    <n v="0"/>
    <s v="Daily Sales Import"/>
    <n v="-2574.2586000000001"/>
    <n v="2574.2586000000001"/>
    <x v="0"/>
    <s v="2210"/>
    <s v="000"/>
    <x v="9"/>
    <x v="2"/>
  </r>
  <r>
    <d v="2013-07-30T00:00:00"/>
    <s v="016-2220-000"/>
    <s v="Beer Sales"/>
    <n v="590.82799999999997"/>
    <n v="0"/>
    <s v="Daily Sales Import"/>
    <n v="-590.82799999999997"/>
    <n v="590.82799999999997"/>
    <x v="0"/>
    <s v="2220"/>
    <s v="000"/>
    <x v="9"/>
    <x v="2"/>
  </r>
  <r>
    <d v="2013-07-30T00:00:00"/>
    <s v="016-2230-000"/>
    <s v="Wine Sales"/>
    <n v="171.32499999999999"/>
    <n v="0"/>
    <s v="Daily Sales Import"/>
    <n v="-171.32499999999999"/>
    <n v="171.32499999999999"/>
    <x v="0"/>
    <s v="2230"/>
    <s v="000"/>
    <x v="9"/>
    <x v="2"/>
  </r>
  <r>
    <d v="2013-07-31T00:00:00"/>
    <s v="016-2100-000"/>
    <s v="Food Sales"/>
    <n v="3555.8250000000003"/>
    <n v="0"/>
    <s v="Daily Sales Import"/>
    <n v="-3555.8250000000003"/>
    <n v="3555.8250000000003"/>
    <x v="0"/>
    <s v="2100"/>
    <s v="000"/>
    <x v="9"/>
    <x v="2"/>
  </r>
  <r>
    <d v="2013-07-31T00:00:00"/>
    <s v="016-2210-000"/>
    <s v="Liquor Sales"/>
    <n v="580.82749999999999"/>
    <n v="0"/>
    <s v="Daily Sales Import"/>
    <n v="-580.82749999999999"/>
    <n v="580.82749999999999"/>
    <x v="0"/>
    <s v="2210"/>
    <s v="000"/>
    <x v="9"/>
    <x v="2"/>
  </r>
  <r>
    <d v="2013-07-31T00:00:00"/>
    <s v="016-2220-000"/>
    <s v="Beer Sales"/>
    <n v="165.33540000000002"/>
    <n v="0"/>
    <s v="Daily Sales Import"/>
    <n v="-165.33540000000002"/>
    <n v="165.33540000000002"/>
    <x v="0"/>
    <s v="2220"/>
    <s v="000"/>
    <x v="9"/>
    <x v="2"/>
  </r>
  <r>
    <d v="2013-07-31T00:00:00"/>
    <s v="016-2230-000"/>
    <s v="Wine Sales"/>
    <n v="61.475999999999992"/>
    <n v="0"/>
    <s v="Daily Sales Import"/>
    <n v="-61.475999999999992"/>
    <n v="61.475999999999992"/>
    <x v="0"/>
    <s v="2230"/>
    <s v="000"/>
    <x v="9"/>
    <x v="2"/>
  </r>
  <r>
    <d v="2013-08-01T00:00:00"/>
    <s v="016-2100-000"/>
    <s v="Food Sales"/>
    <n v="4459.1670000000004"/>
    <n v="0"/>
    <s v="Daily Sales Import"/>
    <n v="-4459.1670000000004"/>
    <n v="4459.1670000000004"/>
    <x v="0"/>
    <s v="2100"/>
    <s v="000"/>
    <x v="10"/>
    <x v="2"/>
  </r>
  <r>
    <d v="2013-08-01T00:00:00"/>
    <s v="016-2210-000"/>
    <s v="Liquor Sales"/>
    <n v="1172.8148999999999"/>
    <n v="0"/>
    <s v="Daily Sales Import"/>
    <n v="-1172.8148999999999"/>
    <n v="1172.8148999999999"/>
    <x v="0"/>
    <s v="2210"/>
    <s v="000"/>
    <x v="10"/>
    <x v="2"/>
  </r>
  <r>
    <d v="2013-08-01T00:00:00"/>
    <s v="016-2220-000"/>
    <s v="Beer Sales"/>
    <n v="95.991500000000002"/>
    <n v="0"/>
    <s v="Daily Sales Import"/>
    <n v="-95.991500000000002"/>
    <n v="95.991500000000002"/>
    <x v="0"/>
    <s v="2220"/>
    <s v="000"/>
    <x v="10"/>
    <x v="2"/>
  </r>
  <r>
    <d v="2013-08-01T00:00:00"/>
    <s v="016-2230-000"/>
    <s v="Wine Sales"/>
    <n v="38.472000000000001"/>
    <n v="0"/>
    <s v="Daily Sales Import"/>
    <n v="-38.472000000000001"/>
    <n v="38.472000000000001"/>
    <x v="0"/>
    <s v="2230"/>
    <s v="000"/>
    <x v="10"/>
    <x v="2"/>
  </r>
  <r>
    <d v="2013-08-02T00:00:00"/>
    <s v="016-2100-000"/>
    <s v="Food Sales"/>
    <n v="5026.6013000000003"/>
    <n v="0"/>
    <s v="Daily Sales Import"/>
    <n v="-5026.6013000000003"/>
    <n v="5026.6013000000003"/>
    <x v="0"/>
    <s v="2100"/>
    <s v="000"/>
    <x v="10"/>
    <x v="2"/>
  </r>
  <r>
    <d v="2013-08-02T00:00:00"/>
    <s v="016-2210-000"/>
    <s v="Liquor Sales"/>
    <n v="2037.7280000000001"/>
    <n v="0"/>
    <s v="Daily Sales Import"/>
    <n v="-2037.7280000000001"/>
    <n v="2037.7280000000001"/>
    <x v="0"/>
    <s v="2210"/>
    <s v="000"/>
    <x v="10"/>
    <x v="2"/>
  </r>
  <r>
    <d v="2013-08-02T00:00:00"/>
    <s v="016-2220-000"/>
    <s v="Beer Sales"/>
    <n v="408.23900000000003"/>
    <n v="0"/>
    <s v="Daily Sales Import"/>
    <n v="-408.23900000000003"/>
    <n v="408.23900000000003"/>
    <x v="0"/>
    <s v="2220"/>
    <s v="000"/>
    <x v="10"/>
    <x v="2"/>
  </r>
  <r>
    <d v="2013-08-02T00:00:00"/>
    <s v="016-2230-000"/>
    <s v="Wine Sales"/>
    <n v="273.35520000000002"/>
    <n v="0"/>
    <s v="Daily Sales Import"/>
    <n v="-273.35520000000002"/>
    <n v="273.35520000000002"/>
    <x v="0"/>
    <s v="2230"/>
    <s v="000"/>
    <x v="10"/>
    <x v="2"/>
  </r>
  <r>
    <d v="2013-08-03T00:00:00"/>
    <s v="016-2100-000"/>
    <s v="Food Sales"/>
    <n v="6776.0784000000003"/>
    <n v="0"/>
    <s v="Daily Sales Import"/>
    <n v="-6776.0784000000003"/>
    <n v="6776.0784000000003"/>
    <x v="0"/>
    <s v="2100"/>
    <s v="000"/>
    <x v="10"/>
    <x v="2"/>
  </r>
  <r>
    <d v="2013-08-03T00:00:00"/>
    <s v="016-2210-000"/>
    <s v="Liquor Sales"/>
    <n v="1730.8080999999997"/>
    <n v="0"/>
    <s v="Daily Sales Import"/>
    <n v="-1730.8080999999997"/>
    <n v="1730.8080999999997"/>
    <x v="0"/>
    <s v="2210"/>
    <s v="000"/>
    <x v="10"/>
    <x v="2"/>
  </r>
  <r>
    <d v="2013-08-03T00:00:00"/>
    <s v="016-2220-000"/>
    <s v="Beer Sales"/>
    <n v="252.2944"/>
    <n v="0"/>
    <s v="Daily Sales Import"/>
    <n v="-252.2944"/>
    <n v="252.2944"/>
    <x v="0"/>
    <s v="2220"/>
    <s v="000"/>
    <x v="10"/>
    <x v="2"/>
  </r>
  <r>
    <d v="2013-08-03T00:00:00"/>
    <s v="016-2230-000"/>
    <s v="Wine Sales"/>
    <n v="165.01680000000002"/>
    <n v="0"/>
    <s v="Daily Sales Import"/>
    <n v="-165.01680000000002"/>
    <n v="165.01680000000002"/>
    <x v="0"/>
    <s v="2230"/>
    <s v="000"/>
    <x v="10"/>
    <x v="2"/>
  </r>
  <r>
    <d v="2013-08-04T00:00:00"/>
    <s v="016-2100-000"/>
    <s v="Food Sales"/>
    <n v="5641.8389999999999"/>
    <n v="0"/>
    <s v="Daily Sales Import"/>
    <n v="-5641.8389999999999"/>
    <n v="5641.8389999999999"/>
    <x v="0"/>
    <s v="2100"/>
    <s v="000"/>
    <x v="10"/>
    <x v="2"/>
  </r>
  <r>
    <d v="2013-08-04T00:00:00"/>
    <s v="016-2210-000"/>
    <s v="Liquor Sales"/>
    <n v="827.45820000000003"/>
    <n v="0"/>
    <s v="Daily Sales Import"/>
    <n v="-827.45820000000003"/>
    <n v="827.45820000000003"/>
    <x v="0"/>
    <s v="2210"/>
    <s v="000"/>
    <x v="10"/>
    <x v="2"/>
  </r>
  <r>
    <d v="2013-08-04T00:00:00"/>
    <s v="016-2220-000"/>
    <s v="Beer Sales"/>
    <n v="171.02"/>
    <n v="0"/>
    <s v="Daily Sales Import"/>
    <n v="-171.02"/>
    <n v="171.02"/>
    <x v="0"/>
    <s v="2220"/>
    <s v="000"/>
    <x v="10"/>
    <x v="2"/>
  </r>
  <r>
    <d v="2013-08-04T00:00:00"/>
    <s v="016-2230-000"/>
    <s v="Wine Sales"/>
    <n v="97.374200000000002"/>
    <n v="0"/>
    <s v="Daily Sales Import"/>
    <n v="-97.374200000000002"/>
    <n v="97.374200000000002"/>
    <x v="0"/>
    <s v="2230"/>
    <s v="000"/>
    <x v="10"/>
    <x v="2"/>
  </r>
  <r>
    <d v="2013-07-29T00:00:00"/>
    <s v="017-2100-000"/>
    <s v="Food Sales"/>
    <n v="5365.3145000000004"/>
    <n v="0"/>
    <s v="Daily Sales Import"/>
    <n v="-5365.3145000000004"/>
    <n v="5365.3145000000004"/>
    <x v="1"/>
    <s v="2100"/>
    <s v="000"/>
    <x v="9"/>
    <x v="2"/>
  </r>
  <r>
    <d v="2013-07-29T00:00:00"/>
    <s v="017-2210-000"/>
    <s v="Liquor Sales"/>
    <n v="595.81779999999992"/>
    <n v="0"/>
    <s v="Daily Sales Import"/>
    <n v="-595.81779999999992"/>
    <n v="595.81779999999992"/>
    <x v="1"/>
    <s v="2210"/>
    <s v="000"/>
    <x v="9"/>
    <x v="2"/>
  </r>
  <r>
    <d v="2013-07-29T00:00:00"/>
    <s v="017-2220-000"/>
    <s v="Beer Sales"/>
    <n v="281.16159999999996"/>
    <n v="0"/>
    <s v="Daily Sales Import"/>
    <n v="-281.16159999999996"/>
    <n v="281.16159999999996"/>
    <x v="1"/>
    <s v="2220"/>
    <s v="000"/>
    <x v="9"/>
    <x v="2"/>
  </r>
  <r>
    <d v="2013-07-29T00:00:00"/>
    <s v="017-2230-000"/>
    <s v="Wine Sales"/>
    <n v="85.64370000000001"/>
    <n v="0"/>
    <s v="Daily Sales Import"/>
    <n v="-85.64370000000001"/>
    <n v="85.64370000000001"/>
    <x v="1"/>
    <s v="2230"/>
    <s v="000"/>
    <x v="9"/>
    <x v="2"/>
  </r>
  <r>
    <d v="2013-07-30T00:00:00"/>
    <s v="017-2100-000"/>
    <s v="Food Sales"/>
    <n v="6213.7608000000009"/>
    <n v="0"/>
    <s v="Daily Sales Import"/>
    <n v="-6213.7608000000009"/>
    <n v="6213.7608000000009"/>
    <x v="1"/>
    <s v="2100"/>
    <s v="000"/>
    <x v="9"/>
    <x v="2"/>
  </r>
  <r>
    <d v="2013-07-30T00:00:00"/>
    <s v="017-2210-000"/>
    <s v="Liquor Sales"/>
    <n v="1212.6007"/>
    <n v="0"/>
    <s v="Daily Sales Import"/>
    <n v="-1212.6007"/>
    <n v="1212.6007"/>
    <x v="1"/>
    <s v="2210"/>
    <s v="000"/>
    <x v="9"/>
    <x v="2"/>
  </r>
  <r>
    <d v="2013-07-30T00:00:00"/>
    <s v="017-2220-000"/>
    <s v="Beer Sales"/>
    <n v="594.80340000000001"/>
    <n v="0"/>
    <s v="Daily Sales Import"/>
    <n v="-594.80340000000001"/>
    <n v="594.80340000000001"/>
    <x v="1"/>
    <s v="2220"/>
    <s v="000"/>
    <x v="9"/>
    <x v="2"/>
  </r>
  <r>
    <d v="2013-07-30T00:00:00"/>
    <s v="017-2230-000"/>
    <s v="Wine Sales"/>
    <n v="131.10069999999999"/>
    <n v="0"/>
    <s v="Daily Sales Import"/>
    <n v="-131.10069999999999"/>
    <n v="131.10069999999999"/>
    <x v="1"/>
    <s v="2230"/>
    <s v="000"/>
    <x v="9"/>
    <x v="2"/>
  </r>
  <r>
    <d v="2013-07-31T00:00:00"/>
    <s v="017-2100-000"/>
    <s v="Food Sales"/>
    <n v="9138.7386999999999"/>
    <n v="0"/>
    <s v="Daily Sales Import"/>
    <n v="-9138.7386999999999"/>
    <n v="9138.7386999999999"/>
    <x v="1"/>
    <s v="2100"/>
    <s v="000"/>
    <x v="9"/>
    <x v="2"/>
  </r>
  <r>
    <d v="2013-07-31T00:00:00"/>
    <s v="017-2210-000"/>
    <s v="Liquor Sales"/>
    <n v="2886.3589999999999"/>
    <n v="0"/>
    <s v="Daily Sales Import"/>
    <n v="-2886.3589999999999"/>
    <n v="2886.3589999999999"/>
    <x v="1"/>
    <s v="2210"/>
    <s v="000"/>
    <x v="9"/>
    <x v="2"/>
  </r>
  <r>
    <d v="2013-07-31T00:00:00"/>
    <s v="017-2220-000"/>
    <s v="Beer Sales"/>
    <n v="620.20920000000001"/>
    <n v="0"/>
    <s v="Daily Sales Import"/>
    <n v="-620.20920000000001"/>
    <n v="620.20920000000001"/>
    <x v="1"/>
    <s v="2220"/>
    <s v="000"/>
    <x v="9"/>
    <x v="2"/>
  </r>
  <r>
    <d v="2013-07-31T00:00:00"/>
    <s v="017-2230-000"/>
    <s v="Wine Sales"/>
    <n v="133.5042"/>
    <n v="0"/>
    <s v="Daily Sales Import"/>
    <n v="-133.5042"/>
    <n v="133.5042"/>
    <x v="1"/>
    <s v="2230"/>
    <s v="000"/>
    <x v="9"/>
    <x v="2"/>
  </r>
  <r>
    <d v="2013-08-01T00:00:00"/>
    <s v="017-2100-000"/>
    <s v="Food Sales"/>
    <n v="6430.2065999999995"/>
    <n v="0"/>
    <s v="Daily Sales Import"/>
    <n v="-6430.2065999999995"/>
    <n v="6430.2065999999995"/>
    <x v="1"/>
    <s v="2100"/>
    <s v="000"/>
    <x v="10"/>
    <x v="2"/>
  </r>
  <r>
    <d v="2013-08-01T00:00:00"/>
    <s v="017-2210-000"/>
    <s v="Liquor Sales"/>
    <n v="1955.0934000000002"/>
    <n v="0"/>
    <s v="Daily Sales Import"/>
    <n v="-1955.0934000000002"/>
    <n v="1955.0934000000002"/>
    <x v="1"/>
    <s v="2210"/>
    <s v="000"/>
    <x v="10"/>
    <x v="2"/>
  </r>
  <r>
    <d v="2013-08-01T00:00:00"/>
    <s v="017-2220-000"/>
    <s v="Beer Sales"/>
    <n v="373.80850000000004"/>
    <n v="0"/>
    <s v="Daily Sales Import"/>
    <n v="-373.80850000000004"/>
    <n v="373.80850000000004"/>
    <x v="1"/>
    <s v="2220"/>
    <s v="000"/>
    <x v="10"/>
    <x v="2"/>
  </r>
  <r>
    <d v="2013-08-01T00:00:00"/>
    <s v="017-2230-000"/>
    <s v="Wine Sales"/>
    <n v="61.705800000000004"/>
    <n v="0"/>
    <s v="Daily Sales Import"/>
    <n v="-61.705800000000004"/>
    <n v="61.705800000000004"/>
    <x v="1"/>
    <s v="2230"/>
    <s v="000"/>
    <x v="10"/>
    <x v="2"/>
  </r>
  <r>
    <d v="2013-08-02T00:00:00"/>
    <s v="017-2100-000"/>
    <s v="Food Sales"/>
    <n v="8477.4382000000005"/>
    <n v="0"/>
    <s v="Daily Sales Import"/>
    <n v="-8477.4382000000005"/>
    <n v="8477.4382000000005"/>
    <x v="1"/>
    <s v="2100"/>
    <s v="000"/>
    <x v="10"/>
    <x v="2"/>
  </r>
  <r>
    <d v="2013-08-02T00:00:00"/>
    <s v="017-2210-000"/>
    <s v="Liquor Sales"/>
    <n v="3209.9499000000005"/>
    <n v="0"/>
    <s v="Daily Sales Import"/>
    <n v="-3209.9499000000005"/>
    <n v="3209.9499000000005"/>
    <x v="1"/>
    <s v="2210"/>
    <s v="000"/>
    <x v="10"/>
    <x v="2"/>
  </r>
  <r>
    <d v="2013-08-02T00:00:00"/>
    <s v="017-2220-000"/>
    <s v="Beer Sales"/>
    <n v="702.42060000000004"/>
    <n v="0"/>
    <s v="Daily Sales Import"/>
    <n v="-702.42060000000004"/>
    <n v="702.42060000000004"/>
    <x v="1"/>
    <s v="2220"/>
    <s v="000"/>
    <x v="10"/>
    <x v="2"/>
  </r>
  <r>
    <d v="2013-08-02T00:00:00"/>
    <s v="017-2230-000"/>
    <s v="Wine Sales"/>
    <n v="85.391500000000008"/>
    <n v="0"/>
    <s v="Daily Sales Import"/>
    <n v="-85.391500000000008"/>
    <n v="85.391500000000008"/>
    <x v="1"/>
    <s v="2230"/>
    <s v="000"/>
    <x v="10"/>
    <x v="2"/>
  </r>
  <r>
    <d v="2013-08-03T00:00:00"/>
    <s v="017-2100-000"/>
    <s v="Food Sales"/>
    <n v="8507.7630000000008"/>
    <n v="0"/>
    <s v="Daily Sales Import"/>
    <n v="-8507.7630000000008"/>
    <n v="8507.7630000000008"/>
    <x v="1"/>
    <s v="2100"/>
    <s v="000"/>
    <x v="10"/>
    <x v="2"/>
  </r>
  <r>
    <d v="2013-08-03T00:00:00"/>
    <s v="017-2210-000"/>
    <s v="Liquor Sales"/>
    <n v="1103.4415999999999"/>
    <n v="0"/>
    <s v="Daily Sales Import"/>
    <n v="-1103.4415999999999"/>
    <n v="1103.4415999999999"/>
    <x v="1"/>
    <s v="2210"/>
    <s v="000"/>
    <x v="10"/>
    <x v="2"/>
  </r>
  <r>
    <d v="2013-08-03T00:00:00"/>
    <s v="017-2220-000"/>
    <s v="Beer Sales"/>
    <n v="200.67600000000004"/>
    <n v="0"/>
    <s v="Daily Sales Import"/>
    <n v="-200.67600000000004"/>
    <n v="200.67600000000004"/>
    <x v="1"/>
    <s v="2220"/>
    <s v="000"/>
    <x v="10"/>
    <x v="2"/>
  </r>
  <r>
    <d v="2013-08-03T00:00:00"/>
    <s v="017-2230-000"/>
    <s v="Wine Sales"/>
    <n v="41.090499999999999"/>
    <n v="0"/>
    <s v="Daily Sales Import"/>
    <n v="-41.090499999999999"/>
    <n v="41.090499999999999"/>
    <x v="1"/>
    <s v="2230"/>
    <s v="000"/>
    <x v="10"/>
    <x v="2"/>
  </r>
  <r>
    <d v="2013-08-04T00:00:00"/>
    <s v="017-2100-000"/>
    <s v="Food Sales"/>
    <n v="4117.4565999999995"/>
    <n v="0"/>
    <s v="Daily Sales Import"/>
    <n v="-4117.4565999999995"/>
    <n v="4117.4565999999995"/>
    <x v="1"/>
    <s v="2100"/>
    <s v="000"/>
    <x v="10"/>
    <x v="2"/>
  </r>
  <r>
    <d v="2013-08-04T00:00:00"/>
    <s v="017-2210-000"/>
    <s v="Liquor Sales"/>
    <n v="1066.5840000000001"/>
    <n v="0"/>
    <s v="Daily Sales Import"/>
    <n v="-1066.5840000000001"/>
    <n v="1066.5840000000001"/>
    <x v="1"/>
    <s v="2210"/>
    <s v="000"/>
    <x v="10"/>
    <x v="2"/>
  </r>
  <r>
    <d v="2013-08-04T00:00:00"/>
    <s v="017-2220-000"/>
    <s v="Beer Sales"/>
    <n v="138.8588"/>
    <n v="0"/>
    <s v="Daily Sales Import"/>
    <n v="-138.8588"/>
    <n v="138.8588"/>
    <x v="1"/>
    <s v="2220"/>
    <s v="000"/>
    <x v="10"/>
    <x v="2"/>
  </r>
  <r>
    <d v="2013-08-04T00:00:00"/>
    <s v="017-2230-000"/>
    <s v="Wine Sales"/>
    <n v="58.450699999999998"/>
    <n v="0"/>
    <s v="Daily Sales Import"/>
    <n v="-58.450699999999998"/>
    <n v="58.450699999999998"/>
    <x v="1"/>
    <s v="2230"/>
    <s v="000"/>
    <x v="10"/>
    <x v="2"/>
  </r>
  <r>
    <d v="2013-07-29T00:00:00"/>
    <s v="018-2100-000"/>
    <s v="Food Sales"/>
    <n v="4478.4061000000002"/>
    <n v="0"/>
    <s v="Daily Sales Import"/>
    <n v="-4478.4061000000002"/>
    <n v="4478.4061000000002"/>
    <x v="2"/>
    <s v="2100"/>
    <s v="000"/>
    <x v="9"/>
    <x v="2"/>
  </r>
  <r>
    <d v="2013-07-29T00:00:00"/>
    <s v="018-2210-000"/>
    <s v="Liquor Sales"/>
    <n v="630.8424"/>
    <n v="0"/>
    <s v="Daily Sales Import"/>
    <n v="-630.8424"/>
    <n v="630.8424"/>
    <x v="2"/>
    <s v="2210"/>
    <s v="000"/>
    <x v="9"/>
    <x v="2"/>
  </r>
  <r>
    <d v="2013-07-29T00:00:00"/>
    <s v="018-2220-000"/>
    <s v="Beer Sales"/>
    <n v="288.6823"/>
    <n v="0"/>
    <s v="Daily Sales Import"/>
    <n v="-288.6823"/>
    <n v="288.6823"/>
    <x v="2"/>
    <s v="2220"/>
    <s v="000"/>
    <x v="9"/>
    <x v="2"/>
  </r>
  <r>
    <d v="2013-07-29T00:00:00"/>
    <s v="018-2230-000"/>
    <s v="Wine Sales"/>
    <n v="45.336599999999997"/>
    <n v="0"/>
    <s v="Daily Sales Import"/>
    <n v="-45.336599999999997"/>
    <n v="45.336599999999997"/>
    <x v="2"/>
    <s v="2230"/>
    <s v="000"/>
    <x v="9"/>
    <x v="2"/>
  </r>
  <r>
    <d v="2013-07-30T00:00:00"/>
    <s v="018-2100-000"/>
    <s v="Food Sales"/>
    <n v="6312.598"/>
    <n v="0"/>
    <s v="Daily Sales Import"/>
    <n v="-6312.598"/>
    <n v="6312.598"/>
    <x v="2"/>
    <s v="2100"/>
    <s v="000"/>
    <x v="9"/>
    <x v="2"/>
  </r>
  <r>
    <d v="2013-07-30T00:00:00"/>
    <s v="018-2210-000"/>
    <s v="Liquor Sales"/>
    <n v="1153.0039999999999"/>
    <n v="0"/>
    <s v="Daily Sales Import"/>
    <n v="-1153.0039999999999"/>
    <n v="1153.0039999999999"/>
    <x v="2"/>
    <s v="2210"/>
    <s v="000"/>
    <x v="9"/>
    <x v="2"/>
  </r>
  <r>
    <d v="2013-07-30T00:00:00"/>
    <s v="018-2220-000"/>
    <s v="Beer Sales"/>
    <n v="173.42080000000001"/>
    <n v="0"/>
    <s v="Daily Sales Import"/>
    <n v="-173.42080000000001"/>
    <n v="173.42080000000001"/>
    <x v="2"/>
    <s v="2220"/>
    <s v="000"/>
    <x v="9"/>
    <x v="2"/>
  </r>
  <r>
    <d v="2013-07-30T00:00:00"/>
    <s v="018-2230-000"/>
    <s v="Wine Sales"/>
    <n v="50.101800000000004"/>
    <n v="0"/>
    <s v="Daily Sales Import"/>
    <n v="-50.101800000000004"/>
    <n v="50.101800000000004"/>
    <x v="2"/>
    <s v="2230"/>
    <s v="000"/>
    <x v="9"/>
    <x v="2"/>
  </r>
  <r>
    <d v="2013-07-31T00:00:00"/>
    <s v="018-2100-000"/>
    <s v="Food Sales"/>
    <n v="3805.6415999999995"/>
    <n v="0"/>
    <s v="Daily Sales Import"/>
    <n v="-3805.6415999999995"/>
    <n v="3805.6415999999995"/>
    <x v="2"/>
    <s v="2100"/>
    <s v="000"/>
    <x v="9"/>
    <x v="2"/>
  </r>
  <r>
    <d v="2013-07-31T00:00:00"/>
    <s v="018-2210-000"/>
    <s v="Liquor Sales"/>
    <n v="710.44960000000015"/>
    <n v="0"/>
    <s v="Daily Sales Import"/>
    <n v="-710.44960000000015"/>
    <n v="710.44960000000015"/>
    <x v="2"/>
    <s v="2210"/>
    <s v="000"/>
    <x v="9"/>
    <x v="2"/>
  </r>
  <r>
    <d v="2013-07-31T00:00:00"/>
    <s v="018-2220-000"/>
    <s v="Beer Sales"/>
    <n v="313.94159999999999"/>
    <n v="0"/>
    <s v="Daily Sales Import"/>
    <n v="-313.94159999999999"/>
    <n v="313.94159999999999"/>
    <x v="2"/>
    <s v="2220"/>
    <s v="000"/>
    <x v="9"/>
    <x v="2"/>
  </r>
  <r>
    <d v="2013-07-31T00:00:00"/>
    <s v="018-2230-000"/>
    <s v="Wine Sales"/>
    <n v="31.222100000000005"/>
    <n v="0"/>
    <s v="Daily Sales Import"/>
    <n v="-31.222100000000005"/>
    <n v="31.222100000000005"/>
    <x v="2"/>
    <s v="2230"/>
    <s v="000"/>
    <x v="9"/>
    <x v="2"/>
  </r>
  <r>
    <d v="2013-08-01T00:00:00"/>
    <s v="018-2100-000"/>
    <s v="Food Sales"/>
    <n v="6108.3022000000001"/>
    <n v="0"/>
    <s v="Daily Sales Import"/>
    <n v="-6108.3022000000001"/>
    <n v="6108.3022000000001"/>
    <x v="2"/>
    <s v="2100"/>
    <s v="000"/>
    <x v="10"/>
    <x v="2"/>
  </r>
  <r>
    <d v="2013-08-01T00:00:00"/>
    <s v="018-2210-000"/>
    <s v="Liquor Sales"/>
    <n v="1292.8081"/>
    <n v="0"/>
    <s v="Daily Sales Import"/>
    <n v="-1292.8081"/>
    <n v="1292.8081"/>
    <x v="2"/>
    <s v="2210"/>
    <s v="000"/>
    <x v="10"/>
    <x v="2"/>
  </r>
  <r>
    <d v="2013-08-01T00:00:00"/>
    <s v="018-2220-000"/>
    <s v="Beer Sales"/>
    <n v="427.47200000000004"/>
    <n v="0"/>
    <s v="Daily Sales Import"/>
    <n v="-427.47200000000004"/>
    <n v="427.47200000000004"/>
    <x v="2"/>
    <s v="2220"/>
    <s v="000"/>
    <x v="10"/>
    <x v="2"/>
  </r>
  <r>
    <d v="2013-08-01T00:00:00"/>
    <s v="018-2230-000"/>
    <s v="Wine Sales"/>
    <n v="20.276799999999998"/>
    <n v="0"/>
    <s v="Daily Sales Import"/>
    <n v="-20.276799999999998"/>
    <n v="20.276799999999998"/>
    <x v="2"/>
    <s v="2230"/>
    <s v="000"/>
    <x v="10"/>
    <x v="2"/>
  </r>
  <r>
    <d v="2013-08-02T00:00:00"/>
    <s v="018-2100-000"/>
    <s v="Food Sales"/>
    <n v="9762.3556000000008"/>
    <n v="0"/>
    <s v="Daily Sales Import"/>
    <n v="-9762.3556000000008"/>
    <n v="9762.3556000000008"/>
    <x v="2"/>
    <s v="2100"/>
    <s v="000"/>
    <x v="10"/>
    <x v="2"/>
  </r>
  <r>
    <d v="2013-08-02T00:00:00"/>
    <s v="018-2210-000"/>
    <s v="Liquor Sales"/>
    <n v="2305.3669"/>
    <n v="0"/>
    <s v="Daily Sales Import"/>
    <n v="-2305.3669"/>
    <n v="2305.3669"/>
    <x v="2"/>
    <s v="2210"/>
    <s v="000"/>
    <x v="10"/>
    <x v="2"/>
  </r>
  <r>
    <d v="2013-08-02T00:00:00"/>
    <s v="018-2220-000"/>
    <s v="Beer Sales"/>
    <n v="965.84580000000005"/>
    <n v="0"/>
    <s v="Daily Sales Import"/>
    <n v="-965.84580000000005"/>
    <n v="965.84580000000005"/>
    <x v="2"/>
    <s v="2220"/>
    <s v="000"/>
    <x v="10"/>
    <x v="2"/>
  </r>
  <r>
    <d v="2013-08-02T00:00:00"/>
    <s v="018-2230-000"/>
    <s v="Wine Sales"/>
    <n v="105.57559999999999"/>
    <n v="0"/>
    <s v="Daily Sales Import"/>
    <n v="-105.57559999999999"/>
    <n v="105.57559999999999"/>
    <x v="2"/>
    <s v="2230"/>
    <s v="000"/>
    <x v="10"/>
    <x v="2"/>
  </r>
  <r>
    <d v="2013-08-03T00:00:00"/>
    <s v="018-2100-000"/>
    <s v="Food Sales"/>
    <n v="14295.800500000001"/>
    <n v="0"/>
    <s v="Daily Sales Import"/>
    <n v="-14295.800500000001"/>
    <n v="14295.800500000001"/>
    <x v="2"/>
    <s v="2100"/>
    <s v="000"/>
    <x v="10"/>
    <x v="2"/>
  </r>
  <r>
    <d v="2013-08-03T00:00:00"/>
    <s v="018-2210-000"/>
    <s v="Liquor Sales"/>
    <n v="2504.1932999999999"/>
    <n v="0"/>
    <s v="Daily Sales Import"/>
    <n v="-2504.1932999999999"/>
    <n v="2504.1932999999999"/>
    <x v="2"/>
    <s v="2210"/>
    <s v="000"/>
    <x v="10"/>
    <x v="2"/>
  </r>
  <r>
    <d v="2013-08-03T00:00:00"/>
    <s v="018-2220-000"/>
    <s v="Beer Sales"/>
    <n v="644.68200000000002"/>
    <n v="0"/>
    <s v="Daily Sales Import"/>
    <n v="-644.68200000000002"/>
    <n v="644.68200000000002"/>
    <x v="2"/>
    <s v="2220"/>
    <s v="000"/>
    <x v="10"/>
    <x v="2"/>
  </r>
  <r>
    <d v="2013-08-03T00:00:00"/>
    <s v="018-2230-000"/>
    <s v="Wine Sales"/>
    <n v="166.5146"/>
    <n v="0"/>
    <s v="Daily Sales Import"/>
    <n v="-166.5146"/>
    <n v="166.5146"/>
    <x v="2"/>
    <s v="2230"/>
    <s v="000"/>
    <x v="10"/>
    <x v="2"/>
  </r>
  <r>
    <d v="2013-08-04T00:00:00"/>
    <s v="018-2100-000"/>
    <s v="Food Sales"/>
    <n v="8898.5720000000001"/>
    <n v="0"/>
    <s v="Daily Sales Import"/>
    <n v="-8898.5720000000001"/>
    <n v="8898.5720000000001"/>
    <x v="2"/>
    <s v="2100"/>
    <s v="000"/>
    <x v="10"/>
    <x v="2"/>
  </r>
  <r>
    <d v="2013-08-04T00:00:00"/>
    <s v="018-2210-000"/>
    <s v="Liquor Sales"/>
    <n v="1689.6243000000002"/>
    <n v="0"/>
    <s v="Daily Sales Import"/>
    <n v="-1689.6243000000002"/>
    <n v="1689.6243000000002"/>
    <x v="2"/>
    <s v="2210"/>
    <s v="000"/>
    <x v="10"/>
    <x v="2"/>
  </r>
  <r>
    <d v="2013-08-04T00:00:00"/>
    <s v="018-2220-000"/>
    <s v="Beer Sales"/>
    <n v="299.03579999999999"/>
    <n v="0"/>
    <s v="Daily Sales Import"/>
    <n v="-299.03579999999999"/>
    <n v="299.03579999999999"/>
    <x v="2"/>
    <s v="2220"/>
    <s v="000"/>
    <x v="10"/>
    <x v="2"/>
  </r>
  <r>
    <d v="2013-08-04T00:00:00"/>
    <s v="018-2230-000"/>
    <s v="Wine Sales"/>
    <n v="81.675599999999989"/>
    <n v="0"/>
    <s v="Daily Sales Import"/>
    <n v="-81.675599999999989"/>
    <n v="81.675599999999989"/>
    <x v="2"/>
    <s v="2230"/>
    <s v="000"/>
    <x v="10"/>
    <x v="2"/>
  </r>
  <r>
    <d v="2013-07-29T00:00:00"/>
    <s v="019-2100-000"/>
    <s v="Food Sales"/>
    <n v="3426.7878999999998"/>
    <n v="0"/>
    <s v="Daily Sales Import"/>
    <n v="-3426.7878999999998"/>
    <n v="3426.7878999999998"/>
    <x v="3"/>
    <s v="2100"/>
    <s v="000"/>
    <x v="9"/>
    <x v="2"/>
  </r>
  <r>
    <d v="2013-07-29T00:00:00"/>
    <s v="019-2210-000"/>
    <s v="Liquor Sales"/>
    <n v="932.58600000000001"/>
    <n v="0"/>
    <s v="Daily Sales Import"/>
    <n v="-932.58600000000001"/>
    <n v="932.58600000000001"/>
    <x v="3"/>
    <s v="2210"/>
    <s v="000"/>
    <x v="9"/>
    <x v="2"/>
  </r>
  <r>
    <d v="2013-07-29T00:00:00"/>
    <s v="019-2220-000"/>
    <s v="Beer Sales"/>
    <n v="172.56959999999998"/>
    <n v="0"/>
    <s v="Daily Sales Import"/>
    <n v="-172.56959999999998"/>
    <n v="172.56959999999998"/>
    <x v="3"/>
    <s v="2220"/>
    <s v="000"/>
    <x v="9"/>
    <x v="2"/>
  </r>
  <r>
    <d v="2013-07-29T00:00:00"/>
    <s v="019-2230-000"/>
    <s v="Wine Sales"/>
    <n v="19.2423"/>
    <n v="0"/>
    <s v="Daily Sales Import"/>
    <n v="-19.2423"/>
    <n v="19.2423"/>
    <x v="3"/>
    <s v="2230"/>
    <s v="000"/>
    <x v="9"/>
    <x v="2"/>
  </r>
  <r>
    <d v="2013-07-30T00:00:00"/>
    <s v="019-2100-000"/>
    <s v="Food Sales"/>
    <n v="4050.3982000000001"/>
    <n v="0"/>
    <s v="Daily Sales Import"/>
    <n v="-4050.3982000000001"/>
    <n v="4050.3982000000001"/>
    <x v="3"/>
    <s v="2100"/>
    <s v="000"/>
    <x v="9"/>
    <x v="2"/>
  </r>
  <r>
    <d v="2013-07-30T00:00:00"/>
    <s v="019-2210-000"/>
    <s v="Liquor Sales"/>
    <n v="1077.5544"/>
    <n v="0"/>
    <s v="Daily Sales Import"/>
    <n v="-1077.5544"/>
    <n v="1077.5544"/>
    <x v="3"/>
    <s v="2210"/>
    <s v="000"/>
    <x v="9"/>
    <x v="2"/>
  </r>
  <r>
    <d v="2013-07-30T00:00:00"/>
    <s v="019-2220-000"/>
    <s v="Beer Sales"/>
    <n v="119.66900000000001"/>
    <n v="0"/>
    <s v="Daily Sales Import"/>
    <n v="-119.66900000000001"/>
    <n v="119.66900000000001"/>
    <x v="3"/>
    <s v="2220"/>
    <s v="000"/>
    <x v="9"/>
    <x v="2"/>
  </r>
  <r>
    <d v="2013-07-30T00:00:00"/>
    <s v="019-2230-000"/>
    <s v="Wine Sales"/>
    <n v="81.43419999999999"/>
    <n v="0"/>
    <s v="Daily Sales Import"/>
    <n v="-81.43419999999999"/>
    <n v="81.43419999999999"/>
    <x v="3"/>
    <s v="2230"/>
    <s v="000"/>
    <x v="9"/>
    <x v="2"/>
  </r>
  <r>
    <d v="2013-07-31T00:00:00"/>
    <s v="019-2100-000"/>
    <s v="Food Sales"/>
    <n v="4292.8242"/>
    <n v="0"/>
    <s v="Daily Sales Import"/>
    <n v="-4292.8242"/>
    <n v="4292.8242"/>
    <x v="3"/>
    <s v="2100"/>
    <s v="000"/>
    <x v="9"/>
    <x v="2"/>
  </r>
  <r>
    <d v="2013-07-31T00:00:00"/>
    <s v="019-2210-000"/>
    <s v="Liquor Sales"/>
    <n v="1357.7655"/>
    <n v="0"/>
    <s v="Daily Sales Import"/>
    <n v="-1357.7655"/>
    <n v="1357.7655"/>
    <x v="3"/>
    <s v="2210"/>
    <s v="000"/>
    <x v="9"/>
    <x v="2"/>
  </r>
  <r>
    <d v="2013-07-31T00:00:00"/>
    <s v="019-2220-000"/>
    <s v="Beer Sales"/>
    <n v="240.00479999999996"/>
    <n v="0"/>
    <s v="Daily Sales Import"/>
    <n v="-240.00479999999996"/>
    <n v="240.00479999999996"/>
    <x v="3"/>
    <s v="2220"/>
    <s v="000"/>
    <x v="9"/>
    <x v="2"/>
  </r>
  <r>
    <d v="2013-07-31T00:00:00"/>
    <s v="019-2230-000"/>
    <s v="Wine Sales"/>
    <n v="57.367799999999995"/>
    <n v="0"/>
    <s v="Daily Sales Import"/>
    <n v="-57.367799999999995"/>
    <n v="57.367799999999995"/>
    <x v="3"/>
    <s v="2230"/>
    <s v="000"/>
    <x v="9"/>
    <x v="2"/>
  </r>
  <r>
    <d v="2013-08-01T00:00:00"/>
    <s v="019-2100-000"/>
    <s v="Food Sales"/>
    <n v="3750.8508000000002"/>
    <n v="0"/>
    <s v="Daily Sales Import"/>
    <n v="-3750.8508000000002"/>
    <n v="3750.8508000000002"/>
    <x v="3"/>
    <s v="2100"/>
    <s v="000"/>
    <x v="10"/>
    <x v="2"/>
  </r>
  <r>
    <d v="2013-08-01T00:00:00"/>
    <s v="019-2210-000"/>
    <s v="Liquor Sales"/>
    <n v="1509.8843999999999"/>
    <n v="0"/>
    <s v="Daily Sales Import"/>
    <n v="-1509.8843999999999"/>
    <n v="1509.8843999999999"/>
    <x v="3"/>
    <s v="2210"/>
    <s v="000"/>
    <x v="10"/>
    <x v="2"/>
  </r>
  <r>
    <d v="2013-08-01T00:00:00"/>
    <s v="019-2220-000"/>
    <s v="Beer Sales"/>
    <n v="284.85540000000003"/>
    <n v="0"/>
    <s v="Daily Sales Import"/>
    <n v="-284.85540000000003"/>
    <n v="284.85540000000003"/>
    <x v="3"/>
    <s v="2220"/>
    <s v="000"/>
    <x v="10"/>
    <x v="2"/>
  </r>
  <r>
    <d v="2013-08-01T00:00:00"/>
    <s v="019-2230-000"/>
    <s v="Wine Sales"/>
    <n v="13.2286"/>
    <n v="0"/>
    <s v="Daily Sales Import"/>
    <n v="-13.2286"/>
    <n v="13.2286"/>
    <x v="3"/>
    <s v="2230"/>
    <s v="000"/>
    <x v="10"/>
    <x v="2"/>
  </r>
  <r>
    <d v="2013-08-02T00:00:00"/>
    <s v="019-2100-000"/>
    <s v="Food Sales"/>
    <n v="5350.7739999999994"/>
    <n v="0"/>
    <s v="Daily Sales Import"/>
    <n v="-5350.7739999999994"/>
    <n v="5350.7739999999994"/>
    <x v="3"/>
    <s v="2100"/>
    <s v="000"/>
    <x v="10"/>
    <x v="2"/>
  </r>
  <r>
    <d v="2013-08-02T00:00:00"/>
    <s v="019-2210-000"/>
    <s v="Liquor Sales"/>
    <n v="2130.9490000000001"/>
    <n v="0"/>
    <s v="Daily Sales Import"/>
    <n v="-2130.9490000000001"/>
    <n v="2130.9490000000001"/>
    <x v="3"/>
    <s v="2210"/>
    <s v="000"/>
    <x v="10"/>
    <x v="2"/>
  </r>
  <r>
    <d v="2013-08-02T00:00:00"/>
    <s v="019-2220-000"/>
    <s v="Beer Sales"/>
    <n v="604.63130000000001"/>
    <n v="0"/>
    <s v="Daily Sales Import"/>
    <n v="-604.63130000000001"/>
    <n v="604.63130000000001"/>
    <x v="3"/>
    <s v="2220"/>
    <s v="000"/>
    <x v="10"/>
    <x v="2"/>
  </r>
  <r>
    <d v="2013-08-02T00:00:00"/>
    <s v="019-2230-000"/>
    <s v="Wine Sales"/>
    <n v="70.114000000000004"/>
    <n v="0"/>
    <s v="Daily Sales Import"/>
    <n v="-70.114000000000004"/>
    <n v="70.114000000000004"/>
    <x v="3"/>
    <s v="2230"/>
    <s v="000"/>
    <x v="10"/>
    <x v="2"/>
  </r>
  <r>
    <d v="2013-08-03T00:00:00"/>
    <s v="019-2100-000"/>
    <s v="Food Sales"/>
    <n v="6456.8062"/>
    <n v="0"/>
    <s v="Daily Sales Import"/>
    <n v="-6456.8062"/>
    <n v="6456.8062"/>
    <x v="3"/>
    <s v="2100"/>
    <s v="000"/>
    <x v="10"/>
    <x v="2"/>
  </r>
  <r>
    <d v="2013-08-03T00:00:00"/>
    <s v="019-2210-000"/>
    <s v="Liquor Sales"/>
    <n v="2858.2803000000004"/>
    <n v="0"/>
    <s v="Daily Sales Import"/>
    <n v="-2858.2803000000004"/>
    <n v="2858.2803000000004"/>
    <x v="3"/>
    <s v="2210"/>
    <s v="000"/>
    <x v="10"/>
    <x v="2"/>
  </r>
  <r>
    <d v="2013-08-03T00:00:00"/>
    <s v="019-2220-000"/>
    <s v="Beer Sales"/>
    <n v="565.01280000000008"/>
    <n v="0"/>
    <s v="Daily Sales Import"/>
    <n v="-565.01280000000008"/>
    <n v="565.01280000000008"/>
    <x v="3"/>
    <s v="2220"/>
    <s v="000"/>
    <x v="10"/>
    <x v="2"/>
  </r>
  <r>
    <d v="2013-08-03T00:00:00"/>
    <s v="019-2230-000"/>
    <s v="Wine Sales"/>
    <n v="96.074999999999989"/>
    <n v="0"/>
    <s v="Daily Sales Import"/>
    <n v="-96.074999999999989"/>
    <n v="96.074999999999989"/>
    <x v="3"/>
    <s v="2230"/>
    <s v="000"/>
    <x v="10"/>
    <x v="2"/>
  </r>
  <r>
    <d v="2013-08-04T00:00:00"/>
    <s v="019-2100-000"/>
    <s v="Food Sales"/>
    <n v="4214.4785999999995"/>
    <n v="0"/>
    <s v="Daily Sales Import"/>
    <n v="-4214.4785999999995"/>
    <n v="4214.4785999999995"/>
    <x v="3"/>
    <s v="2100"/>
    <s v="000"/>
    <x v="10"/>
    <x v="2"/>
  </r>
  <r>
    <d v="2013-08-04T00:00:00"/>
    <s v="019-2210-000"/>
    <s v="Liquor Sales"/>
    <n v="1117.9559999999999"/>
    <n v="0"/>
    <s v="Daily Sales Import"/>
    <n v="-1117.9559999999999"/>
    <n v="1117.9559999999999"/>
    <x v="3"/>
    <s v="2210"/>
    <s v="000"/>
    <x v="10"/>
    <x v="2"/>
  </r>
  <r>
    <d v="2013-08-04T00:00:00"/>
    <s v="019-2220-000"/>
    <s v="Beer Sales"/>
    <n v="372.56450000000001"/>
    <n v="0"/>
    <s v="Daily Sales Import"/>
    <n v="-372.56450000000001"/>
    <n v="372.56450000000001"/>
    <x v="3"/>
    <s v="2220"/>
    <s v="000"/>
    <x v="10"/>
    <x v="2"/>
  </r>
  <r>
    <d v="2013-08-04T00:00:00"/>
    <s v="019-2230-000"/>
    <s v="Wine Sales"/>
    <n v="56.379400000000004"/>
    <n v="0"/>
    <s v="Daily Sales Import"/>
    <n v="-56.379400000000004"/>
    <n v="56.379400000000004"/>
    <x v="3"/>
    <s v="2230"/>
    <s v="000"/>
    <x v="10"/>
    <x v="2"/>
  </r>
  <r>
    <d v="2013-08-05T00:00:00"/>
    <s v="016-2100-000"/>
    <s v="Food Sales"/>
    <n v="1811.7963"/>
    <n v="0"/>
    <s v="Daily Sales Import"/>
    <n v="-1811.7963"/>
    <n v="1811.7963"/>
    <x v="0"/>
    <s v="2100"/>
    <s v="000"/>
    <x v="10"/>
    <x v="2"/>
  </r>
  <r>
    <d v="2013-08-05T00:00:00"/>
    <s v="016-2210-000"/>
    <s v="Liquor Sales"/>
    <n v="464.94719999999995"/>
    <n v="0"/>
    <s v="Daily Sales Import"/>
    <n v="-464.94719999999995"/>
    <n v="464.94719999999995"/>
    <x v="0"/>
    <s v="2210"/>
    <s v="000"/>
    <x v="10"/>
    <x v="2"/>
  </r>
  <r>
    <d v="2013-08-05T00:00:00"/>
    <s v="016-2220-000"/>
    <s v="Beer Sales"/>
    <n v="177.23699999999999"/>
    <n v="0"/>
    <s v="Daily Sales Import"/>
    <n v="-177.23699999999999"/>
    <n v="177.23699999999999"/>
    <x v="0"/>
    <s v="2220"/>
    <s v="000"/>
    <x v="10"/>
    <x v="2"/>
  </r>
  <r>
    <d v="2013-08-05T00:00:00"/>
    <s v="016-2230-000"/>
    <s v="Wine Sales"/>
    <n v="38.893799999999999"/>
    <n v="0"/>
    <s v="Daily Sales Import"/>
    <n v="-38.893799999999999"/>
    <n v="38.893799999999999"/>
    <x v="0"/>
    <s v="2230"/>
    <s v="000"/>
    <x v="10"/>
    <x v="2"/>
  </r>
  <r>
    <d v="2013-08-06T00:00:00"/>
    <s v="016-2100-000"/>
    <s v="Food Sales"/>
    <n v="6731.9723999999997"/>
    <n v="0"/>
    <s v="Daily Sales Import"/>
    <n v="-6731.9723999999997"/>
    <n v="6731.9723999999997"/>
    <x v="0"/>
    <s v="2100"/>
    <s v="000"/>
    <x v="10"/>
    <x v="2"/>
  </r>
  <r>
    <d v="2013-08-06T00:00:00"/>
    <s v="016-2210-000"/>
    <s v="Liquor Sales"/>
    <n v="2247.9655000000002"/>
    <n v="0"/>
    <s v="Daily Sales Import"/>
    <n v="-2247.9655000000002"/>
    <n v="2247.9655000000002"/>
    <x v="0"/>
    <s v="2210"/>
    <s v="000"/>
    <x v="10"/>
    <x v="2"/>
  </r>
  <r>
    <d v="2013-08-06T00:00:00"/>
    <s v="016-2220-000"/>
    <s v="Beer Sales"/>
    <n v="1132.5695000000001"/>
    <n v="0"/>
    <s v="Daily Sales Import"/>
    <n v="-1132.5695000000001"/>
    <n v="1132.5695000000001"/>
    <x v="0"/>
    <s v="2220"/>
    <s v="000"/>
    <x v="10"/>
    <x v="2"/>
  </r>
  <r>
    <d v="2013-08-06T00:00:00"/>
    <s v="016-2230-000"/>
    <s v="Wine Sales"/>
    <n v="67.591999999999999"/>
    <n v="0"/>
    <s v="Daily Sales Import"/>
    <n v="-67.591999999999999"/>
    <n v="67.591999999999999"/>
    <x v="0"/>
    <s v="2230"/>
    <s v="000"/>
    <x v="10"/>
    <x v="2"/>
  </r>
  <r>
    <d v="2013-08-07T00:00:00"/>
    <s v="016-2100-000"/>
    <s v="Food Sales"/>
    <n v="3037.6853000000001"/>
    <n v="0"/>
    <s v="Daily Sales Import"/>
    <n v="-3037.6853000000001"/>
    <n v="3037.6853000000001"/>
    <x v="0"/>
    <s v="2100"/>
    <s v="000"/>
    <x v="10"/>
    <x v="2"/>
  </r>
  <r>
    <d v="2013-08-07T00:00:00"/>
    <s v="016-2210-000"/>
    <s v="Liquor Sales"/>
    <n v="493.21799999999996"/>
    <n v="0"/>
    <s v="Daily Sales Import"/>
    <n v="-493.21799999999996"/>
    <n v="493.21799999999996"/>
    <x v="0"/>
    <s v="2210"/>
    <s v="000"/>
    <x v="10"/>
    <x v="2"/>
  </r>
  <r>
    <d v="2013-08-07T00:00:00"/>
    <s v="016-2220-000"/>
    <s v="Beer Sales"/>
    <n v="140.59199999999998"/>
    <n v="0"/>
    <s v="Daily Sales Import"/>
    <n v="-140.59199999999998"/>
    <n v="140.59199999999998"/>
    <x v="0"/>
    <s v="2220"/>
    <s v="000"/>
    <x v="10"/>
    <x v="2"/>
  </r>
  <r>
    <d v="2013-08-07T00:00:00"/>
    <s v="016-2230-000"/>
    <s v="Wine Sales"/>
    <n v="80.15979999999999"/>
    <n v="0"/>
    <s v="Daily Sales Import"/>
    <n v="-80.15979999999999"/>
    <n v="80.15979999999999"/>
    <x v="0"/>
    <s v="2230"/>
    <s v="000"/>
    <x v="10"/>
    <x v="2"/>
  </r>
  <r>
    <d v="2013-08-08T00:00:00"/>
    <s v="016-2100-000"/>
    <s v="Food Sales"/>
    <n v="2799.8223999999996"/>
    <n v="0"/>
    <s v="Daily Sales Import"/>
    <n v="-2799.8223999999996"/>
    <n v="2799.8223999999996"/>
    <x v="0"/>
    <s v="2100"/>
    <s v="000"/>
    <x v="10"/>
    <x v="2"/>
  </r>
  <r>
    <d v="2013-08-08T00:00:00"/>
    <s v="016-2210-000"/>
    <s v="Liquor Sales"/>
    <n v="1111.5081"/>
    <n v="0"/>
    <s v="Daily Sales Import"/>
    <n v="-1111.5081"/>
    <n v="1111.5081"/>
    <x v="0"/>
    <s v="2210"/>
    <s v="000"/>
    <x v="10"/>
    <x v="2"/>
  </r>
  <r>
    <d v="2013-08-08T00:00:00"/>
    <s v="016-2220-000"/>
    <s v="Beer Sales"/>
    <n v="139.6499"/>
    <n v="0"/>
    <s v="Daily Sales Import"/>
    <n v="-139.6499"/>
    <n v="139.6499"/>
    <x v="0"/>
    <s v="2220"/>
    <s v="000"/>
    <x v="10"/>
    <x v="2"/>
  </r>
  <r>
    <d v="2013-08-08T00:00:00"/>
    <s v="016-2230-000"/>
    <s v="Wine Sales"/>
    <n v="97.665000000000006"/>
    <n v="0"/>
    <s v="Daily Sales Import"/>
    <n v="-97.665000000000006"/>
    <n v="97.665000000000006"/>
    <x v="0"/>
    <s v="2230"/>
    <s v="000"/>
    <x v="10"/>
    <x v="2"/>
  </r>
  <r>
    <d v="2013-08-09T00:00:00"/>
    <s v="016-2100-000"/>
    <s v="Food Sales"/>
    <n v="5795.5419000000002"/>
    <n v="0"/>
    <s v="Daily Sales Import"/>
    <n v="-5795.5419000000002"/>
    <n v="5795.5419000000002"/>
    <x v="0"/>
    <s v="2100"/>
    <s v="000"/>
    <x v="10"/>
    <x v="2"/>
  </r>
  <r>
    <d v="2013-08-09T00:00:00"/>
    <s v="016-2210-000"/>
    <s v="Liquor Sales"/>
    <n v="1791.0881999999999"/>
    <n v="0"/>
    <s v="Daily Sales Import"/>
    <n v="-1791.0881999999999"/>
    <n v="1791.0881999999999"/>
    <x v="0"/>
    <s v="2210"/>
    <s v="000"/>
    <x v="10"/>
    <x v="2"/>
  </r>
  <r>
    <d v="2013-08-09T00:00:00"/>
    <s v="016-2220-000"/>
    <s v="Beer Sales"/>
    <n v="367.72130000000004"/>
    <n v="0"/>
    <s v="Daily Sales Import"/>
    <n v="-367.72130000000004"/>
    <n v="367.72130000000004"/>
    <x v="0"/>
    <s v="2220"/>
    <s v="000"/>
    <x v="10"/>
    <x v="2"/>
  </r>
  <r>
    <d v="2013-08-09T00:00:00"/>
    <s v="016-2230-000"/>
    <s v="Wine Sales"/>
    <n v="146.20760000000001"/>
    <n v="0"/>
    <s v="Daily Sales Import"/>
    <n v="-146.20760000000001"/>
    <n v="146.20760000000001"/>
    <x v="0"/>
    <s v="2230"/>
    <s v="000"/>
    <x v="10"/>
    <x v="2"/>
  </r>
  <r>
    <d v="2013-08-10T00:00:00"/>
    <s v="016-2100-000"/>
    <s v="Food Sales"/>
    <n v="7555.4154000000008"/>
    <n v="0"/>
    <s v="Daily Sales Import"/>
    <n v="-7555.4154000000008"/>
    <n v="7555.4154000000008"/>
    <x v="0"/>
    <s v="2100"/>
    <s v="000"/>
    <x v="10"/>
    <x v="2"/>
  </r>
  <r>
    <d v="2013-08-10T00:00:00"/>
    <s v="016-2210-000"/>
    <s v="Liquor Sales"/>
    <n v="1975.0400000000002"/>
    <n v="0"/>
    <s v="Daily Sales Import"/>
    <n v="-1975.0400000000002"/>
    <n v="1975.0400000000002"/>
    <x v="0"/>
    <s v="2210"/>
    <s v="000"/>
    <x v="10"/>
    <x v="2"/>
  </r>
  <r>
    <d v="2013-08-10T00:00:00"/>
    <s v="016-2220-000"/>
    <s v="Beer Sales"/>
    <n v="302.91520000000003"/>
    <n v="0"/>
    <s v="Daily Sales Import"/>
    <n v="-302.91520000000003"/>
    <n v="302.91520000000003"/>
    <x v="0"/>
    <s v="2220"/>
    <s v="000"/>
    <x v="10"/>
    <x v="2"/>
  </r>
  <r>
    <d v="2013-08-10T00:00:00"/>
    <s v="016-2230-000"/>
    <s v="Wine Sales"/>
    <n v="160.33200000000002"/>
    <n v="0"/>
    <s v="Daily Sales Import"/>
    <n v="-160.33200000000002"/>
    <n v="160.33200000000002"/>
    <x v="0"/>
    <s v="2230"/>
    <s v="000"/>
    <x v="10"/>
    <x v="2"/>
  </r>
  <r>
    <d v="2013-08-11T00:00:00"/>
    <s v="016-2100-000"/>
    <s v="Food Sales"/>
    <n v="4463.3653000000004"/>
    <n v="0"/>
    <s v="Daily Sales Import"/>
    <n v="-4463.3653000000004"/>
    <n v="4463.3653000000004"/>
    <x v="0"/>
    <s v="2100"/>
    <s v="000"/>
    <x v="10"/>
    <x v="2"/>
  </r>
  <r>
    <d v="2013-08-11T00:00:00"/>
    <s v="016-2210-000"/>
    <s v="Liquor Sales"/>
    <n v="765.04960000000005"/>
    <n v="0"/>
    <s v="Daily Sales Import"/>
    <n v="-765.04960000000005"/>
    <n v="765.04960000000005"/>
    <x v="0"/>
    <s v="2210"/>
    <s v="000"/>
    <x v="10"/>
    <x v="2"/>
  </r>
  <r>
    <d v="2013-08-11T00:00:00"/>
    <s v="016-2220-000"/>
    <s v="Beer Sales"/>
    <n v="306.33840000000004"/>
    <n v="0"/>
    <s v="Daily Sales Import"/>
    <n v="-306.33840000000004"/>
    <n v="306.33840000000004"/>
    <x v="0"/>
    <s v="2220"/>
    <s v="000"/>
    <x v="10"/>
    <x v="2"/>
  </r>
  <r>
    <d v="2013-08-11T00:00:00"/>
    <s v="016-2230-000"/>
    <s v="Wine Sales"/>
    <n v="123.705"/>
    <n v="0"/>
    <s v="Daily Sales Import"/>
    <n v="-123.705"/>
    <n v="123.705"/>
    <x v="0"/>
    <s v="2230"/>
    <s v="000"/>
    <x v="10"/>
    <x v="2"/>
  </r>
  <r>
    <d v="2013-08-05T00:00:00"/>
    <s v="017-2100-000"/>
    <s v="Food Sales"/>
    <n v="5510.9782000000005"/>
    <n v="0"/>
    <s v="Daily Sales Import"/>
    <n v="-5510.9782000000005"/>
    <n v="5510.9782000000005"/>
    <x v="1"/>
    <s v="2100"/>
    <s v="000"/>
    <x v="10"/>
    <x v="2"/>
  </r>
  <r>
    <d v="2013-08-05T00:00:00"/>
    <s v="017-2210-000"/>
    <s v="Liquor Sales"/>
    <n v="1320.6762000000001"/>
    <n v="0"/>
    <s v="Daily Sales Import"/>
    <n v="-1320.6762000000001"/>
    <n v="1320.6762000000001"/>
    <x v="1"/>
    <s v="2210"/>
    <s v="000"/>
    <x v="10"/>
    <x v="2"/>
  </r>
  <r>
    <d v="2013-08-05T00:00:00"/>
    <s v="017-2220-000"/>
    <s v="Beer Sales"/>
    <n v="321.642"/>
    <n v="0"/>
    <s v="Daily Sales Import"/>
    <n v="-321.642"/>
    <n v="321.642"/>
    <x v="1"/>
    <s v="2220"/>
    <s v="000"/>
    <x v="10"/>
    <x v="2"/>
  </r>
  <r>
    <d v="2013-08-05T00:00:00"/>
    <s v="017-2230-000"/>
    <s v="Wine Sales"/>
    <n v="153.08000000000001"/>
    <n v="0"/>
    <s v="Daily Sales Import"/>
    <n v="-153.08000000000001"/>
    <n v="153.08000000000001"/>
    <x v="1"/>
    <s v="2230"/>
    <s v="000"/>
    <x v="10"/>
    <x v="2"/>
  </r>
  <r>
    <d v="2013-08-06T00:00:00"/>
    <s v="017-2100-000"/>
    <s v="Food Sales"/>
    <n v="5422.2965999999997"/>
    <n v="0"/>
    <s v="Daily Sales Import"/>
    <n v="-5422.2965999999997"/>
    <n v="5422.2965999999997"/>
    <x v="1"/>
    <s v="2100"/>
    <s v="000"/>
    <x v="10"/>
    <x v="2"/>
  </r>
  <r>
    <d v="2013-08-06T00:00:00"/>
    <s v="017-2210-000"/>
    <s v="Liquor Sales"/>
    <n v="1124.8576"/>
    <n v="0"/>
    <s v="Daily Sales Import"/>
    <n v="-1124.8576"/>
    <n v="1124.8576"/>
    <x v="1"/>
    <s v="2210"/>
    <s v="000"/>
    <x v="10"/>
    <x v="2"/>
  </r>
  <r>
    <d v="2013-08-06T00:00:00"/>
    <s v="017-2220-000"/>
    <s v="Beer Sales"/>
    <n v="526.12379999999996"/>
    <n v="0"/>
    <s v="Daily Sales Import"/>
    <n v="-526.12379999999996"/>
    <n v="526.12379999999996"/>
    <x v="1"/>
    <s v="2220"/>
    <s v="000"/>
    <x v="10"/>
    <x v="2"/>
  </r>
  <r>
    <d v="2013-08-06T00:00:00"/>
    <s v="017-2230-000"/>
    <s v="Wine Sales"/>
    <n v="159.65709999999999"/>
    <n v="0"/>
    <s v="Daily Sales Import"/>
    <n v="-159.65709999999999"/>
    <n v="159.65709999999999"/>
    <x v="1"/>
    <s v="2230"/>
    <s v="000"/>
    <x v="10"/>
    <x v="2"/>
  </r>
  <r>
    <d v="2013-08-07T00:00:00"/>
    <s v="017-2100-000"/>
    <s v="Food Sales"/>
    <n v="4911.2575999999999"/>
    <n v="0"/>
    <s v="Daily Sales Import"/>
    <n v="-4911.2575999999999"/>
    <n v="4911.2575999999999"/>
    <x v="1"/>
    <s v="2100"/>
    <s v="000"/>
    <x v="10"/>
    <x v="2"/>
  </r>
  <r>
    <d v="2013-08-07T00:00:00"/>
    <s v="017-2210-000"/>
    <s v="Liquor Sales"/>
    <n v="1331.5119999999999"/>
    <n v="0"/>
    <s v="Daily Sales Import"/>
    <n v="-1331.5119999999999"/>
    <n v="1331.5119999999999"/>
    <x v="1"/>
    <s v="2210"/>
    <s v="000"/>
    <x v="10"/>
    <x v="2"/>
  </r>
  <r>
    <d v="2013-08-07T00:00:00"/>
    <s v="017-2220-000"/>
    <s v="Beer Sales"/>
    <n v="307.45439999999996"/>
    <n v="0"/>
    <s v="Daily Sales Import"/>
    <n v="-307.45439999999996"/>
    <n v="307.45439999999996"/>
    <x v="1"/>
    <s v="2220"/>
    <s v="000"/>
    <x v="10"/>
    <x v="2"/>
  </r>
  <r>
    <d v="2013-08-07T00:00:00"/>
    <s v="017-2230-000"/>
    <s v="Wine Sales"/>
    <n v="64.336699999999993"/>
    <n v="0"/>
    <s v="Daily Sales Import"/>
    <n v="-64.336699999999993"/>
    <n v="64.336699999999993"/>
    <x v="1"/>
    <s v="2230"/>
    <s v="000"/>
    <x v="10"/>
    <x v="2"/>
  </r>
  <r>
    <d v="2013-08-08T00:00:00"/>
    <s v="017-2100-000"/>
    <s v="Food Sales"/>
    <n v="4541.7905000000001"/>
    <n v="0"/>
    <s v="Daily Sales Import"/>
    <n v="-4541.7905000000001"/>
    <n v="4541.7905000000001"/>
    <x v="1"/>
    <s v="2100"/>
    <s v="000"/>
    <x v="10"/>
    <x v="2"/>
  </r>
  <r>
    <d v="2013-08-08T00:00:00"/>
    <s v="017-2210-000"/>
    <s v="Liquor Sales"/>
    <n v="1406.652"/>
    <n v="0"/>
    <s v="Daily Sales Import"/>
    <n v="-1406.652"/>
    <n v="1406.652"/>
    <x v="1"/>
    <s v="2210"/>
    <s v="000"/>
    <x v="10"/>
    <x v="2"/>
  </r>
  <r>
    <d v="2013-08-08T00:00:00"/>
    <s v="017-2220-000"/>
    <s v="Beer Sales"/>
    <n v="723.12450000000001"/>
    <n v="0"/>
    <s v="Daily Sales Import"/>
    <n v="-723.12450000000001"/>
    <n v="723.12450000000001"/>
    <x v="1"/>
    <s v="2220"/>
    <s v="000"/>
    <x v="10"/>
    <x v="2"/>
  </r>
  <r>
    <d v="2013-08-08T00:00:00"/>
    <s v="017-2230-000"/>
    <s v="Wine Sales"/>
    <n v="158.77950000000001"/>
    <n v="0"/>
    <s v="Daily Sales Import"/>
    <n v="-158.77950000000001"/>
    <n v="158.77950000000001"/>
    <x v="1"/>
    <s v="2230"/>
    <s v="000"/>
    <x v="10"/>
    <x v="2"/>
  </r>
  <r>
    <d v="2013-08-09T00:00:00"/>
    <s v="017-2100-000"/>
    <s v="Food Sales"/>
    <n v="9935.115600000001"/>
    <n v="0"/>
    <s v="Daily Sales Import"/>
    <n v="-9935.115600000001"/>
    <n v="9935.115600000001"/>
    <x v="1"/>
    <s v="2100"/>
    <s v="000"/>
    <x v="10"/>
    <x v="2"/>
  </r>
  <r>
    <d v="2013-08-09T00:00:00"/>
    <s v="017-2210-000"/>
    <s v="Liquor Sales"/>
    <n v="2127.1536000000001"/>
    <n v="0"/>
    <s v="Daily Sales Import"/>
    <n v="-2127.1536000000001"/>
    <n v="2127.1536000000001"/>
    <x v="1"/>
    <s v="2210"/>
    <s v="000"/>
    <x v="10"/>
    <x v="2"/>
  </r>
  <r>
    <d v="2013-08-09T00:00:00"/>
    <s v="017-2220-000"/>
    <s v="Beer Sales"/>
    <n v="423.9"/>
    <n v="0"/>
    <s v="Daily Sales Import"/>
    <n v="-423.9"/>
    <n v="423.9"/>
    <x v="1"/>
    <s v="2220"/>
    <s v="000"/>
    <x v="10"/>
    <x v="2"/>
  </r>
  <r>
    <d v="2013-08-09T00:00:00"/>
    <s v="017-2230-000"/>
    <s v="Wine Sales"/>
    <n v="105.33070000000001"/>
    <n v="0"/>
    <s v="Daily Sales Import"/>
    <n v="-105.33070000000001"/>
    <n v="105.33070000000001"/>
    <x v="1"/>
    <s v="2230"/>
    <s v="000"/>
    <x v="10"/>
    <x v="2"/>
  </r>
  <r>
    <d v="2013-08-10T00:00:00"/>
    <s v="017-2100-000"/>
    <s v="Food Sales"/>
    <n v="6591.0909999999994"/>
    <n v="0"/>
    <s v="Daily Sales Import"/>
    <n v="-6591.0909999999994"/>
    <n v="6591.0909999999994"/>
    <x v="1"/>
    <s v="2100"/>
    <s v="000"/>
    <x v="10"/>
    <x v="2"/>
  </r>
  <r>
    <d v="2013-08-10T00:00:00"/>
    <s v="017-2210-000"/>
    <s v="Liquor Sales"/>
    <n v="3318.23"/>
    <n v="0"/>
    <s v="Daily Sales Import"/>
    <n v="-3318.23"/>
    <n v="3318.23"/>
    <x v="1"/>
    <s v="2210"/>
    <s v="000"/>
    <x v="10"/>
    <x v="2"/>
  </r>
  <r>
    <d v="2013-08-10T00:00:00"/>
    <s v="017-2220-000"/>
    <s v="Beer Sales"/>
    <n v="760.87150000000008"/>
    <n v="0"/>
    <s v="Daily Sales Import"/>
    <n v="-760.87150000000008"/>
    <n v="760.87150000000008"/>
    <x v="1"/>
    <s v="2220"/>
    <s v="000"/>
    <x v="10"/>
    <x v="2"/>
  </r>
  <r>
    <d v="2013-08-10T00:00:00"/>
    <s v="017-2230-000"/>
    <s v="Wine Sales"/>
    <n v="142.39500000000001"/>
    <n v="0"/>
    <s v="Daily Sales Import"/>
    <n v="-142.39500000000001"/>
    <n v="142.39500000000001"/>
    <x v="1"/>
    <s v="2230"/>
    <s v="000"/>
    <x v="10"/>
    <x v="2"/>
  </r>
  <r>
    <d v="2013-08-11T00:00:00"/>
    <s v="017-2100-000"/>
    <s v="Food Sales"/>
    <n v="5807.0349999999999"/>
    <n v="0"/>
    <s v="Daily Sales Import"/>
    <n v="-5807.0349999999999"/>
    <n v="5807.0349999999999"/>
    <x v="1"/>
    <s v="2100"/>
    <s v="000"/>
    <x v="10"/>
    <x v="2"/>
  </r>
  <r>
    <d v="2013-08-11T00:00:00"/>
    <s v="017-2210-000"/>
    <s v="Liquor Sales"/>
    <n v="878.64479999999992"/>
    <n v="0"/>
    <s v="Daily Sales Import"/>
    <n v="-878.64479999999992"/>
    <n v="878.64479999999992"/>
    <x v="1"/>
    <s v="2210"/>
    <s v="000"/>
    <x v="10"/>
    <x v="2"/>
  </r>
  <r>
    <d v="2013-08-11T00:00:00"/>
    <s v="017-2220-000"/>
    <s v="Beer Sales"/>
    <n v="164.96550000000002"/>
    <n v="0"/>
    <s v="Daily Sales Import"/>
    <n v="-164.96550000000002"/>
    <n v="164.96550000000002"/>
    <x v="1"/>
    <s v="2220"/>
    <s v="000"/>
    <x v="10"/>
    <x v="2"/>
  </r>
  <r>
    <d v="2013-08-11T00:00:00"/>
    <s v="017-2230-000"/>
    <s v="Wine Sales"/>
    <n v="77.540400000000005"/>
    <n v="0"/>
    <s v="Daily Sales Import"/>
    <n v="-77.540400000000005"/>
    <n v="77.540400000000005"/>
    <x v="1"/>
    <s v="2230"/>
    <s v="000"/>
    <x v="10"/>
    <x v="2"/>
  </r>
  <r>
    <d v="2013-08-05T00:00:00"/>
    <s v="018-2100-000"/>
    <s v="Food Sales"/>
    <n v="3713.58"/>
    <n v="0"/>
    <s v="Daily Sales Import"/>
    <n v="-3713.58"/>
    <n v="3713.58"/>
    <x v="2"/>
    <s v="2100"/>
    <s v="000"/>
    <x v="10"/>
    <x v="2"/>
  </r>
  <r>
    <d v="2013-08-05T00:00:00"/>
    <s v="018-2210-000"/>
    <s v="Liquor Sales"/>
    <n v="718.08119999999997"/>
    <n v="0"/>
    <s v="Daily Sales Import"/>
    <n v="-718.08119999999997"/>
    <n v="718.08119999999997"/>
    <x v="2"/>
    <s v="2210"/>
    <s v="000"/>
    <x v="10"/>
    <x v="2"/>
  </r>
  <r>
    <d v="2013-08-05T00:00:00"/>
    <s v="018-2220-000"/>
    <s v="Beer Sales"/>
    <n v="223.995"/>
    <n v="0"/>
    <s v="Daily Sales Import"/>
    <n v="-223.995"/>
    <n v="223.995"/>
    <x v="2"/>
    <s v="2220"/>
    <s v="000"/>
    <x v="10"/>
    <x v="2"/>
  </r>
  <r>
    <d v="2013-08-05T00:00:00"/>
    <s v="018-2230-000"/>
    <s v="Wine Sales"/>
    <n v="42.947399999999995"/>
    <n v="0"/>
    <s v="Daily Sales Import"/>
    <n v="-42.947399999999995"/>
    <n v="42.947399999999995"/>
    <x v="2"/>
    <s v="2230"/>
    <s v="000"/>
    <x v="10"/>
    <x v="2"/>
  </r>
  <r>
    <d v="2013-08-06T00:00:00"/>
    <s v="018-2100-000"/>
    <s v="Food Sales"/>
    <n v="5061.4255999999996"/>
    <n v="0"/>
    <s v="Daily Sales Import"/>
    <n v="-5061.4255999999996"/>
    <n v="5061.4255999999996"/>
    <x v="2"/>
    <s v="2100"/>
    <s v="000"/>
    <x v="10"/>
    <x v="2"/>
  </r>
  <r>
    <d v="2013-08-06T00:00:00"/>
    <s v="018-2210-000"/>
    <s v="Liquor Sales"/>
    <n v="1024.6904999999999"/>
    <n v="0"/>
    <s v="Daily Sales Import"/>
    <n v="-1024.6904999999999"/>
    <n v="1024.6904999999999"/>
    <x v="2"/>
    <s v="2210"/>
    <s v="000"/>
    <x v="10"/>
    <x v="2"/>
  </r>
  <r>
    <d v="2013-08-06T00:00:00"/>
    <s v="018-2220-000"/>
    <s v="Beer Sales"/>
    <n v="221.81050000000002"/>
    <n v="0"/>
    <s v="Daily Sales Import"/>
    <n v="-221.81050000000002"/>
    <n v="221.81050000000002"/>
    <x v="2"/>
    <s v="2220"/>
    <s v="000"/>
    <x v="10"/>
    <x v="2"/>
  </r>
  <r>
    <d v="2013-08-06T00:00:00"/>
    <s v="018-2230-000"/>
    <s v="Wine Sales"/>
    <n v="47.916000000000004"/>
    <n v="0"/>
    <s v="Daily Sales Import"/>
    <n v="-47.916000000000004"/>
    <n v="47.916000000000004"/>
    <x v="2"/>
    <s v="2230"/>
    <s v="000"/>
    <x v="10"/>
    <x v="2"/>
  </r>
  <r>
    <d v="2013-08-07T00:00:00"/>
    <s v="018-2100-000"/>
    <s v="Food Sales"/>
    <n v="5024.9623000000001"/>
    <n v="0"/>
    <s v="Daily Sales Import"/>
    <n v="-5024.9623000000001"/>
    <n v="5024.9623000000001"/>
    <x v="2"/>
    <s v="2100"/>
    <s v="000"/>
    <x v="10"/>
    <x v="2"/>
  </r>
  <r>
    <d v="2013-08-07T00:00:00"/>
    <s v="018-2210-000"/>
    <s v="Liquor Sales"/>
    <n v="937.01760000000002"/>
    <n v="0"/>
    <s v="Daily Sales Import"/>
    <n v="-937.01760000000002"/>
    <n v="937.01760000000002"/>
    <x v="2"/>
    <s v="2210"/>
    <s v="000"/>
    <x v="10"/>
    <x v="2"/>
  </r>
  <r>
    <d v="2013-08-07T00:00:00"/>
    <s v="018-2220-000"/>
    <s v="Beer Sales"/>
    <n v="165.41630000000001"/>
    <n v="0"/>
    <s v="Daily Sales Import"/>
    <n v="-165.41630000000001"/>
    <n v="165.41630000000001"/>
    <x v="2"/>
    <s v="2220"/>
    <s v="000"/>
    <x v="10"/>
    <x v="2"/>
  </r>
  <r>
    <d v="2013-08-07T00:00:00"/>
    <s v="018-2230-000"/>
    <s v="Wine Sales"/>
    <n v="57.386199999999995"/>
    <n v="0"/>
    <s v="Daily Sales Import"/>
    <n v="-57.386199999999995"/>
    <n v="57.386199999999995"/>
    <x v="2"/>
    <s v="2230"/>
    <s v="000"/>
    <x v="10"/>
    <x v="2"/>
  </r>
  <r>
    <d v="2013-08-08T00:00:00"/>
    <s v="018-2100-000"/>
    <s v="Food Sales"/>
    <n v="4653.7396000000008"/>
    <n v="0"/>
    <s v="Daily Sales Import"/>
    <n v="-4653.7396000000008"/>
    <n v="4653.7396000000008"/>
    <x v="2"/>
    <s v="2100"/>
    <s v="000"/>
    <x v="10"/>
    <x v="2"/>
  </r>
  <r>
    <d v="2013-08-08T00:00:00"/>
    <s v="018-2210-000"/>
    <s v="Liquor Sales"/>
    <n v="790.96960000000001"/>
    <n v="0"/>
    <s v="Daily Sales Import"/>
    <n v="-790.96960000000001"/>
    <n v="790.96960000000001"/>
    <x v="2"/>
    <s v="2210"/>
    <s v="000"/>
    <x v="10"/>
    <x v="2"/>
  </r>
  <r>
    <d v="2013-08-08T00:00:00"/>
    <s v="018-2220-000"/>
    <s v="Beer Sales"/>
    <n v="360.78899999999999"/>
    <n v="0"/>
    <s v="Daily Sales Import"/>
    <n v="-360.78899999999999"/>
    <n v="360.78899999999999"/>
    <x v="2"/>
    <s v="2220"/>
    <s v="000"/>
    <x v="10"/>
    <x v="2"/>
  </r>
  <r>
    <d v="2013-08-08T00:00:00"/>
    <s v="018-2230-000"/>
    <s v="Wine Sales"/>
    <n v="19.558000000000003"/>
    <n v="0"/>
    <s v="Daily Sales Import"/>
    <n v="-19.558000000000003"/>
    <n v="19.558000000000003"/>
    <x v="2"/>
    <s v="2230"/>
    <s v="000"/>
    <x v="10"/>
    <x v="2"/>
  </r>
  <r>
    <d v="2013-08-09T00:00:00"/>
    <s v="018-2100-000"/>
    <s v="Food Sales"/>
    <n v="11980.130799999999"/>
    <n v="0"/>
    <s v="Daily Sales Import"/>
    <n v="-11980.130799999999"/>
    <n v="11980.130799999999"/>
    <x v="2"/>
    <s v="2100"/>
    <s v="000"/>
    <x v="10"/>
    <x v="2"/>
  </r>
  <r>
    <d v="2013-08-09T00:00:00"/>
    <s v="018-2210-000"/>
    <s v="Liquor Sales"/>
    <n v="2043.6135999999999"/>
    <n v="0"/>
    <s v="Daily Sales Import"/>
    <n v="-2043.6135999999999"/>
    <n v="2043.6135999999999"/>
    <x v="2"/>
    <s v="2210"/>
    <s v="000"/>
    <x v="10"/>
    <x v="2"/>
  </r>
  <r>
    <d v="2013-08-09T00:00:00"/>
    <s v="018-2220-000"/>
    <s v="Beer Sales"/>
    <n v="399.27069999999998"/>
    <n v="0"/>
    <s v="Daily Sales Import"/>
    <n v="-399.27069999999998"/>
    <n v="399.27069999999998"/>
    <x v="2"/>
    <s v="2220"/>
    <s v="000"/>
    <x v="10"/>
    <x v="2"/>
  </r>
  <r>
    <d v="2013-08-09T00:00:00"/>
    <s v="018-2230-000"/>
    <s v="Wine Sales"/>
    <n v="58.571000000000005"/>
    <n v="0"/>
    <s v="Daily Sales Import"/>
    <n v="-58.571000000000005"/>
    <n v="58.571000000000005"/>
    <x v="2"/>
    <s v="2230"/>
    <s v="000"/>
    <x v="10"/>
    <x v="2"/>
  </r>
  <r>
    <d v="2013-08-10T00:00:00"/>
    <s v="018-2100-000"/>
    <s v="Food Sales"/>
    <n v="9852.8924999999999"/>
    <n v="0"/>
    <s v="Daily Sales Import"/>
    <n v="-9852.8924999999999"/>
    <n v="9852.8924999999999"/>
    <x v="2"/>
    <s v="2100"/>
    <s v="000"/>
    <x v="10"/>
    <x v="2"/>
  </r>
  <r>
    <d v="2013-08-10T00:00:00"/>
    <s v="018-2210-000"/>
    <s v="Liquor Sales"/>
    <n v="3422.1440000000002"/>
    <n v="0"/>
    <s v="Daily Sales Import"/>
    <n v="-3422.1440000000002"/>
    <n v="3422.1440000000002"/>
    <x v="2"/>
    <s v="2210"/>
    <s v="000"/>
    <x v="10"/>
    <x v="2"/>
  </r>
  <r>
    <d v="2013-08-10T00:00:00"/>
    <s v="018-2220-000"/>
    <s v="Beer Sales"/>
    <n v="941.31700000000001"/>
    <n v="0"/>
    <s v="Daily Sales Import"/>
    <n v="-941.31700000000001"/>
    <n v="941.31700000000001"/>
    <x v="2"/>
    <s v="2220"/>
    <s v="000"/>
    <x v="10"/>
    <x v="2"/>
  </r>
  <r>
    <d v="2013-08-10T00:00:00"/>
    <s v="018-2230-000"/>
    <s v="Wine Sales"/>
    <n v="142.88939999999999"/>
    <n v="0"/>
    <s v="Daily Sales Import"/>
    <n v="-142.88939999999999"/>
    <n v="142.88939999999999"/>
    <x v="2"/>
    <s v="2230"/>
    <s v="000"/>
    <x v="10"/>
    <x v="2"/>
  </r>
  <r>
    <d v="2013-08-11T00:00:00"/>
    <s v="018-2100-000"/>
    <s v="Food Sales"/>
    <n v="7999.0353999999998"/>
    <n v="0"/>
    <s v="Daily Sales Import"/>
    <n v="-7999.0353999999998"/>
    <n v="7999.0353999999998"/>
    <x v="2"/>
    <s v="2100"/>
    <s v="000"/>
    <x v="10"/>
    <x v="2"/>
  </r>
  <r>
    <d v="2013-08-11T00:00:00"/>
    <s v="018-2210-000"/>
    <s v="Liquor Sales"/>
    <n v="1681.8419999999999"/>
    <n v="0"/>
    <s v="Daily Sales Import"/>
    <n v="-1681.8419999999999"/>
    <n v="1681.8419999999999"/>
    <x v="2"/>
    <s v="2210"/>
    <s v="000"/>
    <x v="10"/>
    <x v="2"/>
  </r>
  <r>
    <d v="2013-08-11T00:00:00"/>
    <s v="018-2220-000"/>
    <s v="Beer Sales"/>
    <n v="318.2876"/>
    <n v="0"/>
    <s v="Daily Sales Import"/>
    <n v="-318.2876"/>
    <n v="318.2876"/>
    <x v="2"/>
    <s v="2220"/>
    <s v="000"/>
    <x v="10"/>
    <x v="2"/>
  </r>
  <r>
    <d v="2013-08-11T00:00:00"/>
    <s v="018-2230-000"/>
    <s v="Wine Sales"/>
    <n v="112.09949999999999"/>
    <n v="0"/>
    <s v="Daily Sales Import"/>
    <n v="-112.09949999999999"/>
    <n v="112.09949999999999"/>
    <x v="2"/>
    <s v="2230"/>
    <s v="000"/>
    <x v="10"/>
    <x v="2"/>
  </r>
  <r>
    <d v="2013-08-05T00:00:00"/>
    <s v="019-2100-000"/>
    <s v="Food Sales"/>
    <n v="3808.6204999999995"/>
    <n v="0"/>
    <s v="Daily Sales Import"/>
    <n v="-3808.6204999999995"/>
    <n v="3808.6204999999995"/>
    <x v="3"/>
    <s v="2100"/>
    <s v="000"/>
    <x v="10"/>
    <x v="2"/>
  </r>
  <r>
    <d v="2013-08-05T00:00:00"/>
    <s v="019-2210-000"/>
    <s v="Liquor Sales"/>
    <n v="435.15079999999995"/>
    <n v="0"/>
    <s v="Daily Sales Import"/>
    <n v="-435.15079999999995"/>
    <n v="435.15079999999995"/>
    <x v="3"/>
    <s v="2210"/>
    <s v="000"/>
    <x v="10"/>
    <x v="2"/>
  </r>
  <r>
    <d v="2013-08-05T00:00:00"/>
    <s v="019-2220-000"/>
    <s v="Beer Sales"/>
    <n v="365.03959999999995"/>
    <n v="0"/>
    <s v="Daily Sales Import"/>
    <n v="-365.03959999999995"/>
    <n v="365.03959999999995"/>
    <x v="3"/>
    <s v="2220"/>
    <s v="000"/>
    <x v="10"/>
    <x v="2"/>
  </r>
  <r>
    <d v="2013-08-05T00:00:00"/>
    <s v="019-2230-000"/>
    <s v="Wine Sales"/>
    <n v="10.323799999999999"/>
    <n v="0"/>
    <s v="Daily Sales Import"/>
    <n v="-10.323799999999999"/>
    <n v="10.323799999999999"/>
    <x v="3"/>
    <s v="2230"/>
    <s v="000"/>
    <x v="10"/>
    <x v="2"/>
  </r>
  <r>
    <d v="2013-08-06T00:00:00"/>
    <s v="019-2100-000"/>
    <s v="Food Sales"/>
    <n v="5036.2920000000004"/>
    <n v="0"/>
    <s v="Daily Sales Import"/>
    <n v="-5036.2920000000004"/>
    <n v="5036.2920000000004"/>
    <x v="3"/>
    <s v="2100"/>
    <s v="000"/>
    <x v="10"/>
    <x v="2"/>
  </r>
  <r>
    <d v="2013-08-06T00:00:00"/>
    <s v="019-2210-000"/>
    <s v="Liquor Sales"/>
    <n v="2100.4979000000003"/>
    <n v="0"/>
    <s v="Daily Sales Import"/>
    <n v="-2100.4979000000003"/>
    <n v="2100.4979000000003"/>
    <x v="3"/>
    <s v="2210"/>
    <s v="000"/>
    <x v="10"/>
    <x v="2"/>
  </r>
  <r>
    <d v="2013-08-06T00:00:00"/>
    <s v="019-2220-000"/>
    <s v="Beer Sales"/>
    <n v="442.13929999999999"/>
    <n v="0"/>
    <s v="Daily Sales Import"/>
    <n v="-442.13929999999999"/>
    <n v="442.13929999999999"/>
    <x v="3"/>
    <s v="2220"/>
    <s v="000"/>
    <x v="10"/>
    <x v="2"/>
  </r>
  <r>
    <d v="2013-08-06T00:00:00"/>
    <s v="019-2230-000"/>
    <s v="Wine Sales"/>
    <n v="60.6"/>
    <n v="0"/>
    <s v="Daily Sales Import"/>
    <n v="-60.6"/>
    <n v="60.6"/>
    <x v="3"/>
    <s v="2230"/>
    <s v="000"/>
    <x v="10"/>
    <x v="2"/>
  </r>
  <r>
    <d v="2013-08-07T00:00:00"/>
    <s v="019-2100-000"/>
    <s v="Food Sales"/>
    <n v="5789.1995999999999"/>
    <n v="0"/>
    <s v="Daily Sales Import"/>
    <n v="-5789.1995999999999"/>
    <n v="5789.1995999999999"/>
    <x v="3"/>
    <s v="2100"/>
    <s v="000"/>
    <x v="10"/>
    <x v="2"/>
  </r>
  <r>
    <d v="2013-08-07T00:00:00"/>
    <s v="019-2210-000"/>
    <s v="Liquor Sales"/>
    <n v="1512.6197999999999"/>
    <n v="0"/>
    <s v="Daily Sales Import"/>
    <n v="-1512.6197999999999"/>
    <n v="1512.6197999999999"/>
    <x v="3"/>
    <s v="2210"/>
    <s v="000"/>
    <x v="10"/>
    <x v="2"/>
  </r>
  <r>
    <d v="2013-08-07T00:00:00"/>
    <s v="019-2220-000"/>
    <s v="Beer Sales"/>
    <n v="273.74080000000004"/>
    <n v="0"/>
    <s v="Daily Sales Import"/>
    <n v="-273.74080000000004"/>
    <n v="273.74080000000004"/>
    <x v="3"/>
    <s v="2220"/>
    <s v="000"/>
    <x v="10"/>
    <x v="2"/>
  </r>
  <r>
    <d v="2013-08-07T00:00:00"/>
    <s v="019-2230-000"/>
    <s v="Wine Sales"/>
    <n v="68.741400000000013"/>
    <n v="0"/>
    <s v="Daily Sales Import"/>
    <n v="-68.741400000000013"/>
    <n v="68.741400000000013"/>
    <x v="3"/>
    <s v="2230"/>
    <s v="000"/>
    <x v="10"/>
    <x v="2"/>
  </r>
  <r>
    <d v="2013-08-08T00:00:00"/>
    <s v="019-2100-000"/>
    <s v="Food Sales"/>
    <n v="5165.3779999999997"/>
    <n v="0"/>
    <s v="Daily Sales Import"/>
    <n v="-5165.3779999999997"/>
    <n v="5165.3779999999997"/>
    <x v="3"/>
    <s v="2100"/>
    <s v="000"/>
    <x v="10"/>
    <x v="2"/>
  </r>
  <r>
    <d v="2013-08-08T00:00:00"/>
    <s v="019-2210-000"/>
    <s v="Liquor Sales"/>
    <n v="1039.6094000000001"/>
    <n v="0"/>
    <s v="Daily Sales Import"/>
    <n v="-1039.6094000000001"/>
    <n v="1039.6094000000001"/>
    <x v="3"/>
    <s v="2210"/>
    <s v="000"/>
    <x v="10"/>
    <x v="2"/>
  </r>
  <r>
    <d v="2013-08-08T00:00:00"/>
    <s v="019-2220-000"/>
    <s v="Beer Sales"/>
    <n v="299.88819999999998"/>
    <n v="0"/>
    <s v="Daily Sales Import"/>
    <n v="-299.88819999999998"/>
    <n v="299.88819999999998"/>
    <x v="3"/>
    <s v="2220"/>
    <s v="000"/>
    <x v="10"/>
    <x v="2"/>
  </r>
  <r>
    <d v="2013-08-08T00:00:00"/>
    <s v="019-2230-000"/>
    <s v="Wine Sales"/>
    <n v="67.086000000000013"/>
    <n v="0"/>
    <s v="Daily Sales Import"/>
    <n v="-67.086000000000013"/>
    <n v="67.086000000000013"/>
    <x v="3"/>
    <s v="2230"/>
    <s v="000"/>
    <x v="10"/>
    <x v="2"/>
  </r>
  <r>
    <d v="2013-08-09T00:00:00"/>
    <s v="019-2100-000"/>
    <s v="Food Sales"/>
    <n v="6813.6485999999995"/>
    <n v="0"/>
    <s v="Daily Sales Import"/>
    <n v="-6813.6485999999995"/>
    <n v="6813.6485999999995"/>
    <x v="3"/>
    <s v="2100"/>
    <s v="000"/>
    <x v="10"/>
    <x v="2"/>
  </r>
  <r>
    <d v="2013-08-09T00:00:00"/>
    <s v="019-2210-000"/>
    <s v="Liquor Sales"/>
    <n v="1710.5072999999998"/>
    <n v="0"/>
    <s v="Daily Sales Import"/>
    <n v="-1710.5072999999998"/>
    <n v="1710.5072999999998"/>
    <x v="3"/>
    <s v="2210"/>
    <s v="000"/>
    <x v="10"/>
    <x v="2"/>
  </r>
  <r>
    <d v="2013-08-09T00:00:00"/>
    <s v="019-2220-000"/>
    <s v="Beer Sales"/>
    <n v="490.03500000000003"/>
    <n v="0"/>
    <s v="Daily Sales Import"/>
    <n v="-490.03500000000003"/>
    <n v="490.03500000000003"/>
    <x v="3"/>
    <s v="2220"/>
    <s v="000"/>
    <x v="10"/>
    <x v="2"/>
  </r>
  <r>
    <d v="2013-08-09T00:00:00"/>
    <s v="019-2230-000"/>
    <s v="Wine Sales"/>
    <n v="71.394400000000005"/>
    <n v="0"/>
    <s v="Daily Sales Import"/>
    <n v="-71.394400000000005"/>
    <n v="71.394400000000005"/>
    <x v="3"/>
    <s v="2230"/>
    <s v="000"/>
    <x v="10"/>
    <x v="2"/>
  </r>
  <r>
    <d v="2013-08-10T00:00:00"/>
    <s v="019-2100-000"/>
    <s v="Food Sales"/>
    <n v="6398.8391999999994"/>
    <n v="0"/>
    <s v="Daily Sales Import"/>
    <n v="-6398.8391999999994"/>
    <n v="6398.8391999999994"/>
    <x v="3"/>
    <s v="2100"/>
    <s v="000"/>
    <x v="10"/>
    <x v="2"/>
  </r>
  <r>
    <d v="2013-08-10T00:00:00"/>
    <s v="019-2210-000"/>
    <s v="Liquor Sales"/>
    <n v="2707.1968000000002"/>
    <n v="0"/>
    <s v="Daily Sales Import"/>
    <n v="-2707.1968000000002"/>
    <n v="2707.1968000000002"/>
    <x v="3"/>
    <s v="2210"/>
    <s v="000"/>
    <x v="10"/>
    <x v="2"/>
  </r>
  <r>
    <d v="2013-08-10T00:00:00"/>
    <s v="019-2220-000"/>
    <s v="Beer Sales"/>
    <n v="484.48500000000001"/>
    <n v="0"/>
    <s v="Daily Sales Import"/>
    <n v="-484.48500000000001"/>
    <n v="484.48500000000001"/>
    <x v="3"/>
    <s v="2220"/>
    <s v="000"/>
    <x v="10"/>
    <x v="2"/>
  </r>
  <r>
    <d v="2013-08-10T00:00:00"/>
    <s v="019-2230-000"/>
    <s v="Wine Sales"/>
    <n v="64.415999999999997"/>
    <n v="0"/>
    <s v="Daily Sales Import"/>
    <n v="-64.415999999999997"/>
    <n v="64.415999999999997"/>
    <x v="3"/>
    <s v="2230"/>
    <s v="000"/>
    <x v="10"/>
    <x v="2"/>
  </r>
  <r>
    <d v="2013-08-11T00:00:00"/>
    <s v="019-2100-000"/>
    <s v="Food Sales"/>
    <n v="3897.6937999999996"/>
    <n v="0"/>
    <s v="Daily Sales Import"/>
    <n v="-3897.6937999999996"/>
    <n v="3897.6937999999996"/>
    <x v="3"/>
    <s v="2100"/>
    <s v="000"/>
    <x v="10"/>
    <x v="2"/>
  </r>
  <r>
    <d v="2013-08-11T00:00:00"/>
    <s v="019-2210-000"/>
    <s v="Liquor Sales"/>
    <n v="954.85109999999997"/>
    <n v="0"/>
    <s v="Daily Sales Import"/>
    <n v="-954.85109999999997"/>
    <n v="954.85109999999997"/>
    <x v="3"/>
    <s v="2210"/>
    <s v="000"/>
    <x v="10"/>
    <x v="2"/>
  </r>
  <r>
    <d v="2013-08-11T00:00:00"/>
    <s v="019-2220-000"/>
    <s v="Beer Sales"/>
    <n v="120.74720000000002"/>
    <n v="0"/>
    <s v="Daily Sales Import"/>
    <n v="-120.74720000000002"/>
    <n v="120.74720000000002"/>
    <x v="3"/>
    <s v="2220"/>
    <s v="000"/>
    <x v="10"/>
    <x v="2"/>
  </r>
  <r>
    <d v="2013-08-11T00:00:00"/>
    <s v="019-2230-000"/>
    <s v="Wine Sales"/>
    <n v="64.585999999999999"/>
    <n v="0"/>
    <s v="Daily Sales Import"/>
    <n v="-64.585999999999999"/>
    <n v="64.585999999999999"/>
    <x v="3"/>
    <s v="2230"/>
    <s v="000"/>
    <x v="10"/>
    <x v="2"/>
  </r>
  <r>
    <d v="2013-08-12T00:00:00"/>
    <s v="016-2100-000"/>
    <s v="Food Sales"/>
    <n v="3849.4879999999998"/>
    <n v="0"/>
    <s v="Daily Sales Import"/>
    <n v="-3849.4879999999998"/>
    <n v="3849.4879999999998"/>
    <x v="0"/>
    <s v="2100"/>
    <s v="000"/>
    <x v="10"/>
    <x v="2"/>
  </r>
  <r>
    <d v="2013-08-12T00:00:00"/>
    <s v="016-2210-000"/>
    <s v="Liquor Sales"/>
    <n v="455.88990000000001"/>
    <n v="0"/>
    <s v="Daily Sales Import"/>
    <n v="-455.88990000000001"/>
    <n v="455.88990000000001"/>
    <x v="0"/>
    <s v="2210"/>
    <s v="000"/>
    <x v="10"/>
    <x v="2"/>
  </r>
  <r>
    <d v="2013-08-12T00:00:00"/>
    <s v="016-2220-000"/>
    <s v="Beer Sales"/>
    <n v="148.6148"/>
    <n v="0"/>
    <s v="Daily Sales Import"/>
    <n v="-148.6148"/>
    <n v="148.6148"/>
    <x v="0"/>
    <s v="2220"/>
    <s v="000"/>
    <x v="10"/>
    <x v="2"/>
  </r>
  <r>
    <d v="2013-08-12T00:00:00"/>
    <s v="016-2230-000"/>
    <s v="Wine Sales"/>
    <n v="52.959200000000003"/>
    <n v="0"/>
    <s v="Daily Sales Import"/>
    <n v="-52.959200000000003"/>
    <n v="52.959200000000003"/>
    <x v="0"/>
    <s v="2230"/>
    <s v="000"/>
    <x v="10"/>
    <x v="2"/>
  </r>
  <r>
    <d v="2013-08-13T00:00:00"/>
    <s v="016-2100-000"/>
    <s v="Food Sales"/>
    <n v="6703.5407999999998"/>
    <n v="0"/>
    <s v="Daily Sales Import"/>
    <n v="-6703.5407999999998"/>
    <n v="6703.5407999999998"/>
    <x v="0"/>
    <s v="2100"/>
    <s v="000"/>
    <x v="10"/>
    <x v="2"/>
  </r>
  <r>
    <d v="2013-08-13T00:00:00"/>
    <s v="016-2210-000"/>
    <s v="Liquor Sales"/>
    <n v="2441.5484999999999"/>
    <n v="0"/>
    <s v="Daily Sales Import"/>
    <n v="-2441.5484999999999"/>
    <n v="2441.5484999999999"/>
    <x v="0"/>
    <s v="2210"/>
    <s v="000"/>
    <x v="10"/>
    <x v="2"/>
  </r>
  <r>
    <d v="2013-08-13T00:00:00"/>
    <s v="016-2220-000"/>
    <s v="Beer Sales"/>
    <n v="806.08920000000001"/>
    <n v="0"/>
    <s v="Daily Sales Import"/>
    <n v="-806.08920000000001"/>
    <n v="806.08920000000001"/>
    <x v="0"/>
    <s v="2220"/>
    <s v="000"/>
    <x v="10"/>
    <x v="2"/>
  </r>
  <r>
    <d v="2013-08-13T00:00:00"/>
    <s v="016-2230-000"/>
    <s v="Wine Sales"/>
    <n v="211.93199999999999"/>
    <n v="0"/>
    <s v="Daily Sales Import"/>
    <n v="-211.93199999999999"/>
    <n v="211.93199999999999"/>
    <x v="0"/>
    <s v="2230"/>
    <s v="000"/>
    <x v="10"/>
    <x v="2"/>
  </r>
  <r>
    <d v="2013-08-14T00:00:00"/>
    <s v="016-2100-000"/>
    <s v="Food Sales"/>
    <n v="2778.1949999999997"/>
    <n v="0"/>
    <s v="Daily Sales Import"/>
    <n v="-2778.1949999999997"/>
    <n v="2778.1949999999997"/>
    <x v="0"/>
    <s v="2100"/>
    <s v="000"/>
    <x v="10"/>
    <x v="2"/>
  </r>
  <r>
    <d v="2013-08-14T00:00:00"/>
    <s v="016-2210-000"/>
    <s v="Liquor Sales"/>
    <n v="869.31709999999987"/>
    <n v="0"/>
    <s v="Daily Sales Import"/>
    <n v="-869.31709999999987"/>
    <n v="869.31709999999987"/>
    <x v="0"/>
    <s v="2210"/>
    <s v="000"/>
    <x v="10"/>
    <x v="2"/>
  </r>
  <r>
    <d v="2013-08-14T00:00:00"/>
    <s v="016-2220-000"/>
    <s v="Beer Sales"/>
    <n v="113.1456"/>
    <n v="0"/>
    <s v="Daily Sales Import"/>
    <n v="-113.1456"/>
    <n v="113.1456"/>
    <x v="0"/>
    <s v="2220"/>
    <s v="000"/>
    <x v="10"/>
    <x v="2"/>
  </r>
  <r>
    <d v="2013-08-14T00:00:00"/>
    <s v="016-2230-000"/>
    <s v="Wine Sales"/>
    <n v="18.965399999999999"/>
    <n v="0"/>
    <s v="Daily Sales Import"/>
    <n v="-18.965399999999999"/>
    <n v="18.965399999999999"/>
    <x v="0"/>
    <s v="2230"/>
    <s v="000"/>
    <x v="10"/>
    <x v="2"/>
  </r>
  <r>
    <d v="2013-08-15T00:00:00"/>
    <s v="016-2100-000"/>
    <s v="Food Sales"/>
    <n v="3760.5156000000002"/>
    <n v="0"/>
    <s v="Daily Sales Import"/>
    <n v="-3760.5156000000002"/>
    <n v="3760.5156000000002"/>
    <x v="0"/>
    <s v="2100"/>
    <s v="000"/>
    <x v="10"/>
    <x v="2"/>
  </r>
  <r>
    <d v="2013-08-15T00:00:00"/>
    <s v="016-2210-000"/>
    <s v="Liquor Sales"/>
    <n v="938.17019999999991"/>
    <n v="0"/>
    <s v="Daily Sales Import"/>
    <n v="-938.17019999999991"/>
    <n v="938.17019999999991"/>
    <x v="0"/>
    <s v="2210"/>
    <s v="000"/>
    <x v="10"/>
    <x v="2"/>
  </r>
  <r>
    <d v="2013-08-15T00:00:00"/>
    <s v="016-2220-000"/>
    <s v="Beer Sales"/>
    <n v="174.01799999999997"/>
    <n v="0"/>
    <s v="Daily Sales Import"/>
    <n v="-174.01799999999997"/>
    <n v="174.01799999999997"/>
    <x v="0"/>
    <s v="2220"/>
    <s v="000"/>
    <x v="10"/>
    <x v="2"/>
  </r>
  <r>
    <d v="2013-08-15T00:00:00"/>
    <s v="016-2230-000"/>
    <s v="Wine Sales"/>
    <n v="75.471900000000005"/>
    <n v="0"/>
    <s v="Daily Sales Import"/>
    <n v="-75.471900000000005"/>
    <n v="75.471900000000005"/>
    <x v="0"/>
    <s v="2230"/>
    <s v="000"/>
    <x v="10"/>
    <x v="2"/>
  </r>
  <r>
    <d v="2013-08-16T00:00:00"/>
    <s v="016-2100-000"/>
    <s v="Food Sales"/>
    <n v="3819.6480000000006"/>
    <n v="0"/>
    <s v="Daily Sales Import"/>
    <n v="-3819.6480000000006"/>
    <n v="3819.6480000000006"/>
    <x v="0"/>
    <s v="2100"/>
    <s v="000"/>
    <x v="10"/>
    <x v="2"/>
  </r>
  <r>
    <d v="2013-08-16T00:00:00"/>
    <s v="016-2210-000"/>
    <s v="Liquor Sales"/>
    <n v="1258.2008999999998"/>
    <n v="0"/>
    <s v="Daily Sales Import"/>
    <n v="-1258.2008999999998"/>
    <n v="1258.2008999999998"/>
    <x v="0"/>
    <s v="2210"/>
    <s v="000"/>
    <x v="10"/>
    <x v="2"/>
  </r>
  <r>
    <d v="2013-08-16T00:00:00"/>
    <s v="016-2220-000"/>
    <s v="Beer Sales"/>
    <n v="258.74869999999999"/>
    <n v="0"/>
    <s v="Daily Sales Import"/>
    <n v="-258.74869999999999"/>
    <n v="258.74869999999999"/>
    <x v="0"/>
    <s v="2220"/>
    <s v="000"/>
    <x v="10"/>
    <x v="2"/>
  </r>
  <r>
    <d v="2013-08-16T00:00:00"/>
    <s v="016-2230-000"/>
    <s v="Wine Sales"/>
    <n v="72.744000000000014"/>
    <n v="0"/>
    <s v="Daily Sales Import"/>
    <n v="-72.744000000000014"/>
    <n v="72.744000000000014"/>
    <x v="0"/>
    <s v="2230"/>
    <s v="000"/>
    <x v="10"/>
    <x v="2"/>
  </r>
  <r>
    <d v="2013-08-17T00:00:00"/>
    <s v="016-2100-000"/>
    <s v="Food Sales"/>
    <n v="8295.448699999999"/>
    <n v="0"/>
    <s v="Daily Sales Import"/>
    <n v="-8295.448699999999"/>
    <n v="8295.448699999999"/>
    <x v="0"/>
    <s v="2100"/>
    <s v="000"/>
    <x v="10"/>
    <x v="2"/>
  </r>
  <r>
    <d v="2013-08-17T00:00:00"/>
    <s v="016-2210-000"/>
    <s v="Liquor Sales"/>
    <n v="2568.3216000000002"/>
    <n v="0"/>
    <s v="Daily Sales Import"/>
    <n v="-2568.3216000000002"/>
    <n v="2568.3216000000002"/>
    <x v="0"/>
    <s v="2210"/>
    <s v="000"/>
    <x v="10"/>
    <x v="2"/>
  </r>
  <r>
    <d v="2013-08-17T00:00:00"/>
    <s v="016-2220-000"/>
    <s v="Beer Sales"/>
    <n v="421.00440000000003"/>
    <n v="0"/>
    <s v="Daily Sales Import"/>
    <n v="-421.00440000000003"/>
    <n v="421.00440000000003"/>
    <x v="0"/>
    <s v="2220"/>
    <s v="000"/>
    <x v="10"/>
    <x v="2"/>
  </r>
  <r>
    <d v="2013-08-17T00:00:00"/>
    <s v="016-2230-000"/>
    <s v="Wine Sales"/>
    <n v="63.128"/>
    <n v="0"/>
    <s v="Daily Sales Import"/>
    <n v="-63.128"/>
    <n v="63.128"/>
    <x v="0"/>
    <s v="2230"/>
    <s v="000"/>
    <x v="10"/>
    <x v="2"/>
  </r>
  <r>
    <d v="2013-08-18T00:00:00"/>
    <s v="016-2100-000"/>
    <s v="Food Sales"/>
    <n v="5188.5743999999995"/>
    <n v="0"/>
    <s v="Daily Sales Import"/>
    <n v="-5188.5743999999995"/>
    <n v="5188.5743999999995"/>
    <x v="0"/>
    <s v="2100"/>
    <s v="000"/>
    <x v="10"/>
    <x v="2"/>
  </r>
  <r>
    <d v="2013-08-18T00:00:00"/>
    <s v="016-2210-000"/>
    <s v="Liquor Sales"/>
    <n v="696.30000000000007"/>
    <n v="0"/>
    <s v="Daily Sales Import"/>
    <n v="-696.30000000000007"/>
    <n v="696.30000000000007"/>
    <x v="0"/>
    <s v="2210"/>
    <s v="000"/>
    <x v="10"/>
    <x v="2"/>
  </r>
  <r>
    <d v="2013-08-18T00:00:00"/>
    <s v="016-2220-000"/>
    <s v="Beer Sales"/>
    <n v="165.2236"/>
    <n v="0"/>
    <s v="Daily Sales Import"/>
    <n v="-165.2236"/>
    <n v="165.2236"/>
    <x v="0"/>
    <s v="2220"/>
    <s v="000"/>
    <x v="10"/>
    <x v="2"/>
  </r>
  <r>
    <d v="2013-08-18T00:00:00"/>
    <s v="016-2230-000"/>
    <s v="Wine Sales"/>
    <n v="105.8032"/>
    <n v="0"/>
    <s v="Daily Sales Import"/>
    <n v="-105.8032"/>
    <n v="105.8032"/>
    <x v="0"/>
    <s v="2230"/>
    <s v="000"/>
    <x v="10"/>
    <x v="2"/>
  </r>
  <r>
    <d v="2013-08-12T00:00:00"/>
    <s v="017-2100-000"/>
    <s v="Food Sales"/>
    <n v="5100.1523999999999"/>
    <n v="0"/>
    <s v="Daily Sales Import"/>
    <n v="-5100.1523999999999"/>
    <n v="5100.1523999999999"/>
    <x v="1"/>
    <s v="2100"/>
    <s v="000"/>
    <x v="10"/>
    <x v="2"/>
  </r>
  <r>
    <d v="2013-08-12T00:00:00"/>
    <s v="017-2210-000"/>
    <s v="Liquor Sales"/>
    <n v="648.72280000000001"/>
    <n v="0"/>
    <s v="Daily Sales Import"/>
    <n v="-648.72280000000001"/>
    <n v="648.72280000000001"/>
    <x v="1"/>
    <s v="2210"/>
    <s v="000"/>
    <x v="10"/>
    <x v="2"/>
  </r>
  <r>
    <d v="2013-08-12T00:00:00"/>
    <s v="017-2220-000"/>
    <s v="Beer Sales"/>
    <n v="214.39870000000002"/>
    <n v="0"/>
    <s v="Daily Sales Import"/>
    <n v="-214.39870000000002"/>
    <n v="214.39870000000002"/>
    <x v="1"/>
    <s v="2220"/>
    <s v="000"/>
    <x v="10"/>
    <x v="2"/>
  </r>
  <r>
    <d v="2013-08-12T00:00:00"/>
    <s v="017-2230-000"/>
    <s v="Wine Sales"/>
    <n v="108.4725"/>
    <n v="0"/>
    <s v="Daily Sales Import"/>
    <n v="-108.4725"/>
    <n v="108.4725"/>
    <x v="1"/>
    <s v="2230"/>
    <s v="000"/>
    <x v="10"/>
    <x v="2"/>
  </r>
  <r>
    <d v="2013-08-13T00:00:00"/>
    <s v="017-2100-000"/>
    <s v="Food Sales"/>
    <n v="5615.296800000001"/>
    <n v="0"/>
    <s v="Daily Sales Import"/>
    <n v="-5615.296800000001"/>
    <n v="5615.296800000001"/>
    <x v="1"/>
    <s v="2100"/>
    <s v="000"/>
    <x v="10"/>
    <x v="2"/>
  </r>
  <r>
    <d v="2013-08-13T00:00:00"/>
    <s v="017-2210-000"/>
    <s v="Liquor Sales"/>
    <n v="1944.2880000000002"/>
    <n v="0"/>
    <s v="Daily Sales Import"/>
    <n v="-1944.2880000000002"/>
    <n v="1944.2880000000002"/>
    <x v="1"/>
    <s v="2210"/>
    <s v="000"/>
    <x v="10"/>
    <x v="2"/>
  </r>
  <r>
    <d v="2013-08-13T00:00:00"/>
    <s v="017-2220-000"/>
    <s v="Beer Sales"/>
    <n v="751.98199999999986"/>
    <n v="0"/>
    <s v="Daily Sales Import"/>
    <n v="-751.98199999999986"/>
    <n v="751.98199999999986"/>
    <x v="1"/>
    <s v="2220"/>
    <s v="000"/>
    <x v="10"/>
    <x v="2"/>
  </r>
  <r>
    <d v="2013-08-13T00:00:00"/>
    <s v="017-2230-000"/>
    <s v="Wine Sales"/>
    <n v="158.05600000000001"/>
    <n v="0"/>
    <s v="Daily Sales Import"/>
    <n v="-158.05600000000001"/>
    <n v="158.05600000000001"/>
    <x v="1"/>
    <s v="2230"/>
    <s v="000"/>
    <x v="10"/>
    <x v="2"/>
  </r>
  <r>
    <d v="2013-08-14T00:00:00"/>
    <s v="017-2100-000"/>
    <s v="Food Sales"/>
    <n v="6784.6720000000005"/>
    <n v="0"/>
    <s v="Daily Sales Import"/>
    <n v="-6784.6720000000005"/>
    <n v="6784.6720000000005"/>
    <x v="1"/>
    <s v="2100"/>
    <s v="000"/>
    <x v="10"/>
    <x v="2"/>
  </r>
  <r>
    <d v="2013-08-14T00:00:00"/>
    <s v="017-2210-000"/>
    <s v="Liquor Sales"/>
    <n v="1641.2808"/>
    <n v="0"/>
    <s v="Daily Sales Import"/>
    <n v="-1641.2808"/>
    <n v="1641.2808"/>
    <x v="1"/>
    <s v="2210"/>
    <s v="000"/>
    <x v="10"/>
    <x v="2"/>
  </r>
  <r>
    <d v="2013-08-14T00:00:00"/>
    <s v="017-2220-000"/>
    <s v="Beer Sales"/>
    <n v="422.01000000000005"/>
    <n v="0"/>
    <s v="Daily Sales Import"/>
    <n v="-422.01000000000005"/>
    <n v="422.01000000000005"/>
    <x v="1"/>
    <s v="2220"/>
    <s v="000"/>
    <x v="10"/>
    <x v="2"/>
  </r>
  <r>
    <d v="2013-08-14T00:00:00"/>
    <s v="017-2230-000"/>
    <s v="Wine Sales"/>
    <n v="61.559999999999995"/>
    <n v="0"/>
    <s v="Daily Sales Import"/>
    <n v="-61.559999999999995"/>
    <n v="61.559999999999995"/>
    <x v="1"/>
    <s v="2230"/>
    <s v="000"/>
    <x v="10"/>
    <x v="2"/>
  </r>
  <r>
    <d v="2013-08-15T00:00:00"/>
    <s v="017-2100-000"/>
    <s v="Food Sales"/>
    <n v="8248.0863999999983"/>
    <n v="0"/>
    <s v="Daily Sales Import"/>
    <n v="-8248.0863999999983"/>
    <n v="8248.0863999999983"/>
    <x v="1"/>
    <s v="2100"/>
    <s v="000"/>
    <x v="10"/>
    <x v="2"/>
  </r>
  <r>
    <d v="2013-08-15T00:00:00"/>
    <s v="017-2210-000"/>
    <s v="Liquor Sales"/>
    <n v="3105.5563000000002"/>
    <n v="0"/>
    <s v="Daily Sales Import"/>
    <n v="-3105.5563000000002"/>
    <n v="3105.5563000000002"/>
    <x v="1"/>
    <s v="2210"/>
    <s v="000"/>
    <x v="10"/>
    <x v="2"/>
  </r>
  <r>
    <d v="2013-08-15T00:00:00"/>
    <s v="017-2220-000"/>
    <s v="Beer Sales"/>
    <n v="541.99159999999995"/>
    <n v="0"/>
    <s v="Daily Sales Import"/>
    <n v="-541.99159999999995"/>
    <n v="541.99159999999995"/>
    <x v="1"/>
    <s v="2220"/>
    <s v="000"/>
    <x v="10"/>
    <x v="2"/>
  </r>
  <r>
    <d v="2013-08-15T00:00:00"/>
    <s v="017-2230-000"/>
    <s v="Wine Sales"/>
    <n v="160.70140000000001"/>
    <n v="0"/>
    <s v="Daily Sales Import"/>
    <n v="-160.70140000000001"/>
    <n v="160.70140000000001"/>
    <x v="1"/>
    <s v="2230"/>
    <s v="000"/>
    <x v="10"/>
    <x v="2"/>
  </r>
  <r>
    <d v="2013-08-16T00:00:00"/>
    <s v="017-2100-000"/>
    <s v="Food Sales"/>
    <n v="9269.8945999999996"/>
    <n v="0"/>
    <s v="Daily Sales Import"/>
    <n v="-9269.8945999999996"/>
    <n v="9269.8945999999996"/>
    <x v="1"/>
    <s v="2100"/>
    <s v="000"/>
    <x v="10"/>
    <x v="2"/>
  </r>
  <r>
    <d v="2013-08-16T00:00:00"/>
    <s v="017-2210-000"/>
    <s v="Liquor Sales"/>
    <n v="1837.8322999999998"/>
    <n v="0"/>
    <s v="Daily Sales Import"/>
    <n v="-1837.8322999999998"/>
    <n v="1837.8322999999998"/>
    <x v="1"/>
    <s v="2210"/>
    <s v="000"/>
    <x v="10"/>
    <x v="2"/>
  </r>
  <r>
    <d v="2013-08-16T00:00:00"/>
    <s v="017-2220-000"/>
    <s v="Beer Sales"/>
    <n v="557.40150000000006"/>
    <n v="0"/>
    <s v="Daily Sales Import"/>
    <n v="-557.40150000000006"/>
    <n v="557.40150000000006"/>
    <x v="1"/>
    <s v="2220"/>
    <s v="000"/>
    <x v="10"/>
    <x v="2"/>
  </r>
  <r>
    <d v="2013-08-16T00:00:00"/>
    <s v="017-2230-000"/>
    <s v="Wine Sales"/>
    <n v="95.192499999999995"/>
    <n v="0"/>
    <s v="Daily Sales Import"/>
    <n v="-95.192499999999995"/>
    <n v="95.192499999999995"/>
    <x v="1"/>
    <s v="2230"/>
    <s v="000"/>
    <x v="10"/>
    <x v="2"/>
  </r>
  <r>
    <d v="2013-08-17T00:00:00"/>
    <s v="017-2100-000"/>
    <s v="Food Sales"/>
    <n v="7345.0847999999996"/>
    <n v="0"/>
    <s v="Daily Sales Import"/>
    <n v="-7345.0847999999996"/>
    <n v="7345.0847999999996"/>
    <x v="1"/>
    <s v="2100"/>
    <s v="000"/>
    <x v="10"/>
    <x v="2"/>
  </r>
  <r>
    <d v="2013-08-17T00:00:00"/>
    <s v="017-2210-000"/>
    <s v="Liquor Sales"/>
    <n v="1631.1120000000001"/>
    <n v="0"/>
    <s v="Daily Sales Import"/>
    <n v="-1631.1120000000001"/>
    <n v="1631.1120000000001"/>
    <x v="1"/>
    <s v="2210"/>
    <s v="000"/>
    <x v="10"/>
    <x v="2"/>
  </r>
  <r>
    <d v="2013-08-17T00:00:00"/>
    <s v="017-2220-000"/>
    <s v="Beer Sales"/>
    <n v="385.24919999999997"/>
    <n v="0"/>
    <s v="Daily Sales Import"/>
    <n v="-385.24919999999997"/>
    <n v="385.24919999999997"/>
    <x v="1"/>
    <s v="2220"/>
    <s v="000"/>
    <x v="10"/>
    <x v="2"/>
  </r>
  <r>
    <d v="2013-08-17T00:00:00"/>
    <s v="017-2230-000"/>
    <s v="Wine Sales"/>
    <n v="167.12639999999999"/>
    <n v="0"/>
    <s v="Daily Sales Import"/>
    <n v="-167.12639999999999"/>
    <n v="167.12639999999999"/>
    <x v="1"/>
    <s v="2230"/>
    <s v="000"/>
    <x v="10"/>
    <x v="2"/>
  </r>
  <r>
    <d v="2013-08-18T00:00:00"/>
    <s v="017-2100-000"/>
    <s v="Food Sales"/>
    <n v="5945.4213000000009"/>
    <n v="0"/>
    <s v="Daily Sales Import"/>
    <n v="-5945.4213000000009"/>
    <n v="5945.4213000000009"/>
    <x v="1"/>
    <s v="2100"/>
    <s v="000"/>
    <x v="10"/>
    <x v="2"/>
  </r>
  <r>
    <d v="2013-08-18T00:00:00"/>
    <s v="017-2210-000"/>
    <s v="Liquor Sales"/>
    <n v="852.048"/>
    <n v="0"/>
    <s v="Daily Sales Import"/>
    <n v="-852.048"/>
    <n v="852.048"/>
    <x v="1"/>
    <s v="2210"/>
    <s v="000"/>
    <x v="10"/>
    <x v="2"/>
  </r>
  <r>
    <d v="2013-08-18T00:00:00"/>
    <s v="017-2220-000"/>
    <s v="Beer Sales"/>
    <n v="179.5718"/>
    <n v="0"/>
    <s v="Daily Sales Import"/>
    <n v="-179.5718"/>
    <n v="179.5718"/>
    <x v="1"/>
    <s v="2220"/>
    <s v="000"/>
    <x v="10"/>
    <x v="2"/>
  </r>
  <r>
    <d v="2013-08-18T00:00:00"/>
    <s v="017-2230-000"/>
    <s v="Wine Sales"/>
    <n v="114.31040000000002"/>
    <n v="0"/>
    <s v="Daily Sales Import"/>
    <n v="-114.31040000000002"/>
    <n v="114.31040000000002"/>
    <x v="1"/>
    <s v="2230"/>
    <s v="000"/>
    <x v="10"/>
    <x v="2"/>
  </r>
  <r>
    <d v="2013-08-12T00:00:00"/>
    <s v="018-2100-000"/>
    <s v="Food Sales"/>
    <n v="5222.0216"/>
    <n v="0"/>
    <s v="Daily Sales Import"/>
    <n v="-5222.0216"/>
    <n v="5222.0216"/>
    <x v="2"/>
    <s v="2100"/>
    <s v="000"/>
    <x v="10"/>
    <x v="2"/>
  </r>
  <r>
    <d v="2013-08-12T00:00:00"/>
    <s v="018-2210-000"/>
    <s v="Liquor Sales"/>
    <n v="880.04420000000005"/>
    <n v="0"/>
    <s v="Daily Sales Import"/>
    <n v="-880.04420000000005"/>
    <n v="880.04420000000005"/>
    <x v="2"/>
    <s v="2210"/>
    <s v="000"/>
    <x v="10"/>
    <x v="2"/>
  </r>
  <r>
    <d v="2013-08-12T00:00:00"/>
    <s v="018-2220-000"/>
    <s v="Beer Sales"/>
    <n v="254.53640000000001"/>
    <n v="0"/>
    <s v="Daily Sales Import"/>
    <n v="-254.53640000000001"/>
    <n v="254.53640000000001"/>
    <x v="2"/>
    <s v="2220"/>
    <s v="000"/>
    <x v="10"/>
    <x v="2"/>
  </r>
  <r>
    <d v="2013-08-12T00:00:00"/>
    <s v="018-2230-000"/>
    <s v="Wine Sales"/>
    <n v="12.2752"/>
    <n v="0"/>
    <s v="Daily Sales Import"/>
    <n v="-12.2752"/>
    <n v="12.2752"/>
    <x v="2"/>
    <s v="2230"/>
    <s v="000"/>
    <x v="10"/>
    <x v="2"/>
  </r>
  <r>
    <d v="2013-08-13T00:00:00"/>
    <s v="018-2100-000"/>
    <s v="Food Sales"/>
    <n v="5966.9268000000002"/>
    <n v="0"/>
    <s v="Daily Sales Import"/>
    <n v="-5966.9268000000002"/>
    <n v="5966.9268000000002"/>
    <x v="2"/>
    <s v="2100"/>
    <s v="000"/>
    <x v="10"/>
    <x v="2"/>
  </r>
  <r>
    <d v="2013-08-13T00:00:00"/>
    <s v="018-2210-000"/>
    <s v="Liquor Sales"/>
    <n v="1020.9318000000001"/>
    <n v="0"/>
    <s v="Daily Sales Import"/>
    <n v="-1020.9318000000001"/>
    <n v="1020.9318000000001"/>
    <x v="2"/>
    <s v="2210"/>
    <s v="000"/>
    <x v="10"/>
    <x v="2"/>
  </r>
  <r>
    <d v="2013-08-13T00:00:00"/>
    <s v="018-2220-000"/>
    <s v="Beer Sales"/>
    <n v="149.44999999999999"/>
    <n v="0"/>
    <s v="Daily Sales Import"/>
    <n v="-149.44999999999999"/>
    <n v="149.44999999999999"/>
    <x v="2"/>
    <s v="2220"/>
    <s v="000"/>
    <x v="10"/>
    <x v="2"/>
  </r>
  <r>
    <d v="2013-08-13T00:00:00"/>
    <s v="018-2230-000"/>
    <s v="Wine Sales"/>
    <n v="35.191500000000005"/>
    <n v="0"/>
    <s v="Daily Sales Import"/>
    <n v="-35.191500000000005"/>
    <n v="35.191500000000005"/>
    <x v="2"/>
    <s v="2230"/>
    <s v="000"/>
    <x v="10"/>
    <x v="2"/>
  </r>
  <r>
    <d v="2013-08-14T00:00:00"/>
    <s v="018-2100-000"/>
    <s v="Food Sales"/>
    <n v="4218.643"/>
    <n v="0"/>
    <s v="Daily Sales Import"/>
    <n v="-4218.643"/>
    <n v="4218.643"/>
    <x v="2"/>
    <s v="2100"/>
    <s v="000"/>
    <x v="10"/>
    <x v="2"/>
  </r>
  <r>
    <d v="2013-08-14T00:00:00"/>
    <s v="018-2210-000"/>
    <s v="Liquor Sales"/>
    <n v="1049.9481999999998"/>
    <n v="0"/>
    <s v="Daily Sales Import"/>
    <n v="-1049.9481999999998"/>
    <n v="1049.9481999999998"/>
    <x v="2"/>
    <s v="2210"/>
    <s v="000"/>
    <x v="10"/>
    <x v="2"/>
  </r>
  <r>
    <d v="2013-08-14T00:00:00"/>
    <s v="018-2220-000"/>
    <s v="Beer Sales"/>
    <n v="220.09899999999999"/>
    <n v="0"/>
    <s v="Daily Sales Import"/>
    <n v="-220.09899999999999"/>
    <n v="220.09899999999999"/>
    <x v="2"/>
    <s v="2220"/>
    <s v="000"/>
    <x v="10"/>
    <x v="2"/>
  </r>
  <r>
    <d v="2013-08-14T00:00:00"/>
    <s v="018-2230-000"/>
    <s v="Wine Sales"/>
    <n v="82.070499999999996"/>
    <n v="0"/>
    <s v="Daily Sales Import"/>
    <n v="-82.070499999999996"/>
    <n v="82.070499999999996"/>
    <x v="2"/>
    <s v="2230"/>
    <s v="000"/>
    <x v="10"/>
    <x v="2"/>
  </r>
  <r>
    <d v="2013-08-15T00:00:00"/>
    <s v="018-2100-000"/>
    <s v="Food Sales"/>
    <n v="6388.5828000000001"/>
    <n v="0"/>
    <s v="Daily Sales Import"/>
    <n v="-6388.5828000000001"/>
    <n v="6388.5828000000001"/>
    <x v="2"/>
    <s v="2100"/>
    <s v="000"/>
    <x v="10"/>
    <x v="2"/>
  </r>
  <r>
    <d v="2013-08-15T00:00:00"/>
    <s v="018-2210-000"/>
    <s v="Liquor Sales"/>
    <n v="1301.2169999999999"/>
    <n v="0"/>
    <s v="Daily Sales Import"/>
    <n v="-1301.2169999999999"/>
    <n v="1301.2169999999999"/>
    <x v="2"/>
    <s v="2210"/>
    <s v="000"/>
    <x v="10"/>
    <x v="2"/>
  </r>
  <r>
    <d v="2013-08-15T00:00:00"/>
    <s v="018-2220-000"/>
    <s v="Beer Sales"/>
    <n v="372.80279999999999"/>
    <n v="0"/>
    <s v="Daily Sales Import"/>
    <n v="-372.80279999999999"/>
    <n v="372.80279999999999"/>
    <x v="2"/>
    <s v="2220"/>
    <s v="000"/>
    <x v="10"/>
    <x v="2"/>
  </r>
  <r>
    <d v="2013-08-15T00:00:00"/>
    <s v="018-2230-000"/>
    <s v="Wine Sales"/>
    <n v="123.55200000000001"/>
    <n v="0"/>
    <s v="Daily Sales Import"/>
    <n v="-123.55200000000001"/>
    <n v="123.55200000000001"/>
    <x v="2"/>
    <s v="2230"/>
    <s v="000"/>
    <x v="10"/>
    <x v="2"/>
  </r>
  <r>
    <d v="2013-08-16T00:00:00"/>
    <s v="018-2100-000"/>
    <s v="Food Sales"/>
    <n v="9384.0840000000007"/>
    <n v="0"/>
    <s v="Daily Sales Import"/>
    <n v="-9384.0840000000007"/>
    <n v="9384.0840000000007"/>
    <x v="2"/>
    <s v="2100"/>
    <s v="000"/>
    <x v="10"/>
    <x v="2"/>
  </r>
  <r>
    <d v="2013-08-16T00:00:00"/>
    <s v="018-2210-000"/>
    <s v="Liquor Sales"/>
    <n v="2800.1790000000001"/>
    <n v="0"/>
    <s v="Daily Sales Import"/>
    <n v="-2800.1790000000001"/>
    <n v="2800.1790000000001"/>
    <x v="2"/>
    <s v="2210"/>
    <s v="000"/>
    <x v="10"/>
    <x v="2"/>
  </r>
  <r>
    <d v="2013-08-16T00:00:00"/>
    <s v="018-2220-000"/>
    <s v="Beer Sales"/>
    <n v="540.78499999999997"/>
    <n v="0"/>
    <s v="Daily Sales Import"/>
    <n v="-540.78499999999997"/>
    <n v="540.78499999999997"/>
    <x v="2"/>
    <s v="2220"/>
    <s v="000"/>
    <x v="10"/>
    <x v="2"/>
  </r>
  <r>
    <d v="2013-08-16T00:00:00"/>
    <s v="018-2230-000"/>
    <s v="Wine Sales"/>
    <n v="153.74089999999998"/>
    <n v="0"/>
    <s v="Daily Sales Import"/>
    <n v="-153.74089999999998"/>
    <n v="153.74089999999998"/>
    <x v="2"/>
    <s v="2230"/>
    <s v="000"/>
    <x v="10"/>
    <x v="2"/>
  </r>
  <r>
    <d v="2013-08-17T00:00:00"/>
    <s v="018-2100-000"/>
    <s v="Food Sales"/>
    <n v="11742.8588"/>
    <n v="0"/>
    <s v="Daily Sales Import"/>
    <n v="-11742.8588"/>
    <n v="11742.8588"/>
    <x v="2"/>
    <s v="2100"/>
    <s v="000"/>
    <x v="10"/>
    <x v="2"/>
  </r>
  <r>
    <d v="2013-08-17T00:00:00"/>
    <s v="018-2210-000"/>
    <s v="Liquor Sales"/>
    <n v="2183.6230999999998"/>
    <n v="0"/>
    <s v="Daily Sales Import"/>
    <n v="-2183.6230999999998"/>
    <n v="2183.6230999999998"/>
    <x v="2"/>
    <s v="2210"/>
    <s v="000"/>
    <x v="10"/>
    <x v="2"/>
  </r>
  <r>
    <d v="2013-08-17T00:00:00"/>
    <s v="018-2220-000"/>
    <s v="Beer Sales"/>
    <n v="676.27699999999993"/>
    <n v="0"/>
    <s v="Daily Sales Import"/>
    <n v="-676.27699999999993"/>
    <n v="676.27699999999993"/>
    <x v="2"/>
    <s v="2220"/>
    <s v="000"/>
    <x v="10"/>
    <x v="2"/>
  </r>
  <r>
    <d v="2013-08-17T00:00:00"/>
    <s v="018-2230-000"/>
    <s v="Wine Sales"/>
    <n v="148.16800000000001"/>
    <n v="0"/>
    <s v="Daily Sales Import"/>
    <n v="-148.16800000000001"/>
    <n v="148.16800000000001"/>
    <x v="2"/>
    <s v="2230"/>
    <s v="000"/>
    <x v="10"/>
    <x v="2"/>
  </r>
  <r>
    <d v="2013-08-18T00:00:00"/>
    <s v="018-2100-000"/>
    <s v="Food Sales"/>
    <n v="7957.0839999999998"/>
    <n v="0"/>
    <s v="Daily Sales Import"/>
    <n v="-7957.0839999999998"/>
    <n v="7957.0839999999998"/>
    <x v="2"/>
    <s v="2100"/>
    <s v="000"/>
    <x v="10"/>
    <x v="2"/>
  </r>
  <r>
    <d v="2013-08-18T00:00:00"/>
    <s v="018-2210-000"/>
    <s v="Liquor Sales"/>
    <n v="1288.4255999999998"/>
    <n v="0"/>
    <s v="Daily Sales Import"/>
    <n v="-1288.4255999999998"/>
    <n v="1288.4255999999998"/>
    <x v="2"/>
    <s v="2210"/>
    <s v="000"/>
    <x v="10"/>
    <x v="2"/>
  </r>
  <r>
    <d v="2013-08-18T00:00:00"/>
    <s v="018-2220-000"/>
    <s v="Beer Sales"/>
    <n v="249.54999999999998"/>
    <n v="0"/>
    <s v="Daily Sales Import"/>
    <n v="-249.54999999999998"/>
    <n v="249.54999999999998"/>
    <x v="2"/>
    <s v="2220"/>
    <s v="000"/>
    <x v="10"/>
    <x v="2"/>
  </r>
  <r>
    <d v="2013-08-18T00:00:00"/>
    <s v="018-2230-000"/>
    <s v="Wine Sales"/>
    <n v="56.312199999999997"/>
    <n v="0"/>
    <s v="Daily Sales Import"/>
    <n v="-56.312199999999997"/>
    <n v="56.312199999999997"/>
    <x v="2"/>
    <s v="2230"/>
    <s v="000"/>
    <x v="10"/>
    <x v="2"/>
  </r>
  <r>
    <d v="2013-08-12T00:00:00"/>
    <s v="019-2100-000"/>
    <s v="Food Sales"/>
    <n v="2443.6496000000002"/>
    <n v="0"/>
    <s v="Daily Sales Import"/>
    <n v="-2443.6496000000002"/>
    <n v="2443.6496000000002"/>
    <x v="3"/>
    <s v="2100"/>
    <s v="000"/>
    <x v="10"/>
    <x v="2"/>
  </r>
  <r>
    <d v="2013-08-12T00:00:00"/>
    <s v="019-2210-000"/>
    <s v="Liquor Sales"/>
    <n v="613.98960000000011"/>
    <n v="0"/>
    <s v="Daily Sales Import"/>
    <n v="-613.98960000000011"/>
    <n v="613.98960000000011"/>
    <x v="3"/>
    <s v="2210"/>
    <s v="000"/>
    <x v="10"/>
    <x v="2"/>
  </r>
  <r>
    <d v="2013-08-12T00:00:00"/>
    <s v="019-2220-000"/>
    <s v="Beer Sales"/>
    <n v="161.76"/>
    <n v="0"/>
    <s v="Daily Sales Import"/>
    <n v="-161.76"/>
    <n v="161.76"/>
    <x v="3"/>
    <s v="2220"/>
    <s v="000"/>
    <x v="10"/>
    <x v="2"/>
  </r>
  <r>
    <d v="2013-08-12T00:00:00"/>
    <s v="019-2230-000"/>
    <s v="Wine Sales"/>
    <n v="11.9422"/>
    <n v="0"/>
    <s v="Daily Sales Import"/>
    <n v="-11.9422"/>
    <n v="11.9422"/>
    <x v="3"/>
    <s v="2230"/>
    <s v="000"/>
    <x v="10"/>
    <x v="2"/>
  </r>
  <r>
    <d v="2013-08-13T00:00:00"/>
    <s v="019-2100-000"/>
    <s v="Food Sales"/>
    <n v="3352.0803999999998"/>
    <n v="0"/>
    <s v="Daily Sales Import"/>
    <n v="-3352.0803999999998"/>
    <n v="3352.0803999999998"/>
    <x v="3"/>
    <s v="2100"/>
    <s v="000"/>
    <x v="10"/>
    <x v="2"/>
  </r>
  <r>
    <d v="2013-08-13T00:00:00"/>
    <s v="019-2210-000"/>
    <s v="Liquor Sales"/>
    <n v="925.76700000000017"/>
    <n v="0"/>
    <s v="Daily Sales Import"/>
    <n v="-925.76700000000017"/>
    <n v="925.76700000000017"/>
    <x v="3"/>
    <s v="2210"/>
    <s v="000"/>
    <x v="10"/>
    <x v="2"/>
  </r>
  <r>
    <d v="2013-08-13T00:00:00"/>
    <s v="019-2220-000"/>
    <s v="Beer Sales"/>
    <n v="241.21800000000002"/>
    <n v="0"/>
    <s v="Daily Sales Import"/>
    <n v="-241.21800000000002"/>
    <n v="241.21800000000002"/>
    <x v="3"/>
    <s v="2220"/>
    <s v="000"/>
    <x v="10"/>
    <x v="2"/>
  </r>
  <r>
    <d v="2013-08-13T00:00:00"/>
    <s v="019-2230-000"/>
    <s v="Wine Sales"/>
    <n v="71.999200000000002"/>
    <n v="0"/>
    <s v="Daily Sales Import"/>
    <n v="-71.999200000000002"/>
    <n v="71.999200000000002"/>
    <x v="3"/>
    <s v="2230"/>
    <s v="000"/>
    <x v="10"/>
    <x v="2"/>
  </r>
  <r>
    <d v="2013-08-14T00:00:00"/>
    <s v="019-2100-000"/>
    <s v="Food Sales"/>
    <n v="4200.7047000000002"/>
    <n v="0"/>
    <s v="Daily Sales Import"/>
    <n v="-4200.7047000000002"/>
    <n v="4200.7047000000002"/>
    <x v="3"/>
    <s v="2100"/>
    <s v="000"/>
    <x v="10"/>
    <x v="2"/>
  </r>
  <r>
    <d v="2013-08-14T00:00:00"/>
    <s v="019-2210-000"/>
    <s v="Liquor Sales"/>
    <n v="1065.6504"/>
    <n v="0"/>
    <s v="Daily Sales Import"/>
    <n v="-1065.6504"/>
    <n v="1065.6504"/>
    <x v="3"/>
    <s v="2210"/>
    <s v="000"/>
    <x v="10"/>
    <x v="2"/>
  </r>
  <r>
    <d v="2013-08-14T00:00:00"/>
    <s v="019-2220-000"/>
    <s v="Beer Sales"/>
    <n v="172.07680000000002"/>
    <n v="0"/>
    <s v="Daily Sales Import"/>
    <n v="-172.07680000000002"/>
    <n v="172.07680000000002"/>
    <x v="3"/>
    <s v="2220"/>
    <s v="000"/>
    <x v="10"/>
    <x v="2"/>
  </r>
  <r>
    <d v="2013-08-14T00:00:00"/>
    <s v="019-2230-000"/>
    <s v="Wine Sales"/>
    <n v="29.2744"/>
    <n v="0"/>
    <s v="Daily Sales Import"/>
    <n v="-29.2744"/>
    <n v="29.2744"/>
    <x v="3"/>
    <s v="2230"/>
    <s v="000"/>
    <x v="10"/>
    <x v="2"/>
  </r>
  <r>
    <d v="2013-08-15T00:00:00"/>
    <s v="019-2100-000"/>
    <s v="Food Sales"/>
    <n v="3859.9659000000006"/>
    <n v="0"/>
    <s v="Daily Sales Import"/>
    <n v="-3859.9659000000006"/>
    <n v="3859.9659000000006"/>
    <x v="3"/>
    <s v="2100"/>
    <s v="000"/>
    <x v="10"/>
    <x v="2"/>
  </r>
  <r>
    <d v="2013-08-15T00:00:00"/>
    <s v="019-2210-000"/>
    <s v="Liquor Sales"/>
    <n v="1159.876"/>
    <n v="0"/>
    <s v="Daily Sales Import"/>
    <n v="-1159.876"/>
    <n v="1159.876"/>
    <x v="3"/>
    <s v="2210"/>
    <s v="000"/>
    <x v="10"/>
    <x v="2"/>
  </r>
  <r>
    <d v="2013-08-15T00:00:00"/>
    <s v="019-2220-000"/>
    <s v="Beer Sales"/>
    <n v="244.45499999999998"/>
    <n v="0"/>
    <s v="Daily Sales Import"/>
    <n v="-244.45499999999998"/>
    <n v="244.45499999999998"/>
    <x v="3"/>
    <s v="2220"/>
    <s v="000"/>
    <x v="10"/>
    <x v="2"/>
  </r>
  <r>
    <d v="2013-08-15T00:00:00"/>
    <s v="019-2230-000"/>
    <s v="Wine Sales"/>
    <n v="51.348199999999999"/>
    <n v="0"/>
    <s v="Daily Sales Import"/>
    <n v="-51.348199999999999"/>
    <n v="51.348199999999999"/>
    <x v="3"/>
    <s v="2230"/>
    <s v="000"/>
    <x v="10"/>
    <x v="2"/>
  </r>
  <r>
    <d v="2013-08-16T00:00:00"/>
    <s v="019-2100-000"/>
    <s v="Food Sales"/>
    <n v="5930.2650000000003"/>
    <n v="0"/>
    <s v="Daily Sales Import"/>
    <n v="-5930.2650000000003"/>
    <n v="5930.2650000000003"/>
    <x v="3"/>
    <s v="2100"/>
    <s v="000"/>
    <x v="10"/>
    <x v="2"/>
  </r>
  <r>
    <d v="2013-08-16T00:00:00"/>
    <s v="019-2210-000"/>
    <s v="Liquor Sales"/>
    <n v="3104.3007000000002"/>
    <n v="0"/>
    <s v="Daily Sales Import"/>
    <n v="-3104.3007000000002"/>
    <n v="3104.3007000000002"/>
    <x v="3"/>
    <s v="2210"/>
    <s v="000"/>
    <x v="10"/>
    <x v="2"/>
  </r>
  <r>
    <d v="2013-08-16T00:00:00"/>
    <s v="019-2220-000"/>
    <s v="Beer Sales"/>
    <n v="380.50740000000002"/>
    <n v="0"/>
    <s v="Daily Sales Import"/>
    <n v="-380.50740000000002"/>
    <n v="380.50740000000002"/>
    <x v="3"/>
    <s v="2220"/>
    <s v="000"/>
    <x v="10"/>
    <x v="2"/>
  </r>
  <r>
    <d v="2013-08-16T00:00:00"/>
    <s v="019-2230-000"/>
    <s v="Wine Sales"/>
    <n v="73.708799999999997"/>
    <n v="0"/>
    <s v="Daily Sales Import"/>
    <n v="-73.708799999999997"/>
    <n v="73.708799999999997"/>
    <x v="3"/>
    <s v="2230"/>
    <s v="000"/>
    <x v="10"/>
    <x v="2"/>
  </r>
  <r>
    <d v="2013-08-17T00:00:00"/>
    <s v="019-2100-000"/>
    <s v="Food Sales"/>
    <n v="7382.2241999999997"/>
    <n v="0"/>
    <s v="Daily Sales Import"/>
    <n v="-7382.2241999999997"/>
    <n v="7382.2241999999997"/>
    <x v="3"/>
    <s v="2100"/>
    <s v="000"/>
    <x v="10"/>
    <x v="2"/>
  </r>
  <r>
    <d v="2013-08-17T00:00:00"/>
    <s v="019-2210-000"/>
    <s v="Liquor Sales"/>
    <n v="3066.7647999999999"/>
    <n v="0"/>
    <s v="Daily Sales Import"/>
    <n v="-3066.7647999999999"/>
    <n v="3066.7647999999999"/>
    <x v="3"/>
    <s v="2210"/>
    <s v="000"/>
    <x v="10"/>
    <x v="2"/>
  </r>
  <r>
    <d v="2013-08-17T00:00:00"/>
    <s v="019-2220-000"/>
    <s v="Beer Sales"/>
    <n v="587.18340000000001"/>
    <n v="0"/>
    <s v="Daily Sales Import"/>
    <n v="-587.18340000000001"/>
    <n v="587.18340000000001"/>
    <x v="3"/>
    <s v="2220"/>
    <s v="000"/>
    <x v="10"/>
    <x v="2"/>
  </r>
  <r>
    <d v="2013-08-17T00:00:00"/>
    <s v="019-2230-000"/>
    <s v="Wine Sales"/>
    <n v="105.5564"/>
    <n v="0"/>
    <s v="Daily Sales Import"/>
    <n v="-105.5564"/>
    <n v="105.5564"/>
    <x v="3"/>
    <s v="2230"/>
    <s v="000"/>
    <x v="10"/>
    <x v="2"/>
  </r>
  <r>
    <d v="2013-08-18T00:00:00"/>
    <s v="019-2100-000"/>
    <s v="Food Sales"/>
    <n v="2883.3713999999995"/>
    <n v="0"/>
    <s v="Daily Sales Import"/>
    <n v="-2883.3713999999995"/>
    <n v="2883.3713999999995"/>
    <x v="3"/>
    <s v="2100"/>
    <s v="000"/>
    <x v="10"/>
    <x v="2"/>
  </r>
  <r>
    <d v="2013-08-18T00:00:00"/>
    <s v="019-2210-000"/>
    <s v="Liquor Sales"/>
    <n v="983.90980000000002"/>
    <n v="0"/>
    <s v="Daily Sales Import"/>
    <n v="-983.90980000000002"/>
    <n v="983.90980000000002"/>
    <x v="3"/>
    <s v="2210"/>
    <s v="000"/>
    <x v="10"/>
    <x v="2"/>
  </r>
  <r>
    <d v="2013-08-18T00:00:00"/>
    <s v="019-2220-000"/>
    <s v="Beer Sales"/>
    <n v="238.53659999999999"/>
    <n v="0"/>
    <s v="Daily Sales Import"/>
    <n v="-238.53659999999999"/>
    <n v="238.53659999999999"/>
    <x v="3"/>
    <s v="2220"/>
    <s v="000"/>
    <x v="10"/>
    <x v="2"/>
  </r>
  <r>
    <d v="2013-08-18T00:00:00"/>
    <s v="019-2230-000"/>
    <s v="Wine Sales"/>
    <n v="207.39930000000001"/>
    <n v="0"/>
    <s v="Daily Sales Import"/>
    <n v="-207.39930000000001"/>
    <n v="207.39930000000001"/>
    <x v="3"/>
    <s v="2230"/>
    <s v="000"/>
    <x v="10"/>
    <x v="2"/>
  </r>
  <r>
    <d v="2013-08-19T00:00:00"/>
    <s v="016-2100-000"/>
    <s v="Food Sales"/>
    <n v="1639.3328000000001"/>
    <n v="0"/>
    <s v="Daily Sales Import"/>
    <n v="-1639.3328000000001"/>
    <n v="1639.3328000000001"/>
    <x v="0"/>
    <s v="2100"/>
    <s v="000"/>
    <x v="10"/>
    <x v="2"/>
  </r>
  <r>
    <d v="2013-08-19T00:00:00"/>
    <s v="016-2210-000"/>
    <s v="Liquor Sales"/>
    <n v="476.00079999999997"/>
    <n v="0"/>
    <s v="Daily Sales Import"/>
    <n v="-476.00079999999997"/>
    <n v="476.00079999999997"/>
    <x v="0"/>
    <s v="2210"/>
    <s v="000"/>
    <x v="10"/>
    <x v="2"/>
  </r>
  <r>
    <d v="2013-08-19T00:00:00"/>
    <s v="016-2220-000"/>
    <s v="Beer Sales"/>
    <n v="74.46759999999999"/>
    <n v="0"/>
    <s v="Daily Sales Import"/>
    <n v="-74.46759999999999"/>
    <n v="74.46759999999999"/>
    <x v="0"/>
    <s v="2220"/>
    <s v="000"/>
    <x v="10"/>
    <x v="2"/>
  </r>
  <r>
    <d v="2013-08-19T00:00:00"/>
    <s v="016-2230-000"/>
    <s v="Wine Sales"/>
    <n v="38.029500000000006"/>
    <n v="0"/>
    <s v="Daily Sales Import"/>
    <n v="-38.029500000000006"/>
    <n v="38.029500000000006"/>
    <x v="0"/>
    <s v="2230"/>
    <s v="000"/>
    <x v="10"/>
    <x v="2"/>
  </r>
  <r>
    <d v="2013-08-20T00:00:00"/>
    <s v="016-2100-000"/>
    <s v="Food Sales"/>
    <n v="8463.3912"/>
    <n v="0"/>
    <s v="Daily Sales Import"/>
    <n v="-8463.3912"/>
    <n v="8463.3912"/>
    <x v="0"/>
    <s v="2100"/>
    <s v="000"/>
    <x v="10"/>
    <x v="2"/>
  </r>
  <r>
    <d v="2013-08-20T00:00:00"/>
    <s v="016-2210-000"/>
    <s v="Liquor Sales"/>
    <n v="3086.9785999999999"/>
    <n v="0"/>
    <s v="Daily Sales Import"/>
    <n v="-3086.9785999999999"/>
    <n v="3086.9785999999999"/>
    <x v="0"/>
    <s v="2210"/>
    <s v="000"/>
    <x v="10"/>
    <x v="2"/>
  </r>
  <r>
    <d v="2013-08-20T00:00:00"/>
    <s v="016-2220-000"/>
    <s v="Beer Sales"/>
    <n v="882.32910000000004"/>
    <n v="0"/>
    <s v="Daily Sales Import"/>
    <n v="-882.32910000000004"/>
    <n v="882.32910000000004"/>
    <x v="0"/>
    <s v="2220"/>
    <s v="000"/>
    <x v="10"/>
    <x v="2"/>
  </r>
  <r>
    <d v="2013-08-20T00:00:00"/>
    <s v="016-2230-000"/>
    <s v="Wine Sales"/>
    <n v="84.155600000000007"/>
    <n v="0"/>
    <s v="Daily Sales Import"/>
    <n v="-84.155600000000007"/>
    <n v="84.155600000000007"/>
    <x v="0"/>
    <s v="2230"/>
    <s v="000"/>
    <x v="10"/>
    <x v="2"/>
  </r>
  <r>
    <d v="2013-08-21T00:00:00"/>
    <s v="016-2100-000"/>
    <s v="Food Sales"/>
    <n v="1880.1419999999998"/>
    <n v="0"/>
    <s v="Daily Sales Import"/>
    <n v="-1880.1419999999998"/>
    <n v="1880.1419999999998"/>
    <x v="0"/>
    <s v="2100"/>
    <s v="000"/>
    <x v="10"/>
    <x v="2"/>
  </r>
  <r>
    <d v="2013-08-21T00:00:00"/>
    <s v="016-2210-000"/>
    <s v="Liquor Sales"/>
    <n v="688.66590000000008"/>
    <n v="0"/>
    <s v="Daily Sales Import"/>
    <n v="-688.66590000000008"/>
    <n v="688.66590000000008"/>
    <x v="0"/>
    <s v="2210"/>
    <s v="000"/>
    <x v="10"/>
    <x v="2"/>
  </r>
  <r>
    <d v="2013-08-21T00:00:00"/>
    <s v="016-2220-000"/>
    <s v="Beer Sales"/>
    <n v="128.8022"/>
    <n v="0"/>
    <s v="Daily Sales Import"/>
    <n v="-128.8022"/>
    <n v="128.8022"/>
    <x v="0"/>
    <s v="2220"/>
    <s v="000"/>
    <x v="10"/>
    <x v="2"/>
  </r>
  <r>
    <d v="2013-08-21T00:00:00"/>
    <s v="016-2230-000"/>
    <s v="Wine Sales"/>
    <n v="36.524499999999996"/>
    <n v="0"/>
    <s v="Daily Sales Import"/>
    <n v="-36.524499999999996"/>
    <n v="36.524499999999996"/>
    <x v="0"/>
    <s v="2230"/>
    <s v="000"/>
    <x v="10"/>
    <x v="2"/>
  </r>
  <r>
    <d v="2013-08-22T00:00:00"/>
    <s v="016-2100-000"/>
    <s v="Food Sales"/>
    <n v="2781.4944"/>
    <n v="0"/>
    <s v="Daily Sales Import"/>
    <n v="-2781.4944"/>
    <n v="2781.4944"/>
    <x v="0"/>
    <s v="2100"/>
    <s v="000"/>
    <x v="10"/>
    <x v="2"/>
  </r>
  <r>
    <d v="2013-08-22T00:00:00"/>
    <s v="016-2210-000"/>
    <s v="Liquor Sales"/>
    <n v="830.61720000000003"/>
    <n v="0"/>
    <s v="Daily Sales Import"/>
    <n v="-830.61720000000003"/>
    <n v="830.61720000000003"/>
    <x v="0"/>
    <s v="2210"/>
    <s v="000"/>
    <x v="10"/>
    <x v="2"/>
  </r>
  <r>
    <d v="2013-08-22T00:00:00"/>
    <s v="016-2220-000"/>
    <s v="Beer Sales"/>
    <n v="123.37050000000001"/>
    <n v="0"/>
    <s v="Daily Sales Import"/>
    <n v="-123.37050000000001"/>
    <n v="123.37050000000001"/>
    <x v="0"/>
    <s v="2220"/>
    <s v="000"/>
    <x v="10"/>
    <x v="2"/>
  </r>
  <r>
    <d v="2013-08-22T00:00:00"/>
    <s v="016-2230-000"/>
    <s v="Wine Sales"/>
    <n v="19.5"/>
    <n v="0"/>
    <s v="Daily Sales Import"/>
    <n v="-19.5"/>
    <n v="19.5"/>
    <x v="0"/>
    <s v="2230"/>
    <s v="000"/>
    <x v="10"/>
    <x v="2"/>
  </r>
  <r>
    <d v="2013-08-23T00:00:00"/>
    <s v="016-2100-000"/>
    <s v="Food Sales"/>
    <n v="7833.2133000000003"/>
    <n v="0"/>
    <s v="Daily Sales Import"/>
    <n v="-7833.2133000000003"/>
    <n v="7833.2133000000003"/>
    <x v="0"/>
    <s v="2100"/>
    <s v="000"/>
    <x v="10"/>
    <x v="2"/>
  </r>
  <r>
    <d v="2013-08-23T00:00:00"/>
    <s v="016-2210-000"/>
    <s v="Liquor Sales"/>
    <n v="1590.0192000000002"/>
    <n v="0"/>
    <s v="Daily Sales Import"/>
    <n v="-1590.0192000000002"/>
    <n v="1590.0192000000002"/>
    <x v="0"/>
    <s v="2210"/>
    <s v="000"/>
    <x v="10"/>
    <x v="2"/>
  </r>
  <r>
    <d v="2013-08-23T00:00:00"/>
    <s v="016-2220-000"/>
    <s v="Beer Sales"/>
    <n v="591.96399999999994"/>
    <n v="0"/>
    <s v="Daily Sales Import"/>
    <n v="-591.96399999999994"/>
    <n v="591.96399999999994"/>
    <x v="0"/>
    <s v="2220"/>
    <s v="000"/>
    <x v="10"/>
    <x v="2"/>
  </r>
  <r>
    <d v="2013-08-23T00:00:00"/>
    <s v="016-2230-000"/>
    <s v="Wine Sales"/>
    <n v="160.00300000000001"/>
    <n v="0"/>
    <s v="Daily Sales Import"/>
    <n v="-160.00300000000001"/>
    <n v="160.00300000000001"/>
    <x v="0"/>
    <s v="2230"/>
    <s v="000"/>
    <x v="10"/>
    <x v="2"/>
  </r>
  <r>
    <d v="2013-08-24T00:00:00"/>
    <s v="016-2100-000"/>
    <s v="Food Sales"/>
    <n v="7974.9434000000001"/>
    <n v="0"/>
    <s v="Daily Sales Import"/>
    <n v="-7974.9434000000001"/>
    <n v="7974.9434000000001"/>
    <x v="0"/>
    <s v="2100"/>
    <s v="000"/>
    <x v="10"/>
    <x v="2"/>
  </r>
  <r>
    <d v="2013-08-24T00:00:00"/>
    <s v="016-2210-000"/>
    <s v="Liquor Sales"/>
    <n v="2225.0927999999999"/>
    <n v="0"/>
    <s v="Daily Sales Import"/>
    <n v="-2225.0927999999999"/>
    <n v="2225.0927999999999"/>
    <x v="0"/>
    <s v="2210"/>
    <s v="000"/>
    <x v="10"/>
    <x v="2"/>
  </r>
  <r>
    <d v="2013-08-24T00:00:00"/>
    <s v="016-2220-000"/>
    <s v="Beer Sales"/>
    <n v="322.09200000000004"/>
    <n v="0"/>
    <s v="Daily Sales Import"/>
    <n v="-322.09200000000004"/>
    <n v="322.09200000000004"/>
    <x v="0"/>
    <s v="2220"/>
    <s v="000"/>
    <x v="10"/>
    <x v="2"/>
  </r>
  <r>
    <d v="2013-08-24T00:00:00"/>
    <s v="016-2230-000"/>
    <s v="Wine Sales"/>
    <n v="140.96039999999999"/>
    <n v="0"/>
    <s v="Daily Sales Import"/>
    <n v="-140.96039999999999"/>
    <n v="140.96039999999999"/>
    <x v="0"/>
    <s v="2230"/>
    <s v="000"/>
    <x v="10"/>
    <x v="2"/>
  </r>
  <r>
    <d v="2013-08-25T00:00:00"/>
    <s v="016-2100-000"/>
    <s v="Food Sales"/>
    <n v="3908.1779999999999"/>
    <n v="0"/>
    <s v="Daily Sales Import"/>
    <n v="-3908.1779999999999"/>
    <n v="3908.1779999999999"/>
    <x v="0"/>
    <s v="2100"/>
    <s v="000"/>
    <x v="10"/>
    <x v="2"/>
  </r>
  <r>
    <d v="2013-08-25T00:00:00"/>
    <s v="016-2210-000"/>
    <s v="Liquor Sales"/>
    <n v="1225.1455999999998"/>
    <n v="0"/>
    <s v="Daily Sales Import"/>
    <n v="-1225.1455999999998"/>
    <n v="1225.1455999999998"/>
    <x v="0"/>
    <s v="2210"/>
    <s v="000"/>
    <x v="10"/>
    <x v="2"/>
  </r>
  <r>
    <d v="2013-08-25T00:00:00"/>
    <s v="016-2220-000"/>
    <s v="Beer Sales"/>
    <n v="255.16320000000002"/>
    <n v="0"/>
    <s v="Daily Sales Import"/>
    <n v="-255.16320000000002"/>
    <n v="255.16320000000002"/>
    <x v="0"/>
    <s v="2220"/>
    <s v="000"/>
    <x v="10"/>
    <x v="2"/>
  </r>
  <r>
    <d v="2013-08-25T00:00:00"/>
    <s v="016-2230-000"/>
    <s v="Wine Sales"/>
    <n v="42.2136"/>
    <n v="0"/>
    <s v="Daily Sales Import"/>
    <n v="-42.2136"/>
    <n v="42.2136"/>
    <x v="0"/>
    <s v="2230"/>
    <s v="000"/>
    <x v="10"/>
    <x v="2"/>
  </r>
  <r>
    <d v="2013-08-19T00:00:00"/>
    <s v="017-2100-000"/>
    <s v="Food Sales"/>
    <n v="5523.8034999999991"/>
    <n v="0"/>
    <s v="Daily Sales Import"/>
    <n v="-5523.8034999999991"/>
    <n v="5523.8034999999991"/>
    <x v="1"/>
    <s v="2100"/>
    <s v="000"/>
    <x v="10"/>
    <x v="2"/>
  </r>
  <r>
    <d v="2013-08-19T00:00:00"/>
    <s v="017-2210-000"/>
    <s v="Liquor Sales"/>
    <n v="1035.414"/>
    <n v="0"/>
    <s v="Daily Sales Import"/>
    <n v="-1035.414"/>
    <n v="1035.414"/>
    <x v="1"/>
    <s v="2210"/>
    <s v="000"/>
    <x v="10"/>
    <x v="2"/>
  </r>
  <r>
    <d v="2013-08-19T00:00:00"/>
    <s v="017-2220-000"/>
    <s v="Beer Sales"/>
    <n v="210.86450000000002"/>
    <n v="0"/>
    <s v="Daily Sales Import"/>
    <n v="-210.86450000000002"/>
    <n v="210.86450000000002"/>
    <x v="1"/>
    <s v="2220"/>
    <s v="000"/>
    <x v="10"/>
    <x v="2"/>
  </r>
  <r>
    <d v="2013-08-19T00:00:00"/>
    <s v="017-2230-000"/>
    <s v="Wine Sales"/>
    <n v="83.353600000000014"/>
    <n v="0"/>
    <s v="Daily Sales Import"/>
    <n v="-83.353600000000014"/>
    <n v="83.353600000000014"/>
    <x v="1"/>
    <s v="2230"/>
    <s v="000"/>
    <x v="10"/>
    <x v="2"/>
  </r>
  <r>
    <d v="2013-08-20T00:00:00"/>
    <s v="017-2100-000"/>
    <s v="Food Sales"/>
    <n v="6793.1948999999986"/>
    <n v="0"/>
    <s v="Daily Sales Import"/>
    <n v="-6793.1948999999986"/>
    <n v="6793.1948999999986"/>
    <x v="1"/>
    <s v="2100"/>
    <s v="000"/>
    <x v="10"/>
    <x v="2"/>
  </r>
  <r>
    <d v="2013-08-20T00:00:00"/>
    <s v="017-2210-000"/>
    <s v="Liquor Sales"/>
    <n v="2076.5877"/>
    <n v="0"/>
    <s v="Daily Sales Import"/>
    <n v="-2076.5877"/>
    <n v="2076.5877"/>
    <x v="1"/>
    <s v="2210"/>
    <s v="000"/>
    <x v="10"/>
    <x v="2"/>
  </r>
  <r>
    <d v="2013-08-20T00:00:00"/>
    <s v="017-2220-000"/>
    <s v="Beer Sales"/>
    <n v="409.11540000000002"/>
    <n v="0"/>
    <s v="Daily Sales Import"/>
    <n v="-409.11540000000002"/>
    <n v="409.11540000000002"/>
    <x v="1"/>
    <s v="2220"/>
    <s v="000"/>
    <x v="10"/>
    <x v="2"/>
  </r>
  <r>
    <d v="2013-08-20T00:00:00"/>
    <s v="017-2230-000"/>
    <s v="Wine Sales"/>
    <n v="97.227000000000004"/>
    <n v="0"/>
    <s v="Daily Sales Import"/>
    <n v="-97.227000000000004"/>
    <n v="97.227000000000004"/>
    <x v="1"/>
    <s v="2230"/>
    <s v="000"/>
    <x v="10"/>
    <x v="2"/>
  </r>
  <r>
    <d v="2013-08-21T00:00:00"/>
    <s v="017-2100-000"/>
    <s v="Food Sales"/>
    <n v="7703.2999999999993"/>
    <n v="0"/>
    <s v="Daily Sales Import"/>
    <n v="-7703.2999999999993"/>
    <n v="7703.2999999999993"/>
    <x v="1"/>
    <s v="2100"/>
    <s v="000"/>
    <x v="10"/>
    <x v="2"/>
  </r>
  <r>
    <d v="2013-08-21T00:00:00"/>
    <s v="017-2210-000"/>
    <s v="Liquor Sales"/>
    <n v="1997.3274999999996"/>
    <n v="0"/>
    <s v="Daily Sales Import"/>
    <n v="-1997.3274999999996"/>
    <n v="1997.3274999999996"/>
    <x v="1"/>
    <s v="2210"/>
    <s v="000"/>
    <x v="10"/>
    <x v="2"/>
  </r>
  <r>
    <d v="2013-08-21T00:00:00"/>
    <s v="017-2220-000"/>
    <s v="Beer Sales"/>
    <n v="500.43399999999997"/>
    <n v="0"/>
    <s v="Daily Sales Import"/>
    <n v="-500.43399999999997"/>
    <n v="500.43399999999997"/>
    <x v="1"/>
    <s v="2220"/>
    <s v="000"/>
    <x v="10"/>
    <x v="2"/>
  </r>
  <r>
    <d v="2013-08-21T00:00:00"/>
    <s v="017-2230-000"/>
    <s v="Wine Sales"/>
    <n v="139.72800000000001"/>
    <n v="0"/>
    <s v="Daily Sales Import"/>
    <n v="-139.72800000000001"/>
    <n v="139.72800000000001"/>
    <x v="1"/>
    <s v="2230"/>
    <s v="000"/>
    <x v="10"/>
    <x v="2"/>
  </r>
  <r>
    <d v="2013-08-22T00:00:00"/>
    <s v="017-2100-000"/>
    <s v="Food Sales"/>
    <n v="5935.29"/>
    <n v="0"/>
    <s v="Daily Sales Import"/>
    <n v="-5935.29"/>
    <n v="5935.29"/>
    <x v="1"/>
    <s v="2100"/>
    <s v="000"/>
    <x v="10"/>
    <x v="2"/>
  </r>
  <r>
    <d v="2013-08-22T00:00:00"/>
    <s v="017-2210-000"/>
    <s v="Liquor Sales"/>
    <n v="1876.5230000000001"/>
    <n v="0"/>
    <s v="Daily Sales Import"/>
    <n v="-1876.5230000000001"/>
    <n v="1876.5230000000001"/>
    <x v="1"/>
    <s v="2210"/>
    <s v="000"/>
    <x v="10"/>
    <x v="2"/>
  </r>
  <r>
    <d v="2013-08-22T00:00:00"/>
    <s v="017-2220-000"/>
    <s v="Beer Sales"/>
    <n v="765.48639999999989"/>
    <n v="0"/>
    <s v="Daily Sales Import"/>
    <n v="-765.48639999999989"/>
    <n v="765.48639999999989"/>
    <x v="1"/>
    <s v="2220"/>
    <s v="000"/>
    <x v="10"/>
    <x v="2"/>
  </r>
  <r>
    <d v="2013-08-22T00:00:00"/>
    <s v="017-2230-000"/>
    <s v="Wine Sales"/>
    <n v="157.38239999999999"/>
    <n v="0"/>
    <s v="Daily Sales Import"/>
    <n v="-157.38239999999999"/>
    <n v="157.38239999999999"/>
    <x v="1"/>
    <s v="2230"/>
    <s v="000"/>
    <x v="10"/>
    <x v="2"/>
  </r>
  <r>
    <d v="2013-08-23T00:00:00"/>
    <s v="017-2100-000"/>
    <s v="Food Sales"/>
    <n v="6950.2132000000001"/>
    <n v="0"/>
    <s v="Daily Sales Import"/>
    <n v="-6950.2132000000001"/>
    <n v="6950.2132000000001"/>
    <x v="1"/>
    <s v="2100"/>
    <s v="000"/>
    <x v="10"/>
    <x v="2"/>
  </r>
  <r>
    <d v="2013-08-23T00:00:00"/>
    <s v="017-2210-000"/>
    <s v="Liquor Sales"/>
    <n v="2163.0422000000003"/>
    <n v="0"/>
    <s v="Daily Sales Import"/>
    <n v="-2163.0422000000003"/>
    <n v="2163.0422000000003"/>
    <x v="1"/>
    <s v="2210"/>
    <s v="000"/>
    <x v="10"/>
    <x v="2"/>
  </r>
  <r>
    <d v="2013-08-23T00:00:00"/>
    <s v="017-2220-000"/>
    <s v="Beer Sales"/>
    <n v="329.43900000000002"/>
    <n v="0"/>
    <s v="Daily Sales Import"/>
    <n v="-329.43900000000002"/>
    <n v="329.43900000000002"/>
    <x v="1"/>
    <s v="2220"/>
    <s v="000"/>
    <x v="10"/>
    <x v="2"/>
  </r>
  <r>
    <d v="2013-08-23T00:00:00"/>
    <s v="017-2230-000"/>
    <s v="Wine Sales"/>
    <n v="108.47019999999999"/>
    <n v="0"/>
    <s v="Daily Sales Import"/>
    <n v="-108.47019999999999"/>
    <n v="108.47019999999999"/>
    <x v="1"/>
    <s v="2230"/>
    <s v="000"/>
    <x v="10"/>
    <x v="2"/>
  </r>
  <r>
    <d v="2013-08-24T00:00:00"/>
    <s v="017-2100-000"/>
    <s v="Food Sales"/>
    <n v="5889.9840000000004"/>
    <n v="0"/>
    <s v="Daily Sales Import"/>
    <n v="-5889.9840000000004"/>
    <n v="5889.9840000000004"/>
    <x v="1"/>
    <s v="2100"/>
    <s v="000"/>
    <x v="10"/>
    <x v="2"/>
  </r>
  <r>
    <d v="2013-08-24T00:00:00"/>
    <s v="017-2210-000"/>
    <s v="Liquor Sales"/>
    <n v="1622.0144"/>
    <n v="0"/>
    <s v="Daily Sales Import"/>
    <n v="-1622.0144"/>
    <n v="1622.0144"/>
    <x v="1"/>
    <s v="2210"/>
    <s v="000"/>
    <x v="10"/>
    <x v="2"/>
  </r>
  <r>
    <d v="2013-08-24T00:00:00"/>
    <s v="017-2220-000"/>
    <s v="Beer Sales"/>
    <n v="526.75540000000001"/>
    <n v="0"/>
    <s v="Daily Sales Import"/>
    <n v="-526.75540000000001"/>
    <n v="526.75540000000001"/>
    <x v="1"/>
    <s v="2220"/>
    <s v="000"/>
    <x v="10"/>
    <x v="2"/>
  </r>
  <r>
    <d v="2013-08-24T00:00:00"/>
    <s v="017-2230-000"/>
    <s v="Wine Sales"/>
    <n v="43.5105"/>
    <n v="0"/>
    <s v="Daily Sales Import"/>
    <n v="-43.5105"/>
    <n v="43.5105"/>
    <x v="1"/>
    <s v="2230"/>
    <s v="000"/>
    <x v="10"/>
    <x v="2"/>
  </r>
  <r>
    <d v="2013-08-25T00:00:00"/>
    <s v="017-2100-000"/>
    <s v="Food Sales"/>
    <n v="5420.7532000000001"/>
    <n v="0"/>
    <s v="Daily Sales Import"/>
    <n v="-5420.7532000000001"/>
    <n v="5420.7532000000001"/>
    <x v="1"/>
    <s v="2100"/>
    <s v="000"/>
    <x v="10"/>
    <x v="2"/>
  </r>
  <r>
    <d v="2013-08-25T00:00:00"/>
    <s v="017-2210-000"/>
    <s v="Liquor Sales"/>
    <n v="1654.2857999999999"/>
    <n v="0"/>
    <s v="Daily Sales Import"/>
    <n v="-1654.2857999999999"/>
    <n v="1654.2857999999999"/>
    <x v="1"/>
    <s v="2210"/>
    <s v="000"/>
    <x v="10"/>
    <x v="2"/>
  </r>
  <r>
    <d v="2013-08-25T00:00:00"/>
    <s v="017-2220-000"/>
    <s v="Beer Sales"/>
    <n v="238.2432"/>
    <n v="0"/>
    <s v="Daily Sales Import"/>
    <n v="-238.2432"/>
    <n v="238.2432"/>
    <x v="1"/>
    <s v="2220"/>
    <s v="000"/>
    <x v="10"/>
    <x v="2"/>
  </r>
  <r>
    <d v="2013-08-25T00:00:00"/>
    <s v="017-2230-000"/>
    <s v="Wine Sales"/>
    <n v="72.605400000000003"/>
    <n v="0"/>
    <s v="Daily Sales Import"/>
    <n v="-72.605400000000003"/>
    <n v="72.605400000000003"/>
    <x v="1"/>
    <s v="2230"/>
    <s v="000"/>
    <x v="10"/>
    <x v="2"/>
  </r>
  <r>
    <d v="2013-08-19T00:00:00"/>
    <s v="018-2100-000"/>
    <s v="Food Sales"/>
    <n v="3358.72"/>
    <n v="0"/>
    <s v="Daily Sales Import"/>
    <n v="-3358.72"/>
    <n v="3358.72"/>
    <x v="2"/>
    <s v="2100"/>
    <s v="000"/>
    <x v="10"/>
    <x v="2"/>
  </r>
  <r>
    <d v="2013-08-19T00:00:00"/>
    <s v="018-2210-000"/>
    <s v="Liquor Sales"/>
    <n v="413.96840000000003"/>
    <n v="0"/>
    <s v="Daily Sales Import"/>
    <n v="-413.96840000000003"/>
    <n v="413.96840000000003"/>
    <x v="2"/>
    <s v="2210"/>
    <s v="000"/>
    <x v="10"/>
    <x v="2"/>
  </r>
  <r>
    <d v="2013-08-19T00:00:00"/>
    <s v="018-2220-000"/>
    <s v="Beer Sales"/>
    <n v="110.73859999999999"/>
    <n v="0"/>
    <s v="Daily Sales Import"/>
    <n v="-110.73859999999999"/>
    <n v="110.73859999999999"/>
    <x v="2"/>
    <s v="2220"/>
    <s v="000"/>
    <x v="10"/>
    <x v="2"/>
  </r>
  <r>
    <d v="2013-08-19T00:00:00"/>
    <s v="018-2230-000"/>
    <s v="Wine Sales"/>
    <n v="6.4719000000000007"/>
    <n v="0"/>
    <s v="Daily Sales Import"/>
    <n v="-6.4719000000000007"/>
    <n v="6.4719000000000007"/>
    <x v="2"/>
    <s v="2230"/>
    <s v="000"/>
    <x v="10"/>
    <x v="2"/>
  </r>
  <r>
    <d v="2013-08-20T00:00:00"/>
    <s v="018-2100-000"/>
    <s v="Food Sales"/>
    <n v="3844.8424000000005"/>
    <n v="0"/>
    <s v="Daily Sales Import"/>
    <n v="-3844.8424000000005"/>
    <n v="3844.8424000000005"/>
    <x v="2"/>
    <s v="2100"/>
    <s v="000"/>
    <x v="10"/>
    <x v="2"/>
  </r>
  <r>
    <d v="2013-08-20T00:00:00"/>
    <s v="018-2210-000"/>
    <s v="Liquor Sales"/>
    <n v="795.69010000000003"/>
    <n v="0"/>
    <s v="Daily Sales Import"/>
    <n v="-795.69010000000003"/>
    <n v="795.69010000000003"/>
    <x v="2"/>
    <s v="2210"/>
    <s v="000"/>
    <x v="10"/>
    <x v="2"/>
  </r>
  <r>
    <d v="2013-08-20T00:00:00"/>
    <s v="018-2220-000"/>
    <s v="Beer Sales"/>
    <n v="231.29820000000001"/>
    <n v="0"/>
    <s v="Daily Sales Import"/>
    <n v="-231.29820000000001"/>
    <n v="231.29820000000001"/>
    <x v="2"/>
    <s v="2220"/>
    <s v="000"/>
    <x v="10"/>
    <x v="2"/>
  </r>
  <r>
    <d v="2013-08-20T00:00:00"/>
    <s v="018-2230-000"/>
    <s v="Wine Sales"/>
    <n v="28.768000000000001"/>
    <n v="0"/>
    <s v="Daily Sales Import"/>
    <n v="-28.768000000000001"/>
    <n v="28.768000000000001"/>
    <x v="2"/>
    <s v="2230"/>
    <s v="000"/>
    <x v="10"/>
    <x v="2"/>
  </r>
  <r>
    <d v="2013-08-21T00:00:00"/>
    <s v="018-2100-000"/>
    <s v="Food Sales"/>
    <n v="4523.6352000000006"/>
    <n v="0"/>
    <s v="Daily Sales Import"/>
    <n v="-4523.6352000000006"/>
    <n v="4523.6352000000006"/>
    <x v="2"/>
    <s v="2100"/>
    <s v="000"/>
    <x v="10"/>
    <x v="2"/>
  </r>
  <r>
    <d v="2013-08-21T00:00:00"/>
    <s v="018-2210-000"/>
    <s v="Liquor Sales"/>
    <n v="959.7059999999999"/>
    <n v="0"/>
    <s v="Daily Sales Import"/>
    <n v="-959.7059999999999"/>
    <n v="959.7059999999999"/>
    <x v="2"/>
    <s v="2210"/>
    <s v="000"/>
    <x v="10"/>
    <x v="2"/>
  </r>
  <r>
    <d v="2013-08-21T00:00:00"/>
    <s v="018-2220-000"/>
    <s v="Beer Sales"/>
    <n v="271.86689999999999"/>
    <n v="0"/>
    <s v="Daily Sales Import"/>
    <n v="-271.86689999999999"/>
    <n v="271.86689999999999"/>
    <x v="2"/>
    <s v="2220"/>
    <s v="000"/>
    <x v="10"/>
    <x v="2"/>
  </r>
  <r>
    <d v="2013-08-21T00:00:00"/>
    <s v="018-2230-000"/>
    <s v="Wine Sales"/>
    <n v="27.166000000000004"/>
    <n v="0"/>
    <s v="Daily Sales Import"/>
    <n v="-27.166000000000004"/>
    <n v="27.166000000000004"/>
    <x v="2"/>
    <s v="2230"/>
    <s v="000"/>
    <x v="10"/>
    <x v="2"/>
  </r>
  <r>
    <d v="2013-08-22T00:00:00"/>
    <s v="018-2100-000"/>
    <s v="Food Sales"/>
    <n v="4048.1911999999998"/>
    <n v="0"/>
    <s v="Daily Sales Import"/>
    <n v="-4048.1911999999998"/>
    <n v="4048.1911999999998"/>
    <x v="2"/>
    <s v="2100"/>
    <s v="000"/>
    <x v="10"/>
    <x v="2"/>
  </r>
  <r>
    <d v="2013-08-22T00:00:00"/>
    <s v="018-2210-000"/>
    <s v="Liquor Sales"/>
    <n v="892.28800000000001"/>
    <n v="0"/>
    <s v="Daily Sales Import"/>
    <n v="-892.28800000000001"/>
    <n v="892.28800000000001"/>
    <x v="2"/>
    <s v="2210"/>
    <s v="000"/>
    <x v="10"/>
    <x v="2"/>
  </r>
  <r>
    <d v="2013-08-22T00:00:00"/>
    <s v="018-2220-000"/>
    <s v="Beer Sales"/>
    <n v="318.66359999999997"/>
    <n v="0"/>
    <s v="Daily Sales Import"/>
    <n v="-318.66359999999997"/>
    <n v="318.66359999999997"/>
    <x v="2"/>
    <s v="2220"/>
    <s v="000"/>
    <x v="10"/>
    <x v="2"/>
  </r>
  <r>
    <d v="2013-08-22T00:00:00"/>
    <s v="018-2230-000"/>
    <s v="Wine Sales"/>
    <n v="67.313400000000001"/>
    <n v="0"/>
    <s v="Daily Sales Import"/>
    <n v="-67.313400000000001"/>
    <n v="67.313400000000001"/>
    <x v="2"/>
    <s v="2230"/>
    <s v="000"/>
    <x v="10"/>
    <x v="2"/>
  </r>
  <r>
    <d v="2013-08-23T00:00:00"/>
    <s v="018-2100-000"/>
    <s v="Food Sales"/>
    <n v="9186.869999999999"/>
    <n v="0"/>
    <s v="Daily Sales Import"/>
    <n v="-9186.869999999999"/>
    <n v="9186.869999999999"/>
    <x v="2"/>
    <s v="2100"/>
    <s v="000"/>
    <x v="10"/>
    <x v="2"/>
  </r>
  <r>
    <d v="2013-08-23T00:00:00"/>
    <s v="018-2210-000"/>
    <s v="Liquor Sales"/>
    <n v="1686.3224000000002"/>
    <n v="0"/>
    <s v="Daily Sales Import"/>
    <n v="-1686.3224000000002"/>
    <n v="1686.3224000000002"/>
    <x v="2"/>
    <s v="2210"/>
    <s v="000"/>
    <x v="10"/>
    <x v="2"/>
  </r>
  <r>
    <d v="2013-08-23T00:00:00"/>
    <s v="018-2220-000"/>
    <s v="Beer Sales"/>
    <n v="469.62869999999992"/>
    <n v="0"/>
    <s v="Daily Sales Import"/>
    <n v="-469.62869999999992"/>
    <n v="469.62869999999992"/>
    <x v="2"/>
    <s v="2220"/>
    <s v="000"/>
    <x v="10"/>
    <x v="2"/>
  </r>
  <r>
    <d v="2013-08-23T00:00:00"/>
    <s v="018-2230-000"/>
    <s v="Wine Sales"/>
    <n v="40.790700000000001"/>
    <n v="0"/>
    <s v="Daily Sales Import"/>
    <n v="-40.790700000000001"/>
    <n v="40.790700000000001"/>
    <x v="2"/>
    <s v="2230"/>
    <s v="000"/>
    <x v="10"/>
    <x v="2"/>
  </r>
  <r>
    <d v="2013-08-24T00:00:00"/>
    <s v="018-2100-000"/>
    <s v="Food Sales"/>
    <n v="15875.971299999999"/>
    <n v="0"/>
    <s v="Daily Sales Import"/>
    <n v="-15875.971299999999"/>
    <n v="15875.971299999999"/>
    <x v="2"/>
    <s v="2100"/>
    <s v="000"/>
    <x v="10"/>
    <x v="2"/>
  </r>
  <r>
    <d v="2013-08-24T00:00:00"/>
    <s v="018-2210-000"/>
    <s v="Liquor Sales"/>
    <n v="2631.23"/>
    <n v="0"/>
    <s v="Daily Sales Import"/>
    <n v="-2631.23"/>
    <n v="2631.23"/>
    <x v="2"/>
    <s v="2210"/>
    <s v="000"/>
    <x v="10"/>
    <x v="2"/>
  </r>
  <r>
    <d v="2013-08-24T00:00:00"/>
    <s v="018-2220-000"/>
    <s v="Beer Sales"/>
    <n v="991.45799999999997"/>
    <n v="0"/>
    <s v="Daily Sales Import"/>
    <n v="-991.45799999999997"/>
    <n v="991.45799999999997"/>
    <x v="2"/>
    <s v="2220"/>
    <s v="000"/>
    <x v="10"/>
    <x v="2"/>
  </r>
  <r>
    <d v="2013-08-24T00:00:00"/>
    <s v="018-2230-000"/>
    <s v="Wine Sales"/>
    <n v="55.087200000000003"/>
    <n v="0"/>
    <s v="Daily Sales Import"/>
    <n v="-55.087200000000003"/>
    <n v="55.087200000000003"/>
    <x v="2"/>
    <s v="2230"/>
    <s v="000"/>
    <x v="10"/>
    <x v="2"/>
  </r>
  <r>
    <d v="2013-08-25T00:00:00"/>
    <s v="018-2100-000"/>
    <s v="Food Sales"/>
    <n v="10485.9058"/>
    <n v="0"/>
    <s v="Daily Sales Import"/>
    <n v="-10485.9058"/>
    <n v="10485.9058"/>
    <x v="2"/>
    <s v="2100"/>
    <s v="000"/>
    <x v="10"/>
    <x v="2"/>
  </r>
  <r>
    <d v="2013-08-25T00:00:00"/>
    <s v="018-2210-000"/>
    <s v="Liquor Sales"/>
    <n v="1273.2080000000001"/>
    <n v="0"/>
    <s v="Daily Sales Import"/>
    <n v="-1273.2080000000001"/>
    <n v="1273.2080000000001"/>
    <x v="2"/>
    <s v="2210"/>
    <s v="000"/>
    <x v="10"/>
    <x v="2"/>
  </r>
  <r>
    <d v="2013-08-25T00:00:00"/>
    <s v="018-2220-000"/>
    <s v="Beer Sales"/>
    <n v="326.26800000000003"/>
    <n v="0"/>
    <s v="Daily Sales Import"/>
    <n v="-326.26800000000003"/>
    <n v="326.26800000000003"/>
    <x v="2"/>
    <s v="2220"/>
    <s v="000"/>
    <x v="10"/>
    <x v="2"/>
  </r>
  <r>
    <d v="2013-08-25T00:00:00"/>
    <s v="018-2230-000"/>
    <s v="Wine Sales"/>
    <n v="84.106599999999986"/>
    <n v="0"/>
    <s v="Daily Sales Import"/>
    <n v="-84.106599999999986"/>
    <n v="84.106599999999986"/>
    <x v="2"/>
    <s v="2230"/>
    <s v="000"/>
    <x v="10"/>
    <x v="2"/>
  </r>
  <r>
    <d v="2013-08-19T00:00:00"/>
    <s v="019-2100-000"/>
    <s v="Food Sales"/>
    <n v="3046.8828000000003"/>
    <n v="0"/>
    <s v="Daily Sales Import"/>
    <n v="-3046.8828000000003"/>
    <n v="3046.8828000000003"/>
    <x v="3"/>
    <s v="2100"/>
    <s v="000"/>
    <x v="10"/>
    <x v="2"/>
  </r>
  <r>
    <d v="2013-08-19T00:00:00"/>
    <s v="019-2210-000"/>
    <s v="Liquor Sales"/>
    <n v="695.6880000000001"/>
    <n v="0"/>
    <s v="Daily Sales Import"/>
    <n v="-695.6880000000001"/>
    <n v="695.6880000000001"/>
    <x v="3"/>
    <s v="2210"/>
    <s v="000"/>
    <x v="10"/>
    <x v="2"/>
  </r>
  <r>
    <d v="2013-08-19T00:00:00"/>
    <s v="019-2220-000"/>
    <s v="Beer Sales"/>
    <n v="179.27470000000002"/>
    <n v="0"/>
    <s v="Daily Sales Import"/>
    <n v="-179.27470000000002"/>
    <n v="179.27470000000002"/>
    <x v="3"/>
    <s v="2220"/>
    <s v="000"/>
    <x v="10"/>
    <x v="2"/>
  </r>
  <r>
    <d v="2013-08-19T00:00:00"/>
    <s v="019-2230-000"/>
    <s v="Wine Sales"/>
    <n v="17.388400000000001"/>
    <n v="0"/>
    <s v="Daily Sales Import"/>
    <n v="-17.388400000000001"/>
    <n v="17.388400000000001"/>
    <x v="3"/>
    <s v="2230"/>
    <s v="000"/>
    <x v="10"/>
    <x v="2"/>
  </r>
  <r>
    <d v="2013-08-20T00:00:00"/>
    <s v="019-2100-000"/>
    <s v="Food Sales"/>
    <n v="4335.87"/>
    <n v="0"/>
    <s v="Daily Sales Import"/>
    <n v="-4335.87"/>
    <n v="4335.87"/>
    <x v="3"/>
    <s v="2100"/>
    <s v="000"/>
    <x v="10"/>
    <x v="2"/>
  </r>
  <r>
    <d v="2013-08-20T00:00:00"/>
    <s v="019-2210-000"/>
    <s v="Liquor Sales"/>
    <n v="728.52570000000003"/>
    <n v="0"/>
    <s v="Daily Sales Import"/>
    <n v="-728.52570000000003"/>
    <n v="728.52570000000003"/>
    <x v="3"/>
    <s v="2210"/>
    <s v="000"/>
    <x v="10"/>
    <x v="2"/>
  </r>
  <r>
    <d v="2013-08-20T00:00:00"/>
    <s v="019-2220-000"/>
    <s v="Beer Sales"/>
    <n v="318.0222"/>
    <n v="0"/>
    <s v="Daily Sales Import"/>
    <n v="-318.0222"/>
    <n v="318.0222"/>
    <x v="3"/>
    <s v="2220"/>
    <s v="000"/>
    <x v="10"/>
    <x v="2"/>
  </r>
  <r>
    <d v="2013-08-20T00:00:00"/>
    <s v="019-2230-000"/>
    <s v="Wine Sales"/>
    <n v="21.170500000000001"/>
    <n v="0"/>
    <s v="Daily Sales Import"/>
    <n v="-21.170500000000001"/>
    <n v="21.170500000000001"/>
    <x v="3"/>
    <s v="2230"/>
    <s v="000"/>
    <x v="10"/>
    <x v="2"/>
  </r>
  <r>
    <d v="2013-08-21T00:00:00"/>
    <s v="019-2100-000"/>
    <s v="Food Sales"/>
    <n v="3411.2890000000002"/>
    <n v="0"/>
    <s v="Daily Sales Import"/>
    <n v="-3411.2890000000002"/>
    <n v="3411.2890000000002"/>
    <x v="3"/>
    <s v="2100"/>
    <s v="000"/>
    <x v="10"/>
    <x v="2"/>
  </r>
  <r>
    <d v="2013-08-21T00:00:00"/>
    <s v="019-2210-000"/>
    <s v="Liquor Sales"/>
    <n v="816.31360000000006"/>
    <n v="0"/>
    <s v="Daily Sales Import"/>
    <n v="-816.31360000000006"/>
    <n v="816.31360000000006"/>
    <x v="3"/>
    <s v="2210"/>
    <s v="000"/>
    <x v="10"/>
    <x v="2"/>
  </r>
  <r>
    <d v="2013-08-21T00:00:00"/>
    <s v="019-2220-000"/>
    <s v="Beer Sales"/>
    <n v="236.268"/>
    <n v="0"/>
    <s v="Daily Sales Import"/>
    <n v="-236.268"/>
    <n v="236.268"/>
    <x v="3"/>
    <s v="2220"/>
    <s v="000"/>
    <x v="10"/>
    <x v="2"/>
  </r>
  <r>
    <d v="2013-08-21T00:00:00"/>
    <s v="019-2230-000"/>
    <s v="Wine Sales"/>
    <n v="81.353999999999999"/>
    <n v="0"/>
    <s v="Daily Sales Import"/>
    <n v="-81.353999999999999"/>
    <n v="81.353999999999999"/>
    <x v="3"/>
    <s v="2230"/>
    <s v="000"/>
    <x v="10"/>
    <x v="2"/>
  </r>
  <r>
    <d v="2013-08-22T00:00:00"/>
    <s v="019-2100-000"/>
    <s v="Food Sales"/>
    <n v="2993.7140999999997"/>
    <n v="0"/>
    <s v="Daily Sales Import"/>
    <n v="-2993.7140999999997"/>
    <n v="2993.7140999999997"/>
    <x v="3"/>
    <s v="2100"/>
    <s v="000"/>
    <x v="10"/>
    <x v="2"/>
  </r>
  <r>
    <d v="2013-08-22T00:00:00"/>
    <s v="019-2210-000"/>
    <s v="Liquor Sales"/>
    <n v="756.76350000000002"/>
    <n v="0"/>
    <s v="Daily Sales Import"/>
    <n v="-756.76350000000002"/>
    <n v="756.76350000000002"/>
    <x v="3"/>
    <s v="2210"/>
    <s v="000"/>
    <x v="10"/>
    <x v="2"/>
  </r>
  <r>
    <d v="2013-08-22T00:00:00"/>
    <s v="019-2220-000"/>
    <s v="Beer Sales"/>
    <n v="167.40359999999998"/>
    <n v="0"/>
    <s v="Daily Sales Import"/>
    <n v="-167.40359999999998"/>
    <n v="167.40359999999998"/>
    <x v="3"/>
    <s v="2220"/>
    <s v="000"/>
    <x v="10"/>
    <x v="2"/>
  </r>
  <r>
    <d v="2013-08-22T00:00:00"/>
    <s v="019-2230-000"/>
    <s v="Wine Sales"/>
    <n v="48.607999999999997"/>
    <n v="0"/>
    <s v="Daily Sales Import"/>
    <n v="-48.607999999999997"/>
    <n v="48.607999999999997"/>
    <x v="3"/>
    <s v="2230"/>
    <s v="000"/>
    <x v="10"/>
    <x v="2"/>
  </r>
  <r>
    <d v="2013-08-23T00:00:00"/>
    <s v="019-2100-000"/>
    <s v="Food Sales"/>
    <n v="6402.6900000000005"/>
    <n v="0"/>
    <s v="Daily Sales Import"/>
    <n v="-6402.6900000000005"/>
    <n v="6402.6900000000005"/>
    <x v="3"/>
    <s v="2100"/>
    <s v="000"/>
    <x v="10"/>
    <x v="2"/>
  </r>
  <r>
    <d v="2013-08-23T00:00:00"/>
    <s v="019-2210-000"/>
    <s v="Liquor Sales"/>
    <n v="1423.722"/>
    <n v="0"/>
    <s v="Daily Sales Import"/>
    <n v="-1423.722"/>
    <n v="1423.722"/>
    <x v="3"/>
    <s v="2210"/>
    <s v="000"/>
    <x v="10"/>
    <x v="2"/>
  </r>
  <r>
    <d v="2013-08-23T00:00:00"/>
    <s v="019-2220-000"/>
    <s v="Beer Sales"/>
    <n v="447.9221"/>
    <n v="0"/>
    <s v="Daily Sales Import"/>
    <n v="-447.9221"/>
    <n v="447.9221"/>
    <x v="3"/>
    <s v="2220"/>
    <s v="000"/>
    <x v="10"/>
    <x v="2"/>
  </r>
  <r>
    <d v="2013-08-23T00:00:00"/>
    <s v="019-2230-000"/>
    <s v="Wine Sales"/>
    <n v="81.762599999999992"/>
    <n v="0"/>
    <s v="Daily Sales Import"/>
    <n v="-81.762599999999992"/>
    <n v="81.762599999999992"/>
    <x v="3"/>
    <s v="2230"/>
    <s v="000"/>
    <x v="10"/>
    <x v="2"/>
  </r>
  <r>
    <d v="2013-08-24T00:00:00"/>
    <s v="019-2100-000"/>
    <s v="Food Sales"/>
    <n v="6719.8410000000003"/>
    <n v="0"/>
    <s v="Daily Sales Import"/>
    <n v="-6719.8410000000003"/>
    <n v="6719.8410000000003"/>
    <x v="3"/>
    <s v="2100"/>
    <s v="000"/>
    <x v="10"/>
    <x v="2"/>
  </r>
  <r>
    <d v="2013-08-24T00:00:00"/>
    <s v="019-2210-000"/>
    <s v="Liquor Sales"/>
    <n v="3475.0577999999996"/>
    <n v="0"/>
    <s v="Daily Sales Import"/>
    <n v="-3475.0577999999996"/>
    <n v="3475.0577999999996"/>
    <x v="3"/>
    <s v="2210"/>
    <s v="000"/>
    <x v="10"/>
    <x v="2"/>
  </r>
  <r>
    <d v="2013-08-24T00:00:00"/>
    <s v="019-2220-000"/>
    <s v="Beer Sales"/>
    <n v="368.60670000000005"/>
    <n v="0"/>
    <s v="Daily Sales Import"/>
    <n v="-368.60670000000005"/>
    <n v="368.60670000000005"/>
    <x v="3"/>
    <s v="2220"/>
    <s v="000"/>
    <x v="10"/>
    <x v="2"/>
  </r>
  <r>
    <d v="2013-08-24T00:00:00"/>
    <s v="019-2230-000"/>
    <s v="Wine Sales"/>
    <n v="81.505500000000012"/>
    <n v="0"/>
    <s v="Daily Sales Import"/>
    <n v="-81.505500000000012"/>
    <n v="81.505500000000012"/>
    <x v="3"/>
    <s v="2230"/>
    <s v="000"/>
    <x v="10"/>
    <x v="2"/>
  </r>
  <r>
    <d v="2013-08-25T00:00:00"/>
    <s v="019-2100-000"/>
    <s v="Food Sales"/>
    <n v="3634.0127999999995"/>
    <n v="0"/>
    <s v="Daily Sales Import"/>
    <n v="-3634.0127999999995"/>
    <n v="3634.0127999999995"/>
    <x v="3"/>
    <s v="2100"/>
    <s v="000"/>
    <x v="10"/>
    <x v="2"/>
  </r>
  <r>
    <d v="2013-08-25T00:00:00"/>
    <s v="019-2210-000"/>
    <s v="Liquor Sales"/>
    <n v="1526.6215"/>
    <n v="0"/>
    <s v="Daily Sales Import"/>
    <n v="-1526.6215"/>
    <n v="1526.6215"/>
    <x v="3"/>
    <s v="2210"/>
    <s v="000"/>
    <x v="10"/>
    <x v="2"/>
  </r>
  <r>
    <d v="2013-08-25T00:00:00"/>
    <s v="019-2220-000"/>
    <s v="Beer Sales"/>
    <n v="167.52719999999997"/>
    <n v="0"/>
    <s v="Daily Sales Import"/>
    <n v="-167.52719999999997"/>
    <n v="167.52719999999997"/>
    <x v="3"/>
    <s v="2220"/>
    <s v="000"/>
    <x v="10"/>
    <x v="2"/>
  </r>
  <r>
    <d v="2013-08-25T00:00:00"/>
    <s v="019-2230-000"/>
    <s v="Wine Sales"/>
    <n v="116.77680000000001"/>
    <n v="0"/>
    <s v="Daily Sales Import"/>
    <n v="-116.77680000000001"/>
    <n v="116.77680000000001"/>
    <x v="3"/>
    <s v="2230"/>
    <s v="000"/>
    <x v="10"/>
    <x v="2"/>
  </r>
  <r>
    <d v="2013-08-26T00:00:00"/>
    <s v="016-2100-000"/>
    <s v="Food Sales"/>
    <n v="2559.7160000000003"/>
    <n v="0"/>
    <s v="Daily Sales Import"/>
    <n v="-2559.7160000000003"/>
    <n v="2559.7160000000003"/>
    <x v="0"/>
    <s v="2100"/>
    <s v="000"/>
    <x v="10"/>
    <x v="2"/>
  </r>
  <r>
    <d v="2013-08-26T00:00:00"/>
    <s v="016-2210-000"/>
    <s v="Liquor Sales"/>
    <n v="516.98699999999997"/>
    <n v="0"/>
    <s v="Daily Sales Import"/>
    <n v="-516.98699999999997"/>
    <n v="516.98699999999997"/>
    <x v="0"/>
    <s v="2210"/>
    <s v="000"/>
    <x v="10"/>
    <x v="2"/>
  </r>
  <r>
    <d v="2013-08-26T00:00:00"/>
    <s v="016-2220-000"/>
    <s v="Beer Sales"/>
    <n v="105.0664"/>
    <n v="0"/>
    <s v="Daily Sales Import"/>
    <n v="-105.0664"/>
    <n v="105.0664"/>
    <x v="0"/>
    <s v="2220"/>
    <s v="000"/>
    <x v="10"/>
    <x v="2"/>
  </r>
  <r>
    <d v="2013-08-26T00:00:00"/>
    <s v="016-2230-000"/>
    <s v="Wine Sales"/>
    <n v="58.996799999999993"/>
    <n v="0"/>
    <s v="Daily Sales Import"/>
    <n v="-58.996799999999993"/>
    <n v="58.996799999999993"/>
    <x v="0"/>
    <s v="2230"/>
    <s v="000"/>
    <x v="10"/>
    <x v="2"/>
  </r>
  <r>
    <d v="2013-08-27T00:00:00"/>
    <s v="016-2100-000"/>
    <s v="Food Sales"/>
    <n v="7669.4849999999997"/>
    <n v="0"/>
    <s v="Daily Sales Import"/>
    <n v="-7669.4849999999997"/>
    <n v="7669.4849999999997"/>
    <x v="0"/>
    <s v="2100"/>
    <s v="000"/>
    <x v="10"/>
    <x v="2"/>
  </r>
  <r>
    <d v="2013-08-27T00:00:00"/>
    <s v="016-2210-000"/>
    <s v="Liquor Sales"/>
    <n v="2630.9014999999999"/>
    <n v="0"/>
    <s v="Daily Sales Import"/>
    <n v="-2630.9014999999999"/>
    <n v="2630.9014999999999"/>
    <x v="0"/>
    <s v="2210"/>
    <s v="000"/>
    <x v="10"/>
    <x v="2"/>
  </r>
  <r>
    <d v="2013-08-27T00:00:00"/>
    <s v="016-2220-000"/>
    <s v="Beer Sales"/>
    <n v="1144.8163999999999"/>
    <n v="0"/>
    <s v="Daily Sales Import"/>
    <n v="-1144.8163999999999"/>
    <n v="1144.8163999999999"/>
    <x v="0"/>
    <s v="2220"/>
    <s v="000"/>
    <x v="10"/>
    <x v="2"/>
  </r>
  <r>
    <d v="2013-08-27T00:00:00"/>
    <s v="016-2230-000"/>
    <s v="Wine Sales"/>
    <n v="116.70570000000001"/>
    <n v="0"/>
    <s v="Daily Sales Import"/>
    <n v="-116.70570000000001"/>
    <n v="116.70570000000001"/>
    <x v="0"/>
    <s v="2230"/>
    <s v="000"/>
    <x v="10"/>
    <x v="2"/>
  </r>
  <r>
    <d v="2013-08-28T00:00:00"/>
    <s v="016-2100-000"/>
    <s v="Food Sales"/>
    <n v="2144.355"/>
    <n v="0"/>
    <s v="Daily Sales Import"/>
    <n v="-2144.355"/>
    <n v="2144.355"/>
    <x v="0"/>
    <s v="2100"/>
    <s v="000"/>
    <x v="10"/>
    <x v="2"/>
  </r>
  <r>
    <d v="2013-08-28T00:00:00"/>
    <s v="016-2210-000"/>
    <s v="Liquor Sales"/>
    <n v="397.93919999999997"/>
    <n v="0"/>
    <s v="Daily Sales Import"/>
    <n v="-397.93919999999997"/>
    <n v="397.93919999999997"/>
    <x v="0"/>
    <s v="2210"/>
    <s v="000"/>
    <x v="10"/>
    <x v="2"/>
  </r>
  <r>
    <d v="2013-08-28T00:00:00"/>
    <s v="016-2220-000"/>
    <s v="Beer Sales"/>
    <n v="128.12029999999999"/>
    <n v="0"/>
    <s v="Daily Sales Import"/>
    <n v="-128.12029999999999"/>
    <n v="128.12029999999999"/>
    <x v="0"/>
    <s v="2220"/>
    <s v="000"/>
    <x v="10"/>
    <x v="2"/>
  </r>
  <r>
    <d v="2013-08-28T00:00:00"/>
    <s v="016-2230-000"/>
    <s v="Wine Sales"/>
    <n v="38.7684"/>
    <n v="0"/>
    <s v="Daily Sales Import"/>
    <n v="-38.7684"/>
    <n v="38.7684"/>
    <x v="0"/>
    <s v="2230"/>
    <s v="000"/>
    <x v="10"/>
    <x v="2"/>
  </r>
  <r>
    <d v="2013-08-29T00:00:00"/>
    <s v="016-2100-000"/>
    <s v="Food Sales"/>
    <n v="2602.6909999999998"/>
    <n v="0"/>
    <s v="Daily Sales Import"/>
    <n v="-2602.6909999999998"/>
    <n v="2602.6909999999998"/>
    <x v="0"/>
    <s v="2100"/>
    <s v="000"/>
    <x v="10"/>
    <x v="2"/>
  </r>
  <r>
    <d v="2013-08-29T00:00:00"/>
    <s v="016-2210-000"/>
    <s v="Liquor Sales"/>
    <n v="682.80840000000001"/>
    <n v="0"/>
    <s v="Daily Sales Import"/>
    <n v="-682.80840000000001"/>
    <n v="682.80840000000001"/>
    <x v="0"/>
    <s v="2210"/>
    <s v="000"/>
    <x v="10"/>
    <x v="2"/>
  </r>
  <r>
    <d v="2013-08-29T00:00:00"/>
    <s v="016-2220-000"/>
    <s v="Beer Sales"/>
    <n v="79.194000000000003"/>
    <n v="0"/>
    <s v="Daily Sales Import"/>
    <n v="-79.194000000000003"/>
    <n v="79.194000000000003"/>
    <x v="0"/>
    <s v="2220"/>
    <s v="000"/>
    <x v="10"/>
    <x v="2"/>
  </r>
  <r>
    <d v="2013-08-29T00:00:00"/>
    <s v="016-2230-000"/>
    <s v="Wine Sales"/>
    <n v="27.342899999999997"/>
    <n v="0"/>
    <s v="Daily Sales Import"/>
    <n v="-27.342899999999997"/>
    <n v="27.342899999999997"/>
    <x v="0"/>
    <s v="2230"/>
    <s v="000"/>
    <x v="10"/>
    <x v="2"/>
  </r>
  <r>
    <d v="2013-08-30T00:00:00"/>
    <s v="016-2100-000"/>
    <s v="Food Sales"/>
    <n v="4539.8407999999999"/>
    <n v="0"/>
    <s v="Daily Sales Import"/>
    <n v="-4539.8407999999999"/>
    <n v="4539.8407999999999"/>
    <x v="0"/>
    <s v="2100"/>
    <s v="000"/>
    <x v="10"/>
    <x v="2"/>
  </r>
  <r>
    <d v="2013-08-30T00:00:00"/>
    <s v="016-2210-000"/>
    <s v="Liquor Sales"/>
    <n v="1645.8024"/>
    <n v="0"/>
    <s v="Daily Sales Import"/>
    <n v="-1645.8024"/>
    <n v="1645.8024"/>
    <x v="0"/>
    <s v="2210"/>
    <s v="000"/>
    <x v="10"/>
    <x v="2"/>
  </r>
  <r>
    <d v="2013-08-30T00:00:00"/>
    <s v="016-2220-000"/>
    <s v="Beer Sales"/>
    <n v="354.31040000000002"/>
    <n v="0"/>
    <s v="Daily Sales Import"/>
    <n v="-354.31040000000002"/>
    <n v="354.31040000000002"/>
    <x v="0"/>
    <s v="2220"/>
    <s v="000"/>
    <x v="10"/>
    <x v="2"/>
  </r>
  <r>
    <d v="2013-08-30T00:00:00"/>
    <s v="016-2230-000"/>
    <s v="Wine Sales"/>
    <n v="135.85440000000003"/>
    <n v="0"/>
    <s v="Daily Sales Import"/>
    <n v="-135.85440000000003"/>
    <n v="135.85440000000003"/>
    <x v="0"/>
    <s v="2230"/>
    <s v="000"/>
    <x v="10"/>
    <x v="2"/>
  </r>
  <r>
    <d v="2013-08-31T00:00:00"/>
    <s v="016-2100-000"/>
    <s v="Food Sales"/>
    <n v="5851.1324999999997"/>
    <n v="0"/>
    <s v="Daily Sales Import"/>
    <n v="-5851.1324999999997"/>
    <n v="5851.1324999999997"/>
    <x v="0"/>
    <s v="2100"/>
    <s v="000"/>
    <x v="10"/>
    <x v="2"/>
  </r>
  <r>
    <d v="2013-08-31T00:00:00"/>
    <s v="016-2210-000"/>
    <s v="Liquor Sales"/>
    <n v="1578.4794999999999"/>
    <n v="0"/>
    <s v="Daily Sales Import"/>
    <n v="-1578.4794999999999"/>
    <n v="1578.4794999999999"/>
    <x v="0"/>
    <s v="2210"/>
    <s v="000"/>
    <x v="10"/>
    <x v="2"/>
  </r>
  <r>
    <d v="2013-08-31T00:00:00"/>
    <s v="016-2220-000"/>
    <s v="Beer Sales"/>
    <n v="344.214"/>
    <n v="0"/>
    <s v="Daily Sales Import"/>
    <n v="-344.214"/>
    <n v="344.214"/>
    <x v="0"/>
    <s v="2220"/>
    <s v="000"/>
    <x v="10"/>
    <x v="2"/>
  </r>
  <r>
    <d v="2013-08-31T00:00:00"/>
    <s v="016-2230-000"/>
    <s v="Wine Sales"/>
    <n v="98.189000000000007"/>
    <n v="0"/>
    <s v="Daily Sales Import"/>
    <n v="-98.189000000000007"/>
    <n v="98.189000000000007"/>
    <x v="0"/>
    <s v="2230"/>
    <s v="000"/>
    <x v="10"/>
    <x v="2"/>
  </r>
  <r>
    <d v="2013-09-01T00:00:00"/>
    <s v="016-2100-000"/>
    <s v="Food Sales"/>
    <n v="4044.9528000000005"/>
    <n v="0"/>
    <s v="Daily Sales Import"/>
    <n v="-4044.9528000000005"/>
    <n v="4044.9528000000005"/>
    <x v="0"/>
    <s v="2100"/>
    <s v="000"/>
    <x v="11"/>
    <x v="2"/>
  </r>
  <r>
    <d v="2013-09-01T00:00:00"/>
    <s v="016-2210-000"/>
    <s v="Liquor Sales"/>
    <n v="928.72800000000007"/>
    <n v="0"/>
    <s v="Daily Sales Import"/>
    <n v="-928.72800000000007"/>
    <n v="928.72800000000007"/>
    <x v="0"/>
    <s v="2210"/>
    <s v="000"/>
    <x v="11"/>
    <x v="2"/>
  </r>
  <r>
    <d v="2013-09-01T00:00:00"/>
    <s v="016-2220-000"/>
    <s v="Beer Sales"/>
    <n v="260.38260000000002"/>
    <n v="0"/>
    <s v="Daily Sales Import"/>
    <n v="-260.38260000000002"/>
    <n v="260.38260000000002"/>
    <x v="0"/>
    <s v="2220"/>
    <s v="000"/>
    <x v="11"/>
    <x v="2"/>
  </r>
  <r>
    <d v="2013-09-01T00:00:00"/>
    <s v="016-2230-000"/>
    <s v="Wine Sales"/>
    <n v="75.853999999999999"/>
    <n v="0"/>
    <s v="Daily Sales Import"/>
    <n v="-75.853999999999999"/>
    <n v="75.853999999999999"/>
    <x v="0"/>
    <s v="2230"/>
    <s v="000"/>
    <x v="11"/>
    <x v="2"/>
  </r>
  <r>
    <d v="2013-08-26T00:00:00"/>
    <s v="017-2100-000"/>
    <s v="Food Sales"/>
    <n v="5304.9468000000006"/>
    <n v="0"/>
    <s v="Daily Sales Import"/>
    <n v="-5304.9468000000006"/>
    <n v="5304.9468000000006"/>
    <x v="1"/>
    <s v="2100"/>
    <s v="000"/>
    <x v="10"/>
    <x v="2"/>
  </r>
  <r>
    <d v="2013-08-26T00:00:00"/>
    <s v="017-2210-000"/>
    <s v="Liquor Sales"/>
    <n v="1706.5576000000001"/>
    <n v="0"/>
    <s v="Daily Sales Import"/>
    <n v="-1706.5576000000001"/>
    <n v="1706.5576000000001"/>
    <x v="1"/>
    <s v="2210"/>
    <s v="000"/>
    <x v="10"/>
    <x v="2"/>
  </r>
  <r>
    <d v="2013-08-26T00:00:00"/>
    <s v="017-2220-000"/>
    <s v="Beer Sales"/>
    <n v="510.36699999999996"/>
    <n v="0"/>
    <s v="Daily Sales Import"/>
    <n v="-510.36699999999996"/>
    <n v="510.36699999999996"/>
    <x v="1"/>
    <s v="2220"/>
    <s v="000"/>
    <x v="10"/>
    <x v="2"/>
  </r>
  <r>
    <d v="2013-08-26T00:00:00"/>
    <s v="017-2230-000"/>
    <s v="Wine Sales"/>
    <n v="69.741"/>
    <n v="0"/>
    <s v="Daily Sales Import"/>
    <n v="-69.741"/>
    <n v="69.741"/>
    <x v="1"/>
    <s v="2230"/>
    <s v="000"/>
    <x v="10"/>
    <x v="2"/>
  </r>
  <r>
    <d v="2013-08-27T00:00:00"/>
    <s v="017-2100-000"/>
    <s v="Food Sales"/>
    <n v="4238.5392000000002"/>
    <n v="0"/>
    <s v="Daily Sales Import"/>
    <n v="-4238.5392000000002"/>
    <n v="4238.5392000000002"/>
    <x v="1"/>
    <s v="2100"/>
    <s v="000"/>
    <x v="10"/>
    <x v="2"/>
  </r>
  <r>
    <d v="2013-08-27T00:00:00"/>
    <s v="017-2210-000"/>
    <s v="Liquor Sales"/>
    <n v="1705.356"/>
    <n v="0"/>
    <s v="Daily Sales Import"/>
    <n v="-1705.356"/>
    <n v="1705.356"/>
    <x v="1"/>
    <s v="2210"/>
    <s v="000"/>
    <x v="10"/>
    <x v="2"/>
  </r>
  <r>
    <d v="2013-08-27T00:00:00"/>
    <s v="017-2220-000"/>
    <s v="Beer Sales"/>
    <n v="604.27819999999997"/>
    <n v="0"/>
    <s v="Daily Sales Import"/>
    <n v="-604.27819999999997"/>
    <n v="604.27819999999997"/>
    <x v="1"/>
    <s v="2220"/>
    <s v="000"/>
    <x v="10"/>
    <x v="2"/>
  </r>
  <r>
    <d v="2013-08-27T00:00:00"/>
    <s v="017-2230-000"/>
    <s v="Wine Sales"/>
    <n v="105.96599999999999"/>
    <n v="0"/>
    <s v="Daily Sales Import"/>
    <n v="-105.96599999999999"/>
    <n v="105.96599999999999"/>
    <x v="1"/>
    <s v="2230"/>
    <s v="000"/>
    <x v="10"/>
    <x v="2"/>
  </r>
  <r>
    <d v="2013-08-28T00:00:00"/>
    <s v="017-2100-000"/>
    <s v="Food Sales"/>
    <n v="5894.9279999999999"/>
    <n v="0"/>
    <s v="Daily Sales Import"/>
    <n v="-5894.9279999999999"/>
    <n v="5894.9279999999999"/>
    <x v="1"/>
    <s v="2100"/>
    <s v="000"/>
    <x v="10"/>
    <x v="2"/>
  </r>
  <r>
    <d v="2013-08-28T00:00:00"/>
    <s v="017-2210-000"/>
    <s v="Liquor Sales"/>
    <n v="1421.2662"/>
    <n v="0"/>
    <s v="Daily Sales Import"/>
    <n v="-1421.2662"/>
    <n v="1421.2662"/>
    <x v="1"/>
    <s v="2210"/>
    <s v="000"/>
    <x v="10"/>
    <x v="2"/>
  </r>
  <r>
    <d v="2013-08-28T00:00:00"/>
    <s v="017-2220-000"/>
    <s v="Beer Sales"/>
    <n v="567.48900000000003"/>
    <n v="0"/>
    <s v="Daily Sales Import"/>
    <n v="-567.48900000000003"/>
    <n v="567.48900000000003"/>
    <x v="1"/>
    <s v="2220"/>
    <s v="000"/>
    <x v="10"/>
    <x v="2"/>
  </r>
  <r>
    <d v="2013-08-28T00:00:00"/>
    <s v="017-2230-000"/>
    <s v="Wine Sales"/>
    <n v="156.8768"/>
    <n v="0"/>
    <s v="Daily Sales Import"/>
    <n v="-156.8768"/>
    <n v="156.8768"/>
    <x v="1"/>
    <s v="2230"/>
    <s v="000"/>
    <x v="10"/>
    <x v="2"/>
  </r>
  <r>
    <d v="2013-08-29T00:00:00"/>
    <s v="017-2100-000"/>
    <s v="Food Sales"/>
    <n v="6798.3984999999993"/>
    <n v="0"/>
    <s v="Daily Sales Import"/>
    <n v="-6798.3984999999993"/>
    <n v="6798.3984999999993"/>
    <x v="1"/>
    <s v="2100"/>
    <s v="000"/>
    <x v="10"/>
    <x v="2"/>
  </r>
  <r>
    <d v="2013-08-29T00:00:00"/>
    <s v="017-2210-000"/>
    <s v="Liquor Sales"/>
    <n v="1170.5688"/>
    <n v="0"/>
    <s v="Daily Sales Import"/>
    <n v="-1170.5688"/>
    <n v="1170.5688"/>
    <x v="1"/>
    <s v="2210"/>
    <s v="000"/>
    <x v="10"/>
    <x v="2"/>
  </r>
  <r>
    <d v="2013-08-29T00:00:00"/>
    <s v="017-2220-000"/>
    <s v="Beer Sales"/>
    <n v="275.44160000000005"/>
    <n v="0"/>
    <s v="Daily Sales Import"/>
    <n v="-275.44160000000005"/>
    <n v="275.44160000000005"/>
    <x v="1"/>
    <s v="2220"/>
    <s v="000"/>
    <x v="10"/>
    <x v="2"/>
  </r>
  <r>
    <d v="2013-08-29T00:00:00"/>
    <s v="017-2230-000"/>
    <s v="Wine Sales"/>
    <n v="70.145700000000005"/>
    <n v="0"/>
    <s v="Daily Sales Import"/>
    <n v="-70.145700000000005"/>
    <n v="70.145700000000005"/>
    <x v="1"/>
    <s v="2230"/>
    <s v="000"/>
    <x v="10"/>
    <x v="2"/>
  </r>
  <r>
    <d v="2013-08-30T00:00:00"/>
    <s v="017-2100-000"/>
    <s v="Food Sales"/>
    <n v="4488.4285999999993"/>
    <n v="0"/>
    <s v="Daily Sales Import"/>
    <n v="-4488.4285999999993"/>
    <n v="4488.4285999999993"/>
    <x v="1"/>
    <s v="2100"/>
    <s v="000"/>
    <x v="10"/>
    <x v="2"/>
  </r>
  <r>
    <d v="2013-08-30T00:00:00"/>
    <s v="017-2210-000"/>
    <s v="Liquor Sales"/>
    <n v="2254.4045000000001"/>
    <n v="0"/>
    <s v="Daily Sales Import"/>
    <n v="-2254.4045000000001"/>
    <n v="2254.4045000000001"/>
    <x v="1"/>
    <s v="2210"/>
    <s v="000"/>
    <x v="10"/>
    <x v="2"/>
  </r>
  <r>
    <d v="2013-08-30T00:00:00"/>
    <s v="017-2220-000"/>
    <s v="Beer Sales"/>
    <n v="523.06020000000001"/>
    <n v="0"/>
    <s v="Daily Sales Import"/>
    <n v="-523.06020000000001"/>
    <n v="523.06020000000001"/>
    <x v="1"/>
    <s v="2220"/>
    <s v="000"/>
    <x v="10"/>
    <x v="2"/>
  </r>
  <r>
    <d v="2013-08-30T00:00:00"/>
    <s v="017-2230-000"/>
    <s v="Wine Sales"/>
    <n v="69.653199999999998"/>
    <n v="0"/>
    <s v="Daily Sales Import"/>
    <n v="-69.653199999999998"/>
    <n v="69.653199999999998"/>
    <x v="1"/>
    <s v="2230"/>
    <s v="000"/>
    <x v="10"/>
    <x v="2"/>
  </r>
  <r>
    <d v="2013-08-31T00:00:00"/>
    <s v="017-2100-000"/>
    <s v="Food Sales"/>
    <n v="7322.5898999999999"/>
    <n v="0"/>
    <s v="Daily Sales Import"/>
    <n v="-7322.5898999999999"/>
    <n v="7322.5898999999999"/>
    <x v="1"/>
    <s v="2100"/>
    <s v="000"/>
    <x v="10"/>
    <x v="2"/>
  </r>
  <r>
    <d v="2013-08-31T00:00:00"/>
    <s v="017-2210-000"/>
    <s v="Liquor Sales"/>
    <n v="1627.0144"/>
    <n v="0"/>
    <s v="Daily Sales Import"/>
    <n v="-1627.0144"/>
    <n v="1627.0144"/>
    <x v="1"/>
    <s v="2210"/>
    <s v="000"/>
    <x v="10"/>
    <x v="2"/>
  </r>
  <r>
    <d v="2013-08-31T00:00:00"/>
    <s v="017-2220-000"/>
    <s v="Beer Sales"/>
    <n v="301.68330000000003"/>
    <n v="0"/>
    <s v="Daily Sales Import"/>
    <n v="-301.68330000000003"/>
    <n v="301.68330000000003"/>
    <x v="1"/>
    <s v="2220"/>
    <s v="000"/>
    <x v="10"/>
    <x v="2"/>
  </r>
  <r>
    <d v="2013-08-31T00:00:00"/>
    <s v="017-2230-000"/>
    <s v="Wine Sales"/>
    <n v="82.412399999999991"/>
    <n v="0"/>
    <s v="Daily Sales Import"/>
    <n v="-82.412399999999991"/>
    <n v="82.412399999999991"/>
    <x v="1"/>
    <s v="2230"/>
    <s v="000"/>
    <x v="10"/>
    <x v="2"/>
  </r>
  <r>
    <d v="2013-09-01T00:00:00"/>
    <s v="017-2100-000"/>
    <s v="Food Sales"/>
    <n v="4817.6666999999998"/>
    <n v="0"/>
    <s v="Daily Sales Import"/>
    <n v="-4817.6666999999998"/>
    <n v="4817.6666999999998"/>
    <x v="1"/>
    <s v="2100"/>
    <s v="000"/>
    <x v="11"/>
    <x v="2"/>
  </r>
  <r>
    <d v="2013-09-01T00:00:00"/>
    <s v="017-2210-000"/>
    <s v="Liquor Sales"/>
    <n v="1426.1016"/>
    <n v="0"/>
    <s v="Daily Sales Import"/>
    <n v="-1426.1016"/>
    <n v="1426.1016"/>
    <x v="1"/>
    <s v="2210"/>
    <s v="000"/>
    <x v="11"/>
    <x v="2"/>
  </r>
  <r>
    <d v="2013-09-01T00:00:00"/>
    <s v="017-2220-000"/>
    <s v="Beer Sales"/>
    <n v="308.41200000000003"/>
    <n v="0"/>
    <s v="Daily Sales Import"/>
    <n v="-308.41200000000003"/>
    <n v="308.41200000000003"/>
    <x v="1"/>
    <s v="2220"/>
    <s v="000"/>
    <x v="11"/>
    <x v="2"/>
  </r>
  <r>
    <d v="2013-09-01T00:00:00"/>
    <s v="017-2230-000"/>
    <s v="Wine Sales"/>
    <n v="78.533000000000001"/>
    <n v="0"/>
    <s v="Daily Sales Import"/>
    <n v="-78.533000000000001"/>
    <n v="78.533000000000001"/>
    <x v="1"/>
    <s v="2230"/>
    <s v="000"/>
    <x v="11"/>
    <x v="2"/>
  </r>
  <r>
    <d v="2013-08-26T00:00:00"/>
    <s v="018-2100-000"/>
    <s v="Food Sales"/>
    <n v="3915.4500000000003"/>
    <n v="0"/>
    <s v="Daily Sales Import"/>
    <n v="-3915.4500000000003"/>
    <n v="3915.4500000000003"/>
    <x v="2"/>
    <s v="2100"/>
    <s v="000"/>
    <x v="10"/>
    <x v="2"/>
  </r>
  <r>
    <d v="2013-08-26T00:00:00"/>
    <s v="018-2210-000"/>
    <s v="Liquor Sales"/>
    <n v="513.72720000000004"/>
    <n v="0"/>
    <s v="Daily Sales Import"/>
    <n v="-513.72720000000004"/>
    <n v="513.72720000000004"/>
    <x v="2"/>
    <s v="2210"/>
    <s v="000"/>
    <x v="10"/>
    <x v="2"/>
  </r>
  <r>
    <d v="2013-08-26T00:00:00"/>
    <s v="018-2220-000"/>
    <s v="Beer Sales"/>
    <n v="108.91499999999999"/>
    <n v="0"/>
    <s v="Daily Sales Import"/>
    <n v="-108.91499999999999"/>
    <n v="108.91499999999999"/>
    <x v="2"/>
    <s v="2220"/>
    <s v="000"/>
    <x v="10"/>
    <x v="2"/>
  </r>
  <r>
    <d v="2013-08-26T00:00:00"/>
    <s v="018-2230-000"/>
    <s v="Wine Sales"/>
    <n v="7.4307000000000007"/>
    <n v="0"/>
    <s v="Daily Sales Import"/>
    <n v="-7.4307000000000007"/>
    <n v="7.4307000000000007"/>
    <x v="2"/>
    <s v="2230"/>
    <s v="000"/>
    <x v="10"/>
    <x v="2"/>
  </r>
  <r>
    <d v="2013-08-27T00:00:00"/>
    <s v="018-2100-000"/>
    <s v="Food Sales"/>
    <n v="3924.3247999999999"/>
    <n v="0"/>
    <s v="Daily Sales Import"/>
    <n v="-3924.3247999999999"/>
    <n v="3924.3247999999999"/>
    <x v="2"/>
    <s v="2100"/>
    <s v="000"/>
    <x v="10"/>
    <x v="2"/>
  </r>
  <r>
    <d v="2013-08-27T00:00:00"/>
    <s v="018-2210-000"/>
    <s v="Liquor Sales"/>
    <n v="637.48029999999994"/>
    <n v="0"/>
    <s v="Daily Sales Import"/>
    <n v="-637.48029999999994"/>
    <n v="637.48029999999994"/>
    <x v="2"/>
    <s v="2210"/>
    <s v="000"/>
    <x v="10"/>
    <x v="2"/>
  </r>
  <r>
    <d v="2013-08-27T00:00:00"/>
    <s v="018-2220-000"/>
    <s v="Beer Sales"/>
    <n v="113.036"/>
    <n v="0"/>
    <s v="Daily Sales Import"/>
    <n v="-113.036"/>
    <n v="113.036"/>
    <x v="2"/>
    <s v="2220"/>
    <s v="000"/>
    <x v="10"/>
    <x v="2"/>
  </r>
  <r>
    <d v="2013-08-27T00:00:00"/>
    <s v="018-2230-000"/>
    <s v="Wine Sales"/>
    <n v="17.267199999999999"/>
    <n v="0"/>
    <s v="Daily Sales Import"/>
    <n v="-17.267199999999999"/>
    <n v="17.267199999999999"/>
    <x v="2"/>
    <s v="2230"/>
    <s v="000"/>
    <x v="10"/>
    <x v="2"/>
  </r>
  <r>
    <d v="2013-08-28T00:00:00"/>
    <s v="018-2100-000"/>
    <s v="Food Sales"/>
    <n v="4822.1657999999998"/>
    <n v="0"/>
    <s v="Daily Sales Import"/>
    <n v="-4822.1657999999998"/>
    <n v="4822.1657999999998"/>
    <x v="2"/>
    <s v="2100"/>
    <s v="000"/>
    <x v="10"/>
    <x v="2"/>
  </r>
  <r>
    <d v="2013-08-28T00:00:00"/>
    <s v="018-2210-000"/>
    <s v="Liquor Sales"/>
    <n v="597.92849999999999"/>
    <n v="0"/>
    <s v="Daily Sales Import"/>
    <n v="-597.92849999999999"/>
    <n v="597.92849999999999"/>
    <x v="2"/>
    <s v="2210"/>
    <s v="000"/>
    <x v="10"/>
    <x v="2"/>
  </r>
  <r>
    <d v="2013-08-28T00:00:00"/>
    <s v="018-2220-000"/>
    <s v="Beer Sales"/>
    <n v="133.20519999999999"/>
    <n v="0"/>
    <s v="Daily Sales Import"/>
    <n v="-133.20519999999999"/>
    <n v="133.20519999999999"/>
    <x v="2"/>
    <s v="2220"/>
    <s v="000"/>
    <x v="10"/>
    <x v="2"/>
  </r>
  <r>
    <d v="2013-08-28T00:00:00"/>
    <s v="018-2230-000"/>
    <s v="Wine Sales"/>
    <n v="58.701599999999999"/>
    <n v="0"/>
    <s v="Daily Sales Import"/>
    <n v="-58.701599999999999"/>
    <n v="58.701599999999999"/>
    <x v="2"/>
    <s v="2230"/>
    <s v="000"/>
    <x v="10"/>
    <x v="2"/>
  </r>
  <r>
    <d v="2013-08-29T00:00:00"/>
    <s v="018-2100-000"/>
    <s v="Food Sales"/>
    <n v="4740.4958999999999"/>
    <n v="0"/>
    <s v="Daily Sales Import"/>
    <n v="-4740.4958999999999"/>
    <n v="4740.4958999999999"/>
    <x v="2"/>
    <s v="2100"/>
    <s v="000"/>
    <x v="10"/>
    <x v="2"/>
  </r>
  <r>
    <d v="2013-08-29T00:00:00"/>
    <s v="018-2210-000"/>
    <s v="Liquor Sales"/>
    <n v="1182.2916"/>
    <n v="0"/>
    <s v="Daily Sales Import"/>
    <n v="-1182.2916"/>
    <n v="1182.2916"/>
    <x v="2"/>
    <s v="2210"/>
    <s v="000"/>
    <x v="10"/>
    <x v="2"/>
  </r>
  <r>
    <d v="2013-08-29T00:00:00"/>
    <s v="018-2220-000"/>
    <s v="Beer Sales"/>
    <n v="262.72500000000002"/>
    <n v="0"/>
    <s v="Daily Sales Import"/>
    <n v="-262.72500000000002"/>
    <n v="262.72500000000002"/>
    <x v="2"/>
    <s v="2220"/>
    <s v="000"/>
    <x v="10"/>
    <x v="2"/>
  </r>
  <r>
    <d v="2013-08-29T00:00:00"/>
    <s v="018-2230-000"/>
    <s v="Wine Sales"/>
    <n v="65.437200000000004"/>
    <n v="0"/>
    <s v="Daily Sales Import"/>
    <n v="-65.437200000000004"/>
    <n v="65.437200000000004"/>
    <x v="2"/>
    <s v="2230"/>
    <s v="000"/>
    <x v="10"/>
    <x v="2"/>
  </r>
  <r>
    <d v="2013-08-30T00:00:00"/>
    <s v="018-2100-000"/>
    <s v="Food Sales"/>
    <n v="11826.326399999998"/>
    <n v="0"/>
    <s v="Daily Sales Import"/>
    <n v="-11826.326399999998"/>
    <n v="11826.326399999998"/>
    <x v="2"/>
    <s v="2100"/>
    <s v="000"/>
    <x v="10"/>
    <x v="2"/>
  </r>
  <r>
    <d v="2013-08-30T00:00:00"/>
    <s v="018-2210-000"/>
    <s v="Liquor Sales"/>
    <n v="2325.2431999999999"/>
    <n v="0"/>
    <s v="Daily Sales Import"/>
    <n v="-2325.2431999999999"/>
    <n v="2325.2431999999999"/>
    <x v="2"/>
    <s v="2210"/>
    <s v="000"/>
    <x v="10"/>
    <x v="2"/>
  </r>
  <r>
    <d v="2013-08-30T00:00:00"/>
    <s v="018-2220-000"/>
    <s v="Beer Sales"/>
    <n v="694.2441"/>
    <n v="0"/>
    <s v="Daily Sales Import"/>
    <n v="-694.2441"/>
    <n v="694.2441"/>
    <x v="2"/>
    <s v="2220"/>
    <s v="000"/>
    <x v="10"/>
    <x v="2"/>
  </r>
  <r>
    <d v="2013-08-30T00:00:00"/>
    <s v="018-2230-000"/>
    <s v="Wine Sales"/>
    <n v="21.272200000000002"/>
    <n v="0"/>
    <s v="Daily Sales Import"/>
    <n v="-21.272200000000002"/>
    <n v="21.272200000000002"/>
    <x v="2"/>
    <s v="2230"/>
    <s v="000"/>
    <x v="10"/>
    <x v="2"/>
  </r>
  <r>
    <d v="2013-08-31T00:00:00"/>
    <s v="018-2100-000"/>
    <s v="Food Sales"/>
    <n v="15162.613599999999"/>
    <n v="0"/>
    <s v="Daily Sales Import"/>
    <n v="-15162.613599999999"/>
    <n v="15162.613599999999"/>
    <x v="2"/>
    <s v="2100"/>
    <s v="000"/>
    <x v="10"/>
    <x v="2"/>
  </r>
  <r>
    <d v="2013-08-31T00:00:00"/>
    <s v="018-2210-000"/>
    <s v="Liquor Sales"/>
    <n v="2731.4324999999999"/>
    <n v="0"/>
    <s v="Daily Sales Import"/>
    <n v="-2731.4324999999999"/>
    <n v="2731.4324999999999"/>
    <x v="2"/>
    <s v="2210"/>
    <s v="000"/>
    <x v="10"/>
    <x v="2"/>
  </r>
  <r>
    <d v="2013-08-31T00:00:00"/>
    <s v="018-2220-000"/>
    <s v="Beer Sales"/>
    <n v="750.59519999999998"/>
    <n v="0"/>
    <s v="Daily Sales Import"/>
    <n v="-750.59519999999998"/>
    <n v="750.59519999999998"/>
    <x v="2"/>
    <s v="2220"/>
    <s v="000"/>
    <x v="10"/>
    <x v="2"/>
  </r>
  <r>
    <d v="2013-08-31T00:00:00"/>
    <s v="018-2230-000"/>
    <s v="Wine Sales"/>
    <n v="78.641999999999996"/>
    <n v="0"/>
    <s v="Daily Sales Import"/>
    <n v="-78.641999999999996"/>
    <n v="78.641999999999996"/>
    <x v="2"/>
    <s v="2230"/>
    <s v="000"/>
    <x v="10"/>
    <x v="2"/>
  </r>
  <r>
    <d v="2013-09-01T00:00:00"/>
    <s v="018-2100-000"/>
    <s v="Food Sales"/>
    <n v="14390.8665"/>
    <n v="0"/>
    <s v="Daily Sales Import"/>
    <n v="-14390.8665"/>
    <n v="14390.8665"/>
    <x v="2"/>
    <s v="2100"/>
    <s v="000"/>
    <x v="11"/>
    <x v="2"/>
  </r>
  <r>
    <d v="2013-09-01T00:00:00"/>
    <s v="018-2210-000"/>
    <s v="Liquor Sales"/>
    <n v="2061.8597999999997"/>
    <n v="0"/>
    <s v="Daily Sales Import"/>
    <n v="-2061.8597999999997"/>
    <n v="2061.8597999999997"/>
    <x v="2"/>
    <s v="2210"/>
    <s v="000"/>
    <x v="11"/>
    <x v="2"/>
  </r>
  <r>
    <d v="2013-09-01T00:00:00"/>
    <s v="018-2220-000"/>
    <s v="Beer Sales"/>
    <n v="538.63690000000008"/>
    <n v="0"/>
    <s v="Daily Sales Import"/>
    <n v="-538.63690000000008"/>
    <n v="538.63690000000008"/>
    <x v="2"/>
    <s v="2220"/>
    <s v="000"/>
    <x v="11"/>
    <x v="2"/>
  </r>
  <r>
    <d v="2013-09-01T00:00:00"/>
    <s v="018-2230-000"/>
    <s v="Wine Sales"/>
    <n v="108.521"/>
    <n v="0"/>
    <s v="Daily Sales Import"/>
    <n v="-108.521"/>
    <n v="108.521"/>
    <x v="2"/>
    <s v="2230"/>
    <s v="000"/>
    <x v="11"/>
    <x v="2"/>
  </r>
  <r>
    <d v="2013-08-26T00:00:00"/>
    <s v="019-2100-000"/>
    <s v="Food Sales"/>
    <n v="2032.3979999999999"/>
    <n v="0"/>
    <s v="Daily Sales Import"/>
    <n v="-2032.3979999999999"/>
    <n v="2032.3979999999999"/>
    <x v="3"/>
    <s v="2100"/>
    <s v="000"/>
    <x v="10"/>
    <x v="2"/>
  </r>
  <r>
    <d v="2013-08-26T00:00:00"/>
    <s v="019-2210-000"/>
    <s v="Liquor Sales"/>
    <n v="737.18939999999998"/>
    <n v="0"/>
    <s v="Daily Sales Import"/>
    <n v="-737.18939999999998"/>
    <n v="737.18939999999998"/>
    <x v="3"/>
    <s v="2210"/>
    <s v="000"/>
    <x v="10"/>
    <x v="2"/>
  </r>
  <r>
    <d v="2013-08-26T00:00:00"/>
    <s v="019-2220-000"/>
    <s v="Beer Sales"/>
    <n v="184.10999999999999"/>
    <n v="0"/>
    <s v="Daily Sales Import"/>
    <n v="-184.10999999999999"/>
    <n v="184.10999999999999"/>
    <x v="3"/>
    <s v="2220"/>
    <s v="000"/>
    <x v="10"/>
    <x v="2"/>
  </r>
  <r>
    <d v="2013-08-26T00:00:00"/>
    <s v="019-2230-000"/>
    <s v="Wine Sales"/>
    <n v="70.150499999999994"/>
    <n v="0"/>
    <s v="Daily Sales Import"/>
    <n v="-70.150499999999994"/>
    <n v="70.150499999999994"/>
    <x v="3"/>
    <s v="2230"/>
    <s v="000"/>
    <x v="10"/>
    <x v="2"/>
  </r>
  <r>
    <d v="2013-08-27T00:00:00"/>
    <s v="019-2100-000"/>
    <s v="Food Sales"/>
    <n v="2357.3130000000001"/>
    <n v="0"/>
    <s v="Daily Sales Import"/>
    <n v="-2357.3130000000001"/>
    <n v="2357.3130000000001"/>
    <x v="3"/>
    <s v="2100"/>
    <s v="000"/>
    <x v="10"/>
    <x v="2"/>
  </r>
  <r>
    <d v="2013-08-27T00:00:00"/>
    <s v="019-2210-000"/>
    <s v="Liquor Sales"/>
    <n v="568.31849999999997"/>
    <n v="0"/>
    <s v="Daily Sales Import"/>
    <n v="-568.31849999999997"/>
    <n v="568.31849999999997"/>
    <x v="3"/>
    <s v="2210"/>
    <s v="000"/>
    <x v="10"/>
    <x v="2"/>
  </r>
  <r>
    <d v="2013-08-27T00:00:00"/>
    <s v="019-2220-000"/>
    <s v="Beer Sales"/>
    <n v="124.864"/>
    <n v="0"/>
    <s v="Daily Sales Import"/>
    <n v="-124.864"/>
    <n v="124.864"/>
    <x v="3"/>
    <s v="2220"/>
    <s v="000"/>
    <x v="10"/>
    <x v="2"/>
  </r>
  <r>
    <d v="2013-08-27T00:00:00"/>
    <s v="019-2230-000"/>
    <s v="Wine Sales"/>
    <n v="43.458799999999997"/>
    <n v="0"/>
    <s v="Daily Sales Import"/>
    <n v="-43.458799999999997"/>
    <n v="43.458799999999997"/>
    <x v="3"/>
    <s v="2230"/>
    <s v="000"/>
    <x v="10"/>
    <x v="2"/>
  </r>
  <r>
    <d v="2013-08-28T00:00:00"/>
    <s v="019-2100-000"/>
    <s v="Food Sales"/>
    <n v="3866.6376"/>
    <n v="0"/>
    <s v="Daily Sales Import"/>
    <n v="-3866.6376"/>
    <n v="3866.6376"/>
    <x v="3"/>
    <s v="2100"/>
    <s v="000"/>
    <x v="10"/>
    <x v="2"/>
  </r>
  <r>
    <d v="2013-08-28T00:00:00"/>
    <s v="019-2210-000"/>
    <s v="Liquor Sales"/>
    <n v="1177.8382000000001"/>
    <n v="0"/>
    <s v="Daily Sales Import"/>
    <n v="-1177.8382000000001"/>
    <n v="1177.8382000000001"/>
    <x v="3"/>
    <s v="2210"/>
    <s v="000"/>
    <x v="10"/>
    <x v="2"/>
  </r>
  <r>
    <d v="2013-08-28T00:00:00"/>
    <s v="019-2220-000"/>
    <s v="Beer Sales"/>
    <n v="283.18739999999997"/>
    <n v="0"/>
    <s v="Daily Sales Import"/>
    <n v="-283.18739999999997"/>
    <n v="283.18739999999997"/>
    <x v="3"/>
    <s v="2220"/>
    <s v="000"/>
    <x v="10"/>
    <x v="2"/>
  </r>
  <r>
    <d v="2013-08-28T00:00:00"/>
    <s v="019-2230-000"/>
    <s v="Wine Sales"/>
    <n v="112.15360000000001"/>
    <n v="0"/>
    <s v="Daily Sales Import"/>
    <n v="-112.15360000000001"/>
    <n v="112.15360000000001"/>
    <x v="3"/>
    <s v="2230"/>
    <s v="000"/>
    <x v="10"/>
    <x v="2"/>
  </r>
  <r>
    <d v="2013-08-29T00:00:00"/>
    <s v="019-2100-000"/>
    <s v="Food Sales"/>
    <n v="4072.0120000000006"/>
    <n v="0"/>
    <s v="Daily Sales Import"/>
    <n v="-4072.0120000000006"/>
    <n v="4072.0120000000006"/>
    <x v="3"/>
    <s v="2100"/>
    <s v="000"/>
    <x v="10"/>
    <x v="2"/>
  </r>
  <r>
    <d v="2013-08-29T00:00:00"/>
    <s v="019-2210-000"/>
    <s v="Liquor Sales"/>
    <n v="1315.2225000000001"/>
    <n v="0"/>
    <s v="Daily Sales Import"/>
    <n v="-1315.2225000000001"/>
    <n v="1315.2225000000001"/>
    <x v="3"/>
    <s v="2210"/>
    <s v="000"/>
    <x v="10"/>
    <x v="2"/>
  </r>
  <r>
    <d v="2013-08-29T00:00:00"/>
    <s v="019-2220-000"/>
    <s v="Beer Sales"/>
    <n v="197.3331"/>
    <n v="0"/>
    <s v="Daily Sales Import"/>
    <n v="-197.3331"/>
    <n v="197.3331"/>
    <x v="3"/>
    <s v="2220"/>
    <s v="000"/>
    <x v="10"/>
    <x v="2"/>
  </r>
  <r>
    <d v="2013-08-29T00:00:00"/>
    <s v="019-2230-000"/>
    <s v="Wine Sales"/>
    <n v="56.88"/>
    <n v="0"/>
    <s v="Daily Sales Import"/>
    <n v="-56.88"/>
    <n v="56.88"/>
    <x v="3"/>
    <s v="2230"/>
    <s v="000"/>
    <x v="10"/>
    <x v="2"/>
  </r>
  <r>
    <d v="2013-08-30T00:00:00"/>
    <s v="019-2100-000"/>
    <s v="Food Sales"/>
    <n v="4775.2062999999998"/>
    <n v="0"/>
    <s v="Daily Sales Import"/>
    <n v="-4775.2062999999998"/>
    <n v="4775.2062999999998"/>
    <x v="3"/>
    <s v="2100"/>
    <s v="000"/>
    <x v="10"/>
    <x v="2"/>
  </r>
  <r>
    <d v="2013-08-30T00:00:00"/>
    <s v="019-2210-000"/>
    <s v="Liquor Sales"/>
    <n v="1852.5936000000002"/>
    <n v="0"/>
    <s v="Daily Sales Import"/>
    <n v="-1852.5936000000002"/>
    <n v="1852.5936000000002"/>
    <x v="3"/>
    <s v="2210"/>
    <s v="000"/>
    <x v="10"/>
    <x v="2"/>
  </r>
  <r>
    <d v="2013-08-30T00:00:00"/>
    <s v="019-2220-000"/>
    <s v="Beer Sales"/>
    <n v="402.67919999999998"/>
    <n v="0"/>
    <s v="Daily Sales Import"/>
    <n v="-402.67919999999998"/>
    <n v="402.67919999999998"/>
    <x v="3"/>
    <s v="2220"/>
    <s v="000"/>
    <x v="10"/>
    <x v="2"/>
  </r>
  <r>
    <d v="2013-08-30T00:00:00"/>
    <s v="019-2230-000"/>
    <s v="Wine Sales"/>
    <n v="160.95099999999999"/>
    <n v="0"/>
    <s v="Daily Sales Import"/>
    <n v="-160.95099999999999"/>
    <n v="160.95099999999999"/>
    <x v="3"/>
    <s v="2230"/>
    <s v="000"/>
    <x v="10"/>
    <x v="2"/>
  </r>
  <r>
    <d v="2013-08-31T00:00:00"/>
    <s v="019-2100-000"/>
    <s v="Food Sales"/>
    <n v="4548.7871999999998"/>
    <n v="0"/>
    <s v="Daily Sales Import"/>
    <n v="-4548.7871999999998"/>
    <n v="4548.7871999999998"/>
    <x v="3"/>
    <s v="2100"/>
    <s v="000"/>
    <x v="10"/>
    <x v="2"/>
  </r>
  <r>
    <d v="2013-08-31T00:00:00"/>
    <s v="019-2210-000"/>
    <s v="Liquor Sales"/>
    <n v="2517.5095000000001"/>
    <n v="0"/>
    <s v="Daily Sales Import"/>
    <n v="-2517.5095000000001"/>
    <n v="2517.5095000000001"/>
    <x v="3"/>
    <s v="2210"/>
    <s v="000"/>
    <x v="10"/>
    <x v="2"/>
  </r>
  <r>
    <d v="2013-08-31T00:00:00"/>
    <s v="019-2220-000"/>
    <s v="Beer Sales"/>
    <n v="606.28050000000007"/>
    <n v="0"/>
    <s v="Daily Sales Import"/>
    <n v="-606.28050000000007"/>
    <n v="606.28050000000007"/>
    <x v="3"/>
    <s v="2220"/>
    <s v="000"/>
    <x v="10"/>
    <x v="2"/>
  </r>
  <r>
    <d v="2013-08-31T00:00:00"/>
    <s v="019-2230-000"/>
    <s v="Wine Sales"/>
    <n v="29.722800000000003"/>
    <n v="0"/>
    <s v="Daily Sales Import"/>
    <n v="-29.722800000000003"/>
    <n v="29.722800000000003"/>
    <x v="3"/>
    <s v="2230"/>
    <s v="000"/>
    <x v="10"/>
    <x v="2"/>
  </r>
  <r>
    <d v="2013-09-01T00:00:00"/>
    <s v="019-2100-000"/>
    <s v="Food Sales"/>
    <n v="6841.9814999999999"/>
    <n v="0"/>
    <s v="Daily Sales Import"/>
    <n v="-6841.9814999999999"/>
    <n v="6841.9814999999999"/>
    <x v="3"/>
    <s v="2100"/>
    <s v="000"/>
    <x v="11"/>
    <x v="2"/>
  </r>
  <r>
    <d v="2013-09-01T00:00:00"/>
    <s v="019-2210-000"/>
    <s v="Liquor Sales"/>
    <n v="1971.4112999999998"/>
    <n v="0"/>
    <s v="Daily Sales Import"/>
    <n v="-1971.4112999999998"/>
    <n v="1971.4112999999998"/>
    <x v="3"/>
    <s v="2210"/>
    <s v="000"/>
    <x v="11"/>
    <x v="2"/>
  </r>
  <r>
    <d v="2013-09-01T00:00:00"/>
    <s v="019-2220-000"/>
    <s v="Beer Sales"/>
    <n v="353.50639999999999"/>
    <n v="0"/>
    <s v="Daily Sales Import"/>
    <n v="-353.50639999999999"/>
    <n v="353.50639999999999"/>
    <x v="3"/>
    <s v="2220"/>
    <s v="000"/>
    <x v="11"/>
    <x v="2"/>
  </r>
  <r>
    <d v="2013-09-01T00:00:00"/>
    <s v="019-2230-000"/>
    <s v="Wine Sales"/>
    <n v="96.555199999999985"/>
    <n v="0"/>
    <s v="Daily Sales Import"/>
    <n v="-96.555199999999985"/>
    <n v="96.555199999999985"/>
    <x v="3"/>
    <s v="2230"/>
    <s v="000"/>
    <x v="11"/>
    <x v="2"/>
  </r>
  <r>
    <d v="2013-09-02T00:00:00"/>
    <s v="016-2100-000"/>
    <s v="Food Sales"/>
    <n v="4093.6927999999998"/>
    <n v="0"/>
    <s v="Daily Sales Import"/>
    <n v="-4093.6927999999998"/>
    <n v="4093.6927999999998"/>
    <x v="0"/>
    <s v="2100"/>
    <s v="000"/>
    <x v="11"/>
    <x v="2"/>
  </r>
  <r>
    <d v="2013-09-02T00:00:00"/>
    <s v="016-2210-000"/>
    <s v="Liquor Sales"/>
    <n v="916.26660000000004"/>
    <n v="0"/>
    <s v="Daily Sales Import"/>
    <n v="-916.26660000000004"/>
    <n v="916.26660000000004"/>
    <x v="0"/>
    <s v="2210"/>
    <s v="000"/>
    <x v="11"/>
    <x v="2"/>
  </r>
  <r>
    <d v="2013-09-02T00:00:00"/>
    <s v="016-2220-000"/>
    <s v="Beer Sales"/>
    <n v="174.77599999999998"/>
    <n v="0"/>
    <s v="Daily Sales Import"/>
    <n v="-174.77599999999998"/>
    <n v="174.77599999999998"/>
    <x v="0"/>
    <s v="2220"/>
    <s v="000"/>
    <x v="11"/>
    <x v="2"/>
  </r>
  <r>
    <d v="2013-09-02T00:00:00"/>
    <s v="016-2230-000"/>
    <s v="Wine Sales"/>
    <n v="12.299999999999999"/>
    <n v="0"/>
    <s v="Daily Sales Import"/>
    <n v="-12.299999999999999"/>
    <n v="12.299999999999999"/>
    <x v="0"/>
    <s v="2230"/>
    <s v="000"/>
    <x v="11"/>
    <x v="2"/>
  </r>
  <r>
    <d v="2013-09-03T00:00:00"/>
    <s v="016-2100-000"/>
    <s v="Food Sales"/>
    <n v="5922.0603000000001"/>
    <n v="0"/>
    <s v="Daily Sales Import"/>
    <n v="-5922.0603000000001"/>
    <n v="5922.0603000000001"/>
    <x v="0"/>
    <s v="2100"/>
    <s v="000"/>
    <x v="11"/>
    <x v="2"/>
  </r>
  <r>
    <d v="2013-09-03T00:00:00"/>
    <s v="016-2210-000"/>
    <s v="Liquor Sales"/>
    <n v="1834.8848000000003"/>
    <n v="0"/>
    <s v="Daily Sales Import"/>
    <n v="-1834.8848000000003"/>
    <n v="1834.8848000000003"/>
    <x v="0"/>
    <s v="2210"/>
    <s v="000"/>
    <x v="11"/>
    <x v="2"/>
  </r>
  <r>
    <d v="2013-09-03T00:00:00"/>
    <s v="016-2220-000"/>
    <s v="Beer Sales"/>
    <n v="807.62639999999999"/>
    <n v="0"/>
    <s v="Daily Sales Import"/>
    <n v="-807.62639999999999"/>
    <n v="807.62639999999999"/>
    <x v="0"/>
    <s v="2220"/>
    <s v="000"/>
    <x v="11"/>
    <x v="2"/>
  </r>
  <r>
    <d v="2013-09-03T00:00:00"/>
    <s v="016-2230-000"/>
    <s v="Wine Sales"/>
    <n v="84.646799999999999"/>
    <n v="0"/>
    <s v="Daily Sales Import"/>
    <n v="-84.646799999999999"/>
    <n v="84.646799999999999"/>
    <x v="0"/>
    <s v="2230"/>
    <s v="000"/>
    <x v="11"/>
    <x v="2"/>
  </r>
  <r>
    <d v="2013-09-04T00:00:00"/>
    <s v="016-2100-000"/>
    <s v="Food Sales"/>
    <n v="1598.5365999999999"/>
    <n v="0"/>
    <s v="Daily Sales Import"/>
    <n v="-1598.5365999999999"/>
    <n v="1598.5365999999999"/>
    <x v="0"/>
    <s v="2100"/>
    <s v="000"/>
    <x v="11"/>
    <x v="2"/>
  </r>
  <r>
    <d v="2013-09-04T00:00:00"/>
    <s v="016-2210-000"/>
    <s v="Liquor Sales"/>
    <n v="407.75840000000005"/>
    <n v="0"/>
    <s v="Daily Sales Import"/>
    <n v="-407.75840000000005"/>
    <n v="407.75840000000005"/>
    <x v="0"/>
    <s v="2210"/>
    <s v="000"/>
    <x v="11"/>
    <x v="2"/>
  </r>
  <r>
    <d v="2013-09-04T00:00:00"/>
    <s v="016-2220-000"/>
    <s v="Beer Sales"/>
    <n v="40.555500000000002"/>
    <n v="0"/>
    <s v="Daily Sales Import"/>
    <n v="-40.555500000000002"/>
    <n v="40.555500000000002"/>
    <x v="0"/>
    <s v="2220"/>
    <s v="000"/>
    <x v="11"/>
    <x v="2"/>
  </r>
  <r>
    <d v="2013-09-04T00:00:00"/>
    <s v="016-2230-000"/>
    <s v="Wine Sales"/>
    <n v="61.078500000000005"/>
    <n v="0"/>
    <s v="Daily Sales Import"/>
    <n v="-61.078500000000005"/>
    <n v="61.078500000000005"/>
    <x v="0"/>
    <s v="2230"/>
    <s v="000"/>
    <x v="11"/>
    <x v="2"/>
  </r>
  <r>
    <d v="2013-09-05T00:00:00"/>
    <s v="016-2100-000"/>
    <s v="Food Sales"/>
    <n v="3132.2053999999998"/>
    <n v="0"/>
    <s v="Daily Sales Import"/>
    <n v="-3132.2053999999998"/>
    <n v="3132.2053999999998"/>
    <x v="0"/>
    <s v="2100"/>
    <s v="000"/>
    <x v="11"/>
    <x v="2"/>
  </r>
  <r>
    <d v="2013-09-05T00:00:00"/>
    <s v="016-2210-000"/>
    <s v="Liquor Sales"/>
    <n v="483.01550000000003"/>
    <n v="0"/>
    <s v="Daily Sales Import"/>
    <n v="-483.01550000000003"/>
    <n v="483.01550000000003"/>
    <x v="0"/>
    <s v="2210"/>
    <s v="000"/>
    <x v="11"/>
    <x v="2"/>
  </r>
  <r>
    <d v="2013-09-05T00:00:00"/>
    <s v="016-2220-000"/>
    <s v="Beer Sales"/>
    <n v="100.4975"/>
    <n v="0"/>
    <s v="Daily Sales Import"/>
    <n v="-100.4975"/>
    <n v="100.4975"/>
    <x v="0"/>
    <s v="2220"/>
    <s v="000"/>
    <x v="11"/>
    <x v="2"/>
  </r>
  <r>
    <d v="2013-09-05T00:00:00"/>
    <s v="016-2230-000"/>
    <s v="Wine Sales"/>
    <n v="33.701999999999998"/>
    <n v="0"/>
    <s v="Daily Sales Import"/>
    <n v="-33.701999999999998"/>
    <n v="33.701999999999998"/>
    <x v="0"/>
    <s v="2230"/>
    <s v="000"/>
    <x v="11"/>
    <x v="2"/>
  </r>
  <r>
    <d v="2013-09-06T00:00:00"/>
    <s v="016-2100-000"/>
    <s v="Food Sales"/>
    <n v="5649.0433999999996"/>
    <n v="0"/>
    <s v="Daily Sales Import"/>
    <n v="-5649.0433999999996"/>
    <n v="5649.0433999999996"/>
    <x v="0"/>
    <s v="2100"/>
    <s v="000"/>
    <x v="11"/>
    <x v="2"/>
  </r>
  <r>
    <d v="2013-09-06T00:00:00"/>
    <s v="016-2210-000"/>
    <s v="Liquor Sales"/>
    <n v="1390.9695999999999"/>
    <n v="0"/>
    <s v="Daily Sales Import"/>
    <n v="-1390.9695999999999"/>
    <n v="1390.9695999999999"/>
    <x v="0"/>
    <s v="2210"/>
    <s v="000"/>
    <x v="11"/>
    <x v="2"/>
  </r>
  <r>
    <d v="2013-09-06T00:00:00"/>
    <s v="016-2220-000"/>
    <s v="Beer Sales"/>
    <n v="341.14659999999998"/>
    <n v="0"/>
    <s v="Daily Sales Import"/>
    <n v="-341.14659999999998"/>
    <n v="341.14659999999998"/>
    <x v="0"/>
    <s v="2220"/>
    <s v="000"/>
    <x v="11"/>
    <x v="2"/>
  </r>
  <r>
    <d v="2013-09-06T00:00:00"/>
    <s v="016-2230-000"/>
    <s v="Wine Sales"/>
    <n v="115.97400000000002"/>
    <n v="0"/>
    <s v="Daily Sales Import"/>
    <n v="-115.97400000000002"/>
    <n v="115.97400000000002"/>
    <x v="0"/>
    <s v="2230"/>
    <s v="000"/>
    <x v="11"/>
    <x v="2"/>
  </r>
  <r>
    <d v="2013-09-07T00:00:00"/>
    <s v="016-2100-000"/>
    <s v="Food Sales"/>
    <n v="6109.5293999999994"/>
    <n v="0"/>
    <s v="Daily Sales Import"/>
    <n v="-6109.5293999999994"/>
    <n v="6109.5293999999994"/>
    <x v="0"/>
    <s v="2100"/>
    <s v="000"/>
    <x v="11"/>
    <x v="2"/>
  </r>
  <r>
    <d v="2013-09-07T00:00:00"/>
    <s v="016-2210-000"/>
    <s v="Liquor Sales"/>
    <n v="1537.0391999999999"/>
    <n v="0"/>
    <s v="Daily Sales Import"/>
    <n v="-1537.0391999999999"/>
    <n v="1537.0391999999999"/>
    <x v="0"/>
    <s v="2210"/>
    <s v="000"/>
    <x v="11"/>
    <x v="2"/>
  </r>
  <r>
    <d v="2013-09-07T00:00:00"/>
    <s v="016-2220-000"/>
    <s v="Beer Sales"/>
    <n v="318.52170000000001"/>
    <n v="0"/>
    <s v="Daily Sales Import"/>
    <n v="-318.52170000000001"/>
    <n v="318.52170000000001"/>
    <x v="0"/>
    <s v="2220"/>
    <s v="000"/>
    <x v="11"/>
    <x v="2"/>
  </r>
  <r>
    <d v="2013-09-07T00:00:00"/>
    <s v="016-2230-000"/>
    <s v="Wine Sales"/>
    <n v="72.428399999999996"/>
    <n v="0"/>
    <s v="Daily Sales Import"/>
    <n v="-72.428399999999996"/>
    <n v="72.428399999999996"/>
    <x v="0"/>
    <s v="2230"/>
    <s v="000"/>
    <x v="11"/>
    <x v="2"/>
  </r>
  <r>
    <d v="2013-09-08T00:00:00"/>
    <s v="016-2100-000"/>
    <s v="Food Sales"/>
    <n v="3342.7058000000002"/>
    <n v="0"/>
    <s v="Daily Sales Import"/>
    <n v="-3342.7058000000002"/>
    <n v="3342.7058000000002"/>
    <x v="0"/>
    <s v="2100"/>
    <s v="000"/>
    <x v="11"/>
    <x v="2"/>
  </r>
  <r>
    <d v="2013-09-08T00:00:00"/>
    <s v="016-2210-000"/>
    <s v="Liquor Sales"/>
    <n v="541.35329999999999"/>
    <n v="0"/>
    <s v="Daily Sales Import"/>
    <n v="-541.35329999999999"/>
    <n v="541.35329999999999"/>
    <x v="0"/>
    <s v="2210"/>
    <s v="000"/>
    <x v="11"/>
    <x v="2"/>
  </r>
  <r>
    <d v="2013-09-08T00:00:00"/>
    <s v="016-2220-000"/>
    <s v="Beer Sales"/>
    <n v="83.003799999999998"/>
    <n v="0"/>
    <s v="Daily Sales Import"/>
    <n v="-83.003799999999998"/>
    <n v="83.003799999999998"/>
    <x v="0"/>
    <s v="2220"/>
    <s v="000"/>
    <x v="11"/>
    <x v="2"/>
  </r>
  <r>
    <d v="2013-09-08T00:00:00"/>
    <s v="016-2230-000"/>
    <s v="Wine Sales"/>
    <n v="12.1713"/>
    <n v="0"/>
    <s v="Daily Sales Import"/>
    <n v="-12.1713"/>
    <n v="12.1713"/>
    <x v="0"/>
    <s v="2230"/>
    <s v="000"/>
    <x v="11"/>
    <x v="2"/>
  </r>
  <r>
    <d v="2013-09-02T00:00:00"/>
    <s v="017-2100-000"/>
    <s v="Food Sales"/>
    <n v="3680.5244000000002"/>
    <n v="0"/>
    <s v="Daily Sales Import"/>
    <n v="-3680.5244000000002"/>
    <n v="3680.5244000000002"/>
    <x v="1"/>
    <s v="2100"/>
    <s v="000"/>
    <x v="11"/>
    <x v="2"/>
  </r>
  <r>
    <d v="2013-09-02T00:00:00"/>
    <s v="017-2210-000"/>
    <s v="Liquor Sales"/>
    <n v="849.77639999999985"/>
    <n v="0"/>
    <s v="Daily Sales Import"/>
    <n v="-849.77639999999985"/>
    <n v="849.77639999999985"/>
    <x v="1"/>
    <s v="2210"/>
    <s v="000"/>
    <x v="11"/>
    <x v="2"/>
  </r>
  <r>
    <d v="2013-09-02T00:00:00"/>
    <s v="017-2220-000"/>
    <s v="Beer Sales"/>
    <n v="122.56469999999999"/>
    <n v="0"/>
    <s v="Daily Sales Import"/>
    <n v="-122.56469999999999"/>
    <n v="122.56469999999999"/>
    <x v="1"/>
    <s v="2220"/>
    <s v="000"/>
    <x v="11"/>
    <x v="2"/>
  </r>
  <r>
    <d v="2013-09-02T00:00:00"/>
    <s v="017-2230-000"/>
    <s v="Wine Sales"/>
    <n v="75.262199999999993"/>
    <n v="0"/>
    <s v="Daily Sales Import"/>
    <n v="-75.262199999999993"/>
    <n v="75.262199999999993"/>
    <x v="1"/>
    <s v="2230"/>
    <s v="000"/>
    <x v="11"/>
    <x v="2"/>
  </r>
  <r>
    <d v="2013-09-03T00:00:00"/>
    <s v="017-2100-000"/>
    <s v="Food Sales"/>
    <n v="4382.3924000000006"/>
    <n v="0"/>
    <s v="Daily Sales Import"/>
    <n v="-4382.3924000000006"/>
    <n v="4382.3924000000006"/>
    <x v="1"/>
    <s v="2100"/>
    <s v="000"/>
    <x v="11"/>
    <x v="2"/>
  </r>
  <r>
    <d v="2013-09-03T00:00:00"/>
    <s v="017-2210-000"/>
    <s v="Liquor Sales"/>
    <n v="901.88559999999995"/>
    <n v="0"/>
    <s v="Daily Sales Import"/>
    <n v="-901.88559999999995"/>
    <n v="901.88559999999995"/>
    <x v="1"/>
    <s v="2210"/>
    <s v="000"/>
    <x v="11"/>
    <x v="2"/>
  </r>
  <r>
    <d v="2013-09-03T00:00:00"/>
    <s v="017-2220-000"/>
    <s v="Beer Sales"/>
    <n v="238.11060000000003"/>
    <n v="0"/>
    <s v="Daily Sales Import"/>
    <n v="-238.11060000000003"/>
    <n v="238.11060000000003"/>
    <x v="1"/>
    <s v="2220"/>
    <s v="000"/>
    <x v="11"/>
    <x v="2"/>
  </r>
  <r>
    <d v="2013-09-03T00:00:00"/>
    <s v="017-2230-000"/>
    <s v="Wine Sales"/>
    <n v="48.635599999999997"/>
    <n v="0"/>
    <s v="Daily Sales Import"/>
    <n v="-48.635599999999997"/>
    <n v="48.635599999999997"/>
    <x v="1"/>
    <s v="2230"/>
    <s v="000"/>
    <x v="11"/>
    <x v="2"/>
  </r>
  <r>
    <d v="2013-09-04T00:00:00"/>
    <s v="017-2100-000"/>
    <s v="Food Sales"/>
    <n v="4374.1457999999993"/>
    <n v="0"/>
    <s v="Daily Sales Import"/>
    <n v="-4374.1457999999993"/>
    <n v="4374.1457999999993"/>
    <x v="1"/>
    <s v="2100"/>
    <s v="000"/>
    <x v="11"/>
    <x v="2"/>
  </r>
  <r>
    <d v="2013-09-04T00:00:00"/>
    <s v="017-2210-000"/>
    <s v="Liquor Sales"/>
    <n v="1765.6232"/>
    <n v="0"/>
    <s v="Daily Sales Import"/>
    <n v="-1765.6232"/>
    <n v="1765.6232"/>
    <x v="1"/>
    <s v="2210"/>
    <s v="000"/>
    <x v="11"/>
    <x v="2"/>
  </r>
  <r>
    <d v="2013-09-04T00:00:00"/>
    <s v="017-2220-000"/>
    <s v="Beer Sales"/>
    <n v="377.78879999999998"/>
    <n v="0"/>
    <s v="Daily Sales Import"/>
    <n v="-377.78879999999998"/>
    <n v="377.78879999999998"/>
    <x v="1"/>
    <s v="2220"/>
    <s v="000"/>
    <x v="11"/>
    <x v="2"/>
  </r>
  <r>
    <d v="2013-09-04T00:00:00"/>
    <s v="017-2230-000"/>
    <s v="Wine Sales"/>
    <n v="41.6556"/>
    <n v="0"/>
    <s v="Daily Sales Import"/>
    <n v="-41.6556"/>
    <n v="41.6556"/>
    <x v="1"/>
    <s v="2230"/>
    <s v="000"/>
    <x v="11"/>
    <x v="2"/>
  </r>
  <r>
    <d v="2013-09-05T00:00:00"/>
    <s v="017-2100-000"/>
    <s v="Food Sales"/>
    <n v="3222.4080000000004"/>
    <n v="0"/>
    <s v="Daily Sales Import"/>
    <n v="-3222.4080000000004"/>
    <n v="3222.4080000000004"/>
    <x v="1"/>
    <s v="2100"/>
    <s v="000"/>
    <x v="11"/>
    <x v="2"/>
  </r>
  <r>
    <d v="2013-09-05T00:00:00"/>
    <s v="017-2210-000"/>
    <s v="Liquor Sales"/>
    <n v="2093.9067000000005"/>
    <n v="0"/>
    <s v="Daily Sales Import"/>
    <n v="-2093.9067000000005"/>
    <n v="2093.9067000000005"/>
    <x v="1"/>
    <s v="2210"/>
    <s v="000"/>
    <x v="11"/>
    <x v="2"/>
  </r>
  <r>
    <d v="2013-09-05T00:00:00"/>
    <s v="017-2220-000"/>
    <s v="Beer Sales"/>
    <n v="373.06400000000002"/>
    <n v="0"/>
    <s v="Daily Sales Import"/>
    <n v="-373.06400000000002"/>
    <n v="373.06400000000002"/>
    <x v="1"/>
    <s v="2220"/>
    <s v="000"/>
    <x v="11"/>
    <x v="2"/>
  </r>
  <r>
    <d v="2013-09-05T00:00:00"/>
    <s v="017-2230-000"/>
    <s v="Wine Sales"/>
    <n v="155.25909999999999"/>
    <n v="0"/>
    <s v="Daily Sales Import"/>
    <n v="-155.25909999999999"/>
    <n v="155.25909999999999"/>
    <x v="1"/>
    <s v="2230"/>
    <s v="000"/>
    <x v="11"/>
    <x v="2"/>
  </r>
  <r>
    <d v="2013-09-06T00:00:00"/>
    <s v="017-2100-000"/>
    <s v="Food Sales"/>
    <n v="8323.7759999999998"/>
    <n v="0"/>
    <s v="Daily Sales Import"/>
    <n v="-8323.7759999999998"/>
    <n v="8323.7759999999998"/>
    <x v="1"/>
    <s v="2100"/>
    <s v="000"/>
    <x v="11"/>
    <x v="2"/>
  </r>
  <r>
    <d v="2013-09-06T00:00:00"/>
    <s v="017-2210-000"/>
    <s v="Liquor Sales"/>
    <n v="1883.193"/>
    <n v="0"/>
    <s v="Daily Sales Import"/>
    <n v="-1883.193"/>
    <n v="1883.193"/>
    <x v="1"/>
    <s v="2210"/>
    <s v="000"/>
    <x v="11"/>
    <x v="2"/>
  </r>
  <r>
    <d v="2013-09-06T00:00:00"/>
    <s v="017-2220-000"/>
    <s v="Beer Sales"/>
    <n v="317.89170000000001"/>
    <n v="0"/>
    <s v="Daily Sales Import"/>
    <n v="-317.89170000000001"/>
    <n v="317.89170000000001"/>
    <x v="1"/>
    <s v="2220"/>
    <s v="000"/>
    <x v="11"/>
    <x v="2"/>
  </r>
  <r>
    <d v="2013-09-06T00:00:00"/>
    <s v="017-2230-000"/>
    <s v="Wine Sales"/>
    <n v="92.916000000000011"/>
    <n v="0"/>
    <s v="Daily Sales Import"/>
    <n v="-92.916000000000011"/>
    <n v="92.916000000000011"/>
    <x v="1"/>
    <s v="2230"/>
    <s v="000"/>
    <x v="11"/>
    <x v="2"/>
  </r>
  <r>
    <d v="2013-09-07T00:00:00"/>
    <s v="017-2100-000"/>
    <s v="Food Sales"/>
    <n v="5679.7065999999995"/>
    <n v="0"/>
    <s v="Daily Sales Import"/>
    <n v="-5679.7065999999995"/>
    <n v="5679.7065999999995"/>
    <x v="1"/>
    <s v="2100"/>
    <s v="000"/>
    <x v="11"/>
    <x v="2"/>
  </r>
  <r>
    <d v="2013-09-07T00:00:00"/>
    <s v="017-2210-000"/>
    <s v="Liquor Sales"/>
    <n v="1525.9384"/>
    <n v="0"/>
    <s v="Daily Sales Import"/>
    <n v="-1525.9384"/>
    <n v="1525.9384"/>
    <x v="1"/>
    <s v="2210"/>
    <s v="000"/>
    <x v="11"/>
    <x v="2"/>
  </r>
  <r>
    <d v="2013-09-07T00:00:00"/>
    <s v="017-2220-000"/>
    <s v="Beer Sales"/>
    <n v="230.00900000000001"/>
    <n v="0"/>
    <s v="Daily Sales Import"/>
    <n v="-230.00900000000001"/>
    <n v="230.00900000000001"/>
    <x v="1"/>
    <s v="2220"/>
    <s v="000"/>
    <x v="11"/>
    <x v="2"/>
  </r>
  <r>
    <d v="2013-09-07T00:00:00"/>
    <s v="017-2230-000"/>
    <s v="Wine Sales"/>
    <n v="60.508500000000005"/>
    <n v="0"/>
    <s v="Daily Sales Import"/>
    <n v="-60.508500000000005"/>
    <n v="60.508500000000005"/>
    <x v="1"/>
    <s v="2230"/>
    <s v="000"/>
    <x v="11"/>
    <x v="2"/>
  </r>
  <r>
    <d v="2013-09-08T00:00:00"/>
    <s v="017-2100-000"/>
    <s v="Food Sales"/>
    <n v="4146.9120000000003"/>
    <n v="0"/>
    <s v="Daily Sales Import"/>
    <n v="-4146.9120000000003"/>
    <n v="4146.9120000000003"/>
    <x v="1"/>
    <s v="2100"/>
    <s v="000"/>
    <x v="11"/>
    <x v="2"/>
  </r>
  <r>
    <d v="2013-09-08T00:00:00"/>
    <s v="017-2210-000"/>
    <s v="Liquor Sales"/>
    <n v="900.4319999999999"/>
    <n v="0"/>
    <s v="Daily Sales Import"/>
    <n v="-900.4319999999999"/>
    <n v="900.4319999999999"/>
    <x v="1"/>
    <s v="2210"/>
    <s v="000"/>
    <x v="11"/>
    <x v="2"/>
  </r>
  <r>
    <d v="2013-09-08T00:00:00"/>
    <s v="017-2220-000"/>
    <s v="Beer Sales"/>
    <n v="260.77480000000003"/>
    <n v="0"/>
    <s v="Daily Sales Import"/>
    <n v="-260.77480000000003"/>
    <n v="260.77480000000003"/>
    <x v="1"/>
    <s v="2220"/>
    <s v="000"/>
    <x v="11"/>
    <x v="2"/>
  </r>
  <r>
    <d v="2013-09-08T00:00:00"/>
    <s v="017-2230-000"/>
    <s v="Wine Sales"/>
    <n v="108.2079"/>
    <n v="0"/>
    <s v="Daily Sales Import"/>
    <n v="-108.2079"/>
    <n v="108.2079"/>
    <x v="1"/>
    <s v="2230"/>
    <s v="000"/>
    <x v="11"/>
    <x v="2"/>
  </r>
  <r>
    <d v="2013-09-02T00:00:00"/>
    <s v="018-2100-000"/>
    <s v="Food Sales"/>
    <n v="11125.868"/>
    <n v="0"/>
    <s v="Daily Sales Import"/>
    <n v="-11125.868"/>
    <n v="11125.868"/>
    <x v="2"/>
    <s v="2100"/>
    <s v="000"/>
    <x v="11"/>
    <x v="2"/>
  </r>
  <r>
    <d v="2013-09-02T00:00:00"/>
    <s v="018-2210-000"/>
    <s v="Liquor Sales"/>
    <n v="1591.1104"/>
    <n v="0"/>
    <s v="Daily Sales Import"/>
    <n v="-1591.1104"/>
    <n v="1591.1104"/>
    <x v="2"/>
    <s v="2210"/>
    <s v="000"/>
    <x v="11"/>
    <x v="2"/>
  </r>
  <r>
    <d v="2013-09-02T00:00:00"/>
    <s v="018-2220-000"/>
    <s v="Beer Sales"/>
    <n v="403.66339999999997"/>
    <n v="0"/>
    <s v="Daily Sales Import"/>
    <n v="-403.66339999999997"/>
    <n v="403.66339999999997"/>
    <x v="2"/>
    <s v="2220"/>
    <s v="000"/>
    <x v="11"/>
    <x v="2"/>
  </r>
  <r>
    <d v="2013-09-02T00:00:00"/>
    <s v="018-2230-000"/>
    <s v="Wine Sales"/>
    <n v="109.9584"/>
    <n v="0"/>
    <s v="Daily Sales Import"/>
    <n v="-109.9584"/>
    <n v="109.9584"/>
    <x v="2"/>
    <s v="2230"/>
    <s v="000"/>
    <x v="11"/>
    <x v="2"/>
  </r>
  <r>
    <d v="2013-09-03T00:00:00"/>
    <s v="018-2100-000"/>
    <s v="Food Sales"/>
    <n v="2772.7280000000005"/>
    <n v="0"/>
    <s v="Daily Sales Import"/>
    <n v="-2772.7280000000005"/>
    <n v="2772.7280000000005"/>
    <x v="2"/>
    <s v="2100"/>
    <s v="000"/>
    <x v="11"/>
    <x v="2"/>
  </r>
  <r>
    <d v="2013-09-03T00:00:00"/>
    <s v="018-2210-000"/>
    <s v="Liquor Sales"/>
    <n v="523.12819999999999"/>
    <n v="0"/>
    <s v="Daily Sales Import"/>
    <n v="-523.12819999999999"/>
    <n v="523.12819999999999"/>
    <x v="2"/>
    <s v="2210"/>
    <s v="000"/>
    <x v="11"/>
    <x v="2"/>
  </r>
  <r>
    <d v="2013-09-03T00:00:00"/>
    <s v="018-2220-000"/>
    <s v="Beer Sales"/>
    <n v="133.7364"/>
    <n v="0"/>
    <s v="Daily Sales Import"/>
    <n v="-133.7364"/>
    <n v="133.7364"/>
    <x v="2"/>
    <s v="2220"/>
    <s v="000"/>
    <x v="11"/>
    <x v="2"/>
  </r>
  <r>
    <d v="2013-09-03T00:00:00"/>
    <s v="018-2230-000"/>
    <s v="Wine Sales"/>
    <n v="47.438999999999993"/>
    <n v="0"/>
    <s v="Daily Sales Import"/>
    <n v="-47.438999999999993"/>
    <n v="47.438999999999993"/>
    <x v="2"/>
    <s v="2230"/>
    <s v="000"/>
    <x v="11"/>
    <x v="2"/>
  </r>
  <r>
    <d v="2013-09-04T00:00:00"/>
    <s v="018-2100-000"/>
    <s v="Food Sales"/>
    <n v="3225.0333999999998"/>
    <n v="0"/>
    <s v="Daily Sales Import"/>
    <n v="-3225.0333999999998"/>
    <n v="3225.0333999999998"/>
    <x v="2"/>
    <s v="2100"/>
    <s v="000"/>
    <x v="11"/>
    <x v="2"/>
  </r>
  <r>
    <d v="2013-09-04T00:00:00"/>
    <s v="018-2210-000"/>
    <s v="Liquor Sales"/>
    <n v="691.86779999999999"/>
    <n v="0"/>
    <s v="Daily Sales Import"/>
    <n v="-691.86779999999999"/>
    <n v="691.86779999999999"/>
    <x v="2"/>
    <s v="2210"/>
    <s v="000"/>
    <x v="11"/>
    <x v="2"/>
  </r>
  <r>
    <d v="2013-09-04T00:00:00"/>
    <s v="018-2220-000"/>
    <s v="Beer Sales"/>
    <n v="170.202"/>
    <n v="0"/>
    <s v="Daily Sales Import"/>
    <n v="-170.202"/>
    <n v="170.202"/>
    <x v="2"/>
    <s v="2220"/>
    <s v="000"/>
    <x v="11"/>
    <x v="2"/>
  </r>
  <r>
    <d v="2013-09-05T00:00:00"/>
    <s v="018-2100-000"/>
    <s v="Food Sales"/>
    <n v="3167.5925000000002"/>
    <n v="0"/>
    <s v="Daily Sales Import"/>
    <n v="-3167.5925000000002"/>
    <n v="3167.5925000000002"/>
    <x v="2"/>
    <s v="2100"/>
    <s v="000"/>
    <x v="11"/>
    <x v="2"/>
  </r>
  <r>
    <d v="2013-09-05T00:00:00"/>
    <s v="018-2210-000"/>
    <s v="Liquor Sales"/>
    <n v="692.68320000000006"/>
    <n v="0"/>
    <s v="Daily Sales Import"/>
    <n v="-692.68320000000006"/>
    <n v="692.68320000000006"/>
    <x v="2"/>
    <s v="2210"/>
    <s v="000"/>
    <x v="11"/>
    <x v="2"/>
  </r>
  <r>
    <d v="2013-09-05T00:00:00"/>
    <s v="018-2220-000"/>
    <s v="Beer Sales"/>
    <n v="182.49600000000001"/>
    <n v="0"/>
    <s v="Daily Sales Import"/>
    <n v="-182.49600000000001"/>
    <n v="182.49600000000001"/>
    <x v="2"/>
    <s v="2220"/>
    <s v="000"/>
    <x v="11"/>
    <x v="2"/>
  </r>
  <r>
    <d v="2013-09-05T00:00:00"/>
    <s v="018-2230-000"/>
    <s v="Wine Sales"/>
    <n v="46.587199999999996"/>
    <n v="0"/>
    <s v="Daily Sales Import"/>
    <n v="-46.587199999999996"/>
    <n v="46.587199999999996"/>
    <x v="2"/>
    <s v="2230"/>
    <s v="000"/>
    <x v="11"/>
    <x v="2"/>
  </r>
  <r>
    <d v="2013-09-06T00:00:00"/>
    <s v="018-2100-000"/>
    <s v="Food Sales"/>
    <n v="12437.772300000001"/>
    <n v="0"/>
    <s v="Daily Sales Import"/>
    <n v="-12437.772300000001"/>
    <n v="12437.772300000001"/>
    <x v="2"/>
    <s v="2100"/>
    <s v="000"/>
    <x v="11"/>
    <x v="2"/>
  </r>
  <r>
    <d v="2013-09-06T00:00:00"/>
    <s v="018-2210-000"/>
    <s v="Liquor Sales"/>
    <n v="3668.9876000000004"/>
    <n v="0"/>
    <s v="Daily Sales Import"/>
    <n v="-3668.9876000000004"/>
    <n v="3668.9876000000004"/>
    <x v="2"/>
    <s v="2210"/>
    <s v="000"/>
    <x v="11"/>
    <x v="2"/>
  </r>
  <r>
    <d v="2013-09-06T00:00:00"/>
    <s v="018-2220-000"/>
    <s v="Beer Sales"/>
    <n v="584.42759999999998"/>
    <n v="0"/>
    <s v="Daily Sales Import"/>
    <n v="-584.42759999999998"/>
    <n v="584.42759999999998"/>
    <x v="2"/>
    <s v="2220"/>
    <s v="000"/>
    <x v="11"/>
    <x v="2"/>
  </r>
  <r>
    <d v="2013-09-06T00:00:00"/>
    <s v="018-2230-000"/>
    <s v="Wine Sales"/>
    <n v="98.576400000000007"/>
    <n v="0"/>
    <s v="Daily Sales Import"/>
    <n v="-98.576400000000007"/>
    <n v="98.576400000000007"/>
    <x v="2"/>
    <s v="2230"/>
    <s v="000"/>
    <x v="11"/>
    <x v="2"/>
  </r>
  <r>
    <d v="2013-09-07T00:00:00"/>
    <s v="018-2100-000"/>
    <s v="Food Sales"/>
    <n v="14622.551600000001"/>
    <n v="0"/>
    <s v="Daily Sales Import"/>
    <n v="-14622.551600000001"/>
    <n v="14622.551600000001"/>
    <x v="2"/>
    <s v="2100"/>
    <s v="000"/>
    <x v="11"/>
    <x v="2"/>
  </r>
  <r>
    <d v="2013-09-07T00:00:00"/>
    <s v="018-2210-000"/>
    <s v="Liquor Sales"/>
    <n v="2649.7249999999999"/>
    <n v="0"/>
    <s v="Daily Sales Import"/>
    <n v="-2649.7249999999999"/>
    <n v="2649.7249999999999"/>
    <x v="2"/>
    <s v="2210"/>
    <s v="000"/>
    <x v="11"/>
    <x v="2"/>
  </r>
  <r>
    <d v="2013-09-07T00:00:00"/>
    <s v="018-2220-000"/>
    <s v="Beer Sales"/>
    <n v="457.358"/>
    <n v="0"/>
    <s v="Daily Sales Import"/>
    <n v="-457.358"/>
    <n v="457.358"/>
    <x v="2"/>
    <s v="2220"/>
    <s v="000"/>
    <x v="11"/>
    <x v="2"/>
  </r>
  <r>
    <d v="2013-09-07T00:00:00"/>
    <s v="018-2230-000"/>
    <s v="Wine Sales"/>
    <n v="115.7535"/>
    <n v="0"/>
    <s v="Daily Sales Import"/>
    <n v="-115.7535"/>
    <n v="115.7535"/>
    <x v="2"/>
    <s v="2230"/>
    <s v="000"/>
    <x v="11"/>
    <x v="2"/>
  </r>
  <r>
    <d v="2013-09-08T00:00:00"/>
    <s v="018-2100-000"/>
    <s v="Food Sales"/>
    <n v="7001.8361999999997"/>
    <n v="0"/>
    <s v="Daily Sales Import"/>
    <n v="-7001.8361999999997"/>
    <n v="7001.8361999999997"/>
    <x v="2"/>
    <s v="2100"/>
    <s v="000"/>
    <x v="11"/>
    <x v="2"/>
  </r>
  <r>
    <d v="2013-09-08T00:00:00"/>
    <s v="018-2210-000"/>
    <s v="Liquor Sales"/>
    <n v="1089.1422"/>
    <n v="0"/>
    <s v="Daily Sales Import"/>
    <n v="-1089.1422"/>
    <n v="1089.1422"/>
    <x v="2"/>
    <s v="2210"/>
    <s v="000"/>
    <x v="11"/>
    <x v="2"/>
  </r>
  <r>
    <d v="2013-09-08T00:00:00"/>
    <s v="018-2220-000"/>
    <s v="Beer Sales"/>
    <n v="282.94560000000001"/>
    <n v="0"/>
    <s v="Daily Sales Import"/>
    <n v="-282.94560000000001"/>
    <n v="282.94560000000001"/>
    <x v="2"/>
    <s v="2220"/>
    <s v="000"/>
    <x v="11"/>
    <x v="2"/>
  </r>
  <r>
    <d v="2013-09-08T00:00:00"/>
    <s v="018-2230-000"/>
    <s v="Wine Sales"/>
    <n v="36.148499999999999"/>
    <n v="0"/>
    <s v="Daily Sales Import"/>
    <n v="-36.148499999999999"/>
    <n v="36.148499999999999"/>
    <x v="2"/>
    <s v="2230"/>
    <s v="000"/>
    <x v="11"/>
    <x v="2"/>
  </r>
  <r>
    <d v="2013-09-02T00:00:00"/>
    <s v="019-2100-000"/>
    <s v="Food Sales"/>
    <n v="2947.0950000000003"/>
    <n v="0"/>
    <s v="Daily Sales Import"/>
    <n v="-2947.0950000000003"/>
    <n v="2947.0950000000003"/>
    <x v="3"/>
    <s v="2100"/>
    <s v="000"/>
    <x v="11"/>
    <x v="2"/>
  </r>
  <r>
    <d v="2013-09-02T00:00:00"/>
    <s v="019-2210-000"/>
    <s v="Liquor Sales"/>
    <n v="826.13369999999998"/>
    <n v="0"/>
    <s v="Daily Sales Import"/>
    <n v="-826.13369999999998"/>
    <n v="826.13369999999998"/>
    <x v="3"/>
    <s v="2210"/>
    <s v="000"/>
    <x v="11"/>
    <x v="2"/>
  </r>
  <r>
    <d v="2013-09-02T00:00:00"/>
    <s v="019-2220-000"/>
    <s v="Beer Sales"/>
    <n v="137.15259999999998"/>
    <n v="0"/>
    <s v="Daily Sales Import"/>
    <n v="-137.15259999999998"/>
    <n v="137.15259999999998"/>
    <x v="3"/>
    <s v="2220"/>
    <s v="000"/>
    <x v="11"/>
    <x v="2"/>
  </r>
  <r>
    <d v="2013-09-02T00:00:00"/>
    <s v="019-2230-000"/>
    <s v="Wine Sales"/>
    <n v="24.446999999999999"/>
    <n v="0"/>
    <s v="Daily Sales Import"/>
    <n v="-24.446999999999999"/>
    <n v="24.446999999999999"/>
    <x v="3"/>
    <s v="2230"/>
    <s v="000"/>
    <x v="11"/>
    <x v="2"/>
  </r>
  <r>
    <d v="2013-09-03T00:00:00"/>
    <s v="019-2100-000"/>
    <s v="Food Sales"/>
    <n v="2477.9454999999998"/>
    <n v="0"/>
    <s v="Daily Sales Import"/>
    <n v="-2477.9454999999998"/>
    <n v="2477.9454999999998"/>
    <x v="3"/>
    <s v="2100"/>
    <s v="000"/>
    <x v="11"/>
    <x v="2"/>
  </r>
  <r>
    <d v="2013-09-03T00:00:00"/>
    <s v="019-2210-000"/>
    <s v="Liquor Sales"/>
    <n v="632.61599999999999"/>
    <n v="0"/>
    <s v="Daily Sales Import"/>
    <n v="-632.61599999999999"/>
    <n v="632.61599999999999"/>
    <x v="3"/>
    <s v="2210"/>
    <s v="000"/>
    <x v="11"/>
    <x v="2"/>
  </r>
  <r>
    <d v="2013-09-03T00:00:00"/>
    <s v="019-2220-000"/>
    <s v="Beer Sales"/>
    <n v="112.38499999999999"/>
    <n v="0"/>
    <s v="Daily Sales Import"/>
    <n v="-112.38499999999999"/>
    <n v="112.38499999999999"/>
    <x v="3"/>
    <s v="2220"/>
    <s v="000"/>
    <x v="11"/>
    <x v="2"/>
  </r>
  <r>
    <d v="2013-09-03T00:00:00"/>
    <s v="019-2230-000"/>
    <s v="Wine Sales"/>
    <n v="27.462999999999997"/>
    <n v="0"/>
    <s v="Daily Sales Import"/>
    <n v="-27.462999999999997"/>
    <n v="27.462999999999997"/>
    <x v="3"/>
    <s v="2230"/>
    <s v="000"/>
    <x v="11"/>
    <x v="2"/>
  </r>
  <r>
    <d v="2013-09-04T00:00:00"/>
    <s v="019-2100-000"/>
    <s v="Food Sales"/>
    <n v="2104.9270000000001"/>
    <n v="0"/>
    <s v="Daily Sales Import"/>
    <n v="-2104.9270000000001"/>
    <n v="2104.9270000000001"/>
    <x v="3"/>
    <s v="2100"/>
    <s v="000"/>
    <x v="11"/>
    <x v="2"/>
  </r>
  <r>
    <d v="2013-09-04T00:00:00"/>
    <s v="019-2210-000"/>
    <s v="Liquor Sales"/>
    <n v="759.71230000000003"/>
    <n v="0"/>
    <s v="Daily Sales Import"/>
    <n v="-759.71230000000003"/>
    <n v="759.71230000000003"/>
    <x v="3"/>
    <s v="2210"/>
    <s v="000"/>
    <x v="11"/>
    <x v="2"/>
  </r>
  <r>
    <d v="2013-09-04T00:00:00"/>
    <s v="019-2220-000"/>
    <s v="Beer Sales"/>
    <n v="180.54749999999999"/>
    <n v="0"/>
    <s v="Daily Sales Import"/>
    <n v="-180.54749999999999"/>
    <n v="180.54749999999999"/>
    <x v="3"/>
    <s v="2220"/>
    <s v="000"/>
    <x v="11"/>
    <x v="2"/>
  </r>
  <r>
    <d v="2013-09-04T00:00:00"/>
    <s v="019-2230-000"/>
    <s v="Wine Sales"/>
    <n v="61.974000000000004"/>
    <n v="0"/>
    <s v="Daily Sales Import"/>
    <n v="-61.974000000000004"/>
    <n v="61.974000000000004"/>
    <x v="3"/>
    <s v="2230"/>
    <s v="000"/>
    <x v="11"/>
    <x v="2"/>
  </r>
  <r>
    <d v="2013-09-05T00:00:00"/>
    <s v="019-2100-000"/>
    <s v="Food Sales"/>
    <n v="2433.7445000000002"/>
    <n v="0"/>
    <s v="Daily Sales Import"/>
    <n v="-2433.7445000000002"/>
    <n v="2433.7445000000002"/>
    <x v="3"/>
    <s v="2100"/>
    <s v="000"/>
    <x v="11"/>
    <x v="2"/>
  </r>
  <r>
    <d v="2013-09-05T00:00:00"/>
    <s v="019-2210-000"/>
    <s v="Liquor Sales"/>
    <n v="1393.9471000000001"/>
    <n v="0"/>
    <s v="Daily Sales Import"/>
    <n v="-1393.9471000000001"/>
    <n v="1393.9471000000001"/>
    <x v="3"/>
    <s v="2210"/>
    <s v="000"/>
    <x v="11"/>
    <x v="2"/>
  </r>
  <r>
    <d v="2013-09-05T00:00:00"/>
    <s v="019-2220-000"/>
    <s v="Beer Sales"/>
    <n v="223.125"/>
    <n v="0"/>
    <s v="Daily Sales Import"/>
    <n v="-223.125"/>
    <n v="223.125"/>
    <x v="3"/>
    <s v="2220"/>
    <s v="000"/>
    <x v="11"/>
    <x v="2"/>
  </r>
  <r>
    <d v="2013-09-05T00:00:00"/>
    <s v="019-2230-000"/>
    <s v="Wine Sales"/>
    <n v="24.532199999999996"/>
    <n v="0"/>
    <s v="Daily Sales Import"/>
    <n v="-24.532199999999996"/>
    <n v="24.532199999999996"/>
    <x v="3"/>
    <s v="2230"/>
    <s v="000"/>
    <x v="11"/>
    <x v="2"/>
  </r>
  <r>
    <d v="2013-09-06T00:00:00"/>
    <s v="019-2100-000"/>
    <s v="Food Sales"/>
    <n v="6068.3015999999998"/>
    <n v="0"/>
    <s v="Daily Sales Import"/>
    <n v="-6068.3015999999998"/>
    <n v="6068.3015999999998"/>
    <x v="3"/>
    <s v="2100"/>
    <s v="000"/>
    <x v="11"/>
    <x v="2"/>
  </r>
  <r>
    <d v="2013-09-06T00:00:00"/>
    <s v="019-2210-000"/>
    <s v="Liquor Sales"/>
    <n v="2347.0862000000002"/>
    <n v="0"/>
    <s v="Daily Sales Import"/>
    <n v="-2347.0862000000002"/>
    <n v="2347.0862000000002"/>
    <x v="3"/>
    <s v="2210"/>
    <s v="000"/>
    <x v="11"/>
    <x v="2"/>
  </r>
  <r>
    <d v="2013-09-06T00:00:00"/>
    <s v="019-2220-000"/>
    <s v="Beer Sales"/>
    <n v="205.1968"/>
    <n v="0"/>
    <s v="Daily Sales Import"/>
    <n v="-205.1968"/>
    <n v="205.1968"/>
    <x v="3"/>
    <s v="2220"/>
    <s v="000"/>
    <x v="11"/>
    <x v="2"/>
  </r>
  <r>
    <d v="2013-09-06T00:00:00"/>
    <s v="019-2230-000"/>
    <s v="Wine Sales"/>
    <n v="50.267700000000005"/>
    <n v="0"/>
    <s v="Daily Sales Import"/>
    <n v="-50.267700000000005"/>
    <n v="50.267700000000005"/>
    <x v="3"/>
    <s v="2230"/>
    <s v="000"/>
    <x v="11"/>
    <x v="2"/>
  </r>
  <r>
    <d v="2013-09-07T00:00:00"/>
    <s v="019-2100-000"/>
    <s v="Food Sales"/>
    <n v="4345.4927000000007"/>
    <n v="0"/>
    <s v="Daily Sales Import"/>
    <n v="-4345.4927000000007"/>
    <n v="4345.4927000000007"/>
    <x v="3"/>
    <s v="2100"/>
    <s v="000"/>
    <x v="11"/>
    <x v="2"/>
  </r>
  <r>
    <d v="2013-09-07T00:00:00"/>
    <s v="019-2210-000"/>
    <s v="Liquor Sales"/>
    <n v="1861.0239999999999"/>
    <n v="0"/>
    <s v="Daily Sales Import"/>
    <n v="-1861.0239999999999"/>
    <n v="1861.0239999999999"/>
    <x v="3"/>
    <s v="2210"/>
    <s v="000"/>
    <x v="11"/>
    <x v="2"/>
  </r>
  <r>
    <d v="2013-09-07T00:00:00"/>
    <s v="019-2220-000"/>
    <s v="Beer Sales"/>
    <n v="595.15599999999995"/>
    <n v="0"/>
    <s v="Daily Sales Import"/>
    <n v="-595.15599999999995"/>
    <n v="595.15599999999995"/>
    <x v="3"/>
    <s v="2220"/>
    <s v="000"/>
    <x v="11"/>
    <x v="2"/>
  </r>
  <r>
    <d v="2013-09-07T00:00:00"/>
    <s v="019-2230-000"/>
    <s v="Wine Sales"/>
    <n v="34.060699999999997"/>
    <n v="0"/>
    <s v="Daily Sales Import"/>
    <n v="-34.060699999999997"/>
    <n v="34.060699999999997"/>
    <x v="3"/>
    <s v="2230"/>
    <s v="000"/>
    <x v="11"/>
    <x v="2"/>
  </r>
  <r>
    <d v="2013-09-08T00:00:00"/>
    <s v="019-2100-000"/>
    <s v="Food Sales"/>
    <n v="3202.8528000000001"/>
    <n v="0"/>
    <s v="Daily Sales Import"/>
    <n v="-3202.8528000000001"/>
    <n v="3202.8528000000001"/>
    <x v="3"/>
    <s v="2100"/>
    <s v="000"/>
    <x v="11"/>
    <x v="2"/>
  </r>
  <r>
    <d v="2013-09-08T00:00:00"/>
    <s v="019-2210-000"/>
    <s v="Liquor Sales"/>
    <n v="1334.0855999999999"/>
    <n v="0"/>
    <s v="Daily Sales Import"/>
    <n v="-1334.0855999999999"/>
    <n v="1334.0855999999999"/>
    <x v="3"/>
    <s v="2210"/>
    <s v="000"/>
    <x v="11"/>
    <x v="2"/>
  </r>
  <r>
    <d v="2013-09-08T00:00:00"/>
    <s v="019-2220-000"/>
    <s v="Beer Sales"/>
    <n v="214.84539999999998"/>
    <n v="0"/>
    <s v="Daily Sales Import"/>
    <n v="-214.84539999999998"/>
    <n v="214.84539999999998"/>
    <x v="3"/>
    <s v="2220"/>
    <s v="000"/>
    <x v="11"/>
    <x v="2"/>
  </r>
  <r>
    <d v="2013-09-08T00:00:00"/>
    <s v="019-2230-000"/>
    <s v="Wine Sales"/>
    <n v="38.369"/>
    <n v="0"/>
    <s v="Daily Sales Import"/>
    <n v="-38.369"/>
    <n v="38.369"/>
    <x v="3"/>
    <s v="2230"/>
    <s v="000"/>
    <x v="11"/>
    <x v="2"/>
  </r>
  <r>
    <d v="2013-09-09T00:00:00"/>
    <s v="016-2100-000"/>
    <s v="Food Sales"/>
    <n v="1756.5827999999999"/>
    <n v="0"/>
    <s v="Daily Sales Import"/>
    <n v="-1756.5827999999999"/>
    <n v="1756.5827999999999"/>
    <x v="0"/>
    <s v="2100"/>
    <s v="000"/>
    <x v="11"/>
    <x v="2"/>
  </r>
  <r>
    <d v="2013-09-09T00:00:00"/>
    <s v="016-2210-000"/>
    <s v="Liquor Sales"/>
    <n v="373.91160000000002"/>
    <n v="0"/>
    <s v="Daily Sales Import"/>
    <n v="-373.91160000000002"/>
    <n v="373.91160000000002"/>
    <x v="0"/>
    <s v="2210"/>
    <s v="000"/>
    <x v="11"/>
    <x v="2"/>
  </r>
  <r>
    <d v="2013-09-09T00:00:00"/>
    <s v="016-2220-000"/>
    <s v="Beer Sales"/>
    <n v="85.608000000000004"/>
    <n v="0"/>
    <s v="Daily Sales Import"/>
    <n v="-85.608000000000004"/>
    <n v="85.608000000000004"/>
    <x v="0"/>
    <s v="2220"/>
    <s v="000"/>
    <x v="11"/>
    <x v="2"/>
  </r>
  <r>
    <d v="2013-09-09T00:00:00"/>
    <s v="016-2230-000"/>
    <s v="Wine Sales"/>
    <n v="17.093399999999999"/>
    <n v="0"/>
    <s v="Daily Sales Import"/>
    <n v="-17.093399999999999"/>
    <n v="17.093399999999999"/>
    <x v="0"/>
    <s v="2230"/>
    <s v="000"/>
    <x v="11"/>
    <x v="2"/>
  </r>
  <r>
    <d v="2013-09-10T00:00:00"/>
    <s v="016-2100-000"/>
    <s v="Food Sales"/>
    <n v="6916.3752000000004"/>
    <n v="0"/>
    <s v="Daily Sales Import"/>
    <n v="-6916.3752000000004"/>
    <n v="6916.3752000000004"/>
    <x v="0"/>
    <s v="2100"/>
    <s v="000"/>
    <x v="11"/>
    <x v="2"/>
  </r>
  <r>
    <d v="2013-09-10T00:00:00"/>
    <s v="016-2210-000"/>
    <s v="Liquor Sales"/>
    <n v="1280.1800999999998"/>
    <n v="0"/>
    <s v="Daily Sales Import"/>
    <n v="-1280.1800999999998"/>
    <n v="1280.1800999999998"/>
    <x v="0"/>
    <s v="2210"/>
    <s v="000"/>
    <x v="11"/>
    <x v="2"/>
  </r>
  <r>
    <d v="2013-09-10T00:00:00"/>
    <s v="016-2220-000"/>
    <s v="Beer Sales"/>
    <n v="889.94399999999996"/>
    <n v="0"/>
    <s v="Daily Sales Import"/>
    <n v="-889.94399999999996"/>
    <n v="889.94399999999996"/>
    <x v="0"/>
    <s v="2220"/>
    <s v="000"/>
    <x v="11"/>
    <x v="2"/>
  </r>
  <r>
    <d v="2013-09-10T00:00:00"/>
    <s v="016-2230-000"/>
    <s v="Wine Sales"/>
    <n v="54.8523"/>
    <n v="0"/>
    <s v="Daily Sales Import"/>
    <n v="-54.8523"/>
    <n v="54.8523"/>
    <x v="0"/>
    <s v="2230"/>
    <s v="000"/>
    <x v="11"/>
    <x v="2"/>
  </r>
  <r>
    <d v="2013-09-11T00:00:00"/>
    <s v="016-2100-000"/>
    <s v="Food Sales"/>
    <n v="2836.4661000000001"/>
    <n v="0"/>
    <s v="Daily Sales Import"/>
    <n v="-2836.4661000000001"/>
    <n v="2836.4661000000001"/>
    <x v="0"/>
    <s v="2100"/>
    <s v="000"/>
    <x v="11"/>
    <x v="2"/>
  </r>
  <r>
    <d v="2013-09-11T00:00:00"/>
    <s v="016-2210-000"/>
    <s v="Liquor Sales"/>
    <n v="514.17989999999998"/>
    <n v="0"/>
    <s v="Daily Sales Import"/>
    <n v="-514.17989999999998"/>
    <n v="514.17989999999998"/>
    <x v="0"/>
    <s v="2210"/>
    <s v="000"/>
    <x v="11"/>
    <x v="2"/>
  </r>
  <r>
    <d v="2013-09-11T00:00:00"/>
    <s v="016-2220-000"/>
    <s v="Beer Sales"/>
    <n v="188.91319999999999"/>
    <n v="0"/>
    <s v="Daily Sales Import"/>
    <n v="-188.91319999999999"/>
    <n v="188.91319999999999"/>
    <x v="0"/>
    <s v="2220"/>
    <s v="000"/>
    <x v="11"/>
    <x v="2"/>
  </r>
  <r>
    <d v="2013-09-11T00:00:00"/>
    <s v="016-2230-000"/>
    <s v="Wine Sales"/>
    <n v="101.504"/>
    <n v="0"/>
    <s v="Daily Sales Import"/>
    <n v="-101.504"/>
    <n v="101.504"/>
    <x v="0"/>
    <s v="2230"/>
    <s v="000"/>
    <x v="11"/>
    <x v="2"/>
  </r>
  <r>
    <d v="2013-09-12T00:00:00"/>
    <s v="016-2100-000"/>
    <s v="Food Sales"/>
    <n v="6313.2134999999998"/>
    <n v="0"/>
    <s v="Daily Sales Import"/>
    <n v="-6313.2134999999998"/>
    <n v="6313.2134999999998"/>
    <x v="0"/>
    <s v="2100"/>
    <s v="000"/>
    <x v="11"/>
    <x v="2"/>
  </r>
  <r>
    <d v="2013-09-12T00:00:00"/>
    <s v="016-2210-000"/>
    <s v="Liquor Sales"/>
    <n v="3201.7868999999996"/>
    <n v="0"/>
    <s v="Daily Sales Import"/>
    <n v="-3201.7868999999996"/>
    <n v="3201.7868999999996"/>
    <x v="0"/>
    <s v="2210"/>
    <s v="000"/>
    <x v="11"/>
    <x v="2"/>
  </r>
  <r>
    <d v="2013-09-12T00:00:00"/>
    <s v="016-2220-000"/>
    <s v="Beer Sales"/>
    <n v="1131.1101999999998"/>
    <n v="0"/>
    <s v="Daily Sales Import"/>
    <n v="-1131.1101999999998"/>
    <n v="1131.1101999999998"/>
    <x v="0"/>
    <s v="2220"/>
    <s v="000"/>
    <x v="11"/>
    <x v="2"/>
  </r>
  <r>
    <d v="2013-09-12T00:00:00"/>
    <s v="016-2230-000"/>
    <s v="Wine Sales"/>
    <n v="553.50400000000002"/>
    <n v="0"/>
    <s v="Daily Sales Import"/>
    <n v="-553.50400000000002"/>
    <n v="553.50400000000002"/>
    <x v="0"/>
    <s v="2230"/>
    <s v="000"/>
    <x v="11"/>
    <x v="2"/>
  </r>
  <r>
    <d v="2013-09-13T00:00:00"/>
    <s v="016-2100-000"/>
    <s v="Food Sales"/>
    <n v="5277.5475999999999"/>
    <n v="0"/>
    <s v="Daily Sales Import"/>
    <n v="-5277.5475999999999"/>
    <n v="5277.5475999999999"/>
    <x v="0"/>
    <s v="2100"/>
    <s v="000"/>
    <x v="11"/>
    <x v="2"/>
  </r>
  <r>
    <d v="2013-09-13T00:00:00"/>
    <s v="016-2210-000"/>
    <s v="Liquor Sales"/>
    <n v="2183.0219999999999"/>
    <n v="0"/>
    <s v="Daily Sales Import"/>
    <n v="-2183.0219999999999"/>
    <n v="2183.0219999999999"/>
    <x v="0"/>
    <s v="2210"/>
    <s v="000"/>
    <x v="11"/>
    <x v="2"/>
  </r>
  <r>
    <d v="2013-09-13T00:00:00"/>
    <s v="016-2220-000"/>
    <s v="Beer Sales"/>
    <n v="341.58890000000002"/>
    <n v="0"/>
    <s v="Daily Sales Import"/>
    <n v="-341.58890000000002"/>
    <n v="341.58890000000002"/>
    <x v="0"/>
    <s v="2220"/>
    <s v="000"/>
    <x v="11"/>
    <x v="2"/>
  </r>
  <r>
    <d v="2013-09-13T00:00:00"/>
    <s v="016-2230-000"/>
    <s v="Wine Sales"/>
    <n v="134.56799999999998"/>
    <n v="0"/>
    <s v="Daily Sales Import"/>
    <n v="-134.56799999999998"/>
    <n v="134.56799999999998"/>
    <x v="0"/>
    <s v="2230"/>
    <s v="000"/>
    <x v="11"/>
    <x v="2"/>
  </r>
  <r>
    <d v="2013-09-14T00:00:00"/>
    <s v="016-2100-000"/>
    <s v="Food Sales"/>
    <n v="6317.6835999999994"/>
    <n v="0"/>
    <s v="Daily Sales Import"/>
    <n v="-6317.6835999999994"/>
    <n v="6317.6835999999994"/>
    <x v="0"/>
    <s v="2100"/>
    <s v="000"/>
    <x v="11"/>
    <x v="2"/>
  </r>
  <r>
    <d v="2013-09-14T00:00:00"/>
    <s v="016-2210-000"/>
    <s v="Liquor Sales"/>
    <n v="958.83459999999991"/>
    <n v="0"/>
    <s v="Daily Sales Import"/>
    <n v="-958.83459999999991"/>
    <n v="958.83459999999991"/>
    <x v="0"/>
    <s v="2210"/>
    <s v="000"/>
    <x v="11"/>
    <x v="2"/>
  </r>
  <r>
    <d v="2013-09-14T00:00:00"/>
    <s v="016-2220-000"/>
    <s v="Beer Sales"/>
    <n v="190.01920000000001"/>
    <n v="0"/>
    <s v="Daily Sales Import"/>
    <n v="-190.01920000000001"/>
    <n v="190.01920000000001"/>
    <x v="0"/>
    <s v="2220"/>
    <s v="000"/>
    <x v="11"/>
    <x v="2"/>
  </r>
  <r>
    <d v="2013-09-14T00:00:00"/>
    <s v="016-2230-000"/>
    <s v="Wine Sales"/>
    <n v="129.91319999999999"/>
    <n v="0"/>
    <s v="Daily Sales Import"/>
    <n v="-129.91319999999999"/>
    <n v="129.91319999999999"/>
    <x v="0"/>
    <s v="2230"/>
    <s v="000"/>
    <x v="11"/>
    <x v="2"/>
  </r>
  <r>
    <d v="2013-09-15T00:00:00"/>
    <s v="016-2100-000"/>
    <s v="Food Sales"/>
    <n v="2913.4568000000004"/>
    <n v="0"/>
    <s v="Daily Sales Import"/>
    <n v="-2913.4568000000004"/>
    <n v="2913.4568000000004"/>
    <x v="0"/>
    <s v="2100"/>
    <s v="000"/>
    <x v="11"/>
    <x v="2"/>
  </r>
  <r>
    <d v="2013-09-15T00:00:00"/>
    <s v="016-2210-000"/>
    <s v="Liquor Sales"/>
    <n v="613.08030000000008"/>
    <n v="0"/>
    <s v="Daily Sales Import"/>
    <n v="-613.08030000000008"/>
    <n v="613.08030000000008"/>
    <x v="0"/>
    <s v="2210"/>
    <s v="000"/>
    <x v="11"/>
    <x v="2"/>
  </r>
  <r>
    <d v="2013-09-15T00:00:00"/>
    <s v="016-2220-000"/>
    <s v="Beer Sales"/>
    <n v="63.654800000000002"/>
    <n v="0"/>
    <s v="Daily Sales Import"/>
    <n v="-63.654800000000002"/>
    <n v="63.654800000000002"/>
    <x v="0"/>
    <s v="2220"/>
    <s v="000"/>
    <x v="11"/>
    <x v="2"/>
  </r>
  <r>
    <d v="2013-09-15T00:00:00"/>
    <s v="016-2230-000"/>
    <s v="Wine Sales"/>
    <n v="58.376500000000007"/>
    <n v="0"/>
    <s v="Daily Sales Import"/>
    <n v="-58.376500000000007"/>
    <n v="58.376500000000007"/>
    <x v="0"/>
    <s v="2230"/>
    <s v="000"/>
    <x v="11"/>
    <x v="2"/>
  </r>
  <r>
    <d v="2013-09-09T00:00:00"/>
    <s v="017-2100-000"/>
    <s v="Food Sales"/>
    <n v="3553.83"/>
    <n v="0"/>
    <s v="Daily Sales Import"/>
    <n v="-3553.83"/>
    <n v="3553.83"/>
    <x v="1"/>
    <s v="2100"/>
    <s v="000"/>
    <x v="11"/>
    <x v="2"/>
  </r>
  <r>
    <d v="2013-09-09T00:00:00"/>
    <s v="017-2210-000"/>
    <s v="Liquor Sales"/>
    <n v="1038.3522"/>
    <n v="0"/>
    <s v="Daily Sales Import"/>
    <n v="-1038.3522"/>
    <n v="1038.3522"/>
    <x v="1"/>
    <s v="2210"/>
    <s v="000"/>
    <x v="11"/>
    <x v="2"/>
  </r>
  <r>
    <d v="2013-09-09T00:00:00"/>
    <s v="017-2220-000"/>
    <s v="Beer Sales"/>
    <n v="325.5675"/>
    <n v="0"/>
    <s v="Daily Sales Import"/>
    <n v="-325.5675"/>
    <n v="325.5675"/>
    <x v="1"/>
    <s v="2220"/>
    <s v="000"/>
    <x v="11"/>
    <x v="2"/>
  </r>
  <r>
    <d v="2013-09-09T00:00:00"/>
    <s v="017-2230-000"/>
    <s v="Wine Sales"/>
    <n v="113.2128"/>
    <n v="0"/>
    <s v="Daily Sales Import"/>
    <n v="-113.2128"/>
    <n v="113.2128"/>
    <x v="1"/>
    <s v="2230"/>
    <s v="000"/>
    <x v="11"/>
    <x v="2"/>
  </r>
  <r>
    <d v="2013-09-10T00:00:00"/>
    <s v="017-2100-000"/>
    <s v="Food Sales"/>
    <n v="6344.905999999999"/>
    <n v="0"/>
    <s v="Daily Sales Import"/>
    <n v="-6344.905999999999"/>
    <n v="6344.905999999999"/>
    <x v="1"/>
    <s v="2100"/>
    <s v="000"/>
    <x v="11"/>
    <x v="2"/>
  </r>
  <r>
    <d v="2013-09-10T00:00:00"/>
    <s v="017-2210-000"/>
    <s v="Liquor Sales"/>
    <n v="957.36940000000004"/>
    <n v="0"/>
    <s v="Daily Sales Import"/>
    <n v="-957.36940000000004"/>
    <n v="957.36940000000004"/>
    <x v="1"/>
    <s v="2210"/>
    <s v="000"/>
    <x v="11"/>
    <x v="2"/>
  </r>
  <r>
    <d v="2013-09-10T00:00:00"/>
    <s v="017-2220-000"/>
    <s v="Beer Sales"/>
    <n v="400.05760000000004"/>
    <n v="0"/>
    <s v="Daily Sales Import"/>
    <n v="-400.05760000000004"/>
    <n v="400.05760000000004"/>
    <x v="1"/>
    <s v="2220"/>
    <s v="000"/>
    <x v="11"/>
    <x v="2"/>
  </r>
  <r>
    <d v="2013-09-10T00:00:00"/>
    <s v="017-2230-000"/>
    <s v="Wine Sales"/>
    <n v="46.146100000000004"/>
    <n v="0"/>
    <s v="Daily Sales Import"/>
    <n v="-46.146100000000004"/>
    <n v="46.146100000000004"/>
    <x v="1"/>
    <s v="2230"/>
    <s v="000"/>
    <x v="11"/>
    <x v="2"/>
  </r>
  <r>
    <d v="2013-09-11T00:00:00"/>
    <s v="017-2100-000"/>
    <s v="Food Sales"/>
    <n v="7312.5560000000005"/>
    <n v="0"/>
    <s v="Daily Sales Import"/>
    <n v="-7312.5560000000005"/>
    <n v="7312.5560000000005"/>
    <x v="1"/>
    <s v="2100"/>
    <s v="000"/>
    <x v="11"/>
    <x v="2"/>
  </r>
  <r>
    <d v="2013-09-11T00:00:00"/>
    <s v="017-2210-000"/>
    <s v="Liquor Sales"/>
    <n v="1927.913"/>
    <n v="0"/>
    <s v="Daily Sales Import"/>
    <n v="-1927.913"/>
    <n v="1927.913"/>
    <x v="1"/>
    <s v="2210"/>
    <s v="000"/>
    <x v="11"/>
    <x v="2"/>
  </r>
  <r>
    <d v="2013-09-11T00:00:00"/>
    <s v="017-2220-000"/>
    <s v="Beer Sales"/>
    <n v="820.93299999999999"/>
    <n v="0"/>
    <s v="Daily Sales Import"/>
    <n v="-820.93299999999999"/>
    <n v="820.93299999999999"/>
    <x v="1"/>
    <s v="2220"/>
    <s v="000"/>
    <x v="11"/>
    <x v="2"/>
  </r>
  <r>
    <d v="2013-09-11T00:00:00"/>
    <s v="017-2230-000"/>
    <s v="Wine Sales"/>
    <n v="107.21040000000001"/>
    <n v="0"/>
    <s v="Daily Sales Import"/>
    <n v="-107.21040000000001"/>
    <n v="107.21040000000001"/>
    <x v="1"/>
    <s v="2230"/>
    <s v="000"/>
    <x v="11"/>
    <x v="2"/>
  </r>
  <r>
    <d v="2013-09-12T00:00:00"/>
    <s v="017-2100-000"/>
    <s v="Food Sales"/>
    <n v="5556.0540000000001"/>
    <n v="0"/>
    <s v="Daily Sales Import"/>
    <n v="-5556.0540000000001"/>
    <n v="5556.0540000000001"/>
    <x v="1"/>
    <s v="2100"/>
    <s v="000"/>
    <x v="11"/>
    <x v="2"/>
  </r>
  <r>
    <d v="2013-09-12T00:00:00"/>
    <s v="017-2210-000"/>
    <s v="Liquor Sales"/>
    <n v="1059.0735999999999"/>
    <n v="0"/>
    <s v="Daily Sales Import"/>
    <n v="-1059.0735999999999"/>
    <n v="1059.0735999999999"/>
    <x v="1"/>
    <s v="2210"/>
    <s v="000"/>
    <x v="11"/>
    <x v="2"/>
  </r>
  <r>
    <d v="2013-09-12T00:00:00"/>
    <s v="017-2220-000"/>
    <s v="Beer Sales"/>
    <n v="284.92860000000002"/>
    <n v="0"/>
    <s v="Daily Sales Import"/>
    <n v="-284.92860000000002"/>
    <n v="284.92860000000002"/>
    <x v="1"/>
    <s v="2220"/>
    <s v="000"/>
    <x v="11"/>
    <x v="2"/>
  </r>
  <r>
    <d v="2013-09-12T00:00:00"/>
    <s v="017-2230-000"/>
    <s v="Wine Sales"/>
    <n v="92.969200000000001"/>
    <n v="0"/>
    <s v="Daily Sales Import"/>
    <n v="-92.969200000000001"/>
    <n v="92.969200000000001"/>
    <x v="1"/>
    <s v="2230"/>
    <s v="000"/>
    <x v="11"/>
    <x v="2"/>
  </r>
  <r>
    <d v="2013-09-13T00:00:00"/>
    <s v="017-2100-000"/>
    <s v="Food Sales"/>
    <n v="7285.5156000000006"/>
    <n v="0"/>
    <s v="Daily Sales Import"/>
    <n v="-7285.5156000000006"/>
    <n v="7285.5156000000006"/>
    <x v="1"/>
    <s v="2100"/>
    <s v="000"/>
    <x v="11"/>
    <x v="2"/>
  </r>
  <r>
    <d v="2013-09-13T00:00:00"/>
    <s v="017-2210-000"/>
    <s v="Liquor Sales"/>
    <n v="3498.6894000000002"/>
    <n v="0"/>
    <s v="Daily Sales Import"/>
    <n v="-3498.6894000000002"/>
    <n v="3498.6894000000002"/>
    <x v="1"/>
    <s v="2210"/>
    <s v="000"/>
    <x v="11"/>
    <x v="2"/>
  </r>
  <r>
    <d v="2013-09-13T00:00:00"/>
    <s v="017-2220-000"/>
    <s v="Beer Sales"/>
    <n v="366.31319999999999"/>
    <n v="0"/>
    <s v="Daily Sales Import"/>
    <n v="-366.31319999999999"/>
    <n v="366.31319999999999"/>
    <x v="1"/>
    <s v="2220"/>
    <s v="000"/>
    <x v="11"/>
    <x v="2"/>
  </r>
  <r>
    <d v="2013-09-13T00:00:00"/>
    <s v="017-2230-000"/>
    <s v="Wine Sales"/>
    <n v="141.47050000000002"/>
    <n v="0"/>
    <s v="Daily Sales Import"/>
    <n v="-141.47050000000002"/>
    <n v="141.47050000000002"/>
    <x v="1"/>
    <s v="2230"/>
    <s v="000"/>
    <x v="11"/>
    <x v="2"/>
  </r>
  <r>
    <d v="2013-09-14T00:00:00"/>
    <s v="017-2100-000"/>
    <s v="Food Sales"/>
    <n v="5465.6976000000004"/>
    <n v="0"/>
    <s v="Daily Sales Import"/>
    <n v="-5465.6976000000004"/>
    <n v="5465.6976000000004"/>
    <x v="1"/>
    <s v="2100"/>
    <s v="000"/>
    <x v="11"/>
    <x v="2"/>
  </r>
  <r>
    <d v="2013-09-14T00:00:00"/>
    <s v="017-2210-000"/>
    <s v="Liquor Sales"/>
    <n v="1405.056"/>
    <n v="0"/>
    <s v="Daily Sales Import"/>
    <n v="-1405.056"/>
    <n v="1405.056"/>
    <x v="1"/>
    <s v="2210"/>
    <s v="000"/>
    <x v="11"/>
    <x v="2"/>
  </r>
  <r>
    <d v="2013-09-14T00:00:00"/>
    <s v="017-2220-000"/>
    <s v="Beer Sales"/>
    <n v="251.5968"/>
    <n v="0"/>
    <s v="Daily Sales Import"/>
    <n v="-251.5968"/>
    <n v="251.5968"/>
    <x v="1"/>
    <s v="2220"/>
    <s v="000"/>
    <x v="11"/>
    <x v="2"/>
  </r>
  <r>
    <d v="2013-09-14T00:00:00"/>
    <s v="017-2230-000"/>
    <s v="Wine Sales"/>
    <n v="83.225700000000003"/>
    <n v="0"/>
    <s v="Daily Sales Import"/>
    <n v="-83.225700000000003"/>
    <n v="83.225700000000003"/>
    <x v="1"/>
    <s v="2230"/>
    <s v="000"/>
    <x v="11"/>
    <x v="2"/>
  </r>
  <r>
    <d v="2013-09-15T00:00:00"/>
    <s v="017-2100-000"/>
    <s v="Food Sales"/>
    <n v="4974.0150000000003"/>
    <n v="0"/>
    <s v="Daily Sales Import"/>
    <n v="-4974.0150000000003"/>
    <n v="4974.0150000000003"/>
    <x v="1"/>
    <s v="2100"/>
    <s v="000"/>
    <x v="11"/>
    <x v="2"/>
  </r>
  <r>
    <d v="2013-09-15T00:00:00"/>
    <s v="017-2210-000"/>
    <s v="Liquor Sales"/>
    <n v="1025.2242000000001"/>
    <n v="0"/>
    <s v="Daily Sales Import"/>
    <n v="-1025.2242000000001"/>
    <n v="1025.2242000000001"/>
    <x v="1"/>
    <s v="2210"/>
    <s v="000"/>
    <x v="11"/>
    <x v="2"/>
  </r>
  <r>
    <d v="2013-09-15T00:00:00"/>
    <s v="017-2220-000"/>
    <s v="Beer Sales"/>
    <n v="274.60950000000003"/>
    <n v="0"/>
    <s v="Daily Sales Import"/>
    <n v="-274.60950000000003"/>
    <n v="274.60950000000003"/>
    <x v="1"/>
    <s v="2220"/>
    <s v="000"/>
    <x v="11"/>
    <x v="2"/>
  </r>
  <r>
    <d v="2013-09-15T00:00:00"/>
    <s v="017-2230-000"/>
    <s v="Wine Sales"/>
    <n v="69.184799999999996"/>
    <n v="0"/>
    <s v="Daily Sales Import"/>
    <n v="-69.184799999999996"/>
    <n v="69.184799999999996"/>
    <x v="1"/>
    <s v="2230"/>
    <s v="000"/>
    <x v="11"/>
    <x v="2"/>
  </r>
  <r>
    <d v="2013-09-09T00:00:00"/>
    <s v="018-2100-000"/>
    <s v="Food Sales"/>
    <n v="2589.5488"/>
    <n v="0"/>
    <s v="Daily Sales Import"/>
    <n v="-2589.5488"/>
    <n v="2589.5488"/>
    <x v="2"/>
    <s v="2100"/>
    <s v="000"/>
    <x v="11"/>
    <x v="2"/>
  </r>
  <r>
    <d v="2013-09-09T00:00:00"/>
    <s v="018-2210-000"/>
    <s v="Liquor Sales"/>
    <n v="285.755"/>
    <n v="0"/>
    <s v="Daily Sales Import"/>
    <n v="-285.755"/>
    <n v="285.755"/>
    <x v="2"/>
    <s v="2210"/>
    <s v="000"/>
    <x v="11"/>
    <x v="2"/>
  </r>
  <r>
    <d v="2013-09-09T00:00:00"/>
    <s v="018-2220-000"/>
    <s v="Beer Sales"/>
    <n v="77.523600000000002"/>
    <n v="0"/>
    <s v="Daily Sales Import"/>
    <n v="-77.523600000000002"/>
    <n v="77.523600000000002"/>
    <x v="2"/>
    <s v="2220"/>
    <s v="000"/>
    <x v="11"/>
    <x v="2"/>
  </r>
  <r>
    <d v="2013-09-09T00:00:00"/>
    <s v="018-2230-000"/>
    <s v="Wine Sales"/>
    <n v="15.7311"/>
    <n v="0"/>
    <s v="Daily Sales Import"/>
    <n v="-15.7311"/>
    <n v="15.7311"/>
    <x v="2"/>
    <s v="2230"/>
    <s v="000"/>
    <x v="11"/>
    <x v="2"/>
  </r>
  <r>
    <d v="2013-09-10T00:00:00"/>
    <s v="018-2100-000"/>
    <s v="Food Sales"/>
    <n v="3437.3352000000004"/>
    <n v="0"/>
    <s v="Daily Sales Import"/>
    <n v="-3437.3352000000004"/>
    <n v="3437.3352000000004"/>
    <x v="2"/>
    <s v="2100"/>
    <s v="000"/>
    <x v="11"/>
    <x v="2"/>
  </r>
  <r>
    <d v="2013-09-10T00:00:00"/>
    <s v="018-2210-000"/>
    <s v="Liquor Sales"/>
    <n v="602.21199999999999"/>
    <n v="0"/>
    <s v="Daily Sales Import"/>
    <n v="-602.21199999999999"/>
    <n v="602.21199999999999"/>
    <x v="2"/>
    <s v="2210"/>
    <s v="000"/>
    <x v="11"/>
    <x v="2"/>
  </r>
  <r>
    <d v="2013-09-10T00:00:00"/>
    <s v="018-2220-000"/>
    <s v="Beer Sales"/>
    <n v="105.8904"/>
    <n v="0"/>
    <s v="Daily Sales Import"/>
    <n v="-105.8904"/>
    <n v="105.8904"/>
    <x v="2"/>
    <s v="2220"/>
    <s v="000"/>
    <x v="11"/>
    <x v="2"/>
  </r>
  <r>
    <d v="2013-09-10T00:00:00"/>
    <s v="018-2230-000"/>
    <s v="Wine Sales"/>
    <n v="18.228099999999998"/>
    <n v="0"/>
    <s v="Daily Sales Import"/>
    <n v="-18.228099999999998"/>
    <n v="18.228099999999998"/>
    <x v="2"/>
    <s v="2230"/>
    <s v="000"/>
    <x v="11"/>
    <x v="2"/>
  </r>
  <r>
    <d v="2013-09-11T00:00:00"/>
    <s v="018-2100-000"/>
    <s v="Food Sales"/>
    <n v="3029.6630000000005"/>
    <n v="0"/>
    <s v="Daily Sales Import"/>
    <n v="-3029.6630000000005"/>
    <n v="3029.6630000000005"/>
    <x v="2"/>
    <s v="2100"/>
    <s v="000"/>
    <x v="11"/>
    <x v="2"/>
  </r>
  <r>
    <d v="2013-09-11T00:00:00"/>
    <s v="018-2210-000"/>
    <s v="Liquor Sales"/>
    <n v="732.53539999999998"/>
    <n v="0"/>
    <s v="Daily Sales Import"/>
    <n v="-732.53539999999998"/>
    <n v="732.53539999999998"/>
    <x v="2"/>
    <s v="2210"/>
    <s v="000"/>
    <x v="11"/>
    <x v="2"/>
  </r>
  <r>
    <d v="2013-09-11T00:00:00"/>
    <s v="018-2220-000"/>
    <s v="Beer Sales"/>
    <n v="112.96829999999999"/>
    <n v="0"/>
    <s v="Daily Sales Import"/>
    <n v="-112.96829999999999"/>
    <n v="112.96829999999999"/>
    <x v="2"/>
    <s v="2220"/>
    <s v="000"/>
    <x v="11"/>
    <x v="2"/>
  </r>
  <r>
    <d v="2013-09-11T00:00:00"/>
    <s v="018-2230-000"/>
    <s v="Wine Sales"/>
    <n v="38.398800000000001"/>
    <n v="0"/>
    <s v="Daily Sales Import"/>
    <n v="-38.398800000000001"/>
    <n v="38.398800000000001"/>
    <x v="2"/>
    <s v="2230"/>
    <s v="000"/>
    <x v="11"/>
    <x v="2"/>
  </r>
  <r>
    <d v="2013-09-12T00:00:00"/>
    <s v="018-2100-000"/>
    <s v="Food Sales"/>
    <n v="3196.4612000000002"/>
    <n v="0"/>
    <s v="Daily Sales Import"/>
    <n v="-3196.4612000000002"/>
    <n v="3196.4612000000002"/>
    <x v="2"/>
    <s v="2100"/>
    <s v="000"/>
    <x v="11"/>
    <x v="2"/>
  </r>
  <r>
    <d v="2013-09-12T00:00:00"/>
    <s v="018-2210-000"/>
    <s v="Liquor Sales"/>
    <n v="687.00400000000002"/>
    <n v="0"/>
    <s v="Daily Sales Import"/>
    <n v="-687.00400000000002"/>
    <n v="687.00400000000002"/>
    <x v="2"/>
    <s v="2210"/>
    <s v="000"/>
    <x v="11"/>
    <x v="2"/>
  </r>
  <r>
    <d v="2013-09-12T00:00:00"/>
    <s v="018-2220-000"/>
    <s v="Beer Sales"/>
    <n v="171.01919999999998"/>
    <n v="0"/>
    <s v="Daily Sales Import"/>
    <n v="-171.01919999999998"/>
    <n v="171.01919999999998"/>
    <x v="2"/>
    <s v="2220"/>
    <s v="000"/>
    <x v="11"/>
    <x v="2"/>
  </r>
  <r>
    <d v="2013-09-12T00:00:00"/>
    <s v="018-2230-000"/>
    <s v="Wine Sales"/>
    <n v="88.961799999999997"/>
    <n v="0"/>
    <s v="Daily Sales Import"/>
    <n v="-88.961799999999997"/>
    <n v="88.961799999999997"/>
    <x v="2"/>
    <s v="2230"/>
    <s v="000"/>
    <x v="11"/>
    <x v="2"/>
  </r>
  <r>
    <d v="2013-09-13T00:00:00"/>
    <s v="018-2100-000"/>
    <s v="Food Sales"/>
    <n v="8573.4719999999998"/>
    <n v="0"/>
    <s v="Daily Sales Import"/>
    <n v="-8573.4719999999998"/>
    <n v="8573.4719999999998"/>
    <x v="2"/>
    <s v="2100"/>
    <s v="000"/>
    <x v="11"/>
    <x v="2"/>
  </r>
  <r>
    <d v="2013-09-13T00:00:00"/>
    <s v="018-2210-000"/>
    <s v="Liquor Sales"/>
    <n v="2260.7145000000005"/>
    <n v="0"/>
    <s v="Daily Sales Import"/>
    <n v="-2260.7145000000005"/>
    <n v="2260.7145000000005"/>
    <x v="2"/>
    <s v="2210"/>
    <s v="000"/>
    <x v="11"/>
    <x v="2"/>
  </r>
  <r>
    <d v="2013-09-13T00:00:00"/>
    <s v="018-2220-000"/>
    <s v="Beer Sales"/>
    <n v="922.77919999999995"/>
    <n v="0"/>
    <s v="Daily Sales Import"/>
    <n v="-922.77919999999995"/>
    <n v="922.77919999999995"/>
    <x v="2"/>
    <s v="2220"/>
    <s v="000"/>
    <x v="11"/>
    <x v="2"/>
  </r>
  <r>
    <d v="2013-09-13T00:00:00"/>
    <s v="018-2230-000"/>
    <s v="Wine Sales"/>
    <n v="135.51300000000001"/>
    <n v="0"/>
    <s v="Daily Sales Import"/>
    <n v="-135.51300000000001"/>
    <n v="135.51300000000001"/>
    <x v="2"/>
    <s v="2230"/>
    <s v="000"/>
    <x v="11"/>
    <x v="2"/>
  </r>
  <r>
    <d v="2013-09-14T00:00:00"/>
    <s v="018-2100-000"/>
    <s v="Food Sales"/>
    <n v="13817.782999999998"/>
    <n v="0"/>
    <s v="Daily Sales Import"/>
    <n v="-13817.782999999998"/>
    <n v="13817.782999999998"/>
    <x v="2"/>
    <s v="2100"/>
    <s v="000"/>
    <x v="11"/>
    <x v="2"/>
  </r>
  <r>
    <d v="2013-09-14T00:00:00"/>
    <s v="018-2210-000"/>
    <s v="Liquor Sales"/>
    <n v="1909.5572"/>
    <n v="0"/>
    <s v="Daily Sales Import"/>
    <n v="-1909.5572"/>
    <n v="1909.5572"/>
    <x v="2"/>
    <s v="2210"/>
    <s v="000"/>
    <x v="11"/>
    <x v="2"/>
  </r>
  <r>
    <d v="2013-09-14T00:00:00"/>
    <s v="018-2220-000"/>
    <s v="Beer Sales"/>
    <n v="582.12180000000001"/>
    <n v="0"/>
    <s v="Daily Sales Import"/>
    <n v="-582.12180000000001"/>
    <n v="582.12180000000001"/>
    <x v="2"/>
    <s v="2220"/>
    <s v="000"/>
    <x v="11"/>
    <x v="2"/>
  </r>
  <r>
    <d v="2013-09-14T00:00:00"/>
    <s v="018-2230-000"/>
    <s v="Wine Sales"/>
    <n v="188.9024"/>
    <n v="0"/>
    <s v="Daily Sales Import"/>
    <n v="-188.9024"/>
    <n v="188.9024"/>
    <x v="2"/>
    <s v="2230"/>
    <s v="000"/>
    <x v="11"/>
    <x v="2"/>
  </r>
  <r>
    <d v="2013-09-15T00:00:00"/>
    <s v="018-2100-000"/>
    <s v="Food Sales"/>
    <n v="9981.7115999999987"/>
    <n v="0"/>
    <s v="Daily Sales Import"/>
    <n v="-9981.7115999999987"/>
    <n v="9981.7115999999987"/>
    <x v="2"/>
    <s v="2100"/>
    <s v="000"/>
    <x v="11"/>
    <x v="2"/>
  </r>
  <r>
    <d v="2013-09-15T00:00:00"/>
    <s v="018-2210-000"/>
    <s v="Liquor Sales"/>
    <n v="762.14429999999993"/>
    <n v="0"/>
    <s v="Daily Sales Import"/>
    <n v="-762.14429999999993"/>
    <n v="762.14429999999993"/>
    <x v="2"/>
    <s v="2210"/>
    <s v="000"/>
    <x v="11"/>
    <x v="2"/>
  </r>
  <r>
    <d v="2013-09-15T00:00:00"/>
    <s v="018-2220-000"/>
    <s v="Beer Sales"/>
    <n v="385.88049999999998"/>
    <n v="0"/>
    <s v="Daily Sales Import"/>
    <n v="-385.88049999999998"/>
    <n v="385.88049999999998"/>
    <x v="2"/>
    <s v="2220"/>
    <s v="000"/>
    <x v="11"/>
    <x v="2"/>
  </r>
  <r>
    <d v="2013-09-15T00:00:00"/>
    <s v="018-2230-000"/>
    <s v="Wine Sales"/>
    <n v="70.444800000000001"/>
    <n v="0"/>
    <s v="Daily Sales Import"/>
    <n v="-70.444800000000001"/>
    <n v="70.444800000000001"/>
    <x v="2"/>
    <s v="2230"/>
    <s v="000"/>
    <x v="11"/>
    <x v="2"/>
  </r>
  <r>
    <d v="2013-09-09T00:00:00"/>
    <s v="019-2100-000"/>
    <s v="Food Sales"/>
    <n v="2485.8015"/>
    <n v="0"/>
    <s v="Daily Sales Import"/>
    <n v="-2485.8015"/>
    <n v="2485.8015"/>
    <x v="3"/>
    <s v="2100"/>
    <s v="000"/>
    <x v="11"/>
    <x v="2"/>
  </r>
  <r>
    <d v="2013-09-09T00:00:00"/>
    <s v="019-2210-000"/>
    <s v="Liquor Sales"/>
    <n v="487.37919999999997"/>
    <n v="0"/>
    <s v="Daily Sales Import"/>
    <n v="-487.37919999999997"/>
    <n v="487.37919999999997"/>
    <x v="3"/>
    <s v="2210"/>
    <s v="000"/>
    <x v="11"/>
    <x v="2"/>
  </r>
  <r>
    <d v="2013-09-09T00:00:00"/>
    <s v="019-2220-000"/>
    <s v="Beer Sales"/>
    <n v="189.6234"/>
    <n v="0"/>
    <s v="Daily Sales Import"/>
    <n v="-189.6234"/>
    <n v="189.6234"/>
    <x v="3"/>
    <s v="2220"/>
    <s v="000"/>
    <x v="11"/>
    <x v="2"/>
  </r>
  <r>
    <d v="2013-09-09T00:00:00"/>
    <s v="019-2230-000"/>
    <s v="Wine Sales"/>
    <n v="26.7624"/>
    <n v="0"/>
    <s v="Daily Sales Import"/>
    <n v="-26.7624"/>
    <n v="26.7624"/>
    <x v="3"/>
    <s v="2230"/>
    <s v="000"/>
    <x v="11"/>
    <x v="2"/>
  </r>
  <r>
    <d v="2013-09-10T00:00:00"/>
    <s v="019-2100-000"/>
    <s v="Food Sales"/>
    <n v="3958.752"/>
    <n v="0"/>
    <s v="Daily Sales Import"/>
    <n v="-3958.752"/>
    <n v="3958.752"/>
    <x v="3"/>
    <s v="2100"/>
    <s v="000"/>
    <x v="11"/>
    <x v="2"/>
  </r>
  <r>
    <d v="2013-09-10T00:00:00"/>
    <s v="019-2210-000"/>
    <s v="Liquor Sales"/>
    <n v="766.72269999999992"/>
    <n v="0"/>
    <s v="Daily Sales Import"/>
    <n v="-766.72269999999992"/>
    <n v="766.72269999999992"/>
    <x v="3"/>
    <s v="2210"/>
    <s v="000"/>
    <x v="11"/>
    <x v="2"/>
  </r>
  <r>
    <d v="2013-09-10T00:00:00"/>
    <s v="019-2220-000"/>
    <s v="Beer Sales"/>
    <n v="224.744"/>
    <n v="0"/>
    <s v="Daily Sales Import"/>
    <n v="-224.744"/>
    <n v="224.744"/>
    <x v="3"/>
    <s v="2220"/>
    <s v="000"/>
    <x v="11"/>
    <x v="2"/>
  </r>
  <r>
    <d v="2013-09-10T00:00:00"/>
    <s v="019-2230-000"/>
    <s v="Wine Sales"/>
    <n v="78.014799999999994"/>
    <n v="0"/>
    <s v="Daily Sales Import"/>
    <n v="-78.014799999999994"/>
    <n v="78.014799999999994"/>
    <x v="3"/>
    <s v="2230"/>
    <s v="000"/>
    <x v="11"/>
    <x v="2"/>
  </r>
  <r>
    <d v="2013-09-11T00:00:00"/>
    <s v="019-2100-000"/>
    <s v="Food Sales"/>
    <n v="2872.4848000000002"/>
    <n v="0"/>
    <s v="Daily Sales Import"/>
    <n v="-2872.4848000000002"/>
    <n v="2872.4848000000002"/>
    <x v="3"/>
    <s v="2100"/>
    <s v="000"/>
    <x v="11"/>
    <x v="2"/>
  </r>
  <r>
    <d v="2013-09-11T00:00:00"/>
    <s v="019-2210-000"/>
    <s v="Liquor Sales"/>
    <n v="769.7749"/>
    <n v="0"/>
    <s v="Daily Sales Import"/>
    <n v="-769.7749"/>
    <n v="769.7749"/>
    <x v="3"/>
    <s v="2210"/>
    <s v="000"/>
    <x v="11"/>
    <x v="2"/>
  </r>
  <r>
    <d v="2013-09-11T00:00:00"/>
    <s v="019-2220-000"/>
    <s v="Beer Sales"/>
    <n v="230.2056"/>
    <n v="0"/>
    <s v="Daily Sales Import"/>
    <n v="-230.2056"/>
    <n v="230.2056"/>
    <x v="3"/>
    <s v="2220"/>
    <s v="000"/>
    <x v="11"/>
    <x v="2"/>
  </r>
  <r>
    <d v="2013-09-11T00:00:00"/>
    <s v="019-2230-000"/>
    <s v="Wine Sales"/>
    <n v="36.308999999999997"/>
    <n v="0"/>
    <s v="Daily Sales Import"/>
    <n v="-36.308999999999997"/>
    <n v="36.308999999999997"/>
    <x v="3"/>
    <s v="2230"/>
    <s v="000"/>
    <x v="11"/>
    <x v="2"/>
  </r>
  <r>
    <d v="2013-09-12T00:00:00"/>
    <s v="019-2100-000"/>
    <s v="Food Sales"/>
    <n v="3164.7894999999999"/>
    <n v="0"/>
    <s v="Daily Sales Import"/>
    <n v="-3164.7894999999999"/>
    <n v="3164.7894999999999"/>
    <x v="3"/>
    <s v="2100"/>
    <s v="000"/>
    <x v="11"/>
    <x v="2"/>
  </r>
  <r>
    <d v="2013-09-12T00:00:00"/>
    <s v="019-2210-000"/>
    <s v="Liquor Sales"/>
    <n v="1021.6423"/>
    <n v="0"/>
    <s v="Daily Sales Import"/>
    <n v="-1021.6423"/>
    <n v="1021.6423"/>
    <x v="3"/>
    <s v="2210"/>
    <s v="000"/>
    <x v="11"/>
    <x v="2"/>
  </r>
  <r>
    <d v="2013-09-12T00:00:00"/>
    <s v="019-2220-000"/>
    <s v="Beer Sales"/>
    <n v="282.31200000000001"/>
    <n v="0"/>
    <s v="Daily Sales Import"/>
    <n v="-282.31200000000001"/>
    <n v="282.31200000000001"/>
    <x v="3"/>
    <s v="2220"/>
    <s v="000"/>
    <x v="11"/>
    <x v="2"/>
  </r>
  <r>
    <d v="2013-09-12T00:00:00"/>
    <s v="019-2230-000"/>
    <s v="Wine Sales"/>
    <n v="84.594399999999993"/>
    <n v="0"/>
    <s v="Daily Sales Import"/>
    <n v="-84.594399999999993"/>
    <n v="84.594399999999993"/>
    <x v="3"/>
    <s v="2230"/>
    <s v="000"/>
    <x v="11"/>
    <x v="2"/>
  </r>
  <r>
    <d v="2013-09-13T00:00:00"/>
    <s v="019-2100-000"/>
    <s v="Food Sales"/>
    <n v="5648.7470999999996"/>
    <n v="0"/>
    <s v="Daily Sales Import"/>
    <n v="-5648.7470999999996"/>
    <n v="5648.7470999999996"/>
    <x v="3"/>
    <s v="2100"/>
    <s v="000"/>
    <x v="11"/>
    <x v="2"/>
  </r>
  <r>
    <d v="2013-09-13T00:00:00"/>
    <s v="019-2210-000"/>
    <s v="Liquor Sales"/>
    <n v="2671.0264000000002"/>
    <n v="0"/>
    <s v="Daily Sales Import"/>
    <n v="-2671.0264000000002"/>
    <n v="2671.0264000000002"/>
    <x v="3"/>
    <s v="2210"/>
    <s v="000"/>
    <x v="11"/>
    <x v="2"/>
  </r>
  <r>
    <d v="2013-09-13T00:00:00"/>
    <s v="019-2220-000"/>
    <s v="Beer Sales"/>
    <n v="518.5680000000001"/>
    <n v="0"/>
    <s v="Daily Sales Import"/>
    <n v="-518.5680000000001"/>
    <n v="518.5680000000001"/>
    <x v="3"/>
    <s v="2220"/>
    <s v="000"/>
    <x v="11"/>
    <x v="2"/>
  </r>
  <r>
    <d v="2013-09-13T00:00:00"/>
    <s v="019-2230-000"/>
    <s v="Wine Sales"/>
    <n v="51.041599999999995"/>
    <n v="0"/>
    <s v="Daily Sales Import"/>
    <n v="-51.041599999999995"/>
    <n v="51.041599999999995"/>
    <x v="3"/>
    <s v="2230"/>
    <s v="000"/>
    <x v="11"/>
    <x v="2"/>
  </r>
  <r>
    <d v="2013-09-14T00:00:00"/>
    <s v="019-2100-000"/>
    <s v="Food Sales"/>
    <n v="4882.5199999999995"/>
    <n v="0"/>
    <s v="Daily Sales Import"/>
    <n v="-4882.5199999999995"/>
    <n v="4882.5199999999995"/>
    <x v="3"/>
    <s v="2100"/>
    <s v="000"/>
    <x v="11"/>
    <x v="2"/>
  </r>
  <r>
    <d v="2013-09-14T00:00:00"/>
    <s v="019-2210-000"/>
    <s v="Liquor Sales"/>
    <n v="1630.2528"/>
    <n v="0"/>
    <s v="Daily Sales Import"/>
    <n v="-1630.2528"/>
    <n v="1630.2528"/>
    <x v="3"/>
    <s v="2210"/>
    <s v="000"/>
    <x v="11"/>
    <x v="2"/>
  </r>
  <r>
    <d v="2013-09-14T00:00:00"/>
    <s v="019-2220-000"/>
    <s v="Beer Sales"/>
    <n v="372.76"/>
    <n v="0"/>
    <s v="Daily Sales Import"/>
    <n v="-372.76"/>
    <n v="372.76"/>
    <x v="3"/>
    <s v="2220"/>
    <s v="000"/>
    <x v="11"/>
    <x v="2"/>
  </r>
  <r>
    <d v="2013-09-14T00:00:00"/>
    <s v="019-2230-000"/>
    <s v="Wine Sales"/>
    <n v="105.7724"/>
    <n v="0"/>
    <s v="Daily Sales Import"/>
    <n v="-105.7724"/>
    <n v="105.7724"/>
    <x v="3"/>
    <s v="2230"/>
    <s v="000"/>
    <x v="11"/>
    <x v="2"/>
  </r>
  <r>
    <d v="2013-09-15T00:00:00"/>
    <s v="019-2100-000"/>
    <s v="Food Sales"/>
    <n v="2986.4245000000005"/>
    <n v="0"/>
    <s v="Daily Sales Import"/>
    <n v="-2986.4245000000005"/>
    <n v="2986.4245000000005"/>
    <x v="3"/>
    <s v="2100"/>
    <s v="000"/>
    <x v="11"/>
    <x v="2"/>
  </r>
  <r>
    <d v="2013-09-15T00:00:00"/>
    <s v="019-2210-000"/>
    <s v="Liquor Sales"/>
    <n v="1190.5355000000002"/>
    <n v="0"/>
    <s v="Daily Sales Import"/>
    <n v="-1190.5355000000002"/>
    <n v="1190.5355000000002"/>
    <x v="3"/>
    <s v="2210"/>
    <s v="000"/>
    <x v="11"/>
    <x v="2"/>
  </r>
  <r>
    <d v="2013-09-15T00:00:00"/>
    <s v="019-2220-000"/>
    <s v="Beer Sales"/>
    <n v="290.36579999999998"/>
    <n v="0"/>
    <s v="Daily Sales Import"/>
    <n v="-290.36579999999998"/>
    <n v="290.36579999999998"/>
    <x v="3"/>
    <s v="2220"/>
    <s v="000"/>
    <x v="11"/>
    <x v="2"/>
  </r>
  <r>
    <d v="2013-09-15T00:00:00"/>
    <s v="019-2230-000"/>
    <s v="Wine Sales"/>
    <n v="40.768000000000001"/>
    <n v="0"/>
    <s v="Daily Sales Import"/>
    <n v="-40.768000000000001"/>
    <n v="40.768000000000001"/>
    <x v="3"/>
    <s v="2230"/>
    <s v="000"/>
    <x v="11"/>
    <x v="2"/>
  </r>
  <r>
    <d v="2013-09-16T00:00:00"/>
    <s v="016-2100-000"/>
    <s v="Food Sales"/>
    <n v="1684.3083999999999"/>
    <n v="0"/>
    <s v="Daily Sales Import"/>
    <n v="-1684.3083999999999"/>
    <n v="1684.3083999999999"/>
    <x v="0"/>
    <s v="2100"/>
    <s v="000"/>
    <x v="11"/>
    <x v="2"/>
  </r>
  <r>
    <d v="2013-09-16T00:00:00"/>
    <s v="016-2210-000"/>
    <s v="Liquor Sales"/>
    <n v="494.00109999999995"/>
    <n v="0"/>
    <s v="Daily Sales Import"/>
    <n v="-494.00109999999995"/>
    <n v="494.00109999999995"/>
    <x v="0"/>
    <s v="2210"/>
    <s v="000"/>
    <x v="11"/>
    <x v="2"/>
  </r>
  <r>
    <d v="2013-09-16T00:00:00"/>
    <s v="016-2220-000"/>
    <s v="Beer Sales"/>
    <n v="68.902500000000003"/>
    <n v="0"/>
    <s v="Daily Sales Import"/>
    <n v="-68.902500000000003"/>
    <n v="68.902500000000003"/>
    <x v="0"/>
    <s v="2220"/>
    <s v="000"/>
    <x v="11"/>
    <x v="2"/>
  </r>
  <r>
    <d v="2013-09-16T00:00:00"/>
    <s v="016-2230-000"/>
    <s v="Wine Sales"/>
    <n v="46.774000000000001"/>
    <n v="0"/>
    <s v="Daily Sales Import"/>
    <n v="-46.774000000000001"/>
    <n v="46.774000000000001"/>
    <x v="0"/>
    <s v="2230"/>
    <s v="000"/>
    <x v="11"/>
    <x v="2"/>
  </r>
  <r>
    <d v="2013-09-17T00:00:00"/>
    <s v="016-2100-000"/>
    <s v="Food Sales"/>
    <n v="4398.2269999999999"/>
    <n v="0"/>
    <s v="Daily Sales Import"/>
    <n v="-4398.2269999999999"/>
    <n v="4398.2269999999999"/>
    <x v="0"/>
    <s v="2100"/>
    <s v="000"/>
    <x v="11"/>
    <x v="2"/>
  </r>
  <r>
    <d v="2013-09-17T00:00:00"/>
    <s v="016-2210-000"/>
    <s v="Liquor Sales"/>
    <n v="1778.1320000000003"/>
    <n v="0"/>
    <s v="Daily Sales Import"/>
    <n v="-1778.1320000000003"/>
    <n v="1778.1320000000003"/>
    <x v="0"/>
    <s v="2210"/>
    <s v="000"/>
    <x v="11"/>
    <x v="2"/>
  </r>
  <r>
    <d v="2013-09-17T00:00:00"/>
    <s v="016-2220-000"/>
    <s v="Beer Sales"/>
    <n v="717.07140000000004"/>
    <n v="0"/>
    <s v="Daily Sales Import"/>
    <n v="-717.07140000000004"/>
    <n v="717.07140000000004"/>
    <x v="0"/>
    <s v="2220"/>
    <s v="000"/>
    <x v="11"/>
    <x v="2"/>
  </r>
  <r>
    <d v="2013-09-17T00:00:00"/>
    <s v="016-2230-000"/>
    <s v="Wine Sales"/>
    <n v="157.43209999999999"/>
    <n v="0"/>
    <s v="Daily Sales Import"/>
    <n v="-157.43209999999999"/>
    <n v="157.43209999999999"/>
    <x v="0"/>
    <s v="2230"/>
    <s v="000"/>
    <x v="11"/>
    <x v="2"/>
  </r>
  <r>
    <d v="2013-09-18T00:00:00"/>
    <s v="016-2100-000"/>
    <s v="Food Sales"/>
    <n v="6497.4825000000001"/>
    <n v="0"/>
    <s v="Daily Sales Import"/>
    <n v="-6497.4825000000001"/>
    <n v="6497.4825000000001"/>
    <x v="0"/>
    <s v="2100"/>
    <s v="000"/>
    <x v="11"/>
    <x v="2"/>
  </r>
  <r>
    <d v="2013-09-18T00:00:00"/>
    <s v="016-2210-000"/>
    <s v="Liquor Sales"/>
    <n v="3054.924"/>
    <n v="0"/>
    <s v="Daily Sales Import"/>
    <n v="-3054.924"/>
    <n v="3054.924"/>
    <x v="0"/>
    <s v="2210"/>
    <s v="000"/>
    <x v="11"/>
    <x v="2"/>
  </r>
  <r>
    <d v="2013-09-18T00:00:00"/>
    <s v="016-2220-000"/>
    <s v="Beer Sales"/>
    <n v="1095.3951"/>
    <n v="0"/>
    <s v="Daily Sales Import"/>
    <n v="-1095.3951"/>
    <n v="1095.3951"/>
    <x v="0"/>
    <s v="2220"/>
    <s v="000"/>
    <x v="11"/>
    <x v="2"/>
  </r>
  <r>
    <d v="2013-09-18T00:00:00"/>
    <s v="016-2230-000"/>
    <s v="Wine Sales"/>
    <n v="153.97829999999999"/>
    <n v="0"/>
    <s v="Daily Sales Import"/>
    <n v="-153.97829999999999"/>
    <n v="153.97829999999999"/>
    <x v="0"/>
    <s v="2230"/>
    <s v="000"/>
    <x v="11"/>
    <x v="2"/>
  </r>
  <r>
    <d v="2013-09-19T00:00:00"/>
    <s v="016-2100-000"/>
    <s v="Food Sales"/>
    <n v="2278.3915000000002"/>
    <n v="0"/>
    <s v="Daily Sales Import"/>
    <n v="-2278.3915000000002"/>
    <n v="2278.3915000000002"/>
    <x v="0"/>
    <s v="2100"/>
    <s v="000"/>
    <x v="11"/>
    <x v="2"/>
  </r>
  <r>
    <d v="2013-09-19T00:00:00"/>
    <s v="016-2210-000"/>
    <s v="Liquor Sales"/>
    <n v="592.13029999999992"/>
    <n v="0"/>
    <s v="Daily Sales Import"/>
    <n v="-592.13029999999992"/>
    <n v="592.13029999999992"/>
    <x v="0"/>
    <s v="2210"/>
    <s v="000"/>
    <x v="11"/>
    <x v="2"/>
  </r>
  <r>
    <d v="2013-09-19T00:00:00"/>
    <s v="016-2220-000"/>
    <s v="Beer Sales"/>
    <n v="89.173700000000011"/>
    <n v="0"/>
    <s v="Daily Sales Import"/>
    <n v="-89.173700000000011"/>
    <n v="89.173700000000011"/>
    <x v="0"/>
    <s v="2220"/>
    <s v="000"/>
    <x v="11"/>
    <x v="2"/>
  </r>
  <r>
    <d v="2013-09-19T00:00:00"/>
    <s v="016-2230-000"/>
    <s v="Wine Sales"/>
    <n v="33.732799999999997"/>
    <n v="0"/>
    <s v="Daily Sales Import"/>
    <n v="-33.732799999999997"/>
    <n v="33.732799999999997"/>
    <x v="0"/>
    <s v="2230"/>
    <s v="000"/>
    <x v="11"/>
    <x v="2"/>
  </r>
  <r>
    <d v="2013-09-20T00:00:00"/>
    <s v="016-2100-000"/>
    <s v="Food Sales"/>
    <n v="3940.1579999999999"/>
    <n v="0"/>
    <s v="Daily Sales Import"/>
    <n v="-3940.1579999999999"/>
    <n v="3940.1579999999999"/>
    <x v="0"/>
    <s v="2100"/>
    <s v="000"/>
    <x v="11"/>
    <x v="2"/>
  </r>
  <r>
    <d v="2013-09-20T00:00:00"/>
    <s v="016-2210-000"/>
    <s v="Liquor Sales"/>
    <n v="1067.8751999999999"/>
    <n v="0"/>
    <s v="Daily Sales Import"/>
    <n v="-1067.8751999999999"/>
    <n v="1067.8751999999999"/>
    <x v="0"/>
    <s v="2210"/>
    <s v="000"/>
    <x v="11"/>
    <x v="2"/>
  </r>
  <r>
    <d v="2013-09-20T00:00:00"/>
    <s v="016-2220-000"/>
    <s v="Beer Sales"/>
    <n v="273.5369"/>
    <n v="0"/>
    <s v="Daily Sales Import"/>
    <n v="-273.5369"/>
    <n v="273.5369"/>
    <x v="0"/>
    <s v="2220"/>
    <s v="000"/>
    <x v="11"/>
    <x v="2"/>
  </r>
  <r>
    <d v="2013-09-20T00:00:00"/>
    <s v="016-2230-000"/>
    <s v="Wine Sales"/>
    <n v="96.730200000000011"/>
    <n v="0"/>
    <s v="Daily Sales Import"/>
    <n v="-96.730200000000011"/>
    <n v="96.730200000000011"/>
    <x v="0"/>
    <s v="2230"/>
    <s v="000"/>
    <x v="11"/>
    <x v="2"/>
  </r>
  <r>
    <d v="2013-09-21T00:00:00"/>
    <s v="016-2100-000"/>
    <s v="Food Sales"/>
    <n v="7007.5401000000002"/>
    <n v="0"/>
    <s v="Daily Sales Import"/>
    <n v="-7007.5401000000002"/>
    <n v="7007.5401000000002"/>
    <x v="0"/>
    <s v="2100"/>
    <s v="000"/>
    <x v="11"/>
    <x v="2"/>
  </r>
  <r>
    <d v="2013-09-21T00:00:00"/>
    <s v="016-2210-000"/>
    <s v="Liquor Sales"/>
    <n v="1827.7308"/>
    <n v="0"/>
    <s v="Daily Sales Import"/>
    <n v="-1827.7308"/>
    <n v="1827.7308"/>
    <x v="0"/>
    <s v="2210"/>
    <s v="000"/>
    <x v="11"/>
    <x v="2"/>
  </r>
  <r>
    <d v="2013-09-21T00:00:00"/>
    <s v="016-2220-000"/>
    <s v="Beer Sales"/>
    <n v="439.60140000000001"/>
    <n v="0"/>
    <s v="Daily Sales Import"/>
    <n v="-439.60140000000001"/>
    <n v="439.60140000000001"/>
    <x v="0"/>
    <s v="2220"/>
    <s v="000"/>
    <x v="11"/>
    <x v="2"/>
  </r>
  <r>
    <d v="2013-09-21T00:00:00"/>
    <s v="016-2230-000"/>
    <s v="Wine Sales"/>
    <n v="191.19760000000002"/>
    <n v="0"/>
    <s v="Daily Sales Import"/>
    <n v="-191.19760000000002"/>
    <n v="191.19760000000002"/>
    <x v="0"/>
    <s v="2230"/>
    <s v="000"/>
    <x v="11"/>
    <x v="2"/>
  </r>
  <r>
    <d v="2013-09-22T00:00:00"/>
    <s v="016-2100-000"/>
    <s v="Food Sales"/>
    <n v="3828.3120000000004"/>
    <n v="0"/>
    <s v="Daily Sales Import"/>
    <n v="-3828.3120000000004"/>
    <n v="3828.3120000000004"/>
    <x v="0"/>
    <s v="2100"/>
    <s v="000"/>
    <x v="11"/>
    <x v="2"/>
  </r>
  <r>
    <d v="2013-09-22T00:00:00"/>
    <s v="016-2210-000"/>
    <s v="Liquor Sales"/>
    <n v="597.17169999999999"/>
    <n v="0"/>
    <s v="Daily Sales Import"/>
    <n v="-597.17169999999999"/>
    <n v="597.17169999999999"/>
    <x v="0"/>
    <s v="2210"/>
    <s v="000"/>
    <x v="11"/>
    <x v="2"/>
  </r>
  <r>
    <d v="2013-09-22T00:00:00"/>
    <s v="016-2220-000"/>
    <s v="Beer Sales"/>
    <n v="173.0778"/>
    <n v="0"/>
    <s v="Daily Sales Import"/>
    <n v="-173.0778"/>
    <n v="173.0778"/>
    <x v="0"/>
    <s v="2220"/>
    <s v="000"/>
    <x v="11"/>
    <x v="2"/>
  </r>
  <r>
    <d v="2013-09-22T00:00:00"/>
    <s v="016-2230-000"/>
    <s v="Wine Sales"/>
    <n v="74.968000000000004"/>
    <n v="0"/>
    <s v="Daily Sales Import"/>
    <n v="-74.968000000000004"/>
    <n v="74.968000000000004"/>
    <x v="0"/>
    <s v="2230"/>
    <s v="000"/>
    <x v="11"/>
    <x v="2"/>
  </r>
  <r>
    <d v="2013-09-16T00:00:00"/>
    <s v="017-2100-000"/>
    <s v="Food Sales"/>
    <n v="5251.1276999999991"/>
    <n v="0"/>
    <s v="Daily Sales Import"/>
    <n v="-5251.1276999999991"/>
    <n v="5251.1276999999991"/>
    <x v="1"/>
    <s v="2100"/>
    <s v="000"/>
    <x v="11"/>
    <x v="2"/>
  </r>
  <r>
    <d v="2013-09-16T00:00:00"/>
    <s v="017-2210-000"/>
    <s v="Liquor Sales"/>
    <n v="1680.6635999999999"/>
    <n v="0"/>
    <s v="Daily Sales Import"/>
    <n v="-1680.6635999999999"/>
    <n v="1680.6635999999999"/>
    <x v="1"/>
    <s v="2210"/>
    <s v="000"/>
    <x v="11"/>
    <x v="2"/>
  </r>
  <r>
    <d v="2013-09-16T00:00:00"/>
    <s v="017-2220-000"/>
    <s v="Beer Sales"/>
    <n v="310.45949999999999"/>
    <n v="0"/>
    <s v="Daily Sales Import"/>
    <n v="-310.45949999999999"/>
    <n v="310.45949999999999"/>
    <x v="1"/>
    <s v="2220"/>
    <s v="000"/>
    <x v="11"/>
    <x v="2"/>
  </r>
  <r>
    <d v="2013-09-16T00:00:00"/>
    <s v="017-2230-000"/>
    <s v="Wine Sales"/>
    <n v="138.36959999999999"/>
    <n v="0"/>
    <s v="Daily Sales Import"/>
    <n v="-138.36959999999999"/>
    <n v="138.36959999999999"/>
    <x v="1"/>
    <s v="2230"/>
    <s v="000"/>
    <x v="11"/>
    <x v="2"/>
  </r>
  <r>
    <d v="2013-09-17T00:00:00"/>
    <s v="017-2100-000"/>
    <s v="Food Sales"/>
    <n v="5747.5554999999995"/>
    <n v="0"/>
    <s v="Daily Sales Import"/>
    <n v="-5747.5554999999995"/>
    <n v="5747.5554999999995"/>
    <x v="1"/>
    <s v="2100"/>
    <s v="000"/>
    <x v="11"/>
    <x v="2"/>
  </r>
  <r>
    <d v="2013-09-17T00:00:00"/>
    <s v="017-2210-000"/>
    <s v="Liquor Sales"/>
    <n v="872.33370000000002"/>
    <n v="0"/>
    <s v="Daily Sales Import"/>
    <n v="-872.33370000000002"/>
    <n v="872.33370000000002"/>
    <x v="1"/>
    <s v="2210"/>
    <s v="000"/>
    <x v="11"/>
    <x v="2"/>
  </r>
  <r>
    <d v="2013-09-17T00:00:00"/>
    <s v="017-2220-000"/>
    <s v="Beer Sales"/>
    <n v="327.86880000000002"/>
    <n v="0"/>
    <s v="Daily Sales Import"/>
    <n v="-327.86880000000002"/>
    <n v="327.86880000000002"/>
    <x v="1"/>
    <s v="2220"/>
    <s v="000"/>
    <x v="11"/>
    <x v="2"/>
  </r>
  <r>
    <d v="2013-09-17T00:00:00"/>
    <s v="017-2230-000"/>
    <s v="Wine Sales"/>
    <n v="115.46489999999999"/>
    <n v="0"/>
    <s v="Daily Sales Import"/>
    <n v="-115.46489999999999"/>
    <n v="115.46489999999999"/>
    <x v="1"/>
    <s v="2230"/>
    <s v="000"/>
    <x v="11"/>
    <x v="2"/>
  </r>
  <r>
    <d v="2013-09-18T00:00:00"/>
    <s v="017-2100-000"/>
    <s v="Food Sales"/>
    <n v="7699.1724000000004"/>
    <n v="0"/>
    <s v="Daily Sales Import"/>
    <n v="-7699.1724000000004"/>
    <n v="7699.1724000000004"/>
    <x v="1"/>
    <s v="2100"/>
    <s v="000"/>
    <x v="11"/>
    <x v="2"/>
  </r>
  <r>
    <d v="2013-09-18T00:00:00"/>
    <s v="017-2210-000"/>
    <s v="Liquor Sales"/>
    <n v="1893.6451999999999"/>
    <n v="0"/>
    <s v="Daily Sales Import"/>
    <n v="-1893.6451999999999"/>
    <n v="1893.6451999999999"/>
    <x v="1"/>
    <s v="2210"/>
    <s v="000"/>
    <x v="11"/>
    <x v="2"/>
  </r>
  <r>
    <d v="2013-09-18T00:00:00"/>
    <s v="017-2220-000"/>
    <s v="Beer Sales"/>
    <n v="530.90279999999996"/>
    <n v="0"/>
    <s v="Daily Sales Import"/>
    <n v="-530.90279999999996"/>
    <n v="530.90279999999996"/>
    <x v="1"/>
    <s v="2220"/>
    <s v="000"/>
    <x v="11"/>
    <x v="2"/>
  </r>
  <r>
    <d v="2013-09-18T00:00:00"/>
    <s v="017-2230-000"/>
    <s v="Wine Sales"/>
    <n v="47.416800000000002"/>
    <n v="0"/>
    <s v="Daily Sales Import"/>
    <n v="-47.416800000000002"/>
    <n v="47.416800000000002"/>
    <x v="1"/>
    <s v="2230"/>
    <s v="000"/>
    <x v="11"/>
    <x v="2"/>
  </r>
  <r>
    <d v="2013-09-19T00:00:00"/>
    <s v="017-2100-000"/>
    <s v="Food Sales"/>
    <n v="4217.0502000000006"/>
    <n v="0"/>
    <s v="Daily Sales Import"/>
    <n v="-4217.0502000000006"/>
    <n v="4217.0502000000006"/>
    <x v="1"/>
    <s v="2100"/>
    <s v="000"/>
    <x v="11"/>
    <x v="2"/>
  </r>
  <r>
    <d v="2013-09-19T00:00:00"/>
    <s v="017-2210-000"/>
    <s v="Liquor Sales"/>
    <n v="1182.2951"/>
    <n v="0"/>
    <s v="Daily Sales Import"/>
    <n v="-1182.2951"/>
    <n v="1182.2951"/>
    <x v="1"/>
    <s v="2210"/>
    <s v="000"/>
    <x v="11"/>
    <x v="2"/>
  </r>
  <r>
    <d v="2013-09-19T00:00:00"/>
    <s v="017-2220-000"/>
    <s v="Beer Sales"/>
    <n v="485.53949999999998"/>
    <n v="0"/>
    <s v="Daily Sales Import"/>
    <n v="-485.53949999999998"/>
    <n v="485.53949999999998"/>
    <x v="1"/>
    <s v="2220"/>
    <s v="000"/>
    <x v="11"/>
    <x v="2"/>
  </r>
  <r>
    <d v="2013-09-19T00:00:00"/>
    <s v="017-2230-000"/>
    <s v="Wine Sales"/>
    <n v="41.348600000000005"/>
    <n v="0"/>
    <s v="Daily Sales Import"/>
    <n v="-41.348600000000005"/>
    <n v="41.348600000000005"/>
    <x v="1"/>
    <s v="2230"/>
    <s v="000"/>
    <x v="11"/>
    <x v="2"/>
  </r>
  <r>
    <d v="2013-09-20T00:00:00"/>
    <s v="017-2100-000"/>
    <s v="Food Sales"/>
    <n v="7846.7389000000003"/>
    <n v="0"/>
    <s v="Daily Sales Import"/>
    <n v="-7846.7389000000003"/>
    <n v="7846.7389000000003"/>
    <x v="1"/>
    <s v="2100"/>
    <s v="000"/>
    <x v="11"/>
    <x v="2"/>
  </r>
  <r>
    <d v="2013-09-20T00:00:00"/>
    <s v="017-2210-000"/>
    <s v="Liquor Sales"/>
    <n v="1991.6197999999999"/>
    <n v="0"/>
    <s v="Daily Sales Import"/>
    <n v="-1991.6197999999999"/>
    <n v="1991.6197999999999"/>
    <x v="1"/>
    <s v="2210"/>
    <s v="000"/>
    <x v="11"/>
    <x v="2"/>
  </r>
  <r>
    <d v="2013-09-20T00:00:00"/>
    <s v="017-2220-000"/>
    <s v="Beer Sales"/>
    <n v="504.28559999999999"/>
    <n v="0"/>
    <s v="Daily Sales Import"/>
    <n v="-504.28559999999999"/>
    <n v="504.28559999999999"/>
    <x v="1"/>
    <s v="2220"/>
    <s v="000"/>
    <x v="11"/>
    <x v="2"/>
  </r>
  <r>
    <d v="2013-09-20T00:00:00"/>
    <s v="017-2230-000"/>
    <s v="Wine Sales"/>
    <n v="110.41340000000001"/>
    <n v="0"/>
    <s v="Daily Sales Import"/>
    <n v="-110.41340000000001"/>
    <n v="110.41340000000001"/>
    <x v="1"/>
    <s v="2230"/>
    <s v="000"/>
    <x v="11"/>
    <x v="2"/>
  </r>
  <r>
    <d v="2013-09-21T00:00:00"/>
    <s v="017-2100-000"/>
    <s v="Food Sales"/>
    <n v="5760.3919999999998"/>
    <n v="0"/>
    <s v="Daily Sales Import"/>
    <n v="-5760.3919999999998"/>
    <n v="5760.3919999999998"/>
    <x v="1"/>
    <s v="2100"/>
    <s v="000"/>
    <x v="11"/>
    <x v="2"/>
  </r>
  <r>
    <d v="2013-09-21T00:00:00"/>
    <s v="017-2210-000"/>
    <s v="Liquor Sales"/>
    <n v="1091.9916000000001"/>
    <n v="0"/>
    <s v="Daily Sales Import"/>
    <n v="-1091.9916000000001"/>
    <n v="1091.9916000000001"/>
    <x v="1"/>
    <s v="2210"/>
    <s v="000"/>
    <x v="11"/>
    <x v="2"/>
  </r>
  <r>
    <d v="2013-09-21T00:00:00"/>
    <s v="017-2220-000"/>
    <s v="Beer Sales"/>
    <n v="412.1216"/>
    <n v="0"/>
    <s v="Daily Sales Import"/>
    <n v="-412.1216"/>
    <n v="412.1216"/>
    <x v="1"/>
    <s v="2220"/>
    <s v="000"/>
    <x v="11"/>
    <x v="2"/>
  </r>
  <r>
    <d v="2013-09-21T00:00:00"/>
    <s v="017-2230-000"/>
    <s v="Wine Sales"/>
    <n v="138.2946"/>
    <n v="0"/>
    <s v="Daily Sales Import"/>
    <n v="-138.2946"/>
    <n v="138.2946"/>
    <x v="1"/>
    <s v="2230"/>
    <s v="000"/>
    <x v="11"/>
    <x v="2"/>
  </r>
  <r>
    <d v="2013-09-22T00:00:00"/>
    <s v="017-2100-000"/>
    <s v="Food Sales"/>
    <n v="4844.4941999999992"/>
    <n v="0"/>
    <s v="Daily Sales Import"/>
    <n v="-4844.4941999999992"/>
    <n v="4844.4941999999992"/>
    <x v="1"/>
    <s v="2100"/>
    <s v="000"/>
    <x v="11"/>
    <x v="2"/>
  </r>
  <r>
    <d v="2013-09-22T00:00:00"/>
    <s v="017-2210-000"/>
    <s v="Liquor Sales"/>
    <n v="774.80150000000003"/>
    <n v="0"/>
    <s v="Daily Sales Import"/>
    <n v="-774.80150000000003"/>
    <n v="774.80150000000003"/>
    <x v="1"/>
    <s v="2210"/>
    <s v="000"/>
    <x v="11"/>
    <x v="2"/>
  </r>
  <r>
    <d v="2013-09-22T00:00:00"/>
    <s v="017-2220-000"/>
    <s v="Beer Sales"/>
    <n v="220.29760000000002"/>
    <n v="0"/>
    <s v="Daily Sales Import"/>
    <n v="-220.29760000000002"/>
    <n v="220.29760000000002"/>
    <x v="1"/>
    <s v="2220"/>
    <s v="000"/>
    <x v="11"/>
    <x v="2"/>
  </r>
  <r>
    <d v="2013-09-22T00:00:00"/>
    <s v="017-2230-000"/>
    <s v="Wine Sales"/>
    <n v="71.543399999999991"/>
    <n v="0"/>
    <s v="Daily Sales Import"/>
    <n v="-71.543399999999991"/>
    <n v="71.543399999999991"/>
    <x v="1"/>
    <s v="2230"/>
    <s v="000"/>
    <x v="11"/>
    <x v="2"/>
  </r>
  <r>
    <d v="2013-09-16T00:00:00"/>
    <s v="018-2100-000"/>
    <s v="Food Sales"/>
    <n v="2843.7999999999997"/>
    <n v="0"/>
    <s v="Daily Sales Import"/>
    <n v="-2843.7999999999997"/>
    <n v="2843.7999999999997"/>
    <x v="2"/>
    <s v="2100"/>
    <s v="000"/>
    <x v="11"/>
    <x v="2"/>
  </r>
  <r>
    <d v="2013-09-16T00:00:00"/>
    <s v="018-2210-000"/>
    <s v="Liquor Sales"/>
    <n v="961.79170000000011"/>
    <n v="0"/>
    <s v="Daily Sales Import"/>
    <n v="-961.79170000000011"/>
    <n v="961.79170000000011"/>
    <x v="2"/>
    <s v="2210"/>
    <s v="000"/>
    <x v="11"/>
    <x v="2"/>
  </r>
  <r>
    <d v="2013-09-16T00:00:00"/>
    <s v="018-2220-000"/>
    <s v="Beer Sales"/>
    <n v="99.083100000000002"/>
    <n v="0"/>
    <s v="Daily Sales Import"/>
    <n v="-99.083100000000002"/>
    <n v="99.083100000000002"/>
    <x v="2"/>
    <s v="2220"/>
    <s v="000"/>
    <x v="11"/>
    <x v="2"/>
  </r>
  <r>
    <d v="2013-09-16T00:00:00"/>
    <s v="018-2230-000"/>
    <s v="Wine Sales"/>
    <n v="35.567999999999998"/>
    <n v="0"/>
    <s v="Daily Sales Import"/>
    <n v="-35.567999999999998"/>
    <n v="35.567999999999998"/>
    <x v="2"/>
    <s v="2230"/>
    <s v="000"/>
    <x v="11"/>
    <x v="2"/>
  </r>
  <r>
    <d v="2013-09-17T00:00:00"/>
    <s v="018-2100-000"/>
    <s v="Food Sales"/>
    <n v="4510.5731999999998"/>
    <n v="0"/>
    <s v="Daily Sales Import"/>
    <n v="-4510.5731999999998"/>
    <n v="4510.5731999999998"/>
    <x v="2"/>
    <s v="2100"/>
    <s v="000"/>
    <x v="11"/>
    <x v="2"/>
  </r>
  <r>
    <d v="2013-09-17T00:00:00"/>
    <s v="018-2210-000"/>
    <s v="Liquor Sales"/>
    <n v="564.45959999999991"/>
    <n v="0"/>
    <s v="Daily Sales Import"/>
    <n v="-564.45959999999991"/>
    <n v="564.45959999999991"/>
    <x v="2"/>
    <s v="2210"/>
    <s v="000"/>
    <x v="11"/>
    <x v="2"/>
  </r>
  <r>
    <d v="2013-09-17T00:00:00"/>
    <s v="018-2220-000"/>
    <s v="Beer Sales"/>
    <n v="139.04739999999998"/>
    <n v="0"/>
    <s v="Daily Sales Import"/>
    <n v="-139.04739999999998"/>
    <n v="139.04739999999998"/>
    <x v="2"/>
    <s v="2220"/>
    <s v="000"/>
    <x v="11"/>
    <x v="2"/>
  </r>
  <r>
    <d v="2013-09-17T00:00:00"/>
    <s v="018-2230-000"/>
    <s v="Wine Sales"/>
    <n v="22.248000000000001"/>
    <n v="0"/>
    <s v="Daily Sales Import"/>
    <n v="-22.248000000000001"/>
    <n v="22.248000000000001"/>
    <x v="2"/>
    <s v="2230"/>
    <s v="000"/>
    <x v="11"/>
    <x v="2"/>
  </r>
  <r>
    <d v="2013-09-18T00:00:00"/>
    <s v="018-2100-000"/>
    <s v="Food Sales"/>
    <n v="4649.1365999999998"/>
    <n v="0"/>
    <s v="Daily Sales Import"/>
    <n v="-4649.1365999999998"/>
    <n v="4649.1365999999998"/>
    <x v="2"/>
    <s v="2100"/>
    <s v="000"/>
    <x v="11"/>
    <x v="2"/>
  </r>
  <r>
    <d v="2013-09-18T00:00:00"/>
    <s v="018-2210-000"/>
    <s v="Liquor Sales"/>
    <n v="684.27689999999996"/>
    <n v="0"/>
    <s v="Daily Sales Import"/>
    <n v="-684.27689999999996"/>
    <n v="684.27689999999996"/>
    <x v="2"/>
    <s v="2210"/>
    <s v="000"/>
    <x v="11"/>
    <x v="2"/>
  </r>
  <r>
    <d v="2013-09-18T00:00:00"/>
    <s v="018-2220-000"/>
    <s v="Beer Sales"/>
    <n v="177.79320000000001"/>
    <n v="0"/>
    <s v="Daily Sales Import"/>
    <n v="-177.79320000000001"/>
    <n v="177.79320000000001"/>
    <x v="2"/>
    <s v="2220"/>
    <s v="000"/>
    <x v="11"/>
    <x v="2"/>
  </r>
  <r>
    <d v="2013-09-18T00:00:00"/>
    <s v="018-2230-000"/>
    <s v="Wine Sales"/>
    <n v="20.256599999999999"/>
    <n v="0"/>
    <s v="Daily Sales Import"/>
    <n v="-20.256599999999999"/>
    <n v="20.256599999999999"/>
    <x v="2"/>
    <s v="2230"/>
    <s v="000"/>
    <x v="11"/>
    <x v="2"/>
  </r>
  <r>
    <d v="2013-09-19T00:00:00"/>
    <s v="018-2100-000"/>
    <s v="Food Sales"/>
    <n v="4367.9243000000006"/>
    <n v="0"/>
    <s v="Daily Sales Import"/>
    <n v="-4367.9243000000006"/>
    <n v="4367.9243000000006"/>
    <x v="2"/>
    <s v="2100"/>
    <s v="000"/>
    <x v="11"/>
    <x v="2"/>
  </r>
  <r>
    <d v="2013-09-19T00:00:00"/>
    <s v="018-2210-000"/>
    <s v="Liquor Sales"/>
    <n v="795.17899999999997"/>
    <n v="0"/>
    <s v="Daily Sales Import"/>
    <n v="-795.17899999999997"/>
    <n v="795.17899999999997"/>
    <x v="2"/>
    <s v="2210"/>
    <s v="000"/>
    <x v="11"/>
    <x v="2"/>
  </r>
  <r>
    <d v="2013-09-19T00:00:00"/>
    <s v="018-2220-000"/>
    <s v="Beer Sales"/>
    <n v="163.84299999999999"/>
    <n v="0"/>
    <s v="Daily Sales Import"/>
    <n v="-163.84299999999999"/>
    <n v="163.84299999999999"/>
    <x v="2"/>
    <s v="2220"/>
    <s v="000"/>
    <x v="11"/>
    <x v="2"/>
  </r>
  <r>
    <d v="2013-09-19T00:00:00"/>
    <s v="018-2230-000"/>
    <s v="Wine Sales"/>
    <n v="28.128000000000004"/>
    <n v="0"/>
    <s v="Daily Sales Import"/>
    <n v="-28.128000000000004"/>
    <n v="28.128000000000004"/>
    <x v="2"/>
    <s v="2230"/>
    <s v="000"/>
    <x v="11"/>
    <x v="2"/>
  </r>
  <r>
    <d v="2013-09-20T00:00:00"/>
    <s v="018-2100-000"/>
    <s v="Food Sales"/>
    <n v="11831.037200000001"/>
    <n v="0"/>
    <s v="Daily Sales Import"/>
    <n v="-11831.037200000001"/>
    <n v="11831.037200000001"/>
    <x v="2"/>
    <s v="2100"/>
    <s v="000"/>
    <x v="11"/>
    <x v="2"/>
  </r>
  <r>
    <d v="2013-09-20T00:00:00"/>
    <s v="018-2210-000"/>
    <s v="Liquor Sales"/>
    <n v="2120.7296000000001"/>
    <n v="0"/>
    <s v="Daily Sales Import"/>
    <n v="-2120.7296000000001"/>
    <n v="2120.7296000000001"/>
    <x v="2"/>
    <s v="2210"/>
    <s v="000"/>
    <x v="11"/>
    <x v="2"/>
  </r>
  <r>
    <d v="2013-09-20T00:00:00"/>
    <s v="018-2220-000"/>
    <s v="Beer Sales"/>
    <n v="449.26799999999997"/>
    <n v="0"/>
    <s v="Daily Sales Import"/>
    <n v="-449.26799999999997"/>
    <n v="449.26799999999997"/>
    <x v="2"/>
    <s v="2220"/>
    <s v="000"/>
    <x v="11"/>
    <x v="2"/>
  </r>
  <r>
    <d v="2013-09-20T00:00:00"/>
    <s v="018-2230-000"/>
    <s v="Wine Sales"/>
    <n v="140.4708"/>
    <n v="0"/>
    <s v="Daily Sales Import"/>
    <n v="-140.4708"/>
    <n v="140.4708"/>
    <x v="2"/>
    <s v="2230"/>
    <s v="000"/>
    <x v="11"/>
    <x v="2"/>
  </r>
  <r>
    <d v="2013-09-21T00:00:00"/>
    <s v="018-2100-000"/>
    <s v="Food Sales"/>
    <n v="9954.9184000000005"/>
    <n v="0"/>
    <s v="Daily Sales Import"/>
    <n v="-9954.9184000000005"/>
    <n v="9954.9184000000005"/>
    <x v="2"/>
    <s v="2100"/>
    <s v="000"/>
    <x v="11"/>
    <x v="2"/>
  </r>
  <r>
    <d v="2013-09-21T00:00:00"/>
    <s v="018-2210-000"/>
    <s v="Liquor Sales"/>
    <n v="1899.6675"/>
    <n v="0"/>
    <s v="Daily Sales Import"/>
    <n v="-1899.6675"/>
    <n v="1899.6675"/>
    <x v="2"/>
    <s v="2210"/>
    <s v="000"/>
    <x v="11"/>
    <x v="2"/>
  </r>
  <r>
    <d v="2013-09-21T00:00:00"/>
    <s v="018-2220-000"/>
    <s v="Beer Sales"/>
    <n v="621.08369999999991"/>
    <n v="0"/>
    <s v="Daily Sales Import"/>
    <n v="-621.08369999999991"/>
    <n v="621.08369999999991"/>
    <x v="2"/>
    <s v="2220"/>
    <s v="000"/>
    <x v="11"/>
    <x v="2"/>
  </r>
  <r>
    <d v="2013-09-21T00:00:00"/>
    <s v="018-2230-000"/>
    <s v="Wine Sales"/>
    <n v="35.093299999999999"/>
    <n v="0"/>
    <s v="Daily Sales Import"/>
    <n v="-35.093299999999999"/>
    <n v="35.093299999999999"/>
    <x v="2"/>
    <s v="2230"/>
    <s v="000"/>
    <x v="11"/>
    <x v="2"/>
  </r>
  <r>
    <d v="2013-09-22T00:00:00"/>
    <s v="018-2100-000"/>
    <s v="Food Sales"/>
    <n v="9881.5805999999993"/>
    <n v="0"/>
    <s v="Daily Sales Import"/>
    <n v="-9881.5805999999993"/>
    <n v="9881.5805999999993"/>
    <x v="2"/>
    <s v="2100"/>
    <s v="000"/>
    <x v="11"/>
    <x v="2"/>
  </r>
  <r>
    <d v="2013-09-22T00:00:00"/>
    <s v="018-2210-000"/>
    <s v="Liquor Sales"/>
    <n v="914.59439999999995"/>
    <n v="0"/>
    <s v="Daily Sales Import"/>
    <n v="-914.59439999999995"/>
    <n v="914.59439999999995"/>
    <x v="2"/>
    <s v="2210"/>
    <s v="000"/>
    <x v="11"/>
    <x v="2"/>
  </r>
  <r>
    <d v="2013-09-22T00:00:00"/>
    <s v="018-2220-000"/>
    <s v="Beer Sales"/>
    <n v="313.09980000000002"/>
    <n v="0"/>
    <s v="Daily Sales Import"/>
    <n v="-313.09980000000002"/>
    <n v="313.09980000000002"/>
    <x v="2"/>
    <s v="2220"/>
    <s v="000"/>
    <x v="11"/>
    <x v="2"/>
  </r>
  <r>
    <d v="2013-09-22T00:00:00"/>
    <s v="018-2230-000"/>
    <s v="Wine Sales"/>
    <n v="82.032799999999995"/>
    <n v="0"/>
    <s v="Daily Sales Import"/>
    <n v="-82.032799999999995"/>
    <n v="82.032799999999995"/>
    <x v="2"/>
    <s v="2230"/>
    <s v="000"/>
    <x v="11"/>
    <x v="2"/>
  </r>
  <r>
    <d v="2013-09-16T00:00:00"/>
    <s v="019-2100-000"/>
    <s v="Food Sales"/>
    <n v="3501.9591999999998"/>
    <n v="0"/>
    <s v="Daily Sales Import"/>
    <n v="-3501.9591999999998"/>
    <n v="3501.9591999999998"/>
    <x v="3"/>
    <s v="2100"/>
    <s v="000"/>
    <x v="11"/>
    <x v="2"/>
  </r>
  <r>
    <d v="2013-09-16T00:00:00"/>
    <s v="019-2210-000"/>
    <s v="Liquor Sales"/>
    <n v="903.87360000000001"/>
    <n v="0"/>
    <s v="Daily Sales Import"/>
    <n v="-903.87360000000001"/>
    <n v="903.87360000000001"/>
    <x v="3"/>
    <s v="2210"/>
    <s v="000"/>
    <x v="11"/>
    <x v="2"/>
  </r>
  <r>
    <d v="2013-09-16T00:00:00"/>
    <s v="019-2220-000"/>
    <s v="Beer Sales"/>
    <n v="316.1028"/>
    <n v="0"/>
    <s v="Daily Sales Import"/>
    <n v="-316.1028"/>
    <n v="316.1028"/>
    <x v="3"/>
    <s v="2220"/>
    <s v="000"/>
    <x v="11"/>
    <x v="2"/>
  </r>
  <r>
    <d v="2013-09-16T00:00:00"/>
    <s v="019-2230-000"/>
    <s v="Wine Sales"/>
    <n v="88.725000000000009"/>
    <n v="0"/>
    <s v="Daily Sales Import"/>
    <n v="-88.725000000000009"/>
    <n v="88.725000000000009"/>
    <x v="3"/>
    <s v="2230"/>
    <s v="000"/>
    <x v="11"/>
    <x v="2"/>
  </r>
  <r>
    <d v="2013-09-17T00:00:00"/>
    <s v="019-2100-000"/>
    <s v="Food Sales"/>
    <n v="5954.9481000000005"/>
    <n v="0"/>
    <s v="Daily Sales Import"/>
    <n v="-5954.9481000000005"/>
    <n v="5954.9481000000005"/>
    <x v="3"/>
    <s v="2100"/>
    <s v="000"/>
    <x v="11"/>
    <x v="2"/>
  </r>
  <r>
    <d v="2013-09-17T00:00:00"/>
    <s v="019-2210-000"/>
    <s v="Liquor Sales"/>
    <n v="1270.9754"/>
    <n v="0"/>
    <s v="Daily Sales Import"/>
    <n v="-1270.9754"/>
    <n v="1270.9754"/>
    <x v="3"/>
    <s v="2210"/>
    <s v="000"/>
    <x v="11"/>
    <x v="2"/>
  </r>
  <r>
    <d v="2013-09-17T00:00:00"/>
    <s v="019-2220-000"/>
    <s v="Beer Sales"/>
    <n v="255.73680000000002"/>
    <n v="0"/>
    <s v="Daily Sales Import"/>
    <n v="-255.73680000000002"/>
    <n v="255.73680000000002"/>
    <x v="3"/>
    <s v="2220"/>
    <s v="000"/>
    <x v="11"/>
    <x v="2"/>
  </r>
  <r>
    <d v="2013-09-17T00:00:00"/>
    <s v="019-2230-000"/>
    <s v="Wine Sales"/>
    <n v="52.207999999999998"/>
    <n v="0"/>
    <s v="Daily Sales Import"/>
    <n v="-52.207999999999998"/>
    <n v="52.207999999999998"/>
    <x v="3"/>
    <s v="2230"/>
    <s v="000"/>
    <x v="11"/>
    <x v="2"/>
  </r>
  <r>
    <d v="2013-09-18T00:00:00"/>
    <s v="019-2100-000"/>
    <s v="Food Sales"/>
    <n v="5408.2910999999995"/>
    <n v="0"/>
    <s v="Daily Sales Import"/>
    <n v="-5408.2910999999995"/>
    <n v="5408.2910999999995"/>
    <x v="3"/>
    <s v="2100"/>
    <s v="000"/>
    <x v="11"/>
    <x v="2"/>
  </r>
  <r>
    <d v="2013-09-18T00:00:00"/>
    <s v="019-2210-000"/>
    <s v="Liquor Sales"/>
    <n v="2250.8615999999997"/>
    <n v="0"/>
    <s v="Daily Sales Import"/>
    <n v="-2250.8615999999997"/>
    <n v="2250.8615999999997"/>
    <x v="3"/>
    <s v="2210"/>
    <s v="000"/>
    <x v="11"/>
    <x v="2"/>
  </r>
  <r>
    <d v="2013-09-18T00:00:00"/>
    <s v="019-2220-000"/>
    <s v="Beer Sales"/>
    <n v="559.17470000000003"/>
    <n v="0"/>
    <s v="Daily Sales Import"/>
    <n v="-559.17470000000003"/>
    <n v="559.17470000000003"/>
    <x v="3"/>
    <s v="2220"/>
    <s v="000"/>
    <x v="11"/>
    <x v="2"/>
  </r>
  <r>
    <d v="2013-09-18T00:00:00"/>
    <s v="019-2230-000"/>
    <s v="Wine Sales"/>
    <n v="90.078699999999984"/>
    <n v="0"/>
    <s v="Daily Sales Import"/>
    <n v="-90.078699999999984"/>
    <n v="90.078699999999984"/>
    <x v="3"/>
    <s v="2230"/>
    <s v="000"/>
    <x v="11"/>
    <x v="2"/>
  </r>
  <r>
    <d v="2013-09-19T00:00:00"/>
    <s v="019-2100-000"/>
    <s v="Food Sales"/>
    <n v="6792.7922999999992"/>
    <n v="0"/>
    <s v="Daily Sales Import"/>
    <n v="-6792.7922999999992"/>
    <n v="6792.7922999999992"/>
    <x v="3"/>
    <s v="2100"/>
    <s v="000"/>
    <x v="11"/>
    <x v="2"/>
  </r>
  <r>
    <d v="2013-09-19T00:00:00"/>
    <s v="019-2210-000"/>
    <s v="Liquor Sales"/>
    <n v="3318.8597999999997"/>
    <n v="0"/>
    <s v="Daily Sales Import"/>
    <n v="-3318.8597999999997"/>
    <n v="3318.8597999999997"/>
    <x v="3"/>
    <s v="2210"/>
    <s v="000"/>
    <x v="11"/>
    <x v="2"/>
  </r>
  <r>
    <d v="2013-09-19T00:00:00"/>
    <s v="019-2220-000"/>
    <s v="Beer Sales"/>
    <n v="508.02120000000008"/>
    <n v="0"/>
    <s v="Daily Sales Import"/>
    <n v="-508.02120000000008"/>
    <n v="508.02120000000008"/>
    <x v="3"/>
    <s v="2220"/>
    <s v="000"/>
    <x v="11"/>
    <x v="2"/>
  </r>
  <r>
    <d v="2013-09-19T00:00:00"/>
    <s v="019-2230-000"/>
    <s v="Wine Sales"/>
    <n v="151.21040000000002"/>
    <n v="0"/>
    <s v="Daily Sales Import"/>
    <n v="-151.21040000000002"/>
    <n v="151.21040000000002"/>
    <x v="3"/>
    <s v="2230"/>
    <s v="000"/>
    <x v="11"/>
    <x v="2"/>
  </r>
  <r>
    <d v="2013-09-20T00:00:00"/>
    <s v="019-2100-000"/>
    <s v="Food Sales"/>
    <n v="4099.5767999999998"/>
    <n v="0"/>
    <s v="Daily Sales Import"/>
    <n v="-4099.5767999999998"/>
    <n v="4099.5767999999998"/>
    <x v="3"/>
    <s v="2100"/>
    <s v="000"/>
    <x v="11"/>
    <x v="2"/>
  </r>
  <r>
    <d v="2013-09-20T00:00:00"/>
    <s v="019-2210-000"/>
    <s v="Liquor Sales"/>
    <n v="1698.8216000000002"/>
    <n v="0"/>
    <s v="Daily Sales Import"/>
    <n v="-1698.8216000000002"/>
    <n v="1698.8216000000002"/>
    <x v="3"/>
    <s v="2210"/>
    <s v="000"/>
    <x v="11"/>
    <x v="2"/>
  </r>
  <r>
    <d v="2013-09-20T00:00:00"/>
    <s v="019-2220-000"/>
    <s v="Beer Sales"/>
    <n v="398.85680000000002"/>
    <n v="0"/>
    <s v="Daily Sales Import"/>
    <n v="-398.85680000000002"/>
    <n v="398.85680000000002"/>
    <x v="3"/>
    <s v="2220"/>
    <s v="000"/>
    <x v="11"/>
    <x v="2"/>
  </r>
  <r>
    <d v="2013-09-20T00:00:00"/>
    <s v="019-2230-000"/>
    <s v="Wine Sales"/>
    <n v="96.751300000000001"/>
    <n v="0"/>
    <s v="Daily Sales Import"/>
    <n v="-96.751300000000001"/>
    <n v="96.751300000000001"/>
    <x v="3"/>
    <s v="2230"/>
    <s v="000"/>
    <x v="11"/>
    <x v="2"/>
  </r>
  <r>
    <d v="2013-09-21T00:00:00"/>
    <s v="019-2100-000"/>
    <s v="Food Sales"/>
    <n v="3878.502"/>
    <n v="0"/>
    <s v="Daily Sales Import"/>
    <n v="-3878.502"/>
    <n v="3878.502"/>
    <x v="3"/>
    <s v="2100"/>
    <s v="000"/>
    <x v="11"/>
    <x v="2"/>
  </r>
  <r>
    <d v="2013-09-21T00:00:00"/>
    <s v="019-2210-000"/>
    <s v="Liquor Sales"/>
    <n v="2289.3701999999998"/>
    <n v="0"/>
    <s v="Daily Sales Import"/>
    <n v="-2289.3701999999998"/>
    <n v="2289.3701999999998"/>
    <x v="3"/>
    <s v="2210"/>
    <s v="000"/>
    <x v="11"/>
    <x v="2"/>
  </r>
  <r>
    <d v="2013-09-21T00:00:00"/>
    <s v="019-2220-000"/>
    <s v="Beer Sales"/>
    <n v="492.16320000000007"/>
    <n v="0"/>
    <s v="Daily Sales Import"/>
    <n v="-492.16320000000007"/>
    <n v="492.16320000000007"/>
    <x v="3"/>
    <s v="2220"/>
    <s v="000"/>
    <x v="11"/>
    <x v="2"/>
  </r>
  <r>
    <d v="2013-09-21T00:00:00"/>
    <s v="019-2230-000"/>
    <s v="Wine Sales"/>
    <n v="128.184"/>
    <n v="0"/>
    <s v="Daily Sales Import"/>
    <n v="-128.184"/>
    <n v="128.184"/>
    <x v="3"/>
    <s v="2230"/>
    <s v="000"/>
    <x v="11"/>
    <x v="2"/>
  </r>
  <r>
    <d v="2013-09-22T00:00:00"/>
    <s v="019-2100-000"/>
    <s v="Food Sales"/>
    <n v="2446.422"/>
    <n v="0"/>
    <s v="Daily Sales Import"/>
    <n v="-2446.422"/>
    <n v="2446.422"/>
    <x v="3"/>
    <s v="2100"/>
    <s v="000"/>
    <x v="11"/>
    <x v="2"/>
  </r>
  <r>
    <d v="2013-09-22T00:00:00"/>
    <s v="019-2210-000"/>
    <s v="Liquor Sales"/>
    <n v="1049.5847999999999"/>
    <n v="0"/>
    <s v="Daily Sales Import"/>
    <n v="-1049.5847999999999"/>
    <n v="1049.5847999999999"/>
    <x v="3"/>
    <s v="2210"/>
    <s v="000"/>
    <x v="11"/>
    <x v="2"/>
  </r>
  <r>
    <d v="2013-09-22T00:00:00"/>
    <s v="019-2220-000"/>
    <s v="Beer Sales"/>
    <n v="164.8"/>
    <n v="0"/>
    <s v="Daily Sales Import"/>
    <n v="-164.8"/>
    <n v="164.8"/>
    <x v="3"/>
    <s v="2220"/>
    <s v="000"/>
    <x v="11"/>
    <x v="2"/>
  </r>
  <r>
    <d v="2013-09-22T00:00:00"/>
    <s v="019-2230-000"/>
    <s v="Wine Sales"/>
    <n v="81.585600000000014"/>
    <n v="0"/>
    <s v="Daily Sales Import"/>
    <n v="-81.585600000000014"/>
    <n v="81.585600000000014"/>
    <x v="3"/>
    <s v="2230"/>
    <s v="000"/>
    <x v="11"/>
    <x v="2"/>
  </r>
  <r>
    <d v="2013-09-23T00:00:00"/>
    <s v="016-2100-000"/>
    <s v="Food Sales"/>
    <n v="2686.3512000000001"/>
    <n v="0"/>
    <s v="Daily Sales Import"/>
    <n v="-2686.3512000000001"/>
    <n v="2686.3512000000001"/>
    <x v="0"/>
    <s v="2100"/>
    <s v="000"/>
    <x v="11"/>
    <x v="2"/>
  </r>
  <r>
    <d v="2013-09-23T00:00:00"/>
    <s v="016-2210-000"/>
    <s v="Liquor Sales"/>
    <n v="739.63919999999996"/>
    <n v="0"/>
    <s v="Daily Sales Import"/>
    <n v="-739.63919999999996"/>
    <n v="739.63919999999996"/>
    <x v="0"/>
    <s v="2210"/>
    <s v="000"/>
    <x v="11"/>
    <x v="2"/>
  </r>
  <r>
    <d v="2013-09-23T00:00:00"/>
    <s v="016-2220-000"/>
    <s v="Beer Sales"/>
    <n v="143.18370000000002"/>
    <n v="0"/>
    <s v="Daily Sales Import"/>
    <n v="-143.18370000000002"/>
    <n v="143.18370000000002"/>
    <x v="0"/>
    <s v="2220"/>
    <s v="000"/>
    <x v="11"/>
    <x v="2"/>
  </r>
  <r>
    <d v="2013-09-23T00:00:00"/>
    <s v="016-2230-000"/>
    <s v="Wine Sales"/>
    <n v="4.41"/>
    <n v="0"/>
    <s v="Daily Sales Import"/>
    <n v="-4.41"/>
    <n v="4.41"/>
    <x v="0"/>
    <s v="2230"/>
    <s v="000"/>
    <x v="11"/>
    <x v="2"/>
  </r>
  <r>
    <d v="2013-09-24T00:00:00"/>
    <s v="016-2100-000"/>
    <s v="Food Sales"/>
    <n v="4435.7143999999998"/>
    <n v="0"/>
    <s v="Daily Sales Import"/>
    <n v="-4435.7143999999998"/>
    <n v="4435.7143999999998"/>
    <x v="0"/>
    <s v="2100"/>
    <s v="000"/>
    <x v="11"/>
    <x v="2"/>
  </r>
  <r>
    <d v="2013-09-24T00:00:00"/>
    <s v="016-2210-000"/>
    <s v="Liquor Sales"/>
    <n v="1789.8248000000001"/>
    <n v="0"/>
    <s v="Daily Sales Import"/>
    <n v="-1789.8248000000001"/>
    <n v="1789.8248000000001"/>
    <x v="0"/>
    <s v="2210"/>
    <s v="000"/>
    <x v="11"/>
    <x v="2"/>
  </r>
  <r>
    <d v="2013-09-24T00:00:00"/>
    <s v="016-2220-000"/>
    <s v="Beer Sales"/>
    <n v="823.36500000000001"/>
    <n v="0"/>
    <s v="Daily Sales Import"/>
    <n v="-823.36500000000001"/>
    <n v="823.36500000000001"/>
    <x v="0"/>
    <s v="2220"/>
    <s v="000"/>
    <x v="11"/>
    <x v="2"/>
  </r>
  <r>
    <d v="2013-09-24T00:00:00"/>
    <s v="016-2230-000"/>
    <s v="Wine Sales"/>
    <n v="117.7914"/>
    <n v="0"/>
    <s v="Daily Sales Import"/>
    <n v="-117.7914"/>
    <n v="117.7914"/>
    <x v="0"/>
    <s v="2230"/>
    <s v="000"/>
    <x v="11"/>
    <x v="2"/>
  </r>
  <r>
    <d v="2013-09-25T00:00:00"/>
    <s v="016-2100-000"/>
    <s v="Food Sales"/>
    <n v="2067.4816000000001"/>
    <n v="0"/>
    <s v="Daily Sales Import"/>
    <n v="-2067.4816000000001"/>
    <n v="2067.4816000000001"/>
    <x v="0"/>
    <s v="2100"/>
    <s v="000"/>
    <x v="11"/>
    <x v="2"/>
  </r>
  <r>
    <d v="2013-09-25T00:00:00"/>
    <s v="016-2210-000"/>
    <s v="Liquor Sales"/>
    <n v="621.28000000000009"/>
    <n v="0"/>
    <s v="Daily Sales Import"/>
    <n v="-621.28000000000009"/>
    <n v="621.28000000000009"/>
    <x v="0"/>
    <s v="2210"/>
    <s v="000"/>
    <x v="11"/>
    <x v="2"/>
  </r>
  <r>
    <d v="2013-09-25T00:00:00"/>
    <s v="016-2220-000"/>
    <s v="Beer Sales"/>
    <n v="94.781999999999996"/>
    <n v="0"/>
    <s v="Daily Sales Import"/>
    <n v="-94.781999999999996"/>
    <n v="94.781999999999996"/>
    <x v="0"/>
    <s v="2220"/>
    <s v="000"/>
    <x v="11"/>
    <x v="2"/>
  </r>
  <r>
    <d v="2013-09-25T00:00:00"/>
    <s v="016-2230-000"/>
    <s v="Wine Sales"/>
    <n v="113.97750000000001"/>
    <n v="0"/>
    <s v="Daily Sales Import"/>
    <n v="-113.97750000000001"/>
    <n v="113.97750000000001"/>
    <x v="0"/>
    <s v="2230"/>
    <s v="000"/>
    <x v="11"/>
    <x v="2"/>
  </r>
  <r>
    <d v="2013-09-26T00:00:00"/>
    <s v="016-2100-000"/>
    <s v="Food Sales"/>
    <n v="1854.8585"/>
    <n v="0"/>
    <s v="Daily Sales Import"/>
    <n v="-1854.8585"/>
    <n v="1854.8585"/>
    <x v="0"/>
    <s v="2100"/>
    <s v="000"/>
    <x v="11"/>
    <x v="2"/>
  </r>
  <r>
    <d v="2013-09-26T00:00:00"/>
    <s v="016-2210-000"/>
    <s v="Liquor Sales"/>
    <n v="616.69299999999998"/>
    <n v="0"/>
    <s v="Daily Sales Import"/>
    <n v="-616.69299999999998"/>
    <n v="616.69299999999998"/>
    <x v="0"/>
    <s v="2210"/>
    <s v="000"/>
    <x v="11"/>
    <x v="2"/>
  </r>
  <r>
    <d v="2013-09-26T00:00:00"/>
    <s v="016-2220-000"/>
    <s v="Beer Sales"/>
    <n v="121.33710000000001"/>
    <n v="0"/>
    <s v="Daily Sales Import"/>
    <n v="-121.33710000000001"/>
    <n v="121.33710000000001"/>
    <x v="0"/>
    <s v="2220"/>
    <s v="000"/>
    <x v="11"/>
    <x v="2"/>
  </r>
  <r>
    <d v="2013-09-26T00:00:00"/>
    <s v="016-2230-000"/>
    <s v="Wine Sales"/>
    <n v="13.92"/>
    <n v="0"/>
    <s v="Daily Sales Import"/>
    <n v="-13.92"/>
    <n v="13.92"/>
    <x v="0"/>
    <s v="2230"/>
    <s v="000"/>
    <x v="11"/>
    <x v="2"/>
  </r>
  <r>
    <d v="2013-09-27T00:00:00"/>
    <s v="016-2100-000"/>
    <s v="Food Sales"/>
    <n v="5125.3360000000002"/>
    <n v="0"/>
    <s v="Daily Sales Import"/>
    <n v="-5125.3360000000002"/>
    <n v="5125.3360000000002"/>
    <x v="0"/>
    <s v="2100"/>
    <s v="000"/>
    <x v="11"/>
    <x v="2"/>
  </r>
  <r>
    <d v="2013-09-27T00:00:00"/>
    <s v="016-2210-000"/>
    <s v="Liquor Sales"/>
    <n v="1157.8808999999999"/>
    <n v="0"/>
    <s v="Daily Sales Import"/>
    <n v="-1157.8808999999999"/>
    <n v="1157.8808999999999"/>
    <x v="0"/>
    <s v="2210"/>
    <s v="000"/>
    <x v="11"/>
    <x v="2"/>
  </r>
  <r>
    <d v="2013-09-27T00:00:00"/>
    <s v="016-2220-000"/>
    <s v="Beer Sales"/>
    <n v="296.48079999999999"/>
    <n v="0"/>
    <s v="Daily Sales Import"/>
    <n v="-296.48079999999999"/>
    <n v="296.48079999999999"/>
    <x v="0"/>
    <s v="2220"/>
    <s v="000"/>
    <x v="11"/>
    <x v="2"/>
  </r>
  <r>
    <d v="2013-09-27T00:00:00"/>
    <s v="016-2230-000"/>
    <s v="Wine Sales"/>
    <n v="146.17360000000002"/>
    <n v="0"/>
    <s v="Daily Sales Import"/>
    <n v="-146.17360000000002"/>
    <n v="146.17360000000002"/>
    <x v="0"/>
    <s v="2230"/>
    <s v="000"/>
    <x v="11"/>
    <x v="2"/>
  </r>
  <r>
    <d v="2013-09-28T00:00:00"/>
    <s v="016-2100-000"/>
    <s v="Food Sales"/>
    <n v="5981.0944"/>
    <n v="0"/>
    <s v="Daily Sales Import"/>
    <n v="-5981.0944"/>
    <n v="5981.0944"/>
    <x v="0"/>
    <s v="2100"/>
    <s v="000"/>
    <x v="11"/>
    <x v="2"/>
  </r>
  <r>
    <d v="2013-09-28T00:00:00"/>
    <s v="016-2210-000"/>
    <s v="Liquor Sales"/>
    <n v="1728.3994"/>
    <n v="0"/>
    <s v="Daily Sales Import"/>
    <n v="-1728.3994"/>
    <n v="1728.3994"/>
    <x v="0"/>
    <s v="2210"/>
    <s v="000"/>
    <x v="11"/>
    <x v="2"/>
  </r>
  <r>
    <d v="2013-09-28T00:00:00"/>
    <s v="016-2220-000"/>
    <s v="Beer Sales"/>
    <n v="451.65899999999999"/>
    <n v="0"/>
    <s v="Daily Sales Import"/>
    <n v="-451.65899999999999"/>
    <n v="451.65899999999999"/>
    <x v="0"/>
    <s v="2220"/>
    <s v="000"/>
    <x v="11"/>
    <x v="2"/>
  </r>
  <r>
    <d v="2013-09-28T00:00:00"/>
    <s v="016-2230-000"/>
    <s v="Wine Sales"/>
    <n v="182.52800000000002"/>
    <n v="0"/>
    <s v="Daily Sales Import"/>
    <n v="-182.52800000000002"/>
    <n v="182.52800000000002"/>
    <x v="0"/>
    <s v="2230"/>
    <s v="000"/>
    <x v="11"/>
    <x v="2"/>
  </r>
  <r>
    <d v="2013-09-29T00:00:00"/>
    <s v="016-2100-000"/>
    <s v="Food Sales"/>
    <n v="3933.2046"/>
    <n v="0"/>
    <s v="Daily Sales Import"/>
    <n v="-3933.2046"/>
    <n v="3933.2046"/>
    <x v="0"/>
    <s v="2100"/>
    <s v="000"/>
    <x v="11"/>
    <x v="2"/>
  </r>
  <r>
    <d v="2013-09-29T00:00:00"/>
    <s v="016-2210-000"/>
    <s v="Liquor Sales"/>
    <n v="1125.6634999999999"/>
    <n v="0"/>
    <s v="Daily Sales Import"/>
    <n v="-1125.6634999999999"/>
    <n v="1125.6634999999999"/>
    <x v="0"/>
    <s v="2210"/>
    <s v="000"/>
    <x v="11"/>
    <x v="2"/>
  </r>
  <r>
    <d v="2013-09-29T00:00:00"/>
    <s v="016-2220-000"/>
    <s v="Beer Sales"/>
    <n v="206.60640000000001"/>
    <n v="0"/>
    <s v="Daily Sales Import"/>
    <n v="-206.60640000000001"/>
    <n v="206.60640000000001"/>
    <x v="0"/>
    <s v="2220"/>
    <s v="000"/>
    <x v="11"/>
    <x v="2"/>
  </r>
  <r>
    <d v="2013-09-29T00:00:00"/>
    <s v="016-2230-000"/>
    <s v="Wine Sales"/>
    <n v="83.260099999999994"/>
    <n v="0"/>
    <s v="Daily Sales Import"/>
    <n v="-83.260099999999994"/>
    <n v="83.260099999999994"/>
    <x v="0"/>
    <s v="2230"/>
    <s v="000"/>
    <x v="11"/>
    <x v="2"/>
  </r>
  <r>
    <d v="2013-09-23T00:00:00"/>
    <s v="017-2100-000"/>
    <s v="Food Sales"/>
    <n v="4732.6509999999998"/>
    <n v="0"/>
    <s v="Daily Sales Import"/>
    <n v="-4732.6509999999998"/>
    <n v="4732.6509999999998"/>
    <x v="1"/>
    <s v="2100"/>
    <s v="000"/>
    <x v="11"/>
    <x v="2"/>
  </r>
  <r>
    <d v="2013-09-23T00:00:00"/>
    <s v="017-2210-000"/>
    <s v="Liquor Sales"/>
    <n v="880.19999999999993"/>
    <n v="0"/>
    <s v="Daily Sales Import"/>
    <n v="-880.19999999999993"/>
    <n v="880.19999999999993"/>
    <x v="1"/>
    <s v="2210"/>
    <s v="000"/>
    <x v="11"/>
    <x v="2"/>
  </r>
  <r>
    <d v="2013-09-23T00:00:00"/>
    <s v="017-2220-000"/>
    <s v="Beer Sales"/>
    <n v="432"/>
    <n v="0"/>
    <s v="Daily Sales Import"/>
    <n v="-432"/>
    <n v="432"/>
    <x v="1"/>
    <s v="2220"/>
    <s v="000"/>
    <x v="11"/>
    <x v="2"/>
  </r>
  <r>
    <d v="2013-09-23T00:00:00"/>
    <s v="017-2230-000"/>
    <s v="Wine Sales"/>
    <n v="49.896000000000001"/>
    <n v="0"/>
    <s v="Daily Sales Import"/>
    <n v="-49.896000000000001"/>
    <n v="49.896000000000001"/>
    <x v="1"/>
    <s v="2230"/>
    <s v="000"/>
    <x v="11"/>
    <x v="2"/>
  </r>
  <r>
    <d v="2013-09-24T00:00:00"/>
    <s v="017-2100-000"/>
    <s v="Food Sales"/>
    <n v="4586.1060000000007"/>
    <n v="0"/>
    <s v="Daily Sales Import"/>
    <n v="-4586.1060000000007"/>
    <n v="4586.1060000000007"/>
    <x v="1"/>
    <s v="2100"/>
    <s v="000"/>
    <x v="11"/>
    <x v="2"/>
  </r>
  <r>
    <d v="2013-09-24T00:00:00"/>
    <s v="017-2210-000"/>
    <s v="Liquor Sales"/>
    <n v="1195.1120000000001"/>
    <n v="0"/>
    <s v="Daily Sales Import"/>
    <n v="-1195.1120000000001"/>
    <n v="1195.1120000000001"/>
    <x v="1"/>
    <s v="2210"/>
    <s v="000"/>
    <x v="11"/>
    <x v="2"/>
  </r>
  <r>
    <d v="2013-09-24T00:00:00"/>
    <s v="017-2220-000"/>
    <s v="Beer Sales"/>
    <n v="375.14879999999999"/>
    <n v="0"/>
    <s v="Daily Sales Import"/>
    <n v="-375.14879999999999"/>
    <n v="375.14879999999999"/>
    <x v="1"/>
    <s v="2220"/>
    <s v="000"/>
    <x v="11"/>
    <x v="2"/>
  </r>
  <r>
    <d v="2013-09-24T00:00:00"/>
    <s v="017-2230-000"/>
    <s v="Wine Sales"/>
    <n v="146.18610000000001"/>
    <n v="0"/>
    <s v="Daily Sales Import"/>
    <n v="-146.18610000000001"/>
    <n v="146.18610000000001"/>
    <x v="1"/>
    <s v="2230"/>
    <s v="000"/>
    <x v="11"/>
    <x v="2"/>
  </r>
  <r>
    <d v="2013-09-25T00:00:00"/>
    <s v="017-2100-000"/>
    <s v="Food Sales"/>
    <n v="5316.1639999999998"/>
    <n v="0"/>
    <s v="Daily Sales Import"/>
    <n v="-5316.1639999999998"/>
    <n v="5316.1639999999998"/>
    <x v="1"/>
    <s v="2100"/>
    <s v="000"/>
    <x v="11"/>
    <x v="2"/>
  </r>
  <r>
    <d v="2013-09-25T00:00:00"/>
    <s v="017-2210-000"/>
    <s v="Liquor Sales"/>
    <n v="1485.7200000000003"/>
    <n v="0"/>
    <s v="Daily Sales Import"/>
    <n v="-1485.7200000000003"/>
    <n v="1485.7200000000003"/>
    <x v="1"/>
    <s v="2210"/>
    <s v="000"/>
    <x v="11"/>
    <x v="2"/>
  </r>
  <r>
    <d v="2013-09-25T00:00:00"/>
    <s v="017-2220-000"/>
    <s v="Beer Sales"/>
    <n v="334.56149999999997"/>
    <n v="0"/>
    <s v="Daily Sales Import"/>
    <n v="-334.56149999999997"/>
    <n v="334.56149999999997"/>
    <x v="1"/>
    <s v="2220"/>
    <s v="000"/>
    <x v="11"/>
    <x v="2"/>
  </r>
  <r>
    <d v="2013-09-25T00:00:00"/>
    <s v="017-2230-000"/>
    <s v="Wine Sales"/>
    <n v="156.75659999999999"/>
    <n v="0"/>
    <s v="Daily Sales Import"/>
    <n v="-156.75659999999999"/>
    <n v="156.75659999999999"/>
    <x v="1"/>
    <s v="2230"/>
    <s v="000"/>
    <x v="11"/>
    <x v="2"/>
  </r>
  <r>
    <d v="2013-09-26T00:00:00"/>
    <s v="017-2100-000"/>
    <s v="Food Sales"/>
    <n v="4414.6544999999996"/>
    <n v="0"/>
    <s v="Daily Sales Import"/>
    <n v="-4414.6544999999996"/>
    <n v="4414.6544999999996"/>
    <x v="1"/>
    <s v="2100"/>
    <s v="000"/>
    <x v="11"/>
    <x v="2"/>
  </r>
  <r>
    <d v="2013-09-26T00:00:00"/>
    <s v="017-2210-000"/>
    <s v="Liquor Sales"/>
    <n v="1238.4218999999998"/>
    <n v="0"/>
    <s v="Daily Sales Import"/>
    <n v="-1238.4218999999998"/>
    <n v="1238.4218999999998"/>
    <x v="1"/>
    <s v="2210"/>
    <s v="000"/>
    <x v="11"/>
    <x v="2"/>
  </r>
  <r>
    <d v="2013-09-26T00:00:00"/>
    <s v="017-2220-000"/>
    <s v="Beer Sales"/>
    <n v="529.68719999999996"/>
    <n v="0"/>
    <s v="Daily Sales Import"/>
    <n v="-529.68719999999996"/>
    <n v="529.68719999999996"/>
    <x v="1"/>
    <s v="2220"/>
    <s v="000"/>
    <x v="11"/>
    <x v="2"/>
  </r>
  <r>
    <d v="2013-09-26T00:00:00"/>
    <s v="017-2230-000"/>
    <s v="Wine Sales"/>
    <n v="58.778199999999998"/>
    <n v="0"/>
    <s v="Daily Sales Import"/>
    <n v="-58.778199999999998"/>
    <n v="58.778199999999998"/>
    <x v="1"/>
    <s v="2230"/>
    <s v="000"/>
    <x v="11"/>
    <x v="2"/>
  </r>
  <r>
    <d v="2013-09-27T00:00:00"/>
    <s v="017-2100-000"/>
    <s v="Food Sales"/>
    <n v="6922.0532000000003"/>
    <n v="0"/>
    <s v="Daily Sales Import"/>
    <n v="-6922.0532000000003"/>
    <n v="6922.0532000000003"/>
    <x v="1"/>
    <s v="2100"/>
    <s v="000"/>
    <x v="11"/>
    <x v="2"/>
  </r>
  <r>
    <d v="2013-09-27T00:00:00"/>
    <s v="017-2210-000"/>
    <s v="Liquor Sales"/>
    <n v="2764.6135999999997"/>
    <n v="0"/>
    <s v="Daily Sales Import"/>
    <n v="-2764.6135999999997"/>
    <n v="2764.6135999999997"/>
    <x v="1"/>
    <s v="2210"/>
    <s v="000"/>
    <x v="11"/>
    <x v="2"/>
  </r>
  <r>
    <d v="2013-09-27T00:00:00"/>
    <s v="017-2220-000"/>
    <s v="Beer Sales"/>
    <n v="513.18900000000008"/>
    <n v="0"/>
    <s v="Daily Sales Import"/>
    <n v="-513.18900000000008"/>
    <n v="513.18900000000008"/>
    <x v="1"/>
    <s v="2220"/>
    <s v="000"/>
    <x v="11"/>
    <x v="2"/>
  </r>
  <r>
    <d v="2013-09-27T00:00:00"/>
    <s v="017-2230-000"/>
    <s v="Wine Sales"/>
    <n v="124.6575"/>
    <n v="0"/>
    <s v="Daily Sales Import"/>
    <n v="-124.6575"/>
    <n v="124.6575"/>
    <x v="1"/>
    <s v="2230"/>
    <s v="000"/>
    <x v="11"/>
    <x v="2"/>
  </r>
  <r>
    <d v="2013-09-28T00:00:00"/>
    <s v="017-2100-000"/>
    <s v="Food Sales"/>
    <n v="5869.9344000000001"/>
    <n v="0"/>
    <s v="Daily Sales Import"/>
    <n v="-5869.9344000000001"/>
    <n v="5869.9344000000001"/>
    <x v="1"/>
    <s v="2100"/>
    <s v="000"/>
    <x v="11"/>
    <x v="2"/>
  </r>
  <r>
    <d v="2013-09-28T00:00:00"/>
    <s v="017-2210-000"/>
    <s v="Liquor Sales"/>
    <n v="1526.4775"/>
    <n v="0"/>
    <s v="Daily Sales Import"/>
    <n v="-1526.4775"/>
    <n v="1526.4775"/>
    <x v="1"/>
    <s v="2210"/>
    <s v="000"/>
    <x v="11"/>
    <x v="2"/>
  </r>
  <r>
    <d v="2013-09-28T00:00:00"/>
    <s v="017-2220-000"/>
    <s v="Beer Sales"/>
    <n v="338.74189999999999"/>
    <n v="0"/>
    <s v="Daily Sales Import"/>
    <n v="-338.74189999999999"/>
    <n v="338.74189999999999"/>
    <x v="1"/>
    <s v="2220"/>
    <s v="000"/>
    <x v="11"/>
    <x v="2"/>
  </r>
  <r>
    <d v="2013-09-28T00:00:00"/>
    <s v="017-2230-000"/>
    <s v="Wine Sales"/>
    <n v="82.866499999999988"/>
    <n v="0"/>
    <s v="Daily Sales Import"/>
    <n v="-82.866499999999988"/>
    <n v="82.866499999999988"/>
    <x v="1"/>
    <s v="2230"/>
    <s v="000"/>
    <x v="11"/>
    <x v="2"/>
  </r>
  <r>
    <d v="2013-09-29T00:00:00"/>
    <s v="017-2100-000"/>
    <s v="Food Sales"/>
    <n v="3967.6559999999995"/>
    <n v="0"/>
    <s v="Daily Sales Import"/>
    <n v="-3967.6559999999995"/>
    <n v="3967.6559999999995"/>
    <x v="1"/>
    <s v="2100"/>
    <s v="000"/>
    <x v="11"/>
    <x v="2"/>
  </r>
  <r>
    <d v="2013-09-29T00:00:00"/>
    <s v="017-2210-000"/>
    <s v="Liquor Sales"/>
    <n v="920.13199999999995"/>
    <n v="0"/>
    <s v="Daily Sales Import"/>
    <n v="-920.13199999999995"/>
    <n v="920.13199999999995"/>
    <x v="1"/>
    <s v="2210"/>
    <s v="000"/>
    <x v="11"/>
    <x v="2"/>
  </r>
  <r>
    <d v="2013-09-29T00:00:00"/>
    <s v="017-2220-000"/>
    <s v="Beer Sales"/>
    <n v="117.1768"/>
    <n v="0"/>
    <s v="Daily Sales Import"/>
    <n v="-117.1768"/>
    <n v="117.1768"/>
    <x v="1"/>
    <s v="2220"/>
    <s v="000"/>
    <x v="11"/>
    <x v="2"/>
  </r>
  <r>
    <d v="2013-09-29T00:00:00"/>
    <s v="017-2230-000"/>
    <s v="Wine Sales"/>
    <n v="125.9684"/>
    <n v="0"/>
    <s v="Daily Sales Import"/>
    <n v="-125.9684"/>
    <n v="125.9684"/>
    <x v="1"/>
    <s v="2230"/>
    <s v="000"/>
    <x v="11"/>
    <x v="2"/>
  </r>
  <r>
    <d v="2013-09-23T00:00:00"/>
    <s v="018-2100-000"/>
    <s v="Food Sales"/>
    <n v="3268.74"/>
    <n v="0"/>
    <s v="Daily Sales Import"/>
    <n v="-3268.74"/>
    <n v="3268.74"/>
    <x v="2"/>
    <s v="2100"/>
    <s v="000"/>
    <x v="11"/>
    <x v="2"/>
  </r>
  <r>
    <d v="2013-09-23T00:00:00"/>
    <s v="018-2210-000"/>
    <s v="Liquor Sales"/>
    <n v="640.22850000000005"/>
    <n v="0"/>
    <s v="Daily Sales Import"/>
    <n v="-640.22850000000005"/>
    <n v="640.22850000000005"/>
    <x v="2"/>
    <s v="2210"/>
    <s v="000"/>
    <x v="11"/>
    <x v="2"/>
  </r>
  <r>
    <d v="2013-09-23T00:00:00"/>
    <s v="018-2220-000"/>
    <s v="Beer Sales"/>
    <n v="140.25"/>
    <n v="0"/>
    <s v="Daily Sales Import"/>
    <n v="-140.25"/>
    <n v="140.25"/>
    <x v="2"/>
    <s v="2220"/>
    <s v="000"/>
    <x v="11"/>
    <x v="2"/>
  </r>
  <r>
    <d v="2013-09-23T00:00:00"/>
    <s v="018-2230-000"/>
    <s v="Wine Sales"/>
    <n v="51.479599999999998"/>
    <n v="0"/>
    <s v="Daily Sales Import"/>
    <n v="-51.479599999999998"/>
    <n v="51.479599999999998"/>
    <x v="2"/>
    <s v="2230"/>
    <s v="000"/>
    <x v="11"/>
    <x v="2"/>
  </r>
  <r>
    <d v="2013-09-24T00:00:00"/>
    <s v="018-2100-000"/>
    <s v="Food Sales"/>
    <n v="3975.8706000000006"/>
    <n v="0"/>
    <s v="Daily Sales Import"/>
    <n v="-3975.8706000000006"/>
    <n v="3975.8706000000006"/>
    <x v="2"/>
    <s v="2100"/>
    <s v="000"/>
    <x v="11"/>
    <x v="2"/>
  </r>
  <r>
    <d v="2013-09-24T00:00:00"/>
    <s v="018-2210-000"/>
    <s v="Liquor Sales"/>
    <n v="696.32290000000012"/>
    <n v="0"/>
    <s v="Daily Sales Import"/>
    <n v="-696.32290000000012"/>
    <n v="696.32290000000012"/>
    <x v="2"/>
    <s v="2210"/>
    <s v="000"/>
    <x v="11"/>
    <x v="2"/>
  </r>
  <r>
    <d v="2013-09-24T00:00:00"/>
    <s v="018-2220-000"/>
    <s v="Beer Sales"/>
    <n v="139.48259999999999"/>
    <n v="0"/>
    <s v="Daily Sales Import"/>
    <n v="-139.48259999999999"/>
    <n v="139.48259999999999"/>
    <x v="2"/>
    <s v="2220"/>
    <s v="000"/>
    <x v="11"/>
    <x v="2"/>
  </r>
  <r>
    <d v="2013-09-24T00:00:00"/>
    <s v="018-2230-000"/>
    <s v="Wine Sales"/>
    <n v="47.903699999999994"/>
    <n v="0"/>
    <s v="Daily Sales Import"/>
    <n v="-47.903699999999994"/>
    <n v="47.903699999999994"/>
    <x v="2"/>
    <s v="2230"/>
    <s v="000"/>
    <x v="11"/>
    <x v="2"/>
  </r>
  <r>
    <d v="2013-09-25T00:00:00"/>
    <s v="018-2100-000"/>
    <s v="Food Sales"/>
    <n v="3574.2294000000002"/>
    <n v="0"/>
    <s v="Daily Sales Import"/>
    <n v="-3574.2294000000002"/>
    <n v="3574.2294000000002"/>
    <x v="2"/>
    <s v="2100"/>
    <s v="000"/>
    <x v="11"/>
    <x v="2"/>
  </r>
  <r>
    <d v="2013-09-25T00:00:00"/>
    <s v="018-2210-000"/>
    <s v="Liquor Sales"/>
    <n v="491.88149999999996"/>
    <n v="0"/>
    <s v="Daily Sales Import"/>
    <n v="-491.88149999999996"/>
    <n v="491.88149999999996"/>
    <x v="2"/>
    <s v="2210"/>
    <s v="000"/>
    <x v="11"/>
    <x v="2"/>
  </r>
  <r>
    <d v="2013-09-25T00:00:00"/>
    <s v="018-2220-000"/>
    <s v="Beer Sales"/>
    <n v="302.61"/>
    <n v="0"/>
    <s v="Daily Sales Import"/>
    <n v="-302.61"/>
    <n v="302.61"/>
    <x v="2"/>
    <s v="2220"/>
    <s v="000"/>
    <x v="11"/>
    <x v="2"/>
  </r>
  <r>
    <d v="2013-09-25T00:00:00"/>
    <s v="018-2230-000"/>
    <s v="Wine Sales"/>
    <n v="82.809200000000004"/>
    <n v="0"/>
    <s v="Daily Sales Import"/>
    <n v="-82.809200000000004"/>
    <n v="82.809200000000004"/>
    <x v="2"/>
    <s v="2230"/>
    <s v="000"/>
    <x v="11"/>
    <x v="2"/>
  </r>
  <r>
    <d v="2013-09-26T00:00:00"/>
    <s v="018-2100-000"/>
    <s v="Food Sales"/>
    <n v="4605.8054999999995"/>
    <n v="0"/>
    <s v="Daily Sales Import"/>
    <n v="-4605.8054999999995"/>
    <n v="4605.8054999999995"/>
    <x v="2"/>
    <s v="2100"/>
    <s v="000"/>
    <x v="11"/>
    <x v="2"/>
  </r>
  <r>
    <d v="2013-09-26T00:00:00"/>
    <s v="018-2210-000"/>
    <s v="Liquor Sales"/>
    <n v="886.59899999999993"/>
    <n v="0"/>
    <s v="Daily Sales Import"/>
    <n v="-886.59899999999993"/>
    <n v="886.59899999999993"/>
    <x v="2"/>
    <s v="2210"/>
    <s v="000"/>
    <x v="11"/>
    <x v="2"/>
  </r>
  <r>
    <d v="2013-09-26T00:00:00"/>
    <s v="018-2220-000"/>
    <s v="Beer Sales"/>
    <n v="207.01799999999997"/>
    <n v="0"/>
    <s v="Daily Sales Import"/>
    <n v="-207.01799999999997"/>
    <n v="207.01799999999997"/>
    <x v="2"/>
    <s v="2220"/>
    <s v="000"/>
    <x v="11"/>
    <x v="2"/>
  </r>
  <r>
    <d v="2013-09-26T00:00:00"/>
    <s v="018-2230-000"/>
    <s v="Wine Sales"/>
    <n v="23.846400000000003"/>
    <n v="0"/>
    <s v="Daily Sales Import"/>
    <n v="-23.846400000000003"/>
    <n v="23.846400000000003"/>
    <x v="2"/>
    <s v="2230"/>
    <s v="000"/>
    <x v="11"/>
    <x v="2"/>
  </r>
  <r>
    <d v="2013-09-27T00:00:00"/>
    <s v="018-2100-000"/>
    <s v="Food Sales"/>
    <n v="8222.8079999999991"/>
    <n v="0"/>
    <s v="Daily Sales Import"/>
    <n v="-8222.8079999999991"/>
    <n v="8222.8079999999991"/>
    <x v="2"/>
    <s v="2100"/>
    <s v="000"/>
    <x v="11"/>
    <x v="2"/>
  </r>
  <r>
    <d v="2013-09-27T00:00:00"/>
    <s v="018-2210-000"/>
    <s v="Liquor Sales"/>
    <n v="1874.9466"/>
    <n v="0"/>
    <s v="Daily Sales Import"/>
    <n v="-1874.9466"/>
    <n v="1874.9466"/>
    <x v="2"/>
    <s v="2210"/>
    <s v="000"/>
    <x v="11"/>
    <x v="2"/>
  </r>
  <r>
    <d v="2013-09-27T00:00:00"/>
    <s v="018-2220-000"/>
    <s v="Beer Sales"/>
    <n v="475.803"/>
    <n v="0"/>
    <s v="Daily Sales Import"/>
    <n v="-475.803"/>
    <n v="475.803"/>
    <x v="2"/>
    <s v="2220"/>
    <s v="000"/>
    <x v="11"/>
    <x v="2"/>
  </r>
  <r>
    <d v="2013-09-27T00:00:00"/>
    <s v="018-2230-000"/>
    <s v="Wine Sales"/>
    <n v="52.762500000000003"/>
    <n v="0"/>
    <s v="Daily Sales Import"/>
    <n v="-52.762500000000003"/>
    <n v="52.762500000000003"/>
    <x v="2"/>
    <s v="2230"/>
    <s v="000"/>
    <x v="11"/>
    <x v="2"/>
  </r>
  <r>
    <d v="2013-09-28T00:00:00"/>
    <s v="018-2100-000"/>
    <s v="Food Sales"/>
    <n v="14839.4316"/>
    <n v="0"/>
    <s v="Daily Sales Import"/>
    <n v="-14839.4316"/>
    <n v="14839.4316"/>
    <x v="2"/>
    <s v="2100"/>
    <s v="000"/>
    <x v="11"/>
    <x v="2"/>
  </r>
  <r>
    <d v="2013-09-28T00:00:00"/>
    <s v="018-2210-000"/>
    <s v="Liquor Sales"/>
    <n v="3612.3469999999998"/>
    <n v="0"/>
    <s v="Daily Sales Import"/>
    <n v="-3612.3469999999998"/>
    <n v="3612.3469999999998"/>
    <x v="2"/>
    <s v="2210"/>
    <s v="000"/>
    <x v="11"/>
    <x v="2"/>
  </r>
  <r>
    <d v="2013-09-28T00:00:00"/>
    <s v="018-2220-000"/>
    <s v="Beer Sales"/>
    <n v="716.35199999999998"/>
    <n v="0"/>
    <s v="Daily Sales Import"/>
    <n v="-716.35199999999998"/>
    <n v="716.35199999999998"/>
    <x v="2"/>
    <s v="2220"/>
    <s v="000"/>
    <x v="11"/>
    <x v="2"/>
  </r>
  <r>
    <d v="2013-09-28T00:00:00"/>
    <s v="018-2230-000"/>
    <s v="Wine Sales"/>
    <n v="147.30939999999998"/>
    <n v="0"/>
    <s v="Daily Sales Import"/>
    <n v="-147.30939999999998"/>
    <n v="147.30939999999998"/>
    <x v="2"/>
    <s v="2230"/>
    <s v="000"/>
    <x v="11"/>
    <x v="2"/>
  </r>
  <r>
    <d v="2013-09-29T00:00:00"/>
    <s v="018-2100-000"/>
    <s v="Food Sales"/>
    <n v="11410.4288"/>
    <n v="0"/>
    <s v="Daily Sales Import"/>
    <n v="-11410.4288"/>
    <n v="11410.4288"/>
    <x v="2"/>
    <s v="2100"/>
    <s v="000"/>
    <x v="11"/>
    <x v="2"/>
  </r>
  <r>
    <d v="2013-09-29T00:00:00"/>
    <s v="018-2210-000"/>
    <s v="Liquor Sales"/>
    <n v="835.79480000000001"/>
    <n v="0"/>
    <s v="Daily Sales Import"/>
    <n v="-835.79480000000001"/>
    <n v="835.79480000000001"/>
    <x v="2"/>
    <s v="2210"/>
    <s v="000"/>
    <x v="11"/>
    <x v="2"/>
  </r>
  <r>
    <d v="2013-09-29T00:00:00"/>
    <s v="018-2220-000"/>
    <s v="Beer Sales"/>
    <n v="137.61520000000002"/>
    <n v="0"/>
    <s v="Daily Sales Import"/>
    <n v="-137.61520000000002"/>
    <n v="137.61520000000002"/>
    <x v="2"/>
    <s v="2220"/>
    <s v="000"/>
    <x v="11"/>
    <x v="2"/>
  </r>
  <r>
    <d v="2013-09-29T00:00:00"/>
    <s v="018-2230-000"/>
    <s v="Wine Sales"/>
    <n v="56.393999999999998"/>
    <n v="0"/>
    <s v="Daily Sales Import"/>
    <n v="-56.393999999999998"/>
    <n v="56.393999999999998"/>
    <x v="2"/>
    <s v="2230"/>
    <s v="000"/>
    <x v="11"/>
    <x v="2"/>
  </r>
  <r>
    <d v="2013-09-23T00:00:00"/>
    <s v="019-2100-000"/>
    <s v="Food Sales"/>
    <n v="2812.4960000000001"/>
    <n v="0"/>
    <s v="Daily Sales Import"/>
    <n v="-2812.4960000000001"/>
    <n v="2812.4960000000001"/>
    <x v="3"/>
    <s v="2100"/>
    <s v="000"/>
    <x v="11"/>
    <x v="2"/>
  </r>
  <r>
    <d v="2013-09-23T00:00:00"/>
    <s v="019-2210-000"/>
    <s v="Liquor Sales"/>
    <n v="272.66390000000001"/>
    <n v="0"/>
    <s v="Daily Sales Import"/>
    <n v="-272.66390000000001"/>
    <n v="272.66390000000001"/>
    <x v="3"/>
    <s v="2210"/>
    <s v="000"/>
    <x v="11"/>
    <x v="2"/>
  </r>
  <r>
    <d v="2013-09-23T00:00:00"/>
    <s v="019-2220-000"/>
    <s v="Beer Sales"/>
    <n v="175.28319999999999"/>
    <n v="0"/>
    <s v="Daily Sales Import"/>
    <n v="-175.28319999999999"/>
    <n v="175.28319999999999"/>
    <x v="3"/>
    <s v="2220"/>
    <s v="000"/>
    <x v="11"/>
    <x v="2"/>
  </r>
  <r>
    <d v="2013-09-23T00:00:00"/>
    <s v="019-2230-000"/>
    <s v="Wine Sales"/>
    <n v="47.844000000000001"/>
    <n v="0"/>
    <s v="Daily Sales Import"/>
    <n v="-47.844000000000001"/>
    <n v="47.844000000000001"/>
    <x v="3"/>
    <s v="2230"/>
    <s v="000"/>
    <x v="11"/>
    <x v="2"/>
  </r>
  <r>
    <d v="2013-09-24T00:00:00"/>
    <s v="019-2100-000"/>
    <s v="Food Sales"/>
    <n v="3634.3679999999999"/>
    <n v="0"/>
    <s v="Daily Sales Import"/>
    <n v="-3634.3679999999999"/>
    <n v="3634.3679999999999"/>
    <x v="3"/>
    <s v="2100"/>
    <s v="000"/>
    <x v="11"/>
    <x v="2"/>
  </r>
  <r>
    <d v="2013-09-24T00:00:00"/>
    <s v="019-2210-000"/>
    <s v="Liquor Sales"/>
    <n v="971.0444"/>
    <n v="0"/>
    <s v="Daily Sales Import"/>
    <n v="-971.0444"/>
    <n v="971.0444"/>
    <x v="3"/>
    <s v="2210"/>
    <s v="000"/>
    <x v="11"/>
    <x v="2"/>
  </r>
  <r>
    <d v="2013-09-24T00:00:00"/>
    <s v="019-2220-000"/>
    <s v="Beer Sales"/>
    <n v="220.23"/>
    <n v="0"/>
    <s v="Daily Sales Import"/>
    <n v="-220.23"/>
    <n v="220.23"/>
    <x v="3"/>
    <s v="2220"/>
    <s v="000"/>
    <x v="11"/>
    <x v="2"/>
  </r>
  <r>
    <d v="2013-09-24T00:00:00"/>
    <s v="019-2230-000"/>
    <s v="Wine Sales"/>
    <n v="13.724"/>
    <n v="0"/>
    <s v="Daily Sales Import"/>
    <n v="-13.724"/>
    <n v="13.724"/>
    <x v="3"/>
    <s v="2230"/>
    <s v="000"/>
    <x v="11"/>
    <x v="2"/>
  </r>
  <r>
    <d v="2013-09-25T00:00:00"/>
    <s v="019-2100-000"/>
    <s v="Food Sales"/>
    <n v="6642.1621999999998"/>
    <n v="0"/>
    <s v="Daily Sales Import"/>
    <n v="-6642.1621999999998"/>
    <n v="6642.1621999999998"/>
    <x v="3"/>
    <s v="2100"/>
    <s v="000"/>
    <x v="11"/>
    <x v="2"/>
  </r>
  <r>
    <d v="2013-09-25T00:00:00"/>
    <s v="019-2210-000"/>
    <s v="Liquor Sales"/>
    <n v="2151.5948000000003"/>
    <n v="0"/>
    <s v="Daily Sales Import"/>
    <n v="-2151.5948000000003"/>
    <n v="2151.5948000000003"/>
    <x v="3"/>
    <s v="2210"/>
    <s v="000"/>
    <x v="11"/>
    <x v="2"/>
  </r>
  <r>
    <d v="2013-09-25T00:00:00"/>
    <s v="019-2220-000"/>
    <s v="Beer Sales"/>
    <n v="424.86990000000003"/>
    <n v="0"/>
    <s v="Daily Sales Import"/>
    <n v="-424.86990000000003"/>
    <n v="424.86990000000003"/>
    <x v="3"/>
    <s v="2220"/>
    <s v="000"/>
    <x v="11"/>
    <x v="2"/>
  </r>
  <r>
    <d v="2013-09-25T00:00:00"/>
    <s v="019-2230-000"/>
    <s v="Wine Sales"/>
    <n v="120.08759999999998"/>
    <n v="0"/>
    <s v="Daily Sales Import"/>
    <n v="-120.08759999999998"/>
    <n v="120.08759999999998"/>
    <x v="3"/>
    <s v="2230"/>
    <s v="000"/>
    <x v="11"/>
    <x v="2"/>
  </r>
  <r>
    <d v="2013-09-26T00:00:00"/>
    <s v="019-2100-000"/>
    <s v="Food Sales"/>
    <n v="4047.3043000000002"/>
    <n v="0"/>
    <s v="Daily Sales Import"/>
    <n v="-4047.3043000000002"/>
    <n v="4047.3043000000002"/>
    <x v="3"/>
    <s v="2100"/>
    <s v="000"/>
    <x v="11"/>
    <x v="2"/>
  </r>
  <r>
    <d v="2013-09-26T00:00:00"/>
    <s v="019-2210-000"/>
    <s v="Liquor Sales"/>
    <n v="774.92250000000013"/>
    <n v="0"/>
    <s v="Daily Sales Import"/>
    <n v="-774.92250000000013"/>
    <n v="774.92250000000013"/>
    <x v="3"/>
    <s v="2210"/>
    <s v="000"/>
    <x v="11"/>
    <x v="2"/>
  </r>
  <r>
    <d v="2013-09-26T00:00:00"/>
    <s v="019-2220-000"/>
    <s v="Beer Sales"/>
    <n v="121.794"/>
    <n v="0"/>
    <s v="Daily Sales Import"/>
    <n v="-121.794"/>
    <n v="121.794"/>
    <x v="3"/>
    <s v="2220"/>
    <s v="000"/>
    <x v="11"/>
    <x v="2"/>
  </r>
  <r>
    <d v="2013-09-26T00:00:00"/>
    <s v="019-2230-000"/>
    <s v="Wine Sales"/>
    <n v="30.3324"/>
    <n v="0"/>
    <s v="Daily Sales Import"/>
    <n v="-30.3324"/>
    <n v="30.3324"/>
    <x v="3"/>
    <s v="2230"/>
    <s v="000"/>
    <x v="11"/>
    <x v="2"/>
  </r>
  <r>
    <d v="2013-09-27T00:00:00"/>
    <s v="019-2100-000"/>
    <s v="Food Sales"/>
    <n v="5315.1665000000003"/>
    <n v="0"/>
    <s v="Daily Sales Import"/>
    <n v="-5315.1665000000003"/>
    <n v="5315.1665000000003"/>
    <x v="3"/>
    <s v="2100"/>
    <s v="000"/>
    <x v="11"/>
    <x v="2"/>
  </r>
  <r>
    <d v="2013-09-27T00:00:00"/>
    <s v="019-2210-000"/>
    <s v="Liquor Sales"/>
    <n v="2424.6864"/>
    <n v="0"/>
    <s v="Daily Sales Import"/>
    <n v="-2424.6864"/>
    <n v="2424.6864"/>
    <x v="3"/>
    <s v="2210"/>
    <s v="000"/>
    <x v="11"/>
    <x v="2"/>
  </r>
  <r>
    <d v="2013-09-27T00:00:00"/>
    <s v="019-2220-000"/>
    <s v="Beer Sales"/>
    <n v="227.90399999999997"/>
    <n v="0"/>
    <s v="Daily Sales Import"/>
    <n v="-227.90399999999997"/>
    <n v="227.90399999999997"/>
    <x v="3"/>
    <s v="2220"/>
    <s v="000"/>
    <x v="11"/>
    <x v="2"/>
  </r>
  <r>
    <d v="2013-09-27T00:00:00"/>
    <s v="019-2230-000"/>
    <s v="Wine Sales"/>
    <n v="71.801100000000005"/>
    <n v="0"/>
    <s v="Daily Sales Import"/>
    <n v="-71.801100000000005"/>
    <n v="71.801100000000005"/>
    <x v="3"/>
    <s v="2230"/>
    <s v="000"/>
    <x v="11"/>
    <x v="2"/>
  </r>
  <r>
    <d v="2013-09-28T00:00:00"/>
    <s v="019-2100-000"/>
    <s v="Food Sales"/>
    <n v="4852.7932000000001"/>
    <n v="0"/>
    <s v="Daily Sales Import"/>
    <n v="-4852.7932000000001"/>
    <n v="4852.7932000000001"/>
    <x v="3"/>
    <s v="2100"/>
    <s v="000"/>
    <x v="11"/>
    <x v="2"/>
  </r>
  <r>
    <d v="2013-09-28T00:00:00"/>
    <s v="019-2210-000"/>
    <s v="Liquor Sales"/>
    <n v="2186.8110000000001"/>
    <n v="0"/>
    <s v="Daily Sales Import"/>
    <n v="-2186.8110000000001"/>
    <n v="2186.8110000000001"/>
    <x v="3"/>
    <s v="2210"/>
    <s v="000"/>
    <x v="11"/>
    <x v="2"/>
  </r>
  <r>
    <d v="2013-09-28T00:00:00"/>
    <s v="019-2220-000"/>
    <s v="Beer Sales"/>
    <n v="420.88600000000002"/>
    <n v="0"/>
    <s v="Daily Sales Import"/>
    <n v="-420.88600000000002"/>
    <n v="420.88600000000002"/>
    <x v="3"/>
    <s v="2220"/>
    <s v="000"/>
    <x v="11"/>
    <x v="2"/>
  </r>
  <r>
    <d v="2013-09-28T00:00:00"/>
    <s v="019-2230-000"/>
    <s v="Wine Sales"/>
    <n v="108.19480000000001"/>
    <n v="0"/>
    <s v="Daily Sales Import"/>
    <n v="-108.19480000000001"/>
    <n v="108.19480000000001"/>
    <x v="3"/>
    <s v="2230"/>
    <s v="000"/>
    <x v="11"/>
    <x v="2"/>
  </r>
  <r>
    <d v="2013-09-29T00:00:00"/>
    <s v="019-2100-000"/>
    <s v="Food Sales"/>
    <n v="2587.6566000000003"/>
    <n v="0"/>
    <s v="Daily Sales Import"/>
    <n v="-2587.6566000000003"/>
    <n v="2587.6566000000003"/>
    <x v="3"/>
    <s v="2100"/>
    <s v="000"/>
    <x v="11"/>
    <x v="2"/>
  </r>
  <r>
    <d v="2013-09-29T00:00:00"/>
    <s v="019-2210-000"/>
    <s v="Liquor Sales"/>
    <n v="799.19669999999996"/>
    <n v="0"/>
    <s v="Daily Sales Import"/>
    <n v="-799.19669999999996"/>
    <n v="799.19669999999996"/>
    <x v="3"/>
    <s v="2210"/>
    <s v="000"/>
    <x v="11"/>
    <x v="2"/>
  </r>
  <r>
    <d v="2013-09-29T00:00:00"/>
    <s v="019-2220-000"/>
    <s v="Beer Sales"/>
    <n v="245.80919999999998"/>
    <n v="0"/>
    <s v="Daily Sales Import"/>
    <n v="-245.80919999999998"/>
    <n v="245.80919999999998"/>
    <x v="3"/>
    <s v="2220"/>
    <s v="000"/>
    <x v="11"/>
    <x v="2"/>
  </r>
  <r>
    <d v="2013-09-29T00:00:00"/>
    <s v="019-2230-000"/>
    <s v="Wine Sales"/>
    <n v="131.33679999999998"/>
    <n v="0"/>
    <s v="Daily Sales Import"/>
    <n v="-131.33679999999998"/>
    <n v="131.33679999999998"/>
    <x v="3"/>
    <s v="2230"/>
    <s v="000"/>
    <x v="11"/>
    <x v="2"/>
  </r>
  <r>
    <d v="2013-09-30T00:00:00"/>
    <s v="016-2100-000"/>
    <s v="Food Sales"/>
    <n v="2289.3849999999998"/>
    <n v="0"/>
    <s v="Daily Sales Import"/>
    <n v="-2289.3849999999998"/>
    <n v="2289.3849999999998"/>
    <x v="0"/>
    <s v="2100"/>
    <s v="000"/>
    <x v="11"/>
    <x v="2"/>
  </r>
  <r>
    <d v="2013-09-30T00:00:00"/>
    <s v="016-2210-000"/>
    <s v="Liquor Sales"/>
    <n v="801.38959999999997"/>
    <n v="0"/>
    <s v="Daily Sales Import"/>
    <n v="-801.38959999999997"/>
    <n v="801.38959999999997"/>
    <x v="0"/>
    <s v="2210"/>
    <s v="000"/>
    <x v="11"/>
    <x v="2"/>
  </r>
  <r>
    <d v="2013-09-30T00:00:00"/>
    <s v="016-2220-000"/>
    <s v="Beer Sales"/>
    <n v="137.86779999999999"/>
    <n v="0"/>
    <s v="Daily Sales Import"/>
    <n v="-137.86779999999999"/>
    <n v="137.86779999999999"/>
    <x v="0"/>
    <s v="2220"/>
    <s v="000"/>
    <x v="11"/>
    <x v="2"/>
  </r>
  <r>
    <d v="2013-09-30T00:00:00"/>
    <s v="016-2230-000"/>
    <s v="Wine Sales"/>
    <n v="135.303"/>
    <n v="0"/>
    <s v="Daily Sales Import"/>
    <n v="-135.303"/>
    <n v="135.303"/>
    <x v="0"/>
    <s v="2230"/>
    <s v="000"/>
    <x v="11"/>
    <x v="2"/>
  </r>
  <r>
    <d v="2013-10-01T00:00:00"/>
    <s v="016-2100-000"/>
    <s v="Food Sales"/>
    <n v="4996.9560000000001"/>
    <n v="0"/>
    <s v="Daily Sales Import"/>
    <n v="-4996.9560000000001"/>
    <n v="4996.9560000000001"/>
    <x v="0"/>
    <s v="2100"/>
    <s v="000"/>
    <x v="0"/>
    <x v="2"/>
  </r>
  <r>
    <d v="2013-10-01T00:00:00"/>
    <s v="016-2210-000"/>
    <s v="Liquor Sales"/>
    <n v="2499.489"/>
    <n v="0"/>
    <s v="Daily Sales Import"/>
    <n v="-2499.489"/>
    <n v="2499.489"/>
    <x v="0"/>
    <s v="2210"/>
    <s v="000"/>
    <x v="0"/>
    <x v="2"/>
  </r>
  <r>
    <d v="2013-10-01T00:00:00"/>
    <s v="016-2220-000"/>
    <s v="Beer Sales"/>
    <n v="823.50059999999985"/>
    <n v="0"/>
    <s v="Daily Sales Import"/>
    <n v="-823.50059999999985"/>
    <n v="823.50059999999985"/>
    <x v="0"/>
    <s v="2220"/>
    <s v="000"/>
    <x v="0"/>
    <x v="2"/>
  </r>
  <r>
    <d v="2013-10-01T00:00:00"/>
    <s v="016-2230-000"/>
    <s v="Wine Sales"/>
    <n v="213.88500000000002"/>
    <n v="0"/>
    <s v="Daily Sales Import"/>
    <n v="-213.88500000000002"/>
    <n v="213.88500000000002"/>
    <x v="0"/>
    <s v="2230"/>
    <s v="000"/>
    <x v="0"/>
    <x v="2"/>
  </r>
  <r>
    <d v="2013-10-02T00:00:00"/>
    <s v="016-2100-000"/>
    <s v="Food Sales"/>
    <n v="1688.2002"/>
    <n v="0"/>
    <s v="Daily Sales Import"/>
    <n v="-1688.2002"/>
    <n v="1688.2002"/>
    <x v="0"/>
    <s v="2100"/>
    <s v="000"/>
    <x v="0"/>
    <x v="2"/>
  </r>
  <r>
    <d v="2013-10-02T00:00:00"/>
    <s v="016-2210-000"/>
    <s v="Liquor Sales"/>
    <n v="697.92000000000007"/>
    <n v="0"/>
    <s v="Daily Sales Import"/>
    <n v="-697.92000000000007"/>
    <n v="697.92000000000007"/>
    <x v="0"/>
    <s v="2210"/>
    <s v="000"/>
    <x v="0"/>
    <x v="2"/>
  </r>
  <r>
    <d v="2013-10-02T00:00:00"/>
    <s v="016-2220-000"/>
    <s v="Beer Sales"/>
    <n v="124.94819999999999"/>
    <n v="0"/>
    <s v="Daily Sales Import"/>
    <n v="-124.94819999999999"/>
    <n v="124.94819999999999"/>
    <x v="0"/>
    <s v="2220"/>
    <s v="000"/>
    <x v="0"/>
    <x v="2"/>
  </r>
  <r>
    <d v="2013-10-02T00:00:00"/>
    <s v="016-2230-000"/>
    <s v="Wine Sales"/>
    <n v="57.63150000000001"/>
    <n v="0"/>
    <s v="Daily Sales Import"/>
    <n v="-57.63150000000001"/>
    <n v="57.63150000000001"/>
    <x v="0"/>
    <s v="2230"/>
    <s v="000"/>
    <x v="0"/>
    <x v="2"/>
  </r>
  <r>
    <d v="2013-10-03T00:00:00"/>
    <s v="016-2100-000"/>
    <s v="Food Sales"/>
    <n v="3312.4108999999999"/>
    <n v="0"/>
    <s v="Daily Sales Import"/>
    <n v="-3312.4108999999999"/>
    <n v="3312.4108999999999"/>
    <x v="0"/>
    <s v="2100"/>
    <s v="000"/>
    <x v="0"/>
    <x v="2"/>
  </r>
  <r>
    <d v="2013-10-03T00:00:00"/>
    <s v="016-2210-000"/>
    <s v="Liquor Sales"/>
    <n v="420.01920000000001"/>
    <n v="0"/>
    <s v="Daily Sales Import"/>
    <n v="-420.01920000000001"/>
    <n v="420.01920000000001"/>
    <x v="0"/>
    <s v="2210"/>
    <s v="000"/>
    <x v="0"/>
    <x v="2"/>
  </r>
  <r>
    <d v="2013-10-03T00:00:00"/>
    <s v="016-2220-000"/>
    <s v="Beer Sales"/>
    <n v="97.037999999999997"/>
    <n v="0"/>
    <s v="Daily Sales Import"/>
    <n v="-97.037999999999997"/>
    <n v="97.037999999999997"/>
    <x v="0"/>
    <s v="2220"/>
    <s v="000"/>
    <x v="0"/>
    <x v="2"/>
  </r>
  <r>
    <d v="2013-10-03T00:00:00"/>
    <s v="016-2230-000"/>
    <s v="Wine Sales"/>
    <n v="10.671100000000001"/>
    <n v="0"/>
    <s v="Daily Sales Import"/>
    <n v="-10.671100000000001"/>
    <n v="10.671100000000001"/>
    <x v="0"/>
    <s v="2230"/>
    <s v="000"/>
    <x v="0"/>
    <x v="2"/>
  </r>
  <r>
    <d v="2013-10-04T00:00:00"/>
    <s v="016-2100-000"/>
    <s v="Food Sales"/>
    <n v="5351.5365000000002"/>
    <n v="0"/>
    <s v="Daily Sales Import"/>
    <n v="-5351.5365000000002"/>
    <n v="5351.5365000000002"/>
    <x v="0"/>
    <s v="2100"/>
    <s v="000"/>
    <x v="0"/>
    <x v="2"/>
  </r>
  <r>
    <d v="2013-10-04T00:00:00"/>
    <s v="016-2210-000"/>
    <s v="Liquor Sales"/>
    <n v="1687.2432000000001"/>
    <n v="0"/>
    <s v="Daily Sales Import"/>
    <n v="-1687.2432000000001"/>
    <n v="1687.2432000000001"/>
    <x v="0"/>
    <s v="2210"/>
    <s v="000"/>
    <x v="0"/>
    <x v="2"/>
  </r>
  <r>
    <d v="2013-10-04T00:00:00"/>
    <s v="016-2220-000"/>
    <s v="Beer Sales"/>
    <n v="289.27430000000004"/>
    <n v="0"/>
    <s v="Daily Sales Import"/>
    <n v="-289.27430000000004"/>
    <n v="289.27430000000004"/>
    <x v="0"/>
    <s v="2220"/>
    <s v="000"/>
    <x v="0"/>
    <x v="2"/>
  </r>
  <r>
    <d v="2013-10-04T00:00:00"/>
    <s v="016-2230-000"/>
    <s v="Wine Sales"/>
    <n v="230.11199999999999"/>
    <n v="0"/>
    <s v="Daily Sales Import"/>
    <n v="-230.11199999999999"/>
    <n v="230.11199999999999"/>
    <x v="0"/>
    <s v="2230"/>
    <s v="000"/>
    <x v="0"/>
    <x v="2"/>
  </r>
  <r>
    <d v="2013-10-05T00:00:00"/>
    <s v="016-2100-000"/>
    <s v="Food Sales"/>
    <n v="8390.0105000000003"/>
    <n v="0"/>
    <s v="Daily Sales Import"/>
    <n v="-8390.0105000000003"/>
    <n v="8390.0105000000003"/>
    <x v="0"/>
    <s v="2100"/>
    <s v="000"/>
    <x v="0"/>
    <x v="2"/>
  </r>
  <r>
    <d v="2013-10-05T00:00:00"/>
    <s v="016-2210-000"/>
    <s v="Liquor Sales"/>
    <n v="1485.4872"/>
    <n v="0"/>
    <s v="Daily Sales Import"/>
    <n v="-1485.4872"/>
    <n v="1485.4872"/>
    <x v="0"/>
    <s v="2210"/>
    <s v="000"/>
    <x v="0"/>
    <x v="2"/>
  </r>
  <r>
    <d v="2013-10-05T00:00:00"/>
    <s v="016-2220-000"/>
    <s v="Beer Sales"/>
    <n v="277.88399999999996"/>
    <n v="0"/>
    <s v="Daily Sales Import"/>
    <n v="-277.88399999999996"/>
    <n v="277.88399999999996"/>
    <x v="0"/>
    <s v="2220"/>
    <s v="000"/>
    <x v="0"/>
    <x v="2"/>
  </r>
  <r>
    <d v="2013-10-05T00:00:00"/>
    <s v="016-2230-000"/>
    <s v="Wine Sales"/>
    <n v="144.97120000000001"/>
    <n v="0"/>
    <s v="Daily Sales Import"/>
    <n v="-144.97120000000001"/>
    <n v="144.97120000000001"/>
    <x v="0"/>
    <s v="2230"/>
    <s v="000"/>
    <x v="0"/>
    <x v="2"/>
  </r>
  <r>
    <d v="2013-10-06T00:00:00"/>
    <s v="016-2100-000"/>
    <s v="Food Sales"/>
    <n v="4409.4726000000001"/>
    <n v="0"/>
    <s v="Daily Sales Import"/>
    <n v="-4409.4726000000001"/>
    <n v="4409.4726000000001"/>
    <x v="0"/>
    <s v="2100"/>
    <s v="000"/>
    <x v="0"/>
    <x v="2"/>
  </r>
  <r>
    <d v="2013-10-06T00:00:00"/>
    <s v="016-2210-000"/>
    <s v="Liquor Sales"/>
    <n v="812.84619999999995"/>
    <n v="0"/>
    <s v="Daily Sales Import"/>
    <n v="-812.84619999999995"/>
    <n v="812.84619999999995"/>
    <x v="0"/>
    <s v="2210"/>
    <s v="000"/>
    <x v="0"/>
    <x v="2"/>
  </r>
  <r>
    <d v="2013-10-06T00:00:00"/>
    <s v="016-2220-000"/>
    <s v="Beer Sales"/>
    <n v="147.87989999999999"/>
    <n v="0"/>
    <s v="Daily Sales Import"/>
    <n v="-147.87989999999999"/>
    <n v="147.87989999999999"/>
    <x v="0"/>
    <s v="2220"/>
    <s v="000"/>
    <x v="0"/>
    <x v="2"/>
  </r>
  <r>
    <d v="2013-10-06T00:00:00"/>
    <s v="016-2230-000"/>
    <s v="Wine Sales"/>
    <n v="85.113600000000005"/>
    <n v="0"/>
    <s v="Daily Sales Import"/>
    <n v="-85.113600000000005"/>
    <n v="85.113600000000005"/>
    <x v="0"/>
    <s v="2230"/>
    <s v="000"/>
    <x v="0"/>
    <x v="2"/>
  </r>
  <r>
    <d v="2013-09-30T00:00:00"/>
    <s v="017-2100-000"/>
    <s v="Food Sales"/>
    <n v="5663.9189999999999"/>
    <n v="0"/>
    <s v="Daily Sales Import"/>
    <n v="-5663.9189999999999"/>
    <n v="5663.9189999999999"/>
    <x v="1"/>
    <s v="2100"/>
    <s v="000"/>
    <x v="11"/>
    <x v="2"/>
  </r>
  <r>
    <d v="2013-09-30T00:00:00"/>
    <s v="017-2210-000"/>
    <s v="Liquor Sales"/>
    <n v="798.81329999999991"/>
    <n v="0"/>
    <s v="Daily Sales Import"/>
    <n v="-798.81329999999991"/>
    <n v="798.81329999999991"/>
    <x v="1"/>
    <s v="2210"/>
    <s v="000"/>
    <x v="11"/>
    <x v="2"/>
  </r>
  <r>
    <d v="2013-09-30T00:00:00"/>
    <s v="017-2220-000"/>
    <s v="Beer Sales"/>
    <n v="406.51920000000001"/>
    <n v="0"/>
    <s v="Daily Sales Import"/>
    <n v="-406.51920000000001"/>
    <n v="406.51920000000001"/>
    <x v="1"/>
    <s v="2220"/>
    <s v="000"/>
    <x v="11"/>
    <x v="2"/>
  </r>
  <r>
    <d v="2013-09-30T00:00:00"/>
    <s v="017-2230-000"/>
    <s v="Wine Sales"/>
    <n v="56.582300000000004"/>
    <n v="0"/>
    <s v="Daily Sales Import"/>
    <n v="-56.582300000000004"/>
    <n v="56.582300000000004"/>
    <x v="1"/>
    <s v="2230"/>
    <s v="000"/>
    <x v="11"/>
    <x v="2"/>
  </r>
  <r>
    <d v="2013-10-01T00:00:00"/>
    <s v="017-2100-000"/>
    <s v="Food Sales"/>
    <n v="4794.4710000000005"/>
    <n v="0"/>
    <s v="Daily Sales Import"/>
    <n v="-4794.4710000000005"/>
    <n v="4794.4710000000005"/>
    <x v="1"/>
    <s v="2100"/>
    <s v="000"/>
    <x v="0"/>
    <x v="2"/>
  </r>
  <r>
    <d v="2013-10-01T00:00:00"/>
    <s v="017-2210-000"/>
    <s v="Liquor Sales"/>
    <n v="1337.5149999999999"/>
    <n v="0"/>
    <s v="Daily Sales Import"/>
    <n v="-1337.5149999999999"/>
    <n v="1337.5149999999999"/>
    <x v="1"/>
    <s v="2210"/>
    <s v="000"/>
    <x v="0"/>
    <x v="2"/>
  </r>
  <r>
    <d v="2013-10-01T00:00:00"/>
    <s v="017-2220-000"/>
    <s v="Beer Sales"/>
    <n v="350.32339999999999"/>
    <n v="0"/>
    <s v="Daily Sales Import"/>
    <n v="-350.32339999999999"/>
    <n v="350.32339999999999"/>
    <x v="1"/>
    <s v="2220"/>
    <s v="000"/>
    <x v="0"/>
    <x v="2"/>
  </r>
  <r>
    <d v="2013-10-01T00:00:00"/>
    <s v="017-2230-000"/>
    <s v="Wine Sales"/>
    <n v="66.739199999999997"/>
    <n v="0"/>
    <s v="Daily Sales Import"/>
    <n v="-66.739199999999997"/>
    <n v="66.739199999999997"/>
    <x v="1"/>
    <s v="2230"/>
    <s v="000"/>
    <x v="0"/>
    <x v="2"/>
  </r>
  <r>
    <d v="2013-10-02T00:00:00"/>
    <s v="017-2100-000"/>
    <s v="Food Sales"/>
    <n v="6011.7147000000004"/>
    <n v="0"/>
    <s v="Daily Sales Import"/>
    <n v="-6011.7147000000004"/>
    <n v="6011.7147000000004"/>
    <x v="1"/>
    <s v="2100"/>
    <s v="000"/>
    <x v="0"/>
    <x v="2"/>
  </r>
  <r>
    <d v="2013-10-02T00:00:00"/>
    <s v="017-2210-000"/>
    <s v="Liquor Sales"/>
    <n v="2072.5614"/>
    <n v="0"/>
    <s v="Daily Sales Import"/>
    <n v="-2072.5614"/>
    <n v="2072.5614"/>
    <x v="1"/>
    <s v="2210"/>
    <s v="000"/>
    <x v="0"/>
    <x v="2"/>
  </r>
  <r>
    <d v="2013-10-02T00:00:00"/>
    <s v="017-2220-000"/>
    <s v="Beer Sales"/>
    <n v="543.58920000000001"/>
    <n v="0"/>
    <s v="Daily Sales Import"/>
    <n v="-543.58920000000001"/>
    <n v="543.58920000000001"/>
    <x v="1"/>
    <s v="2220"/>
    <s v="000"/>
    <x v="0"/>
    <x v="2"/>
  </r>
  <r>
    <d v="2013-10-02T00:00:00"/>
    <s v="017-2230-000"/>
    <s v="Wine Sales"/>
    <n v="166.29820000000001"/>
    <n v="0"/>
    <s v="Daily Sales Import"/>
    <n v="-166.29820000000001"/>
    <n v="166.29820000000001"/>
    <x v="1"/>
    <s v="2230"/>
    <s v="000"/>
    <x v="0"/>
    <x v="2"/>
  </r>
  <r>
    <d v="2013-10-03T00:00:00"/>
    <s v="017-2100-000"/>
    <s v="Food Sales"/>
    <n v="5870.3060999999998"/>
    <n v="0"/>
    <s v="Daily Sales Import"/>
    <n v="-5870.3060999999998"/>
    <n v="5870.3060999999998"/>
    <x v="1"/>
    <s v="2100"/>
    <s v="000"/>
    <x v="0"/>
    <x v="2"/>
  </r>
  <r>
    <d v="2013-10-03T00:00:00"/>
    <s v="017-2210-000"/>
    <s v="Liquor Sales"/>
    <n v="1386.5766000000001"/>
    <n v="0"/>
    <s v="Daily Sales Import"/>
    <n v="-1386.5766000000001"/>
    <n v="1386.5766000000001"/>
    <x v="1"/>
    <s v="2210"/>
    <s v="000"/>
    <x v="0"/>
    <x v="2"/>
  </r>
  <r>
    <d v="2013-10-03T00:00:00"/>
    <s v="017-2220-000"/>
    <s v="Beer Sales"/>
    <n v="611.1105"/>
    <n v="0"/>
    <s v="Daily Sales Import"/>
    <n v="-611.1105"/>
    <n v="611.1105"/>
    <x v="1"/>
    <s v="2220"/>
    <s v="000"/>
    <x v="0"/>
    <x v="2"/>
  </r>
  <r>
    <d v="2013-10-03T00:00:00"/>
    <s v="017-2230-000"/>
    <s v="Wine Sales"/>
    <n v="150.3279"/>
    <n v="0"/>
    <s v="Daily Sales Import"/>
    <n v="-150.3279"/>
    <n v="150.3279"/>
    <x v="1"/>
    <s v="2230"/>
    <s v="000"/>
    <x v="0"/>
    <x v="2"/>
  </r>
  <r>
    <d v="2013-10-04T00:00:00"/>
    <s v="017-2100-000"/>
    <s v="Food Sales"/>
    <n v="8687.0607999999993"/>
    <n v="0"/>
    <s v="Daily Sales Import"/>
    <n v="-8687.0607999999993"/>
    <n v="8687.0607999999993"/>
    <x v="1"/>
    <s v="2100"/>
    <s v="000"/>
    <x v="0"/>
    <x v="2"/>
  </r>
  <r>
    <d v="2013-10-04T00:00:00"/>
    <s v="017-2210-000"/>
    <s v="Liquor Sales"/>
    <n v="2243.0549999999998"/>
    <n v="0"/>
    <s v="Daily Sales Import"/>
    <n v="-2243.0549999999998"/>
    <n v="2243.0549999999998"/>
    <x v="1"/>
    <s v="2210"/>
    <s v="000"/>
    <x v="0"/>
    <x v="2"/>
  </r>
  <r>
    <d v="2013-10-04T00:00:00"/>
    <s v="017-2220-000"/>
    <s v="Beer Sales"/>
    <n v="524.43299999999999"/>
    <n v="0"/>
    <s v="Daily Sales Import"/>
    <n v="-524.43299999999999"/>
    <n v="524.43299999999999"/>
    <x v="1"/>
    <s v="2220"/>
    <s v="000"/>
    <x v="0"/>
    <x v="2"/>
  </r>
  <r>
    <d v="2013-10-04T00:00:00"/>
    <s v="017-2230-000"/>
    <s v="Wine Sales"/>
    <n v="68.752799999999993"/>
    <n v="0"/>
    <s v="Daily Sales Import"/>
    <n v="-68.752799999999993"/>
    <n v="68.752799999999993"/>
    <x v="1"/>
    <s v="2230"/>
    <s v="000"/>
    <x v="0"/>
    <x v="2"/>
  </r>
  <r>
    <d v="2013-10-05T00:00:00"/>
    <s v="017-2100-000"/>
    <s v="Food Sales"/>
    <n v="6737.1120000000001"/>
    <n v="0"/>
    <s v="Daily Sales Import"/>
    <n v="-6737.1120000000001"/>
    <n v="6737.1120000000001"/>
    <x v="1"/>
    <s v="2100"/>
    <s v="000"/>
    <x v="0"/>
    <x v="2"/>
  </r>
  <r>
    <d v="2013-10-05T00:00:00"/>
    <s v="017-2210-000"/>
    <s v="Liquor Sales"/>
    <n v="1612.1712000000002"/>
    <n v="0"/>
    <s v="Daily Sales Import"/>
    <n v="-1612.1712000000002"/>
    <n v="1612.1712000000002"/>
    <x v="1"/>
    <s v="2210"/>
    <s v="000"/>
    <x v="0"/>
    <x v="2"/>
  </r>
  <r>
    <d v="2013-10-05T00:00:00"/>
    <s v="017-2220-000"/>
    <s v="Beer Sales"/>
    <n v="299.39490000000001"/>
    <n v="0"/>
    <s v="Daily Sales Import"/>
    <n v="-299.39490000000001"/>
    <n v="299.39490000000001"/>
    <x v="1"/>
    <s v="2220"/>
    <s v="000"/>
    <x v="0"/>
    <x v="2"/>
  </r>
  <r>
    <d v="2013-10-05T00:00:00"/>
    <s v="017-2230-000"/>
    <s v="Wine Sales"/>
    <n v="46.235199999999999"/>
    <n v="0"/>
    <s v="Daily Sales Import"/>
    <n v="-46.235199999999999"/>
    <n v="46.235199999999999"/>
    <x v="1"/>
    <s v="2230"/>
    <s v="000"/>
    <x v="0"/>
    <x v="2"/>
  </r>
  <r>
    <d v="2013-10-06T00:00:00"/>
    <s v="017-2100-000"/>
    <s v="Food Sales"/>
    <n v="4031.2560000000003"/>
    <n v="0"/>
    <s v="Daily Sales Import"/>
    <n v="-4031.2560000000003"/>
    <n v="4031.2560000000003"/>
    <x v="1"/>
    <s v="2100"/>
    <s v="000"/>
    <x v="0"/>
    <x v="2"/>
  </r>
  <r>
    <d v="2013-10-06T00:00:00"/>
    <s v="017-2210-000"/>
    <s v="Liquor Sales"/>
    <n v="668.78730000000007"/>
    <n v="0"/>
    <s v="Daily Sales Import"/>
    <n v="-668.78730000000007"/>
    <n v="668.78730000000007"/>
    <x v="1"/>
    <s v="2210"/>
    <s v="000"/>
    <x v="0"/>
    <x v="2"/>
  </r>
  <r>
    <d v="2013-10-06T00:00:00"/>
    <s v="017-2220-000"/>
    <s v="Beer Sales"/>
    <n v="119.80799999999999"/>
    <n v="0"/>
    <s v="Daily Sales Import"/>
    <n v="-119.80799999999999"/>
    <n v="119.80799999999999"/>
    <x v="1"/>
    <s v="2220"/>
    <s v="000"/>
    <x v="0"/>
    <x v="2"/>
  </r>
  <r>
    <d v="2013-10-06T00:00:00"/>
    <s v="017-2230-000"/>
    <s v="Wine Sales"/>
    <n v="88.078499999999991"/>
    <n v="0"/>
    <s v="Daily Sales Import"/>
    <n v="-88.078499999999991"/>
    <n v="88.078499999999991"/>
    <x v="1"/>
    <s v="2230"/>
    <s v="000"/>
    <x v="0"/>
    <x v="2"/>
  </r>
  <r>
    <d v="2013-09-30T00:00:00"/>
    <s v="018-2100-000"/>
    <s v="Food Sales"/>
    <n v="4118.8480000000009"/>
    <n v="0"/>
    <s v="Daily Sales Import"/>
    <n v="-4118.8480000000009"/>
    <n v="4118.8480000000009"/>
    <x v="2"/>
    <s v="2100"/>
    <s v="000"/>
    <x v="11"/>
    <x v="2"/>
  </r>
  <r>
    <d v="2013-09-30T00:00:00"/>
    <s v="018-2210-000"/>
    <s v="Liquor Sales"/>
    <n v="593.40510000000006"/>
    <n v="0"/>
    <s v="Daily Sales Import"/>
    <n v="-593.40510000000006"/>
    <n v="593.40510000000006"/>
    <x v="2"/>
    <s v="2210"/>
    <s v="000"/>
    <x v="11"/>
    <x v="2"/>
  </r>
  <r>
    <d v="2013-09-30T00:00:00"/>
    <s v="018-2220-000"/>
    <s v="Beer Sales"/>
    <n v="212.89840000000001"/>
    <n v="0"/>
    <s v="Daily Sales Import"/>
    <n v="-212.89840000000001"/>
    <n v="212.89840000000001"/>
    <x v="2"/>
    <s v="2220"/>
    <s v="000"/>
    <x v="11"/>
    <x v="2"/>
  </r>
  <r>
    <d v="2013-09-30T00:00:00"/>
    <s v="018-2230-000"/>
    <s v="Wine Sales"/>
    <n v="14.0244"/>
    <n v="0"/>
    <s v="Daily Sales Import"/>
    <n v="-14.0244"/>
    <n v="14.0244"/>
    <x v="2"/>
    <s v="2230"/>
    <s v="000"/>
    <x v="11"/>
    <x v="2"/>
  </r>
  <r>
    <d v="2013-10-01T00:00:00"/>
    <s v="018-2100-000"/>
    <s v="Food Sales"/>
    <n v="4498.1772000000001"/>
    <n v="0"/>
    <s v="Daily Sales Import"/>
    <n v="-4498.1772000000001"/>
    <n v="4498.1772000000001"/>
    <x v="2"/>
    <s v="2100"/>
    <s v="000"/>
    <x v="0"/>
    <x v="2"/>
  </r>
  <r>
    <d v="2013-10-01T00:00:00"/>
    <s v="018-2210-000"/>
    <s v="Liquor Sales"/>
    <n v="758.94119999999998"/>
    <n v="0"/>
    <s v="Daily Sales Import"/>
    <n v="-758.94119999999998"/>
    <n v="758.94119999999998"/>
    <x v="2"/>
    <s v="2210"/>
    <s v="000"/>
    <x v="0"/>
    <x v="2"/>
  </r>
  <r>
    <d v="2013-10-01T00:00:00"/>
    <s v="018-2220-000"/>
    <s v="Beer Sales"/>
    <n v="141.19560000000001"/>
    <n v="0"/>
    <s v="Daily Sales Import"/>
    <n v="-141.19560000000001"/>
    <n v="141.19560000000001"/>
    <x v="2"/>
    <s v="2220"/>
    <s v="000"/>
    <x v="0"/>
    <x v="2"/>
  </r>
  <r>
    <d v="2013-10-01T00:00:00"/>
    <s v="018-2230-000"/>
    <s v="Wine Sales"/>
    <n v="113.77200000000001"/>
    <n v="0"/>
    <s v="Daily Sales Import"/>
    <n v="-113.77200000000001"/>
    <n v="113.77200000000001"/>
    <x v="2"/>
    <s v="2230"/>
    <s v="000"/>
    <x v="0"/>
    <x v="2"/>
  </r>
  <r>
    <d v="2013-10-02T00:00:00"/>
    <s v="018-2100-000"/>
    <s v="Food Sales"/>
    <n v="4438.6217999999999"/>
    <n v="0"/>
    <s v="Daily Sales Import"/>
    <n v="-4438.6217999999999"/>
    <n v="4438.6217999999999"/>
    <x v="2"/>
    <s v="2100"/>
    <s v="000"/>
    <x v="0"/>
    <x v="2"/>
  </r>
  <r>
    <d v="2013-10-02T00:00:00"/>
    <s v="018-2210-000"/>
    <s v="Liquor Sales"/>
    <n v="622.05719999999997"/>
    <n v="0"/>
    <s v="Daily Sales Import"/>
    <n v="-622.05719999999997"/>
    <n v="622.05719999999997"/>
    <x v="2"/>
    <s v="2210"/>
    <s v="000"/>
    <x v="0"/>
    <x v="2"/>
  </r>
  <r>
    <d v="2013-10-02T00:00:00"/>
    <s v="018-2220-000"/>
    <s v="Beer Sales"/>
    <n v="138.42599999999999"/>
    <n v="0"/>
    <s v="Daily Sales Import"/>
    <n v="-138.42599999999999"/>
    <n v="138.42599999999999"/>
    <x v="2"/>
    <s v="2220"/>
    <s v="000"/>
    <x v="0"/>
    <x v="2"/>
  </r>
  <r>
    <d v="2013-10-02T00:00:00"/>
    <s v="018-2230-000"/>
    <s v="Wine Sales"/>
    <n v="58.470999999999997"/>
    <n v="0"/>
    <s v="Daily Sales Import"/>
    <n v="-58.470999999999997"/>
    <n v="58.470999999999997"/>
    <x v="2"/>
    <s v="2230"/>
    <s v="000"/>
    <x v="0"/>
    <x v="2"/>
  </r>
  <r>
    <d v="2013-10-03T00:00:00"/>
    <s v="018-2100-000"/>
    <s v="Food Sales"/>
    <n v="4183.8150000000005"/>
    <n v="0"/>
    <s v="Daily Sales Import"/>
    <n v="-4183.8150000000005"/>
    <n v="4183.8150000000005"/>
    <x v="2"/>
    <s v="2100"/>
    <s v="000"/>
    <x v="0"/>
    <x v="2"/>
  </r>
  <r>
    <d v="2013-10-03T00:00:00"/>
    <s v="018-2210-000"/>
    <s v="Liquor Sales"/>
    <n v="1159.0369000000001"/>
    <n v="0"/>
    <s v="Daily Sales Import"/>
    <n v="-1159.0369000000001"/>
    <n v="1159.0369000000001"/>
    <x v="2"/>
    <s v="2210"/>
    <s v="000"/>
    <x v="0"/>
    <x v="2"/>
  </r>
  <r>
    <d v="2013-10-03T00:00:00"/>
    <s v="018-2220-000"/>
    <s v="Beer Sales"/>
    <n v="304.72620000000001"/>
    <n v="0"/>
    <s v="Daily Sales Import"/>
    <n v="-304.72620000000001"/>
    <n v="304.72620000000001"/>
    <x v="2"/>
    <s v="2220"/>
    <s v="000"/>
    <x v="0"/>
    <x v="2"/>
  </r>
  <r>
    <d v="2013-10-03T00:00:00"/>
    <s v="018-2230-000"/>
    <s v="Wine Sales"/>
    <n v="50.963200000000001"/>
    <n v="0"/>
    <s v="Daily Sales Import"/>
    <n v="-50.963200000000001"/>
    <n v="50.963200000000001"/>
    <x v="2"/>
    <s v="2230"/>
    <s v="000"/>
    <x v="0"/>
    <x v="2"/>
  </r>
  <r>
    <d v="2013-10-04T00:00:00"/>
    <s v="018-2100-000"/>
    <s v="Food Sales"/>
    <n v="9753.7369999999992"/>
    <n v="0"/>
    <s v="Daily Sales Import"/>
    <n v="-9753.7369999999992"/>
    <n v="9753.7369999999992"/>
    <x v="2"/>
    <s v="2100"/>
    <s v="000"/>
    <x v="0"/>
    <x v="2"/>
  </r>
  <r>
    <d v="2013-10-04T00:00:00"/>
    <s v="018-2210-000"/>
    <s v="Liquor Sales"/>
    <n v="2985.0787999999998"/>
    <n v="0"/>
    <s v="Daily Sales Import"/>
    <n v="-2985.0787999999998"/>
    <n v="2985.0787999999998"/>
    <x v="2"/>
    <s v="2210"/>
    <s v="000"/>
    <x v="0"/>
    <x v="2"/>
  </r>
  <r>
    <d v="2013-10-04T00:00:00"/>
    <s v="018-2220-000"/>
    <s v="Beer Sales"/>
    <n v="417.42"/>
    <n v="0"/>
    <s v="Daily Sales Import"/>
    <n v="-417.42"/>
    <n v="417.42"/>
    <x v="2"/>
    <s v="2220"/>
    <s v="000"/>
    <x v="0"/>
    <x v="2"/>
  </r>
  <r>
    <d v="2013-10-04T00:00:00"/>
    <s v="018-2230-000"/>
    <s v="Wine Sales"/>
    <n v="49.964100000000002"/>
    <n v="0"/>
    <s v="Daily Sales Import"/>
    <n v="-49.964100000000002"/>
    <n v="49.964100000000002"/>
    <x v="2"/>
    <s v="2230"/>
    <s v="000"/>
    <x v="0"/>
    <x v="2"/>
  </r>
  <r>
    <d v="2013-10-05T00:00:00"/>
    <s v="018-2100-000"/>
    <s v="Food Sales"/>
    <n v="17125.308000000001"/>
    <n v="0"/>
    <s v="Daily Sales Import"/>
    <n v="-17125.308000000001"/>
    <n v="17125.308000000001"/>
    <x v="2"/>
    <s v="2100"/>
    <s v="000"/>
    <x v="0"/>
    <x v="2"/>
  </r>
  <r>
    <d v="2013-10-05T00:00:00"/>
    <s v="018-2210-000"/>
    <s v="Liquor Sales"/>
    <n v="2659.2323999999999"/>
    <n v="0"/>
    <s v="Daily Sales Import"/>
    <n v="-2659.2323999999999"/>
    <n v="2659.2323999999999"/>
    <x v="2"/>
    <s v="2210"/>
    <s v="000"/>
    <x v="0"/>
    <x v="2"/>
  </r>
  <r>
    <d v="2013-10-05T00:00:00"/>
    <s v="018-2220-000"/>
    <s v="Beer Sales"/>
    <n v="723.81440000000009"/>
    <n v="0"/>
    <s v="Daily Sales Import"/>
    <n v="-723.81440000000009"/>
    <n v="723.81440000000009"/>
    <x v="2"/>
    <s v="2220"/>
    <s v="000"/>
    <x v="0"/>
    <x v="2"/>
  </r>
  <r>
    <d v="2013-10-05T00:00:00"/>
    <s v="018-2230-000"/>
    <s v="Wine Sales"/>
    <n v="59.516800000000003"/>
    <n v="0"/>
    <s v="Daily Sales Import"/>
    <n v="-59.516800000000003"/>
    <n v="59.516800000000003"/>
    <x v="2"/>
    <s v="2230"/>
    <s v="000"/>
    <x v="0"/>
    <x v="2"/>
  </r>
  <r>
    <d v="2013-10-06T00:00:00"/>
    <s v="018-2100-000"/>
    <s v="Food Sales"/>
    <n v="11013.7808"/>
    <n v="0"/>
    <s v="Daily Sales Import"/>
    <n v="-11013.7808"/>
    <n v="11013.7808"/>
    <x v="2"/>
    <s v="2100"/>
    <s v="000"/>
    <x v="0"/>
    <x v="2"/>
  </r>
  <r>
    <d v="2013-10-06T00:00:00"/>
    <s v="018-2210-000"/>
    <s v="Liquor Sales"/>
    <n v="1144.9502"/>
    <n v="0"/>
    <s v="Daily Sales Import"/>
    <n v="-1144.9502"/>
    <n v="1144.9502"/>
    <x v="2"/>
    <s v="2210"/>
    <s v="000"/>
    <x v="0"/>
    <x v="2"/>
  </r>
  <r>
    <d v="2013-10-06T00:00:00"/>
    <s v="018-2220-000"/>
    <s v="Beer Sales"/>
    <n v="231.38080000000002"/>
    <n v="0"/>
    <s v="Daily Sales Import"/>
    <n v="-231.38080000000002"/>
    <n v="231.38080000000002"/>
    <x v="2"/>
    <s v="2220"/>
    <s v="000"/>
    <x v="0"/>
    <x v="2"/>
  </r>
  <r>
    <d v="2013-10-06T00:00:00"/>
    <s v="018-2230-000"/>
    <s v="Wine Sales"/>
    <n v="79.600499999999997"/>
    <n v="0"/>
    <s v="Daily Sales Import"/>
    <n v="-79.600499999999997"/>
    <n v="79.600499999999997"/>
    <x v="2"/>
    <s v="2230"/>
    <s v="000"/>
    <x v="0"/>
    <x v="2"/>
  </r>
  <r>
    <d v="2013-09-30T00:00:00"/>
    <s v="019-2100-000"/>
    <s v="Food Sales"/>
    <n v="2696.5122999999999"/>
    <n v="0"/>
    <s v="Daily Sales Import"/>
    <n v="-2696.5122999999999"/>
    <n v="2696.5122999999999"/>
    <x v="3"/>
    <s v="2100"/>
    <s v="000"/>
    <x v="11"/>
    <x v="2"/>
  </r>
  <r>
    <d v="2013-09-30T00:00:00"/>
    <s v="019-2210-000"/>
    <s v="Liquor Sales"/>
    <n v="515.26859999999999"/>
    <n v="0"/>
    <s v="Daily Sales Import"/>
    <n v="-515.26859999999999"/>
    <n v="515.26859999999999"/>
    <x v="3"/>
    <s v="2210"/>
    <s v="000"/>
    <x v="11"/>
    <x v="2"/>
  </r>
  <r>
    <d v="2013-09-30T00:00:00"/>
    <s v="019-2220-000"/>
    <s v="Beer Sales"/>
    <n v="144.01240000000001"/>
    <n v="0"/>
    <s v="Daily Sales Import"/>
    <n v="-144.01240000000001"/>
    <n v="144.01240000000001"/>
    <x v="3"/>
    <s v="2220"/>
    <s v="000"/>
    <x v="11"/>
    <x v="2"/>
  </r>
  <r>
    <d v="2013-09-30T00:00:00"/>
    <s v="019-2230-000"/>
    <s v="Wine Sales"/>
    <n v="44.8536"/>
    <n v="0"/>
    <s v="Daily Sales Import"/>
    <n v="-44.8536"/>
    <n v="44.8536"/>
    <x v="3"/>
    <s v="2230"/>
    <s v="000"/>
    <x v="11"/>
    <x v="2"/>
  </r>
  <r>
    <d v="2013-10-01T00:00:00"/>
    <s v="019-2100-000"/>
    <s v="Food Sales"/>
    <n v="3844.0527000000006"/>
    <n v="0"/>
    <s v="Daily Sales Import"/>
    <n v="-3844.0527000000006"/>
    <n v="3844.0527000000006"/>
    <x v="3"/>
    <s v="2100"/>
    <s v="000"/>
    <x v="0"/>
    <x v="2"/>
  </r>
  <r>
    <d v="2013-10-01T00:00:00"/>
    <s v="019-2210-000"/>
    <s v="Liquor Sales"/>
    <n v="576"/>
    <n v="0"/>
    <s v="Daily Sales Import"/>
    <n v="-576"/>
    <n v="576"/>
    <x v="3"/>
    <s v="2210"/>
    <s v="000"/>
    <x v="0"/>
    <x v="2"/>
  </r>
  <r>
    <d v="2013-10-01T00:00:00"/>
    <s v="019-2220-000"/>
    <s v="Beer Sales"/>
    <n v="224.24960000000002"/>
    <n v="0"/>
    <s v="Daily Sales Import"/>
    <n v="-224.24960000000002"/>
    <n v="224.24960000000002"/>
    <x v="3"/>
    <s v="2220"/>
    <s v="000"/>
    <x v="0"/>
    <x v="2"/>
  </r>
  <r>
    <d v="2013-10-01T00:00:00"/>
    <s v="019-2230-000"/>
    <s v="Wine Sales"/>
    <n v="50.0822"/>
    <n v="0"/>
    <s v="Daily Sales Import"/>
    <n v="-50.0822"/>
    <n v="50.0822"/>
    <x v="3"/>
    <s v="2230"/>
    <s v="000"/>
    <x v="0"/>
    <x v="2"/>
  </r>
  <r>
    <d v="2013-10-02T00:00:00"/>
    <s v="019-2100-000"/>
    <s v="Food Sales"/>
    <n v="3092.0061000000001"/>
    <n v="0"/>
    <s v="Daily Sales Import"/>
    <n v="-3092.0061000000001"/>
    <n v="3092.0061000000001"/>
    <x v="3"/>
    <s v="2100"/>
    <s v="000"/>
    <x v="0"/>
    <x v="2"/>
  </r>
  <r>
    <d v="2013-10-02T00:00:00"/>
    <s v="019-2210-000"/>
    <s v="Liquor Sales"/>
    <n v="673.98"/>
    <n v="0"/>
    <s v="Daily Sales Import"/>
    <n v="-673.98"/>
    <n v="673.98"/>
    <x v="3"/>
    <s v="2210"/>
    <s v="000"/>
    <x v="0"/>
    <x v="2"/>
  </r>
  <r>
    <d v="2013-10-02T00:00:00"/>
    <s v="019-2220-000"/>
    <s v="Beer Sales"/>
    <n v="245.12849999999997"/>
    <n v="0"/>
    <s v="Daily Sales Import"/>
    <n v="-245.12849999999997"/>
    <n v="245.12849999999997"/>
    <x v="3"/>
    <s v="2220"/>
    <s v="000"/>
    <x v="0"/>
    <x v="2"/>
  </r>
  <r>
    <d v="2013-10-02T00:00:00"/>
    <s v="019-2230-000"/>
    <s v="Wine Sales"/>
    <n v="35.196800000000003"/>
    <n v="0"/>
    <s v="Daily Sales Import"/>
    <n v="-35.196800000000003"/>
    <n v="35.196800000000003"/>
    <x v="3"/>
    <s v="2230"/>
    <s v="000"/>
    <x v="0"/>
    <x v="2"/>
  </r>
  <r>
    <d v="2013-10-03T00:00:00"/>
    <s v="019-2100-000"/>
    <s v="Food Sales"/>
    <n v="4742.098"/>
    <n v="0"/>
    <s v="Daily Sales Import"/>
    <n v="-4742.098"/>
    <n v="4742.098"/>
    <x v="3"/>
    <s v="2100"/>
    <s v="000"/>
    <x v="0"/>
    <x v="2"/>
  </r>
  <r>
    <d v="2013-10-03T00:00:00"/>
    <s v="019-2210-000"/>
    <s v="Liquor Sales"/>
    <n v="1378.1280000000002"/>
    <n v="0"/>
    <s v="Daily Sales Import"/>
    <n v="-1378.1280000000002"/>
    <n v="1378.1280000000002"/>
    <x v="3"/>
    <s v="2210"/>
    <s v="000"/>
    <x v="0"/>
    <x v="2"/>
  </r>
  <r>
    <d v="2013-10-03T00:00:00"/>
    <s v="019-2220-000"/>
    <s v="Beer Sales"/>
    <n v="336.42"/>
    <n v="0"/>
    <s v="Daily Sales Import"/>
    <n v="-336.42"/>
    <n v="336.42"/>
    <x v="3"/>
    <s v="2220"/>
    <s v="000"/>
    <x v="0"/>
    <x v="2"/>
  </r>
  <r>
    <d v="2013-10-03T00:00:00"/>
    <s v="019-2230-000"/>
    <s v="Wine Sales"/>
    <n v="105.5432"/>
    <n v="0"/>
    <s v="Daily Sales Import"/>
    <n v="-105.5432"/>
    <n v="105.5432"/>
    <x v="3"/>
    <s v="2230"/>
    <s v="000"/>
    <x v="0"/>
    <x v="2"/>
  </r>
  <r>
    <d v="2013-10-04T00:00:00"/>
    <s v="019-2100-000"/>
    <s v="Food Sales"/>
    <n v="3870.2785000000003"/>
    <n v="0"/>
    <s v="Daily Sales Import"/>
    <n v="-3870.2785000000003"/>
    <n v="3870.2785000000003"/>
    <x v="3"/>
    <s v="2100"/>
    <s v="000"/>
    <x v="0"/>
    <x v="2"/>
  </r>
  <r>
    <d v="2013-10-04T00:00:00"/>
    <s v="019-2210-000"/>
    <s v="Liquor Sales"/>
    <n v="2178.1929"/>
    <n v="0"/>
    <s v="Daily Sales Import"/>
    <n v="-2178.1929"/>
    <n v="2178.1929"/>
    <x v="3"/>
    <s v="2210"/>
    <s v="000"/>
    <x v="0"/>
    <x v="2"/>
  </r>
  <r>
    <d v="2013-10-04T00:00:00"/>
    <s v="019-2220-000"/>
    <s v="Beer Sales"/>
    <n v="442.03320000000002"/>
    <n v="0"/>
    <s v="Daily Sales Import"/>
    <n v="-442.03320000000002"/>
    <n v="442.03320000000002"/>
    <x v="3"/>
    <s v="2220"/>
    <s v="000"/>
    <x v="0"/>
    <x v="2"/>
  </r>
  <r>
    <d v="2013-10-04T00:00:00"/>
    <s v="019-2230-000"/>
    <s v="Wine Sales"/>
    <n v="29.07"/>
    <n v="0"/>
    <s v="Daily Sales Import"/>
    <n v="-29.07"/>
    <n v="29.07"/>
    <x v="3"/>
    <s v="2230"/>
    <s v="000"/>
    <x v="0"/>
    <x v="2"/>
  </r>
  <r>
    <d v="2013-10-05T00:00:00"/>
    <s v="019-2100-000"/>
    <s v="Food Sales"/>
    <n v="4859.8281999999999"/>
    <n v="0"/>
    <s v="Daily Sales Import"/>
    <n v="-4859.8281999999999"/>
    <n v="4859.8281999999999"/>
    <x v="3"/>
    <s v="2100"/>
    <s v="000"/>
    <x v="0"/>
    <x v="2"/>
  </r>
  <r>
    <d v="2013-10-05T00:00:00"/>
    <s v="019-2210-000"/>
    <s v="Liquor Sales"/>
    <n v="1497.5940000000001"/>
    <n v="0"/>
    <s v="Daily Sales Import"/>
    <n v="-1497.5940000000001"/>
    <n v="1497.5940000000001"/>
    <x v="3"/>
    <s v="2210"/>
    <s v="000"/>
    <x v="0"/>
    <x v="2"/>
  </r>
  <r>
    <d v="2013-10-05T00:00:00"/>
    <s v="019-2220-000"/>
    <s v="Beer Sales"/>
    <n v="375.79240000000004"/>
    <n v="0"/>
    <s v="Daily Sales Import"/>
    <n v="-375.79240000000004"/>
    <n v="375.79240000000004"/>
    <x v="3"/>
    <s v="2220"/>
    <s v="000"/>
    <x v="0"/>
    <x v="2"/>
  </r>
  <r>
    <d v="2013-10-05T00:00:00"/>
    <s v="019-2230-000"/>
    <s v="Wine Sales"/>
    <n v="71.042400000000001"/>
    <n v="0"/>
    <s v="Daily Sales Import"/>
    <n v="-71.042400000000001"/>
    <n v="71.042400000000001"/>
    <x v="3"/>
    <s v="2230"/>
    <s v="000"/>
    <x v="0"/>
    <x v="2"/>
  </r>
  <r>
    <d v="2013-10-06T00:00:00"/>
    <s v="019-2100-000"/>
    <s v="Food Sales"/>
    <n v="3871.4027999999998"/>
    <n v="0"/>
    <s v="Daily Sales Import"/>
    <n v="-3871.4027999999998"/>
    <n v="3871.4027999999998"/>
    <x v="3"/>
    <s v="2100"/>
    <s v="000"/>
    <x v="0"/>
    <x v="2"/>
  </r>
  <r>
    <d v="2013-10-06T00:00:00"/>
    <s v="019-2210-000"/>
    <s v="Liquor Sales"/>
    <n v="1197.114"/>
    <n v="0"/>
    <s v="Daily Sales Import"/>
    <n v="-1197.114"/>
    <n v="1197.114"/>
    <x v="3"/>
    <s v="2210"/>
    <s v="000"/>
    <x v="0"/>
    <x v="2"/>
  </r>
  <r>
    <d v="2013-10-06T00:00:00"/>
    <s v="019-2220-000"/>
    <s v="Beer Sales"/>
    <n v="300.31559999999996"/>
    <n v="0"/>
    <s v="Daily Sales Import"/>
    <n v="-300.31559999999996"/>
    <n v="300.31559999999996"/>
    <x v="3"/>
    <s v="2220"/>
    <s v="000"/>
    <x v="0"/>
    <x v="2"/>
  </r>
  <r>
    <d v="2013-10-06T00:00:00"/>
    <s v="019-2230-000"/>
    <s v="Wine Sales"/>
    <n v="165.7748"/>
    <n v="0"/>
    <s v="Daily Sales Import"/>
    <n v="-165.7748"/>
    <n v="165.7748"/>
    <x v="3"/>
    <s v="2230"/>
    <s v="000"/>
    <x v="0"/>
    <x v="2"/>
  </r>
  <r>
    <d v="2013-10-07T00:00:00"/>
    <s v="016-2100-000"/>
    <s v="Food Sales"/>
    <n v="2621.5020000000004"/>
    <n v="0"/>
    <s v="Daily Sales Import"/>
    <n v="-2621.5020000000004"/>
    <n v="2621.5020000000004"/>
    <x v="0"/>
    <s v="2100"/>
    <s v="000"/>
    <x v="0"/>
    <x v="2"/>
  </r>
  <r>
    <d v="2013-10-07T00:00:00"/>
    <s v="016-2210-000"/>
    <s v="Liquor Sales"/>
    <n v="292.2808"/>
    <n v="0"/>
    <s v="Daily Sales Import"/>
    <n v="-292.2808"/>
    <n v="292.2808"/>
    <x v="0"/>
    <s v="2210"/>
    <s v="000"/>
    <x v="0"/>
    <x v="2"/>
  </r>
  <r>
    <d v="2013-10-07T00:00:00"/>
    <s v="016-2220-000"/>
    <s v="Beer Sales"/>
    <n v="71.210999999999999"/>
    <n v="0"/>
    <s v="Daily Sales Import"/>
    <n v="-71.210999999999999"/>
    <n v="71.210999999999999"/>
    <x v="0"/>
    <s v="2220"/>
    <s v="000"/>
    <x v="0"/>
    <x v="2"/>
  </r>
  <r>
    <d v="2013-10-07T00:00:00"/>
    <s v="016-2230-000"/>
    <s v="Wine Sales"/>
    <n v="49.632699999999993"/>
    <n v="0"/>
    <s v="Daily Sales Import"/>
    <n v="-49.632699999999993"/>
    <n v="49.632699999999993"/>
    <x v="0"/>
    <s v="2230"/>
    <s v="000"/>
    <x v="0"/>
    <x v="2"/>
  </r>
  <r>
    <d v="2013-10-08T00:00:00"/>
    <s v="016-2100-000"/>
    <s v="Food Sales"/>
    <n v="5003.2017999999989"/>
    <n v="0"/>
    <s v="Daily Sales Import"/>
    <n v="-5003.2017999999989"/>
    <n v="5003.2017999999989"/>
    <x v="0"/>
    <s v="2100"/>
    <s v="000"/>
    <x v="0"/>
    <x v="2"/>
  </r>
  <r>
    <d v="2013-10-08T00:00:00"/>
    <s v="016-2210-000"/>
    <s v="Liquor Sales"/>
    <n v="2121.5532000000003"/>
    <n v="0"/>
    <s v="Daily Sales Import"/>
    <n v="-2121.5532000000003"/>
    <n v="2121.5532000000003"/>
    <x v="0"/>
    <s v="2210"/>
    <s v="000"/>
    <x v="0"/>
    <x v="2"/>
  </r>
  <r>
    <d v="2013-10-08T00:00:00"/>
    <s v="016-2220-000"/>
    <s v="Beer Sales"/>
    <n v="1005.7764000000001"/>
    <n v="0"/>
    <s v="Daily Sales Import"/>
    <n v="-1005.7764000000001"/>
    <n v="1005.7764000000001"/>
    <x v="0"/>
    <s v="2220"/>
    <s v="000"/>
    <x v="0"/>
    <x v="2"/>
  </r>
  <r>
    <d v="2013-10-08T00:00:00"/>
    <s v="016-2230-000"/>
    <s v="Wine Sales"/>
    <n v="101.4481"/>
    <n v="0"/>
    <s v="Daily Sales Import"/>
    <n v="-101.4481"/>
    <n v="101.4481"/>
    <x v="0"/>
    <s v="2230"/>
    <s v="000"/>
    <x v="0"/>
    <x v="2"/>
  </r>
  <r>
    <d v="2013-10-09T00:00:00"/>
    <s v="016-2100-000"/>
    <s v="Food Sales"/>
    <n v="2558.9180999999999"/>
    <n v="0"/>
    <s v="Daily Sales Import"/>
    <n v="-2558.9180999999999"/>
    <n v="2558.9180999999999"/>
    <x v="0"/>
    <s v="2100"/>
    <s v="000"/>
    <x v="0"/>
    <x v="2"/>
  </r>
  <r>
    <d v="2013-10-09T00:00:00"/>
    <s v="016-2210-000"/>
    <s v="Liquor Sales"/>
    <n v="579.86760000000004"/>
    <n v="0"/>
    <s v="Daily Sales Import"/>
    <n v="-579.86760000000004"/>
    <n v="579.86760000000004"/>
    <x v="0"/>
    <s v="2210"/>
    <s v="000"/>
    <x v="0"/>
    <x v="2"/>
  </r>
  <r>
    <d v="2013-10-09T00:00:00"/>
    <s v="016-2220-000"/>
    <s v="Beer Sales"/>
    <n v="55.859999999999992"/>
    <n v="0"/>
    <s v="Daily Sales Import"/>
    <n v="-55.859999999999992"/>
    <n v="55.859999999999992"/>
    <x v="0"/>
    <s v="2220"/>
    <s v="000"/>
    <x v="0"/>
    <x v="2"/>
  </r>
  <r>
    <d v="2013-10-09T00:00:00"/>
    <s v="016-2230-000"/>
    <s v="Wine Sales"/>
    <n v="105.5013"/>
    <n v="0"/>
    <s v="Daily Sales Import"/>
    <n v="-105.5013"/>
    <n v="105.5013"/>
    <x v="0"/>
    <s v="2230"/>
    <s v="000"/>
    <x v="0"/>
    <x v="2"/>
  </r>
  <r>
    <d v="2013-10-10T00:00:00"/>
    <s v="016-2100-000"/>
    <s v="Food Sales"/>
    <n v="2709.1416000000004"/>
    <n v="0"/>
    <s v="Daily Sales Import"/>
    <n v="-2709.1416000000004"/>
    <n v="2709.1416000000004"/>
    <x v="0"/>
    <s v="2100"/>
    <s v="000"/>
    <x v="0"/>
    <x v="2"/>
  </r>
  <r>
    <d v="2013-10-10T00:00:00"/>
    <s v="016-2210-000"/>
    <s v="Liquor Sales"/>
    <n v="684.62250000000006"/>
    <n v="0"/>
    <s v="Daily Sales Import"/>
    <n v="-684.62250000000006"/>
    <n v="684.62250000000006"/>
    <x v="0"/>
    <s v="2210"/>
    <s v="000"/>
    <x v="0"/>
    <x v="2"/>
  </r>
  <r>
    <d v="2013-10-10T00:00:00"/>
    <s v="016-2220-000"/>
    <s v="Beer Sales"/>
    <n v="132.5915"/>
    <n v="0"/>
    <s v="Daily Sales Import"/>
    <n v="-132.5915"/>
    <n v="132.5915"/>
    <x v="0"/>
    <s v="2220"/>
    <s v="000"/>
    <x v="0"/>
    <x v="2"/>
  </r>
  <r>
    <d v="2013-10-10T00:00:00"/>
    <s v="016-2230-000"/>
    <s v="Wine Sales"/>
    <n v="34.8613"/>
    <n v="0"/>
    <s v="Daily Sales Import"/>
    <n v="-34.8613"/>
    <n v="34.8613"/>
    <x v="0"/>
    <s v="2230"/>
    <s v="000"/>
    <x v="0"/>
    <x v="2"/>
  </r>
  <r>
    <d v="2013-10-11T00:00:00"/>
    <s v="016-2100-000"/>
    <s v="Food Sales"/>
    <n v="4857.2370000000001"/>
    <n v="0"/>
    <s v="Daily Sales Import"/>
    <n v="-4857.2370000000001"/>
    <n v="4857.2370000000001"/>
    <x v="0"/>
    <s v="2100"/>
    <s v="000"/>
    <x v="0"/>
    <x v="2"/>
  </r>
  <r>
    <d v="2013-10-11T00:00:00"/>
    <s v="016-2210-000"/>
    <s v="Liquor Sales"/>
    <n v="1962.0744000000002"/>
    <n v="0"/>
    <s v="Daily Sales Import"/>
    <n v="-1962.0744000000002"/>
    <n v="1962.0744000000002"/>
    <x v="0"/>
    <s v="2210"/>
    <s v="000"/>
    <x v="0"/>
    <x v="2"/>
  </r>
  <r>
    <d v="2013-10-11T00:00:00"/>
    <s v="016-2220-000"/>
    <s v="Beer Sales"/>
    <n v="306.01260000000002"/>
    <n v="0"/>
    <s v="Daily Sales Import"/>
    <n v="-306.01260000000002"/>
    <n v="306.01260000000002"/>
    <x v="0"/>
    <s v="2220"/>
    <s v="000"/>
    <x v="0"/>
    <x v="2"/>
  </r>
  <r>
    <d v="2013-10-11T00:00:00"/>
    <s v="016-2230-000"/>
    <s v="Wine Sales"/>
    <n v="74.040000000000006"/>
    <n v="0"/>
    <s v="Daily Sales Import"/>
    <n v="-74.040000000000006"/>
    <n v="74.040000000000006"/>
    <x v="0"/>
    <s v="2230"/>
    <s v="000"/>
    <x v="0"/>
    <x v="2"/>
  </r>
  <r>
    <d v="2013-10-12T00:00:00"/>
    <s v="016-2100-000"/>
    <s v="Food Sales"/>
    <n v="5179.7341999999999"/>
    <n v="0"/>
    <s v="Daily Sales Import"/>
    <n v="-5179.7341999999999"/>
    <n v="5179.7341999999999"/>
    <x v="0"/>
    <s v="2100"/>
    <s v="000"/>
    <x v="0"/>
    <x v="2"/>
  </r>
  <r>
    <d v="2013-10-12T00:00:00"/>
    <s v="016-2210-000"/>
    <s v="Liquor Sales"/>
    <n v="1870.6505999999999"/>
    <n v="0"/>
    <s v="Daily Sales Import"/>
    <n v="-1870.6505999999999"/>
    <n v="1870.6505999999999"/>
    <x v="0"/>
    <s v="2210"/>
    <s v="000"/>
    <x v="0"/>
    <x v="2"/>
  </r>
  <r>
    <d v="2013-10-12T00:00:00"/>
    <s v="016-2220-000"/>
    <s v="Beer Sales"/>
    <n v="426.38549999999998"/>
    <n v="0"/>
    <s v="Daily Sales Import"/>
    <n v="-426.38549999999998"/>
    <n v="426.38549999999998"/>
    <x v="0"/>
    <s v="2220"/>
    <s v="000"/>
    <x v="0"/>
    <x v="2"/>
  </r>
  <r>
    <d v="2013-10-12T00:00:00"/>
    <s v="016-2230-000"/>
    <s v="Wine Sales"/>
    <n v="158.9742"/>
    <n v="0"/>
    <s v="Daily Sales Import"/>
    <n v="-158.9742"/>
    <n v="158.9742"/>
    <x v="0"/>
    <s v="2230"/>
    <s v="000"/>
    <x v="0"/>
    <x v="2"/>
  </r>
  <r>
    <d v="2013-10-13T00:00:00"/>
    <s v="016-2100-000"/>
    <s v="Food Sales"/>
    <n v="3908.1251999999995"/>
    <n v="0"/>
    <s v="Daily Sales Import"/>
    <n v="-3908.1251999999995"/>
    <n v="3908.1251999999995"/>
    <x v="0"/>
    <s v="2100"/>
    <s v="000"/>
    <x v="0"/>
    <x v="2"/>
  </r>
  <r>
    <d v="2013-10-13T00:00:00"/>
    <s v="016-2210-000"/>
    <s v="Liquor Sales"/>
    <n v="1099.1781000000001"/>
    <n v="0"/>
    <s v="Daily Sales Import"/>
    <n v="-1099.1781000000001"/>
    <n v="1099.1781000000001"/>
    <x v="0"/>
    <s v="2210"/>
    <s v="000"/>
    <x v="0"/>
    <x v="2"/>
  </r>
  <r>
    <d v="2013-10-13T00:00:00"/>
    <s v="016-2220-000"/>
    <s v="Beer Sales"/>
    <n v="261.54480000000001"/>
    <n v="0"/>
    <s v="Daily Sales Import"/>
    <n v="-261.54480000000001"/>
    <n v="261.54480000000001"/>
    <x v="0"/>
    <s v="2220"/>
    <s v="000"/>
    <x v="0"/>
    <x v="2"/>
  </r>
  <r>
    <d v="2013-10-13T00:00:00"/>
    <s v="016-2230-000"/>
    <s v="Wine Sales"/>
    <n v="76.402799999999999"/>
    <n v="0"/>
    <s v="Daily Sales Import"/>
    <n v="-76.402799999999999"/>
    <n v="76.402799999999999"/>
    <x v="0"/>
    <s v="2230"/>
    <s v="000"/>
    <x v="0"/>
    <x v="2"/>
  </r>
  <r>
    <d v="2013-10-07T00:00:00"/>
    <s v="017-2100-000"/>
    <s v="Food Sales"/>
    <n v="4802.4900000000007"/>
    <n v="0"/>
    <s v="Daily Sales Import"/>
    <n v="-4802.4900000000007"/>
    <n v="4802.4900000000007"/>
    <x v="1"/>
    <s v="2100"/>
    <s v="000"/>
    <x v="0"/>
    <x v="2"/>
  </r>
  <r>
    <d v="2013-10-07T00:00:00"/>
    <s v="017-2210-000"/>
    <s v="Liquor Sales"/>
    <n v="1116.2853000000002"/>
    <n v="0"/>
    <s v="Daily Sales Import"/>
    <n v="-1116.2853000000002"/>
    <n v="1116.2853000000002"/>
    <x v="1"/>
    <s v="2210"/>
    <s v="000"/>
    <x v="0"/>
    <x v="2"/>
  </r>
  <r>
    <d v="2013-10-07T00:00:00"/>
    <s v="017-2220-000"/>
    <s v="Beer Sales"/>
    <n v="221.18680000000001"/>
    <n v="0"/>
    <s v="Daily Sales Import"/>
    <n v="-221.18680000000001"/>
    <n v="221.18680000000001"/>
    <x v="1"/>
    <s v="2220"/>
    <s v="000"/>
    <x v="0"/>
    <x v="2"/>
  </r>
  <r>
    <d v="2013-10-07T00:00:00"/>
    <s v="017-2230-000"/>
    <s v="Wine Sales"/>
    <n v="72.992599999999996"/>
    <n v="0"/>
    <s v="Daily Sales Import"/>
    <n v="-72.992599999999996"/>
    <n v="72.992599999999996"/>
    <x v="1"/>
    <s v="2230"/>
    <s v="000"/>
    <x v="0"/>
    <x v="2"/>
  </r>
  <r>
    <d v="2013-10-08T00:00:00"/>
    <s v="017-2100-000"/>
    <s v="Food Sales"/>
    <n v="3552.6400000000003"/>
    <n v="0"/>
    <s v="Daily Sales Import"/>
    <n v="-3552.6400000000003"/>
    <n v="3552.6400000000003"/>
    <x v="1"/>
    <s v="2100"/>
    <s v="000"/>
    <x v="0"/>
    <x v="2"/>
  </r>
  <r>
    <d v="2013-10-08T00:00:00"/>
    <s v="017-2210-000"/>
    <s v="Liquor Sales"/>
    <n v="1206.4176"/>
    <n v="0"/>
    <s v="Daily Sales Import"/>
    <n v="-1206.4176"/>
    <n v="1206.4176"/>
    <x v="1"/>
    <s v="2210"/>
    <s v="000"/>
    <x v="0"/>
    <x v="2"/>
  </r>
  <r>
    <d v="2013-10-08T00:00:00"/>
    <s v="017-2220-000"/>
    <s v="Beer Sales"/>
    <n v="395.93189999999998"/>
    <n v="0"/>
    <s v="Daily Sales Import"/>
    <n v="-395.93189999999998"/>
    <n v="395.93189999999998"/>
    <x v="1"/>
    <s v="2220"/>
    <s v="000"/>
    <x v="0"/>
    <x v="2"/>
  </r>
  <r>
    <d v="2013-10-08T00:00:00"/>
    <s v="017-2230-000"/>
    <s v="Wine Sales"/>
    <n v="91.424700000000016"/>
    <n v="0"/>
    <s v="Daily Sales Import"/>
    <n v="-91.424700000000016"/>
    <n v="91.424700000000016"/>
    <x v="1"/>
    <s v="2230"/>
    <s v="000"/>
    <x v="0"/>
    <x v="2"/>
  </r>
  <r>
    <d v="2013-10-09T00:00:00"/>
    <s v="017-2100-000"/>
    <s v="Food Sales"/>
    <n v="5137.1334000000006"/>
    <n v="0"/>
    <s v="Daily Sales Import"/>
    <n v="-5137.1334000000006"/>
    <n v="5137.1334000000006"/>
    <x v="1"/>
    <s v="2100"/>
    <s v="000"/>
    <x v="0"/>
    <x v="2"/>
  </r>
  <r>
    <d v="2013-10-09T00:00:00"/>
    <s v="017-2210-000"/>
    <s v="Liquor Sales"/>
    <n v="1530.2885000000001"/>
    <n v="0"/>
    <s v="Daily Sales Import"/>
    <n v="-1530.2885000000001"/>
    <n v="1530.2885000000001"/>
    <x v="1"/>
    <s v="2210"/>
    <s v="000"/>
    <x v="0"/>
    <x v="2"/>
  </r>
  <r>
    <d v="2013-10-09T00:00:00"/>
    <s v="017-2220-000"/>
    <s v="Beer Sales"/>
    <n v="847.78149999999994"/>
    <n v="0"/>
    <s v="Daily Sales Import"/>
    <n v="-847.78149999999994"/>
    <n v="847.78149999999994"/>
    <x v="1"/>
    <s v="2220"/>
    <s v="000"/>
    <x v="0"/>
    <x v="2"/>
  </r>
  <r>
    <d v="2013-10-09T00:00:00"/>
    <s v="017-2230-000"/>
    <s v="Wine Sales"/>
    <n v="92.646600000000007"/>
    <n v="0"/>
    <s v="Daily Sales Import"/>
    <n v="-92.646600000000007"/>
    <n v="92.646600000000007"/>
    <x v="1"/>
    <s v="2230"/>
    <s v="000"/>
    <x v="0"/>
    <x v="2"/>
  </r>
  <r>
    <d v="2013-10-10T00:00:00"/>
    <s v="017-2100-000"/>
    <s v="Food Sales"/>
    <n v="5890.8477000000003"/>
    <n v="0"/>
    <s v="Daily Sales Import"/>
    <n v="-5890.8477000000003"/>
    <n v="5890.8477000000003"/>
    <x v="1"/>
    <s v="2100"/>
    <s v="000"/>
    <x v="0"/>
    <x v="2"/>
  </r>
  <r>
    <d v="2013-10-10T00:00:00"/>
    <s v="017-2210-000"/>
    <s v="Liquor Sales"/>
    <n v="2286.6122999999998"/>
    <n v="0"/>
    <s v="Daily Sales Import"/>
    <n v="-2286.6122999999998"/>
    <n v="2286.6122999999998"/>
    <x v="1"/>
    <s v="2210"/>
    <s v="000"/>
    <x v="0"/>
    <x v="2"/>
  </r>
  <r>
    <d v="2013-10-10T00:00:00"/>
    <s v="017-2220-000"/>
    <s v="Beer Sales"/>
    <n v="979.68600000000004"/>
    <n v="0"/>
    <s v="Daily Sales Import"/>
    <n v="-979.68600000000004"/>
    <n v="979.68600000000004"/>
    <x v="1"/>
    <s v="2220"/>
    <s v="000"/>
    <x v="0"/>
    <x v="2"/>
  </r>
  <r>
    <d v="2013-10-10T00:00:00"/>
    <s v="017-2230-000"/>
    <s v="Wine Sales"/>
    <n v="348.16320000000002"/>
    <n v="0"/>
    <s v="Daily Sales Import"/>
    <n v="-348.16320000000002"/>
    <n v="348.16320000000002"/>
    <x v="1"/>
    <s v="2230"/>
    <s v="000"/>
    <x v="0"/>
    <x v="2"/>
  </r>
  <r>
    <d v="2013-10-11T00:00:00"/>
    <s v="017-2100-000"/>
    <s v="Food Sales"/>
    <n v="7950.7172"/>
    <n v="0"/>
    <s v="Daily Sales Import"/>
    <n v="-7950.7172"/>
    <n v="7950.7172"/>
    <x v="1"/>
    <s v="2100"/>
    <s v="000"/>
    <x v="0"/>
    <x v="2"/>
  </r>
  <r>
    <d v="2013-10-11T00:00:00"/>
    <s v="017-2210-000"/>
    <s v="Liquor Sales"/>
    <n v="2358.3002999999999"/>
    <n v="0"/>
    <s v="Daily Sales Import"/>
    <n v="-2358.3002999999999"/>
    <n v="2358.3002999999999"/>
    <x v="1"/>
    <s v="2210"/>
    <s v="000"/>
    <x v="0"/>
    <x v="2"/>
  </r>
  <r>
    <d v="2013-10-11T00:00:00"/>
    <s v="017-2220-000"/>
    <s v="Beer Sales"/>
    <n v="511.14050000000003"/>
    <n v="0"/>
    <s v="Daily Sales Import"/>
    <n v="-511.14050000000003"/>
    <n v="511.14050000000003"/>
    <x v="1"/>
    <s v="2220"/>
    <s v="000"/>
    <x v="0"/>
    <x v="2"/>
  </r>
  <r>
    <d v="2013-10-11T00:00:00"/>
    <s v="017-2230-000"/>
    <s v="Wine Sales"/>
    <n v="104.32639999999999"/>
    <n v="0"/>
    <s v="Daily Sales Import"/>
    <n v="-104.32639999999999"/>
    <n v="104.32639999999999"/>
    <x v="1"/>
    <s v="2230"/>
    <s v="000"/>
    <x v="0"/>
    <x v="2"/>
  </r>
  <r>
    <d v="2013-10-12T00:00:00"/>
    <s v="017-2100-000"/>
    <s v="Food Sales"/>
    <n v="8812.8364999999994"/>
    <n v="0"/>
    <s v="Daily Sales Import"/>
    <n v="-8812.8364999999994"/>
    <n v="8812.8364999999994"/>
    <x v="1"/>
    <s v="2100"/>
    <s v="000"/>
    <x v="0"/>
    <x v="2"/>
  </r>
  <r>
    <d v="2013-10-12T00:00:00"/>
    <s v="017-2210-000"/>
    <s v="Liquor Sales"/>
    <n v="1498.7504000000001"/>
    <n v="0"/>
    <s v="Daily Sales Import"/>
    <n v="-1498.7504000000001"/>
    <n v="1498.7504000000001"/>
    <x v="1"/>
    <s v="2210"/>
    <s v="000"/>
    <x v="0"/>
    <x v="2"/>
  </r>
  <r>
    <d v="2013-10-12T00:00:00"/>
    <s v="017-2220-000"/>
    <s v="Beer Sales"/>
    <n v="276.00720000000001"/>
    <n v="0"/>
    <s v="Daily Sales Import"/>
    <n v="-276.00720000000001"/>
    <n v="276.00720000000001"/>
    <x v="1"/>
    <s v="2220"/>
    <s v="000"/>
    <x v="0"/>
    <x v="2"/>
  </r>
  <r>
    <d v="2013-10-12T00:00:00"/>
    <s v="017-2230-000"/>
    <s v="Wine Sales"/>
    <n v="122.256"/>
    <n v="0"/>
    <s v="Daily Sales Import"/>
    <n v="-122.256"/>
    <n v="122.256"/>
    <x v="1"/>
    <s v="2230"/>
    <s v="000"/>
    <x v="0"/>
    <x v="2"/>
  </r>
  <r>
    <d v="2013-10-13T00:00:00"/>
    <s v="017-2100-000"/>
    <s v="Food Sales"/>
    <n v="4232.5374000000002"/>
    <n v="0"/>
    <s v="Daily Sales Import"/>
    <n v="-4232.5374000000002"/>
    <n v="4232.5374000000002"/>
    <x v="1"/>
    <s v="2100"/>
    <s v="000"/>
    <x v="0"/>
    <x v="2"/>
  </r>
  <r>
    <d v="2013-10-13T00:00:00"/>
    <s v="017-2210-000"/>
    <s v="Liquor Sales"/>
    <n v="1015.3224"/>
    <n v="0"/>
    <s v="Daily Sales Import"/>
    <n v="-1015.3224"/>
    <n v="1015.3224"/>
    <x v="1"/>
    <s v="2210"/>
    <s v="000"/>
    <x v="0"/>
    <x v="2"/>
  </r>
  <r>
    <d v="2013-10-13T00:00:00"/>
    <s v="017-2220-000"/>
    <s v="Beer Sales"/>
    <n v="128.66139999999999"/>
    <n v="0"/>
    <s v="Daily Sales Import"/>
    <n v="-128.66139999999999"/>
    <n v="128.66139999999999"/>
    <x v="1"/>
    <s v="2220"/>
    <s v="000"/>
    <x v="0"/>
    <x v="2"/>
  </r>
  <r>
    <d v="2013-10-13T00:00:00"/>
    <s v="017-2230-000"/>
    <s v="Wine Sales"/>
    <n v="42.0732"/>
    <n v="0"/>
    <s v="Daily Sales Import"/>
    <n v="-42.0732"/>
    <n v="42.0732"/>
    <x v="1"/>
    <s v="2230"/>
    <s v="000"/>
    <x v="0"/>
    <x v="2"/>
  </r>
  <r>
    <d v="2013-10-07T00:00:00"/>
    <s v="018-2100-000"/>
    <s v="Food Sales"/>
    <n v="2730.1522"/>
    <n v="0"/>
    <s v="Daily Sales Import"/>
    <n v="-2730.1522"/>
    <n v="2730.1522"/>
    <x v="2"/>
    <s v="2100"/>
    <s v="000"/>
    <x v="0"/>
    <x v="2"/>
  </r>
  <r>
    <d v="2013-10-07T00:00:00"/>
    <s v="018-2210-000"/>
    <s v="Liquor Sales"/>
    <n v="446.43300000000005"/>
    <n v="0"/>
    <s v="Daily Sales Import"/>
    <n v="-446.43300000000005"/>
    <n v="446.43300000000005"/>
    <x v="2"/>
    <s v="2210"/>
    <s v="000"/>
    <x v="0"/>
    <x v="2"/>
  </r>
  <r>
    <d v="2013-10-07T00:00:00"/>
    <s v="018-2220-000"/>
    <s v="Beer Sales"/>
    <n v="127.4448"/>
    <n v="0"/>
    <s v="Daily Sales Import"/>
    <n v="-127.4448"/>
    <n v="127.4448"/>
    <x v="2"/>
    <s v="2220"/>
    <s v="000"/>
    <x v="0"/>
    <x v="2"/>
  </r>
  <r>
    <d v="2013-10-07T00:00:00"/>
    <s v="018-2230-000"/>
    <s v="Wine Sales"/>
    <n v="40.269600000000004"/>
    <n v="0"/>
    <s v="Daily Sales Import"/>
    <n v="-40.269600000000004"/>
    <n v="40.269600000000004"/>
    <x v="2"/>
    <s v="2230"/>
    <s v="000"/>
    <x v="0"/>
    <x v="2"/>
  </r>
  <r>
    <d v="2013-10-08T00:00:00"/>
    <s v="018-2100-000"/>
    <s v="Food Sales"/>
    <n v="4118.1457"/>
    <n v="0"/>
    <s v="Daily Sales Import"/>
    <n v="-4118.1457"/>
    <n v="4118.1457"/>
    <x v="2"/>
    <s v="2100"/>
    <s v="000"/>
    <x v="0"/>
    <x v="2"/>
  </r>
  <r>
    <d v="2013-10-08T00:00:00"/>
    <s v="018-2210-000"/>
    <s v="Liquor Sales"/>
    <n v="575.96619999999996"/>
    <n v="0"/>
    <s v="Daily Sales Import"/>
    <n v="-575.96619999999996"/>
    <n v="575.96619999999996"/>
    <x v="2"/>
    <s v="2210"/>
    <s v="000"/>
    <x v="0"/>
    <x v="2"/>
  </r>
  <r>
    <d v="2013-10-08T00:00:00"/>
    <s v="018-2220-000"/>
    <s v="Beer Sales"/>
    <n v="152.232"/>
    <n v="0"/>
    <s v="Daily Sales Import"/>
    <n v="-152.232"/>
    <n v="152.232"/>
    <x v="2"/>
    <s v="2220"/>
    <s v="000"/>
    <x v="0"/>
    <x v="2"/>
  </r>
  <r>
    <d v="2013-10-08T00:00:00"/>
    <s v="018-2230-000"/>
    <s v="Wine Sales"/>
    <n v="23.423200000000001"/>
    <n v="0"/>
    <s v="Daily Sales Import"/>
    <n v="-23.423200000000001"/>
    <n v="23.423200000000001"/>
    <x v="2"/>
    <s v="2230"/>
    <s v="000"/>
    <x v="0"/>
    <x v="2"/>
  </r>
  <r>
    <d v="2013-10-09T00:00:00"/>
    <s v="018-2100-000"/>
    <s v="Food Sales"/>
    <n v="4405.3668000000007"/>
    <n v="0"/>
    <s v="Daily Sales Import"/>
    <n v="-4405.3668000000007"/>
    <n v="4405.3668000000007"/>
    <x v="2"/>
    <s v="2100"/>
    <s v="000"/>
    <x v="0"/>
    <x v="2"/>
  </r>
  <r>
    <d v="2013-10-09T00:00:00"/>
    <s v="018-2210-000"/>
    <s v="Liquor Sales"/>
    <n v="846.37799999999993"/>
    <n v="0"/>
    <s v="Daily Sales Import"/>
    <n v="-846.37799999999993"/>
    <n v="846.37799999999993"/>
    <x v="2"/>
    <s v="2210"/>
    <s v="000"/>
    <x v="0"/>
    <x v="2"/>
  </r>
  <r>
    <d v="2013-10-09T00:00:00"/>
    <s v="018-2220-000"/>
    <s v="Beer Sales"/>
    <n v="185.13220000000001"/>
    <n v="0"/>
    <s v="Daily Sales Import"/>
    <n v="-185.13220000000001"/>
    <n v="185.13220000000001"/>
    <x v="2"/>
    <s v="2220"/>
    <s v="000"/>
    <x v="0"/>
    <x v="2"/>
  </r>
  <r>
    <d v="2013-10-09T00:00:00"/>
    <s v="018-2230-000"/>
    <s v="Wine Sales"/>
    <n v="36.810899999999997"/>
    <n v="0"/>
    <s v="Daily Sales Import"/>
    <n v="-36.810899999999997"/>
    <n v="36.810899999999997"/>
    <x v="2"/>
    <s v="2230"/>
    <s v="000"/>
    <x v="0"/>
    <x v="2"/>
  </r>
  <r>
    <d v="2013-10-10T00:00:00"/>
    <s v="018-2100-000"/>
    <s v="Food Sales"/>
    <n v="2701.3139999999999"/>
    <n v="0"/>
    <s v="Daily Sales Import"/>
    <n v="-2701.3139999999999"/>
    <n v="2701.3139999999999"/>
    <x v="2"/>
    <s v="2100"/>
    <s v="000"/>
    <x v="0"/>
    <x v="2"/>
  </r>
  <r>
    <d v="2013-10-10T00:00:00"/>
    <s v="018-2210-000"/>
    <s v="Liquor Sales"/>
    <n v="1037.6279999999999"/>
    <n v="0"/>
    <s v="Daily Sales Import"/>
    <n v="-1037.6279999999999"/>
    <n v="1037.6279999999999"/>
    <x v="2"/>
    <s v="2210"/>
    <s v="000"/>
    <x v="0"/>
    <x v="2"/>
  </r>
  <r>
    <d v="2013-10-10T00:00:00"/>
    <s v="018-2220-000"/>
    <s v="Beer Sales"/>
    <n v="279.2713"/>
    <n v="0"/>
    <s v="Daily Sales Import"/>
    <n v="-279.2713"/>
    <n v="279.2713"/>
    <x v="2"/>
    <s v="2220"/>
    <s v="000"/>
    <x v="0"/>
    <x v="2"/>
  </r>
  <r>
    <d v="2013-10-10T00:00:00"/>
    <s v="018-2230-000"/>
    <s v="Wine Sales"/>
    <n v="7.8637999999999995"/>
    <n v="0"/>
    <s v="Daily Sales Import"/>
    <n v="-7.8637999999999995"/>
    <n v="7.8637999999999995"/>
    <x v="2"/>
    <s v="2230"/>
    <s v="000"/>
    <x v="0"/>
    <x v="2"/>
  </r>
  <r>
    <d v="2013-10-11T00:00:00"/>
    <s v="018-2100-000"/>
    <s v="Food Sales"/>
    <n v="5656.050400000001"/>
    <n v="0"/>
    <s v="Daily Sales Import"/>
    <n v="-5656.050400000001"/>
    <n v="5656.050400000001"/>
    <x v="2"/>
    <s v="2100"/>
    <s v="000"/>
    <x v="0"/>
    <x v="2"/>
  </r>
  <r>
    <d v="2013-10-11T00:00:00"/>
    <s v="018-2210-000"/>
    <s v="Liquor Sales"/>
    <n v="2047.2119999999998"/>
    <n v="0"/>
    <s v="Daily Sales Import"/>
    <n v="-2047.2119999999998"/>
    <n v="2047.2119999999998"/>
    <x v="2"/>
    <s v="2210"/>
    <s v="000"/>
    <x v="0"/>
    <x v="2"/>
  </r>
  <r>
    <d v="2013-10-11T00:00:00"/>
    <s v="018-2220-000"/>
    <s v="Beer Sales"/>
    <n v="562.88400000000001"/>
    <n v="0"/>
    <s v="Daily Sales Import"/>
    <n v="-562.88400000000001"/>
    <n v="562.88400000000001"/>
    <x v="2"/>
    <s v="2220"/>
    <s v="000"/>
    <x v="0"/>
    <x v="2"/>
  </r>
  <r>
    <d v="2013-10-11T00:00:00"/>
    <s v="018-2230-000"/>
    <s v="Wine Sales"/>
    <n v="56.697299999999998"/>
    <n v="0"/>
    <s v="Daily Sales Import"/>
    <n v="-56.697299999999998"/>
    <n v="56.697299999999998"/>
    <x v="2"/>
    <s v="2230"/>
    <s v="000"/>
    <x v="0"/>
    <x v="2"/>
  </r>
  <r>
    <d v="2013-10-12T00:00:00"/>
    <s v="018-2100-000"/>
    <s v="Food Sales"/>
    <n v="11283.1482"/>
    <n v="0"/>
    <s v="Daily Sales Import"/>
    <n v="-11283.1482"/>
    <n v="11283.1482"/>
    <x v="2"/>
    <s v="2100"/>
    <s v="000"/>
    <x v="0"/>
    <x v="2"/>
  </r>
  <r>
    <d v="2013-10-12T00:00:00"/>
    <s v="018-2210-000"/>
    <s v="Liquor Sales"/>
    <n v="3057.0400000000004"/>
    <n v="0"/>
    <s v="Daily Sales Import"/>
    <n v="-3057.0400000000004"/>
    <n v="3057.0400000000004"/>
    <x v="2"/>
    <s v="2210"/>
    <s v="000"/>
    <x v="0"/>
    <x v="2"/>
  </r>
  <r>
    <d v="2013-10-12T00:00:00"/>
    <s v="018-2220-000"/>
    <s v="Beer Sales"/>
    <n v="898.04449999999986"/>
    <n v="0"/>
    <s v="Daily Sales Import"/>
    <n v="-898.04449999999986"/>
    <n v="898.04449999999986"/>
    <x v="2"/>
    <s v="2220"/>
    <s v="000"/>
    <x v="0"/>
    <x v="2"/>
  </r>
  <r>
    <d v="2013-10-12T00:00:00"/>
    <s v="018-2230-000"/>
    <s v="Wine Sales"/>
    <n v="94.00800000000001"/>
    <n v="0"/>
    <s v="Daily Sales Import"/>
    <n v="-94.00800000000001"/>
    <n v="94.00800000000001"/>
    <x v="2"/>
    <s v="2230"/>
    <s v="000"/>
    <x v="0"/>
    <x v="2"/>
  </r>
  <r>
    <d v="2013-10-13T00:00:00"/>
    <s v="018-2100-000"/>
    <s v="Food Sales"/>
    <n v="11511.6932"/>
    <n v="0"/>
    <s v="Daily Sales Import"/>
    <n v="-11511.6932"/>
    <n v="11511.6932"/>
    <x v="2"/>
    <s v="2100"/>
    <s v="000"/>
    <x v="0"/>
    <x v="2"/>
  </r>
  <r>
    <d v="2013-10-13T00:00:00"/>
    <s v="018-2210-000"/>
    <s v="Liquor Sales"/>
    <n v="865.97250000000008"/>
    <n v="0"/>
    <s v="Daily Sales Import"/>
    <n v="-865.97250000000008"/>
    <n v="865.97250000000008"/>
    <x v="2"/>
    <s v="2210"/>
    <s v="000"/>
    <x v="0"/>
    <x v="2"/>
  </r>
  <r>
    <d v="2013-10-13T00:00:00"/>
    <s v="018-2220-000"/>
    <s v="Beer Sales"/>
    <n v="391.79699999999997"/>
    <n v="0"/>
    <s v="Daily Sales Import"/>
    <n v="-391.79699999999997"/>
    <n v="391.79699999999997"/>
    <x v="2"/>
    <s v="2220"/>
    <s v="000"/>
    <x v="0"/>
    <x v="2"/>
  </r>
  <r>
    <d v="2013-10-13T00:00:00"/>
    <s v="018-2230-000"/>
    <s v="Wine Sales"/>
    <n v="40.435200000000002"/>
    <n v="0"/>
    <s v="Daily Sales Import"/>
    <n v="-40.435200000000002"/>
    <n v="40.435200000000002"/>
    <x v="2"/>
    <s v="2230"/>
    <s v="000"/>
    <x v="0"/>
    <x v="2"/>
  </r>
  <r>
    <d v="2013-10-07T00:00:00"/>
    <s v="019-2100-000"/>
    <s v="Food Sales"/>
    <n v="2544.366"/>
    <n v="0"/>
    <s v="Daily Sales Import"/>
    <n v="-2544.366"/>
    <n v="2544.366"/>
    <x v="3"/>
    <s v="2100"/>
    <s v="000"/>
    <x v="0"/>
    <x v="2"/>
  </r>
  <r>
    <d v="2013-10-07T00:00:00"/>
    <s v="019-2210-000"/>
    <s v="Liquor Sales"/>
    <n v="685.64890000000003"/>
    <n v="0"/>
    <s v="Daily Sales Import"/>
    <n v="-685.64890000000003"/>
    <n v="685.64890000000003"/>
    <x v="3"/>
    <s v="2210"/>
    <s v="000"/>
    <x v="0"/>
    <x v="2"/>
  </r>
  <r>
    <d v="2013-10-07T00:00:00"/>
    <s v="019-2220-000"/>
    <s v="Beer Sales"/>
    <n v="155.69449999999998"/>
    <n v="0"/>
    <s v="Daily Sales Import"/>
    <n v="-155.69449999999998"/>
    <n v="155.69449999999998"/>
    <x v="3"/>
    <s v="2220"/>
    <s v="000"/>
    <x v="0"/>
    <x v="2"/>
  </r>
  <r>
    <d v="2013-10-07T00:00:00"/>
    <s v="019-2230-000"/>
    <s v="Wine Sales"/>
    <n v="46.948"/>
    <n v="0"/>
    <s v="Daily Sales Import"/>
    <n v="-46.948"/>
    <n v="46.948"/>
    <x v="3"/>
    <s v="2230"/>
    <s v="000"/>
    <x v="0"/>
    <x v="2"/>
  </r>
  <r>
    <d v="2013-10-08T00:00:00"/>
    <s v="019-2100-000"/>
    <s v="Food Sales"/>
    <n v="3594.8920000000003"/>
    <n v="0"/>
    <s v="Daily Sales Import"/>
    <n v="-3594.8920000000003"/>
    <n v="3594.8920000000003"/>
    <x v="3"/>
    <s v="2100"/>
    <s v="000"/>
    <x v="0"/>
    <x v="2"/>
  </r>
  <r>
    <d v="2013-10-08T00:00:00"/>
    <s v="019-2210-000"/>
    <s v="Liquor Sales"/>
    <n v="1120.3055999999999"/>
    <n v="0"/>
    <s v="Daily Sales Import"/>
    <n v="-1120.3055999999999"/>
    <n v="1120.3055999999999"/>
    <x v="3"/>
    <s v="2210"/>
    <s v="000"/>
    <x v="0"/>
    <x v="2"/>
  </r>
  <r>
    <d v="2013-10-08T00:00:00"/>
    <s v="019-2220-000"/>
    <s v="Beer Sales"/>
    <n v="215.75699999999998"/>
    <n v="0"/>
    <s v="Daily Sales Import"/>
    <n v="-215.75699999999998"/>
    <n v="215.75699999999998"/>
    <x v="3"/>
    <s v="2220"/>
    <s v="000"/>
    <x v="0"/>
    <x v="2"/>
  </r>
  <r>
    <d v="2013-10-08T00:00:00"/>
    <s v="019-2230-000"/>
    <s v="Wine Sales"/>
    <n v="100.6707"/>
    <n v="0"/>
    <s v="Daily Sales Import"/>
    <n v="-100.6707"/>
    <n v="100.6707"/>
    <x v="3"/>
    <s v="2230"/>
    <s v="000"/>
    <x v="0"/>
    <x v="2"/>
  </r>
  <r>
    <d v="2013-10-09T00:00:00"/>
    <s v="019-2100-000"/>
    <s v="Food Sales"/>
    <n v="6191.1"/>
    <n v="0"/>
    <s v="Daily Sales Import"/>
    <n v="-6191.1"/>
    <n v="6191.1"/>
    <x v="3"/>
    <s v="2100"/>
    <s v="000"/>
    <x v="0"/>
    <x v="2"/>
  </r>
  <r>
    <d v="2013-10-09T00:00:00"/>
    <s v="019-2210-000"/>
    <s v="Liquor Sales"/>
    <n v="1202.5416"/>
    <n v="0"/>
    <s v="Daily Sales Import"/>
    <n v="-1202.5416"/>
    <n v="1202.5416"/>
    <x v="3"/>
    <s v="2210"/>
    <s v="000"/>
    <x v="0"/>
    <x v="2"/>
  </r>
  <r>
    <d v="2013-10-09T00:00:00"/>
    <s v="019-2220-000"/>
    <s v="Beer Sales"/>
    <n v="399.9033"/>
    <n v="0"/>
    <s v="Daily Sales Import"/>
    <n v="-399.9033"/>
    <n v="399.9033"/>
    <x v="3"/>
    <s v="2220"/>
    <s v="000"/>
    <x v="0"/>
    <x v="2"/>
  </r>
  <r>
    <d v="2013-10-09T00:00:00"/>
    <s v="019-2230-000"/>
    <s v="Wine Sales"/>
    <n v="32.742000000000004"/>
    <n v="0"/>
    <s v="Daily Sales Import"/>
    <n v="-32.742000000000004"/>
    <n v="32.742000000000004"/>
    <x v="3"/>
    <s v="2230"/>
    <s v="000"/>
    <x v="0"/>
    <x v="2"/>
  </r>
  <r>
    <d v="2013-10-10T00:00:00"/>
    <s v="019-2100-000"/>
    <s v="Food Sales"/>
    <n v="5709.4621999999999"/>
    <n v="0"/>
    <s v="Daily Sales Import"/>
    <n v="-5709.4621999999999"/>
    <n v="5709.4621999999999"/>
    <x v="3"/>
    <s v="2100"/>
    <s v="000"/>
    <x v="0"/>
    <x v="2"/>
  </r>
  <r>
    <d v="2013-10-10T00:00:00"/>
    <s v="019-2210-000"/>
    <s v="Liquor Sales"/>
    <n v="1165.6931999999999"/>
    <n v="0"/>
    <s v="Daily Sales Import"/>
    <n v="-1165.6931999999999"/>
    <n v="1165.6931999999999"/>
    <x v="3"/>
    <s v="2210"/>
    <s v="000"/>
    <x v="0"/>
    <x v="2"/>
  </r>
  <r>
    <d v="2013-10-10T00:00:00"/>
    <s v="019-2220-000"/>
    <s v="Beer Sales"/>
    <n v="456.18540000000007"/>
    <n v="0"/>
    <s v="Daily Sales Import"/>
    <n v="-456.18540000000007"/>
    <n v="456.18540000000007"/>
    <x v="3"/>
    <s v="2220"/>
    <s v="000"/>
    <x v="0"/>
    <x v="2"/>
  </r>
  <r>
    <d v="2013-10-10T00:00:00"/>
    <s v="019-2230-000"/>
    <s v="Wine Sales"/>
    <n v="25.812800000000003"/>
    <n v="0"/>
    <s v="Daily Sales Import"/>
    <n v="-25.812800000000003"/>
    <n v="25.812800000000003"/>
    <x v="3"/>
    <s v="2230"/>
    <s v="000"/>
    <x v="0"/>
    <x v="2"/>
  </r>
  <r>
    <d v="2013-10-11T00:00:00"/>
    <s v="019-2100-000"/>
    <s v="Food Sales"/>
    <n v="5084.5092000000004"/>
    <n v="0"/>
    <s v="Daily Sales Import"/>
    <n v="-5084.5092000000004"/>
    <n v="5084.5092000000004"/>
    <x v="3"/>
    <s v="2100"/>
    <s v="000"/>
    <x v="0"/>
    <x v="2"/>
  </r>
  <r>
    <d v="2013-10-11T00:00:00"/>
    <s v="019-2210-000"/>
    <s v="Liquor Sales"/>
    <n v="1293.9506999999999"/>
    <n v="0"/>
    <s v="Daily Sales Import"/>
    <n v="-1293.9506999999999"/>
    <n v="1293.9506999999999"/>
    <x v="3"/>
    <s v="2210"/>
    <s v="000"/>
    <x v="0"/>
    <x v="2"/>
  </r>
  <r>
    <d v="2013-10-11T00:00:00"/>
    <s v="019-2220-000"/>
    <s v="Beer Sales"/>
    <n v="253.08509999999998"/>
    <n v="0"/>
    <s v="Daily Sales Import"/>
    <n v="-253.08509999999998"/>
    <n v="253.08509999999998"/>
    <x v="3"/>
    <s v="2220"/>
    <s v="000"/>
    <x v="0"/>
    <x v="2"/>
  </r>
  <r>
    <d v="2013-10-11T00:00:00"/>
    <s v="019-2230-000"/>
    <s v="Wine Sales"/>
    <n v="26.054400000000001"/>
    <n v="0"/>
    <s v="Daily Sales Import"/>
    <n v="-26.054400000000001"/>
    <n v="26.054400000000001"/>
    <x v="3"/>
    <s v="2230"/>
    <s v="000"/>
    <x v="0"/>
    <x v="2"/>
  </r>
  <r>
    <d v="2013-10-12T00:00:00"/>
    <s v="019-2100-000"/>
    <s v="Food Sales"/>
    <n v="4983.7773999999999"/>
    <n v="0"/>
    <s v="Daily Sales Import"/>
    <n v="-4983.7773999999999"/>
    <n v="4983.7773999999999"/>
    <x v="3"/>
    <s v="2100"/>
    <s v="000"/>
    <x v="0"/>
    <x v="2"/>
  </r>
  <r>
    <d v="2013-10-12T00:00:00"/>
    <s v="019-2210-000"/>
    <s v="Liquor Sales"/>
    <n v="1886.2613000000001"/>
    <n v="0"/>
    <s v="Daily Sales Import"/>
    <n v="-1886.2613000000001"/>
    <n v="1886.2613000000001"/>
    <x v="3"/>
    <s v="2210"/>
    <s v="000"/>
    <x v="0"/>
    <x v="2"/>
  </r>
  <r>
    <d v="2013-10-12T00:00:00"/>
    <s v="019-2220-000"/>
    <s v="Beer Sales"/>
    <n v="394.00560000000002"/>
    <n v="0"/>
    <s v="Daily Sales Import"/>
    <n v="-394.00560000000002"/>
    <n v="394.00560000000002"/>
    <x v="3"/>
    <s v="2220"/>
    <s v="000"/>
    <x v="0"/>
    <x v="2"/>
  </r>
  <r>
    <d v="2013-10-12T00:00:00"/>
    <s v="019-2230-000"/>
    <s v="Wine Sales"/>
    <n v="39.8523"/>
    <n v="0"/>
    <s v="Daily Sales Import"/>
    <n v="-39.8523"/>
    <n v="39.8523"/>
    <x v="3"/>
    <s v="2230"/>
    <s v="000"/>
    <x v="0"/>
    <x v="2"/>
  </r>
  <r>
    <d v="2013-10-13T00:00:00"/>
    <s v="019-2100-000"/>
    <s v="Food Sales"/>
    <n v="2825.6872000000003"/>
    <n v="0"/>
    <s v="Daily Sales Import"/>
    <n v="-2825.6872000000003"/>
    <n v="2825.6872000000003"/>
    <x v="3"/>
    <s v="2100"/>
    <s v="000"/>
    <x v="0"/>
    <x v="2"/>
  </r>
  <r>
    <d v="2013-10-13T00:00:00"/>
    <s v="019-2210-000"/>
    <s v="Liquor Sales"/>
    <n v="1372.3435999999999"/>
    <n v="0"/>
    <s v="Daily Sales Import"/>
    <n v="-1372.3435999999999"/>
    <n v="1372.3435999999999"/>
    <x v="3"/>
    <s v="2210"/>
    <s v="000"/>
    <x v="0"/>
    <x v="2"/>
  </r>
  <r>
    <d v="2013-10-13T00:00:00"/>
    <s v="019-2220-000"/>
    <s v="Beer Sales"/>
    <n v="343.15320000000003"/>
    <n v="0"/>
    <s v="Daily Sales Import"/>
    <n v="-343.15320000000003"/>
    <n v="343.15320000000003"/>
    <x v="3"/>
    <s v="2220"/>
    <s v="000"/>
    <x v="0"/>
    <x v="2"/>
  </r>
  <r>
    <d v="2013-10-13T00:00:00"/>
    <s v="019-2230-000"/>
    <s v="Wine Sales"/>
    <n v="108.04179999999999"/>
    <n v="0"/>
    <s v="Daily Sales Import"/>
    <n v="-108.04179999999999"/>
    <n v="108.04179999999999"/>
    <x v="3"/>
    <s v="2230"/>
    <s v="000"/>
    <x v="0"/>
    <x v="2"/>
  </r>
  <r>
    <d v="2013-10-07T00:00:00"/>
    <s v="020-2100-000"/>
    <s v="Food Sales"/>
    <n v="11860.965900000001"/>
    <n v="0"/>
    <s v="Daily Sales Import"/>
    <n v="-11860.965900000001"/>
    <n v="11860.965900000001"/>
    <x v="4"/>
    <s v="2100"/>
    <s v="000"/>
    <x v="0"/>
    <x v="2"/>
  </r>
  <r>
    <d v="2013-10-07T00:00:00"/>
    <s v="020-2210-000"/>
    <s v="Liquor Sales"/>
    <n v="5210.1004999999996"/>
    <n v="0"/>
    <s v="Daily Sales Import"/>
    <n v="-5210.1004999999996"/>
    <n v="5210.1004999999996"/>
    <x v="4"/>
    <s v="2210"/>
    <s v="000"/>
    <x v="0"/>
    <x v="2"/>
  </r>
  <r>
    <d v="2013-10-07T00:00:00"/>
    <s v="020-2220-000"/>
    <s v="Beer Sales"/>
    <n v="822.83410000000003"/>
    <n v="0"/>
    <s v="Daily Sales Import"/>
    <n v="-822.83410000000003"/>
    <n v="822.83410000000003"/>
    <x v="4"/>
    <s v="2220"/>
    <s v="000"/>
    <x v="0"/>
    <x v="2"/>
  </r>
  <r>
    <d v="2013-10-07T00:00:00"/>
    <s v="020-2230-000"/>
    <s v="Wine Sales"/>
    <n v="14.701600000000001"/>
    <n v="0"/>
    <s v="Daily Sales Import"/>
    <n v="-14.701600000000001"/>
    <n v="14.701600000000001"/>
    <x v="4"/>
    <s v="2230"/>
    <s v="000"/>
    <x v="0"/>
    <x v="2"/>
  </r>
  <r>
    <d v="2013-10-08T00:00:00"/>
    <s v="020-2100-000"/>
    <s v="Food Sales"/>
    <n v="16497.9192"/>
    <n v="0"/>
    <s v="Daily Sales Import"/>
    <n v="-16497.9192"/>
    <n v="16497.9192"/>
    <x v="4"/>
    <s v="2100"/>
    <s v="000"/>
    <x v="0"/>
    <x v="2"/>
  </r>
  <r>
    <d v="2013-10-08T00:00:00"/>
    <s v="020-2210-000"/>
    <s v="Liquor Sales"/>
    <n v="5904.6815999999999"/>
    <n v="0"/>
    <s v="Daily Sales Import"/>
    <n v="-5904.6815999999999"/>
    <n v="5904.6815999999999"/>
    <x v="4"/>
    <s v="2210"/>
    <s v="000"/>
    <x v="0"/>
    <x v="2"/>
  </r>
  <r>
    <d v="2013-10-08T00:00:00"/>
    <s v="020-2220-000"/>
    <s v="Beer Sales"/>
    <n v="597.95190000000002"/>
    <n v="0"/>
    <s v="Daily Sales Import"/>
    <n v="-597.95190000000002"/>
    <n v="597.95190000000002"/>
    <x v="4"/>
    <s v="2220"/>
    <s v="000"/>
    <x v="0"/>
    <x v="2"/>
  </r>
  <r>
    <d v="2013-10-08T00:00:00"/>
    <s v="020-2230-000"/>
    <s v="Wine Sales"/>
    <n v="150.08659999999998"/>
    <n v="0"/>
    <s v="Daily Sales Import"/>
    <n v="-150.08659999999998"/>
    <n v="150.08659999999998"/>
    <x v="4"/>
    <s v="2230"/>
    <s v="000"/>
    <x v="0"/>
    <x v="2"/>
  </r>
  <r>
    <d v="2013-10-09T00:00:00"/>
    <s v="020-2100-000"/>
    <s v="Food Sales"/>
    <n v="13715.560799999999"/>
    <n v="0"/>
    <s v="Daily Sales Import"/>
    <n v="-13715.560799999999"/>
    <n v="13715.560799999999"/>
    <x v="4"/>
    <s v="2100"/>
    <s v="000"/>
    <x v="0"/>
    <x v="2"/>
  </r>
  <r>
    <d v="2013-10-09T00:00:00"/>
    <s v="020-2210-000"/>
    <s v="Liquor Sales"/>
    <n v="3556.2456000000002"/>
    <n v="0"/>
    <s v="Daily Sales Import"/>
    <n v="-3556.2456000000002"/>
    <n v="3556.2456000000002"/>
    <x v="4"/>
    <s v="2210"/>
    <s v="000"/>
    <x v="0"/>
    <x v="2"/>
  </r>
  <r>
    <d v="2013-10-09T00:00:00"/>
    <s v="020-2220-000"/>
    <s v="Beer Sales"/>
    <n v="789.30400000000009"/>
    <n v="0"/>
    <s v="Daily Sales Import"/>
    <n v="-789.30400000000009"/>
    <n v="789.30400000000009"/>
    <x v="4"/>
    <s v="2220"/>
    <s v="000"/>
    <x v="0"/>
    <x v="2"/>
  </r>
  <r>
    <d v="2013-10-09T00:00:00"/>
    <s v="020-2230-000"/>
    <s v="Wine Sales"/>
    <n v="243.40610000000001"/>
    <n v="0"/>
    <s v="Daily Sales Import"/>
    <n v="-243.40610000000001"/>
    <n v="243.40610000000001"/>
    <x v="4"/>
    <s v="2230"/>
    <s v="000"/>
    <x v="0"/>
    <x v="2"/>
  </r>
  <r>
    <d v="2013-10-10T00:00:00"/>
    <s v="020-2100-000"/>
    <s v="Food Sales"/>
    <n v="17112.032599999999"/>
    <n v="0"/>
    <s v="Daily Sales Import"/>
    <n v="-17112.032599999999"/>
    <n v="17112.032599999999"/>
    <x v="4"/>
    <s v="2100"/>
    <s v="000"/>
    <x v="0"/>
    <x v="2"/>
  </r>
  <r>
    <d v="2013-10-10T00:00:00"/>
    <s v="020-2210-000"/>
    <s v="Liquor Sales"/>
    <n v="4001.3724000000002"/>
    <n v="0"/>
    <s v="Daily Sales Import"/>
    <n v="-4001.3724000000002"/>
    <n v="4001.3724000000002"/>
    <x v="4"/>
    <s v="2210"/>
    <s v="000"/>
    <x v="0"/>
    <x v="2"/>
  </r>
  <r>
    <d v="2013-10-10T00:00:00"/>
    <s v="020-2220-000"/>
    <s v="Beer Sales"/>
    <n v="904.91519999999991"/>
    <n v="0"/>
    <s v="Daily Sales Import"/>
    <n v="-904.91519999999991"/>
    <n v="904.91519999999991"/>
    <x v="4"/>
    <s v="2220"/>
    <s v="000"/>
    <x v="0"/>
    <x v="2"/>
  </r>
  <r>
    <d v="2013-10-10T00:00:00"/>
    <s v="020-2230-000"/>
    <s v="Wine Sales"/>
    <n v="150.63290000000001"/>
    <n v="0"/>
    <s v="Daily Sales Import"/>
    <n v="-150.63290000000001"/>
    <n v="150.63290000000001"/>
    <x v="4"/>
    <s v="2230"/>
    <s v="000"/>
    <x v="0"/>
    <x v="2"/>
  </r>
  <r>
    <d v="2013-10-11T00:00:00"/>
    <s v="020-2100-000"/>
    <s v="Food Sales"/>
    <n v="21792.377700000001"/>
    <n v="0"/>
    <s v="Daily Sales Import"/>
    <n v="-21792.377700000001"/>
    <n v="21792.377700000001"/>
    <x v="4"/>
    <s v="2100"/>
    <s v="000"/>
    <x v="0"/>
    <x v="2"/>
  </r>
  <r>
    <d v="2013-10-11T00:00:00"/>
    <s v="020-2210-000"/>
    <s v="Liquor Sales"/>
    <n v="6031.6266000000005"/>
    <n v="0"/>
    <s v="Daily Sales Import"/>
    <n v="-6031.6266000000005"/>
    <n v="6031.6266000000005"/>
    <x v="4"/>
    <s v="2210"/>
    <s v="000"/>
    <x v="0"/>
    <x v="2"/>
  </r>
  <r>
    <d v="2013-10-11T00:00:00"/>
    <s v="020-2220-000"/>
    <s v="Beer Sales"/>
    <n v="1461.1972000000001"/>
    <n v="0"/>
    <s v="Daily Sales Import"/>
    <n v="-1461.1972000000001"/>
    <n v="1461.1972000000001"/>
    <x v="4"/>
    <s v="2220"/>
    <s v="000"/>
    <x v="0"/>
    <x v="2"/>
  </r>
  <r>
    <d v="2013-10-11T00:00:00"/>
    <s v="020-2230-000"/>
    <s v="Wine Sales"/>
    <n v="171.57759999999999"/>
    <n v="0"/>
    <s v="Daily Sales Import"/>
    <n v="-171.57759999999999"/>
    <n v="171.57759999999999"/>
    <x v="4"/>
    <s v="2230"/>
    <s v="000"/>
    <x v="0"/>
    <x v="2"/>
  </r>
  <r>
    <d v="2013-10-12T00:00:00"/>
    <s v="020-2100-000"/>
    <s v="Food Sales"/>
    <n v="25928.766500000002"/>
    <n v="0"/>
    <s v="Daily Sales Import"/>
    <n v="-25928.766500000002"/>
    <n v="25928.766500000002"/>
    <x v="4"/>
    <s v="2100"/>
    <s v="000"/>
    <x v="0"/>
    <x v="2"/>
  </r>
  <r>
    <d v="2013-10-12T00:00:00"/>
    <s v="020-2210-000"/>
    <s v="Liquor Sales"/>
    <n v="9331.7047999999995"/>
    <n v="0"/>
    <s v="Daily Sales Import"/>
    <n v="-9331.7047999999995"/>
    <n v="9331.7047999999995"/>
    <x v="4"/>
    <s v="2210"/>
    <s v="000"/>
    <x v="0"/>
    <x v="2"/>
  </r>
  <r>
    <d v="2013-10-12T00:00:00"/>
    <s v="020-2220-000"/>
    <s v="Beer Sales"/>
    <n v="1523.2203"/>
    <n v="0"/>
    <s v="Daily Sales Import"/>
    <n v="-1523.2203"/>
    <n v="1523.2203"/>
    <x v="4"/>
    <s v="2220"/>
    <s v="000"/>
    <x v="0"/>
    <x v="2"/>
  </r>
  <r>
    <d v="2013-10-12T00:00:00"/>
    <s v="020-2230-000"/>
    <s v="Wine Sales"/>
    <n v="131.85890000000001"/>
    <n v="0"/>
    <s v="Daily Sales Import"/>
    <n v="-131.85890000000001"/>
    <n v="131.85890000000001"/>
    <x v="4"/>
    <s v="2230"/>
    <s v="000"/>
    <x v="0"/>
    <x v="2"/>
  </r>
  <r>
    <d v="2013-10-13T00:00:00"/>
    <s v="020-2100-000"/>
    <s v="Food Sales"/>
    <n v="18353.492099999999"/>
    <n v="0"/>
    <s v="Daily Sales Import"/>
    <n v="-18353.492099999999"/>
    <n v="18353.492099999999"/>
    <x v="4"/>
    <s v="2100"/>
    <s v="000"/>
    <x v="0"/>
    <x v="2"/>
  </r>
  <r>
    <d v="2013-10-13T00:00:00"/>
    <s v="020-2210-000"/>
    <s v="Liquor Sales"/>
    <n v="6910.0433999999996"/>
    <n v="0"/>
    <s v="Daily Sales Import"/>
    <n v="-6910.0433999999996"/>
    <n v="6910.0433999999996"/>
    <x v="4"/>
    <s v="2210"/>
    <s v="000"/>
    <x v="0"/>
    <x v="2"/>
  </r>
  <r>
    <d v="2013-10-13T00:00:00"/>
    <s v="020-2220-000"/>
    <s v="Beer Sales"/>
    <n v="1242.8494000000001"/>
    <n v="0"/>
    <s v="Daily Sales Import"/>
    <n v="-1242.8494000000001"/>
    <n v="1242.8494000000001"/>
    <x v="4"/>
    <s v="2220"/>
    <s v="000"/>
    <x v="0"/>
    <x v="2"/>
  </r>
  <r>
    <d v="2013-10-13T00:00:00"/>
    <s v="020-2230-000"/>
    <s v="Wine Sales"/>
    <n v="113.3952"/>
    <n v="0"/>
    <s v="Daily Sales Import"/>
    <n v="-113.3952"/>
    <n v="113.3952"/>
    <x v="4"/>
    <s v="2230"/>
    <s v="000"/>
    <x v="0"/>
    <x v="2"/>
  </r>
  <r>
    <d v="2013-10-14T00:00:00"/>
    <s v="016-2100-000"/>
    <s v="Food Sales"/>
    <n v="2875.1603999999998"/>
    <n v="0"/>
    <s v="Daily Sales Import"/>
    <n v="-2875.1603999999998"/>
    <n v="2875.1603999999998"/>
    <x v="0"/>
    <s v="2100"/>
    <s v="000"/>
    <x v="0"/>
    <x v="2"/>
  </r>
  <r>
    <d v="2013-10-14T00:00:00"/>
    <s v="016-2210-000"/>
    <s v="Liquor Sales"/>
    <n v="593.80849999999998"/>
    <n v="0"/>
    <s v="Daily Sales Import"/>
    <n v="-593.80849999999998"/>
    <n v="593.80849999999998"/>
    <x v="0"/>
    <s v="2210"/>
    <s v="000"/>
    <x v="0"/>
    <x v="2"/>
  </r>
  <r>
    <d v="2013-10-14T00:00:00"/>
    <s v="016-2220-000"/>
    <s v="Beer Sales"/>
    <n v="164.66580000000002"/>
    <n v="0"/>
    <s v="Daily Sales Import"/>
    <n v="-164.66580000000002"/>
    <n v="164.66580000000002"/>
    <x v="0"/>
    <s v="2220"/>
    <s v="000"/>
    <x v="0"/>
    <x v="2"/>
  </r>
  <r>
    <d v="2013-10-14T00:00:00"/>
    <s v="016-2230-000"/>
    <s v="Wine Sales"/>
    <n v="37.085199999999993"/>
    <n v="0"/>
    <s v="Daily Sales Import"/>
    <n v="-37.085199999999993"/>
    <n v="37.085199999999993"/>
    <x v="0"/>
    <s v="2230"/>
    <s v="000"/>
    <x v="0"/>
    <x v="2"/>
  </r>
  <r>
    <d v="2013-10-15T00:00:00"/>
    <s v="016-2100-000"/>
    <s v="Food Sales"/>
    <n v="6195.8080000000009"/>
    <n v="0"/>
    <s v="Daily Sales Import"/>
    <n v="-6195.8080000000009"/>
    <n v="6195.8080000000009"/>
    <x v="0"/>
    <s v="2100"/>
    <s v="000"/>
    <x v="0"/>
    <x v="2"/>
  </r>
  <r>
    <d v="2013-10-15T00:00:00"/>
    <s v="016-2210-000"/>
    <s v="Liquor Sales"/>
    <n v="2437.6104"/>
    <n v="0"/>
    <s v="Daily Sales Import"/>
    <n v="-2437.6104"/>
    <n v="2437.6104"/>
    <x v="0"/>
    <s v="2210"/>
    <s v="000"/>
    <x v="0"/>
    <x v="2"/>
  </r>
  <r>
    <d v="2013-10-15T00:00:00"/>
    <s v="016-2220-000"/>
    <s v="Beer Sales"/>
    <n v="938.87110000000007"/>
    <n v="0"/>
    <s v="Daily Sales Import"/>
    <n v="-938.87110000000007"/>
    <n v="938.87110000000007"/>
    <x v="0"/>
    <s v="2220"/>
    <s v="000"/>
    <x v="0"/>
    <x v="2"/>
  </r>
  <r>
    <d v="2013-10-15T00:00:00"/>
    <s v="016-2230-000"/>
    <s v="Wine Sales"/>
    <n v="128.70000000000002"/>
    <n v="0"/>
    <s v="Daily Sales Import"/>
    <n v="-128.70000000000002"/>
    <n v="128.70000000000002"/>
    <x v="0"/>
    <s v="2230"/>
    <s v="000"/>
    <x v="0"/>
    <x v="2"/>
  </r>
  <r>
    <d v="2013-10-16T00:00:00"/>
    <s v="016-2100-000"/>
    <s v="Food Sales"/>
    <n v="2730.5515999999998"/>
    <n v="0"/>
    <s v="Daily Sales Import"/>
    <n v="-2730.5515999999998"/>
    <n v="2730.5515999999998"/>
    <x v="0"/>
    <s v="2100"/>
    <s v="000"/>
    <x v="0"/>
    <x v="2"/>
  </r>
  <r>
    <d v="2013-10-16T00:00:00"/>
    <s v="016-2210-000"/>
    <s v="Liquor Sales"/>
    <n v="896.0616"/>
    <n v="0"/>
    <s v="Daily Sales Import"/>
    <n v="-896.0616"/>
    <n v="896.0616"/>
    <x v="0"/>
    <s v="2210"/>
    <s v="000"/>
    <x v="0"/>
    <x v="2"/>
  </r>
  <r>
    <d v="2013-10-16T00:00:00"/>
    <s v="016-2220-000"/>
    <s v="Beer Sales"/>
    <n v="116.396"/>
    <n v="0"/>
    <s v="Daily Sales Import"/>
    <n v="-116.396"/>
    <n v="116.396"/>
    <x v="0"/>
    <s v="2220"/>
    <s v="000"/>
    <x v="0"/>
    <x v="2"/>
  </r>
  <r>
    <d v="2013-10-16T00:00:00"/>
    <s v="016-2230-000"/>
    <s v="Wine Sales"/>
    <n v="83.931799999999996"/>
    <n v="0"/>
    <s v="Daily Sales Import"/>
    <n v="-83.931799999999996"/>
    <n v="83.931799999999996"/>
    <x v="0"/>
    <s v="2230"/>
    <s v="000"/>
    <x v="0"/>
    <x v="2"/>
  </r>
  <r>
    <d v="2013-10-17T00:00:00"/>
    <s v="016-2100-000"/>
    <s v="Food Sales"/>
    <n v="1924.8366999999998"/>
    <n v="0"/>
    <s v="Daily Sales Import"/>
    <n v="-1924.8366999999998"/>
    <n v="1924.8366999999998"/>
    <x v="0"/>
    <s v="2100"/>
    <s v="000"/>
    <x v="0"/>
    <x v="2"/>
  </r>
  <r>
    <d v="2013-10-17T00:00:00"/>
    <s v="016-2210-000"/>
    <s v="Liquor Sales"/>
    <n v="1018.0575999999999"/>
    <n v="0"/>
    <s v="Daily Sales Import"/>
    <n v="-1018.0575999999999"/>
    <n v="1018.0575999999999"/>
    <x v="0"/>
    <s v="2210"/>
    <s v="000"/>
    <x v="0"/>
    <x v="2"/>
  </r>
  <r>
    <d v="2013-10-17T00:00:00"/>
    <s v="016-2220-000"/>
    <s v="Beer Sales"/>
    <n v="116.74109999999999"/>
    <n v="0"/>
    <s v="Daily Sales Import"/>
    <n v="-116.74109999999999"/>
    <n v="116.74109999999999"/>
    <x v="0"/>
    <s v="2220"/>
    <s v="000"/>
    <x v="0"/>
    <x v="2"/>
  </r>
  <r>
    <d v="2013-10-17T00:00:00"/>
    <s v="016-2230-000"/>
    <s v="Wine Sales"/>
    <n v="37.692399999999999"/>
    <n v="0"/>
    <s v="Daily Sales Import"/>
    <n v="-37.692399999999999"/>
    <n v="37.692399999999999"/>
    <x v="0"/>
    <s v="2230"/>
    <s v="000"/>
    <x v="0"/>
    <x v="2"/>
  </r>
  <r>
    <d v="2013-10-18T00:00:00"/>
    <s v="016-2100-000"/>
    <s v="Food Sales"/>
    <n v="5805.7125999999998"/>
    <n v="0"/>
    <s v="Daily Sales Import"/>
    <n v="-5805.7125999999998"/>
    <n v="5805.7125999999998"/>
    <x v="0"/>
    <s v="2100"/>
    <s v="000"/>
    <x v="0"/>
    <x v="2"/>
  </r>
  <r>
    <d v="2013-10-18T00:00:00"/>
    <s v="016-2210-000"/>
    <s v="Liquor Sales"/>
    <n v="1076.2611999999999"/>
    <n v="0"/>
    <s v="Daily Sales Import"/>
    <n v="-1076.2611999999999"/>
    <n v="1076.2611999999999"/>
    <x v="0"/>
    <s v="2210"/>
    <s v="000"/>
    <x v="0"/>
    <x v="2"/>
  </r>
  <r>
    <d v="2013-10-18T00:00:00"/>
    <s v="016-2220-000"/>
    <s v="Beer Sales"/>
    <n v="332.21950000000004"/>
    <n v="0"/>
    <s v="Daily Sales Import"/>
    <n v="-332.21950000000004"/>
    <n v="332.21950000000004"/>
    <x v="0"/>
    <s v="2220"/>
    <s v="000"/>
    <x v="0"/>
    <x v="2"/>
  </r>
  <r>
    <d v="2013-10-18T00:00:00"/>
    <s v="016-2230-000"/>
    <s v="Wine Sales"/>
    <n v="77.468699999999998"/>
    <n v="0"/>
    <s v="Daily Sales Import"/>
    <n v="-77.468699999999998"/>
    <n v="77.468699999999998"/>
    <x v="0"/>
    <s v="2230"/>
    <s v="000"/>
    <x v="0"/>
    <x v="2"/>
  </r>
  <r>
    <d v="2013-10-19T00:00:00"/>
    <s v="016-2100-000"/>
    <s v="Food Sales"/>
    <n v="7612.1607000000004"/>
    <n v="0"/>
    <s v="Daily Sales Import"/>
    <n v="-7612.1607000000004"/>
    <n v="7612.1607000000004"/>
    <x v="0"/>
    <s v="2100"/>
    <s v="000"/>
    <x v="0"/>
    <x v="2"/>
  </r>
  <r>
    <d v="2013-10-19T00:00:00"/>
    <s v="016-2210-000"/>
    <s v="Liquor Sales"/>
    <n v="1247.9010000000001"/>
    <n v="0"/>
    <s v="Daily Sales Import"/>
    <n v="-1247.9010000000001"/>
    <n v="1247.9010000000001"/>
    <x v="0"/>
    <s v="2210"/>
    <s v="000"/>
    <x v="0"/>
    <x v="2"/>
  </r>
  <r>
    <d v="2013-10-19T00:00:00"/>
    <s v="016-2220-000"/>
    <s v="Beer Sales"/>
    <n v="335.16749999999996"/>
    <n v="0"/>
    <s v="Daily Sales Import"/>
    <n v="-335.16749999999996"/>
    <n v="335.16749999999996"/>
    <x v="0"/>
    <s v="2220"/>
    <s v="000"/>
    <x v="0"/>
    <x v="2"/>
  </r>
  <r>
    <d v="2013-10-19T00:00:00"/>
    <s v="016-2230-000"/>
    <s v="Wine Sales"/>
    <n v="175.84620000000001"/>
    <n v="0"/>
    <s v="Daily Sales Import"/>
    <n v="-175.84620000000001"/>
    <n v="175.84620000000001"/>
    <x v="0"/>
    <s v="2230"/>
    <s v="000"/>
    <x v="0"/>
    <x v="2"/>
  </r>
  <r>
    <d v="2013-10-20T00:00:00"/>
    <s v="016-2100-000"/>
    <s v="Food Sales"/>
    <n v="4574.1279999999997"/>
    <n v="0"/>
    <s v="Daily Sales Import"/>
    <n v="-4574.1279999999997"/>
    <n v="4574.1279999999997"/>
    <x v="0"/>
    <s v="2100"/>
    <s v="000"/>
    <x v="0"/>
    <x v="2"/>
  </r>
  <r>
    <d v="2013-10-20T00:00:00"/>
    <s v="016-2210-000"/>
    <s v="Liquor Sales"/>
    <n v="637.75059999999996"/>
    <n v="0"/>
    <s v="Daily Sales Import"/>
    <n v="-637.75059999999996"/>
    <n v="637.75059999999996"/>
    <x v="0"/>
    <s v="2210"/>
    <s v="000"/>
    <x v="0"/>
    <x v="2"/>
  </r>
  <r>
    <d v="2013-10-20T00:00:00"/>
    <s v="016-2220-000"/>
    <s v="Beer Sales"/>
    <n v="63.593999999999994"/>
    <n v="0"/>
    <s v="Daily Sales Import"/>
    <n v="-63.593999999999994"/>
    <n v="63.593999999999994"/>
    <x v="0"/>
    <s v="2220"/>
    <s v="000"/>
    <x v="0"/>
    <x v="2"/>
  </r>
  <r>
    <d v="2013-10-20T00:00:00"/>
    <s v="016-2230-000"/>
    <s v="Wine Sales"/>
    <n v="31.7988"/>
    <n v="0"/>
    <s v="Daily Sales Import"/>
    <n v="-31.7988"/>
    <n v="31.7988"/>
    <x v="0"/>
    <s v="2230"/>
    <s v="000"/>
    <x v="0"/>
    <x v="2"/>
  </r>
  <r>
    <d v="2013-10-14T00:00:00"/>
    <s v="017-2100-000"/>
    <s v="Food Sales"/>
    <n v="3659.7749999999996"/>
    <n v="0"/>
    <s v="Daily Sales Import"/>
    <n v="-3659.7749999999996"/>
    <n v="3659.7749999999996"/>
    <x v="1"/>
    <s v="2100"/>
    <s v="000"/>
    <x v="0"/>
    <x v="2"/>
  </r>
  <r>
    <d v="2013-10-14T00:00:00"/>
    <s v="017-2210-000"/>
    <s v="Liquor Sales"/>
    <n v="1069.7215000000001"/>
    <n v="0"/>
    <s v="Daily Sales Import"/>
    <n v="-1069.7215000000001"/>
    <n v="1069.7215000000001"/>
    <x v="1"/>
    <s v="2210"/>
    <s v="000"/>
    <x v="0"/>
    <x v="2"/>
  </r>
  <r>
    <d v="2013-10-14T00:00:00"/>
    <s v="017-2220-000"/>
    <s v="Beer Sales"/>
    <n v="357.16319999999996"/>
    <n v="0"/>
    <s v="Daily Sales Import"/>
    <n v="-357.16319999999996"/>
    <n v="357.16319999999996"/>
    <x v="1"/>
    <s v="2220"/>
    <s v="000"/>
    <x v="0"/>
    <x v="2"/>
  </r>
  <r>
    <d v="2013-10-14T00:00:00"/>
    <s v="017-2230-000"/>
    <s v="Wine Sales"/>
    <n v="30.5854"/>
    <n v="0"/>
    <s v="Daily Sales Import"/>
    <n v="-30.5854"/>
    <n v="30.5854"/>
    <x v="1"/>
    <s v="2230"/>
    <s v="000"/>
    <x v="0"/>
    <x v="2"/>
  </r>
  <r>
    <d v="2013-10-15T00:00:00"/>
    <s v="017-2100-000"/>
    <s v="Food Sales"/>
    <n v="4989.5072999999993"/>
    <n v="0"/>
    <s v="Daily Sales Import"/>
    <n v="-4989.5072999999993"/>
    <n v="4989.5072999999993"/>
    <x v="1"/>
    <s v="2100"/>
    <s v="000"/>
    <x v="0"/>
    <x v="2"/>
  </r>
  <r>
    <d v="2013-10-15T00:00:00"/>
    <s v="017-2210-000"/>
    <s v="Liquor Sales"/>
    <n v="1473.9227999999998"/>
    <n v="0"/>
    <s v="Daily Sales Import"/>
    <n v="-1473.9227999999998"/>
    <n v="1473.9227999999998"/>
    <x v="1"/>
    <s v="2210"/>
    <s v="000"/>
    <x v="0"/>
    <x v="2"/>
  </r>
  <r>
    <d v="2013-10-15T00:00:00"/>
    <s v="017-2220-000"/>
    <s v="Beer Sales"/>
    <n v="377.95760000000007"/>
    <n v="0"/>
    <s v="Daily Sales Import"/>
    <n v="-377.95760000000007"/>
    <n v="377.95760000000007"/>
    <x v="1"/>
    <s v="2220"/>
    <s v="000"/>
    <x v="0"/>
    <x v="2"/>
  </r>
  <r>
    <d v="2013-10-15T00:00:00"/>
    <s v="017-2230-000"/>
    <s v="Wine Sales"/>
    <n v="54.355199999999996"/>
    <n v="0"/>
    <s v="Daily Sales Import"/>
    <n v="-54.355199999999996"/>
    <n v="54.355199999999996"/>
    <x v="1"/>
    <s v="2230"/>
    <s v="000"/>
    <x v="0"/>
    <x v="2"/>
  </r>
  <r>
    <d v="2013-10-16T00:00:00"/>
    <s v="017-2100-000"/>
    <s v="Food Sales"/>
    <n v="5606.1882000000005"/>
    <n v="0"/>
    <s v="Daily Sales Import"/>
    <n v="-5606.1882000000005"/>
    <n v="5606.1882000000005"/>
    <x v="1"/>
    <s v="2100"/>
    <s v="000"/>
    <x v="0"/>
    <x v="2"/>
  </r>
  <r>
    <d v="2013-10-16T00:00:00"/>
    <s v="017-2210-000"/>
    <s v="Liquor Sales"/>
    <n v="1206.8800000000001"/>
    <n v="0"/>
    <s v="Daily Sales Import"/>
    <n v="-1206.8800000000001"/>
    <n v="1206.8800000000001"/>
    <x v="1"/>
    <s v="2210"/>
    <s v="000"/>
    <x v="0"/>
    <x v="2"/>
  </r>
  <r>
    <d v="2013-10-16T00:00:00"/>
    <s v="017-2220-000"/>
    <s v="Beer Sales"/>
    <n v="770.73300000000006"/>
    <n v="0"/>
    <s v="Daily Sales Import"/>
    <n v="-770.73300000000006"/>
    <n v="770.73300000000006"/>
    <x v="1"/>
    <s v="2220"/>
    <s v="000"/>
    <x v="0"/>
    <x v="2"/>
  </r>
  <r>
    <d v="2013-10-16T00:00:00"/>
    <s v="017-2230-000"/>
    <s v="Wine Sales"/>
    <n v="212.73559999999998"/>
    <n v="0"/>
    <s v="Daily Sales Import"/>
    <n v="-212.73559999999998"/>
    <n v="212.73559999999998"/>
    <x v="1"/>
    <s v="2230"/>
    <s v="000"/>
    <x v="0"/>
    <x v="2"/>
  </r>
  <r>
    <d v="2013-10-17T00:00:00"/>
    <s v="017-2100-000"/>
    <s v="Food Sales"/>
    <n v="5854.5"/>
    <n v="0"/>
    <s v="Daily Sales Import"/>
    <n v="-5854.5"/>
    <n v="5854.5"/>
    <x v="1"/>
    <s v="2100"/>
    <s v="000"/>
    <x v="0"/>
    <x v="2"/>
  </r>
  <r>
    <d v="2013-10-17T00:00:00"/>
    <s v="017-2210-000"/>
    <s v="Liquor Sales"/>
    <n v="1630.3800999999999"/>
    <n v="0"/>
    <s v="Daily Sales Import"/>
    <n v="-1630.3800999999999"/>
    <n v="1630.3800999999999"/>
    <x v="1"/>
    <s v="2210"/>
    <s v="000"/>
    <x v="0"/>
    <x v="2"/>
  </r>
  <r>
    <d v="2013-10-17T00:00:00"/>
    <s v="017-2220-000"/>
    <s v="Beer Sales"/>
    <n v="604.10879999999997"/>
    <n v="0"/>
    <s v="Daily Sales Import"/>
    <n v="-604.10879999999997"/>
    <n v="604.10879999999997"/>
    <x v="1"/>
    <s v="2220"/>
    <s v="000"/>
    <x v="0"/>
    <x v="2"/>
  </r>
  <r>
    <d v="2013-10-17T00:00:00"/>
    <s v="017-2230-000"/>
    <s v="Wine Sales"/>
    <n v="278.714"/>
    <n v="0"/>
    <s v="Daily Sales Import"/>
    <n v="-278.714"/>
    <n v="278.714"/>
    <x v="1"/>
    <s v="2230"/>
    <s v="000"/>
    <x v="0"/>
    <x v="2"/>
  </r>
  <r>
    <d v="2013-10-18T00:00:00"/>
    <s v="017-2100-000"/>
    <s v="Food Sales"/>
    <n v="6805.0111999999999"/>
    <n v="0"/>
    <s v="Daily Sales Import"/>
    <n v="-6805.0111999999999"/>
    <n v="6805.0111999999999"/>
    <x v="1"/>
    <s v="2100"/>
    <s v="000"/>
    <x v="0"/>
    <x v="2"/>
  </r>
  <r>
    <d v="2013-10-18T00:00:00"/>
    <s v="017-2210-000"/>
    <s v="Liquor Sales"/>
    <n v="1558.7550000000001"/>
    <n v="0"/>
    <s v="Daily Sales Import"/>
    <n v="-1558.7550000000001"/>
    <n v="1558.7550000000001"/>
    <x v="1"/>
    <s v="2210"/>
    <s v="000"/>
    <x v="0"/>
    <x v="2"/>
  </r>
  <r>
    <d v="2013-10-18T00:00:00"/>
    <s v="017-2220-000"/>
    <s v="Beer Sales"/>
    <n v="266.68950000000001"/>
    <n v="0"/>
    <s v="Daily Sales Import"/>
    <n v="-266.68950000000001"/>
    <n v="266.68950000000001"/>
    <x v="1"/>
    <s v="2220"/>
    <s v="000"/>
    <x v="0"/>
    <x v="2"/>
  </r>
  <r>
    <d v="2013-10-18T00:00:00"/>
    <s v="017-2230-000"/>
    <s v="Wine Sales"/>
    <n v="296.02479999999997"/>
    <n v="0"/>
    <s v="Daily Sales Import"/>
    <n v="-296.02479999999997"/>
    <n v="296.02479999999997"/>
    <x v="1"/>
    <s v="2230"/>
    <s v="000"/>
    <x v="0"/>
    <x v="2"/>
  </r>
  <r>
    <d v="2013-10-19T00:00:00"/>
    <s v="017-2100-000"/>
    <s v="Food Sales"/>
    <n v="6289.6719000000003"/>
    <n v="0"/>
    <s v="Daily Sales Import"/>
    <n v="-6289.6719000000003"/>
    <n v="6289.6719000000003"/>
    <x v="1"/>
    <s v="2100"/>
    <s v="000"/>
    <x v="0"/>
    <x v="2"/>
  </r>
  <r>
    <d v="2013-10-19T00:00:00"/>
    <s v="017-2210-000"/>
    <s v="Liquor Sales"/>
    <n v="1126.4042999999999"/>
    <n v="0"/>
    <s v="Daily Sales Import"/>
    <n v="-1126.4042999999999"/>
    <n v="1126.4042999999999"/>
    <x v="1"/>
    <s v="2210"/>
    <s v="000"/>
    <x v="0"/>
    <x v="2"/>
  </r>
  <r>
    <d v="2013-10-19T00:00:00"/>
    <s v="017-2220-000"/>
    <s v="Beer Sales"/>
    <n v="214.10640000000001"/>
    <n v="0"/>
    <s v="Daily Sales Import"/>
    <n v="-214.10640000000001"/>
    <n v="214.10640000000001"/>
    <x v="1"/>
    <s v="2220"/>
    <s v="000"/>
    <x v="0"/>
    <x v="2"/>
  </r>
  <r>
    <d v="2013-10-19T00:00:00"/>
    <s v="017-2230-000"/>
    <s v="Wine Sales"/>
    <n v="76.369599999999991"/>
    <n v="0"/>
    <s v="Daily Sales Import"/>
    <n v="-76.369599999999991"/>
    <n v="76.369599999999991"/>
    <x v="1"/>
    <s v="2230"/>
    <s v="000"/>
    <x v="0"/>
    <x v="2"/>
  </r>
  <r>
    <d v="2013-10-20T00:00:00"/>
    <s v="017-2100-000"/>
    <s v="Food Sales"/>
    <n v="5658.3395"/>
    <n v="0"/>
    <s v="Daily Sales Import"/>
    <n v="-5658.3395"/>
    <n v="5658.3395"/>
    <x v="1"/>
    <s v="2100"/>
    <s v="000"/>
    <x v="0"/>
    <x v="2"/>
  </r>
  <r>
    <d v="2013-10-20T00:00:00"/>
    <s v="017-2210-000"/>
    <s v="Liquor Sales"/>
    <n v="795.61680000000001"/>
    <n v="0"/>
    <s v="Daily Sales Import"/>
    <n v="-795.61680000000001"/>
    <n v="795.61680000000001"/>
    <x v="1"/>
    <s v="2210"/>
    <s v="000"/>
    <x v="0"/>
    <x v="2"/>
  </r>
  <r>
    <d v="2013-10-20T00:00:00"/>
    <s v="017-2220-000"/>
    <s v="Beer Sales"/>
    <n v="176.63059999999999"/>
    <n v="0"/>
    <s v="Daily Sales Import"/>
    <n v="-176.63059999999999"/>
    <n v="176.63059999999999"/>
    <x v="1"/>
    <s v="2220"/>
    <s v="000"/>
    <x v="0"/>
    <x v="2"/>
  </r>
  <r>
    <d v="2013-10-20T00:00:00"/>
    <s v="017-2230-000"/>
    <s v="Wine Sales"/>
    <n v="137.78829999999999"/>
    <n v="0"/>
    <s v="Daily Sales Import"/>
    <n v="-137.78829999999999"/>
    <n v="137.78829999999999"/>
    <x v="1"/>
    <s v="2230"/>
    <s v="000"/>
    <x v="0"/>
    <x v="2"/>
  </r>
  <r>
    <d v="2013-10-14T00:00:00"/>
    <s v="018-2100-000"/>
    <s v="Food Sales"/>
    <n v="5464.1408000000001"/>
    <n v="0"/>
    <s v="Daily Sales Import"/>
    <n v="-5464.1408000000001"/>
    <n v="5464.1408000000001"/>
    <x v="2"/>
    <s v="2100"/>
    <s v="000"/>
    <x v="0"/>
    <x v="2"/>
  </r>
  <r>
    <d v="2013-10-14T00:00:00"/>
    <s v="018-2210-000"/>
    <s v="Liquor Sales"/>
    <n v="959.00829999999996"/>
    <n v="0"/>
    <s v="Daily Sales Import"/>
    <n v="-959.00829999999996"/>
    <n v="959.00829999999996"/>
    <x v="2"/>
    <s v="2210"/>
    <s v="000"/>
    <x v="0"/>
    <x v="2"/>
  </r>
  <r>
    <d v="2013-10-14T00:00:00"/>
    <s v="018-2220-000"/>
    <s v="Beer Sales"/>
    <n v="172.20839999999998"/>
    <n v="0"/>
    <s v="Daily Sales Import"/>
    <n v="-172.20839999999998"/>
    <n v="172.20839999999998"/>
    <x v="2"/>
    <s v="2220"/>
    <s v="000"/>
    <x v="0"/>
    <x v="2"/>
  </r>
  <r>
    <d v="2013-10-14T00:00:00"/>
    <s v="018-2230-000"/>
    <s v="Wine Sales"/>
    <n v="37.055799999999998"/>
    <n v="0"/>
    <s v="Daily Sales Import"/>
    <n v="-37.055799999999998"/>
    <n v="37.055799999999998"/>
    <x v="2"/>
    <s v="2230"/>
    <s v="000"/>
    <x v="0"/>
    <x v="2"/>
  </r>
  <r>
    <d v="2013-10-15T00:00:00"/>
    <s v="018-2100-000"/>
    <s v="Food Sales"/>
    <n v="2834.1899999999996"/>
    <n v="0"/>
    <s v="Daily Sales Import"/>
    <n v="-2834.1899999999996"/>
    <n v="2834.1899999999996"/>
    <x v="2"/>
    <s v="2100"/>
    <s v="000"/>
    <x v="0"/>
    <x v="2"/>
  </r>
  <r>
    <d v="2013-10-15T00:00:00"/>
    <s v="018-2210-000"/>
    <s v="Liquor Sales"/>
    <n v="500.27040000000005"/>
    <n v="0"/>
    <s v="Daily Sales Import"/>
    <n v="-500.27040000000005"/>
    <n v="500.27040000000005"/>
    <x v="2"/>
    <s v="2210"/>
    <s v="000"/>
    <x v="0"/>
    <x v="2"/>
  </r>
  <r>
    <d v="2013-10-15T00:00:00"/>
    <s v="018-2220-000"/>
    <s v="Beer Sales"/>
    <n v="133.78649999999999"/>
    <n v="0"/>
    <s v="Daily Sales Import"/>
    <n v="-133.78649999999999"/>
    <n v="133.78649999999999"/>
    <x v="2"/>
    <s v="2220"/>
    <s v="000"/>
    <x v="0"/>
    <x v="2"/>
  </r>
  <r>
    <d v="2013-10-15T00:00:00"/>
    <s v="018-2230-000"/>
    <s v="Wine Sales"/>
    <n v="14.981999999999999"/>
    <n v="0"/>
    <s v="Daily Sales Import"/>
    <n v="-14.981999999999999"/>
    <n v="14.981999999999999"/>
    <x v="2"/>
    <s v="2230"/>
    <s v="000"/>
    <x v="0"/>
    <x v="2"/>
  </r>
  <r>
    <d v="2013-10-16T00:00:00"/>
    <s v="018-2100-000"/>
    <s v="Food Sales"/>
    <n v="3335.6954999999998"/>
    <n v="0"/>
    <s v="Daily Sales Import"/>
    <n v="-3335.6954999999998"/>
    <n v="3335.6954999999998"/>
    <x v="2"/>
    <s v="2100"/>
    <s v="000"/>
    <x v="0"/>
    <x v="2"/>
  </r>
  <r>
    <d v="2013-10-16T00:00:00"/>
    <s v="018-2210-000"/>
    <s v="Liquor Sales"/>
    <n v="878.26700000000005"/>
    <n v="0"/>
    <s v="Daily Sales Import"/>
    <n v="-878.26700000000005"/>
    <n v="878.26700000000005"/>
    <x v="2"/>
    <s v="2210"/>
    <s v="000"/>
    <x v="0"/>
    <x v="2"/>
  </r>
  <r>
    <d v="2013-10-16T00:00:00"/>
    <s v="018-2220-000"/>
    <s v="Beer Sales"/>
    <n v="209.33640000000003"/>
    <n v="0"/>
    <s v="Daily Sales Import"/>
    <n v="-209.33640000000003"/>
    <n v="209.33640000000003"/>
    <x v="2"/>
    <s v="2220"/>
    <s v="000"/>
    <x v="0"/>
    <x v="2"/>
  </r>
  <r>
    <d v="2013-10-16T00:00:00"/>
    <s v="018-2230-000"/>
    <s v="Wine Sales"/>
    <n v="32.952800000000003"/>
    <n v="0"/>
    <s v="Daily Sales Import"/>
    <n v="-32.952800000000003"/>
    <n v="32.952800000000003"/>
    <x v="2"/>
    <s v="2230"/>
    <s v="000"/>
    <x v="0"/>
    <x v="2"/>
  </r>
  <r>
    <d v="2013-10-17T00:00:00"/>
    <s v="018-2100-000"/>
    <s v="Food Sales"/>
    <n v="5206.6716000000006"/>
    <n v="0"/>
    <s v="Daily Sales Import"/>
    <n v="-5206.6716000000006"/>
    <n v="5206.6716000000006"/>
    <x v="2"/>
    <s v="2100"/>
    <s v="000"/>
    <x v="0"/>
    <x v="2"/>
  </r>
  <r>
    <d v="2013-10-17T00:00:00"/>
    <s v="018-2210-000"/>
    <s v="Liquor Sales"/>
    <n v="1120.1551999999999"/>
    <n v="0"/>
    <s v="Daily Sales Import"/>
    <n v="-1120.1551999999999"/>
    <n v="1120.1551999999999"/>
    <x v="2"/>
    <s v="2210"/>
    <s v="000"/>
    <x v="0"/>
    <x v="2"/>
  </r>
  <r>
    <d v="2013-10-17T00:00:00"/>
    <s v="018-2220-000"/>
    <s v="Beer Sales"/>
    <n v="173.33999999999997"/>
    <n v="0"/>
    <s v="Daily Sales Import"/>
    <n v="-173.33999999999997"/>
    <n v="173.33999999999997"/>
    <x v="2"/>
    <s v="2220"/>
    <s v="000"/>
    <x v="0"/>
    <x v="2"/>
  </r>
  <r>
    <d v="2013-10-17T00:00:00"/>
    <s v="018-2230-000"/>
    <s v="Wine Sales"/>
    <n v="30.869799999999998"/>
    <n v="0"/>
    <s v="Daily Sales Import"/>
    <n v="-30.869799999999998"/>
    <n v="30.869799999999998"/>
    <x v="2"/>
    <s v="2230"/>
    <s v="000"/>
    <x v="0"/>
    <x v="2"/>
  </r>
  <r>
    <d v="2013-10-18T00:00:00"/>
    <s v="018-2100-000"/>
    <s v="Food Sales"/>
    <n v="10446.3423"/>
    <n v="0"/>
    <s v="Daily Sales Import"/>
    <n v="-10446.3423"/>
    <n v="10446.3423"/>
    <x v="2"/>
    <s v="2100"/>
    <s v="000"/>
    <x v="0"/>
    <x v="2"/>
  </r>
  <r>
    <d v="2013-10-18T00:00:00"/>
    <s v="018-2210-000"/>
    <s v="Liquor Sales"/>
    <n v="2947.5164999999997"/>
    <n v="0"/>
    <s v="Daily Sales Import"/>
    <n v="-2947.5164999999997"/>
    <n v="2947.5164999999997"/>
    <x v="2"/>
    <s v="2210"/>
    <s v="000"/>
    <x v="0"/>
    <x v="2"/>
  </r>
  <r>
    <d v="2013-10-18T00:00:00"/>
    <s v="018-2220-000"/>
    <s v="Beer Sales"/>
    <n v="658.38149999999996"/>
    <n v="0"/>
    <s v="Daily Sales Import"/>
    <n v="-658.38149999999996"/>
    <n v="658.38149999999996"/>
    <x v="2"/>
    <s v="2220"/>
    <s v="000"/>
    <x v="0"/>
    <x v="2"/>
  </r>
  <r>
    <d v="2013-10-18T00:00:00"/>
    <s v="018-2230-000"/>
    <s v="Wine Sales"/>
    <n v="78.613199999999992"/>
    <n v="0"/>
    <s v="Daily Sales Import"/>
    <n v="-78.613199999999992"/>
    <n v="78.613199999999992"/>
    <x v="2"/>
    <s v="2230"/>
    <s v="000"/>
    <x v="0"/>
    <x v="2"/>
  </r>
  <r>
    <d v="2013-10-19T00:00:00"/>
    <s v="018-2100-000"/>
    <s v="Food Sales"/>
    <n v="14720.418799999999"/>
    <n v="0"/>
    <s v="Daily Sales Import"/>
    <n v="-14720.418799999999"/>
    <n v="14720.418799999999"/>
    <x v="2"/>
    <s v="2100"/>
    <s v="000"/>
    <x v="0"/>
    <x v="2"/>
  </r>
  <r>
    <d v="2013-10-19T00:00:00"/>
    <s v="018-2210-000"/>
    <s v="Liquor Sales"/>
    <n v="2441.7432000000003"/>
    <n v="0"/>
    <s v="Daily Sales Import"/>
    <n v="-2441.7432000000003"/>
    <n v="2441.7432000000003"/>
    <x v="2"/>
    <s v="2210"/>
    <s v="000"/>
    <x v="0"/>
    <x v="2"/>
  </r>
  <r>
    <d v="2013-10-19T00:00:00"/>
    <s v="018-2220-000"/>
    <s v="Beer Sales"/>
    <n v="470.68889999999993"/>
    <n v="0"/>
    <s v="Daily Sales Import"/>
    <n v="-470.68889999999993"/>
    <n v="470.68889999999993"/>
    <x v="2"/>
    <s v="2220"/>
    <s v="000"/>
    <x v="0"/>
    <x v="2"/>
  </r>
  <r>
    <d v="2013-10-19T00:00:00"/>
    <s v="018-2230-000"/>
    <s v="Wine Sales"/>
    <n v="136.3845"/>
    <n v="0"/>
    <s v="Daily Sales Import"/>
    <n v="-136.3845"/>
    <n v="136.3845"/>
    <x v="2"/>
    <s v="2230"/>
    <s v="000"/>
    <x v="0"/>
    <x v="2"/>
  </r>
  <r>
    <d v="2013-10-20T00:00:00"/>
    <s v="018-2100-000"/>
    <s v="Food Sales"/>
    <n v="7640.9345999999996"/>
    <n v="0"/>
    <s v="Daily Sales Import"/>
    <n v="-7640.9345999999996"/>
    <n v="7640.9345999999996"/>
    <x v="2"/>
    <s v="2100"/>
    <s v="000"/>
    <x v="0"/>
    <x v="2"/>
  </r>
  <r>
    <d v="2013-10-20T00:00:00"/>
    <s v="018-2210-000"/>
    <s v="Liquor Sales"/>
    <n v="916.87140000000011"/>
    <n v="0"/>
    <s v="Daily Sales Import"/>
    <n v="-916.87140000000011"/>
    <n v="916.87140000000011"/>
    <x v="2"/>
    <s v="2210"/>
    <s v="000"/>
    <x v="0"/>
    <x v="2"/>
  </r>
  <r>
    <d v="2013-10-20T00:00:00"/>
    <s v="018-2220-000"/>
    <s v="Beer Sales"/>
    <n v="355.73699999999997"/>
    <n v="0"/>
    <s v="Daily Sales Import"/>
    <n v="-355.73699999999997"/>
    <n v="355.73699999999997"/>
    <x v="2"/>
    <s v="2220"/>
    <s v="000"/>
    <x v="0"/>
    <x v="2"/>
  </r>
  <r>
    <d v="2013-10-20T00:00:00"/>
    <s v="018-2230-000"/>
    <s v="Wine Sales"/>
    <n v="84.738"/>
    <n v="0"/>
    <s v="Daily Sales Import"/>
    <n v="-84.738"/>
    <n v="84.738"/>
    <x v="2"/>
    <s v="2230"/>
    <s v="000"/>
    <x v="0"/>
    <x v="2"/>
  </r>
  <r>
    <d v="2013-10-14T00:00:00"/>
    <s v="019-2100-000"/>
    <s v="Food Sales"/>
    <n v="2139.5140000000001"/>
    <n v="0"/>
    <s v="Daily Sales Import"/>
    <n v="-2139.5140000000001"/>
    <n v="2139.5140000000001"/>
    <x v="3"/>
    <s v="2100"/>
    <s v="000"/>
    <x v="0"/>
    <x v="2"/>
  </r>
  <r>
    <d v="2013-10-14T00:00:00"/>
    <s v="019-2210-000"/>
    <s v="Liquor Sales"/>
    <n v="675.096"/>
    <n v="0"/>
    <s v="Daily Sales Import"/>
    <n v="-675.096"/>
    <n v="675.096"/>
    <x v="3"/>
    <s v="2210"/>
    <s v="000"/>
    <x v="0"/>
    <x v="2"/>
  </r>
  <r>
    <d v="2013-10-14T00:00:00"/>
    <s v="019-2220-000"/>
    <s v="Beer Sales"/>
    <n v="120.0872"/>
    <n v="0"/>
    <s v="Daily Sales Import"/>
    <n v="-120.0872"/>
    <n v="120.0872"/>
    <x v="3"/>
    <s v="2220"/>
    <s v="000"/>
    <x v="0"/>
    <x v="2"/>
  </r>
  <r>
    <d v="2013-10-14T00:00:00"/>
    <s v="019-2230-000"/>
    <s v="Wine Sales"/>
    <n v="43.297199999999997"/>
    <n v="0"/>
    <s v="Daily Sales Import"/>
    <n v="-43.297199999999997"/>
    <n v="43.297199999999997"/>
    <x v="3"/>
    <s v="2230"/>
    <s v="000"/>
    <x v="0"/>
    <x v="2"/>
  </r>
  <r>
    <d v="2013-10-15T00:00:00"/>
    <s v="019-2100-000"/>
    <s v="Food Sales"/>
    <n v="3512.4740000000002"/>
    <n v="0"/>
    <s v="Daily Sales Import"/>
    <n v="-3512.4740000000002"/>
    <n v="3512.4740000000002"/>
    <x v="3"/>
    <s v="2100"/>
    <s v="000"/>
    <x v="0"/>
    <x v="2"/>
  </r>
  <r>
    <d v="2013-10-15T00:00:00"/>
    <s v="019-2210-000"/>
    <s v="Liquor Sales"/>
    <n v="795.9384"/>
    <n v="0"/>
    <s v="Daily Sales Import"/>
    <n v="-795.9384"/>
    <n v="795.9384"/>
    <x v="3"/>
    <s v="2210"/>
    <s v="000"/>
    <x v="0"/>
    <x v="2"/>
  </r>
  <r>
    <d v="2013-10-15T00:00:00"/>
    <s v="019-2220-000"/>
    <s v="Beer Sales"/>
    <n v="207.96100000000001"/>
    <n v="0"/>
    <s v="Daily Sales Import"/>
    <n v="-207.96100000000001"/>
    <n v="207.96100000000001"/>
    <x v="3"/>
    <s v="2220"/>
    <s v="000"/>
    <x v="0"/>
    <x v="2"/>
  </r>
  <r>
    <d v="2013-10-15T00:00:00"/>
    <s v="019-2230-000"/>
    <s v="Wine Sales"/>
    <n v="44.975300000000004"/>
    <n v="0"/>
    <s v="Daily Sales Import"/>
    <n v="-44.975300000000004"/>
    <n v="44.975300000000004"/>
    <x v="3"/>
    <s v="2230"/>
    <s v="000"/>
    <x v="0"/>
    <x v="2"/>
  </r>
  <r>
    <d v="2013-10-16T00:00:00"/>
    <s v="019-2100-000"/>
    <s v="Food Sales"/>
    <n v="3603.4214999999999"/>
    <n v="0"/>
    <s v="Daily Sales Import"/>
    <n v="-3603.4214999999999"/>
    <n v="3603.4214999999999"/>
    <x v="3"/>
    <s v="2100"/>
    <s v="000"/>
    <x v="0"/>
    <x v="2"/>
  </r>
  <r>
    <d v="2013-10-16T00:00:00"/>
    <s v="019-2210-000"/>
    <s v="Liquor Sales"/>
    <n v="1498.7674999999999"/>
    <n v="0"/>
    <s v="Daily Sales Import"/>
    <n v="-1498.7674999999999"/>
    <n v="1498.7674999999999"/>
    <x v="3"/>
    <s v="2210"/>
    <s v="000"/>
    <x v="0"/>
    <x v="2"/>
  </r>
  <r>
    <d v="2013-10-16T00:00:00"/>
    <s v="019-2220-000"/>
    <s v="Beer Sales"/>
    <n v="320.98560000000003"/>
    <n v="0"/>
    <s v="Daily Sales Import"/>
    <n v="-320.98560000000003"/>
    <n v="320.98560000000003"/>
    <x v="3"/>
    <s v="2220"/>
    <s v="000"/>
    <x v="0"/>
    <x v="2"/>
  </r>
  <r>
    <d v="2013-10-16T00:00:00"/>
    <s v="019-2230-000"/>
    <s v="Wine Sales"/>
    <n v="55.455099999999995"/>
    <n v="0"/>
    <s v="Daily Sales Import"/>
    <n v="-55.455099999999995"/>
    <n v="55.455099999999995"/>
    <x v="3"/>
    <s v="2230"/>
    <s v="000"/>
    <x v="0"/>
    <x v="2"/>
  </r>
  <r>
    <d v="2013-10-17T00:00:00"/>
    <s v="019-2100-000"/>
    <s v="Food Sales"/>
    <n v="3084.3328000000001"/>
    <n v="0"/>
    <s v="Daily Sales Import"/>
    <n v="-3084.3328000000001"/>
    <n v="3084.3328000000001"/>
    <x v="3"/>
    <s v="2100"/>
    <s v="000"/>
    <x v="0"/>
    <x v="2"/>
  </r>
  <r>
    <d v="2013-10-17T00:00:00"/>
    <s v="019-2210-000"/>
    <s v="Liquor Sales"/>
    <n v="1123.8253999999999"/>
    <n v="0"/>
    <s v="Daily Sales Import"/>
    <n v="-1123.8253999999999"/>
    <n v="1123.8253999999999"/>
    <x v="3"/>
    <s v="2210"/>
    <s v="000"/>
    <x v="0"/>
    <x v="2"/>
  </r>
  <r>
    <d v="2013-10-17T00:00:00"/>
    <s v="019-2220-000"/>
    <s v="Beer Sales"/>
    <n v="587.64080000000001"/>
    <n v="0"/>
    <s v="Daily Sales Import"/>
    <n v="-587.64080000000001"/>
    <n v="587.64080000000001"/>
    <x v="3"/>
    <s v="2220"/>
    <s v="000"/>
    <x v="0"/>
    <x v="2"/>
  </r>
  <r>
    <d v="2013-10-17T00:00:00"/>
    <s v="019-2230-000"/>
    <s v="Wine Sales"/>
    <n v="55.696799999999996"/>
    <n v="0"/>
    <s v="Daily Sales Import"/>
    <n v="-55.696799999999996"/>
    <n v="55.696799999999996"/>
    <x v="3"/>
    <s v="2230"/>
    <s v="000"/>
    <x v="0"/>
    <x v="2"/>
  </r>
  <r>
    <d v="2013-10-18T00:00:00"/>
    <s v="019-2100-000"/>
    <s v="Food Sales"/>
    <n v="6203.3411999999998"/>
    <n v="0"/>
    <s v="Daily Sales Import"/>
    <n v="-6203.3411999999998"/>
    <n v="6203.3411999999998"/>
    <x v="3"/>
    <s v="2100"/>
    <s v="000"/>
    <x v="0"/>
    <x v="2"/>
  </r>
  <r>
    <d v="2013-10-18T00:00:00"/>
    <s v="019-2210-000"/>
    <s v="Liquor Sales"/>
    <n v="2090.6184000000003"/>
    <n v="0"/>
    <s v="Daily Sales Import"/>
    <n v="-2090.6184000000003"/>
    <n v="2090.6184000000003"/>
    <x v="3"/>
    <s v="2210"/>
    <s v="000"/>
    <x v="0"/>
    <x v="2"/>
  </r>
  <r>
    <d v="2013-10-18T00:00:00"/>
    <s v="019-2220-000"/>
    <s v="Beer Sales"/>
    <n v="496.91080000000005"/>
    <n v="0"/>
    <s v="Daily Sales Import"/>
    <n v="-496.91080000000005"/>
    <n v="496.91080000000005"/>
    <x v="3"/>
    <s v="2220"/>
    <s v="000"/>
    <x v="0"/>
    <x v="2"/>
  </r>
  <r>
    <d v="2013-10-18T00:00:00"/>
    <s v="019-2230-000"/>
    <s v="Wine Sales"/>
    <n v="180.40219999999999"/>
    <n v="0"/>
    <s v="Daily Sales Import"/>
    <n v="-180.40219999999999"/>
    <n v="180.40219999999999"/>
    <x v="3"/>
    <s v="2230"/>
    <s v="000"/>
    <x v="0"/>
    <x v="2"/>
  </r>
  <r>
    <d v="2013-10-19T00:00:00"/>
    <s v="019-2100-000"/>
    <s v="Food Sales"/>
    <n v="7809.1045000000004"/>
    <n v="0"/>
    <s v="Daily Sales Import"/>
    <n v="-7809.1045000000004"/>
    <n v="7809.1045000000004"/>
    <x v="3"/>
    <s v="2100"/>
    <s v="000"/>
    <x v="0"/>
    <x v="2"/>
  </r>
  <r>
    <d v="2013-10-19T00:00:00"/>
    <s v="019-2210-000"/>
    <s v="Liquor Sales"/>
    <n v="2032.7125000000001"/>
    <n v="0"/>
    <s v="Daily Sales Import"/>
    <n v="-2032.7125000000001"/>
    <n v="2032.7125000000001"/>
    <x v="3"/>
    <s v="2210"/>
    <s v="000"/>
    <x v="0"/>
    <x v="2"/>
  </r>
  <r>
    <d v="2013-10-19T00:00:00"/>
    <s v="019-2220-000"/>
    <s v="Beer Sales"/>
    <n v="341.83620000000002"/>
    <n v="0"/>
    <s v="Daily Sales Import"/>
    <n v="-341.83620000000002"/>
    <n v="341.83620000000002"/>
    <x v="3"/>
    <s v="2220"/>
    <s v="000"/>
    <x v="0"/>
    <x v="2"/>
  </r>
  <r>
    <d v="2013-10-19T00:00:00"/>
    <s v="019-2230-000"/>
    <s v="Wine Sales"/>
    <n v="68.941499999999991"/>
    <n v="0"/>
    <s v="Daily Sales Import"/>
    <n v="-68.941499999999991"/>
    <n v="68.941499999999991"/>
    <x v="3"/>
    <s v="2230"/>
    <s v="000"/>
    <x v="0"/>
    <x v="2"/>
  </r>
  <r>
    <d v="2013-10-20T00:00:00"/>
    <s v="019-2100-000"/>
    <s v="Food Sales"/>
    <n v="5040.5039999999999"/>
    <n v="0"/>
    <s v="Daily Sales Import"/>
    <n v="-5040.5039999999999"/>
    <n v="5040.5039999999999"/>
    <x v="3"/>
    <s v="2100"/>
    <s v="000"/>
    <x v="0"/>
    <x v="2"/>
  </r>
  <r>
    <d v="2013-10-20T00:00:00"/>
    <s v="019-2210-000"/>
    <s v="Liquor Sales"/>
    <n v="1574.0001999999999"/>
    <n v="0"/>
    <s v="Daily Sales Import"/>
    <n v="-1574.0001999999999"/>
    <n v="1574.0001999999999"/>
    <x v="3"/>
    <s v="2210"/>
    <s v="000"/>
    <x v="0"/>
    <x v="2"/>
  </r>
  <r>
    <d v="2013-10-20T00:00:00"/>
    <s v="019-2220-000"/>
    <s v="Beer Sales"/>
    <n v="458.80099999999993"/>
    <n v="0"/>
    <s v="Daily Sales Import"/>
    <n v="-458.80099999999993"/>
    <n v="458.80099999999993"/>
    <x v="3"/>
    <s v="2220"/>
    <s v="000"/>
    <x v="0"/>
    <x v="2"/>
  </r>
  <r>
    <d v="2013-10-20T00:00:00"/>
    <s v="019-2230-000"/>
    <s v="Wine Sales"/>
    <n v="98.420199999999994"/>
    <n v="0"/>
    <s v="Daily Sales Import"/>
    <n v="-98.420199999999994"/>
    <n v="98.420199999999994"/>
    <x v="3"/>
    <s v="2230"/>
    <s v="000"/>
    <x v="0"/>
    <x v="2"/>
  </r>
  <r>
    <d v="2013-10-14T00:00:00"/>
    <s v="020-2100-000"/>
    <s v="Food Sales"/>
    <n v="13232.232"/>
    <n v="0"/>
    <s v="Daily Sales Import"/>
    <n v="-13232.232"/>
    <n v="13232.232"/>
    <x v="4"/>
    <s v="2100"/>
    <s v="000"/>
    <x v="0"/>
    <x v="2"/>
  </r>
  <r>
    <d v="2013-10-14T00:00:00"/>
    <s v="020-2210-000"/>
    <s v="Liquor Sales"/>
    <n v="4642.8141999999998"/>
    <n v="0"/>
    <s v="Daily Sales Import"/>
    <n v="-4642.8141999999998"/>
    <n v="4642.8141999999998"/>
    <x v="4"/>
    <s v="2210"/>
    <s v="000"/>
    <x v="0"/>
    <x v="2"/>
  </r>
  <r>
    <d v="2013-10-14T00:00:00"/>
    <s v="020-2220-000"/>
    <s v="Beer Sales"/>
    <n v="662.53200000000004"/>
    <n v="0"/>
    <s v="Daily Sales Import"/>
    <n v="-662.53200000000004"/>
    <n v="662.53200000000004"/>
    <x v="4"/>
    <s v="2220"/>
    <s v="000"/>
    <x v="0"/>
    <x v="2"/>
  </r>
  <r>
    <d v="2013-10-14T00:00:00"/>
    <s v="020-2230-000"/>
    <s v="Wine Sales"/>
    <n v="103.11329999999998"/>
    <n v="0"/>
    <s v="Daily Sales Import"/>
    <n v="-103.11329999999998"/>
    <n v="103.11329999999998"/>
    <x v="4"/>
    <s v="2230"/>
    <s v="000"/>
    <x v="0"/>
    <x v="2"/>
  </r>
  <r>
    <d v="2013-10-15T00:00:00"/>
    <s v="020-2100-000"/>
    <s v="Food Sales"/>
    <n v="9919.4789999999994"/>
    <n v="0"/>
    <s v="Daily Sales Import"/>
    <n v="-9919.4789999999994"/>
    <n v="9919.4789999999994"/>
    <x v="4"/>
    <s v="2100"/>
    <s v="000"/>
    <x v="0"/>
    <x v="2"/>
  </r>
  <r>
    <d v="2013-10-15T00:00:00"/>
    <s v="020-2210-000"/>
    <s v="Liquor Sales"/>
    <n v="2448.7065000000002"/>
    <n v="0"/>
    <s v="Daily Sales Import"/>
    <n v="-2448.7065000000002"/>
    <n v="2448.7065000000002"/>
    <x v="4"/>
    <s v="2210"/>
    <s v="000"/>
    <x v="0"/>
    <x v="2"/>
  </r>
  <r>
    <d v="2013-10-15T00:00:00"/>
    <s v="020-2220-000"/>
    <s v="Beer Sales"/>
    <n v="869.06"/>
    <n v="0"/>
    <s v="Daily Sales Import"/>
    <n v="-869.06"/>
    <n v="869.06"/>
    <x v="4"/>
    <s v="2220"/>
    <s v="000"/>
    <x v="0"/>
    <x v="2"/>
  </r>
  <r>
    <d v="2013-10-15T00:00:00"/>
    <s v="020-2230-000"/>
    <s v="Wine Sales"/>
    <n v="124.51359999999998"/>
    <n v="0"/>
    <s v="Daily Sales Import"/>
    <n v="-124.51359999999998"/>
    <n v="124.51359999999998"/>
    <x v="4"/>
    <s v="2230"/>
    <s v="000"/>
    <x v="0"/>
    <x v="2"/>
  </r>
  <r>
    <d v="2013-10-16T00:00:00"/>
    <s v="020-2100-000"/>
    <s v="Food Sales"/>
    <n v="11910.6828"/>
    <n v="0"/>
    <s v="Daily Sales Import"/>
    <n v="-11910.6828"/>
    <n v="11910.6828"/>
    <x v="4"/>
    <s v="2100"/>
    <s v="000"/>
    <x v="0"/>
    <x v="2"/>
  </r>
  <r>
    <d v="2013-10-16T00:00:00"/>
    <s v="020-2210-000"/>
    <s v="Liquor Sales"/>
    <n v="4844.1976000000004"/>
    <n v="0"/>
    <s v="Daily Sales Import"/>
    <n v="-4844.1976000000004"/>
    <n v="4844.1976000000004"/>
    <x v="4"/>
    <s v="2210"/>
    <s v="000"/>
    <x v="0"/>
    <x v="2"/>
  </r>
  <r>
    <d v="2013-10-16T00:00:00"/>
    <s v="020-2220-000"/>
    <s v="Beer Sales"/>
    <n v="842.86880000000008"/>
    <n v="0"/>
    <s v="Daily Sales Import"/>
    <n v="-842.86880000000008"/>
    <n v="842.86880000000008"/>
    <x v="4"/>
    <s v="2220"/>
    <s v="000"/>
    <x v="0"/>
    <x v="2"/>
  </r>
  <r>
    <d v="2013-10-16T00:00:00"/>
    <s v="020-2230-000"/>
    <s v="Wine Sales"/>
    <n v="190.64080000000001"/>
    <n v="0"/>
    <s v="Daily Sales Import"/>
    <n v="-190.64080000000001"/>
    <n v="190.64080000000001"/>
    <x v="4"/>
    <s v="2230"/>
    <s v="000"/>
    <x v="0"/>
    <x v="2"/>
  </r>
  <r>
    <d v="2013-10-17T00:00:00"/>
    <s v="020-2100-000"/>
    <s v="Food Sales"/>
    <n v="12438.72"/>
    <n v="0"/>
    <s v="Daily Sales Import"/>
    <n v="-12438.72"/>
    <n v="12438.72"/>
    <x v="4"/>
    <s v="2100"/>
    <s v="000"/>
    <x v="0"/>
    <x v="2"/>
  </r>
  <r>
    <d v="2013-10-17T00:00:00"/>
    <s v="020-2210-000"/>
    <s v="Liquor Sales"/>
    <n v="5007.6630000000005"/>
    <n v="0"/>
    <s v="Daily Sales Import"/>
    <n v="-5007.6630000000005"/>
    <n v="5007.6630000000005"/>
    <x v="4"/>
    <s v="2210"/>
    <s v="000"/>
    <x v="0"/>
    <x v="2"/>
  </r>
  <r>
    <d v="2013-10-17T00:00:00"/>
    <s v="020-2220-000"/>
    <s v="Beer Sales"/>
    <n v="913.43040000000008"/>
    <n v="0"/>
    <s v="Daily Sales Import"/>
    <n v="-913.43040000000008"/>
    <n v="913.43040000000008"/>
    <x v="4"/>
    <s v="2220"/>
    <s v="000"/>
    <x v="0"/>
    <x v="2"/>
  </r>
  <r>
    <d v="2013-10-17T00:00:00"/>
    <s v="020-2230-000"/>
    <s v="Wine Sales"/>
    <n v="181.65699999999998"/>
    <n v="0"/>
    <s v="Daily Sales Import"/>
    <n v="-181.65699999999998"/>
    <n v="181.65699999999998"/>
    <x v="4"/>
    <s v="2230"/>
    <s v="000"/>
    <x v="0"/>
    <x v="2"/>
  </r>
  <r>
    <d v="2013-10-18T00:00:00"/>
    <s v="020-2100-000"/>
    <s v="Food Sales"/>
    <n v="13824.064800000002"/>
    <n v="0"/>
    <s v="Daily Sales Import"/>
    <n v="-13824.064800000002"/>
    <n v="13824.064800000002"/>
    <x v="4"/>
    <s v="2100"/>
    <s v="000"/>
    <x v="0"/>
    <x v="2"/>
  </r>
  <r>
    <d v="2013-10-18T00:00:00"/>
    <s v="020-2210-000"/>
    <s v="Liquor Sales"/>
    <n v="9268.4045999999998"/>
    <n v="0"/>
    <s v="Daily Sales Import"/>
    <n v="-9268.4045999999998"/>
    <n v="9268.4045999999998"/>
    <x v="4"/>
    <s v="2210"/>
    <s v="000"/>
    <x v="0"/>
    <x v="2"/>
  </r>
  <r>
    <d v="2013-10-18T00:00:00"/>
    <s v="020-2220-000"/>
    <s v="Beer Sales"/>
    <n v="1522.9778000000001"/>
    <n v="0"/>
    <s v="Daily Sales Import"/>
    <n v="-1522.9778000000001"/>
    <n v="1522.9778000000001"/>
    <x v="4"/>
    <s v="2220"/>
    <s v="000"/>
    <x v="0"/>
    <x v="2"/>
  </r>
  <r>
    <d v="2013-10-18T00:00:00"/>
    <s v="020-2230-000"/>
    <s v="Wine Sales"/>
    <n v="253.05349999999999"/>
    <n v="0"/>
    <s v="Daily Sales Import"/>
    <n v="-253.05349999999999"/>
    <n v="253.05349999999999"/>
    <x v="4"/>
    <s v="2230"/>
    <s v="000"/>
    <x v="0"/>
    <x v="2"/>
  </r>
  <r>
    <d v="2013-10-19T00:00:00"/>
    <s v="020-2100-000"/>
    <s v="Food Sales"/>
    <n v="23549.106"/>
    <n v="0"/>
    <s v="Daily Sales Import"/>
    <n v="-23549.106"/>
    <n v="23549.106"/>
    <x v="4"/>
    <s v="2100"/>
    <s v="000"/>
    <x v="0"/>
    <x v="2"/>
  </r>
  <r>
    <d v="2013-10-19T00:00:00"/>
    <s v="020-2210-000"/>
    <s v="Liquor Sales"/>
    <n v="7261.1883000000007"/>
    <n v="0"/>
    <s v="Daily Sales Import"/>
    <n v="-7261.1883000000007"/>
    <n v="7261.1883000000007"/>
    <x v="4"/>
    <s v="2210"/>
    <s v="000"/>
    <x v="0"/>
    <x v="2"/>
  </r>
  <r>
    <d v="2013-10-19T00:00:00"/>
    <s v="020-2220-000"/>
    <s v="Beer Sales"/>
    <n v="1188.1804"/>
    <n v="0"/>
    <s v="Daily Sales Import"/>
    <n v="-1188.1804"/>
    <n v="1188.1804"/>
    <x v="4"/>
    <s v="2220"/>
    <s v="000"/>
    <x v="0"/>
    <x v="2"/>
  </r>
  <r>
    <d v="2013-10-19T00:00:00"/>
    <s v="020-2230-000"/>
    <s v="Wine Sales"/>
    <n v="145.5401"/>
    <n v="0"/>
    <s v="Daily Sales Import"/>
    <n v="-145.5401"/>
    <n v="145.5401"/>
    <x v="4"/>
    <s v="2230"/>
    <s v="000"/>
    <x v="0"/>
    <x v="2"/>
  </r>
  <r>
    <d v="2013-10-20T00:00:00"/>
    <s v="020-2100-000"/>
    <s v="Food Sales"/>
    <n v="14226.293400000002"/>
    <n v="0"/>
    <s v="Daily Sales Import"/>
    <n v="-14226.293400000002"/>
    <n v="14226.293400000002"/>
    <x v="4"/>
    <s v="2100"/>
    <s v="000"/>
    <x v="0"/>
    <x v="2"/>
  </r>
  <r>
    <d v="2013-10-20T00:00:00"/>
    <s v="020-2210-000"/>
    <s v="Liquor Sales"/>
    <n v="4986.7523999999994"/>
    <n v="0"/>
    <s v="Daily Sales Import"/>
    <n v="-4986.7523999999994"/>
    <n v="4986.7523999999994"/>
    <x v="4"/>
    <s v="2210"/>
    <s v="000"/>
    <x v="0"/>
    <x v="2"/>
  </r>
  <r>
    <d v="2013-10-20T00:00:00"/>
    <s v="020-2220-000"/>
    <s v="Beer Sales"/>
    <n v="729.97199999999998"/>
    <n v="0"/>
    <s v="Daily Sales Import"/>
    <n v="-729.97199999999998"/>
    <n v="729.97199999999998"/>
    <x v="4"/>
    <s v="2220"/>
    <s v="000"/>
    <x v="0"/>
    <x v="2"/>
  </r>
  <r>
    <d v="2013-10-20T00:00:00"/>
    <s v="020-2230-000"/>
    <s v="Wine Sales"/>
    <n v="164.78279999999998"/>
    <n v="0"/>
    <s v="Daily Sales Import"/>
    <n v="-164.78279999999998"/>
    <n v="164.78279999999998"/>
    <x v="4"/>
    <s v="2230"/>
    <s v="000"/>
    <x v="0"/>
    <x v="2"/>
  </r>
  <r>
    <d v="2013-10-21T00:00:00"/>
    <s v="016-2100-000"/>
    <s v="Food Sales"/>
    <n v="2272.8966"/>
    <n v="0"/>
    <s v="Daily Sales Import"/>
    <n v="-2272.8966"/>
    <n v="2272.8966"/>
    <x v="0"/>
    <s v="2100"/>
    <s v="000"/>
    <x v="0"/>
    <x v="2"/>
  </r>
  <r>
    <d v="2013-10-21T00:00:00"/>
    <s v="016-2210-000"/>
    <s v="Liquor Sales"/>
    <n v="586.17459999999994"/>
    <n v="0"/>
    <s v="Daily Sales Import"/>
    <n v="-586.17459999999994"/>
    <n v="586.17459999999994"/>
    <x v="0"/>
    <s v="2210"/>
    <s v="000"/>
    <x v="0"/>
    <x v="2"/>
  </r>
  <r>
    <d v="2013-10-21T00:00:00"/>
    <s v="016-2220-000"/>
    <s v="Beer Sales"/>
    <n v="127.836"/>
    <n v="0"/>
    <s v="Daily Sales Import"/>
    <n v="-127.836"/>
    <n v="127.836"/>
    <x v="0"/>
    <s v="2220"/>
    <s v="000"/>
    <x v="0"/>
    <x v="2"/>
  </r>
  <r>
    <d v="2013-10-21T00:00:00"/>
    <s v="016-2230-000"/>
    <s v="Wine Sales"/>
    <n v="25.511199999999999"/>
    <n v="0"/>
    <s v="Daily Sales Import"/>
    <n v="-25.511199999999999"/>
    <n v="25.511199999999999"/>
    <x v="0"/>
    <s v="2230"/>
    <s v="000"/>
    <x v="0"/>
    <x v="2"/>
  </r>
  <r>
    <d v="2013-10-22T00:00:00"/>
    <s v="016-2100-000"/>
    <s v="Food Sales"/>
    <n v="8207.2284"/>
    <n v="0"/>
    <s v="Daily Sales Import"/>
    <n v="-8207.2284"/>
    <n v="8207.2284"/>
    <x v="0"/>
    <s v="2100"/>
    <s v="000"/>
    <x v="0"/>
    <x v="2"/>
  </r>
  <r>
    <d v="2013-10-22T00:00:00"/>
    <s v="016-2210-000"/>
    <s v="Liquor Sales"/>
    <n v="1620.848"/>
    <n v="0"/>
    <s v="Daily Sales Import"/>
    <n v="-1620.848"/>
    <n v="1620.848"/>
    <x v="0"/>
    <s v="2210"/>
    <s v="000"/>
    <x v="0"/>
    <x v="2"/>
  </r>
  <r>
    <d v="2013-10-22T00:00:00"/>
    <s v="016-2220-000"/>
    <s v="Beer Sales"/>
    <n v="434.59680000000003"/>
    <n v="0"/>
    <s v="Daily Sales Import"/>
    <n v="-434.59680000000003"/>
    <n v="434.59680000000003"/>
    <x v="0"/>
    <s v="2220"/>
    <s v="000"/>
    <x v="0"/>
    <x v="2"/>
  </r>
  <r>
    <d v="2013-10-22T00:00:00"/>
    <s v="016-2230-000"/>
    <s v="Wine Sales"/>
    <n v="87.162899999999993"/>
    <n v="0"/>
    <s v="Daily Sales Import"/>
    <n v="-87.162899999999993"/>
    <n v="87.162899999999993"/>
    <x v="0"/>
    <s v="2230"/>
    <s v="000"/>
    <x v="0"/>
    <x v="2"/>
  </r>
  <r>
    <d v="2013-10-23T00:00:00"/>
    <s v="016-2100-000"/>
    <s v="Food Sales"/>
    <n v="1915.4876999999999"/>
    <n v="0"/>
    <s v="Daily Sales Import"/>
    <n v="-1915.4876999999999"/>
    <n v="1915.4876999999999"/>
    <x v="0"/>
    <s v="2100"/>
    <s v="000"/>
    <x v="0"/>
    <x v="2"/>
  </r>
  <r>
    <d v="2013-10-23T00:00:00"/>
    <s v="016-2210-000"/>
    <s v="Liquor Sales"/>
    <n v="351.0496"/>
    <n v="0"/>
    <s v="Daily Sales Import"/>
    <n v="-351.0496"/>
    <n v="351.0496"/>
    <x v="0"/>
    <s v="2210"/>
    <s v="000"/>
    <x v="0"/>
    <x v="2"/>
  </r>
  <r>
    <d v="2013-10-23T00:00:00"/>
    <s v="016-2220-000"/>
    <s v="Beer Sales"/>
    <n v="80.926300000000012"/>
    <n v="0"/>
    <s v="Daily Sales Import"/>
    <n v="-80.926300000000012"/>
    <n v="80.926300000000012"/>
    <x v="0"/>
    <s v="2220"/>
    <s v="000"/>
    <x v="0"/>
    <x v="2"/>
  </r>
  <r>
    <d v="2013-10-23T00:00:00"/>
    <s v="016-2230-000"/>
    <s v="Wine Sales"/>
    <n v="60.147999999999996"/>
    <n v="0"/>
    <s v="Daily Sales Import"/>
    <n v="-60.147999999999996"/>
    <n v="60.147999999999996"/>
    <x v="0"/>
    <s v="2230"/>
    <s v="000"/>
    <x v="0"/>
    <x v="2"/>
  </r>
  <r>
    <d v="2013-10-24T00:00:00"/>
    <s v="016-2100-000"/>
    <s v="Food Sales"/>
    <n v="1786.2180000000001"/>
    <n v="0"/>
    <s v="Daily Sales Import"/>
    <n v="-1786.2180000000001"/>
    <n v="1786.2180000000001"/>
    <x v="0"/>
    <s v="2100"/>
    <s v="000"/>
    <x v="0"/>
    <x v="2"/>
  </r>
  <r>
    <d v="2013-10-24T00:00:00"/>
    <s v="016-2210-000"/>
    <s v="Liquor Sales"/>
    <n v="466.26800000000003"/>
    <n v="0"/>
    <s v="Daily Sales Import"/>
    <n v="-466.26800000000003"/>
    <n v="466.26800000000003"/>
    <x v="0"/>
    <s v="2210"/>
    <s v="000"/>
    <x v="0"/>
    <x v="2"/>
  </r>
  <r>
    <d v="2013-10-24T00:00:00"/>
    <s v="016-2220-000"/>
    <s v="Beer Sales"/>
    <n v="146.5959"/>
    <n v="0"/>
    <s v="Daily Sales Import"/>
    <n v="-146.5959"/>
    <n v="146.5959"/>
    <x v="0"/>
    <s v="2220"/>
    <s v="000"/>
    <x v="0"/>
    <x v="2"/>
  </r>
  <r>
    <d v="2013-10-24T00:00:00"/>
    <s v="016-2230-000"/>
    <s v="Wine Sales"/>
    <n v="17.6904"/>
    <n v="0"/>
    <s v="Daily Sales Import"/>
    <n v="-17.6904"/>
    <n v="17.6904"/>
    <x v="0"/>
    <s v="2230"/>
    <s v="000"/>
    <x v="0"/>
    <x v="2"/>
  </r>
  <r>
    <d v="2013-10-25T00:00:00"/>
    <s v="016-2100-000"/>
    <s v="Food Sales"/>
    <n v="4324.0598"/>
    <n v="0"/>
    <s v="Daily Sales Import"/>
    <n v="-4324.0598"/>
    <n v="4324.0598"/>
    <x v="0"/>
    <s v="2100"/>
    <s v="000"/>
    <x v="0"/>
    <x v="2"/>
  </r>
  <r>
    <d v="2013-10-25T00:00:00"/>
    <s v="016-2210-000"/>
    <s v="Liquor Sales"/>
    <n v="1764.4535999999998"/>
    <n v="0"/>
    <s v="Daily Sales Import"/>
    <n v="-1764.4535999999998"/>
    <n v="1764.4535999999998"/>
    <x v="0"/>
    <s v="2210"/>
    <s v="000"/>
    <x v="0"/>
    <x v="2"/>
  </r>
  <r>
    <d v="2013-10-25T00:00:00"/>
    <s v="016-2220-000"/>
    <s v="Beer Sales"/>
    <n v="355.02750000000003"/>
    <n v="0"/>
    <s v="Daily Sales Import"/>
    <n v="-355.02750000000003"/>
    <n v="355.02750000000003"/>
    <x v="0"/>
    <s v="2220"/>
    <s v="000"/>
    <x v="0"/>
    <x v="2"/>
  </r>
  <r>
    <d v="2013-10-25T00:00:00"/>
    <s v="016-2230-000"/>
    <s v="Wine Sales"/>
    <n v="143.18189999999998"/>
    <n v="0"/>
    <s v="Daily Sales Import"/>
    <n v="-143.18189999999998"/>
    <n v="143.18189999999998"/>
    <x v="0"/>
    <s v="2230"/>
    <s v="000"/>
    <x v="0"/>
    <x v="2"/>
  </r>
  <r>
    <d v="2013-10-26T00:00:00"/>
    <s v="016-2100-000"/>
    <s v="Food Sales"/>
    <n v="5543.3785000000007"/>
    <n v="0"/>
    <s v="Daily Sales Import"/>
    <n v="-5543.3785000000007"/>
    <n v="5543.3785000000007"/>
    <x v="0"/>
    <s v="2100"/>
    <s v="000"/>
    <x v="0"/>
    <x v="2"/>
  </r>
  <r>
    <d v="2013-10-26T00:00:00"/>
    <s v="016-2210-000"/>
    <s v="Liquor Sales"/>
    <n v="2180.268"/>
    <n v="0"/>
    <s v="Daily Sales Import"/>
    <n v="-2180.268"/>
    <n v="2180.268"/>
    <x v="0"/>
    <s v="2210"/>
    <s v="000"/>
    <x v="0"/>
    <x v="2"/>
  </r>
  <r>
    <d v="2013-10-26T00:00:00"/>
    <s v="016-2220-000"/>
    <s v="Beer Sales"/>
    <n v="318.67920000000004"/>
    <n v="0"/>
    <s v="Daily Sales Import"/>
    <n v="-318.67920000000004"/>
    <n v="318.67920000000004"/>
    <x v="0"/>
    <s v="2220"/>
    <s v="000"/>
    <x v="0"/>
    <x v="2"/>
  </r>
  <r>
    <d v="2013-10-26T00:00:00"/>
    <s v="016-2230-000"/>
    <s v="Wine Sales"/>
    <n v="219.40559999999999"/>
    <n v="0"/>
    <s v="Daily Sales Import"/>
    <n v="-219.40559999999999"/>
    <n v="219.40559999999999"/>
    <x v="0"/>
    <s v="2230"/>
    <s v="000"/>
    <x v="0"/>
    <x v="2"/>
  </r>
  <r>
    <d v="2013-10-27T00:00:00"/>
    <s v="016-2100-000"/>
    <s v="Food Sales"/>
    <n v="3030.6329999999998"/>
    <n v="0"/>
    <s v="Daily Sales Import"/>
    <n v="-3030.6329999999998"/>
    <n v="3030.6329999999998"/>
    <x v="0"/>
    <s v="2100"/>
    <s v="000"/>
    <x v="0"/>
    <x v="2"/>
  </r>
  <r>
    <d v="2013-10-27T00:00:00"/>
    <s v="016-2210-000"/>
    <s v="Liquor Sales"/>
    <n v="404.98779999999994"/>
    <n v="0"/>
    <s v="Daily Sales Import"/>
    <n v="-404.98779999999994"/>
    <n v="404.98779999999994"/>
    <x v="0"/>
    <s v="2210"/>
    <s v="000"/>
    <x v="0"/>
    <x v="2"/>
  </r>
  <r>
    <d v="2013-10-27T00:00:00"/>
    <s v="016-2220-000"/>
    <s v="Beer Sales"/>
    <n v="164.55600000000001"/>
    <n v="0"/>
    <s v="Daily Sales Import"/>
    <n v="-164.55600000000001"/>
    <n v="164.55600000000001"/>
    <x v="0"/>
    <s v="2220"/>
    <s v="000"/>
    <x v="0"/>
    <x v="2"/>
  </r>
  <r>
    <d v="2013-10-27T00:00:00"/>
    <s v="016-2230-000"/>
    <s v="Wine Sales"/>
    <n v="43.140799999999999"/>
    <n v="0"/>
    <s v="Daily Sales Import"/>
    <n v="-43.140799999999999"/>
    <n v="43.140799999999999"/>
    <x v="0"/>
    <s v="2230"/>
    <s v="000"/>
    <x v="0"/>
    <x v="2"/>
  </r>
  <r>
    <d v="2013-10-21T00:00:00"/>
    <s v="017-2100-000"/>
    <s v="Food Sales"/>
    <n v="4732.2467999999999"/>
    <n v="0"/>
    <s v="Daily Sales Import"/>
    <n v="-4732.2467999999999"/>
    <n v="4732.2467999999999"/>
    <x v="1"/>
    <s v="2100"/>
    <s v="000"/>
    <x v="0"/>
    <x v="2"/>
  </r>
  <r>
    <d v="2013-10-21T00:00:00"/>
    <s v="017-2210-000"/>
    <s v="Liquor Sales"/>
    <n v="787.73910000000001"/>
    <n v="0"/>
    <s v="Daily Sales Import"/>
    <n v="-787.73910000000001"/>
    <n v="787.73910000000001"/>
    <x v="1"/>
    <s v="2210"/>
    <s v="000"/>
    <x v="0"/>
    <x v="2"/>
  </r>
  <r>
    <d v="2013-10-21T00:00:00"/>
    <s v="017-2220-000"/>
    <s v="Beer Sales"/>
    <n v="170.9829"/>
    <n v="0"/>
    <s v="Daily Sales Import"/>
    <n v="-170.9829"/>
    <n v="170.9829"/>
    <x v="1"/>
    <s v="2220"/>
    <s v="000"/>
    <x v="0"/>
    <x v="2"/>
  </r>
  <r>
    <d v="2013-10-21T00:00:00"/>
    <s v="017-2230-000"/>
    <s v="Wine Sales"/>
    <n v="150.97069999999999"/>
    <n v="0"/>
    <s v="Daily Sales Import"/>
    <n v="-150.97069999999999"/>
    <n v="150.97069999999999"/>
    <x v="1"/>
    <s v="2230"/>
    <s v="000"/>
    <x v="0"/>
    <x v="2"/>
  </r>
  <r>
    <d v="2013-10-22T00:00:00"/>
    <s v="017-2100-000"/>
    <s v="Food Sales"/>
    <n v="6401.4140000000007"/>
    <n v="0"/>
    <s v="Daily Sales Import"/>
    <n v="-6401.4140000000007"/>
    <n v="6401.4140000000007"/>
    <x v="1"/>
    <s v="2100"/>
    <s v="000"/>
    <x v="0"/>
    <x v="2"/>
  </r>
  <r>
    <d v="2013-10-22T00:00:00"/>
    <s v="017-2210-000"/>
    <s v="Liquor Sales"/>
    <n v="1952.2595000000001"/>
    <n v="0"/>
    <s v="Daily Sales Import"/>
    <n v="-1952.2595000000001"/>
    <n v="1952.2595000000001"/>
    <x v="1"/>
    <s v="2210"/>
    <s v="000"/>
    <x v="0"/>
    <x v="2"/>
  </r>
  <r>
    <d v="2013-10-22T00:00:00"/>
    <s v="017-2220-000"/>
    <s v="Beer Sales"/>
    <n v="551.16800000000001"/>
    <n v="0"/>
    <s v="Daily Sales Import"/>
    <n v="-551.16800000000001"/>
    <n v="551.16800000000001"/>
    <x v="1"/>
    <s v="2220"/>
    <s v="000"/>
    <x v="0"/>
    <x v="2"/>
  </r>
  <r>
    <d v="2013-10-22T00:00:00"/>
    <s v="017-2230-000"/>
    <s v="Wine Sales"/>
    <n v="318.80400000000003"/>
    <n v="0"/>
    <s v="Daily Sales Import"/>
    <n v="-318.80400000000003"/>
    <n v="318.80400000000003"/>
    <x v="1"/>
    <s v="2230"/>
    <s v="000"/>
    <x v="0"/>
    <x v="2"/>
  </r>
  <r>
    <d v="2013-10-23T00:00:00"/>
    <s v="017-2100-000"/>
    <s v="Food Sales"/>
    <n v="4315.3425999999999"/>
    <n v="0"/>
    <s v="Daily Sales Import"/>
    <n v="-4315.3425999999999"/>
    <n v="4315.3425999999999"/>
    <x v="1"/>
    <s v="2100"/>
    <s v="000"/>
    <x v="0"/>
    <x v="2"/>
  </r>
  <r>
    <d v="2013-10-23T00:00:00"/>
    <s v="017-2210-000"/>
    <s v="Liquor Sales"/>
    <n v="1323.2299"/>
    <n v="0"/>
    <s v="Daily Sales Import"/>
    <n v="-1323.2299"/>
    <n v="1323.2299"/>
    <x v="1"/>
    <s v="2210"/>
    <s v="000"/>
    <x v="0"/>
    <x v="2"/>
  </r>
  <r>
    <d v="2013-10-23T00:00:00"/>
    <s v="017-2220-000"/>
    <s v="Beer Sales"/>
    <n v="378.88560000000001"/>
    <n v="0"/>
    <s v="Daily Sales Import"/>
    <n v="-378.88560000000001"/>
    <n v="378.88560000000001"/>
    <x v="1"/>
    <s v="2220"/>
    <s v="000"/>
    <x v="0"/>
    <x v="2"/>
  </r>
  <r>
    <d v="2013-10-23T00:00:00"/>
    <s v="017-2230-000"/>
    <s v="Wine Sales"/>
    <n v="116.7114"/>
    <n v="0"/>
    <s v="Daily Sales Import"/>
    <n v="-116.7114"/>
    <n v="116.7114"/>
    <x v="1"/>
    <s v="2230"/>
    <s v="000"/>
    <x v="0"/>
    <x v="2"/>
  </r>
  <r>
    <d v="2013-10-24T00:00:00"/>
    <s v="017-2100-000"/>
    <s v="Food Sales"/>
    <n v="5245.255799999999"/>
    <n v="0"/>
    <s v="Daily Sales Import"/>
    <n v="-5245.255799999999"/>
    <n v="5245.255799999999"/>
    <x v="1"/>
    <s v="2100"/>
    <s v="000"/>
    <x v="0"/>
    <x v="2"/>
  </r>
  <r>
    <d v="2013-10-24T00:00:00"/>
    <s v="017-2210-000"/>
    <s v="Liquor Sales"/>
    <n v="2009.7525000000001"/>
    <n v="0"/>
    <s v="Daily Sales Import"/>
    <n v="-2009.7525000000001"/>
    <n v="2009.7525000000001"/>
    <x v="1"/>
    <s v="2210"/>
    <s v="000"/>
    <x v="0"/>
    <x v="2"/>
  </r>
  <r>
    <d v="2013-10-24T00:00:00"/>
    <s v="017-2220-000"/>
    <s v="Beer Sales"/>
    <n v="511.73849999999993"/>
    <n v="0"/>
    <s v="Daily Sales Import"/>
    <n v="-511.73849999999993"/>
    <n v="511.73849999999993"/>
    <x v="1"/>
    <s v="2220"/>
    <s v="000"/>
    <x v="0"/>
    <x v="2"/>
  </r>
  <r>
    <d v="2013-10-24T00:00:00"/>
    <s v="017-2230-000"/>
    <s v="Wine Sales"/>
    <n v="121.35600000000001"/>
    <n v="0"/>
    <s v="Daily Sales Import"/>
    <n v="-121.35600000000001"/>
    <n v="121.35600000000001"/>
    <x v="1"/>
    <s v="2230"/>
    <s v="000"/>
    <x v="0"/>
    <x v="2"/>
  </r>
  <r>
    <d v="2013-10-25T00:00:00"/>
    <s v="017-2100-000"/>
    <s v="Food Sales"/>
    <n v="4957.5963999999994"/>
    <n v="0"/>
    <s v="Daily Sales Import"/>
    <n v="-4957.5963999999994"/>
    <n v="4957.5963999999994"/>
    <x v="1"/>
    <s v="2100"/>
    <s v="000"/>
    <x v="0"/>
    <x v="2"/>
  </r>
  <r>
    <d v="2013-10-25T00:00:00"/>
    <s v="017-2210-000"/>
    <s v="Liquor Sales"/>
    <n v="1940.9273000000001"/>
    <n v="0"/>
    <s v="Daily Sales Import"/>
    <n v="-1940.9273000000001"/>
    <n v="1940.9273000000001"/>
    <x v="1"/>
    <s v="2210"/>
    <s v="000"/>
    <x v="0"/>
    <x v="2"/>
  </r>
  <r>
    <d v="2013-10-25T00:00:00"/>
    <s v="017-2220-000"/>
    <s v="Beer Sales"/>
    <n v="302.5385"/>
    <n v="0"/>
    <s v="Daily Sales Import"/>
    <n v="-302.5385"/>
    <n v="302.5385"/>
    <x v="1"/>
    <s v="2220"/>
    <s v="000"/>
    <x v="0"/>
    <x v="2"/>
  </r>
  <r>
    <d v="2013-10-25T00:00:00"/>
    <s v="017-2230-000"/>
    <s v="Wine Sales"/>
    <n v="126.91910000000001"/>
    <n v="0"/>
    <s v="Daily Sales Import"/>
    <n v="-126.91910000000001"/>
    <n v="126.91910000000001"/>
    <x v="1"/>
    <s v="2230"/>
    <s v="000"/>
    <x v="0"/>
    <x v="2"/>
  </r>
  <r>
    <d v="2013-10-26T00:00:00"/>
    <s v="017-2100-000"/>
    <s v="Food Sales"/>
    <n v="6856.7831999999999"/>
    <n v="0"/>
    <s v="Daily Sales Import"/>
    <n v="-6856.7831999999999"/>
    <n v="6856.7831999999999"/>
    <x v="1"/>
    <s v="2100"/>
    <s v="000"/>
    <x v="0"/>
    <x v="2"/>
  </r>
  <r>
    <d v="2013-10-26T00:00:00"/>
    <s v="017-2210-000"/>
    <s v="Liquor Sales"/>
    <n v="2044.8655999999999"/>
    <n v="0"/>
    <s v="Daily Sales Import"/>
    <n v="-2044.8655999999999"/>
    <n v="2044.8655999999999"/>
    <x v="1"/>
    <s v="2210"/>
    <s v="000"/>
    <x v="0"/>
    <x v="2"/>
  </r>
  <r>
    <d v="2013-10-26T00:00:00"/>
    <s v="017-2220-000"/>
    <s v="Beer Sales"/>
    <n v="417.7448"/>
    <n v="0"/>
    <s v="Daily Sales Import"/>
    <n v="-417.7448"/>
    <n v="417.7448"/>
    <x v="1"/>
    <s v="2220"/>
    <s v="000"/>
    <x v="0"/>
    <x v="2"/>
  </r>
  <r>
    <d v="2013-10-26T00:00:00"/>
    <s v="017-2230-000"/>
    <s v="Wine Sales"/>
    <n v="88.077200000000005"/>
    <n v="0"/>
    <s v="Daily Sales Import"/>
    <n v="-88.077200000000005"/>
    <n v="88.077200000000005"/>
    <x v="1"/>
    <s v="2230"/>
    <s v="000"/>
    <x v="0"/>
    <x v="2"/>
  </r>
  <r>
    <d v="2013-10-27T00:00:00"/>
    <s v="017-2100-000"/>
    <s v="Food Sales"/>
    <n v="3732.1217999999999"/>
    <n v="0"/>
    <s v="Daily Sales Import"/>
    <n v="-3732.1217999999999"/>
    <n v="3732.1217999999999"/>
    <x v="1"/>
    <s v="2100"/>
    <s v="000"/>
    <x v="0"/>
    <x v="2"/>
  </r>
  <r>
    <d v="2013-10-27T00:00:00"/>
    <s v="017-2210-000"/>
    <s v="Liquor Sales"/>
    <n v="829.81919999999991"/>
    <n v="0"/>
    <s v="Daily Sales Import"/>
    <n v="-829.81919999999991"/>
    <n v="829.81919999999991"/>
    <x v="1"/>
    <s v="2210"/>
    <s v="000"/>
    <x v="0"/>
    <x v="2"/>
  </r>
  <r>
    <d v="2013-10-27T00:00:00"/>
    <s v="017-2220-000"/>
    <s v="Beer Sales"/>
    <n v="116.55200000000001"/>
    <n v="0"/>
    <s v="Daily Sales Import"/>
    <n v="-116.55200000000001"/>
    <n v="116.55200000000001"/>
    <x v="1"/>
    <s v="2220"/>
    <s v="000"/>
    <x v="0"/>
    <x v="2"/>
  </r>
  <r>
    <d v="2013-10-27T00:00:00"/>
    <s v="017-2230-000"/>
    <s v="Wine Sales"/>
    <n v="97.621999999999986"/>
    <n v="0"/>
    <s v="Daily Sales Import"/>
    <n v="-97.621999999999986"/>
    <n v="97.621999999999986"/>
    <x v="1"/>
    <s v="2230"/>
    <s v="000"/>
    <x v="0"/>
    <x v="2"/>
  </r>
  <r>
    <d v="2013-10-21T00:00:00"/>
    <s v="018-2100-000"/>
    <s v="Food Sales"/>
    <n v="3196.2960000000003"/>
    <n v="0"/>
    <s v="Daily Sales Import"/>
    <n v="-3196.2960000000003"/>
    <n v="3196.2960000000003"/>
    <x v="2"/>
    <s v="2100"/>
    <s v="000"/>
    <x v="0"/>
    <x v="2"/>
  </r>
  <r>
    <d v="2013-10-21T00:00:00"/>
    <s v="018-2210-000"/>
    <s v="Liquor Sales"/>
    <n v="633.69670000000008"/>
    <n v="0"/>
    <s v="Daily Sales Import"/>
    <n v="-633.69670000000008"/>
    <n v="633.69670000000008"/>
    <x v="2"/>
    <s v="2210"/>
    <s v="000"/>
    <x v="0"/>
    <x v="2"/>
  </r>
  <r>
    <d v="2013-10-21T00:00:00"/>
    <s v="018-2220-000"/>
    <s v="Beer Sales"/>
    <n v="157.7415"/>
    <n v="0"/>
    <s v="Daily Sales Import"/>
    <n v="-157.7415"/>
    <n v="157.7415"/>
    <x v="2"/>
    <s v="2220"/>
    <s v="000"/>
    <x v="0"/>
    <x v="2"/>
  </r>
  <r>
    <d v="2013-10-21T00:00:00"/>
    <s v="018-2230-000"/>
    <s v="Wine Sales"/>
    <n v="6.9047999999999998"/>
    <n v="0"/>
    <s v="Daily Sales Import"/>
    <n v="-6.9047999999999998"/>
    <n v="6.9047999999999998"/>
    <x v="2"/>
    <s v="2230"/>
    <s v="000"/>
    <x v="0"/>
    <x v="2"/>
  </r>
  <r>
    <d v="2013-10-22T00:00:00"/>
    <s v="018-2100-000"/>
    <s v="Food Sales"/>
    <n v="3962.4583000000007"/>
    <n v="0"/>
    <s v="Daily Sales Import"/>
    <n v="-3962.4583000000007"/>
    <n v="3962.4583000000007"/>
    <x v="2"/>
    <s v="2100"/>
    <s v="000"/>
    <x v="0"/>
    <x v="2"/>
  </r>
  <r>
    <d v="2013-10-22T00:00:00"/>
    <s v="018-2210-000"/>
    <s v="Liquor Sales"/>
    <n v="971.85270000000003"/>
    <n v="0"/>
    <s v="Daily Sales Import"/>
    <n v="-971.85270000000003"/>
    <n v="971.85270000000003"/>
    <x v="2"/>
    <s v="2210"/>
    <s v="000"/>
    <x v="0"/>
    <x v="2"/>
  </r>
  <r>
    <d v="2013-10-22T00:00:00"/>
    <s v="018-2220-000"/>
    <s v="Beer Sales"/>
    <n v="188.39479999999998"/>
    <n v="0"/>
    <s v="Daily Sales Import"/>
    <n v="-188.39479999999998"/>
    <n v="188.39479999999998"/>
    <x v="2"/>
    <s v="2220"/>
    <s v="000"/>
    <x v="0"/>
    <x v="2"/>
  </r>
  <r>
    <d v="2013-10-22T00:00:00"/>
    <s v="018-2230-000"/>
    <s v="Wine Sales"/>
    <n v="46.909199999999998"/>
    <n v="0"/>
    <s v="Daily Sales Import"/>
    <n v="-46.909199999999998"/>
    <n v="46.909199999999998"/>
    <x v="2"/>
    <s v="2230"/>
    <s v="000"/>
    <x v="0"/>
    <x v="2"/>
  </r>
  <r>
    <d v="2013-10-23T00:00:00"/>
    <s v="018-2100-000"/>
    <s v="Food Sales"/>
    <n v="4448.4209999999994"/>
    <n v="0"/>
    <s v="Daily Sales Import"/>
    <n v="-4448.4209999999994"/>
    <n v="4448.4209999999994"/>
    <x v="2"/>
    <s v="2100"/>
    <s v="000"/>
    <x v="0"/>
    <x v="2"/>
  </r>
  <r>
    <d v="2013-10-23T00:00:00"/>
    <s v="018-2210-000"/>
    <s v="Liquor Sales"/>
    <n v="745.81530000000009"/>
    <n v="0"/>
    <s v="Daily Sales Import"/>
    <n v="-745.81530000000009"/>
    <n v="745.81530000000009"/>
    <x v="2"/>
    <s v="2210"/>
    <s v="000"/>
    <x v="0"/>
    <x v="2"/>
  </r>
  <r>
    <d v="2013-10-23T00:00:00"/>
    <s v="018-2220-000"/>
    <s v="Beer Sales"/>
    <n v="143.845"/>
    <n v="0"/>
    <s v="Daily Sales Import"/>
    <n v="-143.845"/>
    <n v="143.845"/>
    <x v="2"/>
    <s v="2220"/>
    <s v="000"/>
    <x v="0"/>
    <x v="2"/>
  </r>
  <r>
    <d v="2013-10-23T00:00:00"/>
    <s v="018-2230-000"/>
    <s v="Wine Sales"/>
    <n v="28.240200000000002"/>
    <n v="0"/>
    <s v="Daily Sales Import"/>
    <n v="-28.240200000000002"/>
    <n v="28.240200000000002"/>
    <x v="2"/>
    <s v="2230"/>
    <s v="000"/>
    <x v="0"/>
    <x v="2"/>
  </r>
  <r>
    <d v="2013-10-24T00:00:00"/>
    <s v="018-2100-000"/>
    <s v="Food Sales"/>
    <n v="3636.7131000000004"/>
    <n v="0"/>
    <s v="Daily Sales Import"/>
    <n v="-3636.7131000000004"/>
    <n v="3636.7131000000004"/>
    <x v="2"/>
    <s v="2100"/>
    <s v="000"/>
    <x v="0"/>
    <x v="2"/>
  </r>
  <r>
    <d v="2013-10-24T00:00:00"/>
    <s v="018-2210-000"/>
    <s v="Liquor Sales"/>
    <n v="565.23540000000003"/>
    <n v="0"/>
    <s v="Daily Sales Import"/>
    <n v="-565.23540000000003"/>
    <n v="565.23540000000003"/>
    <x v="2"/>
    <s v="2210"/>
    <s v="000"/>
    <x v="0"/>
    <x v="2"/>
  </r>
  <r>
    <d v="2013-10-24T00:00:00"/>
    <s v="018-2220-000"/>
    <s v="Beer Sales"/>
    <n v="211.32390000000001"/>
    <n v="0"/>
    <s v="Daily Sales Import"/>
    <n v="-211.32390000000001"/>
    <n v="211.32390000000001"/>
    <x v="2"/>
    <s v="2220"/>
    <s v="000"/>
    <x v="0"/>
    <x v="2"/>
  </r>
  <r>
    <d v="2013-10-24T00:00:00"/>
    <s v="018-2230-000"/>
    <s v="Wine Sales"/>
    <n v="73.71759999999999"/>
    <n v="0"/>
    <s v="Daily Sales Import"/>
    <n v="-73.71759999999999"/>
    <n v="73.71759999999999"/>
    <x v="2"/>
    <s v="2230"/>
    <s v="000"/>
    <x v="0"/>
    <x v="2"/>
  </r>
  <r>
    <d v="2013-10-25T00:00:00"/>
    <s v="018-2100-000"/>
    <s v="Food Sales"/>
    <n v="6924.8103000000001"/>
    <n v="0"/>
    <s v="Daily Sales Import"/>
    <n v="-6924.8103000000001"/>
    <n v="6924.8103000000001"/>
    <x v="2"/>
    <s v="2100"/>
    <s v="000"/>
    <x v="0"/>
    <x v="2"/>
  </r>
  <r>
    <d v="2013-10-25T00:00:00"/>
    <s v="018-2210-000"/>
    <s v="Liquor Sales"/>
    <n v="2016.2462"/>
    <n v="0"/>
    <s v="Daily Sales Import"/>
    <n v="-2016.2462"/>
    <n v="2016.2462"/>
    <x v="2"/>
    <s v="2210"/>
    <s v="000"/>
    <x v="0"/>
    <x v="2"/>
  </r>
  <r>
    <d v="2013-10-25T00:00:00"/>
    <s v="018-2220-000"/>
    <s v="Beer Sales"/>
    <n v="452.56959999999998"/>
    <n v="0"/>
    <s v="Daily Sales Import"/>
    <n v="-452.56959999999998"/>
    <n v="452.56959999999998"/>
    <x v="2"/>
    <s v="2220"/>
    <s v="000"/>
    <x v="0"/>
    <x v="2"/>
  </r>
  <r>
    <d v="2013-10-25T00:00:00"/>
    <s v="018-2230-000"/>
    <s v="Wine Sales"/>
    <n v="39.777799999999999"/>
    <n v="0"/>
    <s v="Daily Sales Import"/>
    <n v="-39.777799999999999"/>
    <n v="39.777799999999999"/>
    <x v="2"/>
    <s v="2230"/>
    <s v="000"/>
    <x v="0"/>
    <x v="2"/>
  </r>
  <r>
    <d v="2013-10-26T00:00:00"/>
    <s v="018-2100-000"/>
    <s v="Food Sales"/>
    <n v="16895.851699999999"/>
    <n v="0"/>
    <s v="Daily Sales Import"/>
    <n v="-16895.851699999999"/>
    <n v="16895.851699999999"/>
    <x v="2"/>
    <s v="2100"/>
    <s v="000"/>
    <x v="0"/>
    <x v="2"/>
  </r>
  <r>
    <d v="2013-10-26T00:00:00"/>
    <s v="018-2210-000"/>
    <s v="Liquor Sales"/>
    <n v="2328.2739999999999"/>
    <n v="0"/>
    <s v="Daily Sales Import"/>
    <n v="-2328.2739999999999"/>
    <n v="2328.2739999999999"/>
    <x v="2"/>
    <s v="2210"/>
    <s v="000"/>
    <x v="0"/>
    <x v="2"/>
  </r>
  <r>
    <d v="2013-10-26T00:00:00"/>
    <s v="018-2220-000"/>
    <s v="Beer Sales"/>
    <n v="917.43299999999999"/>
    <n v="0"/>
    <s v="Daily Sales Import"/>
    <n v="-917.43299999999999"/>
    <n v="917.43299999999999"/>
    <x v="2"/>
    <s v="2220"/>
    <s v="000"/>
    <x v="0"/>
    <x v="2"/>
  </r>
  <r>
    <d v="2013-10-26T00:00:00"/>
    <s v="018-2230-000"/>
    <s v="Wine Sales"/>
    <n v="108.042"/>
    <n v="0"/>
    <s v="Daily Sales Import"/>
    <n v="-108.042"/>
    <n v="108.042"/>
    <x v="2"/>
    <s v="2230"/>
    <s v="000"/>
    <x v="0"/>
    <x v="2"/>
  </r>
  <r>
    <d v="2013-10-27T00:00:00"/>
    <s v="018-2100-000"/>
    <s v="Food Sales"/>
    <n v="10296.9216"/>
    <n v="0"/>
    <s v="Daily Sales Import"/>
    <n v="-10296.9216"/>
    <n v="10296.9216"/>
    <x v="2"/>
    <s v="2100"/>
    <s v="000"/>
    <x v="0"/>
    <x v="2"/>
  </r>
  <r>
    <d v="2013-10-27T00:00:00"/>
    <s v="018-2210-000"/>
    <s v="Liquor Sales"/>
    <n v="1428.46"/>
    <n v="0"/>
    <s v="Daily Sales Import"/>
    <n v="-1428.46"/>
    <n v="1428.46"/>
    <x v="2"/>
    <s v="2210"/>
    <s v="000"/>
    <x v="0"/>
    <x v="2"/>
  </r>
  <r>
    <d v="2013-10-27T00:00:00"/>
    <s v="018-2220-000"/>
    <s v="Beer Sales"/>
    <n v="185.36619999999999"/>
    <n v="0"/>
    <s v="Daily Sales Import"/>
    <n v="-185.36619999999999"/>
    <n v="185.36619999999999"/>
    <x v="2"/>
    <s v="2220"/>
    <s v="000"/>
    <x v="0"/>
    <x v="2"/>
  </r>
  <r>
    <d v="2013-10-27T00:00:00"/>
    <s v="018-2230-000"/>
    <s v="Wine Sales"/>
    <n v="52.595000000000006"/>
    <n v="0"/>
    <s v="Daily Sales Import"/>
    <n v="-52.595000000000006"/>
    <n v="52.595000000000006"/>
    <x v="2"/>
    <s v="2230"/>
    <s v="000"/>
    <x v="0"/>
    <x v="2"/>
  </r>
  <r>
    <d v="2013-10-21T00:00:00"/>
    <s v="019-2100-000"/>
    <s v="Food Sales"/>
    <n v="4353.5536000000002"/>
    <n v="0"/>
    <s v="Daily Sales Import"/>
    <n v="-4353.5536000000002"/>
    <n v="4353.5536000000002"/>
    <x v="3"/>
    <s v="2100"/>
    <s v="000"/>
    <x v="0"/>
    <x v="2"/>
  </r>
  <r>
    <d v="2013-10-21T00:00:00"/>
    <s v="019-2210-000"/>
    <s v="Liquor Sales"/>
    <n v="738.70519999999999"/>
    <n v="0"/>
    <s v="Daily Sales Import"/>
    <n v="-738.70519999999999"/>
    <n v="738.70519999999999"/>
    <x v="3"/>
    <s v="2210"/>
    <s v="000"/>
    <x v="0"/>
    <x v="2"/>
  </r>
  <r>
    <d v="2013-10-21T00:00:00"/>
    <s v="019-2220-000"/>
    <s v="Beer Sales"/>
    <n v="346.09679999999997"/>
    <n v="0"/>
    <s v="Daily Sales Import"/>
    <n v="-346.09679999999997"/>
    <n v="346.09679999999997"/>
    <x v="3"/>
    <s v="2220"/>
    <s v="000"/>
    <x v="0"/>
    <x v="2"/>
  </r>
  <r>
    <d v="2013-10-21T00:00:00"/>
    <s v="019-2230-000"/>
    <s v="Wine Sales"/>
    <n v="94.032900000000012"/>
    <n v="0"/>
    <s v="Daily Sales Import"/>
    <n v="-94.032900000000012"/>
    <n v="94.032900000000012"/>
    <x v="3"/>
    <s v="2230"/>
    <s v="000"/>
    <x v="0"/>
    <x v="2"/>
  </r>
  <r>
    <d v="2013-10-22T00:00:00"/>
    <s v="019-2100-000"/>
    <s v="Food Sales"/>
    <n v="3394.1106999999997"/>
    <n v="0"/>
    <s v="Daily Sales Import"/>
    <n v="-3394.1106999999997"/>
    <n v="3394.1106999999997"/>
    <x v="3"/>
    <s v="2100"/>
    <s v="000"/>
    <x v="0"/>
    <x v="2"/>
  </r>
  <r>
    <d v="2013-10-22T00:00:00"/>
    <s v="019-2210-000"/>
    <s v="Liquor Sales"/>
    <n v="1590.5337999999999"/>
    <n v="0"/>
    <s v="Daily Sales Import"/>
    <n v="-1590.5337999999999"/>
    <n v="1590.5337999999999"/>
    <x v="3"/>
    <s v="2210"/>
    <s v="000"/>
    <x v="0"/>
    <x v="2"/>
  </r>
  <r>
    <d v="2013-10-22T00:00:00"/>
    <s v="019-2220-000"/>
    <s v="Beer Sales"/>
    <n v="276.05760000000004"/>
    <n v="0"/>
    <s v="Daily Sales Import"/>
    <n v="-276.05760000000004"/>
    <n v="276.05760000000004"/>
    <x v="3"/>
    <s v="2220"/>
    <s v="000"/>
    <x v="0"/>
    <x v="2"/>
  </r>
  <r>
    <d v="2013-10-22T00:00:00"/>
    <s v="019-2230-000"/>
    <s v="Wine Sales"/>
    <n v="91.125900000000001"/>
    <n v="0"/>
    <s v="Daily Sales Import"/>
    <n v="-91.125900000000001"/>
    <n v="91.125900000000001"/>
    <x v="3"/>
    <s v="2230"/>
    <s v="000"/>
    <x v="0"/>
    <x v="2"/>
  </r>
  <r>
    <d v="2013-10-23T00:00:00"/>
    <s v="019-2100-000"/>
    <s v="Food Sales"/>
    <n v="5374.9155000000001"/>
    <n v="0"/>
    <s v="Daily Sales Import"/>
    <n v="-5374.9155000000001"/>
    <n v="5374.9155000000001"/>
    <x v="3"/>
    <s v="2100"/>
    <s v="000"/>
    <x v="0"/>
    <x v="2"/>
  </r>
  <r>
    <d v="2013-10-23T00:00:00"/>
    <s v="019-2210-000"/>
    <s v="Liquor Sales"/>
    <n v="1783.8536999999999"/>
    <n v="0"/>
    <s v="Daily Sales Import"/>
    <n v="-1783.8536999999999"/>
    <n v="1783.8536999999999"/>
    <x v="3"/>
    <s v="2210"/>
    <s v="000"/>
    <x v="0"/>
    <x v="2"/>
  </r>
  <r>
    <d v="2013-10-23T00:00:00"/>
    <s v="019-2220-000"/>
    <s v="Beer Sales"/>
    <n v="286.71359999999999"/>
    <n v="0"/>
    <s v="Daily Sales Import"/>
    <n v="-286.71359999999999"/>
    <n v="286.71359999999999"/>
    <x v="3"/>
    <s v="2220"/>
    <s v="000"/>
    <x v="0"/>
    <x v="2"/>
  </r>
  <r>
    <d v="2013-10-23T00:00:00"/>
    <s v="019-2230-000"/>
    <s v="Wine Sales"/>
    <n v="75.429199999999994"/>
    <n v="0"/>
    <s v="Daily Sales Import"/>
    <n v="-75.429199999999994"/>
    <n v="75.429199999999994"/>
    <x v="3"/>
    <s v="2230"/>
    <s v="000"/>
    <x v="0"/>
    <x v="2"/>
  </r>
  <r>
    <d v="2013-10-24T00:00:00"/>
    <s v="019-2100-000"/>
    <s v="Food Sales"/>
    <n v="5081.4002999999993"/>
    <n v="0"/>
    <s v="Daily Sales Import"/>
    <n v="-5081.4002999999993"/>
    <n v="5081.4002999999993"/>
    <x v="3"/>
    <s v="2100"/>
    <s v="000"/>
    <x v="0"/>
    <x v="2"/>
  </r>
  <r>
    <d v="2013-10-24T00:00:00"/>
    <s v="019-2210-000"/>
    <s v="Liquor Sales"/>
    <n v="937.33799999999997"/>
    <n v="0"/>
    <s v="Daily Sales Import"/>
    <n v="-937.33799999999997"/>
    <n v="937.33799999999997"/>
    <x v="3"/>
    <s v="2210"/>
    <s v="000"/>
    <x v="0"/>
    <x v="2"/>
  </r>
  <r>
    <d v="2013-10-24T00:00:00"/>
    <s v="019-2220-000"/>
    <s v="Beer Sales"/>
    <n v="529.99760000000003"/>
    <n v="0"/>
    <s v="Daily Sales Import"/>
    <n v="-529.99760000000003"/>
    <n v="529.99760000000003"/>
    <x v="3"/>
    <s v="2220"/>
    <s v="000"/>
    <x v="0"/>
    <x v="2"/>
  </r>
  <r>
    <d v="2013-10-24T00:00:00"/>
    <s v="019-2230-000"/>
    <s v="Wine Sales"/>
    <n v="45.684600000000003"/>
    <n v="0"/>
    <s v="Daily Sales Import"/>
    <n v="-45.684600000000003"/>
    <n v="45.684600000000003"/>
    <x v="3"/>
    <s v="2230"/>
    <s v="000"/>
    <x v="0"/>
    <x v="2"/>
  </r>
  <r>
    <d v="2013-10-25T00:00:00"/>
    <s v="019-2100-000"/>
    <s v="Food Sales"/>
    <n v="3981.5490000000004"/>
    <n v="0"/>
    <s v="Daily Sales Import"/>
    <n v="-3981.5490000000004"/>
    <n v="3981.5490000000004"/>
    <x v="3"/>
    <s v="2100"/>
    <s v="000"/>
    <x v="0"/>
    <x v="2"/>
  </r>
  <r>
    <d v="2013-10-25T00:00:00"/>
    <s v="019-2210-000"/>
    <s v="Liquor Sales"/>
    <n v="2296.6821"/>
    <n v="0"/>
    <s v="Daily Sales Import"/>
    <n v="-2296.6821"/>
    <n v="2296.6821"/>
    <x v="3"/>
    <s v="2210"/>
    <s v="000"/>
    <x v="0"/>
    <x v="2"/>
  </r>
  <r>
    <d v="2013-10-25T00:00:00"/>
    <s v="019-2220-000"/>
    <s v="Beer Sales"/>
    <n v="366.67199999999997"/>
    <n v="0"/>
    <s v="Daily Sales Import"/>
    <n v="-366.67199999999997"/>
    <n v="366.67199999999997"/>
    <x v="3"/>
    <s v="2220"/>
    <s v="000"/>
    <x v="0"/>
    <x v="2"/>
  </r>
  <r>
    <d v="2013-10-25T00:00:00"/>
    <s v="019-2230-000"/>
    <s v="Wine Sales"/>
    <n v="94.497000000000014"/>
    <n v="0"/>
    <s v="Daily Sales Import"/>
    <n v="-94.497000000000014"/>
    <n v="94.497000000000014"/>
    <x v="3"/>
    <s v="2230"/>
    <s v="000"/>
    <x v="0"/>
    <x v="2"/>
  </r>
  <r>
    <d v="2013-10-26T00:00:00"/>
    <s v="019-2100-000"/>
    <s v="Food Sales"/>
    <n v="5220.9707999999991"/>
    <n v="0"/>
    <s v="Daily Sales Import"/>
    <n v="-5220.9707999999991"/>
    <n v="5220.9707999999991"/>
    <x v="3"/>
    <s v="2100"/>
    <s v="000"/>
    <x v="0"/>
    <x v="2"/>
  </r>
  <r>
    <d v="2013-10-26T00:00:00"/>
    <s v="019-2210-000"/>
    <s v="Liquor Sales"/>
    <n v="2214.9375"/>
    <n v="0"/>
    <s v="Daily Sales Import"/>
    <n v="-2214.9375"/>
    <n v="2214.9375"/>
    <x v="3"/>
    <s v="2210"/>
    <s v="000"/>
    <x v="0"/>
    <x v="2"/>
  </r>
  <r>
    <d v="2013-10-26T00:00:00"/>
    <s v="019-2220-000"/>
    <s v="Beer Sales"/>
    <n v="580.21199999999999"/>
    <n v="0"/>
    <s v="Daily Sales Import"/>
    <n v="-580.21199999999999"/>
    <n v="580.21199999999999"/>
    <x v="3"/>
    <s v="2220"/>
    <s v="000"/>
    <x v="0"/>
    <x v="2"/>
  </r>
  <r>
    <d v="2013-10-26T00:00:00"/>
    <s v="019-2230-000"/>
    <s v="Wine Sales"/>
    <n v="113.35170000000001"/>
    <n v="0"/>
    <s v="Daily Sales Import"/>
    <n v="-113.35170000000001"/>
    <n v="113.35170000000001"/>
    <x v="3"/>
    <s v="2230"/>
    <s v="000"/>
    <x v="0"/>
    <x v="2"/>
  </r>
  <r>
    <d v="2013-10-27T00:00:00"/>
    <s v="019-2100-000"/>
    <s v="Food Sales"/>
    <n v="4313.4969999999994"/>
    <n v="0"/>
    <s v="Daily Sales Import"/>
    <n v="-4313.4969999999994"/>
    <n v="4313.4969999999994"/>
    <x v="3"/>
    <s v="2100"/>
    <s v="000"/>
    <x v="0"/>
    <x v="2"/>
  </r>
  <r>
    <d v="2013-10-27T00:00:00"/>
    <s v="019-2210-000"/>
    <s v="Liquor Sales"/>
    <n v="1044.3247999999999"/>
    <n v="0"/>
    <s v="Daily Sales Import"/>
    <n v="-1044.3247999999999"/>
    <n v="1044.3247999999999"/>
    <x v="3"/>
    <s v="2210"/>
    <s v="000"/>
    <x v="0"/>
    <x v="2"/>
  </r>
  <r>
    <d v="2013-10-27T00:00:00"/>
    <s v="019-2220-000"/>
    <s v="Beer Sales"/>
    <n v="295.81439999999998"/>
    <n v="0"/>
    <s v="Daily Sales Import"/>
    <n v="-295.81439999999998"/>
    <n v="295.81439999999998"/>
    <x v="3"/>
    <s v="2220"/>
    <s v="000"/>
    <x v="0"/>
    <x v="2"/>
  </r>
  <r>
    <d v="2013-10-27T00:00:00"/>
    <s v="019-2230-000"/>
    <s v="Wine Sales"/>
    <n v="115.908"/>
    <n v="0"/>
    <s v="Daily Sales Import"/>
    <n v="-115.908"/>
    <n v="115.908"/>
    <x v="3"/>
    <s v="2230"/>
    <s v="000"/>
    <x v="0"/>
    <x v="2"/>
  </r>
  <r>
    <d v="2013-10-21T00:00:00"/>
    <s v="020-2100-000"/>
    <s v="Food Sales"/>
    <n v="9837.0687999999991"/>
    <n v="0"/>
    <s v="Daily Sales Import"/>
    <n v="-9837.0687999999991"/>
    <n v="9837.0687999999991"/>
    <x v="4"/>
    <s v="2100"/>
    <s v="000"/>
    <x v="0"/>
    <x v="2"/>
  </r>
  <r>
    <d v="2013-10-21T00:00:00"/>
    <s v="020-2210-000"/>
    <s v="Liquor Sales"/>
    <n v="2827.2509999999997"/>
    <n v="0"/>
    <s v="Daily Sales Import"/>
    <n v="-2827.2509999999997"/>
    <n v="2827.2509999999997"/>
    <x v="4"/>
    <s v="2210"/>
    <s v="000"/>
    <x v="0"/>
    <x v="2"/>
  </r>
  <r>
    <d v="2013-10-21T00:00:00"/>
    <s v="020-2220-000"/>
    <s v="Beer Sales"/>
    <n v="434.88060000000002"/>
    <n v="0"/>
    <s v="Daily Sales Import"/>
    <n v="-434.88060000000002"/>
    <n v="434.88060000000002"/>
    <x v="4"/>
    <s v="2220"/>
    <s v="000"/>
    <x v="0"/>
    <x v="2"/>
  </r>
  <r>
    <d v="2013-10-21T00:00:00"/>
    <s v="020-2230-000"/>
    <s v="Wine Sales"/>
    <n v="142.09020000000001"/>
    <n v="0"/>
    <s v="Daily Sales Import"/>
    <n v="-142.09020000000001"/>
    <n v="142.09020000000001"/>
    <x v="4"/>
    <s v="2230"/>
    <s v="000"/>
    <x v="0"/>
    <x v="2"/>
  </r>
  <r>
    <d v="2013-10-22T00:00:00"/>
    <s v="020-2100-000"/>
    <s v="Food Sales"/>
    <n v="13790.459499999999"/>
    <n v="0"/>
    <s v="Daily Sales Import"/>
    <n v="-13790.459499999999"/>
    <n v="13790.459499999999"/>
    <x v="4"/>
    <s v="2100"/>
    <s v="000"/>
    <x v="0"/>
    <x v="2"/>
  </r>
  <r>
    <d v="2013-10-22T00:00:00"/>
    <s v="020-2210-000"/>
    <s v="Liquor Sales"/>
    <n v="2732.6711999999998"/>
    <n v="0"/>
    <s v="Daily Sales Import"/>
    <n v="-2732.6711999999998"/>
    <n v="2732.6711999999998"/>
    <x v="4"/>
    <s v="2210"/>
    <s v="000"/>
    <x v="0"/>
    <x v="2"/>
  </r>
  <r>
    <d v="2013-10-22T00:00:00"/>
    <s v="020-2220-000"/>
    <s v="Beer Sales"/>
    <n v="607.28430000000003"/>
    <n v="0"/>
    <s v="Daily Sales Import"/>
    <n v="-607.28430000000003"/>
    <n v="607.28430000000003"/>
    <x v="4"/>
    <s v="2220"/>
    <s v="000"/>
    <x v="0"/>
    <x v="2"/>
  </r>
  <r>
    <d v="2013-10-22T00:00:00"/>
    <s v="020-2230-000"/>
    <s v="Wine Sales"/>
    <n v="130.00900000000001"/>
    <n v="0"/>
    <s v="Daily Sales Import"/>
    <n v="-130.00900000000001"/>
    <n v="130.00900000000001"/>
    <x v="4"/>
    <s v="2230"/>
    <s v="000"/>
    <x v="0"/>
    <x v="2"/>
  </r>
  <r>
    <d v="2013-10-23T00:00:00"/>
    <s v="020-2100-000"/>
    <s v="Food Sales"/>
    <n v="11507.034500000002"/>
    <n v="0"/>
    <s v="Daily Sales Import"/>
    <n v="-11507.034500000002"/>
    <n v="11507.034500000002"/>
    <x v="4"/>
    <s v="2100"/>
    <s v="000"/>
    <x v="0"/>
    <x v="2"/>
  </r>
  <r>
    <d v="2013-10-23T00:00:00"/>
    <s v="020-2210-000"/>
    <s v="Liquor Sales"/>
    <n v="3786.3004999999998"/>
    <n v="0"/>
    <s v="Daily Sales Import"/>
    <n v="-3786.3004999999998"/>
    <n v="3786.3004999999998"/>
    <x v="4"/>
    <s v="2210"/>
    <s v="000"/>
    <x v="0"/>
    <x v="2"/>
  </r>
  <r>
    <d v="2013-10-23T00:00:00"/>
    <s v="020-2220-000"/>
    <s v="Beer Sales"/>
    <n v="861.72149999999999"/>
    <n v="0"/>
    <s v="Daily Sales Import"/>
    <n v="-861.72149999999999"/>
    <n v="861.72149999999999"/>
    <x v="4"/>
    <s v="2220"/>
    <s v="000"/>
    <x v="0"/>
    <x v="2"/>
  </r>
  <r>
    <d v="2013-10-23T00:00:00"/>
    <s v="020-2230-000"/>
    <s v="Wine Sales"/>
    <n v="159.14619999999999"/>
    <n v="0"/>
    <s v="Daily Sales Import"/>
    <n v="-159.14619999999999"/>
    <n v="159.14619999999999"/>
    <x v="4"/>
    <s v="2230"/>
    <s v="000"/>
    <x v="0"/>
    <x v="2"/>
  </r>
  <r>
    <d v="2013-10-24T00:00:00"/>
    <s v="020-2100-000"/>
    <s v="Food Sales"/>
    <n v="13020.181200000001"/>
    <n v="0"/>
    <s v="Daily Sales Import"/>
    <n v="-13020.181200000001"/>
    <n v="13020.181200000001"/>
    <x v="4"/>
    <s v="2100"/>
    <s v="000"/>
    <x v="0"/>
    <x v="2"/>
  </r>
  <r>
    <d v="2013-10-24T00:00:00"/>
    <s v="020-2210-000"/>
    <s v="Liquor Sales"/>
    <n v="4686.3258000000005"/>
    <n v="0"/>
    <s v="Daily Sales Import"/>
    <n v="-4686.3258000000005"/>
    <n v="4686.3258000000005"/>
    <x v="4"/>
    <s v="2210"/>
    <s v="000"/>
    <x v="0"/>
    <x v="2"/>
  </r>
  <r>
    <d v="2013-10-24T00:00:00"/>
    <s v="020-2220-000"/>
    <s v="Beer Sales"/>
    <n v="871.31880000000012"/>
    <n v="0"/>
    <s v="Daily Sales Import"/>
    <n v="-871.31880000000012"/>
    <n v="871.31880000000012"/>
    <x v="4"/>
    <s v="2220"/>
    <s v="000"/>
    <x v="0"/>
    <x v="2"/>
  </r>
  <r>
    <d v="2013-10-24T00:00:00"/>
    <s v="020-2230-000"/>
    <s v="Wine Sales"/>
    <n v="234.67860000000002"/>
    <n v="0"/>
    <s v="Daily Sales Import"/>
    <n v="-234.67860000000002"/>
    <n v="234.67860000000002"/>
    <x v="4"/>
    <s v="2230"/>
    <s v="000"/>
    <x v="0"/>
    <x v="2"/>
  </r>
  <r>
    <d v="2013-10-25T00:00:00"/>
    <s v="020-2100-000"/>
    <s v="Food Sales"/>
    <n v="13614.554599999998"/>
    <n v="0"/>
    <s v="Daily Sales Import"/>
    <n v="-13614.554599999998"/>
    <n v="13614.554599999998"/>
    <x v="4"/>
    <s v="2100"/>
    <s v="000"/>
    <x v="0"/>
    <x v="2"/>
  </r>
  <r>
    <d v="2013-10-25T00:00:00"/>
    <s v="020-2210-000"/>
    <s v="Liquor Sales"/>
    <n v="7690.9520000000011"/>
    <n v="0"/>
    <s v="Daily Sales Import"/>
    <n v="-7690.9520000000011"/>
    <n v="7690.9520000000011"/>
    <x v="4"/>
    <s v="2210"/>
    <s v="000"/>
    <x v="0"/>
    <x v="2"/>
  </r>
  <r>
    <d v="2013-10-25T00:00:00"/>
    <s v="020-2220-000"/>
    <s v="Beer Sales"/>
    <n v="1300.9073000000001"/>
    <n v="0"/>
    <s v="Daily Sales Import"/>
    <n v="-1300.9073000000001"/>
    <n v="1300.9073000000001"/>
    <x v="4"/>
    <s v="2220"/>
    <s v="000"/>
    <x v="0"/>
    <x v="2"/>
  </r>
  <r>
    <d v="2013-10-25T00:00:00"/>
    <s v="020-2230-000"/>
    <s v="Wine Sales"/>
    <n v="272.22719999999998"/>
    <n v="0"/>
    <s v="Daily Sales Import"/>
    <n v="-272.22719999999998"/>
    <n v="272.22719999999998"/>
    <x v="4"/>
    <s v="2230"/>
    <s v="000"/>
    <x v="0"/>
    <x v="2"/>
  </r>
  <r>
    <d v="2013-10-26T00:00:00"/>
    <s v="020-2100-000"/>
    <s v="Food Sales"/>
    <n v="20720.135900000001"/>
    <n v="0"/>
    <s v="Daily Sales Import"/>
    <n v="-20720.135900000001"/>
    <n v="20720.135900000001"/>
    <x v="4"/>
    <s v="2100"/>
    <s v="000"/>
    <x v="0"/>
    <x v="2"/>
  </r>
  <r>
    <d v="2013-10-26T00:00:00"/>
    <s v="020-2210-000"/>
    <s v="Liquor Sales"/>
    <n v="10181.321"/>
    <n v="0"/>
    <s v="Daily Sales Import"/>
    <n v="-10181.321"/>
    <n v="10181.321"/>
    <x v="4"/>
    <s v="2210"/>
    <s v="000"/>
    <x v="0"/>
    <x v="2"/>
  </r>
  <r>
    <d v="2013-10-26T00:00:00"/>
    <s v="020-2220-000"/>
    <s v="Beer Sales"/>
    <n v="1925.9127000000001"/>
    <n v="0"/>
    <s v="Daily Sales Import"/>
    <n v="-1925.9127000000001"/>
    <n v="1925.9127000000001"/>
    <x v="4"/>
    <s v="2220"/>
    <s v="000"/>
    <x v="0"/>
    <x v="2"/>
  </r>
  <r>
    <d v="2013-10-26T00:00:00"/>
    <s v="020-2230-000"/>
    <s v="Wine Sales"/>
    <n v="213.97379999999998"/>
    <n v="0"/>
    <s v="Daily Sales Import"/>
    <n v="-213.97379999999998"/>
    <n v="213.97379999999998"/>
    <x v="4"/>
    <s v="2230"/>
    <s v="000"/>
    <x v="0"/>
    <x v="2"/>
  </r>
  <r>
    <d v="2013-10-27T00:00:00"/>
    <s v="020-2100-000"/>
    <s v="Food Sales"/>
    <n v="15158.725699999999"/>
    <n v="0"/>
    <s v="Daily Sales Import"/>
    <n v="-15158.725699999999"/>
    <n v="15158.725699999999"/>
    <x v="4"/>
    <s v="2100"/>
    <s v="000"/>
    <x v="0"/>
    <x v="2"/>
  </r>
  <r>
    <d v="2013-10-27T00:00:00"/>
    <s v="020-2210-000"/>
    <s v="Liquor Sales"/>
    <n v="5148.9989999999998"/>
    <n v="0"/>
    <s v="Daily Sales Import"/>
    <n v="-5148.9989999999998"/>
    <n v="5148.9989999999998"/>
    <x v="4"/>
    <s v="2210"/>
    <s v="000"/>
    <x v="0"/>
    <x v="2"/>
  </r>
  <r>
    <d v="2013-10-27T00:00:00"/>
    <s v="020-2220-000"/>
    <s v="Beer Sales"/>
    <n v="738.11400000000003"/>
    <n v="0"/>
    <s v="Daily Sales Import"/>
    <n v="-738.11400000000003"/>
    <n v="738.11400000000003"/>
    <x v="4"/>
    <s v="2220"/>
    <s v="000"/>
    <x v="0"/>
    <x v="2"/>
  </r>
  <r>
    <d v="2013-10-27T00:00:00"/>
    <s v="020-2230-000"/>
    <s v="Wine Sales"/>
    <n v="161.4306"/>
    <n v="0"/>
    <s v="Daily Sales Import"/>
    <n v="-161.4306"/>
    <n v="161.4306"/>
    <x v="4"/>
    <s v="2230"/>
    <s v="000"/>
    <x v="0"/>
    <x v="2"/>
  </r>
  <r>
    <d v="2013-10-26T00:00:00"/>
    <s v="016-2100-000"/>
    <s v="Food Sales"/>
    <n v="0"/>
    <n v="10.130000000000001"/>
    <s v="Daily Sales Import"/>
    <n v="10.130000000000001"/>
    <n v="10.130000000000001"/>
    <x v="0"/>
    <s v="2100"/>
    <s v="000"/>
    <x v="0"/>
    <x v="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2">
  <r>
    <d v="2011-10-31T00:00:00"/>
    <s v="016-2100-000"/>
    <s v="Food Sales"/>
    <n v="2084.0463999999997"/>
    <n v="0"/>
    <s v="Daily Sales Import"/>
    <n v="-2084.0463999999997"/>
    <n v="2084.0463999999997"/>
    <x v="0"/>
    <s v="2100"/>
    <s v="000"/>
    <x v="0"/>
    <x v="0"/>
  </r>
  <r>
    <d v="2011-10-31T00:00:00"/>
    <s v="016-2210-000"/>
    <s v="Liquor Sales"/>
    <n v="451.22350000000006"/>
    <n v="0"/>
    <s v="Daily Sales Import"/>
    <n v="-451.22350000000006"/>
    <n v="451.22350000000006"/>
    <x v="0"/>
    <s v="2210"/>
    <s v="000"/>
    <x v="0"/>
    <x v="0"/>
  </r>
  <r>
    <d v="2011-10-31T00:00:00"/>
    <s v="016-2220-000"/>
    <s v="Beer Sales"/>
    <n v="83.314499999999995"/>
    <n v="0"/>
    <s v="Daily Sales Import"/>
    <n v="-83.314499999999995"/>
    <n v="83.314499999999995"/>
    <x v="0"/>
    <s v="2220"/>
    <s v="000"/>
    <x v="0"/>
    <x v="0"/>
  </r>
  <r>
    <d v="2011-10-31T00:00:00"/>
    <s v="016-2230-000"/>
    <s v="Wine Sales"/>
    <n v="76.959999999999994"/>
    <n v="0"/>
    <s v="Daily Sales Import"/>
    <n v="-76.959999999999994"/>
    <n v="76.959999999999994"/>
    <x v="0"/>
    <s v="2230"/>
    <s v="000"/>
    <x v="0"/>
    <x v="0"/>
  </r>
  <r>
    <d v="2011-11-01T00:00:00"/>
    <s v="016-2100-000"/>
    <s v="Food Sales"/>
    <n v="2539.6424999999999"/>
    <n v="0"/>
    <s v="Daily Sales Import"/>
    <n v="-2539.6424999999999"/>
    <n v="2539.6424999999999"/>
    <x v="0"/>
    <s v="2100"/>
    <s v="000"/>
    <x v="1"/>
    <x v="0"/>
  </r>
  <r>
    <d v="2011-11-01T00:00:00"/>
    <s v="016-2210-000"/>
    <s v="Liquor Sales"/>
    <n v="447.46999999999997"/>
    <n v="0"/>
    <s v="Daily Sales Import"/>
    <n v="-447.46999999999997"/>
    <n v="447.46999999999997"/>
    <x v="0"/>
    <s v="2210"/>
    <s v="000"/>
    <x v="1"/>
    <x v="0"/>
  </r>
  <r>
    <d v="2011-11-01T00:00:00"/>
    <s v="016-2220-000"/>
    <s v="Beer Sales"/>
    <n v="145.72699999999998"/>
    <n v="0"/>
    <s v="Daily Sales Import"/>
    <n v="-145.72699999999998"/>
    <n v="145.72699999999998"/>
    <x v="0"/>
    <s v="2220"/>
    <s v="000"/>
    <x v="1"/>
    <x v="0"/>
  </r>
  <r>
    <d v="2011-11-01T00:00:00"/>
    <s v="016-2230-000"/>
    <s v="Wine Sales"/>
    <n v="84.364999999999995"/>
    <n v="0"/>
    <s v="Daily Sales Import"/>
    <n v="-84.364999999999995"/>
    <n v="84.364999999999995"/>
    <x v="0"/>
    <s v="2230"/>
    <s v="000"/>
    <x v="1"/>
    <x v="0"/>
  </r>
  <r>
    <d v="2011-11-02T00:00:00"/>
    <s v="016-2100-000"/>
    <s v="Food Sales"/>
    <n v="2563.9284000000002"/>
    <n v="0"/>
    <s v="Daily Sales Import"/>
    <n v="-2563.9284000000002"/>
    <n v="2563.9284000000002"/>
    <x v="0"/>
    <s v="2100"/>
    <s v="000"/>
    <x v="1"/>
    <x v="0"/>
  </r>
  <r>
    <d v="2011-11-02T00:00:00"/>
    <s v="016-2210-000"/>
    <s v="Liquor Sales"/>
    <n v="622.13900000000001"/>
    <n v="0"/>
    <s v="Daily Sales Import"/>
    <n v="-622.13900000000001"/>
    <n v="622.13900000000001"/>
    <x v="0"/>
    <s v="2210"/>
    <s v="000"/>
    <x v="1"/>
    <x v="0"/>
  </r>
  <r>
    <d v="2011-11-02T00:00:00"/>
    <s v="016-2220-000"/>
    <s v="Beer Sales"/>
    <n v="137.8125"/>
    <n v="0"/>
    <s v="Daily Sales Import"/>
    <n v="-137.8125"/>
    <n v="137.8125"/>
    <x v="0"/>
    <s v="2220"/>
    <s v="000"/>
    <x v="1"/>
    <x v="0"/>
  </r>
  <r>
    <d v="2011-11-02T00:00:00"/>
    <s v="016-2230-000"/>
    <s v="Wine Sales"/>
    <n v="127.82000000000001"/>
    <n v="0"/>
    <s v="Daily Sales Import"/>
    <n v="-127.82000000000001"/>
    <n v="127.82000000000001"/>
    <x v="0"/>
    <s v="2230"/>
    <s v="000"/>
    <x v="1"/>
    <x v="0"/>
  </r>
  <r>
    <d v="2011-11-03T00:00:00"/>
    <s v="016-2100-000"/>
    <s v="Food Sales"/>
    <n v="3444.7592"/>
    <n v="0"/>
    <s v="Daily Sales Import"/>
    <n v="-3444.7592"/>
    <n v="3444.7592"/>
    <x v="0"/>
    <s v="2100"/>
    <s v="000"/>
    <x v="1"/>
    <x v="0"/>
  </r>
  <r>
    <d v="2011-11-03T00:00:00"/>
    <s v="016-2210-000"/>
    <s v="Liquor Sales"/>
    <n v="1368.905"/>
    <n v="0"/>
    <s v="Daily Sales Import"/>
    <n v="-1368.905"/>
    <n v="1368.905"/>
    <x v="0"/>
    <s v="2210"/>
    <s v="000"/>
    <x v="1"/>
    <x v="0"/>
  </r>
  <r>
    <d v="2011-11-03T00:00:00"/>
    <s v="016-2220-000"/>
    <s v="Beer Sales"/>
    <n v="290.59800000000001"/>
    <n v="0"/>
    <s v="Daily Sales Import"/>
    <n v="-290.59800000000001"/>
    <n v="290.59800000000001"/>
    <x v="0"/>
    <s v="2220"/>
    <s v="000"/>
    <x v="1"/>
    <x v="0"/>
  </r>
  <r>
    <d v="2011-11-03T00:00:00"/>
    <s v="016-2230-000"/>
    <s v="Wine Sales"/>
    <n v="244.244"/>
    <n v="0"/>
    <s v="Daily Sales Import"/>
    <n v="-244.244"/>
    <n v="244.244"/>
    <x v="0"/>
    <s v="2230"/>
    <s v="000"/>
    <x v="1"/>
    <x v="0"/>
  </r>
  <r>
    <d v="2011-11-04T00:00:00"/>
    <s v="016-2100-000"/>
    <s v="Food Sales"/>
    <n v="7719.5523999999996"/>
    <n v="0"/>
    <s v="Daily Sales Import"/>
    <n v="-7719.5523999999996"/>
    <n v="7719.5523999999996"/>
    <x v="0"/>
    <s v="2100"/>
    <s v="000"/>
    <x v="1"/>
    <x v="0"/>
  </r>
  <r>
    <d v="2011-11-04T00:00:00"/>
    <s v="016-2210-000"/>
    <s v="Liquor Sales"/>
    <n v="4986.9120000000003"/>
    <n v="0"/>
    <s v="Daily Sales Import"/>
    <n v="-4986.9120000000003"/>
    <n v="4986.9120000000003"/>
    <x v="0"/>
    <s v="2210"/>
    <s v="000"/>
    <x v="1"/>
    <x v="0"/>
  </r>
  <r>
    <d v="2011-11-04T00:00:00"/>
    <s v="016-2220-000"/>
    <s v="Beer Sales"/>
    <n v="1212.3300000000002"/>
    <n v="0"/>
    <s v="Daily Sales Import"/>
    <n v="-1212.3300000000002"/>
    <n v="1212.3300000000002"/>
    <x v="0"/>
    <s v="2220"/>
    <s v="000"/>
    <x v="1"/>
    <x v="0"/>
  </r>
  <r>
    <d v="2011-11-04T00:00:00"/>
    <s v="016-2230-000"/>
    <s v="Wine Sales"/>
    <n v="538.2405"/>
    <n v="0"/>
    <s v="Daily Sales Import"/>
    <n v="-538.2405"/>
    <n v="538.2405"/>
    <x v="0"/>
    <s v="2230"/>
    <s v="000"/>
    <x v="1"/>
    <x v="0"/>
  </r>
  <r>
    <d v="2011-11-05T00:00:00"/>
    <s v="016-2100-000"/>
    <s v="Food Sales"/>
    <n v="8827.8895000000011"/>
    <n v="0"/>
    <s v="Daily Sales Import"/>
    <n v="-8827.8895000000011"/>
    <n v="8827.8895000000011"/>
    <x v="0"/>
    <s v="2100"/>
    <s v="000"/>
    <x v="1"/>
    <x v="0"/>
  </r>
  <r>
    <d v="2011-11-05T00:00:00"/>
    <s v="016-2210-000"/>
    <s v="Liquor Sales"/>
    <n v="4691.0355"/>
    <n v="0"/>
    <s v="Daily Sales Import"/>
    <n v="-4691.0355"/>
    <n v="4691.0355"/>
    <x v="0"/>
    <s v="2210"/>
    <s v="000"/>
    <x v="1"/>
    <x v="0"/>
  </r>
  <r>
    <d v="2011-11-05T00:00:00"/>
    <s v="016-2220-000"/>
    <s v="Beer Sales"/>
    <n v="624.1049999999999"/>
    <n v="0"/>
    <s v="Daily Sales Import"/>
    <n v="-624.1049999999999"/>
    <n v="624.1049999999999"/>
    <x v="0"/>
    <s v="2220"/>
    <s v="000"/>
    <x v="1"/>
    <x v="0"/>
  </r>
  <r>
    <d v="2011-11-05T00:00:00"/>
    <s v="016-2230-000"/>
    <s v="Wine Sales"/>
    <n v="373.23"/>
    <n v="0"/>
    <s v="Daily Sales Import"/>
    <n v="-373.23"/>
    <n v="373.23"/>
    <x v="0"/>
    <s v="2230"/>
    <s v="000"/>
    <x v="1"/>
    <x v="0"/>
  </r>
  <r>
    <d v="2011-11-06T00:00:00"/>
    <s v="016-2100-000"/>
    <s v="Food Sales"/>
    <n v="4647.7550000000001"/>
    <n v="0"/>
    <s v="Daily Sales Import"/>
    <n v="-4647.7550000000001"/>
    <n v="4647.7550000000001"/>
    <x v="0"/>
    <s v="2100"/>
    <s v="000"/>
    <x v="1"/>
    <x v="0"/>
  </r>
  <r>
    <d v="2011-11-06T00:00:00"/>
    <s v="016-2210-000"/>
    <s v="Liquor Sales"/>
    <n v="1190.0249999999999"/>
    <n v="0"/>
    <s v="Daily Sales Import"/>
    <n v="-1190.0249999999999"/>
    <n v="1190.0249999999999"/>
    <x v="0"/>
    <s v="2210"/>
    <s v="000"/>
    <x v="1"/>
    <x v="0"/>
  </r>
  <r>
    <d v="2011-11-06T00:00:00"/>
    <s v="016-2220-000"/>
    <s v="Beer Sales"/>
    <n v="269.24399999999997"/>
    <n v="0"/>
    <s v="Daily Sales Import"/>
    <n v="-269.24399999999997"/>
    <n v="269.24399999999997"/>
    <x v="0"/>
    <s v="2220"/>
    <s v="000"/>
    <x v="1"/>
    <x v="0"/>
  </r>
  <r>
    <d v="2011-11-06T00:00:00"/>
    <s v="016-2230-000"/>
    <s v="Wine Sales"/>
    <n v="155.75600000000003"/>
    <n v="0"/>
    <s v="Daily Sales Import"/>
    <n v="-155.75600000000003"/>
    <n v="155.75600000000003"/>
    <x v="0"/>
    <s v="2230"/>
    <s v="000"/>
    <x v="1"/>
    <x v="0"/>
  </r>
  <r>
    <d v="2011-10-31T00:00:00"/>
    <s v="017-2100-000"/>
    <s v="Food Sales"/>
    <n v="2504.5964999999997"/>
    <n v="0"/>
    <s v="Daily Sales Import"/>
    <n v="-2504.5964999999997"/>
    <n v="2504.5964999999997"/>
    <x v="1"/>
    <s v="2100"/>
    <s v="000"/>
    <x v="0"/>
    <x v="0"/>
  </r>
  <r>
    <d v="2011-10-31T00:00:00"/>
    <s v="017-2210-000"/>
    <s v="Liquor Sales"/>
    <n v="634.26"/>
    <n v="0"/>
    <s v="Daily Sales Import"/>
    <n v="-634.26"/>
    <n v="634.26"/>
    <x v="1"/>
    <s v="2210"/>
    <s v="000"/>
    <x v="0"/>
    <x v="0"/>
  </r>
  <r>
    <d v="2011-10-31T00:00:00"/>
    <s v="017-2220-000"/>
    <s v="Beer Sales"/>
    <n v="157.32"/>
    <n v="0"/>
    <s v="Daily Sales Import"/>
    <n v="-157.32"/>
    <n v="157.32"/>
    <x v="1"/>
    <s v="2220"/>
    <s v="000"/>
    <x v="0"/>
    <x v="0"/>
  </r>
  <r>
    <d v="2011-10-31T00:00:00"/>
    <s v="017-2230-000"/>
    <s v="Wine Sales"/>
    <n v="7.6000000000000005"/>
    <n v="0"/>
    <s v="Daily Sales Import"/>
    <n v="-7.6000000000000005"/>
    <n v="7.6000000000000005"/>
    <x v="1"/>
    <s v="2230"/>
    <s v="000"/>
    <x v="0"/>
    <x v="0"/>
  </r>
  <r>
    <d v="2011-11-01T00:00:00"/>
    <s v="017-2100-000"/>
    <s v="Food Sales"/>
    <n v="4047.8297999999995"/>
    <n v="0"/>
    <s v="Daily Sales Import"/>
    <n v="-4047.8297999999995"/>
    <n v="4047.8297999999995"/>
    <x v="1"/>
    <s v="2100"/>
    <s v="000"/>
    <x v="1"/>
    <x v="0"/>
  </r>
  <r>
    <d v="2011-11-01T00:00:00"/>
    <s v="017-2210-000"/>
    <s v="Liquor Sales"/>
    <n v="774.90599999999995"/>
    <n v="0"/>
    <s v="Daily Sales Import"/>
    <n v="-774.90599999999995"/>
    <n v="774.90599999999995"/>
    <x v="1"/>
    <s v="2210"/>
    <s v="000"/>
    <x v="1"/>
    <x v="0"/>
  </r>
  <r>
    <d v="2011-11-01T00:00:00"/>
    <s v="017-2220-000"/>
    <s v="Beer Sales"/>
    <n v="290.55749999999995"/>
    <n v="0"/>
    <s v="Daily Sales Import"/>
    <n v="-290.55749999999995"/>
    <n v="290.55749999999995"/>
    <x v="1"/>
    <s v="2220"/>
    <s v="000"/>
    <x v="1"/>
    <x v="0"/>
  </r>
  <r>
    <d v="2011-11-01T00:00:00"/>
    <s v="017-2230-000"/>
    <s v="Wine Sales"/>
    <n v="175.15200000000002"/>
    <n v="0"/>
    <s v="Daily Sales Import"/>
    <n v="-175.15200000000002"/>
    <n v="175.15200000000002"/>
    <x v="1"/>
    <s v="2230"/>
    <s v="000"/>
    <x v="1"/>
    <x v="0"/>
  </r>
  <r>
    <d v="2011-11-02T00:00:00"/>
    <s v="017-2100-000"/>
    <s v="Food Sales"/>
    <n v="6730.2560000000003"/>
    <n v="0"/>
    <s v="Daily Sales Import"/>
    <n v="-6730.2560000000003"/>
    <n v="6730.2560000000003"/>
    <x v="1"/>
    <s v="2100"/>
    <s v="000"/>
    <x v="1"/>
    <x v="0"/>
  </r>
  <r>
    <d v="2011-11-02T00:00:00"/>
    <s v="017-2210-000"/>
    <s v="Liquor Sales"/>
    <n v="1416.4469999999999"/>
    <n v="0"/>
    <s v="Daily Sales Import"/>
    <n v="-1416.4469999999999"/>
    <n v="1416.4469999999999"/>
    <x v="1"/>
    <s v="2210"/>
    <s v="000"/>
    <x v="1"/>
    <x v="0"/>
  </r>
  <r>
    <d v="2011-11-02T00:00:00"/>
    <s v="017-2220-000"/>
    <s v="Beer Sales"/>
    <n v="625.625"/>
    <n v="0"/>
    <s v="Daily Sales Import"/>
    <n v="-625.625"/>
    <n v="625.625"/>
    <x v="1"/>
    <s v="2220"/>
    <s v="000"/>
    <x v="1"/>
    <x v="0"/>
  </r>
  <r>
    <d v="2011-11-02T00:00:00"/>
    <s v="017-2230-000"/>
    <s v="Wine Sales"/>
    <n v="255.42000000000002"/>
    <n v="0"/>
    <s v="Daily Sales Import"/>
    <n v="-255.42000000000002"/>
    <n v="255.42000000000002"/>
    <x v="1"/>
    <s v="2230"/>
    <s v="000"/>
    <x v="1"/>
    <x v="0"/>
  </r>
  <r>
    <d v="2011-11-03T00:00:00"/>
    <s v="017-2100-000"/>
    <s v="Food Sales"/>
    <n v="4880.3250000000007"/>
    <n v="0"/>
    <s v="Daily Sales Import"/>
    <n v="-4880.3250000000007"/>
    <n v="4880.3250000000007"/>
    <x v="1"/>
    <s v="2100"/>
    <s v="000"/>
    <x v="1"/>
    <x v="0"/>
  </r>
  <r>
    <d v="2011-11-03T00:00:00"/>
    <s v="017-2210-000"/>
    <s v="Liquor Sales"/>
    <n v="899.42399999999998"/>
    <n v="0"/>
    <s v="Daily Sales Import"/>
    <n v="-899.42399999999998"/>
    <n v="899.42399999999998"/>
    <x v="1"/>
    <s v="2210"/>
    <s v="000"/>
    <x v="1"/>
    <x v="0"/>
  </r>
  <r>
    <d v="2011-11-03T00:00:00"/>
    <s v="017-2220-000"/>
    <s v="Beer Sales"/>
    <n v="375.0575"/>
    <n v="0"/>
    <s v="Daily Sales Import"/>
    <n v="-375.0575"/>
    <n v="375.0575"/>
    <x v="1"/>
    <s v="2220"/>
    <s v="000"/>
    <x v="1"/>
    <x v="0"/>
  </r>
  <r>
    <d v="2011-11-03T00:00:00"/>
    <s v="017-2230-000"/>
    <s v="Wine Sales"/>
    <n v="41.419000000000004"/>
    <n v="0"/>
    <s v="Daily Sales Import"/>
    <n v="-41.419000000000004"/>
    <n v="41.419000000000004"/>
    <x v="1"/>
    <s v="2230"/>
    <s v="000"/>
    <x v="1"/>
    <x v="0"/>
  </r>
  <r>
    <d v="2011-11-04T00:00:00"/>
    <s v="017-2100-000"/>
    <s v="Food Sales"/>
    <n v="10551.688"/>
    <n v="0"/>
    <s v="Daily Sales Import"/>
    <n v="-10551.688"/>
    <n v="10551.688"/>
    <x v="1"/>
    <s v="2100"/>
    <s v="000"/>
    <x v="1"/>
    <x v="0"/>
  </r>
  <r>
    <d v="2011-11-04T00:00:00"/>
    <s v="017-2210-000"/>
    <s v="Liquor Sales"/>
    <n v="1829.175"/>
    <n v="0"/>
    <s v="Daily Sales Import"/>
    <n v="-1829.175"/>
    <n v="1829.175"/>
    <x v="1"/>
    <s v="2210"/>
    <s v="000"/>
    <x v="1"/>
    <x v="0"/>
  </r>
  <r>
    <d v="2011-11-04T00:00:00"/>
    <s v="017-2220-000"/>
    <s v="Beer Sales"/>
    <n v="598.4"/>
    <n v="0"/>
    <s v="Daily Sales Import"/>
    <n v="-598.4"/>
    <n v="598.4"/>
    <x v="1"/>
    <s v="2220"/>
    <s v="000"/>
    <x v="1"/>
    <x v="0"/>
  </r>
  <r>
    <d v="2011-11-04T00:00:00"/>
    <s v="017-2230-000"/>
    <s v="Wine Sales"/>
    <n v="223.1985"/>
    <n v="0"/>
    <s v="Daily Sales Import"/>
    <n v="-223.1985"/>
    <n v="223.1985"/>
    <x v="1"/>
    <s v="2230"/>
    <s v="000"/>
    <x v="1"/>
    <x v="0"/>
  </r>
  <r>
    <d v="2011-11-05T00:00:00"/>
    <s v="017-2100-000"/>
    <s v="Food Sales"/>
    <n v="7257.6456000000007"/>
    <n v="0"/>
    <s v="Daily Sales Import"/>
    <n v="-7257.6456000000007"/>
    <n v="7257.6456000000007"/>
    <x v="1"/>
    <s v="2100"/>
    <s v="000"/>
    <x v="1"/>
    <x v="0"/>
  </r>
  <r>
    <d v="2011-11-05T00:00:00"/>
    <s v="017-2210-000"/>
    <s v="Liquor Sales"/>
    <n v="1206.3449999999998"/>
    <n v="0"/>
    <s v="Daily Sales Import"/>
    <n v="-1206.3449999999998"/>
    <n v="1206.3449999999998"/>
    <x v="1"/>
    <s v="2210"/>
    <s v="000"/>
    <x v="1"/>
    <x v="0"/>
  </r>
  <r>
    <d v="2011-11-05T00:00:00"/>
    <s v="017-2220-000"/>
    <s v="Beer Sales"/>
    <n v="305.11250000000001"/>
    <n v="0"/>
    <s v="Daily Sales Import"/>
    <n v="-305.11250000000001"/>
    <n v="305.11250000000001"/>
    <x v="1"/>
    <s v="2220"/>
    <s v="000"/>
    <x v="1"/>
    <x v="0"/>
  </r>
  <r>
    <d v="2011-11-05T00:00:00"/>
    <s v="017-2230-000"/>
    <s v="Wine Sales"/>
    <n v="37.28"/>
    <n v="0"/>
    <s v="Daily Sales Import"/>
    <n v="-37.28"/>
    <n v="37.28"/>
    <x v="1"/>
    <s v="2230"/>
    <s v="000"/>
    <x v="1"/>
    <x v="0"/>
  </r>
  <r>
    <d v="2011-11-06T00:00:00"/>
    <s v="017-2100-000"/>
    <s v="Food Sales"/>
    <n v="5277.5837999999994"/>
    <n v="0"/>
    <s v="Daily Sales Import"/>
    <n v="-5277.5837999999994"/>
    <n v="5277.5837999999994"/>
    <x v="1"/>
    <s v="2100"/>
    <s v="000"/>
    <x v="1"/>
    <x v="0"/>
  </r>
  <r>
    <d v="2011-11-06T00:00:00"/>
    <s v="017-2210-000"/>
    <s v="Liquor Sales"/>
    <n v="1038.8275000000001"/>
    <n v="0"/>
    <s v="Daily Sales Import"/>
    <n v="-1038.8275000000001"/>
    <n v="1038.8275000000001"/>
    <x v="1"/>
    <s v="2210"/>
    <s v="000"/>
    <x v="1"/>
    <x v="0"/>
  </r>
  <r>
    <d v="2011-11-06T00:00:00"/>
    <s v="017-2220-000"/>
    <s v="Beer Sales"/>
    <n v="232.26"/>
    <n v="0"/>
    <s v="Daily Sales Import"/>
    <n v="-232.26"/>
    <n v="232.26"/>
    <x v="1"/>
    <s v="2220"/>
    <s v="000"/>
    <x v="1"/>
    <x v="0"/>
  </r>
  <r>
    <d v="2011-11-06T00:00:00"/>
    <s v="017-2230-000"/>
    <s v="Wine Sales"/>
    <n v="99.187499999999986"/>
    <n v="0"/>
    <s v="Daily Sales Import"/>
    <n v="-99.187499999999986"/>
    <n v="99.187499999999986"/>
    <x v="1"/>
    <s v="2230"/>
    <s v="000"/>
    <x v="1"/>
    <x v="0"/>
  </r>
  <r>
    <d v="2011-10-31T00:00:00"/>
    <s v="018-2100-000"/>
    <s v="Food Sales"/>
    <n v="2541.5625"/>
    <n v="0"/>
    <s v="Daily Sales Import"/>
    <n v="-2541.5625"/>
    <n v="2541.5625"/>
    <x v="2"/>
    <s v="2100"/>
    <s v="000"/>
    <x v="0"/>
    <x v="0"/>
  </r>
  <r>
    <d v="2011-10-31T00:00:00"/>
    <s v="018-2210-000"/>
    <s v="Liquor Sales"/>
    <n v="296.98199999999997"/>
    <n v="0"/>
    <s v="Daily Sales Import"/>
    <n v="-296.98199999999997"/>
    <n v="296.98199999999997"/>
    <x v="2"/>
    <s v="2210"/>
    <s v="000"/>
    <x v="0"/>
    <x v="0"/>
  </r>
  <r>
    <d v="2011-10-31T00:00:00"/>
    <s v="018-2220-000"/>
    <s v="Beer Sales"/>
    <n v="107.27549999999999"/>
    <n v="0"/>
    <s v="Daily Sales Import"/>
    <n v="-107.27549999999999"/>
    <n v="107.27549999999999"/>
    <x v="2"/>
    <s v="2220"/>
    <s v="000"/>
    <x v="0"/>
    <x v="0"/>
  </r>
  <r>
    <d v="2011-10-31T00:00:00"/>
    <s v="018-2230-000"/>
    <s v="Wine Sales"/>
    <n v="22.657499999999999"/>
    <n v="0"/>
    <s v="Daily Sales Import"/>
    <n v="-22.657499999999999"/>
    <n v="22.657499999999999"/>
    <x v="2"/>
    <s v="2230"/>
    <s v="000"/>
    <x v="0"/>
    <x v="0"/>
  </r>
  <r>
    <d v="2011-11-01T00:00:00"/>
    <s v="018-2100-000"/>
    <s v="Food Sales"/>
    <n v="2674.6304"/>
    <n v="0"/>
    <s v="Daily Sales Import"/>
    <n v="-2674.6304"/>
    <n v="2674.6304"/>
    <x v="2"/>
    <s v="2100"/>
    <s v="000"/>
    <x v="1"/>
    <x v="0"/>
  </r>
  <r>
    <d v="2011-11-01T00:00:00"/>
    <s v="018-2210-000"/>
    <s v="Liquor Sales"/>
    <n v="424.64800000000002"/>
    <n v="0"/>
    <s v="Daily Sales Import"/>
    <n v="-424.64800000000002"/>
    <n v="424.64800000000002"/>
    <x v="2"/>
    <s v="2210"/>
    <s v="000"/>
    <x v="1"/>
    <x v="0"/>
  </r>
  <r>
    <d v="2011-11-01T00:00:00"/>
    <s v="018-2220-000"/>
    <s v="Beer Sales"/>
    <n v="177.566"/>
    <n v="0"/>
    <s v="Daily Sales Import"/>
    <n v="-177.566"/>
    <n v="177.566"/>
    <x v="2"/>
    <s v="2220"/>
    <s v="000"/>
    <x v="1"/>
    <x v="0"/>
  </r>
  <r>
    <d v="2011-11-01T00:00:00"/>
    <s v="018-2230-000"/>
    <s v="Wine Sales"/>
    <n v="13.689"/>
    <n v="0"/>
    <s v="Daily Sales Import"/>
    <n v="-13.689"/>
    <n v="13.689"/>
    <x v="2"/>
    <s v="2230"/>
    <s v="000"/>
    <x v="1"/>
    <x v="0"/>
  </r>
  <r>
    <d v="2011-11-02T00:00:00"/>
    <s v="018-2100-000"/>
    <s v="Food Sales"/>
    <n v="2621.3042"/>
    <n v="0"/>
    <s v="Daily Sales Import"/>
    <n v="-2621.3042"/>
    <n v="2621.3042"/>
    <x v="2"/>
    <s v="2100"/>
    <s v="000"/>
    <x v="1"/>
    <x v="0"/>
  </r>
  <r>
    <d v="2011-11-02T00:00:00"/>
    <s v="018-2210-000"/>
    <s v="Liquor Sales"/>
    <n v="527.10750000000007"/>
    <n v="0"/>
    <s v="Daily Sales Import"/>
    <n v="-527.10750000000007"/>
    <n v="527.10750000000007"/>
    <x v="2"/>
    <s v="2210"/>
    <s v="000"/>
    <x v="1"/>
    <x v="0"/>
  </r>
  <r>
    <d v="2011-11-02T00:00:00"/>
    <s v="018-2220-000"/>
    <s v="Beer Sales"/>
    <n v="53.956000000000003"/>
    <n v="0"/>
    <s v="Daily Sales Import"/>
    <n v="-53.956000000000003"/>
    <n v="53.956000000000003"/>
    <x v="2"/>
    <s v="2220"/>
    <s v="000"/>
    <x v="1"/>
    <x v="0"/>
  </r>
  <r>
    <d v="2011-11-02T00:00:00"/>
    <s v="018-2230-000"/>
    <s v="Wine Sales"/>
    <n v="78.171500000000009"/>
    <n v="0"/>
    <s v="Daily Sales Import"/>
    <n v="-78.171500000000009"/>
    <n v="78.171500000000009"/>
    <x v="2"/>
    <s v="2230"/>
    <s v="000"/>
    <x v="1"/>
    <x v="0"/>
  </r>
  <r>
    <d v="2011-11-03T00:00:00"/>
    <s v="018-2100-000"/>
    <s v="Food Sales"/>
    <n v="4837.866"/>
    <n v="0"/>
    <s v="Daily Sales Import"/>
    <n v="-4837.866"/>
    <n v="4837.866"/>
    <x v="2"/>
    <s v="2100"/>
    <s v="000"/>
    <x v="1"/>
    <x v="0"/>
  </r>
  <r>
    <d v="2011-11-03T00:00:00"/>
    <s v="018-2210-000"/>
    <s v="Liquor Sales"/>
    <n v="738.9425"/>
    <n v="0"/>
    <s v="Daily Sales Import"/>
    <n v="-738.9425"/>
    <n v="738.9425"/>
    <x v="2"/>
    <s v="2210"/>
    <s v="000"/>
    <x v="1"/>
    <x v="0"/>
  </r>
  <r>
    <d v="2011-11-03T00:00:00"/>
    <s v="018-2220-000"/>
    <s v="Beer Sales"/>
    <n v="223.76399999999998"/>
    <n v="0"/>
    <s v="Daily Sales Import"/>
    <n v="-223.76399999999998"/>
    <n v="223.76399999999998"/>
    <x v="2"/>
    <s v="2220"/>
    <s v="000"/>
    <x v="1"/>
    <x v="0"/>
  </r>
  <r>
    <d v="2011-11-03T00:00:00"/>
    <s v="018-2230-000"/>
    <s v="Wine Sales"/>
    <n v="12.354999999999999"/>
    <n v="0"/>
    <s v="Daily Sales Import"/>
    <n v="-12.354999999999999"/>
    <n v="12.354999999999999"/>
    <x v="2"/>
    <s v="2230"/>
    <s v="000"/>
    <x v="1"/>
    <x v="0"/>
  </r>
  <r>
    <d v="2011-11-04T00:00:00"/>
    <s v="018-2100-000"/>
    <s v="Food Sales"/>
    <n v="8130.3166000000001"/>
    <n v="0"/>
    <s v="Daily Sales Import"/>
    <n v="-8130.3166000000001"/>
    <n v="8130.3166000000001"/>
    <x v="2"/>
    <s v="2100"/>
    <s v="000"/>
    <x v="1"/>
    <x v="0"/>
  </r>
  <r>
    <d v="2011-11-04T00:00:00"/>
    <s v="018-2210-000"/>
    <s v="Liquor Sales"/>
    <n v="1672.0320000000002"/>
    <n v="0"/>
    <s v="Daily Sales Import"/>
    <n v="-1672.0320000000002"/>
    <n v="1672.0320000000002"/>
    <x v="2"/>
    <s v="2210"/>
    <s v="000"/>
    <x v="1"/>
    <x v="0"/>
  </r>
  <r>
    <d v="2011-11-04T00:00:00"/>
    <s v="018-2220-000"/>
    <s v="Beer Sales"/>
    <n v="439.07800000000003"/>
    <n v="0"/>
    <s v="Daily Sales Import"/>
    <n v="-439.07800000000003"/>
    <n v="439.07800000000003"/>
    <x v="2"/>
    <s v="2220"/>
    <s v="000"/>
    <x v="1"/>
    <x v="0"/>
  </r>
  <r>
    <d v="2011-11-04T00:00:00"/>
    <s v="018-2230-000"/>
    <s v="Wine Sales"/>
    <n v="208.66749999999999"/>
    <n v="0"/>
    <s v="Daily Sales Import"/>
    <n v="-208.66749999999999"/>
    <n v="208.66749999999999"/>
    <x v="2"/>
    <s v="2230"/>
    <s v="000"/>
    <x v="1"/>
    <x v="0"/>
  </r>
  <r>
    <d v="2011-11-05T00:00:00"/>
    <s v="018-2100-000"/>
    <s v="Food Sales"/>
    <n v="13025.044"/>
    <n v="0"/>
    <s v="Daily Sales Import"/>
    <n v="-13025.044"/>
    <n v="13025.044"/>
    <x v="2"/>
    <s v="2100"/>
    <s v="000"/>
    <x v="1"/>
    <x v="0"/>
  </r>
  <r>
    <d v="2011-11-05T00:00:00"/>
    <s v="018-2210-000"/>
    <s v="Liquor Sales"/>
    <n v="1826.3040000000001"/>
    <n v="0"/>
    <s v="Daily Sales Import"/>
    <n v="-1826.3040000000001"/>
    <n v="1826.3040000000001"/>
    <x v="2"/>
    <s v="2210"/>
    <s v="000"/>
    <x v="1"/>
    <x v="0"/>
  </r>
  <r>
    <d v="2011-11-05T00:00:00"/>
    <s v="018-2220-000"/>
    <s v="Beer Sales"/>
    <n v="602.37"/>
    <n v="0"/>
    <s v="Daily Sales Import"/>
    <n v="-602.37"/>
    <n v="602.37"/>
    <x v="2"/>
    <s v="2220"/>
    <s v="000"/>
    <x v="1"/>
    <x v="0"/>
  </r>
  <r>
    <d v="2011-11-05T00:00:00"/>
    <s v="018-2230-000"/>
    <s v="Wine Sales"/>
    <n v="53.040999999999997"/>
    <n v="0"/>
    <s v="Daily Sales Import"/>
    <n v="-53.040999999999997"/>
    <n v="53.040999999999997"/>
    <x v="2"/>
    <s v="2230"/>
    <s v="000"/>
    <x v="1"/>
    <x v="0"/>
  </r>
  <r>
    <d v="2011-11-06T00:00:00"/>
    <s v="018-2100-000"/>
    <s v="Food Sales"/>
    <n v="5432.5769999999993"/>
    <n v="0"/>
    <s v="Daily Sales Import"/>
    <n v="-5432.5769999999993"/>
    <n v="5432.5769999999993"/>
    <x v="2"/>
    <s v="2100"/>
    <s v="000"/>
    <x v="1"/>
    <x v="0"/>
  </r>
  <r>
    <d v="2011-11-06T00:00:00"/>
    <s v="018-2210-000"/>
    <s v="Liquor Sales"/>
    <n v="576.02299999999991"/>
    <n v="0"/>
    <s v="Daily Sales Import"/>
    <n v="-576.02299999999991"/>
    <n v="576.02299999999991"/>
    <x v="2"/>
    <s v="2210"/>
    <s v="000"/>
    <x v="1"/>
    <x v="0"/>
  </r>
  <r>
    <d v="2011-11-06T00:00:00"/>
    <s v="018-2220-000"/>
    <s v="Beer Sales"/>
    <n v="207.35999999999999"/>
    <n v="0"/>
    <s v="Daily Sales Import"/>
    <n v="-207.35999999999999"/>
    <n v="207.35999999999999"/>
    <x v="2"/>
    <s v="2220"/>
    <s v="000"/>
    <x v="1"/>
    <x v="0"/>
  </r>
  <r>
    <d v="2011-11-06T00:00:00"/>
    <s v="018-2230-000"/>
    <s v="Wine Sales"/>
    <n v="60.247999999999998"/>
    <n v="0"/>
    <s v="Daily Sales Import"/>
    <n v="-60.247999999999998"/>
    <n v="60.247999999999998"/>
    <x v="2"/>
    <s v="2230"/>
    <s v="000"/>
    <x v="1"/>
    <x v="0"/>
  </r>
  <r>
    <d v="2011-11-07T00:00:00"/>
    <s v="016-2100-000"/>
    <s v="Food Sales"/>
    <n v="2523.4036000000001"/>
    <n v="0"/>
    <s v="Daily Sales Import"/>
    <n v="-2523.4036000000001"/>
    <n v="2523.4036000000001"/>
    <x v="0"/>
    <s v="2100"/>
    <s v="000"/>
    <x v="1"/>
    <x v="0"/>
  </r>
  <r>
    <d v="2011-11-07T00:00:00"/>
    <s v="016-2210-000"/>
    <s v="Liquor Sales"/>
    <n v="818.21249999999998"/>
    <n v="0"/>
    <s v="Daily Sales Import"/>
    <n v="-818.21249999999998"/>
    <n v="818.21249999999998"/>
    <x v="0"/>
    <s v="2210"/>
    <s v="000"/>
    <x v="1"/>
    <x v="0"/>
  </r>
  <r>
    <d v="2011-11-07T00:00:00"/>
    <s v="016-2220-000"/>
    <s v="Beer Sales"/>
    <n v="139.49100000000001"/>
    <n v="0"/>
    <s v="Daily Sales Import"/>
    <n v="-139.49100000000001"/>
    <n v="139.49100000000001"/>
    <x v="0"/>
    <s v="2220"/>
    <s v="000"/>
    <x v="1"/>
    <x v="0"/>
  </r>
  <r>
    <d v="2011-11-07T00:00:00"/>
    <s v="016-2230-000"/>
    <s v="Wine Sales"/>
    <n v="202.92"/>
    <n v="0"/>
    <s v="Daily Sales Import"/>
    <n v="-202.92"/>
    <n v="202.92"/>
    <x v="0"/>
    <s v="2230"/>
    <s v="000"/>
    <x v="1"/>
    <x v="0"/>
  </r>
  <r>
    <d v="2011-11-08T00:00:00"/>
    <s v="016-2100-000"/>
    <s v="Food Sales"/>
    <n v="2994.0104999999999"/>
    <n v="0"/>
    <s v="Daily Sales Import"/>
    <n v="-2994.0104999999999"/>
    <n v="2994.0104999999999"/>
    <x v="0"/>
    <s v="2100"/>
    <s v="000"/>
    <x v="1"/>
    <x v="0"/>
  </r>
  <r>
    <d v="2011-11-08T00:00:00"/>
    <s v="016-2210-000"/>
    <s v="Liquor Sales"/>
    <n v="496.71350000000001"/>
    <n v="0"/>
    <s v="Daily Sales Import"/>
    <n v="-496.71350000000001"/>
    <n v="496.71350000000001"/>
    <x v="0"/>
    <s v="2210"/>
    <s v="000"/>
    <x v="1"/>
    <x v="0"/>
  </r>
  <r>
    <d v="2011-11-08T00:00:00"/>
    <s v="016-2220-000"/>
    <s v="Beer Sales"/>
    <n v="131.31300000000002"/>
    <n v="0"/>
    <s v="Daily Sales Import"/>
    <n v="-131.31300000000002"/>
    <n v="131.31300000000002"/>
    <x v="0"/>
    <s v="2220"/>
    <s v="000"/>
    <x v="1"/>
    <x v="0"/>
  </r>
  <r>
    <d v="2011-11-08T00:00:00"/>
    <s v="016-2230-000"/>
    <s v="Wine Sales"/>
    <n v="100.33"/>
    <n v="0"/>
    <s v="Daily Sales Import"/>
    <n v="-100.33"/>
    <n v="100.33"/>
    <x v="0"/>
    <s v="2230"/>
    <s v="000"/>
    <x v="1"/>
    <x v="0"/>
  </r>
  <r>
    <d v="2011-11-09T00:00:00"/>
    <s v="016-2100-000"/>
    <s v="Food Sales"/>
    <n v="2809.3884000000003"/>
    <n v="0"/>
    <s v="Daily Sales Import"/>
    <n v="-2809.3884000000003"/>
    <n v="2809.3884000000003"/>
    <x v="0"/>
    <s v="2100"/>
    <s v="000"/>
    <x v="1"/>
    <x v="0"/>
  </r>
  <r>
    <d v="2011-11-09T00:00:00"/>
    <s v="016-2210-000"/>
    <s v="Liquor Sales"/>
    <n v="705.28000000000009"/>
    <n v="0"/>
    <s v="Daily Sales Import"/>
    <n v="-705.28000000000009"/>
    <n v="705.28000000000009"/>
    <x v="0"/>
    <s v="2210"/>
    <s v="000"/>
    <x v="1"/>
    <x v="0"/>
  </r>
  <r>
    <d v="2011-11-09T00:00:00"/>
    <s v="016-2220-000"/>
    <s v="Beer Sales"/>
    <n v="129.84699999999998"/>
    <n v="0"/>
    <s v="Daily Sales Import"/>
    <n v="-129.84699999999998"/>
    <n v="129.84699999999998"/>
    <x v="0"/>
    <s v="2220"/>
    <s v="000"/>
    <x v="1"/>
    <x v="0"/>
  </r>
  <r>
    <d v="2011-11-09T00:00:00"/>
    <s v="016-2230-000"/>
    <s v="Wine Sales"/>
    <n v="96.874499999999998"/>
    <n v="0"/>
    <s v="Daily Sales Import"/>
    <n v="-96.874499999999998"/>
    <n v="96.874499999999998"/>
    <x v="0"/>
    <s v="2230"/>
    <s v="000"/>
    <x v="1"/>
    <x v="0"/>
  </r>
  <r>
    <d v="2011-11-10T00:00:00"/>
    <s v="016-2100-000"/>
    <s v="Food Sales"/>
    <n v="4966.4297999999999"/>
    <n v="0"/>
    <s v="Daily Sales Import"/>
    <n v="-4966.4297999999999"/>
    <n v="4966.4297999999999"/>
    <x v="0"/>
    <s v="2100"/>
    <s v="000"/>
    <x v="1"/>
    <x v="0"/>
  </r>
  <r>
    <d v="2011-11-10T00:00:00"/>
    <s v="016-2210-000"/>
    <s v="Liquor Sales"/>
    <n v="1715.85"/>
    <n v="0"/>
    <s v="Daily Sales Import"/>
    <n v="-1715.85"/>
    <n v="1715.85"/>
    <x v="0"/>
    <s v="2210"/>
    <s v="000"/>
    <x v="1"/>
    <x v="0"/>
  </r>
  <r>
    <d v="2011-11-10T00:00:00"/>
    <s v="016-2220-000"/>
    <s v="Beer Sales"/>
    <n v="540.38850000000002"/>
    <n v="0"/>
    <s v="Daily Sales Import"/>
    <n v="-540.38850000000002"/>
    <n v="540.38850000000002"/>
    <x v="0"/>
    <s v="2220"/>
    <s v="000"/>
    <x v="1"/>
    <x v="0"/>
  </r>
  <r>
    <d v="2011-11-10T00:00:00"/>
    <s v="016-2230-000"/>
    <s v="Wine Sales"/>
    <n v="195.66"/>
    <n v="0"/>
    <s v="Daily Sales Import"/>
    <n v="-195.66"/>
    <n v="195.66"/>
    <x v="0"/>
    <s v="2230"/>
    <s v="000"/>
    <x v="1"/>
    <x v="0"/>
  </r>
  <r>
    <d v="2011-11-11T00:00:00"/>
    <s v="016-2100-000"/>
    <s v="Food Sales"/>
    <n v="7373.1041999999998"/>
    <n v="0"/>
    <s v="Daily Sales Import"/>
    <n v="-7373.1041999999998"/>
    <n v="7373.1041999999998"/>
    <x v="0"/>
    <s v="2100"/>
    <s v="000"/>
    <x v="1"/>
    <x v="0"/>
  </r>
  <r>
    <d v="2011-11-11T00:00:00"/>
    <s v="016-2210-000"/>
    <s v="Liquor Sales"/>
    <n v="2793.8679999999999"/>
    <n v="0"/>
    <s v="Daily Sales Import"/>
    <n v="-2793.8679999999999"/>
    <n v="2793.8679999999999"/>
    <x v="0"/>
    <s v="2210"/>
    <s v="000"/>
    <x v="1"/>
    <x v="0"/>
  </r>
  <r>
    <d v="2011-11-11T00:00:00"/>
    <s v="016-2220-000"/>
    <s v="Beer Sales"/>
    <n v="585.20249999999999"/>
    <n v="0"/>
    <s v="Daily Sales Import"/>
    <n v="-585.20249999999999"/>
    <n v="585.20249999999999"/>
    <x v="0"/>
    <s v="2220"/>
    <s v="000"/>
    <x v="1"/>
    <x v="0"/>
  </r>
  <r>
    <d v="2011-11-11T00:00:00"/>
    <s v="016-2230-000"/>
    <s v="Wine Sales"/>
    <n v="204.20399999999998"/>
    <n v="0"/>
    <s v="Daily Sales Import"/>
    <n v="-204.20399999999998"/>
    <n v="204.20399999999998"/>
    <x v="0"/>
    <s v="2230"/>
    <s v="000"/>
    <x v="1"/>
    <x v="0"/>
  </r>
  <r>
    <d v="2011-11-12T00:00:00"/>
    <s v="016-2100-000"/>
    <s v="Food Sales"/>
    <n v="9421.0505000000012"/>
    <n v="0"/>
    <s v="Daily Sales Import"/>
    <n v="-9421.0505000000012"/>
    <n v="9421.0505000000012"/>
    <x v="0"/>
    <s v="2100"/>
    <s v="000"/>
    <x v="1"/>
    <x v="0"/>
  </r>
  <r>
    <d v="2011-11-12T00:00:00"/>
    <s v="016-2210-000"/>
    <s v="Liquor Sales"/>
    <n v="1809.864"/>
    <n v="0"/>
    <s v="Daily Sales Import"/>
    <n v="-1809.864"/>
    <n v="1809.864"/>
    <x v="0"/>
    <s v="2210"/>
    <s v="000"/>
    <x v="1"/>
    <x v="0"/>
  </r>
  <r>
    <d v="2011-11-12T00:00:00"/>
    <s v="016-2220-000"/>
    <s v="Beer Sales"/>
    <n v="283.46099999999996"/>
    <n v="0"/>
    <s v="Daily Sales Import"/>
    <n v="-283.46099999999996"/>
    <n v="283.46099999999996"/>
    <x v="0"/>
    <s v="2220"/>
    <s v="000"/>
    <x v="1"/>
    <x v="0"/>
  </r>
  <r>
    <d v="2011-11-12T00:00:00"/>
    <s v="016-2230-000"/>
    <s v="Wine Sales"/>
    <n v="236.50200000000001"/>
    <n v="0"/>
    <s v="Daily Sales Import"/>
    <n v="-236.50200000000001"/>
    <n v="236.50200000000001"/>
    <x v="0"/>
    <s v="2230"/>
    <s v="000"/>
    <x v="1"/>
    <x v="0"/>
  </r>
  <r>
    <d v="2011-11-13T00:00:00"/>
    <s v="016-2100-000"/>
    <s v="Food Sales"/>
    <n v="6601.6860000000006"/>
    <n v="0"/>
    <s v="Daily Sales Import"/>
    <n v="-6601.6860000000006"/>
    <n v="6601.6860000000006"/>
    <x v="0"/>
    <s v="2100"/>
    <s v="000"/>
    <x v="1"/>
    <x v="0"/>
  </r>
  <r>
    <d v="2011-11-13T00:00:00"/>
    <s v="016-2210-000"/>
    <s v="Liquor Sales"/>
    <n v="980.798"/>
    <n v="0"/>
    <s v="Daily Sales Import"/>
    <n v="-980.798"/>
    <n v="980.798"/>
    <x v="0"/>
    <s v="2210"/>
    <s v="000"/>
    <x v="1"/>
    <x v="0"/>
  </r>
  <r>
    <d v="2011-11-13T00:00:00"/>
    <s v="016-2220-000"/>
    <s v="Beer Sales"/>
    <n v="147.70349999999999"/>
    <n v="0"/>
    <s v="Daily Sales Import"/>
    <n v="-147.70349999999999"/>
    <n v="147.70349999999999"/>
    <x v="0"/>
    <s v="2220"/>
    <s v="000"/>
    <x v="1"/>
    <x v="0"/>
  </r>
  <r>
    <d v="2011-11-13T00:00:00"/>
    <s v="016-2230-000"/>
    <s v="Wine Sales"/>
    <n v="123.721"/>
    <n v="0"/>
    <s v="Daily Sales Import"/>
    <n v="-123.721"/>
    <n v="123.721"/>
    <x v="0"/>
    <s v="2230"/>
    <s v="000"/>
    <x v="1"/>
    <x v="0"/>
  </r>
  <r>
    <d v="2011-11-07T00:00:00"/>
    <s v="017-2100-000"/>
    <s v="Food Sales"/>
    <n v="3297.71"/>
    <n v="0"/>
    <s v="Daily Sales Import"/>
    <n v="-3297.71"/>
    <n v="3297.71"/>
    <x v="1"/>
    <s v="2100"/>
    <s v="000"/>
    <x v="1"/>
    <x v="0"/>
  </r>
  <r>
    <d v="2011-11-07T00:00:00"/>
    <s v="017-2210-000"/>
    <s v="Liquor Sales"/>
    <n v="691.00850000000003"/>
    <n v="0"/>
    <s v="Daily Sales Import"/>
    <n v="-691.00850000000003"/>
    <n v="691.00850000000003"/>
    <x v="1"/>
    <s v="2210"/>
    <s v="000"/>
    <x v="1"/>
    <x v="0"/>
  </r>
  <r>
    <d v="2011-11-07T00:00:00"/>
    <s v="017-2220-000"/>
    <s v="Beer Sales"/>
    <n v="253.32750000000001"/>
    <n v="0"/>
    <s v="Daily Sales Import"/>
    <n v="-253.32750000000001"/>
    <n v="253.32750000000001"/>
    <x v="1"/>
    <s v="2220"/>
    <s v="000"/>
    <x v="1"/>
    <x v="0"/>
  </r>
  <r>
    <d v="2011-11-07T00:00:00"/>
    <s v="017-2230-000"/>
    <s v="Wine Sales"/>
    <n v="79.829499999999996"/>
    <n v="0"/>
    <s v="Daily Sales Import"/>
    <n v="-79.829499999999996"/>
    <n v="79.829499999999996"/>
    <x v="1"/>
    <s v="2230"/>
    <s v="000"/>
    <x v="1"/>
    <x v="0"/>
  </r>
  <r>
    <d v="2011-11-08T00:00:00"/>
    <s v="017-2100-000"/>
    <s v="Food Sales"/>
    <n v="6984.0119999999988"/>
    <n v="0"/>
    <s v="Daily Sales Import"/>
    <n v="-6984.0119999999988"/>
    <n v="6984.0119999999988"/>
    <x v="1"/>
    <s v="2100"/>
    <s v="000"/>
    <x v="1"/>
    <x v="0"/>
  </r>
  <r>
    <d v="2011-11-08T00:00:00"/>
    <s v="017-2210-000"/>
    <s v="Liquor Sales"/>
    <n v="1769.105"/>
    <n v="0"/>
    <s v="Daily Sales Import"/>
    <n v="-1769.105"/>
    <n v="1769.105"/>
    <x v="1"/>
    <s v="2210"/>
    <s v="000"/>
    <x v="1"/>
    <x v="0"/>
  </r>
  <r>
    <d v="2011-11-08T00:00:00"/>
    <s v="017-2220-000"/>
    <s v="Beer Sales"/>
    <n v="623.29499999999996"/>
    <n v="0"/>
    <s v="Daily Sales Import"/>
    <n v="-623.29499999999996"/>
    <n v="623.29499999999996"/>
    <x v="1"/>
    <s v="2220"/>
    <s v="000"/>
    <x v="1"/>
    <x v="0"/>
  </r>
  <r>
    <d v="2011-11-08T00:00:00"/>
    <s v="017-2230-000"/>
    <s v="Wine Sales"/>
    <n v="173.786"/>
    <n v="0"/>
    <s v="Daily Sales Import"/>
    <n v="-173.786"/>
    <n v="173.786"/>
    <x v="1"/>
    <s v="2230"/>
    <s v="000"/>
    <x v="1"/>
    <x v="0"/>
  </r>
  <r>
    <d v="2011-11-09T00:00:00"/>
    <s v="017-2100-000"/>
    <s v="Food Sales"/>
    <n v="5551.4690000000001"/>
    <n v="0"/>
    <s v="Daily Sales Import"/>
    <n v="-5551.4690000000001"/>
    <n v="5551.4690000000001"/>
    <x v="1"/>
    <s v="2100"/>
    <s v="000"/>
    <x v="1"/>
    <x v="0"/>
  </r>
  <r>
    <d v="2011-11-09T00:00:00"/>
    <s v="017-2210-000"/>
    <s v="Liquor Sales"/>
    <n v="851.95"/>
    <n v="0"/>
    <s v="Daily Sales Import"/>
    <n v="-851.95"/>
    <n v="851.95"/>
    <x v="1"/>
    <s v="2210"/>
    <s v="000"/>
    <x v="1"/>
    <x v="0"/>
  </r>
  <r>
    <d v="2011-11-09T00:00:00"/>
    <s v="017-2220-000"/>
    <s v="Beer Sales"/>
    <n v="317.2"/>
    <n v="0"/>
    <s v="Daily Sales Import"/>
    <n v="-317.2"/>
    <n v="317.2"/>
    <x v="1"/>
    <s v="2220"/>
    <s v="000"/>
    <x v="1"/>
    <x v="0"/>
  </r>
  <r>
    <d v="2011-11-09T00:00:00"/>
    <s v="017-2230-000"/>
    <s v="Wine Sales"/>
    <n v="111.54899999999998"/>
    <n v="0"/>
    <s v="Daily Sales Import"/>
    <n v="-111.54899999999998"/>
    <n v="111.54899999999998"/>
    <x v="1"/>
    <s v="2230"/>
    <s v="000"/>
    <x v="1"/>
    <x v="0"/>
  </r>
  <r>
    <d v="2011-11-10T00:00:00"/>
    <s v="017-2100-000"/>
    <s v="Food Sales"/>
    <n v="4984.0998"/>
    <n v="0"/>
    <s v="Daily Sales Import"/>
    <n v="-4984.0998"/>
    <n v="4984.0998"/>
    <x v="1"/>
    <s v="2100"/>
    <s v="000"/>
    <x v="1"/>
    <x v="0"/>
  </r>
  <r>
    <d v="2011-11-10T00:00:00"/>
    <s v="017-2210-000"/>
    <s v="Liquor Sales"/>
    <n v="1298.3879999999999"/>
    <n v="0"/>
    <s v="Daily Sales Import"/>
    <n v="-1298.3879999999999"/>
    <n v="1298.3879999999999"/>
    <x v="1"/>
    <s v="2210"/>
    <s v="000"/>
    <x v="1"/>
    <x v="0"/>
  </r>
  <r>
    <d v="2011-11-10T00:00:00"/>
    <s v="017-2220-000"/>
    <s v="Beer Sales"/>
    <n v="579.5625"/>
    <n v="0"/>
    <s v="Daily Sales Import"/>
    <n v="-579.5625"/>
    <n v="579.5625"/>
    <x v="1"/>
    <s v="2220"/>
    <s v="000"/>
    <x v="1"/>
    <x v="0"/>
  </r>
  <r>
    <d v="2011-11-10T00:00:00"/>
    <s v="017-2230-000"/>
    <s v="Wine Sales"/>
    <n v="168.87899999999999"/>
    <n v="0"/>
    <s v="Daily Sales Import"/>
    <n v="-168.87899999999999"/>
    <n v="168.87899999999999"/>
    <x v="1"/>
    <s v="2230"/>
    <s v="000"/>
    <x v="1"/>
    <x v="0"/>
  </r>
  <r>
    <d v="2011-11-11T00:00:00"/>
    <s v="017-2100-000"/>
    <s v="Food Sales"/>
    <n v="8132.7220000000007"/>
    <n v="0"/>
    <s v="Daily Sales Import"/>
    <n v="-8132.7220000000007"/>
    <n v="8132.7220000000007"/>
    <x v="1"/>
    <s v="2100"/>
    <s v="000"/>
    <x v="1"/>
    <x v="0"/>
  </r>
  <r>
    <d v="2011-11-11T00:00:00"/>
    <s v="017-2210-000"/>
    <s v="Liquor Sales"/>
    <n v="1807.7349999999999"/>
    <n v="0"/>
    <s v="Daily Sales Import"/>
    <n v="-1807.7349999999999"/>
    <n v="1807.7349999999999"/>
    <x v="1"/>
    <s v="2210"/>
    <s v="000"/>
    <x v="1"/>
    <x v="0"/>
  </r>
  <r>
    <d v="2011-11-11T00:00:00"/>
    <s v="017-2220-000"/>
    <s v="Beer Sales"/>
    <n v="734.45"/>
    <n v="0"/>
    <s v="Daily Sales Import"/>
    <n v="-734.45"/>
    <n v="734.45"/>
    <x v="1"/>
    <s v="2220"/>
    <s v="000"/>
    <x v="1"/>
    <x v="0"/>
  </r>
  <r>
    <d v="2011-11-11T00:00:00"/>
    <s v="017-2230-000"/>
    <s v="Wine Sales"/>
    <n v="329.98500000000001"/>
    <n v="0"/>
    <s v="Daily Sales Import"/>
    <n v="-329.98500000000001"/>
    <n v="329.98500000000001"/>
    <x v="1"/>
    <s v="2230"/>
    <s v="000"/>
    <x v="1"/>
    <x v="0"/>
  </r>
  <r>
    <d v="2011-11-12T00:00:00"/>
    <s v="017-2100-000"/>
    <s v="Food Sales"/>
    <n v="5026.05"/>
    <n v="0"/>
    <s v="Daily Sales Import"/>
    <n v="-5026.05"/>
    <n v="5026.05"/>
    <x v="1"/>
    <s v="2100"/>
    <s v="000"/>
    <x v="1"/>
    <x v="0"/>
  </r>
  <r>
    <d v="2011-11-12T00:00:00"/>
    <s v="017-2210-000"/>
    <s v="Liquor Sales"/>
    <n v="1481.92"/>
    <n v="0"/>
    <s v="Daily Sales Import"/>
    <n v="-1481.92"/>
    <n v="1481.92"/>
    <x v="1"/>
    <s v="2210"/>
    <s v="000"/>
    <x v="1"/>
    <x v="0"/>
  </r>
  <r>
    <d v="2011-11-12T00:00:00"/>
    <s v="017-2220-000"/>
    <s v="Beer Sales"/>
    <n v="323.69499999999999"/>
    <n v="0"/>
    <s v="Daily Sales Import"/>
    <n v="-323.69499999999999"/>
    <n v="323.69499999999999"/>
    <x v="1"/>
    <s v="2220"/>
    <s v="000"/>
    <x v="1"/>
    <x v="0"/>
  </r>
  <r>
    <d v="2011-11-12T00:00:00"/>
    <s v="017-2230-000"/>
    <s v="Wine Sales"/>
    <n v="101.029"/>
    <n v="0"/>
    <s v="Daily Sales Import"/>
    <n v="-101.029"/>
    <n v="101.029"/>
    <x v="1"/>
    <s v="2230"/>
    <s v="000"/>
    <x v="1"/>
    <x v="0"/>
  </r>
  <r>
    <d v="2011-11-13T00:00:00"/>
    <s v="017-2100-000"/>
    <s v="Food Sales"/>
    <n v="4054.0679999999998"/>
    <n v="0"/>
    <s v="Daily Sales Import"/>
    <n v="-4054.0679999999998"/>
    <n v="4054.0679999999998"/>
    <x v="1"/>
    <s v="2100"/>
    <s v="000"/>
    <x v="1"/>
    <x v="0"/>
  </r>
  <r>
    <d v="2011-11-13T00:00:00"/>
    <s v="017-2210-000"/>
    <s v="Liquor Sales"/>
    <n v="825.04399999999998"/>
    <n v="0"/>
    <s v="Daily Sales Import"/>
    <n v="-825.04399999999998"/>
    <n v="825.04399999999998"/>
    <x v="1"/>
    <s v="2210"/>
    <s v="000"/>
    <x v="1"/>
    <x v="0"/>
  </r>
  <r>
    <d v="2011-11-13T00:00:00"/>
    <s v="017-2220-000"/>
    <s v="Beer Sales"/>
    <n v="134.28"/>
    <n v="0"/>
    <s v="Daily Sales Import"/>
    <n v="-134.28"/>
    <n v="134.28"/>
    <x v="1"/>
    <s v="2220"/>
    <s v="000"/>
    <x v="1"/>
    <x v="0"/>
  </r>
  <r>
    <d v="2011-11-13T00:00:00"/>
    <s v="017-2230-000"/>
    <s v="Wine Sales"/>
    <n v="79.591499999999996"/>
    <n v="0"/>
    <s v="Daily Sales Import"/>
    <n v="-79.591499999999996"/>
    <n v="79.591499999999996"/>
    <x v="1"/>
    <s v="2230"/>
    <s v="000"/>
    <x v="1"/>
    <x v="0"/>
  </r>
  <r>
    <d v="2011-11-07T00:00:00"/>
    <s v="018-2100-000"/>
    <s v="Food Sales"/>
    <n v="3538.6428000000001"/>
    <n v="0"/>
    <s v="Daily Sales Import"/>
    <n v="-3538.6428000000001"/>
    <n v="3538.6428000000001"/>
    <x v="2"/>
    <s v="2100"/>
    <s v="000"/>
    <x v="1"/>
    <x v="0"/>
  </r>
  <r>
    <d v="2011-11-07T00:00:00"/>
    <s v="018-2210-000"/>
    <s v="Liquor Sales"/>
    <n v="520.79"/>
    <n v="0"/>
    <s v="Daily Sales Import"/>
    <n v="-520.79"/>
    <n v="520.79"/>
    <x v="2"/>
    <s v="2210"/>
    <s v="000"/>
    <x v="1"/>
    <x v="0"/>
  </r>
  <r>
    <d v="2011-11-07T00:00:00"/>
    <s v="018-2220-000"/>
    <s v="Beer Sales"/>
    <n v="182.77650000000003"/>
    <n v="0"/>
    <s v="Daily Sales Import"/>
    <n v="-182.77650000000003"/>
    <n v="182.77650000000003"/>
    <x v="2"/>
    <s v="2220"/>
    <s v="000"/>
    <x v="1"/>
    <x v="0"/>
  </r>
  <r>
    <d v="2011-11-07T00:00:00"/>
    <s v="018-2230-000"/>
    <s v="Wine Sales"/>
    <n v="29.183"/>
    <n v="0"/>
    <s v="Daily Sales Import"/>
    <n v="-29.183"/>
    <n v="29.183"/>
    <x v="2"/>
    <s v="2230"/>
    <s v="000"/>
    <x v="1"/>
    <x v="0"/>
  </r>
  <r>
    <d v="2011-11-08T00:00:00"/>
    <s v="018-2100-000"/>
    <s v="Food Sales"/>
    <n v="4436.8188"/>
    <n v="0"/>
    <s v="Daily Sales Import"/>
    <n v="-4436.8188"/>
    <n v="4436.8188"/>
    <x v="2"/>
    <s v="2100"/>
    <s v="000"/>
    <x v="1"/>
    <x v="0"/>
  </r>
  <r>
    <d v="2011-11-08T00:00:00"/>
    <s v="018-2210-000"/>
    <s v="Liquor Sales"/>
    <n v="614.56000000000006"/>
    <n v="0"/>
    <s v="Daily Sales Import"/>
    <n v="-614.56000000000006"/>
    <n v="614.56000000000006"/>
    <x v="2"/>
    <s v="2210"/>
    <s v="000"/>
    <x v="1"/>
    <x v="0"/>
  </r>
  <r>
    <d v="2011-11-08T00:00:00"/>
    <s v="018-2220-000"/>
    <s v="Beer Sales"/>
    <n v="115.449"/>
    <n v="0"/>
    <s v="Daily Sales Import"/>
    <n v="-115.449"/>
    <n v="115.449"/>
    <x v="2"/>
    <s v="2220"/>
    <s v="000"/>
    <x v="1"/>
    <x v="0"/>
  </r>
  <r>
    <d v="2011-11-08T00:00:00"/>
    <s v="018-2230-000"/>
    <s v="Wine Sales"/>
    <n v="24.885000000000002"/>
    <n v="0"/>
    <s v="Daily Sales Import"/>
    <n v="-24.885000000000002"/>
    <n v="24.885000000000002"/>
    <x v="2"/>
    <s v="2230"/>
    <s v="000"/>
    <x v="1"/>
    <x v="0"/>
  </r>
  <r>
    <d v="2011-11-09T00:00:00"/>
    <s v="018-2100-000"/>
    <s v="Food Sales"/>
    <n v="3531.6749999999997"/>
    <n v="0"/>
    <s v="Daily Sales Import"/>
    <n v="-3531.6749999999997"/>
    <n v="3531.6749999999997"/>
    <x v="2"/>
    <s v="2100"/>
    <s v="000"/>
    <x v="1"/>
    <x v="0"/>
  </r>
  <r>
    <d v="2011-11-09T00:00:00"/>
    <s v="018-2210-000"/>
    <s v="Liquor Sales"/>
    <n v="563.61200000000008"/>
    <n v="0"/>
    <s v="Daily Sales Import"/>
    <n v="-563.61200000000008"/>
    <n v="563.61200000000008"/>
    <x v="2"/>
    <s v="2210"/>
    <s v="000"/>
    <x v="1"/>
    <x v="0"/>
  </r>
  <r>
    <d v="2011-11-09T00:00:00"/>
    <s v="018-2220-000"/>
    <s v="Beer Sales"/>
    <n v="179.13200000000001"/>
    <n v="0"/>
    <s v="Daily Sales Import"/>
    <n v="-179.13200000000001"/>
    <n v="179.13200000000001"/>
    <x v="2"/>
    <s v="2220"/>
    <s v="000"/>
    <x v="1"/>
    <x v="0"/>
  </r>
  <r>
    <d v="2011-11-09T00:00:00"/>
    <s v="018-2230-000"/>
    <s v="Wine Sales"/>
    <n v="37.499000000000002"/>
    <n v="0"/>
    <s v="Daily Sales Import"/>
    <n v="-37.499000000000002"/>
    <n v="37.499000000000002"/>
    <x v="2"/>
    <s v="2230"/>
    <s v="000"/>
    <x v="1"/>
    <x v="0"/>
  </r>
  <r>
    <d v="2011-11-10T00:00:00"/>
    <s v="018-2100-000"/>
    <s v="Food Sales"/>
    <n v="4681.4250000000002"/>
    <n v="0"/>
    <s v="Daily Sales Import"/>
    <n v="-4681.4250000000002"/>
    <n v="4681.4250000000002"/>
    <x v="2"/>
    <s v="2100"/>
    <s v="000"/>
    <x v="1"/>
    <x v="0"/>
  </r>
  <r>
    <d v="2011-11-10T00:00:00"/>
    <s v="018-2210-000"/>
    <s v="Liquor Sales"/>
    <n v="841.87400000000002"/>
    <n v="0"/>
    <s v="Daily Sales Import"/>
    <n v="-841.87400000000002"/>
    <n v="841.87400000000002"/>
    <x v="2"/>
    <s v="2210"/>
    <s v="000"/>
    <x v="1"/>
    <x v="0"/>
  </r>
  <r>
    <d v="2011-11-10T00:00:00"/>
    <s v="018-2220-000"/>
    <s v="Beer Sales"/>
    <n v="348.23250000000002"/>
    <n v="0"/>
    <s v="Daily Sales Import"/>
    <n v="-348.23250000000002"/>
    <n v="348.23250000000002"/>
    <x v="2"/>
    <s v="2220"/>
    <s v="000"/>
    <x v="1"/>
    <x v="0"/>
  </r>
  <r>
    <d v="2011-11-10T00:00:00"/>
    <s v="018-2230-000"/>
    <s v="Wine Sales"/>
    <n v="132"/>
    <n v="0"/>
    <s v="Daily Sales Import"/>
    <n v="-132"/>
    <n v="132"/>
    <x v="2"/>
    <s v="2230"/>
    <s v="000"/>
    <x v="1"/>
    <x v="0"/>
  </r>
  <r>
    <d v="2011-11-11T00:00:00"/>
    <s v="018-2100-000"/>
    <s v="Food Sales"/>
    <n v="11936.6065"/>
    <n v="0"/>
    <s v="Daily Sales Import"/>
    <n v="-11936.6065"/>
    <n v="11936.6065"/>
    <x v="2"/>
    <s v="2100"/>
    <s v="000"/>
    <x v="1"/>
    <x v="0"/>
  </r>
  <r>
    <d v="2011-11-11T00:00:00"/>
    <s v="018-2210-000"/>
    <s v="Liquor Sales"/>
    <n v="2340.5220000000004"/>
    <n v="0"/>
    <s v="Daily Sales Import"/>
    <n v="-2340.5220000000004"/>
    <n v="2340.5220000000004"/>
    <x v="2"/>
    <s v="2210"/>
    <s v="000"/>
    <x v="1"/>
    <x v="0"/>
  </r>
  <r>
    <d v="2011-11-11T00:00:00"/>
    <s v="018-2220-000"/>
    <s v="Beer Sales"/>
    <n v="303.73199999999997"/>
    <n v="0"/>
    <s v="Daily Sales Import"/>
    <n v="-303.73199999999997"/>
    <n v="303.73199999999997"/>
    <x v="2"/>
    <s v="2220"/>
    <s v="000"/>
    <x v="1"/>
    <x v="0"/>
  </r>
  <r>
    <d v="2011-11-11T00:00:00"/>
    <s v="018-2230-000"/>
    <s v="Wine Sales"/>
    <n v="142.24"/>
    <n v="0"/>
    <s v="Daily Sales Import"/>
    <n v="-142.24"/>
    <n v="142.24"/>
    <x v="2"/>
    <s v="2230"/>
    <s v="000"/>
    <x v="1"/>
    <x v="0"/>
  </r>
  <r>
    <d v="2011-11-12T00:00:00"/>
    <s v="018-2100-000"/>
    <s v="Food Sales"/>
    <n v="7824.0429999999997"/>
    <n v="0"/>
    <s v="Daily Sales Import"/>
    <n v="-7824.0429999999997"/>
    <n v="7824.0429999999997"/>
    <x v="2"/>
    <s v="2100"/>
    <s v="000"/>
    <x v="1"/>
    <x v="0"/>
  </r>
  <r>
    <d v="2011-11-12T00:00:00"/>
    <s v="018-2210-000"/>
    <s v="Liquor Sales"/>
    <n v="2102.1519999999996"/>
    <n v="0"/>
    <s v="Daily Sales Import"/>
    <n v="-2102.1519999999996"/>
    <n v="2102.1519999999996"/>
    <x v="2"/>
    <s v="2210"/>
    <s v="000"/>
    <x v="1"/>
    <x v="0"/>
  </r>
  <r>
    <d v="2011-11-12T00:00:00"/>
    <s v="018-2220-000"/>
    <s v="Beer Sales"/>
    <n v="368.92799999999994"/>
    <n v="0"/>
    <s v="Daily Sales Import"/>
    <n v="-368.92799999999994"/>
    <n v="368.92799999999994"/>
    <x v="2"/>
    <s v="2220"/>
    <s v="000"/>
    <x v="1"/>
    <x v="0"/>
  </r>
  <r>
    <d v="2011-11-12T00:00:00"/>
    <s v="018-2230-000"/>
    <s v="Wine Sales"/>
    <n v="69.31049999999999"/>
    <n v="0"/>
    <s v="Daily Sales Import"/>
    <n v="-69.31049999999999"/>
    <n v="69.31049999999999"/>
    <x v="2"/>
    <s v="2230"/>
    <s v="000"/>
    <x v="1"/>
    <x v="0"/>
  </r>
  <r>
    <d v="2011-11-13T00:00:00"/>
    <s v="018-2100-000"/>
    <s v="Food Sales"/>
    <n v="7700.1509999999989"/>
    <n v="0"/>
    <s v="Daily Sales Import"/>
    <n v="-7700.1509999999989"/>
    <n v="7700.1509999999989"/>
    <x v="2"/>
    <s v="2100"/>
    <s v="000"/>
    <x v="1"/>
    <x v="0"/>
  </r>
  <r>
    <d v="2011-11-13T00:00:00"/>
    <s v="018-2210-000"/>
    <s v="Liquor Sales"/>
    <n v="649.98"/>
    <n v="0"/>
    <s v="Daily Sales Import"/>
    <n v="-649.98"/>
    <n v="649.98"/>
    <x v="2"/>
    <s v="2210"/>
    <s v="000"/>
    <x v="1"/>
    <x v="0"/>
  </r>
  <r>
    <d v="2011-11-13T00:00:00"/>
    <s v="018-2220-000"/>
    <s v="Beer Sales"/>
    <n v="195.84450000000001"/>
    <n v="0"/>
    <s v="Daily Sales Import"/>
    <n v="-195.84450000000001"/>
    <n v="195.84450000000001"/>
    <x v="2"/>
    <s v="2220"/>
    <s v="000"/>
    <x v="1"/>
    <x v="0"/>
  </r>
  <r>
    <d v="2011-11-13T00:00:00"/>
    <s v="018-2230-000"/>
    <s v="Wine Sales"/>
    <n v="57.381"/>
    <n v="0"/>
    <s v="Daily Sales Import"/>
    <n v="-57.381"/>
    <n v="57.381"/>
    <x v="2"/>
    <s v="2230"/>
    <s v="000"/>
    <x v="1"/>
    <x v="0"/>
  </r>
  <r>
    <d v="2011-11-14T00:00:00"/>
    <s v="016-2100-000"/>
    <s v="Food Sales"/>
    <n v="1328.7959999999998"/>
    <n v="0"/>
    <s v="Daily Sales Import"/>
    <n v="-1328.7959999999998"/>
    <n v="1328.7959999999998"/>
    <x v="0"/>
    <s v="2100"/>
    <s v="000"/>
    <x v="1"/>
    <x v="0"/>
  </r>
  <r>
    <d v="2011-11-14T00:00:00"/>
    <s v="016-2210-000"/>
    <s v="Liquor Sales"/>
    <n v="418.65100000000001"/>
    <n v="0"/>
    <s v="Daily Sales Import"/>
    <n v="-418.65100000000001"/>
    <n v="418.65100000000001"/>
    <x v="0"/>
    <s v="2210"/>
    <s v="000"/>
    <x v="1"/>
    <x v="0"/>
  </r>
  <r>
    <d v="2011-11-14T00:00:00"/>
    <s v="016-2220-000"/>
    <s v="Beer Sales"/>
    <n v="55.35"/>
    <n v="0"/>
    <s v="Daily Sales Import"/>
    <n v="-55.35"/>
    <n v="55.35"/>
    <x v="0"/>
    <s v="2220"/>
    <s v="000"/>
    <x v="1"/>
    <x v="0"/>
  </r>
  <r>
    <d v="2011-11-14T00:00:00"/>
    <s v="016-2230-000"/>
    <s v="Wine Sales"/>
    <n v="96.278000000000006"/>
    <n v="0"/>
    <s v="Daily Sales Import"/>
    <n v="-96.278000000000006"/>
    <n v="96.278000000000006"/>
    <x v="0"/>
    <s v="2230"/>
    <s v="000"/>
    <x v="1"/>
    <x v="0"/>
  </r>
  <r>
    <d v="2011-11-15T00:00:00"/>
    <s v="016-2100-000"/>
    <s v="Food Sales"/>
    <n v="2059.9733000000001"/>
    <n v="0"/>
    <s v="Daily Sales Import"/>
    <n v="-2059.9733000000001"/>
    <n v="2059.9733000000001"/>
    <x v="0"/>
    <s v="2100"/>
    <s v="000"/>
    <x v="1"/>
    <x v="0"/>
  </r>
  <r>
    <d v="2011-11-15T00:00:00"/>
    <s v="016-2210-000"/>
    <s v="Liquor Sales"/>
    <n v="335.23750000000001"/>
    <n v="0"/>
    <s v="Daily Sales Import"/>
    <n v="-335.23750000000001"/>
    <n v="335.23750000000001"/>
    <x v="0"/>
    <s v="2210"/>
    <s v="000"/>
    <x v="1"/>
    <x v="0"/>
  </r>
  <r>
    <d v="2011-11-15T00:00:00"/>
    <s v="016-2220-000"/>
    <s v="Beer Sales"/>
    <n v="88"/>
    <n v="0"/>
    <s v="Daily Sales Import"/>
    <n v="-88"/>
    <n v="88"/>
    <x v="0"/>
    <s v="2220"/>
    <s v="000"/>
    <x v="1"/>
    <x v="0"/>
  </r>
  <r>
    <d v="2011-11-15T00:00:00"/>
    <s v="016-2230-000"/>
    <s v="Wine Sales"/>
    <n v="59.940000000000005"/>
    <n v="0"/>
    <s v="Daily Sales Import"/>
    <n v="-59.940000000000005"/>
    <n v="59.940000000000005"/>
    <x v="0"/>
    <s v="2230"/>
    <s v="000"/>
    <x v="1"/>
    <x v="0"/>
  </r>
  <r>
    <d v="2011-11-16T00:00:00"/>
    <s v="016-2100-000"/>
    <s v="Food Sales"/>
    <n v="2997.1739999999995"/>
    <n v="0"/>
    <s v="Daily Sales Import"/>
    <n v="-2997.1739999999995"/>
    <n v="2997.1739999999995"/>
    <x v="0"/>
    <s v="2100"/>
    <s v="000"/>
    <x v="1"/>
    <x v="0"/>
  </r>
  <r>
    <d v="2011-11-16T00:00:00"/>
    <s v="016-2210-000"/>
    <s v="Liquor Sales"/>
    <n v="1801.9124999999999"/>
    <n v="0"/>
    <s v="Daily Sales Import"/>
    <n v="-1801.9124999999999"/>
    <n v="1801.9124999999999"/>
    <x v="0"/>
    <s v="2210"/>
    <s v="000"/>
    <x v="1"/>
    <x v="0"/>
  </r>
  <r>
    <d v="2011-11-16T00:00:00"/>
    <s v="016-2220-000"/>
    <s v="Beer Sales"/>
    <n v="255.47399999999996"/>
    <n v="0"/>
    <s v="Daily Sales Import"/>
    <n v="-255.47399999999996"/>
    <n v="255.47399999999996"/>
    <x v="0"/>
    <s v="2220"/>
    <s v="000"/>
    <x v="1"/>
    <x v="0"/>
  </r>
  <r>
    <d v="2011-11-16T00:00:00"/>
    <s v="016-2230-000"/>
    <s v="Wine Sales"/>
    <n v="228.45899999999997"/>
    <n v="0"/>
    <s v="Daily Sales Import"/>
    <n v="-228.45899999999997"/>
    <n v="228.45899999999997"/>
    <x v="0"/>
    <s v="2230"/>
    <s v="000"/>
    <x v="1"/>
    <x v="0"/>
  </r>
  <r>
    <d v="2011-11-17T00:00:00"/>
    <s v="016-2100-000"/>
    <s v="Food Sales"/>
    <n v="2401.7802999999999"/>
    <n v="0"/>
    <s v="Daily Sales Import"/>
    <n v="-2401.7802999999999"/>
    <n v="2401.7802999999999"/>
    <x v="0"/>
    <s v="2100"/>
    <s v="000"/>
    <x v="1"/>
    <x v="0"/>
  </r>
  <r>
    <d v="2011-11-17T00:00:00"/>
    <s v="016-2210-000"/>
    <s v="Liquor Sales"/>
    <n v="540.88250000000005"/>
    <n v="0"/>
    <s v="Daily Sales Import"/>
    <n v="-540.88250000000005"/>
    <n v="540.88250000000005"/>
    <x v="0"/>
    <s v="2210"/>
    <s v="000"/>
    <x v="1"/>
    <x v="0"/>
  </r>
  <r>
    <d v="2011-11-17T00:00:00"/>
    <s v="016-2220-000"/>
    <s v="Beer Sales"/>
    <n v="225.29250000000002"/>
    <n v="0"/>
    <s v="Daily Sales Import"/>
    <n v="-225.29250000000002"/>
    <n v="225.29250000000002"/>
    <x v="0"/>
    <s v="2220"/>
    <s v="000"/>
    <x v="1"/>
    <x v="0"/>
  </r>
  <r>
    <d v="2011-11-17T00:00:00"/>
    <s v="016-2230-000"/>
    <s v="Wine Sales"/>
    <n v="51.051000000000002"/>
    <n v="0"/>
    <s v="Daily Sales Import"/>
    <n v="-51.051000000000002"/>
    <n v="51.051000000000002"/>
    <x v="0"/>
    <s v="2230"/>
    <s v="000"/>
    <x v="1"/>
    <x v="0"/>
  </r>
  <r>
    <d v="2011-11-18T00:00:00"/>
    <s v="016-2100-000"/>
    <s v="Food Sales"/>
    <n v="7170.4767000000002"/>
    <n v="0"/>
    <s v="Daily Sales Import"/>
    <n v="-7170.4767000000002"/>
    <n v="7170.4767000000002"/>
    <x v="0"/>
    <s v="2100"/>
    <s v="000"/>
    <x v="1"/>
    <x v="0"/>
  </r>
  <r>
    <d v="2011-11-18T00:00:00"/>
    <s v="016-2210-000"/>
    <s v="Liquor Sales"/>
    <n v="2862.4935"/>
    <n v="0"/>
    <s v="Daily Sales Import"/>
    <n v="-2862.4935"/>
    <n v="2862.4935"/>
    <x v="0"/>
    <s v="2210"/>
    <s v="000"/>
    <x v="1"/>
    <x v="0"/>
  </r>
  <r>
    <d v="2011-11-18T00:00:00"/>
    <s v="016-2220-000"/>
    <s v="Beer Sales"/>
    <n v="463.8075"/>
    <n v="0"/>
    <s v="Daily Sales Import"/>
    <n v="-463.8075"/>
    <n v="463.8075"/>
    <x v="0"/>
    <s v="2220"/>
    <s v="000"/>
    <x v="1"/>
    <x v="0"/>
  </r>
  <r>
    <d v="2011-11-18T00:00:00"/>
    <s v="016-2230-000"/>
    <s v="Wine Sales"/>
    <n v="174.72549999999998"/>
    <n v="0"/>
    <s v="Daily Sales Import"/>
    <n v="-174.72549999999998"/>
    <n v="174.72549999999998"/>
    <x v="0"/>
    <s v="2230"/>
    <s v="000"/>
    <x v="1"/>
    <x v="0"/>
  </r>
  <r>
    <d v="2011-11-19T00:00:00"/>
    <s v="016-2100-000"/>
    <s v="Food Sales"/>
    <n v="8952.8075000000008"/>
    <n v="0"/>
    <s v="Daily Sales Import"/>
    <n v="-8952.8075000000008"/>
    <n v="8952.8075000000008"/>
    <x v="0"/>
    <s v="2100"/>
    <s v="000"/>
    <x v="1"/>
    <x v="0"/>
  </r>
  <r>
    <d v="2011-11-19T00:00:00"/>
    <s v="016-2210-000"/>
    <s v="Liquor Sales"/>
    <n v="1845.3500000000001"/>
    <n v="0"/>
    <s v="Daily Sales Import"/>
    <n v="-1845.3500000000001"/>
    <n v="1845.3500000000001"/>
    <x v="0"/>
    <s v="2210"/>
    <s v="000"/>
    <x v="1"/>
    <x v="0"/>
  </r>
  <r>
    <d v="2011-11-19T00:00:00"/>
    <s v="016-2220-000"/>
    <s v="Beer Sales"/>
    <n v="315.40049999999997"/>
    <n v="0"/>
    <s v="Daily Sales Import"/>
    <n v="-315.40049999999997"/>
    <n v="315.40049999999997"/>
    <x v="0"/>
    <s v="2220"/>
    <s v="000"/>
    <x v="1"/>
    <x v="0"/>
  </r>
  <r>
    <d v="2011-11-19T00:00:00"/>
    <s v="016-2230-000"/>
    <s v="Wine Sales"/>
    <n v="260.59100000000001"/>
    <n v="0"/>
    <s v="Daily Sales Import"/>
    <n v="-260.59100000000001"/>
    <n v="260.59100000000001"/>
    <x v="0"/>
    <s v="2230"/>
    <s v="000"/>
    <x v="1"/>
    <x v="0"/>
  </r>
  <r>
    <d v="2011-11-20T00:00:00"/>
    <s v="016-2100-000"/>
    <s v="Food Sales"/>
    <n v="5052.6360999999997"/>
    <n v="0"/>
    <s v="Daily Sales Import"/>
    <n v="-5052.6360999999997"/>
    <n v="5052.6360999999997"/>
    <x v="0"/>
    <s v="2100"/>
    <s v="000"/>
    <x v="1"/>
    <x v="0"/>
  </r>
  <r>
    <d v="2011-11-20T00:00:00"/>
    <s v="016-2210-000"/>
    <s v="Liquor Sales"/>
    <n v="1410.13"/>
    <n v="0"/>
    <s v="Daily Sales Import"/>
    <n v="-1410.13"/>
    <n v="1410.13"/>
    <x v="0"/>
    <s v="2210"/>
    <s v="000"/>
    <x v="1"/>
    <x v="0"/>
  </r>
  <r>
    <d v="2011-11-20T00:00:00"/>
    <s v="016-2220-000"/>
    <s v="Beer Sales"/>
    <n v="573.84"/>
    <n v="0"/>
    <s v="Daily Sales Import"/>
    <n v="-573.84"/>
    <n v="573.84"/>
    <x v="0"/>
    <s v="2220"/>
    <s v="000"/>
    <x v="1"/>
    <x v="0"/>
  </r>
  <r>
    <d v="2011-11-20T00:00:00"/>
    <s v="016-2230-000"/>
    <s v="Wine Sales"/>
    <n v="494.73000000000008"/>
    <n v="0"/>
    <s v="Daily Sales Import"/>
    <n v="-494.73000000000008"/>
    <n v="494.73000000000008"/>
    <x v="0"/>
    <s v="2230"/>
    <s v="000"/>
    <x v="1"/>
    <x v="0"/>
  </r>
  <r>
    <d v="2011-11-14T00:00:00"/>
    <s v="017-2100-000"/>
    <s v="Food Sales"/>
    <n v="4416.9920000000002"/>
    <n v="0"/>
    <s v="Daily Sales Import"/>
    <n v="-4416.9920000000002"/>
    <n v="4416.9920000000002"/>
    <x v="1"/>
    <s v="2100"/>
    <s v="000"/>
    <x v="1"/>
    <x v="0"/>
  </r>
  <r>
    <d v="2011-11-14T00:00:00"/>
    <s v="017-2210-000"/>
    <s v="Liquor Sales"/>
    <n v="825.19199999999989"/>
    <n v="0"/>
    <s v="Daily Sales Import"/>
    <n v="-825.19199999999989"/>
    <n v="825.19199999999989"/>
    <x v="1"/>
    <s v="2210"/>
    <s v="000"/>
    <x v="1"/>
    <x v="0"/>
  </r>
  <r>
    <d v="2011-11-14T00:00:00"/>
    <s v="017-2220-000"/>
    <s v="Beer Sales"/>
    <n v="518.52"/>
    <n v="0"/>
    <s v="Daily Sales Import"/>
    <n v="-518.52"/>
    <n v="518.52"/>
    <x v="1"/>
    <s v="2220"/>
    <s v="000"/>
    <x v="1"/>
    <x v="0"/>
  </r>
  <r>
    <d v="2011-11-14T00:00:00"/>
    <s v="017-2230-000"/>
    <s v="Wine Sales"/>
    <n v="93.738"/>
    <n v="0"/>
    <s v="Daily Sales Import"/>
    <n v="-93.738"/>
    <n v="93.738"/>
    <x v="1"/>
    <s v="2230"/>
    <s v="000"/>
    <x v="1"/>
    <x v="0"/>
  </r>
  <r>
    <d v="2011-11-15T00:00:00"/>
    <s v="017-2100-000"/>
    <s v="Food Sales"/>
    <n v="4137.3860000000004"/>
    <n v="0"/>
    <s v="Daily Sales Import"/>
    <n v="-4137.3860000000004"/>
    <n v="4137.3860000000004"/>
    <x v="1"/>
    <s v="2100"/>
    <s v="000"/>
    <x v="1"/>
    <x v="0"/>
  </r>
  <r>
    <d v="2011-11-15T00:00:00"/>
    <s v="017-2210-000"/>
    <s v="Liquor Sales"/>
    <n v="1324.664"/>
    <n v="0"/>
    <s v="Daily Sales Import"/>
    <n v="-1324.664"/>
    <n v="1324.664"/>
    <x v="1"/>
    <s v="2210"/>
    <s v="000"/>
    <x v="1"/>
    <x v="0"/>
  </r>
  <r>
    <d v="2011-11-15T00:00:00"/>
    <s v="017-2220-000"/>
    <s v="Beer Sales"/>
    <n v="339.72750000000002"/>
    <n v="0"/>
    <s v="Daily Sales Import"/>
    <n v="-339.72750000000002"/>
    <n v="339.72750000000002"/>
    <x v="1"/>
    <s v="2220"/>
    <s v="000"/>
    <x v="1"/>
    <x v="0"/>
  </r>
  <r>
    <d v="2011-11-15T00:00:00"/>
    <s v="017-2230-000"/>
    <s v="Wine Sales"/>
    <n v="166.083"/>
    <n v="0"/>
    <s v="Daily Sales Import"/>
    <n v="-166.083"/>
    <n v="166.083"/>
    <x v="1"/>
    <s v="2230"/>
    <s v="000"/>
    <x v="1"/>
    <x v="0"/>
  </r>
  <r>
    <d v="2011-11-16T00:00:00"/>
    <s v="017-2100-000"/>
    <s v="Food Sales"/>
    <n v="8066.3850000000002"/>
    <n v="0"/>
    <s v="Daily Sales Import"/>
    <n v="-8066.3850000000002"/>
    <n v="8066.3850000000002"/>
    <x v="1"/>
    <s v="2100"/>
    <s v="000"/>
    <x v="1"/>
    <x v="0"/>
  </r>
  <r>
    <d v="2011-11-16T00:00:00"/>
    <s v="017-2210-000"/>
    <s v="Liquor Sales"/>
    <n v="2152.2059999999997"/>
    <n v="0"/>
    <s v="Daily Sales Import"/>
    <n v="-2152.2059999999997"/>
    <n v="2152.2059999999997"/>
    <x v="1"/>
    <s v="2210"/>
    <s v="000"/>
    <x v="1"/>
    <x v="0"/>
  </r>
  <r>
    <d v="2011-11-16T00:00:00"/>
    <s v="017-2220-000"/>
    <s v="Beer Sales"/>
    <n v="1131.29"/>
    <n v="0"/>
    <s v="Daily Sales Import"/>
    <n v="-1131.29"/>
    <n v="1131.29"/>
    <x v="1"/>
    <s v="2220"/>
    <s v="000"/>
    <x v="1"/>
    <x v="0"/>
  </r>
  <r>
    <d v="2011-11-16T00:00:00"/>
    <s v="017-2230-000"/>
    <s v="Wine Sales"/>
    <n v="342.06300000000005"/>
    <n v="0"/>
    <s v="Daily Sales Import"/>
    <n v="-342.06300000000005"/>
    <n v="342.06300000000005"/>
    <x v="1"/>
    <s v="2230"/>
    <s v="000"/>
    <x v="1"/>
    <x v="0"/>
  </r>
  <r>
    <d v="2011-11-17T00:00:00"/>
    <s v="017-2100-000"/>
    <s v="Food Sales"/>
    <n v="3662.1145000000006"/>
    <n v="0"/>
    <s v="Daily Sales Import"/>
    <n v="-3662.1145000000006"/>
    <n v="3662.1145000000006"/>
    <x v="1"/>
    <s v="2100"/>
    <s v="000"/>
    <x v="1"/>
    <x v="0"/>
  </r>
  <r>
    <d v="2011-11-17T00:00:00"/>
    <s v="017-2210-000"/>
    <s v="Liquor Sales"/>
    <n v="873.54000000000008"/>
    <n v="0"/>
    <s v="Daily Sales Import"/>
    <n v="-873.54000000000008"/>
    <n v="873.54000000000008"/>
    <x v="1"/>
    <s v="2210"/>
    <s v="000"/>
    <x v="1"/>
    <x v="0"/>
  </r>
  <r>
    <d v="2011-11-17T00:00:00"/>
    <s v="017-2220-000"/>
    <s v="Beer Sales"/>
    <n v="432.63"/>
    <n v="0"/>
    <s v="Daily Sales Import"/>
    <n v="-432.63"/>
    <n v="432.63"/>
    <x v="1"/>
    <s v="2220"/>
    <s v="000"/>
    <x v="1"/>
    <x v="0"/>
  </r>
  <r>
    <d v="2011-11-17T00:00:00"/>
    <s v="017-2230-000"/>
    <s v="Wine Sales"/>
    <n v="59.864999999999995"/>
    <n v="0"/>
    <s v="Daily Sales Import"/>
    <n v="-59.864999999999995"/>
    <n v="59.864999999999995"/>
    <x v="1"/>
    <s v="2230"/>
    <s v="000"/>
    <x v="1"/>
    <x v="0"/>
  </r>
  <r>
    <d v="2011-11-18T00:00:00"/>
    <s v="017-2100-000"/>
    <s v="Food Sales"/>
    <n v="8797.4109999999982"/>
    <n v="0"/>
    <s v="Daily Sales Import"/>
    <n v="-8797.4109999999982"/>
    <n v="8797.4109999999982"/>
    <x v="1"/>
    <s v="2100"/>
    <s v="000"/>
    <x v="1"/>
    <x v="0"/>
  </r>
  <r>
    <d v="2011-11-18T00:00:00"/>
    <s v="017-2210-000"/>
    <s v="Liquor Sales"/>
    <n v="1965.0930000000001"/>
    <n v="0"/>
    <s v="Daily Sales Import"/>
    <n v="-1965.0930000000001"/>
    <n v="1965.0930000000001"/>
    <x v="1"/>
    <s v="2210"/>
    <s v="000"/>
    <x v="1"/>
    <x v="0"/>
  </r>
  <r>
    <d v="2011-11-18T00:00:00"/>
    <s v="017-2220-000"/>
    <s v="Beer Sales"/>
    <n v="549.54"/>
    <n v="0"/>
    <s v="Daily Sales Import"/>
    <n v="-549.54"/>
    <n v="549.54"/>
    <x v="1"/>
    <s v="2220"/>
    <s v="000"/>
    <x v="1"/>
    <x v="0"/>
  </r>
  <r>
    <d v="2011-11-18T00:00:00"/>
    <s v="017-2230-000"/>
    <s v="Wine Sales"/>
    <n v="120.83500000000001"/>
    <n v="0"/>
    <s v="Daily Sales Import"/>
    <n v="-120.83500000000001"/>
    <n v="120.83500000000001"/>
    <x v="1"/>
    <s v="2230"/>
    <s v="000"/>
    <x v="1"/>
    <x v="0"/>
  </r>
  <r>
    <d v="2011-11-19T00:00:00"/>
    <s v="017-2100-000"/>
    <s v="Food Sales"/>
    <n v="5106.0625"/>
    <n v="0"/>
    <s v="Daily Sales Import"/>
    <n v="-5106.0625"/>
    <n v="5106.0625"/>
    <x v="1"/>
    <s v="2100"/>
    <s v="000"/>
    <x v="1"/>
    <x v="0"/>
  </r>
  <r>
    <d v="2011-11-19T00:00:00"/>
    <s v="017-2210-000"/>
    <s v="Liquor Sales"/>
    <n v="1351.336"/>
    <n v="0"/>
    <s v="Daily Sales Import"/>
    <n v="-1351.336"/>
    <n v="1351.336"/>
    <x v="1"/>
    <s v="2210"/>
    <s v="000"/>
    <x v="1"/>
    <x v="0"/>
  </r>
  <r>
    <d v="2011-11-19T00:00:00"/>
    <s v="017-2220-000"/>
    <s v="Beer Sales"/>
    <n v="250.08750000000001"/>
    <n v="0"/>
    <s v="Daily Sales Import"/>
    <n v="-250.08750000000001"/>
    <n v="250.08750000000001"/>
    <x v="1"/>
    <s v="2220"/>
    <s v="000"/>
    <x v="1"/>
    <x v="0"/>
  </r>
  <r>
    <d v="2011-11-19T00:00:00"/>
    <s v="017-2230-000"/>
    <s v="Wine Sales"/>
    <n v="97.825000000000003"/>
    <n v="0"/>
    <s v="Daily Sales Import"/>
    <n v="-97.825000000000003"/>
    <n v="97.825000000000003"/>
    <x v="1"/>
    <s v="2230"/>
    <s v="000"/>
    <x v="1"/>
    <x v="0"/>
  </r>
  <r>
    <d v="2011-11-20T00:00:00"/>
    <s v="017-2100-000"/>
    <s v="Food Sales"/>
    <n v="4524.5275000000001"/>
    <n v="0"/>
    <s v="Daily Sales Import"/>
    <n v="-4524.5275000000001"/>
    <n v="4524.5275000000001"/>
    <x v="1"/>
    <s v="2100"/>
    <s v="000"/>
    <x v="1"/>
    <x v="0"/>
  </r>
  <r>
    <d v="2011-11-20T00:00:00"/>
    <s v="017-2210-000"/>
    <s v="Liquor Sales"/>
    <n v="467.41200000000003"/>
    <n v="0"/>
    <s v="Daily Sales Import"/>
    <n v="-467.41200000000003"/>
    <n v="467.41200000000003"/>
    <x v="1"/>
    <s v="2210"/>
    <s v="000"/>
    <x v="1"/>
    <x v="0"/>
  </r>
  <r>
    <d v="2011-11-20T00:00:00"/>
    <s v="017-2220-000"/>
    <s v="Beer Sales"/>
    <n v="208.67999999999998"/>
    <n v="0"/>
    <s v="Daily Sales Import"/>
    <n v="-208.67999999999998"/>
    <n v="208.67999999999998"/>
    <x v="1"/>
    <s v="2220"/>
    <s v="000"/>
    <x v="1"/>
    <x v="0"/>
  </r>
  <r>
    <d v="2011-11-20T00:00:00"/>
    <s v="017-2230-000"/>
    <s v="Wine Sales"/>
    <n v="159.80799999999999"/>
    <n v="0"/>
    <s v="Daily Sales Import"/>
    <n v="-159.80799999999999"/>
    <n v="159.80799999999999"/>
    <x v="1"/>
    <s v="2230"/>
    <s v="000"/>
    <x v="1"/>
    <x v="0"/>
  </r>
  <r>
    <d v="2011-11-14T00:00:00"/>
    <s v="018-2100-000"/>
    <s v="Food Sales"/>
    <n v="2377.38"/>
    <n v="0"/>
    <s v="Daily Sales Import"/>
    <n v="-2377.38"/>
    <n v="2377.38"/>
    <x v="2"/>
    <s v="2100"/>
    <s v="000"/>
    <x v="1"/>
    <x v="0"/>
  </r>
  <r>
    <d v="2011-11-14T00:00:00"/>
    <s v="018-2210-000"/>
    <s v="Liquor Sales"/>
    <n v="692.17200000000003"/>
    <n v="0"/>
    <s v="Daily Sales Import"/>
    <n v="-692.17200000000003"/>
    <n v="692.17200000000003"/>
    <x v="2"/>
    <s v="2210"/>
    <s v="000"/>
    <x v="1"/>
    <x v="0"/>
  </r>
  <r>
    <d v="2011-11-14T00:00:00"/>
    <s v="018-2220-000"/>
    <s v="Beer Sales"/>
    <n v="162.4975"/>
    <n v="0"/>
    <s v="Daily Sales Import"/>
    <n v="-162.4975"/>
    <n v="162.4975"/>
    <x v="2"/>
    <s v="2220"/>
    <s v="000"/>
    <x v="1"/>
    <x v="0"/>
  </r>
  <r>
    <d v="2011-11-14T00:00:00"/>
    <s v="018-2230-000"/>
    <s v="Wine Sales"/>
    <n v="30.7135"/>
    <n v="0"/>
    <s v="Daily Sales Import"/>
    <n v="-30.7135"/>
    <n v="30.7135"/>
    <x v="2"/>
    <s v="2230"/>
    <s v="000"/>
    <x v="1"/>
    <x v="0"/>
  </r>
  <r>
    <d v="2011-11-15T00:00:00"/>
    <s v="018-2100-000"/>
    <s v="Food Sales"/>
    <n v="2757.7728000000002"/>
    <n v="0"/>
    <s v="Daily Sales Import"/>
    <n v="-2757.7728000000002"/>
    <n v="2757.7728000000002"/>
    <x v="2"/>
    <s v="2100"/>
    <s v="000"/>
    <x v="1"/>
    <x v="0"/>
  </r>
  <r>
    <d v="2011-11-15T00:00:00"/>
    <s v="018-2210-000"/>
    <s v="Liquor Sales"/>
    <n v="430.416"/>
    <n v="0"/>
    <s v="Daily Sales Import"/>
    <n v="-430.416"/>
    <n v="430.416"/>
    <x v="2"/>
    <s v="2210"/>
    <s v="000"/>
    <x v="1"/>
    <x v="0"/>
  </r>
  <r>
    <d v="2011-11-15T00:00:00"/>
    <s v="018-2220-000"/>
    <s v="Beer Sales"/>
    <n v="196.07499999999999"/>
    <n v="0"/>
    <s v="Daily Sales Import"/>
    <n v="-196.07499999999999"/>
    <n v="196.07499999999999"/>
    <x v="2"/>
    <s v="2220"/>
    <s v="000"/>
    <x v="1"/>
    <x v="0"/>
  </r>
  <r>
    <d v="2011-11-15T00:00:00"/>
    <s v="018-2230-000"/>
    <s v="Wine Sales"/>
    <n v="37.4"/>
    <n v="0"/>
    <s v="Daily Sales Import"/>
    <n v="-37.4"/>
    <n v="37.4"/>
    <x v="2"/>
    <s v="2230"/>
    <s v="000"/>
    <x v="1"/>
    <x v="0"/>
  </r>
  <r>
    <d v="2011-11-16T00:00:00"/>
    <s v="018-2100-000"/>
    <s v="Food Sales"/>
    <n v="2670.5844000000002"/>
    <n v="0"/>
    <s v="Daily Sales Import"/>
    <n v="-2670.5844000000002"/>
    <n v="2670.5844000000002"/>
    <x v="2"/>
    <s v="2100"/>
    <s v="000"/>
    <x v="1"/>
    <x v="0"/>
  </r>
  <r>
    <d v="2011-11-16T00:00:00"/>
    <s v="018-2210-000"/>
    <s v="Liquor Sales"/>
    <n v="569.73349999999994"/>
    <n v="0"/>
    <s v="Daily Sales Import"/>
    <n v="-569.73349999999994"/>
    <n v="569.73349999999994"/>
    <x v="2"/>
    <s v="2210"/>
    <s v="000"/>
    <x v="1"/>
    <x v="0"/>
  </r>
  <r>
    <d v="2011-11-16T00:00:00"/>
    <s v="018-2220-000"/>
    <s v="Beer Sales"/>
    <n v="175.02800000000002"/>
    <n v="0"/>
    <s v="Daily Sales Import"/>
    <n v="-175.02800000000002"/>
    <n v="175.02800000000002"/>
    <x v="2"/>
    <s v="2220"/>
    <s v="000"/>
    <x v="1"/>
    <x v="0"/>
  </r>
  <r>
    <d v="2011-11-16T00:00:00"/>
    <s v="018-2230-000"/>
    <s v="Wine Sales"/>
    <n v="24.165000000000003"/>
    <n v="0"/>
    <s v="Daily Sales Import"/>
    <n v="-24.165000000000003"/>
    <n v="24.165000000000003"/>
    <x v="2"/>
    <s v="2230"/>
    <s v="000"/>
    <x v="1"/>
    <x v="0"/>
  </r>
  <r>
    <d v="2011-11-17T00:00:00"/>
    <s v="018-2100-000"/>
    <s v="Food Sales"/>
    <n v="3062.5281999999997"/>
    <n v="0"/>
    <s v="Daily Sales Import"/>
    <n v="-3062.5281999999997"/>
    <n v="3062.5281999999997"/>
    <x v="2"/>
    <s v="2100"/>
    <s v="000"/>
    <x v="1"/>
    <x v="0"/>
  </r>
  <r>
    <d v="2011-11-17T00:00:00"/>
    <s v="018-2210-000"/>
    <s v="Liquor Sales"/>
    <n v="668.553"/>
    <n v="0"/>
    <s v="Daily Sales Import"/>
    <n v="-668.553"/>
    <n v="668.553"/>
    <x v="2"/>
    <s v="2210"/>
    <s v="000"/>
    <x v="1"/>
    <x v="0"/>
  </r>
  <r>
    <d v="2011-11-17T00:00:00"/>
    <s v="018-2220-000"/>
    <s v="Beer Sales"/>
    <n v="210.41899999999998"/>
    <n v="0"/>
    <s v="Daily Sales Import"/>
    <n v="-210.41899999999998"/>
    <n v="210.41899999999998"/>
    <x v="2"/>
    <s v="2220"/>
    <s v="000"/>
    <x v="1"/>
    <x v="0"/>
  </r>
  <r>
    <d v="2011-11-17T00:00:00"/>
    <s v="018-2230-000"/>
    <s v="Wine Sales"/>
    <n v="45.972000000000001"/>
    <n v="0"/>
    <s v="Daily Sales Import"/>
    <n v="-45.972000000000001"/>
    <n v="45.972000000000001"/>
    <x v="2"/>
    <s v="2230"/>
    <s v="000"/>
    <x v="1"/>
    <x v="0"/>
  </r>
  <r>
    <d v="2011-11-18T00:00:00"/>
    <s v="018-2100-000"/>
    <s v="Food Sales"/>
    <n v="6692.9228999999987"/>
    <n v="0"/>
    <s v="Daily Sales Import"/>
    <n v="-6692.9228999999987"/>
    <n v="6692.9228999999987"/>
    <x v="2"/>
    <s v="2100"/>
    <s v="000"/>
    <x v="1"/>
    <x v="0"/>
  </r>
  <r>
    <d v="2011-11-18T00:00:00"/>
    <s v="018-2210-000"/>
    <s v="Liquor Sales"/>
    <n v="2569.9490000000001"/>
    <n v="0"/>
    <s v="Daily Sales Import"/>
    <n v="-2569.9490000000001"/>
    <n v="2569.9490000000001"/>
    <x v="2"/>
    <s v="2210"/>
    <s v="000"/>
    <x v="1"/>
    <x v="0"/>
  </r>
  <r>
    <d v="2011-11-18T00:00:00"/>
    <s v="018-2220-000"/>
    <s v="Beer Sales"/>
    <n v="446.33700000000005"/>
    <n v="0"/>
    <s v="Daily Sales Import"/>
    <n v="-446.33700000000005"/>
    <n v="446.33700000000005"/>
    <x v="2"/>
    <s v="2220"/>
    <s v="000"/>
    <x v="1"/>
    <x v="0"/>
  </r>
  <r>
    <d v="2011-11-18T00:00:00"/>
    <s v="018-2230-000"/>
    <s v="Wine Sales"/>
    <n v="110.59200000000001"/>
    <n v="0"/>
    <s v="Daily Sales Import"/>
    <n v="-110.59200000000001"/>
    <n v="110.59200000000001"/>
    <x v="2"/>
    <s v="2230"/>
    <s v="000"/>
    <x v="1"/>
    <x v="0"/>
  </r>
  <r>
    <d v="2011-11-19T00:00:00"/>
    <s v="018-2100-000"/>
    <s v="Food Sales"/>
    <n v="8944.8950000000004"/>
    <n v="0"/>
    <s v="Daily Sales Import"/>
    <n v="-8944.8950000000004"/>
    <n v="8944.8950000000004"/>
    <x v="2"/>
    <s v="2100"/>
    <s v="000"/>
    <x v="1"/>
    <x v="0"/>
  </r>
  <r>
    <d v="2011-11-19T00:00:00"/>
    <s v="018-2210-000"/>
    <s v="Liquor Sales"/>
    <n v="1836.4355"/>
    <n v="0"/>
    <s v="Daily Sales Import"/>
    <n v="-1836.4355"/>
    <n v="1836.4355"/>
    <x v="2"/>
    <s v="2210"/>
    <s v="000"/>
    <x v="1"/>
    <x v="0"/>
  </r>
  <r>
    <d v="2011-11-19T00:00:00"/>
    <s v="018-2220-000"/>
    <s v="Beer Sales"/>
    <n v="563.94000000000005"/>
    <n v="0"/>
    <s v="Daily Sales Import"/>
    <n v="-563.94000000000005"/>
    <n v="563.94000000000005"/>
    <x v="2"/>
    <s v="2220"/>
    <s v="000"/>
    <x v="1"/>
    <x v="0"/>
  </r>
  <r>
    <d v="2011-11-19T00:00:00"/>
    <s v="018-2230-000"/>
    <s v="Wine Sales"/>
    <n v="87.266999999999996"/>
    <n v="0"/>
    <s v="Daily Sales Import"/>
    <n v="-87.266999999999996"/>
    <n v="87.266999999999996"/>
    <x v="2"/>
    <s v="2230"/>
    <s v="000"/>
    <x v="1"/>
    <x v="0"/>
  </r>
  <r>
    <d v="2011-11-20T00:00:00"/>
    <s v="018-2100-000"/>
    <s v="Food Sales"/>
    <n v="7151.1923999999999"/>
    <n v="0"/>
    <s v="Daily Sales Import"/>
    <n v="-7151.1923999999999"/>
    <n v="7151.1923999999999"/>
    <x v="2"/>
    <s v="2100"/>
    <s v="000"/>
    <x v="1"/>
    <x v="0"/>
  </r>
  <r>
    <d v="2011-11-20T00:00:00"/>
    <s v="018-2210-000"/>
    <s v="Liquor Sales"/>
    <n v="818.55"/>
    <n v="0"/>
    <s v="Daily Sales Import"/>
    <n v="-818.55"/>
    <n v="818.55"/>
    <x v="2"/>
    <s v="2210"/>
    <s v="000"/>
    <x v="1"/>
    <x v="0"/>
  </r>
  <r>
    <d v="2011-11-20T00:00:00"/>
    <s v="018-2220-000"/>
    <s v="Beer Sales"/>
    <n v="327.49199999999996"/>
    <n v="0"/>
    <s v="Daily Sales Import"/>
    <n v="-327.49199999999996"/>
    <n v="327.49199999999996"/>
    <x v="2"/>
    <s v="2220"/>
    <s v="000"/>
    <x v="1"/>
    <x v="0"/>
  </r>
  <r>
    <d v="2011-11-20T00:00:00"/>
    <s v="018-2230-000"/>
    <s v="Wine Sales"/>
    <n v="44.308999999999997"/>
    <n v="0"/>
    <s v="Daily Sales Import"/>
    <n v="-44.308999999999997"/>
    <n v="44.308999999999997"/>
    <x v="2"/>
    <s v="2230"/>
    <s v="000"/>
    <x v="1"/>
    <x v="0"/>
  </r>
  <r>
    <d v="2011-11-21T00:00:00"/>
    <s v="016-2100-000"/>
    <s v="Food Sales"/>
    <n v="1792.8263999999999"/>
    <n v="0"/>
    <s v="Daily Sales Import"/>
    <n v="-1792.8263999999999"/>
    <n v="1792.8263999999999"/>
    <x v="0"/>
    <s v="2100"/>
    <s v="000"/>
    <x v="1"/>
    <x v="0"/>
  </r>
  <r>
    <d v="2011-11-21T00:00:00"/>
    <s v="016-2210-000"/>
    <s v="Liquor Sales"/>
    <n v="417.76399999999995"/>
    <n v="0"/>
    <s v="Daily Sales Import"/>
    <n v="-417.76399999999995"/>
    <n v="417.76399999999995"/>
    <x v="0"/>
    <s v="2210"/>
    <s v="000"/>
    <x v="1"/>
    <x v="0"/>
  </r>
  <r>
    <d v="2011-11-21T00:00:00"/>
    <s v="016-2220-000"/>
    <s v="Beer Sales"/>
    <n v="43.604999999999997"/>
    <n v="0"/>
    <s v="Daily Sales Import"/>
    <n v="-43.604999999999997"/>
    <n v="43.604999999999997"/>
    <x v="0"/>
    <s v="2220"/>
    <s v="000"/>
    <x v="1"/>
    <x v="0"/>
  </r>
  <r>
    <d v="2011-11-21T00:00:00"/>
    <s v="016-2230-000"/>
    <s v="Wine Sales"/>
    <n v="99.080500000000001"/>
    <n v="0"/>
    <s v="Daily Sales Import"/>
    <n v="-99.080500000000001"/>
    <n v="99.080500000000001"/>
    <x v="0"/>
    <s v="2230"/>
    <s v="000"/>
    <x v="1"/>
    <x v="0"/>
  </r>
  <r>
    <d v="2011-11-22T00:00:00"/>
    <s v="016-2100-000"/>
    <s v="Food Sales"/>
    <n v="4370.7663999999995"/>
    <n v="0"/>
    <s v="Daily Sales Import"/>
    <n v="-4370.7663999999995"/>
    <n v="4370.7663999999995"/>
    <x v="0"/>
    <s v="2100"/>
    <s v="000"/>
    <x v="1"/>
    <x v="0"/>
  </r>
  <r>
    <d v="2011-11-22T00:00:00"/>
    <s v="016-2210-000"/>
    <s v="Liquor Sales"/>
    <n v="933.97750000000008"/>
    <n v="0"/>
    <s v="Daily Sales Import"/>
    <n v="-933.97750000000008"/>
    <n v="933.97750000000008"/>
    <x v="0"/>
    <s v="2210"/>
    <s v="000"/>
    <x v="1"/>
    <x v="0"/>
  </r>
  <r>
    <d v="2011-11-22T00:00:00"/>
    <s v="016-2220-000"/>
    <s v="Beer Sales"/>
    <n v="145.91400000000002"/>
    <n v="0"/>
    <s v="Daily Sales Import"/>
    <n v="-145.91400000000002"/>
    <n v="145.91400000000002"/>
    <x v="0"/>
    <s v="2220"/>
    <s v="000"/>
    <x v="1"/>
    <x v="0"/>
  </r>
  <r>
    <d v="2011-11-22T00:00:00"/>
    <s v="016-2230-000"/>
    <s v="Wine Sales"/>
    <n v="107.16"/>
    <n v="0"/>
    <s v="Daily Sales Import"/>
    <n v="-107.16"/>
    <n v="107.16"/>
    <x v="0"/>
    <s v="2230"/>
    <s v="000"/>
    <x v="1"/>
    <x v="0"/>
  </r>
  <r>
    <d v="2011-11-23T00:00:00"/>
    <s v="016-2100-000"/>
    <s v="Food Sales"/>
    <n v="5349.9984999999997"/>
    <n v="0"/>
    <s v="Daily Sales Import"/>
    <n v="-5349.9984999999997"/>
    <n v="5349.9984999999997"/>
    <x v="0"/>
    <s v="2100"/>
    <s v="000"/>
    <x v="1"/>
    <x v="0"/>
  </r>
  <r>
    <d v="2011-11-23T00:00:00"/>
    <s v="016-2210-000"/>
    <s v="Liquor Sales"/>
    <n v="1691.0039999999997"/>
    <n v="0"/>
    <s v="Daily Sales Import"/>
    <n v="-1691.0039999999997"/>
    <n v="1691.0039999999997"/>
    <x v="0"/>
    <s v="2210"/>
    <s v="000"/>
    <x v="1"/>
    <x v="0"/>
  </r>
  <r>
    <d v="2011-11-23T00:00:00"/>
    <s v="016-2220-000"/>
    <s v="Beer Sales"/>
    <n v="254.47500000000002"/>
    <n v="0"/>
    <s v="Daily Sales Import"/>
    <n v="-254.47500000000002"/>
    <n v="254.47500000000002"/>
    <x v="0"/>
    <s v="2220"/>
    <s v="000"/>
    <x v="1"/>
    <x v="0"/>
  </r>
  <r>
    <d v="2011-11-23T00:00:00"/>
    <s v="016-2230-000"/>
    <s v="Wine Sales"/>
    <n v="158.185"/>
    <n v="0"/>
    <s v="Daily Sales Import"/>
    <n v="-158.185"/>
    <n v="158.185"/>
    <x v="0"/>
    <s v="2230"/>
    <s v="000"/>
    <x v="1"/>
    <x v="0"/>
  </r>
  <r>
    <d v="2011-11-25T00:00:00"/>
    <s v="016-2100-000"/>
    <s v="Food Sales"/>
    <n v="7937.2709999999997"/>
    <n v="0"/>
    <s v="Daily Sales Import"/>
    <n v="-7937.2709999999997"/>
    <n v="7937.2709999999997"/>
    <x v="0"/>
    <s v="2100"/>
    <s v="000"/>
    <x v="1"/>
    <x v="0"/>
  </r>
  <r>
    <d v="2011-11-25T00:00:00"/>
    <s v="016-2210-000"/>
    <s v="Liquor Sales"/>
    <n v="4052.3664999999996"/>
    <n v="0"/>
    <s v="Daily Sales Import"/>
    <n v="-4052.3664999999996"/>
    <n v="4052.3664999999996"/>
    <x v="0"/>
    <s v="2210"/>
    <s v="000"/>
    <x v="1"/>
    <x v="0"/>
  </r>
  <r>
    <d v="2011-11-25T00:00:00"/>
    <s v="016-2220-000"/>
    <s v="Beer Sales"/>
    <n v="710.53500000000008"/>
    <n v="0"/>
    <s v="Daily Sales Import"/>
    <n v="-710.53500000000008"/>
    <n v="710.53500000000008"/>
    <x v="0"/>
    <s v="2220"/>
    <s v="000"/>
    <x v="1"/>
    <x v="0"/>
  </r>
  <r>
    <d v="2011-11-25T00:00:00"/>
    <s v="016-2230-000"/>
    <s v="Wine Sales"/>
    <n v="268.33600000000001"/>
    <n v="0"/>
    <s v="Daily Sales Import"/>
    <n v="-268.33600000000001"/>
    <n v="268.33600000000001"/>
    <x v="0"/>
    <s v="2230"/>
    <s v="000"/>
    <x v="1"/>
    <x v="0"/>
  </r>
  <r>
    <d v="2011-11-26T00:00:00"/>
    <s v="016-2100-000"/>
    <s v="Food Sales"/>
    <n v="10580.800000000001"/>
    <n v="0"/>
    <s v="Daily Sales Import"/>
    <n v="-10580.800000000001"/>
    <n v="10580.800000000001"/>
    <x v="0"/>
    <s v="2100"/>
    <s v="000"/>
    <x v="1"/>
    <x v="0"/>
  </r>
  <r>
    <d v="2011-11-26T00:00:00"/>
    <s v="016-2210-000"/>
    <s v="Liquor Sales"/>
    <n v="4429.2920000000004"/>
    <n v="0"/>
    <s v="Daily Sales Import"/>
    <n v="-4429.2920000000004"/>
    <n v="4429.2920000000004"/>
    <x v="0"/>
    <s v="2210"/>
    <s v="000"/>
    <x v="1"/>
    <x v="0"/>
  </r>
  <r>
    <d v="2011-11-26T00:00:00"/>
    <s v="016-2220-000"/>
    <s v="Beer Sales"/>
    <n v="1641.0239999999999"/>
    <n v="0"/>
    <s v="Daily Sales Import"/>
    <n v="-1641.0239999999999"/>
    <n v="1641.0239999999999"/>
    <x v="0"/>
    <s v="2220"/>
    <s v="000"/>
    <x v="1"/>
    <x v="0"/>
  </r>
  <r>
    <d v="2011-11-26T00:00:00"/>
    <s v="016-2230-000"/>
    <s v="Wine Sales"/>
    <n v="397.34800000000001"/>
    <n v="0"/>
    <s v="Daily Sales Import"/>
    <n v="-397.34800000000001"/>
    <n v="397.34800000000001"/>
    <x v="0"/>
    <s v="2230"/>
    <s v="000"/>
    <x v="1"/>
    <x v="0"/>
  </r>
  <r>
    <d v="2011-11-27T00:00:00"/>
    <s v="016-2100-000"/>
    <s v="Food Sales"/>
    <n v="4090.866"/>
    <n v="0"/>
    <s v="Daily Sales Import"/>
    <n v="-4090.866"/>
    <n v="4090.866"/>
    <x v="0"/>
    <s v="2100"/>
    <s v="000"/>
    <x v="1"/>
    <x v="0"/>
  </r>
  <r>
    <d v="2011-11-27T00:00:00"/>
    <s v="016-2210-000"/>
    <s v="Liquor Sales"/>
    <n v="1121.2565000000002"/>
    <n v="0"/>
    <s v="Daily Sales Import"/>
    <n v="-1121.2565000000002"/>
    <n v="1121.2565000000002"/>
    <x v="0"/>
    <s v="2210"/>
    <s v="000"/>
    <x v="1"/>
    <x v="0"/>
  </r>
  <r>
    <d v="2011-11-27T00:00:00"/>
    <s v="016-2220-000"/>
    <s v="Beer Sales"/>
    <n v="127.36800000000001"/>
    <n v="0"/>
    <s v="Daily Sales Import"/>
    <n v="-127.36800000000001"/>
    <n v="127.36800000000001"/>
    <x v="0"/>
    <s v="2220"/>
    <s v="000"/>
    <x v="1"/>
    <x v="0"/>
  </r>
  <r>
    <d v="2011-11-27T00:00:00"/>
    <s v="016-2230-000"/>
    <s v="Wine Sales"/>
    <n v="130.7475"/>
    <n v="0"/>
    <s v="Daily Sales Import"/>
    <n v="-130.7475"/>
    <n v="130.7475"/>
    <x v="0"/>
    <s v="2230"/>
    <s v="000"/>
    <x v="1"/>
    <x v="0"/>
  </r>
  <r>
    <d v="2011-11-21T00:00:00"/>
    <s v="017-2100-000"/>
    <s v="Food Sales"/>
    <n v="5389.0709999999999"/>
    <n v="0"/>
    <s v="Daily Sales Import"/>
    <n v="-5389.0709999999999"/>
    <n v="5389.0709999999999"/>
    <x v="1"/>
    <s v="2100"/>
    <s v="000"/>
    <x v="1"/>
    <x v="0"/>
  </r>
  <r>
    <d v="2011-11-21T00:00:00"/>
    <s v="017-2210-000"/>
    <s v="Liquor Sales"/>
    <n v="780.41250000000002"/>
    <n v="0"/>
    <s v="Daily Sales Import"/>
    <n v="-780.41250000000002"/>
    <n v="780.41250000000002"/>
    <x v="1"/>
    <s v="2210"/>
    <s v="000"/>
    <x v="1"/>
    <x v="0"/>
  </r>
  <r>
    <d v="2011-11-21T00:00:00"/>
    <s v="017-2220-000"/>
    <s v="Beer Sales"/>
    <n v="247.97499999999999"/>
    <n v="0"/>
    <s v="Daily Sales Import"/>
    <n v="-247.97499999999999"/>
    <n v="247.97499999999999"/>
    <x v="1"/>
    <s v="2220"/>
    <s v="000"/>
    <x v="1"/>
    <x v="0"/>
  </r>
  <r>
    <d v="2011-11-21T00:00:00"/>
    <s v="017-2230-000"/>
    <s v="Wine Sales"/>
    <n v="179.50249999999997"/>
    <n v="0"/>
    <s v="Daily Sales Import"/>
    <n v="-179.50249999999997"/>
    <n v="179.50249999999997"/>
    <x v="1"/>
    <s v="2230"/>
    <s v="000"/>
    <x v="1"/>
    <x v="0"/>
  </r>
  <r>
    <d v="2011-11-22T00:00:00"/>
    <s v="017-2100-000"/>
    <s v="Food Sales"/>
    <n v="5568.4034999999994"/>
    <n v="0"/>
    <s v="Daily Sales Import"/>
    <n v="-5568.4034999999994"/>
    <n v="5568.4034999999994"/>
    <x v="1"/>
    <s v="2100"/>
    <s v="000"/>
    <x v="1"/>
    <x v="0"/>
  </r>
  <r>
    <d v="2011-11-22T00:00:00"/>
    <s v="017-2210-000"/>
    <s v="Liquor Sales"/>
    <n v="1157.002"/>
    <n v="0"/>
    <s v="Daily Sales Import"/>
    <n v="-1157.002"/>
    <n v="1157.002"/>
    <x v="1"/>
    <s v="2210"/>
    <s v="000"/>
    <x v="1"/>
    <x v="0"/>
  </r>
  <r>
    <d v="2011-11-22T00:00:00"/>
    <s v="017-2220-000"/>
    <s v="Beer Sales"/>
    <n v="314.78999999999996"/>
    <n v="0"/>
    <s v="Daily Sales Import"/>
    <n v="-314.78999999999996"/>
    <n v="314.78999999999996"/>
    <x v="1"/>
    <s v="2220"/>
    <s v="000"/>
    <x v="1"/>
    <x v="0"/>
  </r>
  <r>
    <d v="2011-11-22T00:00:00"/>
    <s v="017-2230-000"/>
    <s v="Wine Sales"/>
    <n v="36.463999999999999"/>
    <n v="0"/>
    <s v="Daily Sales Import"/>
    <n v="-36.463999999999999"/>
    <n v="36.463999999999999"/>
    <x v="1"/>
    <s v="2230"/>
    <s v="000"/>
    <x v="1"/>
    <x v="0"/>
  </r>
  <r>
    <d v="2011-11-23T00:00:00"/>
    <s v="017-2100-000"/>
    <s v="Food Sales"/>
    <n v="5042.2094999999999"/>
    <n v="0"/>
    <s v="Daily Sales Import"/>
    <n v="-5042.2094999999999"/>
    <n v="5042.2094999999999"/>
    <x v="1"/>
    <s v="2100"/>
    <s v="000"/>
    <x v="1"/>
    <x v="0"/>
  </r>
  <r>
    <d v="2011-11-23T00:00:00"/>
    <s v="017-2210-000"/>
    <s v="Liquor Sales"/>
    <n v="1487.2440000000001"/>
    <n v="0"/>
    <s v="Daily Sales Import"/>
    <n v="-1487.2440000000001"/>
    <n v="1487.2440000000001"/>
    <x v="1"/>
    <s v="2210"/>
    <s v="000"/>
    <x v="1"/>
    <x v="0"/>
  </r>
  <r>
    <d v="2011-11-23T00:00:00"/>
    <s v="017-2220-000"/>
    <s v="Beer Sales"/>
    <n v="247.95"/>
    <n v="0"/>
    <s v="Daily Sales Import"/>
    <n v="-247.95"/>
    <n v="247.95"/>
    <x v="1"/>
    <s v="2220"/>
    <s v="000"/>
    <x v="1"/>
    <x v="0"/>
  </r>
  <r>
    <d v="2011-11-23T00:00:00"/>
    <s v="017-2230-000"/>
    <s v="Wine Sales"/>
    <n v="104.253"/>
    <n v="0"/>
    <s v="Daily Sales Import"/>
    <n v="-104.253"/>
    <n v="104.253"/>
    <x v="1"/>
    <s v="2230"/>
    <s v="000"/>
    <x v="1"/>
    <x v="0"/>
  </r>
  <r>
    <d v="2011-11-25T00:00:00"/>
    <s v="017-2100-000"/>
    <s v="Food Sales"/>
    <n v="5491.0380999999998"/>
    <n v="0"/>
    <s v="Daily Sales Import"/>
    <n v="-5491.0380999999998"/>
    <n v="5491.0380999999998"/>
    <x v="1"/>
    <s v="2100"/>
    <s v="000"/>
    <x v="1"/>
    <x v="0"/>
  </r>
  <r>
    <d v="2011-11-25T00:00:00"/>
    <s v="017-2210-000"/>
    <s v="Liquor Sales"/>
    <n v="1392.6374999999998"/>
    <n v="0"/>
    <s v="Daily Sales Import"/>
    <n v="-1392.6374999999998"/>
    <n v="1392.6374999999998"/>
    <x v="1"/>
    <s v="2210"/>
    <s v="000"/>
    <x v="1"/>
    <x v="0"/>
  </r>
  <r>
    <d v="2011-11-25T00:00:00"/>
    <s v="017-2220-000"/>
    <s v="Beer Sales"/>
    <n v="277.3125"/>
    <n v="0"/>
    <s v="Daily Sales Import"/>
    <n v="-277.3125"/>
    <n v="277.3125"/>
    <x v="1"/>
    <s v="2220"/>
    <s v="000"/>
    <x v="1"/>
    <x v="0"/>
  </r>
  <r>
    <d v="2011-11-25T00:00:00"/>
    <s v="017-2230-000"/>
    <s v="Wine Sales"/>
    <n v="46.905999999999999"/>
    <n v="0"/>
    <s v="Daily Sales Import"/>
    <n v="-46.905999999999999"/>
    <n v="46.905999999999999"/>
    <x v="1"/>
    <s v="2230"/>
    <s v="000"/>
    <x v="1"/>
    <x v="0"/>
  </r>
  <r>
    <d v="2011-11-26T00:00:00"/>
    <s v="017-2100-000"/>
    <s v="Food Sales"/>
    <n v="3970.3675000000007"/>
    <n v="0"/>
    <s v="Daily Sales Import"/>
    <n v="-3970.3675000000007"/>
    <n v="3970.3675000000007"/>
    <x v="1"/>
    <s v="2100"/>
    <s v="000"/>
    <x v="1"/>
    <x v="0"/>
  </r>
  <r>
    <d v="2011-11-26T00:00:00"/>
    <s v="017-2210-000"/>
    <s v="Liquor Sales"/>
    <n v="982.32550000000003"/>
    <n v="0"/>
    <s v="Daily Sales Import"/>
    <n v="-982.32550000000003"/>
    <n v="982.32550000000003"/>
    <x v="1"/>
    <s v="2210"/>
    <s v="000"/>
    <x v="1"/>
    <x v="0"/>
  </r>
  <r>
    <d v="2011-11-26T00:00:00"/>
    <s v="017-2220-000"/>
    <s v="Beer Sales"/>
    <n v="258.16249999999997"/>
    <n v="0"/>
    <s v="Daily Sales Import"/>
    <n v="-258.16249999999997"/>
    <n v="258.16249999999997"/>
    <x v="1"/>
    <s v="2220"/>
    <s v="000"/>
    <x v="1"/>
    <x v="0"/>
  </r>
  <r>
    <d v="2011-11-26T00:00:00"/>
    <s v="017-2230-000"/>
    <s v="Wine Sales"/>
    <n v="64.185000000000002"/>
    <n v="0"/>
    <s v="Daily Sales Import"/>
    <n v="-64.185000000000002"/>
    <n v="64.185000000000002"/>
    <x v="1"/>
    <s v="2230"/>
    <s v="000"/>
    <x v="1"/>
    <x v="0"/>
  </r>
  <r>
    <d v="2011-11-27T00:00:00"/>
    <s v="017-2100-000"/>
    <s v="Food Sales"/>
    <n v="2706.2745"/>
    <n v="0"/>
    <s v="Daily Sales Import"/>
    <n v="-2706.2745"/>
    <n v="2706.2745"/>
    <x v="1"/>
    <s v="2100"/>
    <s v="000"/>
    <x v="1"/>
    <x v="0"/>
  </r>
  <r>
    <d v="2011-11-27T00:00:00"/>
    <s v="017-2210-000"/>
    <s v="Liquor Sales"/>
    <n v="653.99400000000003"/>
    <n v="0"/>
    <s v="Daily Sales Import"/>
    <n v="-653.99400000000003"/>
    <n v="653.99400000000003"/>
    <x v="1"/>
    <s v="2210"/>
    <s v="000"/>
    <x v="1"/>
    <x v="0"/>
  </r>
  <r>
    <d v="2011-11-27T00:00:00"/>
    <s v="017-2220-000"/>
    <s v="Beer Sales"/>
    <n v="242.10499999999999"/>
    <n v="0"/>
    <s v="Daily Sales Import"/>
    <n v="-242.10499999999999"/>
    <n v="242.10499999999999"/>
    <x v="1"/>
    <s v="2220"/>
    <s v="000"/>
    <x v="1"/>
    <x v="0"/>
  </r>
  <r>
    <d v="2011-11-27T00:00:00"/>
    <s v="017-2230-000"/>
    <s v="Wine Sales"/>
    <n v="46.447500000000005"/>
    <n v="0"/>
    <s v="Daily Sales Import"/>
    <n v="-46.447500000000005"/>
    <n v="46.447500000000005"/>
    <x v="1"/>
    <s v="2230"/>
    <s v="000"/>
    <x v="1"/>
    <x v="0"/>
  </r>
  <r>
    <d v="2011-11-21T00:00:00"/>
    <s v="018-2100-000"/>
    <s v="Food Sales"/>
    <n v="2878.97"/>
    <n v="0"/>
    <s v="Daily Sales Import"/>
    <n v="-2878.97"/>
    <n v="2878.97"/>
    <x v="2"/>
    <s v="2100"/>
    <s v="000"/>
    <x v="1"/>
    <x v="0"/>
  </r>
  <r>
    <d v="2011-11-21T00:00:00"/>
    <s v="018-2210-000"/>
    <s v="Liquor Sales"/>
    <n v="386.74799999999999"/>
    <n v="0"/>
    <s v="Daily Sales Import"/>
    <n v="-386.74799999999999"/>
    <n v="386.74799999999999"/>
    <x v="2"/>
    <s v="2210"/>
    <s v="000"/>
    <x v="1"/>
    <x v="0"/>
  </r>
  <r>
    <d v="2011-11-21T00:00:00"/>
    <s v="018-2220-000"/>
    <s v="Beer Sales"/>
    <n v="33.305500000000002"/>
    <n v="0"/>
    <s v="Daily Sales Import"/>
    <n v="-33.305500000000002"/>
    <n v="33.305500000000002"/>
    <x v="2"/>
    <s v="2220"/>
    <s v="000"/>
    <x v="1"/>
    <x v="0"/>
  </r>
  <r>
    <d v="2011-11-21T00:00:00"/>
    <s v="018-2230-000"/>
    <s v="Wine Sales"/>
    <n v="60.487500000000004"/>
    <n v="0"/>
    <s v="Daily Sales Import"/>
    <n v="-60.487500000000004"/>
    <n v="60.487500000000004"/>
    <x v="2"/>
    <s v="2230"/>
    <s v="000"/>
    <x v="1"/>
    <x v="0"/>
  </r>
  <r>
    <d v="2011-11-22T00:00:00"/>
    <s v="018-2100-000"/>
    <s v="Food Sales"/>
    <n v="3664.9359999999997"/>
    <n v="0"/>
    <s v="Daily Sales Import"/>
    <n v="-3664.9359999999997"/>
    <n v="3664.9359999999997"/>
    <x v="2"/>
    <s v="2100"/>
    <s v="000"/>
    <x v="1"/>
    <x v="0"/>
  </r>
  <r>
    <d v="2011-11-22T00:00:00"/>
    <s v="018-2210-000"/>
    <s v="Liquor Sales"/>
    <n v="829.65300000000002"/>
    <n v="0"/>
    <s v="Daily Sales Import"/>
    <n v="-829.65300000000002"/>
    <n v="829.65300000000002"/>
    <x v="2"/>
    <s v="2210"/>
    <s v="000"/>
    <x v="1"/>
    <x v="0"/>
  </r>
  <r>
    <d v="2011-11-22T00:00:00"/>
    <s v="018-2220-000"/>
    <s v="Beer Sales"/>
    <n v="120.544"/>
    <n v="0"/>
    <s v="Daily Sales Import"/>
    <n v="-120.544"/>
    <n v="120.544"/>
    <x v="2"/>
    <s v="2220"/>
    <s v="000"/>
    <x v="1"/>
    <x v="0"/>
  </r>
  <r>
    <d v="2011-11-22T00:00:00"/>
    <s v="018-2230-000"/>
    <s v="Wine Sales"/>
    <n v="15.105"/>
    <n v="0"/>
    <s v="Daily Sales Import"/>
    <n v="-15.105"/>
    <n v="15.105"/>
    <x v="2"/>
    <s v="2230"/>
    <s v="000"/>
    <x v="1"/>
    <x v="0"/>
  </r>
  <r>
    <d v="2011-11-23T00:00:00"/>
    <s v="018-2100-000"/>
    <s v="Food Sales"/>
    <n v="7553.6560000000009"/>
    <n v="0"/>
    <s v="Daily Sales Import"/>
    <n v="-7553.6560000000009"/>
    <n v="7553.6560000000009"/>
    <x v="2"/>
    <s v="2100"/>
    <s v="000"/>
    <x v="1"/>
    <x v="0"/>
  </r>
  <r>
    <d v="2011-11-23T00:00:00"/>
    <s v="018-2210-000"/>
    <s v="Liquor Sales"/>
    <n v="1320.1384999999998"/>
    <n v="0"/>
    <s v="Daily Sales Import"/>
    <n v="-1320.1384999999998"/>
    <n v="1320.1384999999998"/>
    <x v="2"/>
    <s v="2210"/>
    <s v="000"/>
    <x v="1"/>
    <x v="0"/>
  </r>
  <r>
    <d v="2011-11-23T00:00:00"/>
    <s v="018-2220-000"/>
    <s v="Beer Sales"/>
    <n v="226.3415"/>
    <n v="0"/>
    <s v="Daily Sales Import"/>
    <n v="-226.3415"/>
    <n v="226.3415"/>
    <x v="2"/>
    <s v="2220"/>
    <s v="000"/>
    <x v="1"/>
    <x v="0"/>
  </r>
  <r>
    <d v="2011-11-23T00:00:00"/>
    <s v="018-2230-000"/>
    <s v="Wine Sales"/>
    <n v="89.383499999999998"/>
    <n v="0"/>
    <s v="Daily Sales Import"/>
    <n v="-89.383499999999998"/>
    <n v="89.383499999999998"/>
    <x v="2"/>
    <s v="2230"/>
    <s v="000"/>
    <x v="1"/>
    <x v="0"/>
  </r>
  <r>
    <d v="2011-11-25T00:00:00"/>
    <s v="018-2100-000"/>
    <s v="Food Sales"/>
    <n v="8387.4284000000007"/>
    <n v="0"/>
    <s v="Daily Sales Import"/>
    <n v="-8387.4284000000007"/>
    <n v="8387.4284000000007"/>
    <x v="2"/>
    <s v="2100"/>
    <s v="000"/>
    <x v="1"/>
    <x v="0"/>
  </r>
  <r>
    <d v="2011-11-25T00:00:00"/>
    <s v="018-2210-000"/>
    <s v="Liquor Sales"/>
    <n v="1049.1690000000001"/>
    <n v="0"/>
    <s v="Daily Sales Import"/>
    <n v="-1049.1690000000001"/>
    <n v="1049.1690000000001"/>
    <x v="2"/>
    <s v="2210"/>
    <s v="000"/>
    <x v="1"/>
    <x v="0"/>
  </r>
  <r>
    <d v="2011-11-25T00:00:00"/>
    <s v="018-2220-000"/>
    <s v="Beer Sales"/>
    <n v="448.78"/>
    <n v="0"/>
    <s v="Daily Sales Import"/>
    <n v="-448.78"/>
    <n v="448.78"/>
    <x v="2"/>
    <s v="2220"/>
    <s v="000"/>
    <x v="1"/>
    <x v="0"/>
  </r>
  <r>
    <d v="2011-11-25T00:00:00"/>
    <s v="018-2230-000"/>
    <s v="Wine Sales"/>
    <n v="58.866500000000002"/>
    <n v="0"/>
    <s v="Daily Sales Import"/>
    <n v="-58.866500000000002"/>
    <n v="58.866500000000002"/>
    <x v="2"/>
    <s v="2230"/>
    <s v="000"/>
    <x v="1"/>
    <x v="0"/>
  </r>
  <r>
    <d v="2011-11-26T00:00:00"/>
    <s v="018-2100-000"/>
    <s v="Food Sales"/>
    <n v="7238.5855999999994"/>
    <n v="0"/>
    <s v="Daily Sales Import"/>
    <n v="-7238.5855999999994"/>
    <n v="7238.5855999999994"/>
    <x v="2"/>
    <s v="2100"/>
    <s v="000"/>
    <x v="1"/>
    <x v="0"/>
  </r>
  <r>
    <d v="2011-11-26T00:00:00"/>
    <s v="018-2210-000"/>
    <s v="Liquor Sales"/>
    <n v="1996.3949999999998"/>
    <n v="0"/>
    <s v="Daily Sales Import"/>
    <n v="-1996.3949999999998"/>
    <n v="1996.3949999999998"/>
    <x v="2"/>
    <s v="2210"/>
    <s v="000"/>
    <x v="1"/>
    <x v="0"/>
  </r>
  <r>
    <d v="2011-11-26T00:00:00"/>
    <s v="018-2220-000"/>
    <s v="Beer Sales"/>
    <n v="657.34199999999987"/>
    <n v="0"/>
    <s v="Daily Sales Import"/>
    <n v="-657.34199999999987"/>
    <n v="657.34199999999987"/>
    <x v="2"/>
    <s v="2220"/>
    <s v="000"/>
    <x v="1"/>
    <x v="0"/>
  </r>
  <r>
    <d v="2011-11-26T00:00:00"/>
    <s v="018-2230-000"/>
    <s v="Wine Sales"/>
    <n v="77.210999999999999"/>
    <n v="0"/>
    <s v="Daily Sales Import"/>
    <n v="-77.210999999999999"/>
    <n v="77.210999999999999"/>
    <x v="2"/>
    <s v="2230"/>
    <s v="000"/>
    <x v="1"/>
    <x v="0"/>
  </r>
  <r>
    <d v="2011-11-27T00:00:00"/>
    <s v="018-2100-000"/>
    <s v="Food Sales"/>
    <n v="4928.2374"/>
    <n v="0"/>
    <s v="Daily Sales Import"/>
    <n v="-4928.2374"/>
    <n v="4928.2374"/>
    <x v="2"/>
    <s v="2100"/>
    <s v="000"/>
    <x v="1"/>
    <x v="0"/>
  </r>
  <r>
    <d v="2011-11-27T00:00:00"/>
    <s v="018-2210-000"/>
    <s v="Liquor Sales"/>
    <n v="575.46"/>
    <n v="0"/>
    <s v="Daily Sales Import"/>
    <n v="-575.46"/>
    <n v="575.46"/>
    <x v="2"/>
    <s v="2210"/>
    <s v="000"/>
    <x v="1"/>
    <x v="0"/>
  </r>
  <r>
    <d v="2011-11-27T00:00:00"/>
    <s v="018-2220-000"/>
    <s v="Beer Sales"/>
    <n v="191.565"/>
    <n v="0"/>
    <s v="Daily Sales Import"/>
    <n v="-191.565"/>
    <n v="191.565"/>
    <x v="2"/>
    <s v="2220"/>
    <s v="000"/>
    <x v="1"/>
    <x v="0"/>
  </r>
  <r>
    <d v="2011-11-27T00:00:00"/>
    <s v="018-2230-000"/>
    <s v="Wine Sales"/>
    <n v="57.353999999999999"/>
    <n v="0"/>
    <s v="Daily Sales Import"/>
    <n v="-57.353999999999999"/>
    <n v="57.353999999999999"/>
    <x v="2"/>
    <s v="2230"/>
    <s v="000"/>
    <x v="1"/>
    <x v="0"/>
  </r>
  <r>
    <d v="2011-11-28T00:00:00"/>
    <s v="016-2100-000"/>
    <s v="Food Sales"/>
    <n v="2824.3424"/>
    <n v="0"/>
    <s v="Daily Sales Import"/>
    <n v="-2824.3424"/>
    <n v="2824.3424"/>
    <x v="0"/>
    <s v="2100"/>
    <s v="000"/>
    <x v="1"/>
    <x v="0"/>
  </r>
  <r>
    <d v="2011-11-28T00:00:00"/>
    <s v="016-2210-000"/>
    <s v="Liquor Sales"/>
    <n v="521.77800000000002"/>
    <n v="0"/>
    <s v="Daily Sales Import"/>
    <n v="-521.77800000000002"/>
    <n v="521.77800000000002"/>
    <x v="0"/>
    <s v="2210"/>
    <s v="000"/>
    <x v="1"/>
    <x v="0"/>
  </r>
  <r>
    <d v="2011-11-28T00:00:00"/>
    <s v="016-2220-000"/>
    <s v="Beer Sales"/>
    <n v="39.974999999999994"/>
    <n v="0"/>
    <s v="Daily Sales Import"/>
    <n v="-39.974999999999994"/>
    <n v="39.974999999999994"/>
    <x v="0"/>
    <s v="2220"/>
    <s v="000"/>
    <x v="1"/>
    <x v="0"/>
  </r>
  <r>
    <d v="2011-11-28T00:00:00"/>
    <s v="016-2230-000"/>
    <s v="Wine Sales"/>
    <n v="99.417500000000004"/>
    <n v="0"/>
    <s v="Daily Sales Import"/>
    <n v="-99.417500000000004"/>
    <n v="99.417500000000004"/>
    <x v="0"/>
    <s v="2230"/>
    <s v="000"/>
    <x v="1"/>
    <x v="0"/>
  </r>
  <r>
    <d v="2011-11-29T00:00:00"/>
    <s v="016-2100-000"/>
    <s v="Food Sales"/>
    <n v="2489.2764000000002"/>
    <n v="0"/>
    <s v="Daily Sales Import"/>
    <n v="-2489.2764000000002"/>
    <n v="2489.2764000000002"/>
    <x v="0"/>
    <s v="2100"/>
    <s v="000"/>
    <x v="1"/>
    <x v="0"/>
  </r>
  <r>
    <d v="2011-11-29T00:00:00"/>
    <s v="016-2210-000"/>
    <s v="Liquor Sales"/>
    <n v="855.32999999999993"/>
    <n v="0"/>
    <s v="Daily Sales Import"/>
    <n v="-855.32999999999993"/>
    <n v="855.32999999999993"/>
    <x v="0"/>
    <s v="2210"/>
    <s v="000"/>
    <x v="1"/>
    <x v="0"/>
  </r>
  <r>
    <d v="2011-11-29T00:00:00"/>
    <s v="016-2220-000"/>
    <s v="Beer Sales"/>
    <n v="127.92600000000002"/>
    <n v="0"/>
    <s v="Daily Sales Import"/>
    <n v="-127.92600000000002"/>
    <n v="127.92600000000002"/>
    <x v="0"/>
    <s v="2220"/>
    <s v="000"/>
    <x v="1"/>
    <x v="0"/>
  </r>
  <r>
    <d v="2011-11-29T00:00:00"/>
    <s v="016-2230-000"/>
    <s v="Wine Sales"/>
    <n v="38.335500000000003"/>
    <n v="0"/>
    <s v="Daily Sales Import"/>
    <n v="-38.335500000000003"/>
    <n v="38.335500000000003"/>
    <x v="0"/>
    <s v="2230"/>
    <s v="000"/>
    <x v="1"/>
    <x v="0"/>
  </r>
  <r>
    <d v="2011-11-30T00:00:00"/>
    <s v="016-2100-000"/>
    <s v="Food Sales"/>
    <n v="2662.2673"/>
    <n v="0"/>
    <s v="Daily Sales Import"/>
    <n v="-2662.2673"/>
    <n v="2662.2673"/>
    <x v="0"/>
    <s v="2100"/>
    <s v="000"/>
    <x v="1"/>
    <x v="0"/>
  </r>
  <r>
    <d v="2011-11-30T00:00:00"/>
    <s v="016-2210-000"/>
    <s v="Liquor Sales"/>
    <n v="666.66599999999994"/>
    <n v="0"/>
    <s v="Daily Sales Import"/>
    <n v="-666.66599999999994"/>
    <n v="666.66599999999994"/>
    <x v="0"/>
    <s v="2210"/>
    <s v="000"/>
    <x v="1"/>
    <x v="0"/>
  </r>
  <r>
    <d v="2011-11-30T00:00:00"/>
    <s v="016-2220-000"/>
    <s v="Beer Sales"/>
    <n v="104.39999999999999"/>
    <n v="0"/>
    <s v="Daily Sales Import"/>
    <n v="-104.39999999999999"/>
    <n v="104.39999999999999"/>
    <x v="0"/>
    <s v="2220"/>
    <s v="000"/>
    <x v="1"/>
    <x v="0"/>
  </r>
  <r>
    <d v="2011-11-30T00:00:00"/>
    <s v="016-2230-000"/>
    <s v="Wine Sales"/>
    <n v="113.23800000000001"/>
    <n v="0"/>
    <s v="Daily Sales Import"/>
    <n v="-113.23800000000001"/>
    <n v="113.23800000000001"/>
    <x v="0"/>
    <s v="2230"/>
    <s v="000"/>
    <x v="1"/>
    <x v="0"/>
  </r>
  <r>
    <d v="2011-12-01T00:00:00"/>
    <s v="016-2100-000"/>
    <s v="Food Sales"/>
    <n v="2985.1889999999999"/>
    <n v="0"/>
    <s v="Daily Sales Import"/>
    <n v="-2985.1889999999999"/>
    <n v="2985.1889999999999"/>
    <x v="0"/>
    <s v="2100"/>
    <s v="000"/>
    <x v="2"/>
    <x v="0"/>
  </r>
  <r>
    <d v="2011-12-01T00:00:00"/>
    <s v="016-2210-000"/>
    <s v="Liquor Sales"/>
    <n v="840.87199999999996"/>
    <n v="0"/>
    <s v="Daily Sales Import"/>
    <n v="-840.87199999999996"/>
    <n v="840.87199999999996"/>
    <x v="0"/>
    <s v="2210"/>
    <s v="000"/>
    <x v="2"/>
    <x v="0"/>
  </r>
  <r>
    <d v="2011-12-01T00:00:00"/>
    <s v="016-2220-000"/>
    <s v="Beer Sales"/>
    <n v="114.36749999999999"/>
    <n v="0"/>
    <s v="Daily Sales Import"/>
    <n v="-114.36749999999999"/>
    <n v="114.36749999999999"/>
    <x v="0"/>
    <s v="2220"/>
    <s v="000"/>
    <x v="2"/>
    <x v="0"/>
  </r>
  <r>
    <d v="2011-12-01T00:00:00"/>
    <s v="016-2230-000"/>
    <s v="Wine Sales"/>
    <n v="61.489999999999995"/>
    <n v="0"/>
    <s v="Daily Sales Import"/>
    <n v="-61.489999999999995"/>
    <n v="61.489999999999995"/>
    <x v="0"/>
    <s v="2230"/>
    <s v="000"/>
    <x v="2"/>
    <x v="0"/>
  </r>
  <r>
    <d v="2011-12-02T00:00:00"/>
    <s v="016-2100-000"/>
    <s v="Food Sales"/>
    <n v="4610.9187999999995"/>
    <n v="0"/>
    <s v="Daily Sales Import"/>
    <n v="-4610.9187999999995"/>
    <n v="4610.9187999999995"/>
    <x v="0"/>
    <s v="2100"/>
    <s v="000"/>
    <x v="2"/>
    <x v="0"/>
  </r>
  <r>
    <d v="2011-12-02T00:00:00"/>
    <s v="016-2210-000"/>
    <s v="Liquor Sales"/>
    <n v="2540.0319999999997"/>
    <n v="0"/>
    <s v="Daily Sales Import"/>
    <n v="-2540.0319999999997"/>
    <n v="2540.0319999999997"/>
    <x v="0"/>
    <s v="2210"/>
    <s v="000"/>
    <x v="2"/>
    <x v="0"/>
  </r>
  <r>
    <d v="2011-12-02T00:00:00"/>
    <s v="016-2220-000"/>
    <s v="Beer Sales"/>
    <n v="310.55399999999997"/>
    <n v="0"/>
    <s v="Daily Sales Import"/>
    <n v="-310.55399999999997"/>
    <n v="310.55399999999997"/>
    <x v="0"/>
    <s v="2220"/>
    <s v="000"/>
    <x v="2"/>
    <x v="0"/>
  </r>
  <r>
    <d v="2011-12-02T00:00:00"/>
    <s v="016-2230-000"/>
    <s v="Wine Sales"/>
    <n v="305.5"/>
    <n v="0"/>
    <s v="Daily Sales Import"/>
    <n v="-305.5"/>
    <n v="305.5"/>
    <x v="0"/>
    <s v="2230"/>
    <s v="000"/>
    <x v="2"/>
    <x v="0"/>
  </r>
  <r>
    <d v="2011-12-03T00:00:00"/>
    <s v="016-2100-000"/>
    <s v="Food Sales"/>
    <n v="7146.1079999999993"/>
    <n v="0"/>
    <s v="Daily Sales Import"/>
    <n v="-7146.1079999999993"/>
    <n v="7146.1079999999993"/>
    <x v="0"/>
    <s v="2100"/>
    <s v="000"/>
    <x v="2"/>
    <x v="0"/>
  </r>
  <r>
    <d v="2011-12-03T00:00:00"/>
    <s v="016-2210-000"/>
    <s v="Liquor Sales"/>
    <n v="2654.6765"/>
    <n v="0"/>
    <s v="Daily Sales Import"/>
    <n v="-2654.6765"/>
    <n v="2654.6765"/>
    <x v="0"/>
    <s v="2210"/>
    <s v="000"/>
    <x v="2"/>
    <x v="0"/>
  </r>
  <r>
    <d v="2011-12-03T00:00:00"/>
    <s v="016-2220-000"/>
    <s v="Beer Sales"/>
    <n v="396.74250000000006"/>
    <n v="0"/>
    <s v="Daily Sales Import"/>
    <n v="-396.74250000000006"/>
    <n v="396.74250000000006"/>
    <x v="0"/>
    <s v="2220"/>
    <s v="000"/>
    <x v="2"/>
    <x v="0"/>
  </r>
  <r>
    <d v="2011-12-03T00:00:00"/>
    <s v="016-2230-000"/>
    <s v="Wine Sales"/>
    <n v="325.24799999999999"/>
    <n v="0"/>
    <s v="Daily Sales Import"/>
    <n v="-325.24799999999999"/>
    <n v="325.24799999999999"/>
    <x v="0"/>
    <s v="2230"/>
    <s v="000"/>
    <x v="2"/>
    <x v="0"/>
  </r>
  <r>
    <d v="2011-12-04T00:00:00"/>
    <s v="016-2100-000"/>
    <s v="Food Sales"/>
    <n v="3266.835"/>
    <n v="0"/>
    <s v="Daily Sales Import"/>
    <n v="-3266.835"/>
    <n v="3266.835"/>
    <x v="0"/>
    <s v="2100"/>
    <s v="000"/>
    <x v="2"/>
    <x v="0"/>
  </r>
  <r>
    <d v="2011-12-04T00:00:00"/>
    <s v="016-2210-000"/>
    <s v="Liquor Sales"/>
    <n v="641.71800000000007"/>
    <n v="0"/>
    <s v="Daily Sales Import"/>
    <n v="-641.71800000000007"/>
    <n v="641.71800000000007"/>
    <x v="0"/>
    <s v="2210"/>
    <s v="000"/>
    <x v="2"/>
    <x v="0"/>
  </r>
  <r>
    <d v="2011-12-04T00:00:00"/>
    <s v="016-2220-000"/>
    <s v="Beer Sales"/>
    <n v="230.89500000000001"/>
    <n v="0"/>
    <s v="Daily Sales Import"/>
    <n v="-230.89500000000001"/>
    <n v="230.89500000000001"/>
    <x v="0"/>
    <s v="2220"/>
    <s v="000"/>
    <x v="2"/>
    <x v="0"/>
  </r>
  <r>
    <d v="2011-12-04T00:00:00"/>
    <s v="016-2230-000"/>
    <s v="Wine Sales"/>
    <n v="78.027499999999989"/>
    <n v="0"/>
    <s v="Daily Sales Import"/>
    <n v="-78.027499999999989"/>
    <n v="78.027499999999989"/>
    <x v="0"/>
    <s v="2230"/>
    <s v="000"/>
    <x v="2"/>
    <x v="0"/>
  </r>
  <r>
    <d v="2011-11-28T00:00:00"/>
    <s v="017-2100-000"/>
    <s v="Food Sales"/>
    <n v="3724.1010000000001"/>
    <n v="0"/>
    <s v="Daily Sales Import"/>
    <n v="-3724.1010000000001"/>
    <n v="3724.1010000000001"/>
    <x v="1"/>
    <s v="2100"/>
    <s v="000"/>
    <x v="1"/>
    <x v="0"/>
  </r>
  <r>
    <d v="2011-11-28T00:00:00"/>
    <s v="017-2210-000"/>
    <s v="Liquor Sales"/>
    <n v="713.62099999999998"/>
    <n v="0"/>
    <s v="Daily Sales Import"/>
    <n v="-713.62099999999998"/>
    <n v="713.62099999999998"/>
    <x v="1"/>
    <s v="2210"/>
    <s v="000"/>
    <x v="1"/>
    <x v="0"/>
  </r>
  <r>
    <d v="2011-11-28T00:00:00"/>
    <s v="017-2220-000"/>
    <s v="Beer Sales"/>
    <n v="256.89999999999998"/>
    <n v="0"/>
    <s v="Daily Sales Import"/>
    <n v="-256.89999999999998"/>
    <n v="256.89999999999998"/>
    <x v="1"/>
    <s v="2220"/>
    <s v="000"/>
    <x v="1"/>
    <x v="0"/>
  </r>
  <r>
    <d v="2011-11-28T00:00:00"/>
    <s v="017-2230-000"/>
    <s v="Wine Sales"/>
    <n v="22.308"/>
    <n v="0"/>
    <s v="Daily Sales Import"/>
    <n v="-22.308"/>
    <n v="22.308"/>
    <x v="1"/>
    <s v="2230"/>
    <s v="000"/>
    <x v="1"/>
    <x v="0"/>
  </r>
  <r>
    <d v="2011-11-29T00:00:00"/>
    <s v="017-2100-000"/>
    <s v="Food Sales"/>
    <n v="4314.7424999999994"/>
    <n v="0"/>
    <s v="Daily Sales Import"/>
    <n v="-4314.7424999999994"/>
    <n v="4314.7424999999994"/>
    <x v="1"/>
    <s v="2100"/>
    <s v="000"/>
    <x v="1"/>
    <x v="0"/>
  </r>
  <r>
    <d v="2011-11-29T00:00:00"/>
    <s v="017-2210-000"/>
    <s v="Liquor Sales"/>
    <n v="1224.2239999999999"/>
    <n v="0"/>
    <s v="Daily Sales Import"/>
    <n v="-1224.2239999999999"/>
    <n v="1224.2239999999999"/>
    <x v="1"/>
    <s v="2210"/>
    <s v="000"/>
    <x v="1"/>
    <x v="0"/>
  </r>
  <r>
    <d v="2011-11-29T00:00:00"/>
    <s v="017-2220-000"/>
    <s v="Beer Sales"/>
    <n v="338.86500000000001"/>
    <n v="0"/>
    <s v="Daily Sales Import"/>
    <n v="-338.86500000000001"/>
    <n v="338.86500000000001"/>
    <x v="1"/>
    <s v="2220"/>
    <s v="000"/>
    <x v="1"/>
    <x v="0"/>
  </r>
  <r>
    <d v="2011-11-29T00:00:00"/>
    <s v="017-2230-000"/>
    <s v="Wine Sales"/>
    <n v="97.845000000000013"/>
    <n v="0"/>
    <s v="Daily Sales Import"/>
    <n v="-97.845000000000013"/>
    <n v="97.845000000000013"/>
    <x v="1"/>
    <s v="2230"/>
    <s v="000"/>
    <x v="1"/>
    <x v="0"/>
  </r>
  <r>
    <d v="2011-11-30T00:00:00"/>
    <s v="017-2100-000"/>
    <s v="Food Sales"/>
    <n v="6092.4031999999997"/>
    <n v="0"/>
    <s v="Daily Sales Import"/>
    <n v="-6092.4031999999997"/>
    <n v="6092.4031999999997"/>
    <x v="1"/>
    <s v="2100"/>
    <s v="000"/>
    <x v="1"/>
    <x v="0"/>
  </r>
  <r>
    <d v="2011-11-30T00:00:00"/>
    <s v="017-2210-000"/>
    <s v="Liquor Sales"/>
    <n v="1150.826"/>
    <n v="0"/>
    <s v="Daily Sales Import"/>
    <n v="-1150.826"/>
    <n v="1150.826"/>
    <x v="1"/>
    <s v="2210"/>
    <s v="000"/>
    <x v="1"/>
    <x v="0"/>
  </r>
  <r>
    <d v="2011-11-30T00:00:00"/>
    <s v="017-2220-000"/>
    <s v="Beer Sales"/>
    <n v="461.44000000000005"/>
    <n v="0"/>
    <s v="Daily Sales Import"/>
    <n v="-461.44000000000005"/>
    <n v="461.44000000000005"/>
    <x v="1"/>
    <s v="2220"/>
    <s v="000"/>
    <x v="1"/>
    <x v="0"/>
  </r>
  <r>
    <d v="2011-11-30T00:00:00"/>
    <s v="017-2230-000"/>
    <s v="Wine Sales"/>
    <n v="208.16299999999998"/>
    <n v="0"/>
    <s v="Daily Sales Import"/>
    <n v="-208.16299999999998"/>
    <n v="208.16299999999998"/>
    <x v="1"/>
    <s v="2230"/>
    <s v="000"/>
    <x v="1"/>
    <x v="0"/>
  </r>
  <r>
    <d v="2011-12-01T00:00:00"/>
    <s v="017-2100-000"/>
    <s v="Food Sales"/>
    <n v="5494.72"/>
    <n v="0"/>
    <s v="Daily Sales Import"/>
    <n v="-5494.72"/>
    <n v="5494.72"/>
    <x v="1"/>
    <s v="2100"/>
    <s v="000"/>
    <x v="2"/>
    <x v="0"/>
  </r>
  <r>
    <d v="2011-12-01T00:00:00"/>
    <s v="017-2210-000"/>
    <s v="Liquor Sales"/>
    <n v="2015.6280000000002"/>
    <n v="0"/>
    <s v="Daily Sales Import"/>
    <n v="-2015.6280000000002"/>
    <n v="2015.6280000000002"/>
    <x v="1"/>
    <s v="2210"/>
    <s v="000"/>
    <x v="2"/>
    <x v="0"/>
  </r>
  <r>
    <d v="2011-12-01T00:00:00"/>
    <s v="017-2220-000"/>
    <s v="Beer Sales"/>
    <n v="651.56000000000006"/>
    <n v="0"/>
    <s v="Daily Sales Import"/>
    <n v="-651.56000000000006"/>
    <n v="651.56000000000006"/>
    <x v="1"/>
    <s v="2220"/>
    <s v="000"/>
    <x v="2"/>
    <x v="0"/>
  </r>
  <r>
    <d v="2011-12-01T00:00:00"/>
    <s v="017-2230-000"/>
    <s v="Wine Sales"/>
    <n v="146.13749999999999"/>
    <n v="0"/>
    <s v="Daily Sales Import"/>
    <n v="-146.13749999999999"/>
    <n v="146.13749999999999"/>
    <x v="1"/>
    <s v="2230"/>
    <s v="000"/>
    <x v="2"/>
    <x v="0"/>
  </r>
  <r>
    <d v="2011-12-02T00:00:00"/>
    <s v="017-2100-000"/>
    <s v="Food Sales"/>
    <n v="7403.9865"/>
    <n v="0"/>
    <s v="Daily Sales Import"/>
    <n v="-7403.9865"/>
    <n v="7403.9865"/>
    <x v="1"/>
    <s v="2100"/>
    <s v="000"/>
    <x v="2"/>
    <x v="0"/>
  </r>
  <r>
    <d v="2011-12-02T00:00:00"/>
    <s v="017-2210-000"/>
    <s v="Liquor Sales"/>
    <n v="3493.76"/>
    <n v="0"/>
    <s v="Daily Sales Import"/>
    <n v="-3493.76"/>
    <n v="3493.76"/>
    <x v="1"/>
    <s v="2210"/>
    <s v="000"/>
    <x v="2"/>
    <x v="0"/>
  </r>
  <r>
    <d v="2011-12-02T00:00:00"/>
    <s v="017-2220-000"/>
    <s v="Beer Sales"/>
    <n v="860.40000000000009"/>
    <n v="0"/>
    <s v="Daily Sales Import"/>
    <n v="-860.40000000000009"/>
    <n v="860.40000000000009"/>
    <x v="1"/>
    <s v="2220"/>
    <s v="000"/>
    <x v="2"/>
    <x v="0"/>
  </r>
  <r>
    <d v="2011-12-02T00:00:00"/>
    <s v="017-2230-000"/>
    <s v="Wine Sales"/>
    <n v="415.33199999999994"/>
    <n v="0"/>
    <s v="Daily Sales Import"/>
    <n v="-415.33199999999994"/>
    <n v="415.33199999999994"/>
    <x v="1"/>
    <s v="2230"/>
    <s v="000"/>
    <x v="2"/>
    <x v="0"/>
  </r>
  <r>
    <d v="2011-12-03T00:00:00"/>
    <s v="017-2100-000"/>
    <s v="Food Sales"/>
    <n v="7464.02"/>
    <n v="0"/>
    <s v="Daily Sales Import"/>
    <n v="-7464.02"/>
    <n v="7464.02"/>
    <x v="1"/>
    <s v="2100"/>
    <s v="000"/>
    <x v="2"/>
    <x v="0"/>
  </r>
  <r>
    <d v="2011-12-03T00:00:00"/>
    <s v="017-2210-000"/>
    <s v="Liquor Sales"/>
    <n v="1149.6870000000001"/>
    <n v="0"/>
    <s v="Daily Sales Import"/>
    <n v="-1149.6870000000001"/>
    <n v="1149.6870000000001"/>
    <x v="1"/>
    <s v="2210"/>
    <s v="000"/>
    <x v="2"/>
    <x v="0"/>
  </r>
  <r>
    <d v="2011-12-03T00:00:00"/>
    <s v="017-2220-000"/>
    <s v="Beer Sales"/>
    <n v="286.75"/>
    <n v="0"/>
    <s v="Daily Sales Import"/>
    <n v="-286.75"/>
    <n v="286.75"/>
    <x v="1"/>
    <s v="2220"/>
    <s v="000"/>
    <x v="2"/>
    <x v="0"/>
  </r>
  <r>
    <d v="2011-12-03T00:00:00"/>
    <s v="017-2230-000"/>
    <s v="Wine Sales"/>
    <n v="118.52850000000001"/>
    <n v="0"/>
    <s v="Daily Sales Import"/>
    <n v="-118.52850000000001"/>
    <n v="118.52850000000001"/>
    <x v="1"/>
    <s v="2230"/>
    <s v="000"/>
    <x v="2"/>
    <x v="0"/>
  </r>
  <r>
    <d v="2011-12-04T00:00:00"/>
    <s v="017-2100-000"/>
    <s v="Food Sales"/>
    <n v="4774.8189999999995"/>
    <n v="0"/>
    <s v="Daily Sales Import"/>
    <n v="-4774.8189999999995"/>
    <n v="4774.8189999999995"/>
    <x v="1"/>
    <s v="2100"/>
    <s v="000"/>
    <x v="2"/>
    <x v="0"/>
  </r>
  <r>
    <d v="2011-12-04T00:00:00"/>
    <s v="017-2210-000"/>
    <s v="Liquor Sales"/>
    <n v="771.476"/>
    <n v="0"/>
    <s v="Daily Sales Import"/>
    <n v="-771.476"/>
    <n v="771.476"/>
    <x v="1"/>
    <s v="2210"/>
    <s v="000"/>
    <x v="2"/>
    <x v="0"/>
  </r>
  <r>
    <d v="2011-12-04T00:00:00"/>
    <s v="017-2220-000"/>
    <s v="Beer Sales"/>
    <n v="197.14500000000001"/>
    <n v="0"/>
    <s v="Daily Sales Import"/>
    <n v="-197.14500000000001"/>
    <n v="197.14500000000001"/>
    <x v="1"/>
    <s v="2220"/>
    <s v="000"/>
    <x v="2"/>
    <x v="0"/>
  </r>
  <r>
    <d v="2011-12-04T00:00:00"/>
    <s v="017-2230-000"/>
    <s v="Wine Sales"/>
    <n v="101.2"/>
    <n v="0"/>
    <s v="Daily Sales Import"/>
    <n v="-101.2"/>
    <n v="101.2"/>
    <x v="1"/>
    <s v="2230"/>
    <s v="000"/>
    <x v="2"/>
    <x v="0"/>
  </r>
  <r>
    <d v="2011-11-28T00:00:00"/>
    <s v="018-2100-000"/>
    <s v="Food Sales"/>
    <n v="2665.0884000000001"/>
    <n v="0"/>
    <s v="Daily Sales Import"/>
    <n v="-2665.0884000000001"/>
    <n v="2665.0884000000001"/>
    <x v="2"/>
    <s v="2100"/>
    <s v="000"/>
    <x v="1"/>
    <x v="0"/>
  </r>
  <r>
    <d v="2011-11-28T00:00:00"/>
    <s v="018-2210-000"/>
    <s v="Liquor Sales"/>
    <n v="317.45"/>
    <n v="0"/>
    <s v="Daily Sales Import"/>
    <n v="-317.45"/>
    <n v="317.45"/>
    <x v="2"/>
    <s v="2210"/>
    <s v="000"/>
    <x v="1"/>
    <x v="0"/>
  </r>
  <r>
    <d v="2011-11-28T00:00:00"/>
    <s v="018-2220-000"/>
    <s v="Beer Sales"/>
    <n v="75.295000000000002"/>
    <n v="0"/>
    <s v="Daily Sales Import"/>
    <n v="-75.295000000000002"/>
    <n v="75.295000000000002"/>
    <x v="2"/>
    <s v="2220"/>
    <s v="000"/>
    <x v="1"/>
    <x v="0"/>
  </r>
  <r>
    <d v="2011-11-28T00:00:00"/>
    <s v="018-2230-000"/>
    <s v="Wine Sales"/>
    <n v="40.014000000000003"/>
    <n v="0"/>
    <s v="Daily Sales Import"/>
    <n v="-40.014000000000003"/>
    <n v="40.014000000000003"/>
    <x v="2"/>
    <s v="2230"/>
    <s v="000"/>
    <x v="1"/>
    <x v="0"/>
  </r>
  <r>
    <d v="2011-11-29T00:00:00"/>
    <s v="018-2100-000"/>
    <s v="Food Sales"/>
    <n v="2875.2107999999998"/>
    <n v="0"/>
    <s v="Daily Sales Import"/>
    <n v="-2875.2107999999998"/>
    <n v="2875.2107999999998"/>
    <x v="2"/>
    <s v="2100"/>
    <s v="000"/>
    <x v="1"/>
    <x v="0"/>
  </r>
  <r>
    <d v="2011-11-29T00:00:00"/>
    <s v="018-2210-000"/>
    <s v="Liquor Sales"/>
    <n v="411.262"/>
    <n v="0"/>
    <s v="Daily Sales Import"/>
    <n v="-411.262"/>
    <n v="411.262"/>
    <x v="2"/>
    <s v="2210"/>
    <s v="000"/>
    <x v="1"/>
    <x v="0"/>
  </r>
  <r>
    <d v="2011-11-29T00:00:00"/>
    <s v="018-2220-000"/>
    <s v="Beer Sales"/>
    <n v="36.712500000000006"/>
    <n v="0"/>
    <s v="Daily Sales Import"/>
    <n v="-36.712500000000006"/>
    <n v="36.712500000000006"/>
    <x v="2"/>
    <s v="2220"/>
    <s v="000"/>
    <x v="1"/>
    <x v="0"/>
  </r>
  <r>
    <d v="2011-11-29T00:00:00"/>
    <s v="018-2230-000"/>
    <s v="Wine Sales"/>
    <n v="65.84"/>
    <n v="0"/>
    <s v="Daily Sales Import"/>
    <n v="-65.84"/>
    <n v="65.84"/>
    <x v="2"/>
    <s v="2230"/>
    <s v="000"/>
    <x v="1"/>
    <x v="0"/>
  </r>
  <r>
    <d v="2011-11-30T00:00:00"/>
    <s v="018-2100-000"/>
    <s v="Food Sales"/>
    <n v="3895.3904000000002"/>
    <n v="0"/>
    <s v="Daily Sales Import"/>
    <n v="-3895.3904000000002"/>
    <n v="3895.3904000000002"/>
    <x v="2"/>
    <s v="2100"/>
    <s v="000"/>
    <x v="1"/>
    <x v="0"/>
  </r>
  <r>
    <d v="2011-11-30T00:00:00"/>
    <s v="018-2210-000"/>
    <s v="Liquor Sales"/>
    <n v="588"/>
    <n v="0"/>
    <s v="Daily Sales Import"/>
    <n v="-588"/>
    <n v="588"/>
    <x v="2"/>
    <s v="2210"/>
    <s v="000"/>
    <x v="1"/>
    <x v="0"/>
  </r>
  <r>
    <d v="2011-11-30T00:00:00"/>
    <s v="018-2220-000"/>
    <s v="Beer Sales"/>
    <n v="149.25450000000001"/>
    <n v="0"/>
    <s v="Daily Sales Import"/>
    <n v="-149.25450000000001"/>
    <n v="149.25450000000001"/>
    <x v="2"/>
    <s v="2220"/>
    <s v="000"/>
    <x v="1"/>
    <x v="0"/>
  </r>
  <r>
    <d v="2011-11-30T00:00:00"/>
    <s v="018-2230-000"/>
    <s v="Wine Sales"/>
    <n v="74.897999999999996"/>
    <n v="0"/>
    <s v="Daily Sales Import"/>
    <n v="-74.897999999999996"/>
    <n v="74.897999999999996"/>
    <x v="2"/>
    <s v="2230"/>
    <s v="000"/>
    <x v="1"/>
    <x v="0"/>
  </r>
  <r>
    <d v="2011-12-01T00:00:00"/>
    <s v="018-2100-000"/>
    <s v="Food Sales"/>
    <n v="2970.7275000000004"/>
    <n v="0"/>
    <s v="Daily Sales Import"/>
    <n v="-2970.7275000000004"/>
    <n v="2970.7275000000004"/>
    <x v="2"/>
    <s v="2100"/>
    <s v="000"/>
    <x v="2"/>
    <x v="0"/>
  </r>
  <r>
    <d v="2011-12-01T00:00:00"/>
    <s v="018-2210-000"/>
    <s v="Liquor Sales"/>
    <n v="701.34900000000005"/>
    <n v="0"/>
    <s v="Daily Sales Import"/>
    <n v="-701.34900000000005"/>
    <n v="701.34900000000005"/>
    <x v="2"/>
    <s v="2210"/>
    <s v="000"/>
    <x v="2"/>
    <x v="0"/>
  </r>
  <r>
    <d v="2011-12-01T00:00:00"/>
    <s v="018-2220-000"/>
    <s v="Beer Sales"/>
    <n v="99.717999999999989"/>
    <n v="0"/>
    <s v="Daily Sales Import"/>
    <n v="-99.717999999999989"/>
    <n v="99.717999999999989"/>
    <x v="2"/>
    <s v="2220"/>
    <s v="000"/>
    <x v="2"/>
    <x v="0"/>
  </r>
  <r>
    <d v="2011-12-01T00:00:00"/>
    <s v="018-2230-000"/>
    <s v="Wine Sales"/>
    <n v="87.016000000000005"/>
    <n v="0"/>
    <s v="Daily Sales Import"/>
    <n v="-87.016000000000005"/>
    <n v="87.016000000000005"/>
    <x v="2"/>
    <s v="2230"/>
    <s v="000"/>
    <x v="2"/>
    <x v="0"/>
  </r>
  <r>
    <d v="2011-12-02T00:00:00"/>
    <s v="018-2100-000"/>
    <s v="Food Sales"/>
    <n v="7080.2039999999997"/>
    <n v="0"/>
    <s v="Daily Sales Import"/>
    <n v="-7080.2039999999997"/>
    <n v="7080.2039999999997"/>
    <x v="2"/>
    <s v="2100"/>
    <s v="000"/>
    <x v="2"/>
    <x v="0"/>
  </r>
  <r>
    <d v="2011-12-02T00:00:00"/>
    <s v="018-2210-000"/>
    <s v="Liquor Sales"/>
    <n v="2255.3520000000003"/>
    <n v="0"/>
    <s v="Daily Sales Import"/>
    <n v="-2255.3520000000003"/>
    <n v="2255.3520000000003"/>
    <x v="2"/>
    <s v="2210"/>
    <s v="000"/>
    <x v="2"/>
    <x v="0"/>
  </r>
  <r>
    <d v="2011-12-02T00:00:00"/>
    <s v="018-2220-000"/>
    <s v="Beer Sales"/>
    <n v="460.25400000000002"/>
    <n v="0"/>
    <s v="Daily Sales Import"/>
    <n v="-460.25400000000002"/>
    <n v="460.25400000000002"/>
    <x v="2"/>
    <s v="2220"/>
    <s v="000"/>
    <x v="2"/>
    <x v="0"/>
  </r>
  <r>
    <d v="2011-12-02T00:00:00"/>
    <s v="018-2230-000"/>
    <s v="Wine Sales"/>
    <n v="100.80000000000001"/>
    <n v="0"/>
    <s v="Daily Sales Import"/>
    <n v="-100.80000000000001"/>
    <n v="100.80000000000001"/>
    <x v="2"/>
    <s v="2230"/>
    <s v="000"/>
    <x v="2"/>
    <x v="0"/>
  </r>
  <r>
    <d v="2011-12-03T00:00:00"/>
    <s v="018-2100-000"/>
    <s v="Food Sales"/>
    <n v="9338.1476000000002"/>
    <n v="0"/>
    <s v="Daily Sales Import"/>
    <n v="-9338.1476000000002"/>
    <n v="9338.1476000000002"/>
    <x v="2"/>
    <s v="2100"/>
    <s v="000"/>
    <x v="2"/>
    <x v="0"/>
  </r>
  <r>
    <d v="2011-12-03T00:00:00"/>
    <s v="018-2210-000"/>
    <s v="Liquor Sales"/>
    <n v="2093.7249999999999"/>
    <n v="0"/>
    <s v="Daily Sales Import"/>
    <n v="-2093.7249999999999"/>
    <n v="2093.7249999999999"/>
    <x v="2"/>
    <s v="2210"/>
    <s v="000"/>
    <x v="2"/>
    <x v="0"/>
  </r>
  <r>
    <d v="2011-12-03T00:00:00"/>
    <s v="018-2220-000"/>
    <s v="Beer Sales"/>
    <n v="338.18400000000003"/>
    <n v="0"/>
    <s v="Daily Sales Import"/>
    <n v="-338.18400000000003"/>
    <n v="338.18400000000003"/>
    <x v="2"/>
    <s v="2220"/>
    <s v="000"/>
    <x v="2"/>
    <x v="0"/>
  </r>
  <r>
    <d v="2011-12-03T00:00:00"/>
    <s v="018-2230-000"/>
    <s v="Wine Sales"/>
    <n v="39.101999999999997"/>
    <n v="0"/>
    <s v="Daily Sales Import"/>
    <n v="-39.101999999999997"/>
    <n v="39.101999999999997"/>
    <x v="2"/>
    <s v="2230"/>
    <s v="000"/>
    <x v="2"/>
    <x v="0"/>
  </r>
  <r>
    <d v="2011-12-04T00:00:00"/>
    <s v="018-2100-000"/>
    <s v="Food Sales"/>
    <n v="4743.7965000000004"/>
    <n v="0"/>
    <s v="Daily Sales Import"/>
    <n v="-4743.7965000000004"/>
    <n v="4743.7965000000004"/>
    <x v="2"/>
    <s v="2100"/>
    <s v="000"/>
    <x v="2"/>
    <x v="0"/>
  </r>
  <r>
    <d v="2011-12-04T00:00:00"/>
    <s v="018-2210-000"/>
    <s v="Liquor Sales"/>
    <n v="707.39700000000005"/>
    <n v="0"/>
    <s v="Daily Sales Import"/>
    <n v="-707.39700000000005"/>
    <n v="707.39700000000005"/>
    <x v="2"/>
    <s v="2210"/>
    <s v="000"/>
    <x v="2"/>
    <x v="0"/>
  </r>
  <r>
    <d v="2011-12-04T00:00:00"/>
    <s v="018-2220-000"/>
    <s v="Beer Sales"/>
    <n v="185.12100000000001"/>
    <n v="0"/>
    <s v="Daily Sales Import"/>
    <n v="-185.12100000000001"/>
    <n v="185.12100000000001"/>
    <x v="2"/>
    <s v="2220"/>
    <s v="000"/>
    <x v="2"/>
    <x v="0"/>
  </r>
  <r>
    <d v="2011-12-04T00:00:00"/>
    <s v="018-2230-000"/>
    <s v="Wine Sales"/>
    <n v="84.727500000000006"/>
    <n v="0"/>
    <s v="Daily Sales Import"/>
    <n v="-84.727500000000006"/>
    <n v="84.727500000000006"/>
    <x v="2"/>
    <s v="2230"/>
    <s v="000"/>
    <x v="2"/>
    <x v="0"/>
  </r>
  <r>
    <d v="2011-12-05T00:00:00"/>
    <s v="016-2100-000"/>
    <s v="Food Sales"/>
    <n v="2924.5609999999997"/>
    <n v="0"/>
    <s v="Daily Sales Import"/>
    <n v="-2924.5609999999997"/>
    <n v="2924.5609999999997"/>
    <x v="0"/>
    <s v="2100"/>
    <s v="000"/>
    <x v="2"/>
    <x v="0"/>
  </r>
  <r>
    <d v="2011-12-05T00:00:00"/>
    <s v="016-2210-000"/>
    <s v="Liquor Sales"/>
    <n v="471.97499999999997"/>
    <n v="0"/>
    <s v="Daily Sales Import"/>
    <n v="-471.97499999999997"/>
    <n v="471.97499999999997"/>
    <x v="0"/>
    <s v="2210"/>
    <s v="000"/>
    <x v="2"/>
    <x v="0"/>
  </r>
  <r>
    <d v="2011-12-05T00:00:00"/>
    <s v="016-2220-000"/>
    <s v="Beer Sales"/>
    <n v="197.73599999999999"/>
    <n v="0"/>
    <s v="Daily Sales Import"/>
    <n v="-197.73599999999999"/>
    <n v="197.73599999999999"/>
    <x v="0"/>
    <s v="2220"/>
    <s v="000"/>
    <x v="2"/>
    <x v="0"/>
  </r>
  <r>
    <d v="2011-12-05T00:00:00"/>
    <s v="016-2230-000"/>
    <s v="Wine Sales"/>
    <n v="102.62949999999999"/>
    <n v="0"/>
    <s v="Daily Sales Import"/>
    <n v="-102.62949999999999"/>
    <n v="102.62949999999999"/>
    <x v="0"/>
    <s v="2230"/>
    <s v="000"/>
    <x v="2"/>
    <x v="0"/>
  </r>
  <r>
    <d v="2011-12-06T00:00:00"/>
    <s v="016-2100-000"/>
    <s v="Food Sales"/>
    <n v="2028.9507999999998"/>
    <n v="0"/>
    <s v="Daily Sales Import"/>
    <n v="-2028.9507999999998"/>
    <n v="2028.9507999999998"/>
    <x v="0"/>
    <s v="2100"/>
    <s v="000"/>
    <x v="2"/>
    <x v="0"/>
  </r>
  <r>
    <d v="2011-12-06T00:00:00"/>
    <s v="016-2210-000"/>
    <s v="Liquor Sales"/>
    <n v="473.79"/>
    <n v="0"/>
    <s v="Daily Sales Import"/>
    <n v="-473.79"/>
    <n v="473.79"/>
    <x v="0"/>
    <s v="2210"/>
    <s v="000"/>
    <x v="2"/>
    <x v="0"/>
  </r>
  <r>
    <d v="2011-12-06T00:00:00"/>
    <s v="016-2220-000"/>
    <s v="Beer Sales"/>
    <n v="61.730999999999995"/>
    <n v="0"/>
    <s v="Daily Sales Import"/>
    <n v="-61.730999999999995"/>
    <n v="61.730999999999995"/>
    <x v="0"/>
    <s v="2220"/>
    <s v="000"/>
    <x v="2"/>
    <x v="0"/>
  </r>
  <r>
    <d v="2011-12-06T00:00:00"/>
    <s v="016-2230-000"/>
    <s v="Wine Sales"/>
    <n v="33.456500000000005"/>
    <n v="0"/>
    <s v="Daily Sales Import"/>
    <n v="-33.456500000000005"/>
    <n v="33.456500000000005"/>
    <x v="0"/>
    <s v="2230"/>
    <s v="000"/>
    <x v="2"/>
    <x v="0"/>
  </r>
  <r>
    <d v="2011-12-07T00:00:00"/>
    <s v="016-2100-000"/>
    <s v="Food Sales"/>
    <n v="3357.3836000000001"/>
    <n v="0"/>
    <s v="Daily Sales Import"/>
    <n v="-3357.3836000000001"/>
    <n v="3357.3836000000001"/>
    <x v="0"/>
    <s v="2100"/>
    <s v="000"/>
    <x v="2"/>
    <x v="0"/>
  </r>
  <r>
    <d v="2011-12-07T00:00:00"/>
    <s v="016-2210-000"/>
    <s v="Liquor Sales"/>
    <n v="803.09100000000001"/>
    <n v="0"/>
    <s v="Daily Sales Import"/>
    <n v="-803.09100000000001"/>
    <n v="803.09100000000001"/>
    <x v="0"/>
    <s v="2210"/>
    <s v="000"/>
    <x v="2"/>
    <x v="0"/>
  </r>
  <r>
    <d v="2011-12-07T00:00:00"/>
    <s v="016-2220-000"/>
    <s v="Beer Sales"/>
    <n v="156.672"/>
    <n v="0"/>
    <s v="Daily Sales Import"/>
    <n v="-156.672"/>
    <n v="156.672"/>
    <x v="0"/>
    <s v="2220"/>
    <s v="000"/>
    <x v="2"/>
    <x v="0"/>
  </r>
  <r>
    <d v="2011-12-07T00:00:00"/>
    <s v="016-2230-000"/>
    <s v="Wine Sales"/>
    <n v="114.646"/>
    <n v="0"/>
    <s v="Daily Sales Import"/>
    <n v="-114.646"/>
    <n v="114.646"/>
    <x v="0"/>
    <s v="2230"/>
    <s v="000"/>
    <x v="2"/>
    <x v="0"/>
  </r>
  <r>
    <d v="2011-12-08T00:00:00"/>
    <s v="016-2100-000"/>
    <s v="Food Sales"/>
    <n v="2819.0639999999999"/>
    <n v="0"/>
    <s v="Daily Sales Import"/>
    <n v="-2819.0639999999999"/>
    <n v="2819.0639999999999"/>
    <x v="0"/>
    <s v="2100"/>
    <s v="000"/>
    <x v="2"/>
    <x v="0"/>
  </r>
  <r>
    <d v="2011-12-08T00:00:00"/>
    <s v="016-2210-000"/>
    <s v="Liquor Sales"/>
    <n v="948.08999999999992"/>
    <n v="0"/>
    <s v="Daily Sales Import"/>
    <n v="-948.08999999999992"/>
    <n v="948.08999999999992"/>
    <x v="0"/>
    <s v="2210"/>
    <s v="000"/>
    <x v="2"/>
    <x v="0"/>
  </r>
  <r>
    <d v="2011-12-08T00:00:00"/>
    <s v="016-2220-000"/>
    <s v="Beer Sales"/>
    <n v="240.38099999999997"/>
    <n v="0"/>
    <s v="Daily Sales Import"/>
    <n v="-240.38099999999997"/>
    <n v="240.38099999999997"/>
    <x v="0"/>
    <s v="2220"/>
    <s v="000"/>
    <x v="2"/>
    <x v="0"/>
  </r>
  <r>
    <d v="2011-12-08T00:00:00"/>
    <s v="016-2230-000"/>
    <s v="Wine Sales"/>
    <n v="150.43"/>
    <n v="0"/>
    <s v="Daily Sales Import"/>
    <n v="-150.43"/>
    <n v="150.43"/>
    <x v="0"/>
    <s v="2230"/>
    <s v="000"/>
    <x v="2"/>
    <x v="0"/>
  </r>
  <r>
    <d v="2011-12-09T00:00:00"/>
    <s v="016-2100-000"/>
    <s v="Food Sales"/>
    <n v="5001.0060000000003"/>
    <n v="0"/>
    <s v="Daily Sales Import"/>
    <n v="-5001.0060000000003"/>
    <n v="5001.0060000000003"/>
    <x v="0"/>
    <s v="2100"/>
    <s v="000"/>
    <x v="2"/>
    <x v="0"/>
  </r>
  <r>
    <d v="2011-12-09T00:00:00"/>
    <s v="016-2210-000"/>
    <s v="Liquor Sales"/>
    <n v="2367.4504999999999"/>
    <n v="0"/>
    <s v="Daily Sales Import"/>
    <n v="-2367.4504999999999"/>
    <n v="2367.4504999999999"/>
    <x v="0"/>
    <s v="2210"/>
    <s v="000"/>
    <x v="2"/>
    <x v="0"/>
  </r>
  <r>
    <d v="2011-12-09T00:00:00"/>
    <s v="016-2220-000"/>
    <s v="Beer Sales"/>
    <n v="613.548"/>
    <n v="0"/>
    <s v="Daily Sales Import"/>
    <n v="-613.548"/>
    <n v="613.548"/>
    <x v="0"/>
    <s v="2220"/>
    <s v="000"/>
    <x v="2"/>
    <x v="0"/>
  </r>
  <r>
    <d v="2011-12-09T00:00:00"/>
    <s v="016-2230-000"/>
    <s v="Wine Sales"/>
    <n v="193.47"/>
    <n v="0"/>
    <s v="Daily Sales Import"/>
    <n v="-193.47"/>
    <n v="193.47"/>
    <x v="0"/>
    <s v="2230"/>
    <s v="000"/>
    <x v="2"/>
    <x v="0"/>
  </r>
  <r>
    <d v="2011-12-10T00:00:00"/>
    <s v="016-2100-000"/>
    <s v="Food Sales"/>
    <n v="5277.0039999999999"/>
    <n v="0"/>
    <s v="Daily Sales Import"/>
    <n v="-5277.0039999999999"/>
    <n v="5277.0039999999999"/>
    <x v="0"/>
    <s v="2100"/>
    <s v="000"/>
    <x v="2"/>
    <x v="0"/>
  </r>
  <r>
    <d v="2011-12-10T00:00:00"/>
    <s v="016-2210-000"/>
    <s v="Liquor Sales"/>
    <n v="1707.6750000000002"/>
    <n v="0"/>
    <s v="Daily Sales Import"/>
    <n v="-1707.6750000000002"/>
    <n v="1707.6750000000002"/>
    <x v="0"/>
    <s v="2210"/>
    <s v="000"/>
    <x v="2"/>
    <x v="0"/>
  </r>
  <r>
    <d v="2011-12-10T00:00:00"/>
    <s v="016-2220-000"/>
    <s v="Beer Sales"/>
    <n v="334.04399999999998"/>
    <n v="0"/>
    <s v="Daily Sales Import"/>
    <n v="-334.04399999999998"/>
    <n v="334.04399999999998"/>
    <x v="0"/>
    <s v="2220"/>
    <s v="000"/>
    <x v="2"/>
    <x v="0"/>
  </r>
  <r>
    <d v="2011-12-10T00:00:00"/>
    <s v="016-2230-000"/>
    <s v="Wine Sales"/>
    <n v="121.21549999999999"/>
    <n v="0"/>
    <s v="Daily Sales Import"/>
    <n v="-121.21549999999999"/>
    <n v="121.21549999999999"/>
    <x v="0"/>
    <s v="2230"/>
    <s v="000"/>
    <x v="2"/>
    <x v="0"/>
  </r>
  <r>
    <d v="2011-12-11T00:00:00"/>
    <s v="016-2100-000"/>
    <s v="Food Sales"/>
    <n v="2816.0109999999995"/>
    <n v="0"/>
    <s v="Daily Sales Import"/>
    <n v="-2816.0109999999995"/>
    <n v="2816.0109999999995"/>
    <x v="0"/>
    <s v="2100"/>
    <s v="000"/>
    <x v="2"/>
    <x v="0"/>
  </r>
  <r>
    <d v="2011-12-11T00:00:00"/>
    <s v="016-2210-000"/>
    <s v="Liquor Sales"/>
    <n v="753.57999999999993"/>
    <n v="0"/>
    <s v="Daily Sales Import"/>
    <n v="-753.57999999999993"/>
    <n v="753.57999999999993"/>
    <x v="0"/>
    <s v="2210"/>
    <s v="000"/>
    <x v="2"/>
    <x v="0"/>
  </r>
  <r>
    <d v="2011-12-11T00:00:00"/>
    <s v="016-2220-000"/>
    <s v="Beer Sales"/>
    <n v="164.43"/>
    <n v="0"/>
    <s v="Daily Sales Import"/>
    <n v="-164.43"/>
    <n v="164.43"/>
    <x v="0"/>
    <s v="2220"/>
    <s v="000"/>
    <x v="2"/>
    <x v="0"/>
  </r>
  <r>
    <d v="2011-12-11T00:00:00"/>
    <s v="016-2230-000"/>
    <s v="Wine Sales"/>
    <n v="55.431999999999995"/>
    <n v="0"/>
    <s v="Daily Sales Import"/>
    <n v="-55.431999999999995"/>
    <n v="55.431999999999995"/>
    <x v="0"/>
    <s v="2230"/>
    <s v="000"/>
    <x v="2"/>
    <x v="0"/>
  </r>
  <r>
    <d v="2011-12-05T00:00:00"/>
    <s v="017-2100-000"/>
    <s v="Food Sales"/>
    <n v="3283.8720000000003"/>
    <n v="0"/>
    <s v="Daily Sales Import"/>
    <n v="-3283.8720000000003"/>
    <n v="3283.8720000000003"/>
    <x v="1"/>
    <s v="2100"/>
    <s v="000"/>
    <x v="2"/>
    <x v="0"/>
  </r>
  <r>
    <d v="2011-12-05T00:00:00"/>
    <s v="017-2210-000"/>
    <s v="Liquor Sales"/>
    <n v="858.75999999999988"/>
    <n v="0"/>
    <s v="Daily Sales Import"/>
    <n v="-858.75999999999988"/>
    <n v="858.75999999999988"/>
    <x v="1"/>
    <s v="2210"/>
    <s v="000"/>
    <x v="2"/>
    <x v="0"/>
  </r>
  <r>
    <d v="2011-12-05T00:00:00"/>
    <s v="017-2220-000"/>
    <s v="Beer Sales"/>
    <n v="162.32999999999998"/>
    <n v="0"/>
    <s v="Daily Sales Import"/>
    <n v="-162.32999999999998"/>
    <n v="162.32999999999998"/>
    <x v="1"/>
    <s v="2220"/>
    <s v="000"/>
    <x v="2"/>
    <x v="0"/>
  </r>
  <r>
    <d v="2011-12-05T00:00:00"/>
    <s v="017-2230-000"/>
    <s v="Wine Sales"/>
    <n v="53.405000000000001"/>
    <n v="0"/>
    <s v="Daily Sales Import"/>
    <n v="-53.405000000000001"/>
    <n v="53.405000000000001"/>
    <x v="1"/>
    <s v="2230"/>
    <s v="000"/>
    <x v="2"/>
    <x v="0"/>
  </r>
  <r>
    <d v="2011-12-06T00:00:00"/>
    <s v="017-2100-000"/>
    <s v="Food Sales"/>
    <n v="4960.9169999999995"/>
    <n v="0"/>
    <s v="Daily Sales Import"/>
    <n v="-4960.9169999999995"/>
    <n v="4960.9169999999995"/>
    <x v="1"/>
    <s v="2100"/>
    <s v="000"/>
    <x v="2"/>
    <x v="0"/>
  </r>
  <r>
    <d v="2011-12-06T00:00:00"/>
    <s v="017-2210-000"/>
    <s v="Liquor Sales"/>
    <n v="1556.3939999999998"/>
    <n v="0"/>
    <s v="Daily Sales Import"/>
    <n v="-1556.3939999999998"/>
    <n v="1556.3939999999998"/>
    <x v="1"/>
    <s v="2210"/>
    <s v="000"/>
    <x v="2"/>
    <x v="0"/>
  </r>
  <r>
    <d v="2011-12-06T00:00:00"/>
    <s v="017-2220-000"/>
    <s v="Beer Sales"/>
    <n v="434.3"/>
    <n v="0"/>
    <s v="Daily Sales Import"/>
    <n v="-434.3"/>
    <n v="434.3"/>
    <x v="1"/>
    <s v="2220"/>
    <s v="000"/>
    <x v="2"/>
    <x v="0"/>
  </r>
  <r>
    <d v="2011-12-06T00:00:00"/>
    <s v="017-2230-000"/>
    <s v="Wine Sales"/>
    <n v="174.31199999999998"/>
    <n v="0"/>
    <s v="Daily Sales Import"/>
    <n v="-174.31199999999998"/>
    <n v="174.31199999999998"/>
    <x v="1"/>
    <s v="2230"/>
    <s v="000"/>
    <x v="2"/>
    <x v="0"/>
  </r>
  <r>
    <d v="2011-12-07T00:00:00"/>
    <s v="017-2100-000"/>
    <s v="Food Sales"/>
    <n v="5613.4512000000004"/>
    <n v="0"/>
    <s v="Daily Sales Import"/>
    <n v="-5613.4512000000004"/>
    <n v="5613.4512000000004"/>
    <x v="1"/>
    <s v="2100"/>
    <s v="000"/>
    <x v="2"/>
    <x v="0"/>
  </r>
  <r>
    <d v="2011-12-07T00:00:00"/>
    <s v="017-2210-000"/>
    <s v="Liquor Sales"/>
    <n v="2005.704"/>
    <n v="0"/>
    <s v="Daily Sales Import"/>
    <n v="-2005.704"/>
    <n v="2005.704"/>
    <x v="1"/>
    <s v="2210"/>
    <s v="000"/>
    <x v="2"/>
    <x v="0"/>
  </r>
  <r>
    <d v="2011-12-07T00:00:00"/>
    <s v="017-2220-000"/>
    <s v="Beer Sales"/>
    <n v="497.31"/>
    <n v="0"/>
    <s v="Daily Sales Import"/>
    <n v="-497.31"/>
    <n v="497.31"/>
    <x v="1"/>
    <s v="2220"/>
    <s v="000"/>
    <x v="2"/>
    <x v="0"/>
  </r>
  <r>
    <d v="2011-12-07T00:00:00"/>
    <s v="017-2230-000"/>
    <s v="Wine Sales"/>
    <n v="131.39400000000001"/>
    <n v="0"/>
    <s v="Daily Sales Import"/>
    <n v="-131.39400000000001"/>
    <n v="131.39400000000001"/>
    <x v="1"/>
    <s v="2230"/>
    <s v="000"/>
    <x v="2"/>
    <x v="0"/>
  </r>
  <r>
    <d v="2011-12-08T00:00:00"/>
    <s v="017-2100-000"/>
    <s v="Food Sales"/>
    <n v="4591.3499999999995"/>
    <n v="0"/>
    <s v="Daily Sales Import"/>
    <n v="-4591.3499999999995"/>
    <n v="4591.3499999999995"/>
    <x v="1"/>
    <s v="2100"/>
    <s v="000"/>
    <x v="2"/>
    <x v="0"/>
  </r>
  <r>
    <d v="2011-12-08T00:00:00"/>
    <s v="017-2210-000"/>
    <s v="Liquor Sales"/>
    <n v="1117.8434999999999"/>
    <n v="0"/>
    <s v="Daily Sales Import"/>
    <n v="-1117.8434999999999"/>
    <n v="1117.8434999999999"/>
    <x v="1"/>
    <s v="2210"/>
    <s v="000"/>
    <x v="2"/>
    <x v="0"/>
  </r>
  <r>
    <d v="2011-12-08T00:00:00"/>
    <s v="017-2220-000"/>
    <s v="Beer Sales"/>
    <n v="375.06"/>
    <n v="0"/>
    <s v="Daily Sales Import"/>
    <n v="-375.06"/>
    <n v="375.06"/>
    <x v="1"/>
    <s v="2220"/>
    <s v="000"/>
    <x v="2"/>
    <x v="0"/>
  </r>
  <r>
    <d v="2011-12-08T00:00:00"/>
    <s v="017-2230-000"/>
    <s v="Wine Sales"/>
    <n v="89.352000000000004"/>
    <n v="0"/>
    <s v="Daily Sales Import"/>
    <n v="-89.352000000000004"/>
    <n v="89.352000000000004"/>
    <x v="1"/>
    <s v="2230"/>
    <s v="000"/>
    <x v="2"/>
    <x v="0"/>
  </r>
  <r>
    <d v="2011-12-09T00:00:00"/>
    <s v="017-2100-000"/>
    <s v="Food Sales"/>
    <n v="6304.0779999999995"/>
    <n v="0"/>
    <s v="Daily Sales Import"/>
    <n v="-6304.0779999999995"/>
    <n v="6304.0779999999995"/>
    <x v="1"/>
    <s v="2100"/>
    <s v="000"/>
    <x v="2"/>
    <x v="0"/>
  </r>
  <r>
    <d v="2011-12-09T00:00:00"/>
    <s v="017-2210-000"/>
    <s v="Liquor Sales"/>
    <n v="2108.0249999999996"/>
    <n v="0"/>
    <s v="Daily Sales Import"/>
    <n v="-2108.0249999999996"/>
    <n v="2108.0249999999996"/>
    <x v="1"/>
    <s v="2210"/>
    <s v="000"/>
    <x v="2"/>
    <x v="0"/>
  </r>
  <r>
    <d v="2011-12-09T00:00:00"/>
    <s v="017-2220-000"/>
    <s v="Beer Sales"/>
    <n v="717.56999999999994"/>
    <n v="0"/>
    <s v="Daily Sales Import"/>
    <n v="-717.56999999999994"/>
    <n v="717.56999999999994"/>
    <x v="1"/>
    <s v="2220"/>
    <s v="000"/>
    <x v="2"/>
    <x v="0"/>
  </r>
  <r>
    <d v="2011-12-09T00:00:00"/>
    <s v="017-2230-000"/>
    <s v="Wine Sales"/>
    <n v="406.69200000000006"/>
    <n v="0"/>
    <s v="Daily Sales Import"/>
    <n v="-406.69200000000006"/>
    <n v="406.69200000000006"/>
    <x v="1"/>
    <s v="2230"/>
    <s v="000"/>
    <x v="2"/>
    <x v="0"/>
  </r>
  <r>
    <d v="2011-12-10T00:00:00"/>
    <s v="017-2100-000"/>
    <s v="Food Sales"/>
    <n v="6965.433"/>
    <n v="0"/>
    <s v="Daily Sales Import"/>
    <n v="-6965.433"/>
    <n v="6965.433"/>
    <x v="1"/>
    <s v="2100"/>
    <s v="000"/>
    <x v="2"/>
    <x v="0"/>
  </r>
  <r>
    <d v="2011-12-10T00:00:00"/>
    <s v="017-2210-000"/>
    <s v="Liquor Sales"/>
    <n v="1177.6590000000001"/>
    <n v="0"/>
    <s v="Daily Sales Import"/>
    <n v="-1177.6590000000001"/>
    <n v="1177.6590000000001"/>
    <x v="1"/>
    <s v="2210"/>
    <s v="000"/>
    <x v="2"/>
    <x v="0"/>
  </r>
  <r>
    <d v="2011-12-10T00:00:00"/>
    <s v="017-2220-000"/>
    <s v="Beer Sales"/>
    <n v="445.62"/>
    <n v="0"/>
    <s v="Daily Sales Import"/>
    <n v="-445.62"/>
    <n v="445.62"/>
    <x v="1"/>
    <s v="2220"/>
    <s v="000"/>
    <x v="2"/>
    <x v="0"/>
  </r>
  <r>
    <d v="2011-12-10T00:00:00"/>
    <s v="017-2230-000"/>
    <s v="Wine Sales"/>
    <n v="78.009999999999991"/>
    <n v="0"/>
    <s v="Daily Sales Import"/>
    <n v="-78.009999999999991"/>
    <n v="78.009999999999991"/>
    <x v="1"/>
    <s v="2230"/>
    <s v="000"/>
    <x v="2"/>
    <x v="0"/>
  </r>
  <r>
    <d v="2011-12-11T00:00:00"/>
    <s v="017-2100-000"/>
    <s v="Food Sales"/>
    <n v="6161.4360000000006"/>
    <n v="0"/>
    <s v="Daily Sales Import"/>
    <n v="-6161.4360000000006"/>
    <n v="6161.4360000000006"/>
    <x v="1"/>
    <s v="2100"/>
    <s v="000"/>
    <x v="2"/>
    <x v="0"/>
  </r>
  <r>
    <d v="2011-12-11T00:00:00"/>
    <s v="017-2210-000"/>
    <s v="Liquor Sales"/>
    <n v="1172.402"/>
    <n v="0"/>
    <s v="Daily Sales Import"/>
    <n v="-1172.402"/>
    <n v="1172.402"/>
    <x v="1"/>
    <s v="2210"/>
    <s v="000"/>
    <x v="2"/>
    <x v="0"/>
  </r>
  <r>
    <d v="2011-12-11T00:00:00"/>
    <s v="017-2220-000"/>
    <s v="Beer Sales"/>
    <n v="182.25"/>
    <n v="0"/>
    <s v="Daily Sales Import"/>
    <n v="-182.25"/>
    <n v="182.25"/>
    <x v="1"/>
    <s v="2220"/>
    <s v="000"/>
    <x v="2"/>
    <x v="0"/>
  </r>
  <r>
    <d v="2011-12-11T00:00:00"/>
    <s v="017-2230-000"/>
    <s v="Wine Sales"/>
    <n v="76.644000000000005"/>
    <n v="0"/>
    <s v="Daily Sales Import"/>
    <n v="-76.644000000000005"/>
    <n v="76.644000000000005"/>
    <x v="1"/>
    <s v="2230"/>
    <s v="000"/>
    <x v="2"/>
    <x v="0"/>
  </r>
  <r>
    <d v="2011-12-05T00:00:00"/>
    <s v="018-2100-000"/>
    <s v="Food Sales"/>
    <n v="2672.5545000000002"/>
    <n v="0"/>
    <s v="Daily Sales Import"/>
    <n v="-2672.5545000000002"/>
    <n v="2672.5545000000002"/>
    <x v="2"/>
    <s v="2100"/>
    <s v="000"/>
    <x v="2"/>
    <x v="0"/>
  </r>
  <r>
    <d v="2011-12-05T00:00:00"/>
    <s v="018-2210-000"/>
    <s v="Liquor Sales"/>
    <n v="327.49950000000001"/>
    <n v="0"/>
    <s v="Daily Sales Import"/>
    <n v="-327.49950000000001"/>
    <n v="327.49950000000001"/>
    <x v="2"/>
    <s v="2210"/>
    <s v="000"/>
    <x v="2"/>
    <x v="0"/>
  </r>
  <r>
    <d v="2011-12-05T00:00:00"/>
    <s v="018-2220-000"/>
    <s v="Beer Sales"/>
    <n v="92"/>
    <n v="0"/>
    <s v="Daily Sales Import"/>
    <n v="-92"/>
    <n v="92"/>
    <x v="2"/>
    <s v="2220"/>
    <s v="000"/>
    <x v="2"/>
    <x v="0"/>
  </r>
  <r>
    <d v="2011-12-05T00:00:00"/>
    <s v="018-2230-000"/>
    <s v="Wine Sales"/>
    <n v="47.320999999999998"/>
    <n v="0"/>
    <s v="Daily Sales Import"/>
    <n v="-47.320999999999998"/>
    <n v="47.320999999999998"/>
    <x v="2"/>
    <s v="2230"/>
    <s v="000"/>
    <x v="2"/>
    <x v="0"/>
  </r>
  <r>
    <d v="2011-12-06T00:00:00"/>
    <s v="018-2100-000"/>
    <s v="Food Sales"/>
    <n v="1897.0813999999998"/>
    <n v="0"/>
    <s v="Daily Sales Import"/>
    <n v="-1897.0813999999998"/>
    <n v="1897.0813999999998"/>
    <x v="2"/>
    <s v="2100"/>
    <s v="000"/>
    <x v="2"/>
    <x v="0"/>
  </r>
  <r>
    <d v="2011-12-06T00:00:00"/>
    <s v="018-2210-000"/>
    <s v="Liquor Sales"/>
    <n v="273.30800000000005"/>
    <n v="0"/>
    <s v="Daily Sales Import"/>
    <n v="-273.30800000000005"/>
    <n v="273.30800000000005"/>
    <x v="2"/>
    <s v="2210"/>
    <s v="000"/>
    <x v="2"/>
    <x v="0"/>
  </r>
  <r>
    <d v="2011-12-06T00:00:00"/>
    <s v="018-2220-000"/>
    <s v="Beer Sales"/>
    <n v="125.67149999999999"/>
    <n v="0"/>
    <s v="Daily Sales Import"/>
    <n v="-125.67149999999999"/>
    <n v="125.67149999999999"/>
    <x v="2"/>
    <s v="2220"/>
    <s v="000"/>
    <x v="2"/>
    <x v="0"/>
  </r>
  <r>
    <d v="2011-12-06T00:00:00"/>
    <s v="018-2230-000"/>
    <s v="Wine Sales"/>
    <n v="49.077500000000001"/>
    <n v="0"/>
    <s v="Daily Sales Import"/>
    <n v="-49.077500000000001"/>
    <n v="49.077500000000001"/>
    <x v="2"/>
    <s v="2230"/>
    <s v="000"/>
    <x v="2"/>
    <x v="0"/>
  </r>
  <r>
    <d v="2011-12-07T00:00:00"/>
    <s v="018-2100-000"/>
    <s v="Food Sales"/>
    <n v="2355.7829999999999"/>
    <n v="0"/>
    <s v="Daily Sales Import"/>
    <n v="-2355.7829999999999"/>
    <n v="2355.7829999999999"/>
    <x v="2"/>
    <s v="2100"/>
    <s v="000"/>
    <x v="2"/>
    <x v="0"/>
  </r>
  <r>
    <d v="2011-12-07T00:00:00"/>
    <s v="018-2210-000"/>
    <s v="Liquor Sales"/>
    <n v="296.18549999999999"/>
    <n v="0"/>
    <s v="Daily Sales Import"/>
    <n v="-296.18549999999999"/>
    <n v="296.18549999999999"/>
    <x v="2"/>
    <s v="2210"/>
    <s v="000"/>
    <x v="2"/>
    <x v="0"/>
  </r>
  <r>
    <d v="2011-12-07T00:00:00"/>
    <s v="018-2220-000"/>
    <s v="Beer Sales"/>
    <n v="104.67500000000001"/>
    <n v="0"/>
    <s v="Daily Sales Import"/>
    <n v="-104.67500000000001"/>
    <n v="104.67500000000001"/>
    <x v="2"/>
    <s v="2220"/>
    <s v="000"/>
    <x v="2"/>
    <x v="0"/>
  </r>
  <r>
    <d v="2011-12-07T00:00:00"/>
    <s v="018-2230-000"/>
    <s v="Wine Sales"/>
    <n v="10.491999999999999"/>
    <n v="0"/>
    <s v="Daily Sales Import"/>
    <n v="-10.491999999999999"/>
    <n v="10.491999999999999"/>
    <x v="2"/>
    <s v="2230"/>
    <s v="000"/>
    <x v="2"/>
    <x v="0"/>
  </r>
  <r>
    <d v="2011-12-08T00:00:00"/>
    <s v="018-2100-000"/>
    <s v="Food Sales"/>
    <n v="4553.3637000000008"/>
    <n v="0"/>
    <s v="Daily Sales Import"/>
    <n v="-4553.3637000000008"/>
    <n v="4553.3637000000008"/>
    <x v="2"/>
    <s v="2100"/>
    <s v="000"/>
    <x v="2"/>
    <x v="0"/>
  </r>
  <r>
    <d v="2011-12-08T00:00:00"/>
    <s v="018-2210-000"/>
    <s v="Liquor Sales"/>
    <n v="977.13199999999995"/>
    <n v="0"/>
    <s v="Daily Sales Import"/>
    <n v="-977.13199999999995"/>
    <n v="977.13199999999995"/>
    <x v="2"/>
    <s v="2210"/>
    <s v="000"/>
    <x v="2"/>
    <x v="0"/>
  </r>
  <r>
    <d v="2011-12-08T00:00:00"/>
    <s v="018-2220-000"/>
    <s v="Beer Sales"/>
    <n v="172.73750000000001"/>
    <n v="0"/>
    <s v="Daily Sales Import"/>
    <n v="-172.73750000000001"/>
    <n v="172.73750000000001"/>
    <x v="2"/>
    <s v="2220"/>
    <s v="000"/>
    <x v="2"/>
    <x v="0"/>
  </r>
  <r>
    <d v="2011-12-08T00:00:00"/>
    <s v="018-2230-000"/>
    <s v="Wine Sales"/>
    <n v="48.730499999999999"/>
    <n v="0"/>
    <s v="Daily Sales Import"/>
    <n v="-48.730499999999999"/>
    <n v="48.730499999999999"/>
    <x v="2"/>
    <s v="2230"/>
    <s v="000"/>
    <x v="2"/>
    <x v="0"/>
  </r>
  <r>
    <d v="2011-12-09T00:00:00"/>
    <s v="018-2100-000"/>
    <s v="Food Sales"/>
    <n v="9728.9529999999995"/>
    <n v="0"/>
    <s v="Daily Sales Import"/>
    <n v="-9728.9529999999995"/>
    <n v="9728.9529999999995"/>
    <x v="2"/>
    <s v="2100"/>
    <s v="000"/>
    <x v="2"/>
    <x v="0"/>
  </r>
  <r>
    <d v="2011-12-09T00:00:00"/>
    <s v="018-2210-000"/>
    <s v="Liquor Sales"/>
    <n v="2042.962"/>
    <n v="0"/>
    <s v="Daily Sales Import"/>
    <n v="-2042.962"/>
    <n v="2042.962"/>
    <x v="2"/>
    <s v="2210"/>
    <s v="000"/>
    <x v="2"/>
    <x v="0"/>
  </r>
  <r>
    <d v="2011-12-09T00:00:00"/>
    <s v="018-2220-000"/>
    <s v="Beer Sales"/>
    <n v="382.11750000000001"/>
    <n v="0"/>
    <s v="Daily Sales Import"/>
    <n v="-382.11750000000001"/>
    <n v="382.11750000000001"/>
    <x v="2"/>
    <s v="2220"/>
    <s v="000"/>
    <x v="2"/>
    <x v="0"/>
  </r>
  <r>
    <d v="2011-12-09T00:00:00"/>
    <s v="018-2230-000"/>
    <s v="Wine Sales"/>
    <n v="112.37"/>
    <n v="0"/>
    <s v="Daily Sales Import"/>
    <n v="-112.37"/>
    <n v="112.37"/>
    <x v="2"/>
    <s v="2230"/>
    <s v="000"/>
    <x v="2"/>
    <x v="0"/>
  </r>
  <r>
    <d v="2011-12-10T00:00:00"/>
    <s v="018-2100-000"/>
    <s v="Food Sales"/>
    <n v="8840.4585000000006"/>
    <n v="0"/>
    <s v="Daily Sales Import"/>
    <n v="-8840.4585000000006"/>
    <n v="8840.4585000000006"/>
    <x v="2"/>
    <s v="2100"/>
    <s v="000"/>
    <x v="2"/>
    <x v="0"/>
  </r>
  <r>
    <d v="2011-12-10T00:00:00"/>
    <s v="018-2210-000"/>
    <s v="Liquor Sales"/>
    <n v="1373.7010000000002"/>
    <n v="0"/>
    <s v="Daily Sales Import"/>
    <n v="-1373.7010000000002"/>
    <n v="1373.7010000000002"/>
    <x v="2"/>
    <s v="2210"/>
    <s v="000"/>
    <x v="2"/>
    <x v="0"/>
  </r>
  <r>
    <d v="2011-12-10T00:00:00"/>
    <s v="018-2220-000"/>
    <s v="Beer Sales"/>
    <n v="653.0625"/>
    <n v="0"/>
    <s v="Daily Sales Import"/>
    <n v="-653.0625"/>
    <n v="653.0625"/>
    <x v="2"/>
    <s v="2220"/>
    <s v="000"/>
    <x v="2"/>
    <x v="0"/>
  </r>
  <r>
    <d v="2011-12-10T00:00:00"/>
    <s v="018-2230-000"/>
    <s v="Wine Sales"/>
    <n v="126.56699999999999"/>
    <n v="0"/>
    <s v="Daily Sales Import"/>
    <n v="-126.56699999999999"/>
    <n v="126.56699999999999"/>
    <x v="2"/>
    <s v="2230"/>
    <s v="000"/>
    <x v="2"/>
    <x v="0"/>
  </r>
  <r>
    <d v="2011-12-11T00:00:00"/>
    <s v="018-2100-000"/>
    <s v="Food Sales"/>
    <n v="6874.8"/>
    <n v="0"/>
    <s v="Daily Sales Import"/>
    <n v="-6874.8"/>
    <n v="6874.8"/>
    <x v="2"/>
    <s v="2100"/>
    <s v="000"/>
    <x v="2"/>
    <x v="0"/>
  </r>
  <r>
    <d v="2011-12-11T00:00:00"/>
    <s v="018-2210-000"/>
    <s v="Liquor Sales"/>
    <n v="733.71"/>
    <n v="0"/>
    <s v="Daily Sales Import"/>
    <n v="-733.71"/>
    <n v="733.71"/>
    <x v="2"/>
    <s v="2210"/>
    <s v="000"/>
    <x v="2"/>
    <x v="0"/>
  </r>
  <r>
    <d v="2011-12-11T00:00:00"/>
    <s v="018-2220-000"/>
    <s v="Beer Sales"/>
    <n v="173.655"/>
    <n v="0"/>
    <s v="Daily Sales Import"/>
    <n v="-173.655"/>
    <n v="173.655"/>
    <x v="2"/>
    <s v="2220"/>
    <s v="000"/>
    <x v="2"/>
    <x v="0"/>
  </r>
  <r>
    <d v="2011-12-11T00:00:00"/>
    <s v="018-2230-000"/>
    <s v="Wine Sales"/>
    <n v="107.49249999999999"/>
    <n v="0"/>
    <s v="Daily Sales Import"/>
    <n v="-107.49249999999999"/>
    <n v="107.49249999999999"/>
    <x v="2"/>
    <s v="2230"/>
    <s v="000"/>
    <x v="2"/>
    <x v="0"/>
  </r>
  <r>
    <d v="2011-12-12T00:00:00"/>
    <s v="016-2100-000"/>
    <s v="Food Sales"/>
    <n v="1843.3989000000001"/>
    <n v="0"/>
    <s v="Daily Sales Import"/>
    <n v="-1843.3989000000001"/>
    <n v="1843.3989000000001"/>
    <x v="0"/>
    <s v="2100"/>
    <s v="000"/>
    <x v="2"/>
    <x v="0"/>
  </r>
  <r>
    <d v="2011-12-12T00:00:00"/>
    <s v="016-2210-000"/>
    <s v="Liquor Sales"/>
    <n v="301.75450000000001"/>
    <n v="0"/>
    <s v="Daily Sales Import"/>
    <n v="-301.75450000000001"/>
    <n v="301.75450000000001"/>
    <x v="0"/>
    <s v="2210"/>
    <s v="000"/>
    <x v="2"/>
    <x v="0"/>
  </r>
  <r>
    <d v="2011-12-12T00:00:00"/>
    <s v="016-2220-000"/>
    <s v="Beer Sales"/>
    <n v="91.872000000000014"/>
    <n v="0"/>
    <s v="Daily Sales Import"/>
    <n v="-91.872000000000014"/>
    <n v="91.872000000000014"/>
    <x v="0"/>
    <s v="2220"/>
    <s v="000"/>
    <x v="2"/>
    <x v="0"/>
  </r>
  <r>
    <d v="2011-12-12T00:00:00"/>
    <s v="016-2230-000"/>
    <s v="Wine Sales"/>
    <n v="29.875999999999998"/>
    <n v="0"/>
    <s v="Daily Sales Import"/>
    <n v="-29.875999999999998"/>
    <n v="29.875999999999998"/>
    <x v="0"/>
    <s v="2230"/>
    <s v="000"/>
    <x v="2"/>
    <x v="0"/>
  </r>
  <r>
    <d v="2011-12-13T00:00:00"/>
    <s v="016-2100-000"/>
    <s v="Food Sales"/>
    <n v="2466.5237999999999"/>
    <n v="0"/>
    <s v="Daily Sales Import"/>
    <n v="-2466.5237999999999"/>
    <n v="2466.5237999999999"/>
    <x v="0"/>
    <s v="2100"/>
    <s v="000"/>
    <x v="2"/>
    <x v="0"/>
  </r>
  <r>
    <d v="2011-12-13T00:00:00"/>
    <s v="016-2210-000"/>
    <s v="Liquor Sales"/>
    <n v="543.42999999999995"/>
    <n v="0"/>
    <s v="Daily Sales Import"/>
    <n v="-543.42999999999995"/>
    <n v="543.42999999999995"/>
    <x v="0"/>
    <s v="2210"/>
    <s v="000"/>
    <x v="2"/>
    <x v="0"/>
  </r>
  <r>
    <d v="2011-12-13T00:00:00"/>
    <s v="016-2220-000"/>
    <s v="Beer Sales"/>
    <n v="200.48999999999998"/>
    <n v="0"/>
    <s v="Daily Sales Import"/>
    <n v="-200.48999999999998"/>
    <n v="200.48999999999998"/>
    <x v="0"/>
    <s v="2220"/>
    <s v="000"/>
    <x v="2"/>
    <x v="0"/>
  </r>
  <r>
    <d v="2011-12-13T00:00:00"/>
    <s v="016-2230-000"/>
    <s v="Wine Sales"/>
    <n v="102.28500000000001"/>
    <n v="0"/>
    <s v="Daily Sales Import"/>
    <n v="-102.28500000000001"/>
    <n v="102.28500000000001"/>
    <x v="0"/>
    <s v="2230"/>
    <s v="000"/>
    <x v="2"/>
    <x v="0"/>
  </r>
  <r>
    <d v="2011-12-14T00:00:00"/>
    <s v="016-2100-000"/>
    <s v="Food Sales"/>
    <n v="2667.2559999999999"/>
    <n v="0"/>
    <s v="Daily Sales Import"/>
    <n v="-2667.2559999999999"/>
    <n v="2667.2559999999999"/>
    <x v="0"/>
    <s v="2100"/>
    <s v="000"/>
    <x v="2"/>
    <x v="0"/>
  </r>
  <r>
    <d v="2011-12-14T00:00:00"/>
    <s v="016-2210-000"/>
    <s v="Liquor Sales"/>
    <n v="865.94999999999993"/>
    <n v="0"/>
    <s v="Daily Sales Import"/>
    <n v="-865.94999999999993"/>
    <n v="865.94999999999993"/>
    <x v="0"/>
    <s v="2210"/>
    <s v="000"/>
    <x v="2"/>
    <x v="0"/>
  </r>
  <r>
    <d v="2011-12-14T00:00:00"/>
    <s v="016-2220-000"/>
    <s v="Beer Sales"/>
    <n v="113.85000000000001"/>
    <n v="0"/>
    <s v="Daily Sales Import"/>
    <n v="-113.85000000000001"/>
    <n v="113.85000000000001"/>
    <x v="0"/>
    <s v="2220"/>
    <s v="000"/>
    <x v="2"/>
    <x v="0"/>
  </r>
  <r>
    <d v="2011-12-14T00:00:00"/>
    <s v="016-2230-000"/>
    <s v="Wine Sales"/>
    <n v="60.695"/>
    <n v="0"/>
    <s v="Daily Sales Import"/>
    <n v="-60.695"/>
    <n v="60.695"/>
    <x v="0"/>
    <s v="2230"/>
    <s v="000"/>
    <x v="2"/>
    <x v="0"/>
  </r>
  <r>
    <d v="2011-12-15T00:00:00"/>
    <s v="016-2100-000"/>
    <s v="Food Sales"/>
    <n v="4217.5559999999996"/>
    <n v="0"/>
    <s v="Daily Sales Import"/>
    <n v="-4217.5559999999996"/>
    <n v="4217.5559999999996"/>
    <x v="0"/>
    <s v="2100"/>
    <s v="000"/>
    <x v="2"/>
    <x v="0"/>
  </r>
  <r>
    <d v="2011-12-15T00:00:00"/>
    <s v="016-2210-000"/>
    <s v="Liquor Sales"/>
    <n v="1573.8839999999998"/>
    <n v="0"/>
    <s v="Daily Sales Import"/>
    <n v="-1573.8839999999998"/>
    <n v="1573.8839999999998"/>
    <x v="0"/>
    <s v="2210"/>
    <s v="000"/>
    <x v="2"/>
    <x v="0"/>
  </r>
  <r>
    <d v="2011-12-15T00:00:00"/>
    <s v="016-2220-000"/>
    <s v="Beer Sales"/>
    <n v="385.15500000000003"/>
    <n v="0"/>
    <s v="Daily Sales Import"/>
    <n v="-385.15500000000003"/>
    <n v="385.15500000000003"/>
    <x v="0"/>
    <s v="2220"/>
    <s v="000"/>
    <x v="2"/>
    <x v="0"/>
  </r>
  <r>
    <d v="2011-12-15T00:00:00"/>
    <s v="016-2230-000"/>
    <s v="Wine Sales"/>
    <n v="101.00700000000001"/>
    <n v="0"/>
    <s v="Daily Sales Import"/>
    <n v="-101.00700000000001"/>
    <n v="101.00700000000001"/>
    <x v="0"/>
    <s v="2230"/>
    <s v="000"/>
    <x v="2"/>
    <x v="0"/>
  </r>
  <r>
    <d v="2011-12-16T00:00:00"/>
    <s v="016-2100-000"/>
    <s v="Food Sales"/>
    <n v="6371.1185999999998"/>
    <n v="0"/>
    <s v="Daily Sales Import"/>
    <n v="-6371.1185999999998"/>
    <n v="6371.1185999999998"/>
    <x v="0"/>
    <s v="2100"/>
    <s v="000"/>
    <x v="2"/>
    <x v="0"/>
  </r>
  <r>
    <d v="2011-12-16T00:00:00"/>
    <s v="016-2210-000"/>
    <s v="Liquor Sales"/>
    <n v="2735.3010000000004"/>
    <n v="0"/>
    <s v="Daily Sales Import"/>
    <n v="-2735.3010000000004"/>
    <n v="2735.3010000000004"/>
    <x v="0"/>
    <s v="2210"/>
    <s v="000"/>
    <x v="2"/>
    <x v="0"/>
  </r>
  <r>
    <d v="2011-12-16T00:00:00"/>
    <s v="016-2220-000"/>
    <s v="Beer Sales"/>
    <n v="430.96499999999997"/>
    <n v="0"/>
    <s v="Daily Sales Import"/>
    <n v="-430.96499999999997"/>
    <n v="430.96499999999997"/>
    <x v="0"/>
    <s v="2220"/>
    <s v="000"/>
    <x v="2"/>
    <x v="0"/>
  </r>
  <r>
    <d v="2011-12-16T00:00:00"/>
    <s v="016-2230-000"/>
    <s v="Wine Sales"/>
    <n v="122.86400000000002"/>
    <n v="0"/>
    <s v="Daily Sales Import"/>
    <n v="-122.86400000000002"/>
    <n v="122.86400000000002"/>
    <x v="0"/>
    <s v="2230"/>
    <s v="000"/>
    <x v="2"/>
    <x v="0"/>
  </r>
  <r>
    <d v="2011-12-17T00:00:00"/>
    <s v="016-2100-000"/>
    <s v="Food Sales"/>
    <n v="9873.6792000000005"/>
    <n v="0"/>
    <s v="Daily Sales Import"/>
    <n v="-9873.6792000000005"/>
    <n v="9873.6792000000005"/>
    <x v="0"/>
    <s v="2100"/>
    <s v="000"/>
    <x v="2"/>
    <x v="0"/>
  </r>
  <r>
    <d v="2011-12-17T00:00:00"/>
    <s v="016-2210-000"/>
    <s v="Liquor Sales"/>
    <n v="2923.3548000000001"/>
    <n v="0"/>
    <s v="Daily Sales Import"/>
    <n v="-2923.3548000000001"/>
    <n v="2923.3548000000001"/>
    <x v="0"/>
    <s v="2210"/>
    <s v="000"/>
    <x v="2"/>
    <x v="0"/>
  </r>
  <r>
    <d v="2011-12-17T00:00:00"/>
    <s v="016-2220-000"/>
    <s v="Beer Sales"/>
    <n v="376.13249999999999"/>
    <n v="0"/>
    <s v="Daily Sales Import"/>
    <n v="-376.13249999999999"/>
    <n v="376.13249999999999"/>
    <x v="0"/>
    <s v="2220"/>
    <s v="000"/>
    <x v="2"/>
    <x v="0"/>
  </r>
  <r>
    <d v="2011-12-17T00:00:00"/>
    <s v="016-2230-000"/>
    <s v="Wine Sales"/>
    <n v="496.24799999999999"/>
    <n v="0"/>
    <s v="Daily Sales Import"/>
    <n v="-496.24799999999999"/>
    <n v="496.24799999999999"/>
    <x v="0"/>
    <s v="2230"/>
    <s v="000"/>
    <x v="2"/>
    <x v="0"/>
  </r>
  <r>
    <d v="2011-12-18T00:00:00"/>
    <s v="016-2100-000"/>
    <s v="Food Sales"/>
    <n v="3133.4751000000001"/>
    <n v="0"/>
    <s v="Daily Sales Import"/>
    <n v="-3133.4751000000001"/>
    <n v="3133.4751000000001"/>
    <x v="0"/>
    <s v="2100"/>
    <s v="000"/>
    <x v="2"/>
    <x v="0"/>
  </r>
  <r>
    <d v="2011-12-18T00:00:00"/>
    <s v="016-2210-000"/>
    <s v="Liquor Sales"/>
    <n v="750.57650000000001"/>
    <n v="0"/>
    <s v="Daily Sales Import"/>
    <n v="-750.57650000000001"/>
    <n v="750.57650000000001"/>
    <x v="0"/>
    <s v="2210"/>
    <s v="000"/>
    <x v="2"/>
    <x v="0"/>
  </r>
  <r>
    <d v="2011-12-18T00:00:00"/>
    <s v="016-2220-000"/>
    <s v="Beer Sales"/>
    <n v="170.74799999999999"/>
    <n v="0"/>
    <s v="Daily Sales Import"/>
    <n v="-170.74799999999999"/>
    <n v="170.74799999999999"/>
    <x v="0"/>
    <s v="2220"/>
    <s v="000"/>
    <x v="2"/>
    <x v="0"/>
  </r>
  <r>
    <d v="2011-12-18T00:00:00"/>
    <s v="016-2230-000"/>
    <s v="Wine Sales"/>
    <n v="75.189000000000007"/>
    <n v="0"/>
    <s v="Daily Sales Import"/>
    <n v="-75.189000000000007"/>
    <n v="75.189000000000007"/>
    <x v="0"/>
    <s v="2230"/>
    <s v="000"/>
    <x v="2"/>
    <x v="0"/>
  </r>
  <r>
    <d v="2011-12-12T00:00:00"/>
    <s v="017-2100-000"/>
    <s v="Food Sales"/>
    <n v="3402.4650000000006"/>
    <n v="0"/>
    <s v="Daily Sales Import"/>
    <n v="-3402.4650000000006"/>
    <n v="3402.4650000000006"/>
    <x v="1"/>
    <s v="2100"/>
    <s v="000"/>
    <x v="2"/>
    <x v="0"/>
  </r>
  <r>
    <d v="2011-12-12T00:00:00"/>
    <s v="017-2210-000"/>
    <s v="Liquor Sales"/>
    <n v="936.88049999999998"/>
    <n v="0"/>
    <s v="Daily Sales Import"/>
    <n v="-936.88049999999998"/>
    <n v="936.88049999999998"/>
    <x v="1"/>
    <s v="2210"/>
    <s v="000"/>
    <x v="2"/>
    <x v="0"/>
  </r>
  <r>
    <d v="2011-12-12T00:00:00"/>
    <s v="017-2220-000"/>
    <s v="Beer Sales"/>
    <n v="448.38"/>
    <n v="0"/>
    <s v="Daily Sales Import"/>
    <n v="-448.38"/>
    <n v="448.38"/>
    <x v="1"/>
    <s v="2220"/>
    <s v="000"/>
    <x v="2"/>
    <x v="0"/>
  </r>
  <r>
    <d v="2011-12-12T00:00:00"/>
    <s v="017-2230-000"/>
    <s v="Wine Sales"/>
    <n v="248.89500000000001"/>
    <n v="0"/>
    <s v="Daily Sales Import"/>
    <n v="-248.89500000000001"/>
    <n v="248.89500000000001"/>
    <x v="1"/>
    <s v="2230"/>
    <s v="000"/>
    <x v="2"/>
    <x v="0"/>
  </r>
  <r>
    <d v="2011-12-13T00:00:00"/>
    <s v="017-2100-000"/>
    <s v="Food Sales"/>
    <n v="6352.5344999999998"/>
    <n v="0"/>
    <s v="Daily Sales Import"/>
    <n v="-6352.5344999999998"/>
    <n v="6352.5344999999998"/>
    <x v="1"/>
    <s v="2100"/>
    <s v="000"/>
    <x v="2"/>
    <x v="0"/>
  </r>
  <r>
    <d v="2011-12-13T00:00:00"/>
    <s v="017-2210-000"/>
    <s v="Liquor Sales"/>
    <n v="1865.682"/>
    <n v="0"/>
    <s v="Daily Sales Import"/>
    <n v="-1865.682"/>
    <n v="1865.682"/>
    <x v="1"/>
    <s v="2210"/>
    <s v="000"/>
    <x v="2"/>
    <x v="0"/>
  </r>
  <r>
    <d v="2011-12-13T00:00:00"/>
    <s v="017-2220-000"/>
    <s v="Beer Sales"/>
    <n v="595.69999999999993"/>
    <n v="0"/>
    <s v="Daily Sales Import"/>
    <n v="-595.69999999999993"/>
    <n v="595.69999999999993"/>
    <x v="1"/>
    <s v="2220"/>
    <s v="000"/>
    <x v="2"/>
    <x v="0"/>
  </r>
  <r>
    <d v="2011-12-13T00:00:00"/>
    <s v="017-2230-000"/>
    <s v="Wine Sales"/>
    <n v="116.35800000000002"/>
    <n v="0"/>
    <s v="Daily Sales Import"/>
    <n v="-116.35800000000002"/>
    <n v="116.35800000000002"/>
    <x v="1"/>
    <s v="2230"/>
    <s v="000"/>
    <x v="2"/>
    <x v="0"/>
  </r>
  <r>
    <d v="2011-12-14T00:00:00"/>
    <s v="017-2100-000"/>
    <s v="Food Sales"/>
    <n v="7462.1095999999998"/>
    <n v="0"/>
    <s v="Daily Sales Import"/>
    <n v="-7462.1095999999998"/>
    <n v="7462.1095999999998"/>
    <x v="1"/>
    <s v="2100"/>
    <s v="000"/>
    <x v="2"/>
    <x v="0"/>
  </r>
  <r>
    <d v="2011-12-14T00:00:00"/>
    <s v="017-2210-000"/>
    <s v="Liquor Sales"/>
    <n v="1539.912"/>
    <n v="0"/>
    <s v="Daily Sales Import"/>
    <n v="-1539.912"/>
    <n v="1539.912"/>
    <x v="1"/>
    <s v="2210"/>
    <s v="000"/>
    <x v="2"/>
    <x v="0"/>
  </r>
  <r>
    <d v="2011-12-14T00:00:00"/>
    <s v="017-2220-000"/>
    <s v="Beer Sales"/>
    <n v="894.66000000000008"/>
    <n v="0"/>
    <s v="Daily Sales Import"/>
    <n v="-894.66000000000008"/>
    <n v="894.66000000000008"/>
    <x v="1"/>
    <s v="2220"/>
    <s v="000"/>
    <x v="2"/>
    <x v="0"/>
  </r>
  <r>
    <d v="2011-12-14T00:00:00"/>
    <s v="017-2230-000"/>
    <s v="Wine Sales"/>
    <n v="131.68799999999999"/>
    <n v="0"/>
    <s v="Daily Sales Import"/>
    <n v="-131.68799999999999"/>
    <n v="131.68799999999999"/>
    <x v="1"/>
    <s v="2230"/>
    <s v="000"/>
    <x v="2"/>
    <x v="0"/>
  </r>
  <r>
    <d v="2011-12-15T00:00:00"/>
    <s v="017-2100-000"/>
    <s v="Food Sales"/>
    <n v="8226.4569999999985"/>
    <n v="0"/>
    <s v="Daily Sales Import"/>
    <n v="-8226.4569999999985"/>
    <n v="8226.4569999999985"/>
    <x v="1"/>
    <s v="2100"/>
    <s v="000"/>
    <x v="2"/>
    <x v="0"/>
  </r>
  <r>
    <d v="2011-12-15T00:00:00"/>
    <s v="017-2210-000"/>
    <s v="Liquor Sales"/>
    <n v="1794.2925"/>
    <n v="0"/>
    <s v="Daily Sales Import"/>
    <n v="-1794.2925"/>
    <n v="1794.2925"/>
    <x v="1"/>
    <s v="2210"/>
    <s v="000"/>
    <x v="2"/>
    <x v="0"/>
  </r>
  <r>
    <d v="2011-12-15T00:00:00"/>
    <s v="017-2220-000"/>
    <s v="Beer Sales"/>
    <n v="499.47750000000002"/>
    <n v="0"/>
    <s v="Daily Sales Import"/>
    <n v="-499.47750000000002"/>
    <n v="499.47750000000002"/>
    <x v="1"/>
    <s v="2220"/>
    <s v="000"/>
    <x v="2"/>
    <x v="0"/>
  </r>
  <r>
    <d v="2011-12-15T00:00:00"/>
    <s v="017-2230-000"/>
    <s v="Wine Sales"/>
    <n v="134.01300000000001"/>
    <n v="0"/>
    <s v="Daily Sales Import"/>
    <n v="-134.01300000000001"/>
    <n v="134.01300000000001"/>
    <x v="1"/>
    <s v="2230"/>
    <s v="000"/>
    <x v="2"/>
    <x v="0"/>
  </r>
  <r>
    <d v="2011-12-16T00:00:00"/>
    <s v="017-2100-000"/>
    <s v="Food Sales"/>
    <n v="10829.412"/>
    <n v="0"/>
    <s v="Daily Sales Import"/>
    <n v="-10829.412"/>
    <n v="10829.412"/>
    <x v="1"/>
    <s v="2100"/>
    <s v="000"/>
    <x v="2"/>
    <x v="0"/>
  </r>
  <r>
    <d v="2011-12-16T00:00:00"/>
    <s v="017-2210-000"/>
    <s v="Liquor Sales"/>
    <n v="4349.2965000000004"/>
    <n v="0"/>
    <s v="Daily Sales Import"/>
    <n v="-4349.2965000000004"/>
    <n v="4349.2965000000004"/>
    <x v="1"/>
    <s v="2210"/>
    <s v="000"/>
    <x v="2"/>
    <x v="0"/>
  </r>
  <r>
    <d v="2011-12-16T00:00:00"/>
    <s v="017-2220-000"/>
    <s v="Beer Sales"/>
    <n v="968.17500000000007"/>
    <n v="0"/>
    <s v="Daily Sales Import"/>
    <n v="-968.17500000000007"/>
    <n v="968.17500000000007"/>
    <x v="1"/>
    <s v="2220"/>
    <s v="000"/>
    <x v="2"/>
    <x v="0"/>
  </r>
  <r>
    <d v="2011-12-16T00:00:00"/>
    <s v="017-2230-000"/>
    <s v="Wine Sales"/>
    <n v="309.51399999999995"/>
    <n v="0"/>
    <s v="Daily Sales Import"/>
    <n v="-309.51399999999995"/>
    <n v="309.51399999999995"/>
    <x v="1"/>
    <s v="2230"/>
    <s v="000"/>
    <x v="2"/>
    <x v="0"/>
  </r>
  <r>
    <d v="2011-12-17T00:00:00"/>
    <s v="017-2100-000"/>
    <s v="Food Sales"/>
    <n v="5493.47"/>
    <n v="0"/>
    <s v="Daily Sales Import"/>
    <n v="-5493.47"/>
    <n v="5493.47"/>
    <x v="1"/>
    <s v="2100"/>
    <s v="000"/>
    <x v="2"/>
    <x v="0"/>
  </r>
  <r>
    <d v="2011-12-17T00:00:00"/>
    <s v="017-2210-000"/>
    <s v="Liquor Sales"/>
    <n v="1034.9485"/>
    <n v="0"/>
    <s v="Daily Sales Import"/>
    <n v="-1034.9485"/>
    <n v="1034.9485"/>
    <x v="1"/>
    <s v="2210"/>
    <s v="000"/>
    <x v="2"/>
    <x v="0"/>
  </r>
  <r>
    <d v="2011-12-17T00:00:00"/>
    <s v="017-2220-000"/>
    <s v="Beer Sales"/>
    <n v="272.41249999999997"/>
    <n v="0"/>
    <s v="Daily Sales Import"/>
    <n v="-272.41249999999997"/>
    <n v="272.41249999999997"/>
    <x v="1"/>
    <s v="2220"/>
    <s v="000"/>
    <x v="2"/>
    <x v="0"/>
  </r>
  <r>
    <d v="2011-12-17T00:00:00"/>
    <s v="017-2230-000"/>
    <s v="Wine Sales"/>
    <n v="143.54300000000001"/>
    <n v="0"/>
    <s v="Daily Sales Import"/>
    <n v="-143.54300000000001"/>
    <n v="143.54300000000001"/>
    <x v="1"/>
    <s v="2230"/>
    <s v="000"/>
    <x v="2"/>
    <x v="0"/>
  </r>
  <r>
    <d v="2011-12-18T00:00:00"/>
    <s v="017-2100-000"/>
    <s v="Food Sales"/>
    <n v="4686.25"/>
    <n v="0"/>
    <s v="Daily Sales Import"/>
    <n v="-4686.25"/>
    <n v="4686.25"/>
    <x v="1"/>
    <s v="2100"/>
    <s v="000"/>
    <x v="2"/>
    <x v="0"/>
  </r>
  <r>
    <d v="2011-12-18T00:00:00"/>
    <s v="017-2210-000"/>
    <s v="Liquor Sales"/>
    <n v="653.60249999999996"/>
    <n v="0"/>
    <s v="Daily Sales Import"/>
    <n v="-653.60249999999996"/>
    <n v="653.60249999999996"/>
    <x v="1"/>
    <s v="2210"/>
    <s v="000"/>
    <x v="2"/>
    <x v="0"/>
  </r>
  <r>
    <d v="2011-12-18T00:00:00"/>
    <s v="017-2220-000"/>
    <s v="Beer Sales"/>
    <n v="149.6"/>
    <n v="0"/>
    <s v="Daily Sales Import"/>
    <n v="-149.6"/>
    <n v="149.6"/>
    <x v="1"/>
    <s v="2220"/>
    <s v="000"/>
    <x v="2"/>
    <x v="0"/>
  </r>
  <r>
    <d v="2011-12-18T00:00:00"/>
    <s v="017-2230-000"/>
    <s v="Wine Sales"/>
    <n v="84.581999999999994"/>
    <n v="0"/>
    <s v="Daily Sales Import"/>
    <n v="-84.581999999999994"/>
    <n v="84.581999999999994"/>
    <x v="1"/>
    <s v="2230"/>
    <s v="000"/>
    <x v="2"/>
    <x v="0"/>
  </r>
  <r>
    <d v="2011-12-12T00:00:00"/>
    <s v="018-2100-000"/>
    <s v="Food Sales"/>
    <n v="2617.7689999999998"/>
    <n v="0"/>
    <s v="Daily Sales Import"/>
    <n v="-2617.7689999999998"/>
    <n v="2617.7689999999998"/>
    <x v="2"/>
    <s v="2100"/>
    <s v="000"/>
    <x v="2"/>
    <x v="0"/>
  </r>
  <r>
    <d v="2011-12-12T00:00:00"/>
    <s v="018-2210-000"/>
    <s v="Liquor Sales"/>
    <n v="438.68000000000006"/>
    <n v="0"/>
    <s v="Daily Sales Import"/>
    <n v="-438.68000000000006"/>
    <n v="438.68000000000006"/>
    <x v="2"/>
    <s v="2210"/>
    <s v="000"/>
    <x v="2"/>
    <x v="0"/>
  </r>
  <r>
    <d v="2011-12-12T00:00:00"/>
    <s v="018-2220-000"/>
    <s v="Beer Sales"/>
    <n v="79.738500000000002"/>
    <n v="0"/>
    <s v="Daily Sales Import"/>
    <n v="-79.738500000000002"/>
    <n v="79.738500000000002"/>
    <x v="2"/>
    <s v="2220"/>
    <s v="000"/>
    <x v="2"/>
    <x v="0"/>
  </r>
  <r>
    <d v="2011-12-12T00:00:00"/>
    <s v="018-2230-000"/>
    <s v="Wine Sales"/>
    <n v="38.448"/>
    <n v="0"/>
    <s v="Daily Sales Import"/>
    <n v="-38.448"/>
    <n v="38.448"/>
    <x v="2"/>
    <s v="2230"/>
    <s v="000"/>
    <x v="2"/>
    <x v="0"/>
  </r>
  <r>
    <d v="2011-12-13T00:00:00"/>
    <s v="018-2100-000"/>
    <s v="Food Sales"/>
    <n v="4375.7119999999995"/>
    <n v="0"/>
    <s v="Daily Sales Import"/>
    <n v="-4375.7119999999995"/>
    <n v="4375.7119999999995"/>
    <x v="2"/>
    <s v="2100"/>
    <s v="000"/>
    <x v="2"/>
    <x v="0"/>
  </r>
  <r>
    <d v="2011-12-13T00:00:00"/>
    <s v="018-2210-000"/>
    <s v="Liquor Sales"/>
    <n v="668.25199999999995"/>
    <n v="0"/>
    <s v="Daily Sales Import"/>
    <n v="-668.25199999999995"/>
    <n v="668.25199999999995"/>
    <x v="2"/>
    <s v="2210"/>
    <s v="000"/>
    <x v="2"/>
    <x v="0"/>
  </r>
  <r>
    <d v="2011-12-13T00:00:00"/>
    <s v="018-2220-000"/>
    <s v="Beer Sales"/>
    <n v="154.4025"/>
    <n v="0"/>
    <s v="Daily Sales Import"/>
    <n v="-154.4025"/>
    <n v="154.4025"/>
    <x v="2"/>
    <s v="2220"/>
    <s v="000"/>
    <x v="2"/>
    <x v="0"/>
  </r>
  <r>
    <d v="2011-12-13T00:00:00"/>
    <s v="018-2230-000"/>
    <s v="Wine Sales"/>
    <n v="52.965999999999994"/>
    <n v="0"/>
    <s v="Daily Sales Import"/>
    <n v="-52.965999999999994"/>
    <n v="52.965999999999994"/>
    <x v="2"/>
    <s v="2230"/>
    <s v="000"/>
    <x v="2"/>
    <x v="0"/>
  </r>
  <r>
    <d v="2011-12-14T00:00:00"/>
    <s v="018-2100-000"/>
    <s v="Food Sales"/>
    <n v="4127.3364999999994"/>
    <n v="0"/>
    <s v="Daily Sales Import"/>
    <n v="-4127.3364999999994"/>
    <n v="4127.3364999999994"/>
    <x v="2"/>
    <s v="2100"/>
    <s v="000"/>
    <x v="2"/>
    <x v="0"/>
  </r>
  <r>
    <d v="2011-12-14T00:00:00"/>
    <s v="018-2210-000"/>
    <s v="Liquor Sales"/>
    <n v="483.74899999999997"/>
    <n v="0"/>
    <s v="Daily Sales Import"/>
    <n v="-483.74899999999997"/>
    <n v="483.74899999999997"/>
    <x v="2"/>
    <s v="2210"/>
    <s v="000"/>
    <x v="2"/>
    <x v="0"/>
  </r>
  <r>
    <d v="2011-12-14T00:00:00"/>
    <s v="018-2220-000"/>
    <s v="Beer Sales"/>
    <n v="293.8845"/>
    <n v="0"/>
    <s v="Daily Sales Import"/>
    <n v="-293.8845"/>
    <n v="293.8845"/>
    <x v="2"/>
    <s v="2220"/>
    <s v="000"/>
    <x v="2"/>
    <x v="0"/>
  </r>
  <r>
    <d v="2011-12-14T00:00:00"/>
    <s v="018-2230-000"/>
    <s v="Wine Sales"/>
    <n v="107.245"/>
    <n v="0"/>
    <s v="Daily Sales Import"/>
    <n v="-107.245"/>
    <n v="107.245"/>
    <x v="2"/>
    <s v="2230"/>
    <s v="000"/>
    <x v="2"/>
    <x v="0"/>
  </r>
  <r>
    <d v="2011-12-15T00:00:00"/>
    <s v="018-2100-000"/>
    <s v="Food Sales"/>
    <n v="3210.6120000000001"/>
    <n v="0"/>
    <s v="Daily Sales Import"/>
    <n v="-3210.6120000000001"/>
    <n v="3210.6120000000001"/>
    <x v="2"/>
    <s v="2100"/>
    <s v="000"/>
    <x v="2"/>
    <x v="0"/>
  </r>
  <r>
    <d v="2011-12-15T00:00:00"/>
    <s v="018-2210-000"/>
    <s v="Liquor Sales"/>
    <n v="732.97200000000009"/>
    <n v="0"/>
    <s v="Daily Sales Import"/>
    <n v="-732.97200000000009"/>
    <n v="732.97200000000009"/>
    <x v="2"/>
    <s v="2210"/>
    <s v="000"/>
    <x v="2"/>
    <x v="0"/>
  </r>
  <r>
    <d v="2011-12-15T00:00:00"/>
    <s v="018-2220-000"/>
    <s v="Beer Sales"/>
    <n v="103.2805"/>
    <n v="0"/>
    <s v="Daily Sales Import"/>
    <n v="-103.2805"/>
    <n v="103.2805"/>
    <x v="2"/>
    <s v="2220"/>
    <s v="000"/>
    <x v="2"/>
    <x v="0"/>
  </r>
  <r>
    <d v="2011-12-15T00:00:00"/>
    <s v="018-2230-000"/>
    <s v="Wine Sales"/>
    <n v="90.674999999999997"/>
    <n v="0"/>
    <s v="Daily Sales Import"/>
    <n v="-90.674999999999997"/>
    <n v="90.674999999999997"/>
    <x v="2"/>
    <s v="2230"/>
    <s v="000"/>
    <x v="2"/>
    <x v="0"/>
  </r>
  <r>
    <d v="2011-12-16T00:00:00"/>
    <s v="018-2100-000"/>
    <s v="Food Sales"/>
    <n v="7344.1480000000001"/>
    <n v="0"/>
    <s v="Daily Sales Import"/>
    <n v="-7344.1480000000001"/>
    <n v="7344.1480000000001"/>
    <x v="2"/>
    <s v="2100"/>
    <s v="000"/>
    <x v="2"/>
    <x v="0"/>
  </r>
  <r>
    <d v="2011-12-16T00:00:00"/>
    <s v="018-2210-000"/>
    <s v="Liquor Sales"/>
    <n v="1692.6734999999999"/>
    <n v="0"/>
    <s v="Daily Sales Import"/>
    <n v="-1692.6734999999999"/>
    <n v="1692.6734999999999"/>
    <x v="2"/>
    <s v="2210"/>
    <s v="000"/>
    <x v="2"/>
    <x v="0"/>
  </r>
  <r>
    <d v="2011-12-16T00:00:00"/>
    <s v="018-2220-000"/>
    <s v="Beer Sales"/>
    <n v="583.64200000000005"/>
    <n v="0"/>
    <s v="Daily Sales Import"/>
    <n v="-583.64200000000005"/>
    <n v="583.64200000000005"/>
    <x v="2"/>
    <s v="2220"/>
    <s v="000"/>
    <x v="2"/>
    <x v="0"/>
  </r>
  <r>
    <d v="2011-12-16T00:00:00"/>
    <s v="018-2230-000"/>
    <s v="Wine Sales"/>
    <n v="122.854"/>
    <n v="0"/>
    <s v="Daily Sales Import"/>
    <n v="-122.854"/>
    <n v="122.854"/>
    <x v="2"/>
    <s v="2230"/>
    <s v="000"/>
    <x v="2"/>
    <x v="0"/>
  </r>
  <r>
    <d v="2011-12-17T00:00:00"/>
    <s v="018-2100-000"/>
    <s v="Food Sales"/>
    <n v="10860.557999999999"/>
    <n v="0"/>
    <s v="Daily Sales Import"/>
    <n v="-10860.557999999999"/>
    <n v="10860.557999999999"/>
    <x v="2"/>
    <s v="2100"/>
    <s v="000"/>
    <x v="2"/>
    <x v="0"/>
  </r>
  <r>
    <d v="2011-12-17T00:00:00"/>
    <s v="018-2210-000"/>
    <s v="Liquor Sales"/>
    <n v="1317.3579999999999"/>
    <n v="0"/>
    <s v="Daily Sales Import"/>
    <n v="-1317.3579999999999"/>
    <n v="1317.3579999999999"/>
    <x v="2"/>
    <s v="2210"/>
    <s v="000"/>
    <x v="2"/>
    <x v="0"/>
  </r>
  <r>
    <d v="2011-12-17T00:00:00"/>
    <s v="018-2220-000"/>
    <s v="Beer Sales"/>
    <n v="400.86899999999997"/>
    <n v="0"/>
    <s v="Daily Sales Import"/>
    <n v="-400.86899999999997"/>
    <n v="400.86899999999997"/>
    <x v="2"/>
    <s v="2220"/>
    <s v="000"/>
    <x v="2"/>
    <x v="0"/>
  </r>
  <r>
    <d v="2011-12-17T00:00:00"/>
    <s v="018-2230-000"/>
    <s v="Wine Sales"/>
    <n v="78.224999999999994"/>
    <n v="0"/>
    <s v="Daily Sales Import"/>
    <n v="-78.224999999999994"/>
    <n v="78.224999999999994"/>
    <x v="2"/>
    <s v="2230"/>
    <s v="000"/>
    <x v="2"/>
    <x v="0"/>
  </r>
  <r>
    <d v="2011-12-18T00:00:00"/>
    <s v="018-2100-000"/>
    <s v="Food Sales"/>
    <n v="9054.6720000000005"/>
    <n v="0"/>
    <s v="Daily Sales Import"/>
    <n v="-9054.6720000000005"/>
    <n v="9054.6720000000005"/>
    <x v="2"/>
    <s v="2100"/>
    <s v="000"/>
    <x v="2"/>
    <x v="0"/>
  </r>
  <r>
    <d v="2011-12-18T00:00:00"/>
    <s v="018-2210-000"/>
    <s v="Liquor Sales"/>
    <n v="897.92100000000005"/>
    <n v="0"/>
    <s v="Daily Sales Import"/>
    <n v="-897.92100000000005"/>
    <n v="897.92100000000005"/>
    <x v="2"/>
    <s v="2210"/>
    <s v="000"/>
    <x v="2"/>
    <x v="0"/>
  </r>
  <r>
    <d v="2011-12-18T00:00:00"/>
    <s v="018-2220-000"/>
    <s v="Beer Sales"/>
    <n v="147.88800000000001"/>
    <n v="0"/>
    <s v="Daily Sales Import"/>
    <n v="-147.88800000000001"/>
    <n v="147.88800000000001"/>
    <x v="2"/>
    <s v="2220"/>
    <s v="000"/>
    <x v="2"/>
    <x v="0"/>
  </r>
  <r>
    <d v="2011-12-18T00:00:00"/>
    <s v="018-2230-000"/>
    <s v="Wine Sales"/>
    <n v="89.175999999999988"/>
    <n v="0"/>
    <s v="Daily Sales Import"/>
    <n v="-89.175999999999988"/>
    <n v="89.175999999999988"/>
    <x v="2"/>
    <s v="2230"/>
    <s v="000"/>
    <x v="2"/>
    <x v="0"/>
  </r>
  <r>
    <d v="2011-12-19T00:00:00"/>
    <s v="016-2100-000"/>
    <s v="Food Sales"/>
    <n v="2816.0770000000002"/>
    <n v="0"/>
    <s v="Daily Sales Import"/>
    <n v="-2816.0770000000002"/>
    <n v="2816.0770000000002"/>
    <x v="0"/>
    <s v="2100"/>
    <s v="000"/>
    <x v="2"/>
    <x v="0"/>
  </r>
  <r>
    <d v="2011-12-19T00:00:00"/>
    <s v="016-2210-000"/>
    <s v="Liquor Sales"/>
    <n v="828.44399999999996"/>
    <n v="0"/>
    <s v="Daily Sales Import"/>
    <n v="-828.44399999999996"/>
    <n v="828.44399999999996"/>
    <x v="0"/>
    <s v="2210"/>
    <s v="000"/>
    <x v="2"/>
    <x v="0"/>
  </r>
  <r>
    <d v="2011-12-19T00:00:00"/>
    <s v="016-2220-000"/>
    <s v="Beer Sales"/>
    <n v="87.278999999999996"/>
    <n v="0"/>
    <s v="Daily Sales Import"/>
    <n v="-87.278999999999996"/>
    <n v="87.278999999999996"/>
    <x v="0"/>
    <s v="2220"/>
    <s v="000"/>
    <x v="2"/>
    <x v="0"/>
  </r>
  <r>
    <d v="2011-12-19T00:00:00"/>
    <s v="016-2230-000"/>
    <s v="Wine Sales"/>
    <n v="35.0625"/>
    <n v="0"/>
    <s v="Daily Sales Import"/>
    <n v="-35.0625"/>
    <n v="35.0625"/>
    <x v="0"/>
    <s v="2230"/>
    <s v="000"/>
    <x v="2"/>
    <x v="0"/>
  </r>
  <r>
    <d v="2011-12-20T00:00:00"/>
    <s v="016-2100-000"/>
    <s v="Food Sales"/>
    <n v="3336.4065999999998"/>
    <n v="0"/>
    <s v="Daily Sales Import"/>
    <n v="-3336.4065999999998"/>
    <n v="3336.4065999999998"/>
    <x v="0"/>
    <s v="2100"/>
    <s v="000"/>
    <x v="2"/>
    <x v="0"/>
  </r>
  <r>
    <d v="2011-12-20T00:00:00"/>
    <s v="016-2210-000"/>
    <s v="Liquor Sales"/>
    <n v="913.24800000000005"/>
    <n v="0"/>
    <s v="Daily Sales Import"/>
    <n v="-913.24800000000005"/>
    <n v="913.24800000000005"/>
    <x v="0"/>
    <s v="2210"/>
    <s v="000"/>
    <x v="2"/>
    <x v="0"/>
  </r>
  <r>
    <d v="2011-12-20T00:00:00"/>
    <s v="016-2220-000"/>
    <s v="Beer Sales"/>
    <n v="178.77600000000001"/>
    <n v="0"/>
    <s v="Daily Sales Import"/>
    <n v="-178.77600000000001"/>
    <n v="178.77600000000001"/>
    <x v="0"/>
    <s v="2220"/>
    <s v="000"/>
    <x v="2"/>
    <x v="0"/>
  </r>
  <r>
    <d v="2011-12-20T00:00:00"/>
    <s v="016-2230-000"/>
    <s v="Wine Sales"/>
    <n v="141.32300000000001"/>
    <n v="0"/>
    <s v="Daily Sales Import"/>
    <n v="-141.32300000000001"/>
    <n v="141.32300000000001"/>
    <x v="0"/>
    <s v="2230"/>
    <s v="000"/>
    <x v="2"/>
    <x v="0"/>
  </r>
  <r>
    <d v="2011-12-21T00:00:00"/>
    <s v="016-2100-000"/>
    <s v="Food Sales"/>
    <n v="4278.2817999999997"/>
    <n v="0"/>
    <s v="Daily Sales Import"/>
    <n v="-4278.2817999999997"/>
    <n v="4278.2817999999997"/>
    <x v="0"/>
    <s v="2100"/>
    <s v="000"/>
    <x v="2"/>
    <x v="0"/>
  </r>
  <r>
    <d v="2011-12-21T00:00:00"/>
    <s v="016-2210-000"/>
    <s v="Liquor Sales"/>
    <n v="724.52"/>
    <n v="0"/>
    <s v="Daily Sales Import"/>
    <n v="-724.52"/>
    <n v="724.52"/>
    <x v="0"/>
    <s v="2210"/>
    <s v="000"/>
    <x v="2"/>
    <x v="0"/>
  </r>
  <r>
    <d v="2011-12-21T00:00:00"/>
    <s v="016-2220-000"/>
    <s v="Beer Sales"/>
    <n v="179.29200000000003"/>
    <n v="0"/>
    <s v="Daily Sales Import"/>
    <n v="-179.29200000000003"/>
    <n v="179.29200000000003"/>
    <x v="0"/>
    <s v="2220"/>
    <s v="000"/>
    <x v="2"/>
    <x v="0"/>
  </r>
  <r>
    <d v="2011-12-21T00:00:00"/>
    <s v="016-2230-000"/>
    <s v="Wine Sales"/>
    <n v="106.99"/>
    <n v="0"/>
    <s v="Daily Sales Import"/>
    <n v="-106.99"/>
    <n v="106.99"/>
    <x v="0"/>
    <s v="2230"/>
    <s v="000"/>
    <x v="2"/>
    <x v="0"/>
  </r>
  <r>
    <d v="2011-12-22T00:00:00"/>
    <s v="016-2100-000"/>
    <s v="Food Sales"/>
    <n v="6199.0432000000001"/>
    <n v="0"/>
    <s v="Daily Sales Import"/>
    <n v="-6199.0432000000001"/>
    <n v="6199.0432000000001"/>
    <x v="0"/>
    <s v="2100"/>
    <s v="000"/>
    <x v="2"/>
    <x v="0"/>
  </r>
  <r>
    <d v="2011-12-22T00:00:00"/>
    <s v="016-2210-000"/>
    <s v="Liquor Sales"/>
    <n v="2312.0980000000004"/>
    <n v="0"/>
    <s v="Daily Sales Import"/>
    <n v="-2312.0980000000004"/>
    <n v="2312.0980000000004"/>
    <x v="0"/>
    <s v="2210"/>
    <s v="000"/>
    <x v="2"/>
    <x v="0"/>
  </r>
  <r>
    <d v="2011-12-22T00:00:00"/>
    <s v="016-2220-000"/>
    <s v="Beer Sales"/>
    <n v="307.79100000000005"/>
    <n v="0"/>
    <s v="Daily Sales Import"/>
    <n v="-307.79100000000005"/>
    <n v="307.79100000000005"/>
    <x v="0"/>
    <s v="2220"/>
    <s v="000"/>
    <x v="2"/>
    <x v="0"/>
  </r>
  <r>
    <d v="2011-12-22T00:00:00"/>
    <s v="016-2230-000"/>
    <s v="Wine Sales"/>
    <n v="135.48099999999999"/>
    <n v="0"/>
    <s v="Daily Sales Import"/>
    <n v="-135.48099999999999"/>
    <n v="135.48099999999999"/>
    <x v="0"/>
    <s v="2230"/>
    <s v="000"/>
    <x v="2"/>
    <x v="0"/>
  </r>
  <r>
    <d v="2011-12-23T00:00:00"/>
    <s v="016-2100-000"/>
    <s v="Food Sales"/>
    <n v="9344.503999999999"/>
    <n v="0"/>
    <s v="Daily Sales Import"/>
    <n v="-9344.503999999999"/>
    <n v="9344.503999999999"/>
    <x v="0"/>
    <s v="2100"/>
    <s v="000"/>
    <x v="2"/>
    <x v="0"/>
  </r>
  <r>
    <d v="2011-12-23T00:00:00"/>
    <s v="016-2210-000"/>
    <s v="Liquor Sales"/>
    <n v="2354.3939999999998"/>
    <n v="0"/>
    <s v="Daily Sales Import"/>
    <n v="-2354.3939999999998"/>
    <n v="2354.3939999999998"/>
    <x v="0"/>
    <s v="2210"/>
    <s v="000"/>
    <x v="2"/>
    <x v="0"/>
  </r>
  <r>
    <d v="2011-12-23T00:00:00"/>
    <s v="016-2220-000"/>
    <s v="Beer Sales"/>
    <n v="391.5"/>
    <n v="0"/>
    <s v="Daily Sales Import"/>
    <n v="-391.5"/>
    <n v="391.5"/>
    <x v="0"/>
    <s v="2220"/>
    <s v="000"/>
    <x v="2"/>
    <x v="0"/>
  </r>
  <r>
    <d v="2011-12-23T00:00:00"/>
    <s v="016-2230-000"/>
    <s v="Wine Sales"/>
    <n v="146.36150000000001"/>
    <n v="0"/>
    <s v="Daily Sales Import"/>
    <n v="-146.36150000000001"/>
    <n v="146.36150000000001"/>
    <x v="0"/>
    <s v="2230"/>
    <s v="000"/>
    <x v="2"/>
    <x v="0"/>
  </r>
  <r>
    <d v="2011-12-24T00:00:00"/>
    <s v="016-2100-000"/>
    <s v="Food Sales"/>
    <n v="5075.5157999999992"/>
    <n v="0"/>
    <s v="Daily Sales Import"/>
    <n v="-5075.5157999999992"/>
    <n v="5075.5157999999992"/>
    <x v="0"/>
    <s v="2100"/>
    <s v="000"/>
    <x v="2"/>
    <x v="0"/>
  </r>
  <r>
    <d v="2011-12-24T00:00:00"/>
    <s v="016-2210-000"/>
    <s v="Liquor Sales"/>
    <n v="1078.5749999999998"/>
    <n v="0"/>
    <s v="Daily Sales Import"/>
    <n v="-1078.5749999999998"/>
    <n v="1078.5749999999998"/>
    <x v="0"/>
    <s v="2210"/>
    <s v="000"/>
    <x v="2"/>
    <x v="0"/>
  </r>
  <r>
    <d v="2011-12-24T00:00:00"/>
    <s v="016-2220-000"/>
    <s v="Beer Sales"/>
    <n v="258.387"/>
    <n v="0"/>
    <s v="Daily Sales Import"/>
    <n v="-258.387"/>
    <n v="258.387"/>
    <x v="0"/>
    <s v="2220"/>
    <s v="000"/>
    <x v="2"/>
    <x v="0"/>
  </r>
  <r>
    <d v="2011-12-24T00:00:00"/>
    <s v="016-2230-000"/>
    <s v="Wine Sales"/>
    <n v="63.791999999999994"/>
    <n v="0"/>
    <s v="Daily Sales Import"/>
    <n v="-63.791999999999994"/>
    <n v="63.791999999999994"/>
    <x v="0"/>
    <s v="2230"/>
    <s v="000"/>
    <x v="2"/>
    <x v="0"/>
  </r>
  <r>
    <d v="2011-12-19T00:00:00"/>
    <s v="017-2100-000"/>
    <s v="Food Sales"/>
    <n v="6542.6220000000003"/>
    <n v="0"/>
    <s v="Daily Sales Import"/>
    <n v="-6542.6220000000003"/>
    <n v="6542.6220000000003"/>
    <x v="1"/>
    <s v="2100"/>
    <s v="000"/>
    <x v="2"/>
    <x v="0"/>
  </r>
  <r>
    <d v="2011-12-19T00:00:00"/>
    <s v="017-2210-000"/>
    <s v="Liquor Sales"/>
    <n v="1308.2919999999999"/>
    <n v="0"/>
    <s v="Daily Sales Import"/>
    <n v="-1308.2919999999999"/>
    <n v="1308.2919999999999"/>
    <x v="1"/>
    <s v="2210"/>
    <s v="000"/>
    <x v="2"/>
    <x v="0"/>
  </r>
  <r>
    <d v="2011-12-19T00:00:00"/>
    <s v="017-2220-000"/>
    <s v="Beer Sales"/>
    <n v="225.69749999999999"/>
    <n v="0"/>
    <s v="Daily Sales Import"/>
    <n v="-225.69749999999999"/>
    <n v="225.69749999999999"/>
    <x v="1"/>
    <s v="2220"/>
    <s v="000"/>
    <x v="2"/>
    <x v="0"/>
  </r>
  <r>
    <d v="2011-12-19T00:00:00"/>
    <s v="017-2230-000"/>
    <s v="Wine Sales"/>
    <n v="61.503999999999998"/>
    <n v="0"/>
    <s v="Daily Sales Import"/>
    <n v="-61.503999999999998"/>
    <n v="61.503999999999998"/>
    <x v="1"/>
    <s v="2230"/>
    <s v="000"/>
    <x v="2"/>
    <x v="0"/>
  </r>
  <r>
    <d v="2011-12-20T00:00:00"/>
    <s v="017-2100-000"/>
    <s v="Food Sales"/>
    <n v="6394.9500000000007"/>
    <n v="0"/>
    <s v="Daily Sales Import"/>
    <n v="-6394.9500000000007"/>
    <n v="6394.9500000000007"/>
    <x v="1"/>
    <s v="2100"/>
    <s v="000"/>
    <x v="2"/>
    <x v="0"/>
  </r>
  <r>
    <d v="2011-12-20T00:00:00"/>
    <s v="017-2210-000"/>
    <s v="Liquor Sales"/>
    <n v="1178.3520000000001"/>
    <n v="0"/>
    <s v="Daily Sales Import"/>
    <n v="-1178.3520000000001"/>
    <n v="1178.3520000000001"/>
    <x v="1"/>
    <s v="2210"/>
    <s v="000"/>
    <x v="2"/>
    <x v="0"/>
  </r>
  <r>
    <d v="2011-12-20T00:00:00"/>
    <s v="017-2220-000"/>
    <s v="Beer Sales"/>
    <n v="412.3125"/>
    <n v="0"/>
    <s v="Daily Sales Import"/>
    <n v="-412.3125"/>
    <n v="412.3125"/>
    <x v="1"/>
    <s v="2220"/>
    <s v="000"/>
    <x v="2"/>
    <x v="0"/>
  </r>
  <r>
    <d v="2011-12-20T00:00:00"/>
    <s v="017-2230-000"/>
    <s v="Wine Sales"/>
    <n v="125.07599999999999"/>
    <n v="0"/>
    <s v="Daily Sales Import"/>
    <n v="-125.07599999999999"/>
    <n v="125.07599999999999"/>
    <x v="1"/>
    <s v="2230"/>
    <s v="000"/>
    <x v="2"/>
    <x v="0"/>
  </r>
  <r>
    <d v="2011-12-21T00:00:00"/>
    <s v="017-2100-000"/>
    <s v="Food Sales"/>
    <n v="5903.5475000000006"/>
    <n v="0"/>
    <s v="Daily Sales Import"/>
    <n v="-5903.5475000000006"/>
    <n v="5903.5475000000006"/>
    <x v="1"/>
    <s v="2100"/>
    <s v="000"/>
    <x v="2"/>
    <x v="0"/>
  </r>
  <r>
    <d v="2011-12-21T00:00:00"/>
    <s v="017-2210-000"/>
    <s v="Liquor Sales"/>
    <n v="1287.1189999999999"/>
    <n v="0"/>
    <s v="Daily Sales Import"/>
    <n v="-1287.1189999999999"/>
    <n v="1287.1189999999999"/>
    <x v="1"/>
    <s v="2210"/>
    <s v="000"/>
    <x v="2"/>
    <x v="0"/>
  </r>
  <r>
    <d v="2011-12-21T00:00:00"/>
    <s v="017-2220-000"/>
    <s v="Beer Sales"/>
    <n v="349.68"/>
    <n v="0"/>
    <s v="Daily Sales Import"/>
    <n v="-349.68"/>
    <n v="349.68"/>
    <x v="1"/>
    <s v="2220"/>
    <s v="000"/>
    <x v="2"/>
    <x v="0"/>
  </r>
  <r>
    <d v="2011-12-21T00:00:00"/>
    <s v="017-2230-000"/>
    <s v="Wine Sales"/>
    <n v="124.19950000000001"/>
    <n v="0"/>
    <s v="Daily Sales Import"/>
    <n v="-124.19950000000001"/>
    <n v="124.19950000000001"/>
    <x v="1"/>
    <s v="2230"/>
    <s v="000"/>
    <x v="2"/>
    <x v="0"/>
  </r>
  <r>
    <d v="2011-12-22T00:00:00"/>
    <s v="017-2100-000"/>
    <s v="Food Sales"/>
    <n v="5563.3829999999998"/>
    <n v="0"/>
    <s v="Daily Sales Import"/>
    <n v="-5563.3829999999998"/>
    <n v="5563.3829999999998"/>
    <x v="1"/>
    <s v="2100"/>
    <s v="000"/>
    <x v="2"/>
    <x v="0"/>
  </r>
  <r>
    <d v="2011-12-22T00:00:00"/>
    <s v="017-2210-000"/>
    <s v="Liquor Sales"/>
    <n v="1214.829"/>
    <n v="0"/>
    <s v="Daily Sales Import"/>
    <n v="-1214.829"/>
    <n v="1214.829"/>
    <x v="1"/>
    <s v="2210"/>
    <s v="000"/>
    <x v="2"/>
    <x v="0"/>
  </r>
  <r>
    <d v="2011-12-22T00:00:00"/>
    <s v="017-2220-000"/>
    <s v="Beer Sales"/>
    <n v="229.89000000000001"/>
    <n v="0"/>
    <s v="Daily Sales Import"/>
    <n v="-229.89000000000001"/>
    <n v="229.89000000000001"/>
    <x v="1"/>
    <s v="2220"/>
    <s v="000"/>
    <x v="2"/>
    <x v="0"/>
  </r>
  <r>
    <d v="2011-12-22T00:00:00"/>
    <s v="017-2230-000"/>
    <s v="Wine Sales"/>
    <n v="106.92249999999999"/>
    <n v="0"/>
    <s v="Daily Sales Import"/>
    <n v="-106.92249999999999"/>
    <n v="106.92249999999999"/>
    <x v="1"/>
    <s v="2230"/>
    <s v="000"/>
    <x v="2"/>
    <x v="0"/>
  </r>
  <r>
    <d v="2011-12-23T00:00:00"/>
    <s v="017-2100-000"/>
    <s v="Food Sales"/>
    <n v="7802.4645"/>
    <n v="0"/>
    <s v="Daily Sales Import"/>
    <n v="-7802.4645"/>
    <n v="7802.4645"/>
    <x v="1"/>
    <s v="2100"/>
    <s v="000"/>
    <x v="2"/>
    <x v="0"/>
  </r>
  <r>
    <d v="2011-12-23T00:00:00"/>
    <s v="017-2210-000"/>
    <s v="Liquor Sales"/>
    <n v="1242.9480000000003"/>
    <n v="0"/>
    <s v="Daily Sales Import"/>
    <n v="-1242.9480000000003"/>
    <n v="1242.9480000000003"/>
    <x v="1"/>
    <s v="2210"/>
    <s v="000"/>
    <x v="2"/>
    <x v="0"/>
  </r>
  <r>
    <d v="2011-12-23T00:00:00"/>
    <s v="017-2220-000"/>
    <s v="Beer Sales"/>
    <n v="313.95"/>
    <n v="0"/>
    <s v="Daily Sales Import"/>
    <n v="-313.95"/>
    <n v="313.95"/>
    <x v="1"/>
    <s v="2220"/>
    <s v="000"/>
    <x v="2"/>
    <x v="0"/>
  </r>
  <r>
    <d v="2011-12-23T00:00:00"/>
    <s v="017-2230-000"/>
    <s v="Wine Sales"/>
    <n v="81.103499999999997"/>
    <n v="0"/>
    <s v="Daily Sales Import"/>
    <n v="-81.103499999999997"/>
    <n v="81.103499999999997"/>
    <x v="1"/>
    <s v="2230"/>
    <s v="000"/>
    <x v="2"/>
    <x v="0"/>
  </r>
  <r>
    <d v="2011-12-24T00:00:00"/>
    <s v="017-2100-000"/>
    <s v="Food Sales"/>
    <n v="3087.7440000000001"/>
    <n v="0"/>
    <s v="Daily Sales Import"/>
    <n v="-3087.7440000000001"/>
    <n v="3087.7440000000001"/>
    <x v="1"/>
    <s v="2100"/>
    <s v="000"/>
    <x v="2"/>
    <x v="0"/>
  </r>
  <r>
    <d v="2011-12-24T00:00:00"/>
    <s v="017-2210-000"/>
    <s v="Liquor Sales"/>
    <n v="668.19899999999996"/>
    <n v="0"/>
    <s v="Daily Sales Import"/>
    <n v="-668.19899999999996"/>
    <n v="668.19899999999996"/>
    <x v="1"/>
    <s v="2210"/>
    <s v="000"/>
    <x v="2"/>
    <x v="0"/>
  </r>
  <r>
    <d v="2011-12-24T00:00:00"/>
    <s v="017-2220-000"/>
    <s v="Beer Sales"/>
    <n v="78.710000000000008"/>
    <n v="0"/>
    <s v="Daily Sales Import"/>
    <n v="-78.710000000000008"/>
    <n v="78.710000000000008"/>
    <x v="1"/>
    <s v="2220"/>
    <s v="000"/>
    <x v="2"/>
    <x v="0"/>
  </r>
  <r>
    <d v="2011-12-24T00:00:00"/>
    <s v="017-2230-000"/>
    <s v="Wine Sales"/>
    <n v="20.057000000000002"/>
    <n v="0"/>
    <s v="Daily Sales Import"/>
    <n v="-20.057000000000002"/>
    <n v="20.057000000000002"/>
    <x v="1"/>
    <s v="2230"/>
    <s v="000"/>
    <x v="2"/>
    <x v="0"/>
  </r>
  <r>
    <d v="2011-12-19T00:00:00"/>
    <s v="018-2100-000"/>
    <s v="Food Sales"/>
    <n v="3684.0738000000006"/>
    <n v="0"/>
    <s v="Daily Sales Import"/>
    <n v="-3684.0738000000006"/>
    <n v="3684.0738000000006"/>
    <x v="2"/>
    <s v="2100"/>
    <s v="000"/>
    <x v="2"/>
    <x v="0"/>
  </r>
  <r>
    <d v="2011-12-19T00:00:00"/>
    <s v="018-2210-000"/>
    <s v="Liquor Sales"/>
    <n v="798.83999999999992"/>
    <n v="0"/>
    <s v="Daily Sales Import"/>
    <n v="-798.83999999999992"/>
    <n v="798.83999999999992"/>
    <x v="2"/>
    <s v="2210"/>
    <s v="000"/>
    <x v="2"/>
    <x v="0"/>
  </r>
  <r>
    <d v="2011-12-19T00:00:00"/>
    <s v="018-2220-000"/>
    <s v="Beer Sales"/>
    <n v="128.49199999999999"/>
    <n v="0"/>
    <s v="Daily Sales Import"/>
    <n v="-128.49199999999999"/>
    <n v="128.49199999999999"/>
    <x v="2"/>
    <s v="2220"/>
    <s v="000"/>
    <x v="2"/>
    <x v="0"/>
  </r>
  <r>
    <d v="2011-12-19T00:00:00"/>
    <s v="018-2230-000"/>
    <s v="Wine Sales"/>
    <n v="52.417499999999997"/>
    <n v="0"/>
    <s v="Daily Sales Import"/>
    <n v="-52.417499999999997"/>
    <n v="52.417499999999997"/>
    <x v="2"/>
    <s v="2230"/>
    <s v="000"/>
    <x v="2"/>
    <x v="0"/>
  </r>
  <r>
    <d v="2011-12-20T00:00:00"/>
    <s v="018-2100-000"/>
    <s v="Food Sales"/>
    <n v="3826.1323999999995"/>
    <n v="0"/>
    <s v="Daily Sales Import"/>
    <n v="-3826.1323999999995"/>
    <n v="3826.1323999999995"/>
    <x v="2"/>
    <s v="2100"/>
    <s v="000"/>
    <x v="2"/>
    <x v="0"/>
  </r>
  <r>
    <d v="2011-12-20T00:00:00"/>
    <s v="018-2210-000"/>
    <s v="Liquor Sales"/>
    <n v="1319.3625000000002"/>
    <n v="0"/>
    <s v="Daily Sales Import"/>
    <n v="-1319.3625000000002"/>
    <n v="1319.3625000000002"/>
    <x v="2"/>
    <s v="2210"/>
    <s v="000"/>
    <x v="2"/>
    <x v="0"/>
  </r>
  <r>
    <d v="2011-12-20T00:00:00"/>
    <s v="018-2220-000"/>
    <s v="Beer Sales"/>
    <n v="163.48500000000001"/>
    <n v="0"/>
    <s v="Daily Sales Import"/>
    <n v="-163.48500000000001"/>
    <n v="163.48500000000001"/>
    <x v="2"/>
    <s v="2220"/>
    <s v="000"/>
    <x v="2"/>
    <x v="0"/>
  </r>
  <r>
    <d v="2011-12-20T00:00:00"/>
    <s v="018-2230-000"/>
    <s v="Wine Sales"/>
    <n v="91.217999999999989"/>
    <n v="0"/>
    <s v="Daily Sales Import"/>
    <n v="-91.217999999999989"/>
    <n v="91.217999999999989"/>
    <x v="2"/>
    <s v="2230"/>
    <s v="000"/>
    <x v="2"/>
    <x v="0"/>
  </r>
  <r>
    <d v="2011-12-21T00:00:00"/>
    <s v="018-2100-000"/>
    <s v="Food Sales"/>
    <n v="3892.2780000000002"/>
    <n v="0"/>
    <s v="Daily Sales Import"/>
    <n v="-3892.2780000000002"/>
    <n v="3892.2780000000002"/>
    <x v="2"/>
    <s v="2100"/>
    <s v="000"/>
    <x v="2"/>
    <x v="0"/>
  </r>
  <r>
    <d v="2011-12-21T00:00:00"/>
    <s v="018-2210-000"/>
    <s v="Liquor Sales"/>
    <n v="846.56399999999996"/>
    <n v="0"/>
    <s v="Daily Sales Import"/>
    <n v="-846.56399999999996"/>
    <n v="846.56399999999996"/>
    <x v="2"/>
    <s v="2210"/>
    <s v="000"/>
    <x v="2"/>
    <x v="0"/>
  </r>
  <r>
    <d v="2011-12-21T00:00:00"/>
    <s v="018-2220-000"/>
    <s v="Beer Sales"/>
    <n v="242.78199999999998"/>
    <n v="0"/>
    <s v="Daily Sales Import"/>
    <n v="-242.78199999999998"/>
    <n v="242.78199999999998"/>
    <x v="2"/>
    <s v="2220"/>
    <s v="000"/>
    <x v="2"/>
    <x v="0"/>
  </r>
  <r>
    <d v="2011-12-21T00:00:00"/>
    <s v="018-2230-000"/>
    <s v="Wine Sales"/>
    <n v="19.063500000000001"/>
    <n v="0"/>
    <s v="Daily Sales Import"/>
    <n v="-19.063500000000001"/>
    <n v="19.063500000000001"/>
    <x v="2"/>
    <s v="2230"/>
    <s v="000"/>
    <x v="2"/>
    <x v="0"/>
  </r>
  <r>
    <d v="2011-12-22T00:00:00"/>
    <s v="018-2100-000"/>
    <s v="Food Sales"/>
    <n v="8541.0655999999999"/>
    <n v="0"/>
    <s v="Daily Sales Import"/>
    <n v="-8541.0655999999999"/>
    <n v="8541.0655999999999"/>
    <x v="2"/>
    <s v="2100"/>
    <s v="000"/>
    <x v="2"/>
    <x v="0"/>
  </r>
  <r>
    <d v="2011-12-22T00:00:00"/>
    <s v="018-2210-000"/>
    <s v="Liquor Sales"/>
    <n v="762.72899999999993"/>
    <n v="0"/>
    <s v="Daily Sales Import"/>
    <n v="-762.72899999999993"/>
    <n v="762.72899999999993"/>
    <x v="2"/>
    <s v="2210"/>
    <s v="000"/>
    <x v="2"/>
    <x v="0"/>
  </r>
  <r>
    <d v="2011-12-22T00:00:00"/>
    <s v="018-2220-000"/>
    <s v="Beer Sales"/>
    <n v="680.2940000000001"/>
    <n v="0"/>
    <s v="Daily Sales Import"/>
    <n v="-680.2940000000001"/>
    <n v="680.2940000000001"/>
    <x v="2"/>
    <s v="2220"/>
    <s v="000"/>
    <x v="2"/>
    <x v="0"/>
  </r>
  <r>
    <d v="2011-12-22T00:00:00"/>
    <s v="018-2230-000"/>
    <s v="Wine Sales"/>
    <n v="91.960000000000008"/>
    <n v="0"/>
    <s v="Daily Sales Import"/>
    <n v="-91.960000000000008"/>
    <n v="91.960000000000008"/>
    <x v="2"/>
    <s v="2230"/>
    <s v="000"/>
    <x v="2"/>
    <x v="0"/>
  </r>
  <r>
    <d v="2011-12-23T00:00:00"/>
    <s v="018-2100-000"/>
    <s v="Food Sales"/>
    <n v="7590.1689999999999"/>
    <n v="0"/>
    <s v="Daily Sales Import"/>
    <n v="-7590.1689999999999"/>
    <n v="7590.1689999999999"/>
    <x v="2"/>
    <s v="2100"/>
    <s v="000"/>
    <x v="2"/>
    <x v="0"/>
  </r>
  <r>
    <d v="2011-12-23T00:00:00"/>
    <s v="018-2210-000"/>
    <s v="Liquor Sales"/>
    <n v="1944.5160000000001"/>
    <n v="0"/>
    <s v="Daily Sales Import"/>
    <n v="-1944.5160000000001"/>
    <n v="1944.5160000000001"/>
    <x v="2"/>
    <s v="2210"/>
    <s v="000"/>
    <x v="2"/>
    <x v="0"/>
  </r>
  <r>
    <d v="2011-12-23T00:00:00"/>
    <s v="018-2220-000"/>
    <s v="Beer Sales"/>
    <n v="571.95600000000002"/>
    <n v="0"/>
    <s v="Daily Sales Import"/>
    <n v="-571.95600000000002"/>
    <n v="571.95600000000002"/>
    <x v="2"/>
    <s v="2220"/>
    <s v="000"/>
    <x v="2"/>
    <x v="0"/>
  </r>
  <r>
    <d v="2011-12-23T00:00:00"/>
    <s v="018-2230-000"/>
    <s v="Wine Sales"/>
    <n v="153.32000000000002"/>
    <n v="0"/>
    <s v="Daily Sales Import"/>
    <n v="-153.32000000000002"/>
    <n v="153.32000000000002"/>
    <x v="2"/>
    <s v="2230"/>
    <s v="000"/>
    <x v="2"/>
    <x v="0"/>
  </r>
  <r>
    <d v="2011-12-24T00:00:00"/>
    <s v="018-2100-000"/>
    <s v="Food Sales"/>
    <n v="6349.5599999999995"/>
    <n v="0"/>
    <s v="Daily Sales Import"/>
    <n v="-6349.5599999999995"/>
    <n v="6349.5599999999995"/>
    <x v="2"/>
    <s v="2100"/>
    <s v="000"/>
    <x v="2"/>
    <x v="0"/>
  </r>
  <r>
    <d v="2011-12-24T00:00:00"/>
    <s v="018-2210-000"/>
    <s v="Liquor Sales"/>
    <n v="494.3295"/>
    <n v="0"/>
    <s v="Daily Sales Import"/>
    <n v="-494.3295"/>
    <n v="494.3295"/>
    <x v="2"/>
    <s v="2210"/>
    <s v="000"/>
    <x v="2"/>
    <x v="0"/>
  </r>
  <r>
    <d v="2011-12-24T00:00:00"/>
    <s v="018-2220-000"/>
    <s v="Beer Sales"/>
    <n v="237.654"/>
    <n v="0"/>
    <s v="Daily Sales Import"/>
    <n v="-237.654"/>
    <n v="237.654"/>
    <x v="2"/>
    <s v="2220"/>
    <s v="000"/>
    <x v="2"/>
    <x v="0"/>
  </r>
  <r>
    <d v="2011-12-24T00:00:00"/>
    <s v="018-2230-000"/>
    <s v="Wine Sales"/>
    <n v="59.04"/>
    <n v="0"/>
    <s v="Daily Sales Import"/>
    <n v="-59.04"/>
    <n v="59.04"/>
    <x v="2"/>
    <s v="2230"/>
    <s v="000"/>
    <x v="2"/>
    <x v="0"/>
  </r>
  <r>
    <d v="2012-01-01T00:00:00"/>
    <s v="016-2100-000"/>
    <s v="Food Sales"/>
    <n v="4519.8599999999997"/>
    <n v="0"/>
    <s v="Daily Sales Import"/>
    <n v="-4519.8599999999997"/>
    <n v="4519.8599999999997"/>
    <x v="0"/>
    <s v="2100"/>
    <s v="000"/>
    <x v="3"/>
    <x v="1"/>
  </r>
  <r>
    <d v="2012-01-01T00:00:00"/>
    <s v="016-2210-000"/>
    <s v="Liquor Sales"/>
    <n v="1025.1464999999998"/>
    <n v="0"/>
    <s v="Daily Sales Import"/>
    <n v="-1025.1464999999998"/>
    <n v="1025.1464999999998"/>
    <x v="0"/>
    <s v="2210"/>
    <s v="000"/>
    <x v="3"/>
    <x v="1"/>
  </r>
  <r>
    <d v="2012-01-01T00:00:00"/>
    <s v="016-2220-000"/>
    <s v="Beer Sales"/>
    <n v="200.61"/>
    <n v="0"/>
    <s v="Daily Sales Import"/>
    <n v="-200.61"/>
    <n v="200.61"/>
    <x v="0"/>
    <s v="2220"/>
    <s v="000"/>
    <x v="3"/>
    <x v="1"/>
  </r>
  <r>
    <d v="2012-01-01T00:00:00"/>
    <s v="016-2230-000"/>
    <s v="Wine Sales"/>
    <n v="102.20699999999999"/>
    <n v="0"/>
    <s v="Daily Sales Import"/>
    <n v="-102.20699999999999"/>
    <n v="102.20699999999999"/>
    <x v="0"/>
    <s v="2230"/>
    <s v="000"/>
    <x v="3"/>
    <x v="1"/>
  </r>
  <r>
    <d v="2011-12-26T00:00:00"/>
    <s v="016-2100-000"/>
    <s v="Food Sales"/>
    <n v="7602.0671999999995"/>
    <n v="0"/>
    <s v="Daily Sales Import"/>
    <n v="-7602.0671999999995"/>
    <n v="7602.0671999999995"/>
    <x v="0"/>
    <s v="2100"/>
    <s v="000"/>
    <x v="2"/>
    <x v="0"/>
  </r>
  <r>
    <d v="2011-12-26T00:00:00"/>
    <s v="016-2210-000"/>
    <s v="Liquor Sales"/>
    <n v="2580.1210000000001"/>
    <n v="0"/>
    <s v="Daily Sales Import"/>
    <n v="-2580.1210000000001"/>
    <n v="2580.1210000000001"/>
    <x v="0"/>
    <s v="2210"/>
    <s v="000"/>
    <x v="2"/>
    <x v="0"/>
  </r>
  <r>
    <d v="2011-12-26T00:00:00"/>
    <s v="016-2220-000"/>
    <s v="Beer Sales"/>
    <n v="480.50099999999998"/>
    <n v="0"/>
    <s v="Daily Sales Import"/>
    <n v="-480.50099999999998"/>
    <n v="480.50099999999998"/>
    <x v="0"/>
    <s v="2220"/>
    <s v="000"/>
    <x v="2"/>
    <x v="0"/>
  </r>
  <r>
    <d v="2011-12-26T00:00:00"/>
    <s v="016-2230-000"/>
    <s v="Wine Sales"/>
    <n v="127.36800000000001"/>
    <n v="0"/>
    <s v="Daily Sales Import"/>
    <n v="-127.36800000000001"/>
    <n v="127.36800000000001"/>
    <x v="0"/>
    <s v="2230"/>
    <s v="000"/>
    <x v="2"/>
    <x v="0"/>
  </r>
  <r>
    <d v="2011-12-27T00:00:00"/>
    <s v="016-2100-000"/>
    <s v="Food Sales"/>
    <n v="8586.1200000000008"/>
    <n v="0"/>
    <s v="Daily Sales Import"/>
    <n v="-8586.1200000000008"/>
    <n v="8586.1200000000008"/>
    <x v="0"/>
    <s v="2100"/>
    <s v="000"/>
    <x v="2"/>
    <x v="0"/>
  </r>
  <r>
    <d v="2011-12-27T00:00:00"/>
    <s v="016-2210-000"/>
    <s v="Liquor Sales"/>
    <n v="1579.8195000000001"/>
    <n v="0"/>
    <s v="Daily Sales Import"/>
    <n v="-1579.8195000000001"/>
    <n v="1579.8195000000001"/>
    <x v="0"/>
    <s v="2210"/>
    <s v="000"/>
    <x v="2"/>
    <x v="0"/>
  </r>
  <r>
    <d v="2011-12-27T00:00:00"/>
    <s v="016-2220-000"/>
    <s v="Beer Sales"/>
    <n v="303.58199999999999"/>
    <n v="0"/>
    <s v="Daily Sales Import"/>
    <n v="-303.58199999999999"/>
    <n v="303.58199999999999"/>
    <x v="0"/>
    <s v="2220"/>
    <s v="000"/>
    <x v="2"/>
    <x v="0"/>
  </r>
  <r>
    <d v="2011-12-27T00:00:00"/>
    <s v="016-2230-000"/>
    <s v="Wine Sales"/>
    <n v="133.03800000000001"/>
    <n v="0"/>
    <s v="Daily Sales Import"/>
    <n v="-133.03800000000001"/>
    <n v="133.03800000000001"/>
    <x v="0"/>
    <s v="2230"/>
    <s v="000"/>
    <x v="2"/>
    <x v="0"/>
  </r>
  <r>
    <d v="2011-12-28T00:00:00"/>
    <s v="016-2100-000"/>
    <s v="Food Sales"/>
    <n v="8197.9820999999993"/>
    <n v="0"/>
    <s v="Daily Sales Import"/>
    <n v="-8197.9820999999993"/>
    <n v="8197.9820999999993"/>
    <x v="0"/>
    <s v="2100"/>
    <s v="000"/>
    <x v="2"/>
    <x v="0"/>
  </r>
  <r>
    <d v="2011-12-28T00:00:00"/>
    <s v="016-2210-000"/>
    <s v="Liquor Sales"/>
    <n v="1446.93"/>
    <n v="0"/>
    <s v="Daily Sales Import"/>
    <n v="-1446.93"/>
    <n v="1446.93"/>
    <x v="0"/>
    <s v="2210"/>
    <s v="000"/>
    <x v="2"/>
    <x v="0"/>
  </r>
  <r>
    <d v="2011-12-28T00:00:00"/>
    <s v="016-2220-000"/>
    <s v="Beer Sales"/>
    <n v="437.98800000000006"/>
    <n v="0"/>
    <s v="Daily Sales Import"/>
    <n v="-437.98800000000006"/>
    <n v="437.98800000000006"/>
    <x v="0"/>
    <s v="2220"/>
    <s v="000"/>
    <x v="2"/>
    <x v="0"/>
  </r>
  <r>
    <d v="2011-12-28T00:00:00"/>
    <s v="016-2230-000"/>
    <s v="Wine Sales"/>
    <n v="232.2"/>
    <n v="0"/>
    <s v="Daily Sales Import"/>
    <n v="-232.2"/>
    <n v="232.2"/>
    <x v="0"/>
    <s v="2230"/>
    <s v="000"/>
    <x v="2"/>
    <x v="0"/>
  </r>
  <r>
    <d v="2011-12-29T00:00:00"/>
    <s v="016-2100-000"/>
    <s v="Food Sales"/>
    <n v="7984.3763999999992"/>
    <n v="0"/>
    <s v="Daily Sales Import"/>
    <n v="-7984.3763999999992"/>
    <n v="7984.3763999999992"/>
    <x v="0"/>
    <s v="2100"/>
    <s v="000"/>
    <x v="2"/>
    <x v="0"/>
  </r>
  <r>
    <d v="2011-12-29T00:00:00"/>
    <s v="016-2210-000"/>
    <s v="Liquor Sales"/>
    <n v="1200.0494999999999"/>
    <n v="0"/>
    <s v="Daily Sales Import"/>
    <n v="-1200.0494999999999"/>
    <n v="1200.0494999999999"/>
    <x v="0"/>
    <s v="2210"/>
    <s v="000"/>
    <x v="2"/>
    <x v="0"/>
  </r>
  <r>
    <d v="2011-12-29T00:00:00"/>
    <s v="016-2220-000"/>
    <s v="Beer Sales"/>
    <n v="482.06399999999996"/>
    <n v="0"/>
    <s v="Daily Sales Import"/>
    <n v="-482.06399999999996"/>
    <n v="482.06399999999996"/>
    <x v="0"/>
    <s v="2220"/>
    <s v="000"/>
    <x v="2"/>
    <x v="0"/>
  </r>
  <r>
    <d v="2011-12-29T00:00:00"/>
    <s v="016-2230-000"/>
    <s v="Wine Sales"/>
    <n v="191.31"/>
    <n v="0"/>
    <s v="Daily Sales Import"/>
    <n v="-191.31"/>
    <n v="191.31"/>
    <x v="0"/>
    <s v="2230"/>
    <s v="000"/>
    <x v="2"/>
    <x v="0"/>
  </r>
  <r>
    <d v="2011-12-30T00:00:00"/>
    <s v="016-2100-000"/>
    <s v="Food Sales"/>
    <n v="8749.2224000000006"/>
    <n v="0"/>
    <s v="Daily Sales Import"/>
    <n v="-8749.2224000000006"/>
    <n v="8749.2224000000006"/>
    <x v="0"/>
    <s v="2100"/>
    <s v="000"/>
    <x v="2"/>
    <x v="0"/>
  </r>
  <r>
    <d v="2011-12-30T00:00:00"/>
    <s v="016-2210-000"/>
    <s v="Liquor Sales"/>
    <n v="2762.9279999999999"/>
    <n v="0"/>
    <s v="Daily Sales Import"/>
    <n v="-2762.9279999999999"/>
    <n v="2762.9279999999999"/>
    <x v="0"/>
    <s v="2210"/>
    <s v="000"/>
    <x v="2"/>
    <x v="0"/>
  </r>
  <r>
    <d v="2011-12-30T00:00:00"/>
    <s v="016-2220-000"/>
    <s v="Beer Sales"/>
    <n v="541.16700000000003"/>
    <n v="0"/>
    <s v="Daily Sales Import"/>
    <n v="-541.16700000000003"/>
    <n v="541.16700000000003"/>
    <x v="0"/>
    <s v="2220"/>
    <s v="000"/>
    <x v="2"/>
    <x v="0"/>
  </r>
  <r>
    <d v="2011-12-30T00:00:00"/>
    <s v="016-2230-000"/>
    <s v="Wine Sales"/>
    <n v="317.53199999999998"/>
    <n v="0"/>
    <s v="Daily Sales Import"/>
    <n v="-317.53199999999998"/>
    <n v="317.53199999999998"/>
    <x v="0"/>
    <s v="2230"/>
    <s v="000"/>
    <x v="2"/>
    <x v="0"/>
  </r>
  <r>
    <d v="2011-12-31T00:00:00"/>
    <s v="016-2100-000"/>
    <s v="Food Sales"/>
    <n v="10276.11"/>
    <n v="0"/>
    <s v="Daily Sales Import"/>
    <n v="-10276.11"/>
    <n v="10276.11"/>
    <x v="0"/>
    <s v="2100"/>
    <s v="000"/>
    <x v="2"/>
    <x v="0"/>
  </r>
  <r>
    <d v="2011-12-31T00:00:00"/>
    <s v="016-2210-000"/>
    <s v="Liquor Sales"/>
    <n v="2247.5750000000003"/>
    <n v="0"/>
    <s v="Daily Sales Import"/>
    <n v="-2247.5750000000003"/>
    <n v="2247.5750000000003"/>
    <x v="0"/>
    <s v="2210"/>
    <s v="000"/>
    <x v="2"/>
    <x v="0"/>
  </r>
  <r>
    <d v="2011-12-31T00:00:00"/>
    <s v="016-2220-000"/>
    <s v="Beer Sales"/>
    <n v="555.03"/>
    <n v="0"/>
    <s v="Daily Sales Import"/>
    <n v="-555.03"/>
    <n v="555.03"/>
    <x v="0"/>
    <s v="2220"/>
    <s v="000"/>
    <x v="2"/>
    <x v="0"/>
  </r>
  <r>
    <d v="2011-12-31T00:00:00"/>
    <s v="016-2230-000"/>
    <s v="Wine Sales"/>
    <n v="195.52500000000001"/>
    <n v="0"/>
    <s v="Daily Sales Import"/>
    <n v="-195.52500000000001"/>
    <n v="195.52500000000001"/>
    <x v="0"/>
    <s v="2230"/>
    <s v="000"/>
    <x v="2"/>
    <x v="0"/>
  </r>
  <r>
    <d v="2012-01-01T00:00:00"/>
    <s v="017-2100-000"/>
    <s v="Food Sales"/>
    <n v="3429.0360000000001"/>
    <n v="0"/>
    <s v="Daily Sales Import"/>
    <n v="-3429.0360000000001"/>
    <n v="3429.0360000000001"/>
    <x v="1"/>
    <s v="2100"/>
    <s v="000"/>
    <x v="3"/>
    <x v="1"/>
  </r>
  <r>
    <d v="2012-01-01T00:00:00"/>
    <s v="017-2210-000"/>
    <s v="Liquor Sales"/>
    <n v="660.42899999999997"/>
    <n v="0"/>
    <s v="Daily Sales Import"/>
    <n v="-660.42899999999997"/>
    <n v="660.42899999999997"/>
    <x v="1"/>
    <s v="2210"/>
    <s v="000"/>
    <x v="3"/>
    <x v="1"/>
  </r>
  <r>
    <d v="2012-01-01T00:00:00"/>
    <s v="017-2220-000"/>
    <s v="Beer Sales"/>
    <n v="90.617500000000007"/>
    <n v="0"/>
    <s v="Daily Sales Import"/>
    <n v="-90.617500000000007"/>
    <n v="90.617500000000007"/>
    <x v="1"/>
    <s v="2220"/>
    <s v="000"/>
    <x v="3"/>
    <x v="1"/>
  </r>
  <r>
    <d v="2012-01-01T00:00:00"/>
    <s v="017-2230-000"/>
    <s v="Wine Sales"/>
    <n v="19.964000000000002"/>
    <n v="0"/>
    <s v="Daily Sales Import"/>
    <n v="-19.964000000000002"/>
    <n v="19.964000000000002"/>
    <x v="1"/>
    <s v="2230"/>
    <s v="000"/>
    <x v="3"/>
    <x v="1"/>
  </r>
  <r>
    <d v="2011-12-26T00:00:00"/>
    <s v="017-2100-000"/>
    <s v="Food Sales"/>
    <n v="4567.5750000000007"/>
    <n v="0"/>
    <s v="Daily Sales Import"/>
    <n v="-4567.5750000000007"/>
    <n v="4567.5750000000007"/>
    <x v="1"/>
    <s v="2100"/>
    <s v="000"/>
    <x v="2"/>
    <x v="0"/>
  </r>
  <r>
    <d v="2011-12-26T00:00:00"/>
    <s v="017-2210-000"/>
    <s v="Liquor Sales"/>
    <n v="595.91399999999999"/>
    <n v="0"/>
    <s v="Daily Sales Import"/>
    <n v="-595.91399999999999"/>
    <n v="595.91399999999999"/>
    <x v="1"/>
    <s v="2210"/>
    <s v="000"/>
    <x v="2"/>
    <x v="0"/>
  </r>
  <r>
    <d v="2011-12-26T00:00:00"/>
    <s v="017-2220-000"/>
    <s v="Beer Sales"/>
    <n v="272.09000000000003"/>
    <n v="0"/>
    <s v="Daily Sales Import"/>
    <n v="-272.09000000000003"/>
    <n v="272.09000000000003"/>
    <x v="1"/>
    <s v="2220"/>
    <s v="000"/>
    <x v="2"/>
    <x v="0"/>
  </r>
  <r>
    <d v="2011-12-26T00:00:00"/>
    <s v="017-2230-000"/>
    <s v="Wine Sales"/>
    <n v="55.774000000000001"/>
    <n v="0"/>
    <s v="Daily Sales Import"/>
    <n v="-55.774000000000001"/>
    <n v="55.774000000000001"/>
    <x v="1"/>
    <s v="2230"/>
    <s v="000"/>
    <x v="2"/>
    <x v="0"/>
  </r>
  <r>
    <d v="2011-12-27T00:00:00"/>
    <s v="017-2100-000"/>
    <s v="Food Sales"/>
    <n v="4651.68"/>
    <n v="0"/>
    <s v="Daily Sales Import"/>
    <n v="-4651.68"/>
    <n v="4651.68"/>
    <x v="1"/>
    <s v="2100"/>
    <s v="000"/>
    <x v="2"/>
    <x v="0"/>
  </r>
  <r>
    <d v="2011-12-27T00:00:00"/>
    <s v="017-2210-000"/>
    <s v="Liquor Sales"/>
    <n v="754.98950000000002"/>
    <n v="0"/>
    <s v="Daily Sales Import"/>
    <n v="-754.98950000000002"/>
    <n v="754.98950000000002"/>
    <x v="1"/>
    <s v="2210"/>
    <s v="000"/>
    <x v="2"/>
    <x v="0"/>
  </r>
  <r>
    <d v="2011-12-27T00:00:00"/>
    <s v="017-2220-000"/>
    <s v="Beer Sales"/>
    <n v="125.95500000000001"/>
    <n v="0"/>
    <s v="Daily Sales Import"/>
    <n v="-125.95500000000001"/>
    <n v="125.95500000000001"/>
    <x v="1"/>
    <s v="2220"/>
    <s v="000"/>
    <x v="2"/>
    <x v="0"/>
  </r>
  <r>
    <d v="2011-12-27T00:00:00"/>
    <s v="017-2230-000"/>
    <s v="Wine Sales"/>
    <n v="63.063000000000002"/>
    <n v="0"/>
    <s v="Daily Sales Import"/>
    <n v="-63.063000000000002"/>
    <n v="63.063000000000002"/>
    <x v="1"/>
    <s v="2230"/>
    <s v="000"/>
    <x v="2"/>
    <x v="0"/>
  </r>
  <r>
    <d v="2011-12-28T00:00:00"/>
    <s v="017-2100-000"/>
    <s v="Food Sales"/>
    <n v="4347.5200000000004"/>
    <n v="0"/>
    <s v="Daily Sales Import"/>
    <n v="-4347.5200000000004"/>
    <n v="4347.5200000000004"/>
    <x v="1"/>
    <s v="2100"/>
    <s v="000"/>
    <x v="2"/>
    <x v="0"/>
  </r>
  <r>
    <d v="2011-12-28T00:00:00"/>
    <s v="017-2210-000"/>
    <s v="Liquor Sales"/>
    <n v="1095.2370000000001"/>
    <n v="0"/>
    <s v="Daily Sales Import"/>
    <n v="-1095.2370000000001"/>
    <n v="1095.2370000000001"/>
    <x v="1"/>
    <s v="2210"/>
    <s v="000"/>
    <x v="2"/>
    <x v="0"/>
  </r>
  <r>
    <d v="2011-12-28T00:00:00"/>
    <s v="017-2220-000"/>
    <s v="Beer Sales"/>
    <n v="253.84"/>
    <n v="0"/>
    <s v="Daily Sales Import"/>
    <n v="-253.84"/>
    <n v="253.84"/>
    <x v="1"/>
    <s v="2220"/>
    <s v="000"/>
    <x v="2"/>
    <x v="0"/>
  </r>
  <r>
    <d v="2011-12-28T00:00:00"/>
    <s v="017-2230-000"/>
    <s v="Wine Sales"/>
    <n v="128.03700000000001"/>
    <n v="0"/>
    <s v="Daily Sales Import"/>
    <n v="-128.03700000000001"/>
    <n v="128.03700000000001"/>
    <x v="1"/>
    <s v="2230"/>
    <s v="000"/>
    <x v="2"/>
    <x v="0"/>
  </r>
  <r>
    <d v="2011-12-29T00:00:00"/>
    <s v="017-2100-000"/>
    <s v="Food Sales"/>
    <n v="7643.1330000000007"/>
    <n v="0"/>
    <s v="Daily Sales Import"/>
    <n v="-7643.1330000000007"/>
    <n v="7643.1330000000007"/>
    <x v="1"/>
    <s v="2100"/>
    <s v="000"/>
    <x v="2"/>
    <x v="0"/>
  </r>
  <r>
    <d v="2011-12-29T00:00:00"/>
    <s v="017-2210-000"/>
    <s v="Liquor Sales"/>
    <n v="1437.8055000000002"/>
    <n v="0"/>
    <s v="Daily Sales Import"/>
    <n v="-1437.8055000000002"/>
    <n v="1437.8055000000002"/>
    <x v="1"/>
    <s v="2210"/>
    <s v="000"/>
    <x v="2"/>
    <x v="0"/>
  </r>
  <r>
    <d v="2011-12-29T00:00:00"/>
    <s v="017-2220-000"/>
    <s v="Beer Sales"/>
    <n v="253.79"/>
    <n v="0"/>
    <s v="Daily Sales Import"/>
    <n v="-253.79"/>
    <n v="253.79"/>
    <x v="1"/>
    <s v="2220"/>
    <s v="000"/>
    <x v="2"/>
    <x v="0"/>
  </r>
  <r>
    <d v="2011-12-29T00:00:00"/>
    <s v="017-2230-000"/>
    <s v="Wine Sales"/>
    <n v="130.61299999999997"/>
    <n v="0"/>
    <s v="Daily Sales Import"/>
    <n v="-130.61299999999997"/>
    <n v="130.61299999999997"/>
    <x v="1"/>
    <s v="2230"/>
    <s v="000"/>
    <x v="2"/>
    <x v="0"/>
  </r>
  <r>
    <d v="2011-12-30T00:00:00"/>
    <s v="017-2100-000"/>
    <s v="Food Sales"/>
    <n v="9063.9195"/>
    <n v="0"/>
    <s v="Daily Sales Import"/>
    <n v="-9063.9195"/>
    <n v="9063.9195"/>
    <x v="1"/>
    <s v="2100"/>
    <s v="000"/>
    <x v="2"/>
    <x v="0"/>
  </r>
  <r>
    <d v="2011-12-30T00:00:00"/>
    <s v="017-2210-000"/>
    <s v="Liquor Sales"/>
    <n v="2318.7150000000001"/>
    <n v="0"/>
    <s v="Daily Sales Import"/>
    <n v="-2318.7150000000001"/>
    <n v="2318.7150000000001"/>
    <x v="1"/>
    <s v="2210"/>
    <s v="000"/>
    <x v="2"/>
    <x v="0"/>
  </r>
  <r>
    <d v="2011-12-30T00:00:00"/>
    <s v="017-2220-000"/>
    <s v="Beer Sales"/>
    <n v="268.10000000000002"/>
    <n v="0"/>
    <s v="Daily Sales Import"/>
    <n v="-268.10000000000002"/>
    <n v="268.10000000000002"/>
    <x v="1"/>
    <s v="2220"/>
    <s v="000"/>
    <x v="2"/>
    <x v="0"/>
  </r>
  <r>
    <d v="2011-12-30T00:00:00"/>
    <s v="017-2230-000"/>
    <s v="Wine Sales"/>
    <n v="135.71250000000001"/>
    <n v="0"/>
    <s v="Daily Sales Import"/>
    <n v="-135.71250000000001"/>
    <n v="135.71250000000001"/>
    <x v="1"/>
    <s v="2230"/>
    <s v="000"/>
    <x v="2"/>
    <x v="0"/>
  </r>
  <r>
    <d v="2011-12-31T00:00:00"/>
    <s v="017-2100-000"/>
    <s v="Food Sales"/>
    <n v="4724.4844999999996"/>
    <n v="0"/>
    <s v="Daily Sales Import"/>
    <n v="-4724.4844999999996"/>
    <n v="4724.4844999999996"/>
    <x v="1"/>
    <s v="2100"/>
    <s v="000"/>
    <x v="2"/>
    <x v="0"/>
  </r>
  <r>
    <d v="2011-12-31T00:00:00"/>
    <s v="017-2210-000"/>
    <s v="Liquor Sales"/>
    <n v="1351.626"/>
    <n v="0"/>
    <s v="Daily Sales Import"/>
    <n v="-1351.626"/>
    <n v="1351.626"/>
    <x v="1"/>
    <s v="2210"/>
    <s v="000"/>
    <x v="2"/>
    <x v="0"/>
  </r>
  <r>
    <d v="2011-12-31T00:00:00"/>
    <s v="017-2220-000"/>
    <s v="Beer Sales"/>
    <n v="168.1"/>
    <n v="0"/>
    <s v="Daily Sales Import"/>
    <n v="-168.1"/>
    <n v="168.1"/>
    <x v="1"/>
    <s v="2220"/>
    <s v="000"/>
    <x v="2"/>
    <x v="0"/>
  </r>
  <r>
    <d v="2011-12-31T00:00:00"/>
    <s v="017-2230-000"/>
    <s v="Wine Sales"/>
    <n v="21.677500000000002"/>
    <n v="0"/>
    <s v="Daily Sales Import"/>
    <n v="-21.677500000000002"/>
    <n v="21.677500000000002"/>
    <x v="1"/>
    <s v="2230"/>
    <s v="000"/>
    <x v="2"/>
    <x v="0"/>
  </r>
  <r>
    <d v="2012-01-01T00:00:00"/>
    <s v="018-2100-000"/>
    <s v="Food Sales"/>
    <n v="6223.8474999999999"/>
    <n v="0"/>
    <s v="Daily Sales Import"/>
    <n v="-6223.8474999999999"/>
    <n v="6223.8474999999999"/>
    <x v="2"/>
    <s v="2100"/>
    <s v="000"/>
    <x v="3"/>
    <x v="1"/>
  </r>
  <r>
    <d v="2012-01-01T00:00:00"/>
    <s v="018-2210-000"/>
    <s v="Liquor Sales"/>
    <n v="848.39700000000005"/>
    <n v="0"/>
    <s v="Daily Sales Import"/>
    <n v="-848.39700000000005"/>
    <n v="848.39700000000005"/>
    <x v="2"/>
    <s v="2210"/>
    <s v="000"/>
    <x v="3"/>
    <x v="1"/>
  </r>
  <r>
    <d v="2012-01-01T00:00:00"/>
    <s v="018-2220-000"/>
    <s v="Beer Sales"/>
    <n v="104.13"/>
    <n v="0"/>
    <s v="Daily Sales Import"/>
    <n v="-104.13"/>
    <n v="104.13"/>
    <x v="2"/>
    <s v="2220"/>
    <s v="000"/>
    <x v="3"/>
    <x v="1"/>
  </r>
  <r>
    <d v="2012-01-01T00:00:00"/>
    <s v="018-2230-000"/>
    <s v="Wine Sales"/>
    <n v="92.814999999999998"/>
    <n v="0"/>
    <s v="Daily Sales Import"/>
    <n v="-92.814999999999998"/>
    <n v="92.814999999999998"/>
    <x v="2"/>
    <s v="2230"/>
    <s v="000"/>
    <x v="3"/>
    <x v="1"/>
  </r>
  <r>
    <d v="2011-12-26T00:00:00"/>
    <s v="018-2100-000"/>
    <s v="Food Sales"/>
    <n v="9581.8883999999998"/>
    <n v="0"/>
    <s v="Daily Sales Import"/>
    <n v="-9581.8883999999998"/>
    <n v="9581.8883999999998"/>
    <x v="2"/>
    <s v="2100"/>
    <s v="000"/>
    <x v="2"/>
    <x v="0"/>
  </r>
  <r>
    <d v="2011-12-26T00:00:00"/>
    <s v="018-2210-000"/>
    <s v="Liquor Sales"/>
    <n v="1235.5205000000001"/>
    <n v="0"/>
    <s v="Daily Sales Import"/>
    <n v="-1235.5205000000001"/>
    <n v="1235.5205000000001"/>
    <x v="2"/>
    <s v="2210"/>
    <s v="000"/>
    <x v="2"/>
    <x v="0"/>
  </r>
  <r>
    <d v="2011-12-26T00:00:00"/>
    <s v="018-2220-000"/>
    <s v="Beer Sales"/>
    <n v="268.15750000000003"/>
    <n v="0"/>
    <s v="Daily Sales Import"/>
    <n v="-268.15750000000003"/>
    <n v="268.15750000000003"/>
    <x v="2"/>
    <s v="2220"/>
    <s v="000"/>
    <x v="2"/>
    <x v="0"/>
  </r>
  <r>
    <d v="2011-12-26T00:00:00"/>
    <s v="018-2230-000"/>
    <s v="Wine Sales"/>
    <n v="83.537999999999997"/>
    <n v="0"/>
    <s v="Daily Sales Import"/>
    <n v="-83.537999999999997"/>
    <n v="83.537999999999997"/>
    <x v="2"/>
    <s v="2230"/>
    <s v="000"/>
    <x v="2"/>
    <x v="0"/>
  </r>
  <r>
    <d v="2011-12-27T00:00:00"/>
    <s v="018-2100-000"/>
    <s v="Food Sales"/>
    <n v="5494.6480000000001"/>
    <n v="0"/>
    <s v="Daily Sales Import"/>
    <n v="-5494.6480000000001"/>
    <n v="5494.6480000000001"/>
    <x v="2"/>
    <s v="2100"/>
    <s v="000"/>
    <x v="2"/>
    <x v="0"/>
  </r>
  <r>
    <d v="2011-12-27T00:00:00"/>
    <s v="018-2210-000"/>
    <s v="Liquor Sales"/>
    <n v="621.49850000000004"/>
    <n v="0"/>
    <s v="Daily Sales Import"/>
    <n v="-621.49850000000004"/>
    <n v="621.49850000000004"/>
    <x v="2"/>
    <s v="2210"/>
    <s v="000"/>
    <x v="2"/>
    <x v="0"/>
  </r>
  <r>
    <d v="2011-12-27T00:00:00"/>
    <s v="018-2220-000"/>
    <s v="Beer Sales"/>
    <n v="147.744"/>
    <n v="0"/>
    <s v="Daily Sales Import"/>
    <n v="-147.744"/>
    <n v="147.744"/>
    <x v="2"/>
    <s v="2220"/>
    <s v="000"/>
    <x v="2"/>
    <x v="0"/>
  </r>
  <r>
    <d v="2011-12-27T00:00:00"/>
    <s v="018-2230-000"/>
    <s v="Wine Sales"/>
    <n v="59.57"/>
    <n v="0"/>
    <s v="Daily Sales Import"/>
    <n v="-59.57"/>
    <n v="59.57"/>
    <x v="2"/>
    <s v="2230"/>
    <s v="000"/>
    <x v="2"/>
    <x v="0"/>
  </r>
  <r>
    <d v="2011-12-28T00:00:00"/>
    <s v="018-2100-000"/>
    <s v="Food Sales"/>
    <n v="5814.9860000000008"/>
    <n v="0"/>
    <s v="Daily Sales Import"/>
    <n v="-5814.9860000000008"/>
    <n v="5814.9860000000008"/>
    <x v="2"/>
    <s v="2100"/>
    <s v="000"/>
    <x v="2"/>
    <x v="0"/>
  </r>
  <r>
    <d v="2011-12-28T00:00:00"/>
    <s v="018-2210-000"/>
    <s v="Liquor Sales"/>
    <n v="1309.8800000000001"/>
    <n v="0"/>
    <s v="Daily Sales Import"/>
    <n v="-1309.8800000000001"/>
    <n v="1309.8800000000001"/>
    <x v="2"/>
    <s v="2210"/>
    <s v="000"/>
    <x v="2"/>
    <x v="0"/>
  </r>
  <r>
    <d v="2011-12-28T00:00:00"/>
    <s v="018-2220-000"/>
    <s v="Beer Sales"/>
    <n v="169.22899999999998"/>
    <n v="0"/>
    <s v="Daily Sales Import"/>
    <n v="-169.22899999999998"/>
    <n v="169.22899999999998"/>
    <x v="2"/>
    <s v="2220"/>
    <s v="000"/>
    <x v="2"/>
    <x v="0"/>
  </r>
  <r>
    <d v="2011-12-28T00:00:00"/>
    <s v="018-2230-000"/>
    <s v="Wine Sales"/>
    <n v="99.521999999999991"/>
    <n v="0"/>
    <s v="Daily Sales Import"/>
    <n v="-99.521999999999991"/>
    <n v="99.521999999999991"/>
    <x v="2"/>
    <s v="2230"/>
    <s v="000"/>
    <x v="2"/>
    <x v="0"/>
  </r>
  <r>
    <d v="2011-12-29T00:00:00"/>
    <s v="018-2100-000"/>
    <s v="Food Sales"/>
    <n v="5854.24"/>
    <n v="0"/>
    <s v="Daily Sales Import"/>
    <n v="-5854.24"/>
    <n v="5854.24"/>
    <x v="2"/>
    <s v="2100"/>
    <s v="000"/>
    <x v="2"/>
    <x v="0"/>
  </r>
  <r>
    <d v="2011-12-29T00:00:00"/>
    <s v="018-2210-000"/>
    <s v="Liquor Sales"/>
    <n v="1244.607"/>
    <n v="0"/>
    <s v="Daily Sales Import"/>
    <n v="-1244.607"/>
    <n v="1244.607"/>
    <x v="2"/>
    <s v="2210"/>
    <s v="000"/>
    <x v="2"/>
    <x v="0"/>
  </r>
  <r>
    <d v="2011-12-29T00:00:00"/>
    <s v="018-2220-000"/>
    <s v="Beer Sales"/>
    <n v="391.35149999999999"/>
    <n v="0"/>
    <s v="Daily Sales Import"/>
    <n v="-391.35149999999999"/>
    <n v="391.35149999999999"/>
    <x v="2"/>
    <s v="2220"/>
    <s v="000"/>
    <x v="2"/>
    <x v="0"/>
  </r>
  <r>
    <d v="2011-12-29T00:00:00"/>
    <s v="018-2230-000"/>
    <s v="Wine Sales"/>
    <n v="109.575"/>
    <n v="0"/>
    <s v="Daily Sales Import"/>
    <n v="-109.575"/>
    <n v="109.575"/>
    <x v="2"/>
    <s v="2230"/>
    <s v="000"/>
    <x v="2"/>
    <x v="0"/>
  </r>
  <r>
    <d v="2011-12-30T00:00:00"/>
    <s v="018-2100-000"/>
    <s v="Food Sales"/>
    <n v="10520.919800000001"/>
    <n v="0"/>
    <s v="Daily Sales Import"/>
    <n v="-10520.919800000001"/>
    <n v="10520.919800000001"/>
    <x v="2"/>
    <s v="2100"/>
    <s v="000"/>
    <x v="2"/>
    <x v="0"/>
  </r>
  <r>
    <d v="2011-12-30T00:00:00"/>
    <s v="018-2210-000"/>
    <s v="Liquor Sales"/>
    <n v="1955.8525"/>
    <n v="0"/>
    <s v="Daily Sales Import"/>
    <n v="-1955.8525"/>
    <n v="1955.8525"/>
    <x v="2"/>
    <s v="2210"/>
    <s v="000"/>
    <x v="2"/>
    <x v="0"/>
  </r>
  <r>
    <d v="2011-12-30T00:00:00"/>
    <s v="018-2220-000"/>
    <s v="Beer Sales"/>
    <n v="465.48449999999997"/>
    <n v="0"/>
    <s v="Daily Sales Import"/>
    <n v="-465.48449999999997"/>
    <n v="465.48449999999997"/>
    <x v="2"/>
    <s v="2220"/>
    <s v="000"/>
    <x v="2"/>
    <x v="0"/>
  </r>
  <r>
    <d v="2011-12-30T00:00:00"/>
    <s v="018-2230-000"/>
    <s v="Wine Sales"/>
    <n v="141.33749999999998"/>
    <n v="0"/>
    <s v="Daily Sales Import"/>
    <n v="-141.33749999999998"/>
    <n v="141.33749999999998"/>
    <x v="2"/>
    <s v="2230"/>
    <s v="000"/>
    <x v="2"/>
    <x v="0"/>
  </r>
  <r>
    <d v="2011-12-31T00:00:00"/>
    <s v="018-2100-000"/>
    <s v="Food Sales"/>
    <n v="8476.58"/>
    <n v="0"/>
    <s v="Daily Sales Import"/>
    <n v="-8476.58"/>
    <n v="8476.58"/>
    <x v="2"/>
    <s v="2100"/>
    <s v="000"/>
    <x v="2"/>
    <x v="0"/>
  </r>
  <r>
    <d v="2011-12-31T00:00:00"/>
    <s v="018-2210-000"/>
    <s v="Liquor Sales"/>
    <n v="1532.3490000000002"/>
    <n v="0"/>
    <s v="Daily Sales Import"/>
    <n v="-1532.3490000000002"/>
    <n v="1532.3490000000002"/>
    <x v="2"/>
    <s v="2210"/>
    <s v="000"/>
    <x v="2"/>
    <x v="0"/>
  </r>
  <r>
    <d v="2011-12-31T00:00:00"/>
    <s v="018-2220-000"/>
    <s v="Beer Sales"/>
    <n v="461.19600000000003"/>
    <n v="0"/>
    <s v="Daily Sales Import"/>
    <n v="-461.19600000000003"/>
    <n v="461.19600000000003"/>
    <x v="2"/>
    <s v="2220"/>
    <s v="000"/>
    <x v="2"/>
    <x v="0"/>
  </r>
  <r>
    <d v="2011-12-31T00:00:00"/>
    <s v="018-2230-000"/>
    <s v="Wine Sales"/>
    <n v="45.905999999999999"/>
    <n v="0"/>
    <s v="Daily Sales Import"/>
    <n v="-45.905999999999999"/>
    <n v="45.905999999999999"/>
    <x v="2"/>
    <s v="2230"/>
    <s v="000"/>
    <x v="2"/>
    <x v="0"/>
  </r>
  <r>
    <d v="2012-01-02T00:00:00"/>
    <s v="016-2100-000"/>
    <s v="Food Sales"/>
    <n v="3681.7952999999998"/>
    <n v="0"/>
    <s v="Daily Sales Import"/>
    <n v="-3681.7952999999998"/>
    <n v="3681.7952999999998"/>
    <x v="0"/>
    <s v="2100"/>
    <s v="000"/>
    <x v="3"/>
    <x v="1"/>
  </r>
  <r>
    <d v="2012-01-02T00:00:00"/>
    <s v="016-2210-000"/>
    <s v="Liquor Sales"/>
    <n v="811.78499999999997"/>
    <n v="0"/>
    <s v="Daily Sales Import"/>
    <n v="-811.78499999999997"/>
    <n v="811.78499999999997"/>
    <x v="0"/>
    <s v="2210"/>
    <s v="000"/>
    <x v="3"/>
    <x v="1"/>
  </r>
  <r>
    <d v="2012-01-02T00:00:00"/>
    <s v="016-2220-000"/>
    <s v="Beer Sales"/>
    <n v="267.33600000000001"/>
    <n v="0"/>
    <s v="Daily Sales Import"/>
    <n v="-267.33600000000001"/>
    <n v="267.33600000000001"/>
    <x v="0"/>
    <s v="2220"/>
    <s v="000"/>
    <x v="3"/>
    <x v="1"/>
  </r>
  <r>
    <d v="2012-01-02T00:00:00"/>
    <s v="016-2230-000"/>
    <s v="Wine Sales"/>
    <n v="186.30400000000003"/>
    <n v="0"/>
    <s v="Daily Sales Import"/>
    <n v="-186.30400000000003"/>
    <n v="186.30400000000003"/>
    <x v="0"/>
    <s v="2230"/>
    <s v="000"/>
    <x v="3"/>
    <x v="1"/>
  </r>
  <r>
    <d v="2012-01-03T00:00:00"/>
    <s v="016-2100-000"/>
    <s v="Food Sales"/>
    <n v="5111.1000000000004"/>
    <n v="0"/>
    <s v="Daily Sales Import"/>
    <n v="-5111.1000000000004"/>
    <n v="5111.1000000000004"/>
    <x v="0"/>
    <s v="2100"/>
    <s v="000"/>
    <x v="3"/>
    <x v="1"/>
  </r>
  <r>
    <d v="2012-01-03T00:00:00"/>
    <s v="016-2210-000"/>
    <s v="Liquor Sales"/>
    <n v="1067.9190000000001"/>
    <n v="0"/>
    <s v="Daily Sales Import"/>
    <n v="-1067.9190000000001"/>
    <n v="1067.9190000000001"/>
    <x v="0"/>
    <s v="2210"/>
    <s v="000"/>
    <x v="3"/>
    <x v="1"/>
  </r>
  <r>
    <d v="2012-01-03T00:00:00"/>
    <s v="016-2220-000"/>
    <s v="Beer Sales"/>
    <n v="185.54399999999998"/>
    <n v="0"/>
    <s v="Daily Sales Import"/>
    <n v="-185.54399999999998"/>
    <n v="185.54399999999998"/>
    <x v="0"/>
    <s v="2220"/>
    <s v="000"/>
    <x v="3"/>
    <x v="1"/>
  </r>
  <r>
    <d v="2012-01-03T00:00:00"/>
    <s v="016-2230-000"/>
    <s v="Wine Sales"/>
    <n v="150.744"/>
    <n v="0"/>
    <s v="Daily Sales Import"/>
    <n v="-150.744"/>
    <n v="150.744"/>
    <x v="0"/>
    <s v="2230"/>
    <s v="000"/>
    <x v="3"/>
    <x v="1"/>
  </r>
  <r>
    <d v="2012-01-04T00:00:00"/>
    <s v="016-2100-000"/>
    <s v="Food Sales"/>
    <n v="4732.5364999999993"/>
    <n v="0"/>
    <s v="Daily Sales Import"/>
    <n v="-4732.5364999999993"/>
    <n v="4732.5364999999993"/>
    <x v="0"/>
    <s v="2100"/>
    <s v="000"/>
    <x v="3"/>
    <x v="1"/>
  </r>
  <r>
    <d v="2012-01-04T00:00:00"/>
    <s v="016-2210-000"/>
    <s v="Liquor Sales"/>
    <n v="748.38400000000013"/>
    <n v="0"/>
    <s v="Daily Sales Import"/>
    <n v="-748.38400000000013"/>
    <n v="748.38400000000013"/>
    <x v="0"/>
    <s v="2210"/>
    <s v="000"/>
    <x v="3"/>
    <x v="1"/>
  </r>
  <r>
    <d v="2012-01-04T00:00:00"/>
    <s v="016-2220-000"/>
    <s v="Beer Sales"/>
    <n v="213.28200000000001"/>
    <n v="0"/>
    <s v="Daily Sales Import"/>
    <n v="-213.28200000000001"/>
    <n v="213.28200000000001"/>
    <x v="0"/>
    <s v="2220"/>
    <s v="000"/>
    <x v="3"/>
    <x v="1"/>
  </r>
  <r>
    <d v="2012-01-04T00:00:00"/>
    <s v="016-2230-000"/>
    <s v="Wine Sales"/>
    <n v="146.61349999999999"/>
    <n v="0"/>
    <s v="Daily Sales Import"/>
    <n v="-146.61349999999999"/>
    <n v="146.61349999999999"/>
    <x v="0"/>
    <s v="2230"/>
    <s v="000"/>
    <x v="3"/>
    <x v="1"/>
  </r>
  <r>
    <d v="2012-01-05T00:00:00"/>
    <s v="016-2100-000"/>
    <s v="Food Sales"/>
    <n v="4413.9814999999999"/>
    <n v="0"/>
    <s v="Daily Sales Import"/>
    <n v="-4413.9814999999999"/>
    <n v="4413.9814999999999"/>
    <x v="0"/>
    <s v="2100"/>
    <s v="000"/>
    <x v="3"/>
    <x v="1"/>
  </r>
  <r>
    <d v="2012-01-05T00:00:00"/>
    <s v="016-2210-000"/>
    <s v="Liquor Sales"/>
    <n v="1330.42"/>
    <n v="0"/>
    <s v="Daily Sales Import"/>
    <n v="-1330.42"/>
    <n v="1330.42"/>
    <x v="0"/>
    <s v="2210"/>
    <s v="000"/>
    <x v="3"/>
    <x v="1"/>
  </r>
  <r>
    <d v="2012-01-05T00:00:00"/>
    <s v="016-2220-000"/>
    <s v="Beer Sales"/>
    <n v="222.10649999999998"/>
    <n v="0"/>
    <s v="Daily Sales Import"/>
    <n v="-222.10649999999998"/>
    <n v="222.10649999999998"/>
    <x v="0"/>
    <s v="2220"/>
    <s v="000"/>
    <x v="3"/>
    <x v="1"/>
  </r>
  <r>
    <d v="2012-01-05T00:00:00"/>
    <s v="016-2230-000"/>
    <s v="Wine Sales"/>
    <n v="183.63150000000002"/>
    <n v="0"/>
    <s v="Daily Sales Import"/>
    <n v="-183.63150000000002"/>
    <n v="183.63150000000002"/>
    <x v="0"/>
    <s v="2230"/>
    <s v="000"/>
    <x v="3"/>
    <x v="1"/>
  </r>
  <r>
    <d v="2012-01-06T00:00:00"/>
    <s v="016-2100-000"/>
    <s v="Food Sales"/>
    <n v="5766.7316000000001"/>
    <n v="0"/>
    <s v="Daily Sales Import"/>
    <n v="-5766.7316000000001"/>
    <n v="5766.7316000000001"/>
    <x v="0"/>
    <s v="2100"/>
    <s v="000"/>
    <x v="3"/>
    <x v="1"/>
  </r>
  <r>
    <d v="2012-01-06T00:00:00"/>
    <s v="016-2210-000"/>
    <s v="Liquor Sales"/>
    <n v="1756.6890000000001"/>
    <n v="0"/>
    <s v="Daily Sales Import"/>
    <n v="-1756.6890000000001"/>
    <n v="1756.6890000000001"/>
    <x v="0"/>
    <s v="2210"/>
    <s v="000"/>
    <x v="3"/>
    <x v="1"/>
  </r>
  <r>
    <d v="2012-01-06T00:00:00"/>
    <s v="016-2220-000"/>
    <s v="Beer Sales"/>
    <n v="572.28000000000009"/>
    <n v="0"/>
    <s v="Daily Sales Import"/>
    <n v="-572.28000000000009"/>
    <n v="572.28000000000009"/>
    <x v="0"/>
    <s v="2220"/>
    <s v="000"/>
    <x v="3"/>
    <x v="1"/>
  </r>
  <r>
    <d v="2012-01-06T00:00:00"/>
    <s v="016-2230-000"/>
    <s v="Wine Sales"/>
    <n v="310.08"/>
    <n v="0"/>
    <s v="Daily Sales Import"/>
    <n v="-310.08"/>
    <n v="310.08"/>
    <x v="0"/>
    <s v="2230"/>
    <s v="000"/>
    <x v="3"/>
    <x v="1"/>
  </r>
  <r>
    <d v="2012-01-07T00:00:00"/>
    <s v="016-2100-000"/>
    <s v="Food Sales"/>
    <n v="8852.1119999999992"/>
    <n v="0"/>
    <s v="Daily Sales Import"/>
    <n v="-8852.1119999999992"/>
    <n v="8852.1119999999992"/>
    <x v="0"/>
    <s v="2100"/>
    <s v="000"/>
    <x v="3"/>
    <x v="1"/>
  </r>
  <r>
    <d v="2012-01-07T00:00:00"/>
    <s v="016-2210-000"/>
    <s v="Liquor Sales"/>
    <n v="2623.05"/>
    <n v="0"/>
    <s v="Daily Sales Import"/>
    <n v="-2623.05"/>
    <n v="2623.05"/>
    <x v="0"/>
    <s v="2210"/>
    <s v="000"/>
    <x v="3"/>
    <x v="1"/>
  </r>
  <r>
    <d v="2012-01-07T00:00:00"/>
    <s v="016-2220-000"/>
    <s v="Beer Sales"/>
    <n v="479.52"/>
    <n v="0"/>
    <s v="Daily Sales Import"/>
    <n v="-479.52"/>
    <n v="479.52"/>
    <x v="0"/>
    <s v="2220"/>
    <s v="000"/>
    <x v="3"/>
    <x v="1"/>
  </r>
  <r>
    <d v="2012-01-07T00:00:00"/>
    <s v="016-2230-000"/>
    <s v="Wine Sales"/>
    <n v="351.60449999999997"/>
    <n v="0"/>
    <s v="Daily Sales Import"/>
    <n v="-351.60449999999997"/>
    <n v="351.60449999999997"/>
    <x v="0"/>
    <s v="2230"/>
    <s v="000"/>
    <x v="3"/>
    <x v="1"/>
  </r>
  <r>
    <d v="2012-01-08T00:00:00"/>
    <s v="016-2100-000"/>
    <s v="Food Sales"/>
    <n v="4306.3020000000006"/>
    <n v="0"/>
    <s v="Daily Sales Import"/>
    <n v="-4306.3020000000006"/>
    <n v="4306.3020000000006"/>
    <x v="0"/>
    <s v="2100"/>
    <s v="000"/>
    <x v="3"/>
    <x v="1"/>
  </r>
  <r>
    <d v="2012-01-08T00:00:00"/>
    <s v="016-2210-000"/>
    <s v="Liquor Sales"/>
    <n v="774.66"/>
    <n v="0"/>
    <s v="Daily Sales Import"/>
    <n v="-774.66"/>
    <n v="774.66"/>
    <x v="0"/>
    <s v="2210"/>
    <s v="000"/>
    <x v="3"/>
    <x v="1"/>
  </r>
  <r>
    <d v="2012-01-08T00:00:00"/>
    <s v="016-2220-000"/>
    <s v="Beer Sales"/>
    <n v="167.0625"/>
    <n v="0"/>
    <s v="Daily Sales Import"/>
    <n v="-167.0625"/>
    <n v="167.0625"/>
    <x v="0"/>
    <s v="2220"/>
    <s v="000"/>
    <x v="3"/>
    <x v="1"/>
  </r>
  <r>
    <d v="2012-01-08T00:00:00"/>
    <s v="016-2230-000"/>
    <s v="Wine Sales"/>
    <n v="102.66"/>
    <n v="0"/>
    <s v="Daily Sales Import"/>
    <n v="-102.66"/>
    <n v="102.66"/>
    <x v="0"/>
    <s v="2230"/>
    <s v="000"/>
    <x v="3"/>
    <x v="1"/>
  </r>
  <r>
    <d v="2012-01-02T00:00:00"/>
    <s v="017-2100-000"/>
    <s v="Food Sales"/>
    <n v="2902.0849000000003"/>
    <n v="0"/>
    <s v="Daily Sales Import"/>
    <n v="-2902.0849000000003"/>
    <n v="2902.0849000000003"/>
    <x v="1"/>
    <s v="2100"/>
    <s v="000"/>
    <x v="3"/>
    <x v="1"/>
  </r>
  <r>
    <d v="2012-01-02T00:00:00"/>
    <s v="017-2210-000"/>
    <s v="Liquor Sales"/>
    <n v="593.3655"/>
    <n v="0"/>
    <s v="Daily Sales Import"/>
    <n v="-593.3655"/>
    <n v="593.3655"/>
    <x v="1"/>
    <s v="2210"/>
    <s v="000"/>
    <x v="3"/>
    <x v="1"/>
  </r>
  <r>
    <d v="2012-01-02T00:00:00"/>
    <s v="017-2220-000"/>
    <s v="Beer Sales"/>
    <n v="74.114999999999995"/>
    <n v="0"/>
    <s v="Daily Sales Import"/>
    <n v="-74.114999999999995"/>
    <n v="74.114999999999995"/>
    <x v="1"/>
    <s v="2220"/>
    <s v="000"/>
    <x v="3"/>
    <x v="1"/>
  </r>
  <r>
    <d v="2012-01-02T00:00:00"/>
    <s v="017-2230-000"/>
    <s v="Wine Sales"/>
    <n v="69.3"/>
    <n v="0"/>
    <s v="Daily Sales Import"/>
    <n v="-69.3"/>
    <n v="69.3"/>
    <x v="1"/>
    <s v="2230"/>
    <s v="000"/>
    <x v="3"/>
    <x v="1"/>
  </r>
  <r>
    <d v="2012-01-03T00:00:00"/>
    <s v="017-2100-000"/>
    <s v="Food Sales"/>
    <n v="3595.4451000000004"/>
    <n v="0"/>
    <s v="Daily Sales Import"/>
    <n v="-3595.4451000000004"/>
    <n v="3595.4451000000004"/>
    <x v="1"/>
    <s v="2100"/>
    <s v="000"/>
    <x v="3"/>
    <x v="1"/>
  </r>
  <r>
    <d v="2012-01-03T00:00:00"/>
    <s v="017-2210-000"/>
    <s v="Liquor Sales"/>
    <n v="740.76699999999994"/>
    <n v="0"/>
    <s v="Daily Sales Import"/>
    <n v="-740.76699999999994"/>
    <n v="740.76699999999994"/>
    <x v="1"/>
    <s v="2210"/>
    <s v="000"/>
    <x v="3"/>
    <x v="1"/>
  </r>
  <r>
    <d v="2012-01-03T00:00:00"/>
    <s v="017-2220-000"/>
    <s v="Beer Sales"/>
    <n v="159.32999999999998"/>
    <n v="0"/>
    <s v="Daily Sales Import"/>
    <n v="-159.32999999999998"/>
    <n v="159.32999999999998"/>
    <x v="1"/>
    <s v="2220"/>
    <s v="000"/>
    <x v="3"/>
    <x v="1"/>
  </r>
  <r>
    <d v="2012-01-03T00:00:00"/>
    <s v="017-2230-000"/>
    <s v="Wine Sales"/>
    <n v="42.920999999999992"/>
    <n v="0"/>
    <s v="Daily Sales Import"/>
    <n v="-42.920999999999992"/>
    <n v="42.920999999999992"/>
    <x v="1"/>
    <s v="2230"/>
    <s v="000"/>
    <x v="3"/>
    <x v="1"/>
  </r>
  <r>
    <d v="2012-01-04T00:00:00"/>
    <s v="017-2100-000"/>
    <s v="Food Sales"/>
    <n v="4891.1414999999997"/>
    <n v="0"/>
    <s v="Daily Sales Import"/>
    <n v="-4891.1414999999997"/>
    <n v="4891.1414999999997"/>
    <x v="1"/>
    <s v="2100"/>
    <s v="000"/>
    <x v="3"/>
    <x v="1"/>
  </r>
  <r>
    <d v="2012-01-04T00:00:00"/>
    <s v="017-2210-000"/>
    <s v="Liquor Sales"/>
    <n v="734.52600000000007"/>
    <n v="0"/>
    <s v="Daily Sales Import"/>
    <n v="-734.52600000000007"/>
    <n v="734.52600000000007"/>
    <x v="1"/>
    <s v="2210"/>
    <s v="000"/>
    <x v="3"/>
    <x v="1"/>
  </r>
  <r>
    <d v="2012-01-04T00:00:00"/>
    <s v="017-2220-000"/>
    <s v="Beer Sales"/>
    <n v="182.04749999999999"/>
    <n v="0"/>
    <s v="Daily Sales Import"/>
    <n v="-182.04749999999999"/>
    <n v="182.04749999999999"/>
    <x v="1"/>
    <s v="2220"/>
    <s v="000"/>
    <x v="3"/>
    <x v="1"/>
  </r>
  <r>
    <d v="2012-01-04T00:00:00"/>
    <s v="017-2230-000"/>
    <s v="Wine Sales"/>
    <n v="60.160500000000006"/>
    <n v="0"/>
    <s v="Daily Sales Import"/>
    <n v="-60.160500000000006"/>
    <n v="60.160500000000006"/>
    <x v="1"/>
    <s v="2230"/>
    <s v="000"/>
    <x v="3"/>
    <x v="1"/>
  </r>
  <r>
    <d v="2012-01-05T00:00:00"/>
    <s v="017-2100-000"/>
    <s v="Food Sales"/>
    <n v="4675.8374999999996"/>
    <n v="0"/>
    <s v="Daily Sales Import"/>
    <n v="-4675.8374999999996"/>
    <n v="4675.8374999999996"/>
    <x v="1"/>
    <s v="2100"/>
    <s v="000"/>
    <x v="3"/>
    <x v="1"/>
  </r>
  <r>
    <d v="2012-01-05T00:00:00"/>
    <s v="017-2210-000"/>
    <s v="Liquor Sales"/>
    <n v="752.37"/>
    <n v="0"/>
    <s v="Daily Sales Import"/>
    <n v="-752.37"/>
    <n v="752.37"/>
    <x v="1"/>
    <s v="2210"/>
    <s v="000"/>
    <x v="3"/>
    <x v="1"/>
  </r>
  <r>
    <d v="2012-01-05T00:00:00"/>
    <s v="017-2220-000"/>
    <s v="Beer Sales"/>
    <n v="315.20999999999998"/>
    <n v="0"/>
    <s v="Daily Sales Import"/>
    <n v="-315.20999999999998"/>
    <n v="315.20999999999998"/>
    <x v="1"/>
    <s v="2220"/>
    <s v="000"/>
    <x v="3"/>
    <x v="1"/>
  </r>
  <r>
    <d v="2012-01-05T00:00:00"/>
    <s v="017-2230-000"/>
    <s v="Wine Sales"/>
    <n v="67.520999999999987"/>
    <n v="0"/>
    <s v="Daily Sales Import"/>
    <n v="-67.520999999999987"/>
    <n v="67.520999999999987"/>
    <x v="1"/>
    <s v="2230"/>
    <s v="000"/>
    <x v="3"/>
    <x v="1"/>
  </r>
  <r>
    <d v="2012-01-06T00:00:00"/>
    <s v="017-2100-000"/>
    <s v="Food Sales"/>
    <n v="7597.3239999999996"/>
    <n v="0"/>
    <s v="Daily Sales Import"/>
    <n v="-7597.3239999999996"/>
    <n v="7597.3239999999996"/>
    <x v="1"/>
    <s v="2100"/>
    <s v="000"/>
    <x v="3"/>
    <x v="1"/>
  </r>
  <r>
    <d v="2012-01-06T00:00:00"/>
    <s v="017-2210-000"/>
    <s v="Liquor Sales"/>
    <n v="2982.7890000000002"/>
    <n v="0"/>
    <s v="Daily Sales Import"/>
    <n v="-2982.7890000000002"/>
    <n v="2982.7890000000002"/>
    <x v="1"/>
    <s v="2210"/>
    <s v="000"/>
    <x v="3"/>
    <x v="1"/>
  </r>
  <r>
    <d v="2012-01-06T00:00:00"/>
    <s v="017-2220-000"/>
    <s v="Beer Sales"/>
    <n v="976.86"/>
    <n v="0"/>
    <s v="Daily Sales Import"/>
    <n v="-976.86"/>
    <n v="976.86"/>
    <x v="1"/>
    <s v="2220"/>
    <s v="000"/>
    <x v="3"/>
    <x v="1"/>
  </r>
  <r>
    <d v="2012-01-06T00:00:00"/>
    <s v="017-2230-000"/>
    <s v="Wine Sales"/>
    <n v="224.46"/>
    <n v="0"/>
    <s v="Daily Sales Import"/>
    <n v="-224.46"/>
    <n v="224.46"/>
    <x v="1"/>
    <s v="2230"/>
    <s v="000"/>
    <x v="3"/>
    <x v="1"/>
  </r>
  <r>
    <d v="2012-01-07T00:00:00"/>
    <s v="017-2100-000"/>
    <s v="Food Sales"/>
    <n v="9009.1020000000008"/>
    <n v="0"/>
    <s v="Daily Sales Import"/>
    <n v="-9009.1020000000008"/>
    <n v="9009.1020000000008"/>
    <x v="1"/>
    <s v="2100"/>
    <s v="000"/>
    <x v="3"/>
    <x v="1"/>
  </r>
  <r>
    <d v="2012-01-07T00:00:00"/>
    <s v="017-2210-000"/>
    <s v="Liquor Sales"/>
    <n v="1338.71"/>
    <n v="0"/>
    <s v="Daily Sales Import"/>
    <n v="-1338.71"/>
    <n v="1338.71"/>
    <x v="1"/>
    <s v="2210"/>
    <s v="000"/>
    <x v="3"/>
    <x v="1"/>
  </r>
  <r>
    <d v="2012-01-07T00:00:00"/>
    <s v="017-2220-000"/>
    <s v="Beer Sales"/>
    <n v="416.74"/>
    <n v="0"/>
    <s v="Daily Sales Import"/>
    <n v="-416.74"/>
    <n v="416.74"/>
    <x v="1"/>
    <s v="2220"/>
    <s v="000"/>
    <x v="3"/>
    <x v="1"/>
  </r>
  <r>
    <d v="2012-01-07T00:00:00"/>
    <s v="017-2230-000"/>
    <s v="Wine Sales"/>
    <n v="104.62199999999999"/>
    <n v="0"/>
    <s v="Daily Sales Import"/>
    <n v="-104.62199999999999"/>
    <n v="104.62199999999999"/>
    <x v="1"/>
    <s v="2230"/>
    <s v="000"/>
    <x v="3"/>
    <x v="1"/>
  </r>
  <r>
    <d v="2012-01-08T00:00:00"/>
    <s v="017-2100-000"/>
    <s v="Food Sales"/>
    <n v="3211.6494999999995"/>
    <n v="0"/>
    <s v="Daily Sales Import"/>
    <n v="-3211.6494999999995"/>
    <n v="3211.6494999999995"/>
    <x v="1"/>
    <s v="2100"/>
    <s v="000"/>
    <x v="3"/>
    <x v="1"/>
  </r>
  <r>
    <d v="2012-01-08T00:00:00"/>
    <s v="017-2210-000"/>
    <s v="Liquor Sales"/>
    <n v="463.089"/>
    <n v="0"/>
    <s v="Daily Sales Import"/>
    <n v="-463.089"/>
    <n v="463.089"/>
    <x v="1"/>
    <s v="2210"/>
    <s v="000"/>
    <x v="3"/>
    <x v="1"/>
  </r>
  <r>
    <d v="2012-01-08T00:00:00"/>
    <s v="017-2220-000"/>
    <s v="Beer Sales"/>
    <n v="150.72749999999999"/>
    <n v="0"/>
    <s v="Daily Sales Import"/>
    <n v="-150.72749999999999"/>
    <n v="150.72749999999999"/>
    <x v="1"/>
    <s v="2220"/>
    <s v="000"/>
    <x v="3"/>
    <x v="1"/>
  </r>
  <r>
    <d v="2012-01-08T00:00:00"/>
    <s v="017-2230-000"/>
    <s v="Wine Sales"/>
    <n v="98.94"/>
    <n v="0"/>
    <s v="Daily Sales Import"/>
    <n v="-98.94"/>
    <n v="98.94"/>
    <x v="1"/>
    <s v="2230"/>
    <s v="000"/>
    <x v="3"/>
    <x v="1"/>
  </r>
  <r>
    <d v="2012-01-02T00:00:00"/>
    <s v="018-2100-000"/>
    <s v="Food Sales"/>
    <n v="6341.3959000000004"/>
    <n v="0"/>
    <s v="Daily Sales Import"/>
    <n v="-6341.3959000000004"/>
    <n v="6341.3959000000004"/>
    <x v="2"/>
    <s v="2100"/>
    <s v="000"/>
    <x v="3"/>
    <x v="1"/>
  </r>
  <r>
    <d v="2012-01-02T00:00:00"/>
    <s v="018-2210-000"/>
    <s v="Liquor Sales"/>
    <n v="788.76600000000008"/>
    <n v="0"/>
    <s v="Daily Sales Import"/>
    <n v="-788.76600000000008"/>
    <n v="788.76600000000008"/>
    <x v="2"/>
    <s v="2210"/>
    <s v="000"/>
    <x v="3"/>
    <x v="1"/>
  </r>
  <r>
    <d v="2012-01-02T00:00:00"/>
    <s v="018-2220-000"/>
    <s v="Beer Sales"/>
    <n v="222.66899999999998"/>
    <n v="0"/>
    <s v="Daily Sales Import"/>
    <n v="-222.66899999999998"/>
    <n v="222.66899999999998"/>
    <x v="2"/>
    <s v="2220"/>
    <s v="000"/>
    <x v="3"/>
    <x v="1"/>
  </r>
  <r>
    <d v="2012-01-02T00:00:00"/>
    <s v="018-2230-000"/>
    <s v="Wine Sales"/>
    <n v="87.22999999999999"/>
    <n v="0"/>
    <s v="Daily Sales Import"/>
    <n v="-87.22999999999999"/>
    <n v="87.22999999999999"/>
    <x v="2"/>
    <s v="2230"/>
    <s v="000"/>
    <x v="3"/>
    <x v="1"/>
  </r>
  <r>
    <d v="2012-01-03T00:00:00"/>
    <s v="018-2100-000"/>
    <s v="Food Sales"/>
    <n v="3155.3445000000002"/>
    <n v="0"/>
    <s v="Daily Sales Import"/>
    <n v="-3155.3445000000002"/>
    <n v="3155.3445000000002"/>
    <x v="2"/>
    <s v="2100"/>
    <s v="000"/>
    <x v="3"/>
    <x v="1"/>
  </r>
  <r>
    <d v="2012-01-03T00:00:00"/>
    <s v="018-2210-000"/>
    <s v="Liquor Sales"/>
    <n v="577.30500000000006"/>
    <n v="0"/>
    <s v="Daily Sales Import"/>
    <n v="-577.30500000000006"/>
    <n v="577.30500000000006"/>
    <x v="2"/>
    <s v="2210"/>
    <s v="000"/>
    <x v="3"/>
    <x v="1"/>
  </r>
  <r>
    <d v="2012-01-03T00:00:00"/>
    <s v="018-2220-000"/>
    <s v="Beer Sales"/>
    <n v="94.48"/>
    <n v="0"/>
    <s v="Daily Sales Import"/>
    <n v="-94.48"/>
    <n v="94.48"/>
    <x v="2"/>
    <s v="2220"/>
    <s v="000"/>
    <x v="3"/>
    <x v="1"/>
  </r>
  <r>
    <d v="2012-01-03T00:00:00"/>
    <s v="018-2230-000"/>
    <s v="Wine Sales"/>
    <n v="26.768000000000001"/>
    <n v="0"/>
    <s v="Daily Sales Import"/>
    <n v="-26.768000000000001"/>
    <n v="26.768000000000001"/>
    <x v="2"/>
    <s v="2230"/>
    <s v="000"/>
    <x v="3"/>
    <x v="1"/>
  </r>
  <r>
    <d v="2012-01-04T00:00:00"/>
    <s v="018-2100-000"/>
    <s v="Food Sales"/>
    <n v="3072.9750000000004"/>
    <n v="0"/>
    <s v="Daily Sales Import"/>
    <n v="-3072.9750000000004"/>
    <n v="3072.9750000000004"/>
    <x v="2"/>
    <s v="2100"/>
    <s v="000"/>
    <x v="3"/>
    <x v="1"/>
  </r>
  <r>
    <d v="2012-01-04T00:00:00"/>
    <s v="018-2210-000"/>
    <s v="Liquor Sales"/>
    <n v="577.77300000000002"/>
    <n v="0"/>
    <s v="Daily Sales Import"/>
    <n v="-577.77300000000002"/>
    <n v="577.77300000000002"/>
    <x v="2"/>
    <s v="2210"/>
    <s v="000"/>
    <x v="3"/>
    <x v="1"/>
  </r>
  <r>
    <d v="2012-01-04T00:00:00"/>
    <s v="018-2220-000"/>
    <s v="Beer Sales"/>
    <n v="153.03200000000001"/>
    <n v="0"/>
    <s v="Daily Sales Import"/>
    <n v="-153.03200000000001"/>
    <n v="153.03200000000001"/>
    <x v="2"/>
    <s v="2220"/>
    <s v="000"/>
    <x v="3"/>
    <x v="1"/>
  </r>
  <r>
    <d v="2012-01-04T00:00:00"/>
    <s v="018-2230-000"/>
    <s v="Wine Sales"/>
    <n v="68.984999999999999"/>
    <n v="0"/>
    <s v="Daily Sales Import"/>
    <n v="-68.984999999999999"/>
    <n v="68.984999999999999"/>
    <x v="2"/>
    <s v="2230"/>
    <s v="000"/>
    <x v="3"/>
    <x v="1"/>
  </r>
  <r>
    <d v="2012-01-05T00:00:00"/>
    <s v="018-2100-000"/>
    <s v="Food Sales"/>
    <n v="3305.3120000000004"/>
    <n v="0"/>
    <s v="Daily Sales Import"/>
    <n v="-3305.3120000000004"/>
    <n v="3305.3120000000004"/>
    <x v="2"/>
    <s v="2100"/>
    <s v="000"/>
    <x v="3"/>
    <x v="1"/>
  </r>
  <r>
    <d v="2012-01-05T00:00:00"/>
    <s v="018-2210-000"/>
    <s v="Liquor Sales"/>
    <n v="367.32"/>
    <n v="0"/>
    <s v="Daily Sales Import"/>
    <n v="-367.32"/>
    <n v="367.32"/>
    <x v="2"/>
    <s v="2210"/>
    <s v="000"/>
    <x v="3"/>
    <x v="1"/>
  </r>
  <r>
    <d v="2012-01-05T00:00:00"/>
    <s v="018-2220-000"/>
    <s v="Beer Sales"/>
    <n v="105.0175"/>
    <n v="0"/>
    <s v="Daily Sales Import"/>
    <n v="-105.0175"/>
    <n v="105.0175"/>
    <x v="2"/>
    <s v="2220"/>
    <s v="000"/>
    <x v="3"/>
    <x v="1"/>
  </r>
  <r>
    <d v="2012-01-05T00:00:00"/>
    <s v="018-2230-000"/>
    <s v="Wine Sales"/>
    <n v="15.652000000000001"/>
    <n v="0"/>
    <s v="Daily Sales Import"/>
    <n v="-15.652000000000001"/>
    <n v="15.652000000000001"/>
    <x v="2"/>
    <s v="2230"/>
    <s v="000"/>
    <x v="3"/>
    <x v="1"/>
  </r>
  <r>
    <d v="2012-01-06T00:00:00"/>
    <s v="018-2100-000"/>
    <s v="Food Sales"/>
    <n v="10021.924999999999"/>
    <n v="0"/>
    <s v="Daily Sales Import"/>
    <n v="-10021.924999999999"/>
    <n v="10021.924999999999"/>
    <x v="2"/>
    <s v="2100"/>
    <s v="000"/>
    <x v="3"/>
    <x v="1"/>
  </r>
  <r>
    <d v="2012-01-06T00:00:00"/>
    <s v="018-2210-000"/>
    <s v="Liquor Sales"/>
    <n v="2677.3565000000003"/>
    <n v="0"/>
    <s v="Daily Sales Import"/>
    <n v="-2677.3565000000003"/>
    <n v="2677.3565000000003"/>
    <x v="2"/>
    <s v="2210"/>
    <s v="000"/>
    <x v="3"/>
    <x v="1"/>
  </r>
  <r>
    <d v="2012-01-06T00:00:00"/>
    <s v="018-2220-000"/>
    <s v="Beer Sales"/>
    <n v="527.16949999999997"/>
    <n v="0"/>
    <s v="Daily Sales Import"/>
    <n v="-527.16949999999997"/>
    <n v="527.16949999999997"/>
    <x v="2"/>
    <s v="2220"/>
    <s v="000"/>
    <x v="3"/>
    <x v="1"/>
  </r>
  <r>
    <d v="2012-01-06T00:00:00"/>
    <s v="018-2230-000"/>
    <s v="Wine Sales"/>
    <n v="65.64"/>
    <n v="0"/>
    <s v="Daily Sales Import"/>
    <n v="-65.64"/>
    <n v="65.64"/>
    <x v="2"/>
    <s v="2230"/>
    <s v="000"/>
    <x v="3"/>
    <x v="1"/>
  </r>
  <r>
    <d v="2012-01-07T00:00:00"/>
    <s v="018-2100-000"/>
    <s v="Food Sales"/>
    <n v="11225.287499999999"/>
    <n v="0"/>
    <s v="Daily Sales Import"/>
    <n v="-11225.287499999999"/>
    <n v="11225.287499999999"/>
    <x v="2"/>
    <s v="2100"/>
    <s v="000"/>
    <x v="3"/>
    <x v="1"/>
  </r>
  <r>
    <d v="2012-01-07T00:00:00"/>
    <s v="018-2210-000"/>
    <s v="Liquor Sales"/>
    <n v="2151.6389999999997"/>
    <n v="0"/>
    <s v="Daily Sales Import"/>
    <n v="-2151.6389999999997"/>
    <n v="2151.6389999999997"/>
    <x v="2"/>
    <s v="2210"/>
    <s v="000"/>
    <x v="3"/>
    <x v="1"/>
  </r>
  <r>
    <d v="2012-01-07T00:00:00"/>
    <s v="018-2220-000"/>
    <s v="Beer Sales"/>
    <n v="572.66999999999996"/>
    <n v="0"/>
    <s v="Daily Sales Import"/>
    <n v="-572.66999999999996"/>
    <n v="572.66999999999996"/>
    <x v="2"/>
    <s v="2220"/>
    <s v="000"/>
    <x v="3"/>
    <x v="1"/>
  </r>
  <r>
    <d v="2012-01-07T00:00:00"/>
    <s v="018-2230-000"/>
    <s v="Wine Sales"/>
    <n v="77.210999999999999"/>
    <n v="0"/>
    <s v="Daily Sales Import"/>
    <n v="-77.210999999999999"/>
    <n v="77.210999999999999"/>
    <x v="2"/>
    <s v="2230"/>
    <s v="000"/>
    <x v="3"/>
    <x v="1"/>
  </r>
  <r>
    <d v="2012-01-08T00:00:00"/>
    <s v="018-2100-000"/>
    <s v="Food Sales"/>
    <n v="6942.2084999999997"/>
    <n v="0"/>
    <s v="Daily Sales Import"/>
    <n v="-6942.2084999999997"/>
    <n v="6942.2084999999997"/>
    <x v="2"/>
    <s v="2100"/>
    <s v="000"/>
    <x v="3"/>
    <x v="1"/>
  </r>
  <r>
    <d v="2012-01-08T00:00:00"/>
    <s v="018-2210-000"/>
    <s v="Liquor Sales"/>
    <n v="800.19299999999998"/>
    <n v="0"/>
    <s v="Daily Sales Import"/>
    <n v="-800.19299999999998"/>
    <n v="800.19299999999998"/>
    <x v="2"/>
    <s v="2210"/>
    <s v="000"/>
    <x v="3"/>
    <x v="1"/>
  </r>
  <r>
    <d v="2012-01-08T00:00:00"/>
    <s v="018-2220-000"/>
    <s v="Beer Sales"/>
    <n v="229.27199999999999"/>
    <n v="0"/>
    <s v="Daily Sales Import"/>
    <n v="-229.27199999999999"/>
    <n v="229.27199999999999"/>
    <x v="2"/>
    <s v="2220"/>
    <s v="000"/>
    <x v="3"/>
    <x v="1"/>
  </r>
  <r>
    <d v="2012-01-08T00:00:00"/>
    <s v="018-2230-000"/>
    <s v="Wine Sales"/>
    <n v="48.884"/>
    <n v="0"/>
    <s v="Daily Sales Import"/>
    <n v="-48.884"/>
    <n v="48.884"/>
    <x v="2"/>
    <s v="2230"/>
    <s v="000"/>
    <x v="3"/>
    <x v="1"/>
  </r>
  <r>
    <d v="2012-01-09T00:00:00"/>
    <s v="016-2100-000"/>
    <s v="Food Sales"/>
    <n v="2468.1024000000002"/>
    <n v="0"/>
    <s v="Daily Sales Import"/>
    <n v="-2468.1024000000002"/>
    <n v="2468.1024000000002"/>
    <x v="0"/>
    <s v="2100"/>
    <s v="000"/>
    <x v="3"/>
    <x v="1"/>
  </r>
  <r>
    <d v="2012-01-09T00:00:00"/>
    <s v="016-2210-000"/>
    <s v="Liquor Sales"/>
    <n v="379.06099999999998"/>
    <n v="0"/>
    <s v="Daily Sales Import"/>
    <n v="-379.06099999999998"/>
    <n v="379.06099999999998"/>
    <x v="0"/>
    <s v="2210"/>
    <s v="000"/>
    <x v="3"/>
    <x v="1"/>
  </r>
  <r>
    <d v="2012-01-09T00:00:00"/>
    <s v="016-2220-000"/>
    <s v="Beer Sales"/>
    <n v="92.767499999999998"/>
    <n v="0"/>
    <s v="Daily Sales Import"/>
    <n v="-92.767499999999998"/>
    <n v="92.767499999999998"/>
    <x v="0"/>
    <s v="2220"/>
    <s v="000"/>
    <x v="3"/>
    <x v="1"/>
  </r>
  <r>
    <d v="2012-01-09T00:00:00"/>
    <s v="016-2230-000"/>
    <s v="Wine Sales"/>
    <n v="79.170999999999992"/>
    <n v="0"/>
    <s v="Daily Sales Import"/>
    <n v="-79.170999999999992"/>
    <n v="79.170999999999992"/>
    <x v="0"/>
    <s v="2230"/>
    <s v="000"/>
    <x v="3"/>
    <x v="1"/>
  </r>
  <r>
    <d v="2012-01-10T00:00:00"/>
    <s v="016-2100-000"/>
    <s v="Food Sales"/>
    <n v="2590.1840000000002"/>
    <n v="0"/>
    <s v="Daily Sales Import"/>
    <n v="-2590.1840000000002"/>
    <n v="2590.1840000000002"/>
    <x v="0"/>
    <s v="2100"/>
    <s v="000"/>
    <x v="3"/>
    <x v="1"/>
  </r>
  <r>
    <d v="2012-01-10T00:00:00"/>
    <s v="016-2210-000"/>
    <s v="Liquor Sales"/>
    <n v="481.15200000000004"/>
    <n v="0"/>
    <s v="Daily Sales Import"/>
    <n v="-481.15200000000004"/>
    <n v="481.15200000000004"/>
    <x v="0"/>
    <s v="2210"/>
    <s v="000"/>
    <x v="3"/>
    <x v="1"/>
  </r>
  <r>
    <d v="2012-01-10T00:00:00"/>
    <s v="016-2220-000"/>
    <s v="Beer Sales"/>
    <n v="166.518"/>
    <n v="0"/>
    <s v="Daily Sales Import"/>
    <n v="-166.518"/>
    <n v="166.518"/>
    <x v="0"/>
    <s v="2220"/>
    <s v="000"/>
    <x v="3"/>
    <x v="1"/>
  </r>
  <r>
    <d v="2012-01-10T00:00:00"/>
    <s v="016-2230-000"/>
    <s v="Wine Sales"/>
    <n v="44.225999999999999"/>
    <n v="0"/>
    <s v="Daily Sales Import"/>
    <n v="-44.225999999999999"/>
    <n v="44.225999999999999"/>
    <x v="0"/>
    <s v="2230"/>
    <s v="000"/>
    <x v="3"/>
    <x v="1"/>
  </r>
  <r>
    <d v="2012-01-11T00:00:00"/>
    <s v="016-2100-000"/>
    <s v="Food Sales"/>
    <n v="2773.9448000000002"/>
    <n v="0"/>
    <s v="Daily Sales Import"/>
    <n v="-2773.9448000000002"/>
    <n v="2773.9448000000002"/>
    <x v="0"/>
    <s v="2100"/>
    <s v="000"/>
    <x v="3"/>
    <x v="1"/>
  </r>
  <r>
    <d v="2012-01-11T00:00:00"/>
    <s v="016-2210-000"/>
    <s v="Liquor Sales"/>
    <n v="786.36800000000005"/>
    <n v="0"/>
    <s v="Daily Sales Import"/>
    <n v="-786.36800000000005"/>
    <n v="786.36800000000005"/>
    <x v="0"/>
    <s v="2210"/>
    <s v="000"/>
    <x v="3"/>
    <x v="1"/>
  </r>
  <r>
    <d v="2012-01-11T00:00:00"/>
    <s v="016-2220-000"/>
    <s v="Beer Sales"/>
    <n v="103.22400000000002"/>
    <n v="0"/>
    <s v="Daily Sales Import"/>
    <n v="-103.22400000000002"/>
    <n v="103.22400000000002"/>
    <x v="0"/>
    <s v="2220"/>
    <s v="000"/>
    <x v="3"/>
    <x v="1"/>
  </r>
  <r>
    <d v="2012-01-11T00:00:00"/>
    <s v="016-2230-000"/>
    <s v="Wine Sales"/>
    <n v="80.136499999999998"/>
    <n v="0"/>
    <s v="Daily Sales Import"/>
    <n v="-80.136499999999998"/>
    <n v="80.136499999999998"/>
    <x v="0"/>
    <s v="2230"/>
    <s v="000"/>
    <x v="3"/>
    <x v="1"/>
  </r>
  <r>
    <d v="2012-01-12T00:00:00"/>
    <s v="016-2100-000"/>
    <s v="Food Sales"/>
    <n v="2803.9686999999999"/>
    <n v="0"/>
    <s v="Daily Sales Import"/>
    <n v="-2803.9686999999999"/>
    <n v="2803.9686999999999"/>
    <x v="0"/>
    <s v="2100"/>
    <s v="000"/>
    <x v="3"/>
    <x v="1"/>
  </r>
  <r>
    <d v="2012-01-12T00:00:00"/>
    <s v="016-2210-000"/>
    <s v="Liquor Sales"/>
    <n v="823.68"/>
    <n v="0"/>
    <s v="Daily Sales Import"/>
    <n v="-823.68"/>
    <n v="823.68"/>
    <x v="0"/>
    <s v="2210"/>
    <s v="000"/>
    <x v="3"/>
    <x v="1"/>
  </r>
  <r>
    <d v="2012-01-12T00:00:00"/>
    <s v="016-2220-000"/>
    <s v="Beer Sales"/>
    <n v="117.99"/>
    <n v="0"/>
    <s v="Daily Sales Import"/>
    <n v="-117.99"/>
    <n v="117.99"/>
    <x v="0"/>
    <s v="2220"/>
    <s v="000"/>
    <x v="3"/>
    <x v="1"/>
  </r>
  <r>
    <d v="2012-01-12T00:00:00"/>
    <s v="016-2230-000"/>
    <s v="Wine Sales"/>
    <n v="78.453500000000005"/>
    <n v="0"/>
    <s v="Daily Sales Import"/>
    <n v="-78.453500000000005"/>
    <n v="78.453500000000005"/>
    <x v="0"/>
    <s v="2230"/>
    <s v="000"/>
    <x v="3"/>
    <x v="1"/>
  </r>
  <r>
    <d v="2012-01-13T00:00:00"/>
    <s v="016-2100-000"/>
    <s v="Food Sales"/>
    <n v="5803.2586000000001"/>
    <n v="0"/>
    <s v="Daily Sales Import"/>
    <n v="-5803.2586000000001"/>
    <n v="5803.2586000000001"/>
    <x v="0"/>
    <s v="2100"/>
    <s v="000"/>
    <x v="3"/>
    <x v="1"/>
  </r>
  <r>
    <d v="2012-01-13T00:00:00"/>
    <s v="016-2210-000"/>
    <s v="Liquor Sales"/>
    <n v="1509.0429999999999"/>
    <n v="0"/>
    <s v="Daily Sales Import"/>
    <n v="-1509.0429999999999"/>
    <n v="1509.0429999999999"/>
    <x v="0"/>
    <s v="2210"/>
    <s v="000"/>
    <x v="3"/>
    <x v="1"/>
  </r>
  <r>
    <d v="2012-01-13T00:00:00"/>
    <s v="016-2220-000"/>
    <s v="Beer Sales"/>
    <n v="313.29449999999997"/>
    <n v="0"/>
    <s v="Daily Sales Import"/>
    <n v="-313.29449999999997"/>
    <n v="313.29449999999997"/>
    <x v="0"/>
    <s v="2220"/>
    <s v="000"/>
    <x v="3"/>
    <x v="1"/>
  </r>
  <r>
    <d v="2012-01-13T00:00:00"/>
    <s v="016-2230-000"/>
    <s v="Wine Sales"/>
    <n v="132.04049999999998"/>
    <n v="0"/>
    <s v="Daily Sales Import"/>
    <n v="-132.04049999999998"/>
    <n v="132.04049999999998"/>
    <x v="0"/>
    <s v="2230"/>
    <s v="000"/>
    <x v="3"/>
    <x v="1"/>
  </r>
  <r>
    <d v="2012-01-14T00:00:00"/>
    <s v="016-2100-000"/>
    <s v="Food Sales"/>
    <n v="6358.3064999999997"/>
    <n v="0"/>
    <s v="Daily Sales Import"/>
    <n v="-6358.3064999999997"/>
    <n v="6358.3064999999997"/>
    <x v="0"/>
    <s v="2100"/>
    <s v="000"/>
    <x v="3"/>
    <x v="1"/>
  </r>
  <r>
    <d v="2012-01-14T00:00:00"/>
    <s v="016-2210-000"/>
    <s v="Liquor Sales"/>
    <n v="2213.9524999999999"/>
    <n v="0"/>
    <s v="Daily Sales Import"/>
    <n v="-2213.9524999999999"/>
    <n v="2213.9524999999999"/>
    <x v="0"/>
    <s v="2210"/>
    <s v="000"/>
    <x v="3"/>
    <x v="1"/>
  </r>
  <r>
    <d v="2012-01-14T00:00:00"/>
    <s v="016-2220-000"/>
    <s v="Beer Sales"/>
    <n v="433.21500000000003"/>
    <n v="0"/>
    <s v="Daily Sales Import"/>
    <n v="-433.21500000000003"/>
    <n v="433.21500000000003"/>
    <x v="0"/>
    <s v="2220"/>
    <s v="000"/>
    <x v="3"/>
    <x v="1"/>
  </r>
  <r>
    <d v="2012-01-14T00:00:00"/>
    <s v="016-2230-000"/>
    <s v="Wine Sales"/>
    <n v="185.1575"/>
    <n v="0"/>
    <s v="Daily Sales Import"/>
    <n v="-185.1575"/>
    <n v="185.1575"/>
    <x v="0"/>
    <s v="2230"/>
    <s v="000"/>
    <x v="3"/>
    <x v="1"/>
  </r>
  <r>
    <d v="2012-01-15T00:00:00"/>
    <s v="016-2100-000"/>
    <s v="Food Sales"/>
    <n v="6274.6540000000005"/>
    <n v="0"/>
    <s v="Daily Sales Import"/>
    <n v="-6274.6540000000005"/>
    <n v="6274.6540000000005"/>
    <x v="0"/>
    <s v="2100"/>
    <s v="000"/>
    <x v="3"/>
    <x v="1"/>
  </r>
  <r>
    <d v="2012-01-15T00:00:00"/>
    <s v="016-2210-000"/>
    <s v="Liquor Sales"/>
    <n v="1817.7750000000001"/>
    <n v="0"/>
    <s v="Daily Sales Import"/>
    <n v="-1817.7750000000001"/>
    <n v="1817.7750000000001"/>
    <x v="0"/>
    <s v="2210"/>
    <s v="000"/>
    <x v="3"/>
    <x v="1"/>
  </r>
  <r>
    <d v="2012-01-15T00:00:00"/>
    <s v="016-2220-000"/>
    <s v="Beer Sales"/>
    <n v="350.28"/>
    <n v="0"/>
    <s v="Daily Sales Import"/>
    <n v="-350.28"/>
    <n v="350.28"/>
    <x v="0"/>
    <s v="2220"/>
    <s v="000"/>
    <x v="3"/>
    <x v="1"/>
  </r>
  <r>
    <d v="2012-01-15T00:00:00"/>
    <s v="016-2230-000"/>
    <s v="Wine Sales"/>
    <n v="115.61"/>
    <n v="0"/>
    <s v="Daily Sales Import"/>
    <n v="-115.61"/>
    <n v="115.61"/>
    <x v="0"/>
    <s v="2230"/>
    <s v="000"/>
    <x v="3"/>
    <x v="1"/>
  </r>
  <r>
    <d v="2012-01-09T00:00:00"/>
    <s v="017-2100-000"/>
    <s v="Food Sales"/>
    <n v="2196.4250000000002"/>
    <n v="0"/>
    <s v="Daily Sales Import"/>
    <n v="-2196.4250000000002"/>
    <n v="2196.4250000000002"/>
    <x v="1"/>
    <s v="2100"/>
    <s v="000"/>
    <x v="3"/>
    <x v="1"/>
  </r>
  <r>
    <d v="2012-01-09T00:00:00"/>
    <s v="017-2210-000"/>
    <s v="Liquor Sales"/>
    <n v="893.97"/>
    <n v="0"/>
    <s v="Daily Sales Import"/>
    <n v="-893.97"/>
    <n v="893.97"/>
    <x v="1"/>
    <s v="2210"/>
    <s v="000"/>
    <x v="3"/>
    <x v="1"/>
  </r>
  <r>
    <d v="2012-01-09T00:00:00"/>
    <s v="017-2220-000"/>
    <s v="Beer Sales"/>
    <n v="444.23250000000002"/>
    <n v="0"/>
    <s v="Daily Sales Import"/>
    <n v="-444.23250000000002"/>
    <n v="444.23250000000002"/>
    <x v="1"/>
    <s v="2220"/>
    <s v="000"/>
    <x v="3"/>
    <x v="1"/>
  </r>
  <r>
    <d v="2012-01-09T00:00:00"/>
    <s v="017-2230-000"/>
    <s v="Wine Sales"/>
    <n v="25.805500000000002"/>
    <n v="0"/>
    <s v="Daily Sales Import"/>
    <n v="-25.805500000000002"/>
    <n v="25.805500000000002"/>
    <x v="1"/>
    <s v="2230"/>
    <s v="000"/>
    <x v="3"/>
    <x v="1"/>
  </r>
  <r>
    <d v="2012-01-10T00:00:00"/>
    <s v="017-2100-000"/>
    <s v="Food Sales"/>
    <n v="4132.4429999999993"/>
    <n v="0"/>
    <s v="Daily Sales Import"/>
    <n v="-4132.4429999999993"/>
    <n v="4132.4429999999993"/>
    <x v="1"/>
    <s v="2100"/>
    <s v="000"/>
    <x v="3"/>
    <x v="1"/>
  </r>
  <r>
    <d v="2012-01-10T00:00:00"/>
    <s v="017-2210-000"/>
    <s v="Liquor Sales"/>
    <n v="1410.0975000000001"/>
    <n v="0"/>
    <s v="Daily Sales Import"/>
    <n v="-1410.0975000000001"/>
    <n v="1410.0975000000001"/>
    <x v="1"/>
    <s v="2210"/>
    <s v="000"/>
    <x v="3"/>
    <x v="1"/>
  </r>
  <r>
    <d v="2012-01-10T00:00:00"/>
    <s v="017-2220-000"/>
    <s v="Beer Sales"/>
    <n v="568.66999999999996"/>
    <n v="0"/>
    <s v="Daily Sales Import"/>
    <n v="-568.66999999999996"/>
    <n v="568.66999999999996"/>
    <x v="1"/>
    <s v="2220"/>
    <s v="000"/>
    <x v="3"/>
    <x v="1"/>
  </r>
  <r>
    <d v="2012-01-10T00:00:00"/>
    <s v="017-2230-000"/>
    <s v="Wine Sales"/>
    <n v="66.927999999999997"/>
    <n v="0"/>
    <s v="Daily Sales Import"/>
    <n v="-66.927999999999997"/>
    <n v="66.927999999999997"/>
    <x v="1"/>
    <s v="2230"/>
    <s v="000"/>
    <x v="3"/>
    <x v="1"/>
  </r>
  <r>
    <d v="2012-01-11T00:00:00"/>
    <s v="017-2100-000"/>
    <s v="Food Sales"/>
    <n v="5183.6895000000004"/>
    <n v="0"/>
    <s v="Daily Sales Import"/>
    <n v="-5183.6895000000004"/>
    <n v="5183.6895000000004"/>
    <x v="1"/>
    <s v="2100"/>
    <s v="000"/>
    <x v="3"/>
    <x v="1"/>
  </r>
  <r>
    <d v="2012-01-11T00:00:00"/>
    <s v="017-2210-000"/>
    <s v="Liquor Sales"/>
    <n v="1294.2535"/>
    <n v="0"/>
    <s v="Daily Sales Import"/>
    <n v="-1294.2535"/>
    <n v="1294.2535"/>
    <x v="1"/>
    <s v="2210"/>
    <s v="000"/>
    <x v="3"/>
    <x v="1"/>
  </r>
  <r>
    <d v="2012-01-11T00:00:00"/>
    <s v="017-2220-000"/>
    <s v="Beer Sales"/>
    <n v="380.65500000000003"/>
    <n v="0"/>
    <s v="Daily Sales Import"/>
    <n v="-380.65500000000003"/>
    <n v="380.65500000000003"/>
    <x v="1"/>
    <s v="2220"/>
    <s v="000"/>
    <x v="3"/>
    <x v="1"/>
  </r>
  <r>
    <d v="2012-01-11T00:00:00"/>
    <s v="017-2230-000"/>
    <s v="Wine Sales"/>
    <n v="85.988"/>
    <n v="0"/>
    <s v="Daily Sales Import"/>
    <n v="-85.988"/>
    <n v="85.988"/>
    <x v="1"/>
    <s v="2230"/>
    <s v="000"/>
    <x v="3"/>
    <x v="1"/>
  </r>
  <r>
    <d v="2012-01-12T00:00:00"/>
    <s v="017-2100-000"/>
    <s v="Food Sales"/>
    <n v="4635.3160000000007"/>
    <n v="0"/>
    <s v="Daily Sales Import"/>
    <n v="-4635.3160000000007"/>
    <n v="4635.3160000000007"/>
    <x v="1"/>
    <s v="2100"/>
    <s v="000"/>
    <x v="3"/>
    <x v="1"/>
  </r>
  <r>
    <d v="2012-01-12T00:00:00"/>
    <s v="017-2210-000"/>
    <s v="Liquor Sales"/>
    <n v="1635.432"/>
    <n v="0"/>
    <s v="Daily Sales Import"/>
    <n v="-1635.432"/>
    <n v="1635.432"/>
    <x v="1"/>
    <s v="2210"/>
    <s v="000"/>
    <x v="3"/>
    <x v="1"/>
  </r>
  <r>
    <d v="2012-01-12T00:00:00"/>
    <s v="017-2220-000"/>
    <s v="Beer Sales"/>
    <n v="380.46250000000003"/>
    <n v="0"/>
    <s v="Daily Sales Import"/>
    <n v="-380.46250000000003"/>
    <n v="380.46250000000003"/>
    <x v="1"/>
    <s v="2220"/>
    <s v="000"/>
    <x v="3"/>
    <x v="1"/>
  </r>
  <r>
    <d v="2012-01-12T00:00:00"/>
    <s v="017-2230-000"/>
    <s v="Wine Sales"/>
    <n v="242.78100000000001"/>
    <n v="0"/>
    <s v="Daily Sales Import"/>
    <n v="-242.78100000000001"/>
    <n v="242.78100000000001"/>
    <x v="1"/>
    <s v="2230"/>
    <s v="000"/>
    <x v="3"/>
    <x v="1"/>
  </r>
  <r>
    <d v="2012-01-13T00:00:00"/>
    <s v="017-2100-000"/>
    <s v="Food Sales"/>
    <n v="10856.976500000001"/>
    <n v="0"/>
    <s v="Daily Sales Import"/>
    <n v="-10856.976500000001"/>
    <n v="10856.976500000001"/>
    <x v="1"/>
    <s v="2100"/>
    <s v="000"/>
    <x v="3"/>
    <x v="1"/>
  </r>
  <r>
    <d v="2012-01-13T00:00:00"/>
    <s v="017-2210-000"/>
    <s v="Liquor Sales"/>
    <n v="3201.5219999999999"/>
    <n v="0"/>
    <s v="Daily Sales Import"/>
    <n v="-3201.5219999999999"/>
    <n v="3201.5219999999999"/>
    <x v="1"/>
    <s v="2210"/>
    <s v="000"/>
    <x v="3"/>
    <x v="1"/>
  </r>
  <r>
    <d v="2012-01-13T00:00:00"/>
    <s v="017-2220-000"/>
    <s v="Beer Sales"/>
    <n v="767.04000000000008"/>
    <n v="0"/>
    <s v="Daily Sales Import"/>
    <n v="-767.04000000000008"/>
    <n v="767.04000000000008"/>
    <x v="1"/>
    <s v="2220"/>
    <s v="000"/>
    <x v="3"/>
    <x v="1"/>
  </r>
  <r>
    <d v="2012-01-13T00:00:00"/>
    <s v="017-2230-000"/>
    <s v="Wine Sales"/>
    <n v="185.07899999999998"/>
    <n v="0"/>
    <s v="Daily Sales Import"/>
    <n v="-185.07899999999998"/>
    <n v="185.07899999999998"/>
    <x v="1"/>
    <s v="2230"/>
    <s v="000"/>
    <x v="3"/>
    <x v="1"/>
  </r>
  <r>
    <d v="2012-01-14T00:00:00"/>
    <s v="017-2100-000"/>
    <s v="Food Sales"/>
    <n v="9680.8814999999995"/>
    <n v="0"/>
    <s v="Daily Sales Import"/>
    <n v="-9680.8814999999995"/>
    <n v="9680.8814999999995"/>
    <x v="1"/>
    <s v="2100"/>
    <s v="000"/>
    <x v="3"/>
    <x v="1"/>
  </r>
  <r>
    <d v="2012-01-14T00:00:00"/>
    <s v="017-2210-000"/>
    <s v="Liquor Sales"/>
    <n v="1160.0050000000001"/>
    <n v="0"/>
    <s v="Daily Sales Import"/>
    <n v="-1160.0050000000001"/>
    <n v="1160.0050000000001"/>
    <x v="1"/>
    <s v="2210"/>
    <s v="000"/>
    <x v="3"/>
    <x v="1"/>
  </r>
  <r>
    <d v="2012-01-14T00:00:00"/>
    <s v="017-2220-000"/>
    <s v="Beer Sales"/>
    <n v="242.7"/>
    <n v="0"/>
    <s v="Daily Sales Import"/>
    <n v="-242.7"/>
    <n v="242.7"/>
    <x v="1"/>
    <s v="2220"/>
    <s v="000"/>
    <x v="3"/>
    <x v="1"/>
  </r>
  <r>
    <d v="2012-01-14T00:00:00"/>
    <s v="017-2230-000"/>
    <s v="Wine Sales"/>
    <n v="81.036000000000001"/>
    <n v="0"/>
    <s v="Daily Sales Import"/>
    <n v="-81.036000000000001"/>
    <n v="81.036000000000001"/>
    <x v="1"/>
    <s v="2230"/>
    <s v="000"/>
    <x v="3"/>
    <x v="1"/>
  </r>
  <r>
    <d v="2012-01-15T00:00:00"/>
    <s v="017-2100-000"/>
    <s v="Food Sales"/>
    <n v="4723.1149999999998"/>
    <n v="0"/>
    <s v="Daily Sales Import"/>
    <n v="-4723.1149999999998"/>
    <n v="4723.1149999999998"/>
    <x v="1"/>
    <s v="2100"/>
    <s v="000"/>
    <x v="3"/>
    <x v="1"/>
  </r>
  <r>
    <d v="2012-01-15T00:00:00"/>
    <s v="017-2210-000"/>
    <s v="Liquor Sales"/>
    <n v="956.25200000000007"/>
    <n v="0"/>
    <s v="Daily Sales Import"/>
    <n v="-956.25200000000007"/>
    <n v="956.25200000000007"/>
    <x v="1"/>
    <s v="2210"/>
    <s v="000"/>
    <x v="3"/>
    <x v="1"/>
  </r>
  <r>
    <d v="2012-01-15T00:00:00"/>
    <s v="017-2220-000"/>
    <s v="Beer Sales"/>
    <n v="185.05500000000001"/>
    <n v="0"/>
    <s v="Daily Sales Import"/>
    <n v="-185.05500000000001"/>
    <n v="185.05500000000001"/>
    <x v="1"/>
    <s v="2220"/>
    <s v="000"/>
    <x v="3"/>
    <x v="1"/>
  </r>
  <r>
    <d v="2012-01-15T00:00:00"/>
    <s v="017-2230-000"/>
    <s v="Wine Sales"/>
    <n v="25.928000000000001"/>
    <n v="0"/>
    <s v="Daily Sales Import"/>
    <n v="-25.928000000000001"/>
    <n v="25.928000000000001"/>
    <x v="1"/>
    <s v="2230"/>
    <s v="000"/>
    <x v="3"/>
    <x v="1"/>
  </r>
  <r>
    <d v="2012-01-09T00:00:00"/>
    <s v="018-2100-000"/>
    <s v="Food Sales"/>
    <n v="1871.9558"/>
    <n v="0"/>
    <s v="Daily Sales Import"/>
    <n v="-1871.9558"/>
    <n v="1871.9558"/>
    <x v="2"/>
    <s v="2100"/>
    <s v="000"/>
    <x v="3"/>
    <x v="1"/>
  </r>
  <r>
    <d v="2012-01-09T00:00:00"/>
    <s v="018-2210-000"/>
    <s v="Liquor Sales"/>
    <n v="197.5675"/>
    <n v="0"/>
    <s v="Daily Sales Import"/>
    <n v="-197.5675"/>
    <n v="197.5675"/>
    <x v="2"/>
    <s v="2210"/>
    <s v="000"/>
    <x v="3"/>
    <x v="1"/>
  </r>
  <r>
    <d v="2012-01-09T00:00:00"/>
    <s v="018-2220-000"/>
    <s v="Beer Sales"/>
    <n v="11.151999999999999"/>
    <n v="0"/>
    <s v="Daily Sales Import"/>
    <n v="-11.151999999999999"/>
    <n v="11.151999999999999"/>
    <x v="2"/>
    <s v="2220"/>
    <s v="000"/>
    <x v="3"/>
    <x v="1"/>
  </r>
  <r>
    <d v="2012-01-10T00:00:00"/>
    <s v="018-2100-000"/>
    <s v="Food Sales"/>
    <n v="3877.0040000000004"/>
    <n v="0"/>
    <s v="Daily Sales Import"/>
    <n v="-3877.0040000000004"/>
    <n v="3877.0040000000004"/>
    <x v="2"/>
    <s v="2100"/>
    <s v="000"/>
    <x v="3"/>
    <x v="1"/>
  </r>
  <r>
    <d v="2012-01-10T00:00:00"/>
    <s v="018-2210-000"/>
    <s v="Liquor Sales"/>
    <n v="663.28000000000009"/>
    <n v="0"/>
    <s v="Daily Sales Import"/>
    <n v="-663.28000000000009"/>
    <n v="663.28000000000009"/>
    <x v="2"/>
    <s v="2210"/>
    <s v="000"/>
    <x v="3"/>
    <x v="1"/>
  </r>
  <r>
    <d v="2012-01-10T00:00:00"/>
    <s v="018-2220-000"/>
    <s v="Beer Sales"/>
    <n v="112.128"/>
    <n v="0"/>
    <s v="Daily Sales Import"/>
    <n v="-112.128"/>
    <n v="112.128"/>
    <x v="2"/>
    <s v="2220"/>
    <s v="000"/>
    <x v="3"/>
    <x v="1"/>
  </r>
  <r>
    <d v="2012-01-10T00:00:00"/>
    <s v="018-2230-000"/>
    <s v="Wine Sales"/>
    <n v="88.492500000000007"/>
    <n v="0"/>
    <s v="Daily Sales Import"/>
    <n v="-88.492500000000007"/>
    <n v="88.492500000000007"/>
    <x v="2"/>
    <s v="2230"/>
    <s v="000"/>
    <x v="3"/>
    <x v="1"/>
  </r>
  <r>
    <d v="2012-01-11T00:00:00"/>
    <s v="018-2100-000"/>
    <s v="Food Sales"/>
    <n v="2075.2270000000003"/>
    <n v="0"/>
    <s v="Daily Sales Import"/>
    <n v="-2075.2270000000003"/>
    <n v="2075.2270000000003"/>
    <x v="2"/>
    <s v="2100"/>
    <s v="000"/>
    <x v="3"/>
    <x v="1"/>
  </r>
  <r>
    <d v="2012-01-11T00:00:00"/>
    <s v="018-2210-000"/>
    <s v="Liquor Sales"/>
    <n v="338.78550000000001"/>
    <n v="0"/>
    <s v="Daily Sales Import"/>
    <n v="-338.78550000000001"/>
    <n v="338.78550000000001"/>
    <x v="2"/>
    <s v="2210"/>
    <s v="000"/>
    <x v="3"/>
    <x v="1"/>
  </r>
  <r>
    <d v="2012-01-11T00:00:00"/>
    <s v="018-2220-000"/>
    <s v="Beer Sales"/>
    <n v="87.207999999999998"/>
    <n v="0"/>
    <s v="Daily Sales Import"/>
    <n v="-87.207999999999998"/>
    <n v="87.207999999999998"/>
    <x v="2"/>
    <s v="2220"/>
    <s v="000"/>
    <x v="3"/>
    <x v="1"/>
  </r>
  <r>
    <d v="2012-01-11T00:00:00"/>
    <s v="018-2230-000"/>
    <s v="Wine Sales"/>
    <n v="97.149000000000001"/>
    <n v="0"/>
    <s v="Daily Sales Import"/>
    <n v="-97.149000000000001"/>
    <n v="97.149000000000001"/>
    <x v="2"/>
    <s v="2230"/>
    <s v="000"/>
    <x v="3"/>
    <x v="1"/>
  </r>
  <r>
    <d v="2012-01-12T00:00:00"/>
    <s v="018-2100-000"/>
    <s v="Food Sales"/>
    <n v="4777.0304999999998"/>
    <n v="0"/>
    <s v="Daily Sales Import"/>
    <n v="-4777.0304999999998"/>
    <n v="4777.0304999999998"/>
    <x v="2"/>
    <s v="2100"/>
    <s v="000"/>
    <x v="3"/>
    <x v="1"/>
  </r>
  <r>
    <d v="2012-01-12T00:00:00"/>
    <s v="018-2210-000"/>
    <s v="Liquor Sales"/>
    <n v="504.45499999999998"/>
    <n v="0"/>
    <s v="Daily Sales Import"/>
    <n v="-504.45499999999998"/>
    <n v="504.45499999999998"/>
    <x v="2"/>
    <s v="2210"/>
    <s v="000"/>
    <x v="3"/>
    <x v="1"/>
  </r>
  <r>
    <d v="2012-01-12T00:00:00"/>
    <s v="018-2220-000"/>
    <s v="Beer Sales"/>
    <n v="231.17849999999999"/>
    <n v="0"/>
    <s v="Daily Sales Import"/>
    <n v="-231.17849999999999"/>
    <n v="231.17849999999999"/>
    <x v="2"/>
    <s v="2220"/>
    <s v="000"/>
    <x v="3"/>
    <x v="1"/>
  </r>
  <r>
    <d v="2012-01-12T00:00:00"/>
    <s v="018-2230-000"/>
    <s v="Wine Sales"/>
    <n v="117.363"/>
    <n v="0"/>
    <s v="Daily Sales Import"/>
    <n v="-117.363"/>
    <n v="117.363"/>
    <x v="2"/>
    <s v="2230"/>
    <s v="000"/>
    <x v="3"/>
    <x v="1"/>
  </r>
  <r>
    <d v="2012-01-13T00:00:00"/>
    <s v="018-2100-000"/>
    <s v="Food Sales"/>
    <n v="10361.6842"/>
    <n v="0"/>
    <s v="Daily Sales Import"/>
    <n v="-10361.6842"/>
    <n v="10361.6842"/>
    <x v="2"/>
    <s v="2100"/>
    <s v="000"/>
    <x v="3"/>
    <x v="1"/>
  </r>
  <r>
    <d v="2012-01-13T00:00:00"/>
    <s v="018-2210-000"/>
    <s v="Liquor Sales"/>
    <n v="1670.3120000000001"/>
    <n v="0"/>
    <s v="Daily Sales Import"/>
    <n v="-1670.3120000000001"/>
    <n v="1670.3120000000001"/>
    <x v="2"/>
    <s v="2210"/>
    <s v="000"/>
    <x v="3"/>
    <x v="1"/>
  </r>
  <r>
    <d v="2012-01-13T00:00:00"/>
    <s v="018-2220-000"/>
    <s v="Beer Sales"/>
    <n v="461.40600000000006"/>
    <n v="0"/>
    <s v="Daily Sales Import"/>
    <n v="-461.40600000000006"/>
    <n v="461.40600000000006"/>
    <x v="2"/>
    <s v="2220"/>
    <s v="000"/>
    <x v="3"/>
    <x v="1"/>
  </r>
  <r>
    <d v="2012-01-13T00:00:00"/>
    <s v="018-2230-000"/>
    <s v="Wine Sales"/>
    <n v="199.09200000000001"/>
    <n v="0"/>
    <s v="Daily Sales Import"/>
    <n v="-199.09200000000001"/>
    <n v="199.09200000000001"/>
    <x v="2"/>
    <s v="2230"/>
    <s v="000"/>
    <x v="3"/>
    <x v="1"/>
  </r>
  <r>
    <d v="2012-01-14T00:00:00"/>
    <s v="018-2100-000"/>
    <s v="Food Sales"/>
    <n v="6953.7185999999992"/>
    <n v="0"/>
    <s v="Daily Sales Import"/>
    <n v="-6953.7185999999992"/>
    <n v="6953.7185999999992"/>
    <x v="2"/>
    <s v="2100"/>
    <s v="000"/>
    <x v="3"/>
    <x v="1"/>
  </r>
  <r>
    <d v="2012-01-14T00:00:00"/>
    <s v="018-2210-000"/>
    <s v="Liquor Sales"/>
    <n v="1421.8380000000002"/>
    <n v="0"/>
    <s v="Daily Sales Import"/>
    <n v="-1421.8380000000002"/>
    <n v="1421.8380000000002"/>
    <x v="2"/>
    <s v="2210"/>
    <s v="000"/>
    <x v="3"/>
    <x v="1"/>
  </r>
  <r>
    <d v="2012-01-14T00:00:00"/>
    <s v="018-2220-000"/>
    <s v="Beer Sales"/>
    <n v="496.46999999999997"/>
    <n v="0"/>
    <s v="Daily Sales Import"/>
    <n v="-496.46999999999997"/>
    <n v="496.46999999999997"/>
    <x v="2"/>
    <s v="2220"/>
    <s v="000"/>
    <x v="3"/>
    <x v="1"/>
  </r>
  <r>
    <d v="2012-01-14T00:00:00"/>
    <s v="018-2230-000"/>
    <s v="Wine Sales"/>
    <n v="205.02199999999999"/>
    <n v="0"/>
    <s v="Daily Sales Import"/>
    <n v="-205.02199999999999"/>
    <n v="205.02199999999999"/>
    <x v="2"/>
    <s v="2230"/>
    <s v="000"/>
    <x v="3"/>
    <x v="1"/>
  </r>
  <r>
    <d v="2012-01-15T00:00:00"/>
    <s v="018-2100-000"/>
    <s v="Food Sales"/>
    <n v="9281.6069999999982"/>
    <n v="0"/>
    <s v="Daily Sales Import"/>
    <n v="-9281.6069999999982"/>
    <n v="9281.6069999999982"/>
    <x v="2"/>
    <s v="2100"/>
    <s v="000"/>
    <x v="3"/>
    <x v="1"/>
  </r>
  <r>
    <d v="2012-01-15T00:00:00"/>
    <s v="018-2210-000"/>
    <s v="Liquor Sales"/>
    <n v="825.08999999999992"/>
    <n v="0"/>
    <s v="Daily Sales Import"/>
    <n v="-825.08999999999992"/>
    <n v="825.08999999999992"/>
    <x v="2"/>
    <s v="2210"/>
    <s v="000"/>
    <x v="3"/>
    <x v="1"/>
  </r>
  <r>
    <d v="2012-01-15T00:00:00"/>
    <s v="018-2220-000"/>
    <s v="Beer Sales"/>
    <n v="250.55999999999997"/>
    <n v="0"/>
    <s v="Daily Sales Import"/>
    <n v="-250.55999999999997"/>
    <n v="250.55999999999997"/>
    <x v="2"/>
    <s v="2220"/>
    <s v="000"/>
    <x v="3"/>
    <x v="1"/>
  </r>
  <r>
    <d v="2012-01-15T00:00:00"/>
    <s v="018-2230-000"/>
    <s v="Wine Sales"/>
    <n v="79.735500000000002"/>
    <n v="0"/>
    <s v="Daily Sales Import"/>
    <n v="-79.735500000000002"/>
    <n v="79.735500000000002"/>
    <x v="2"/>
    <s v="2230"/>
    <s v="000"/>
    <x v="3"/>
    <x v="1"/>
  </r>
  <r>
    <d v="2012-01-16T00:00:00"/>
    <s v="016-2100-000"/>
    <s v="Food Sales"/>
    <n v="1908.0491999999997"/>
    <n v="0"/>
    <s v="Daily Sales Import"/>
    <n v="-1908.0491999999997"/>
    <n v="1908.0491999999997"/>
    <x v="0"/>
    <s v="2100"/>
    <s v="000"/>
    <x v="3"/>
    <x v="1"/>
  </r>
  <r>
    <d v="2012-01-16T00:00:00"/>
    <s v="016-2210-000"/>
    <s v="Liquor Sales"/>
    <n v="392.50400000000002"/>
    <n v="0"/>
    <s v="Daily Sales Import"/>
    <n v="-392.50400000000002"/>
    <n v="392.50400000000002"/>
    <x v="0"/>
    <s v="2210"/>
    <s v="000"/>
    <x v="3"/>
    <x v="1"/>
  </r>
  <r>
    <d v="2012-01-16T00:00:00"/>
    <s v="016-2220-000"/>
    <s v="Beer Sales"/>
    <n v="75.174000000000007"/>
    <n v="0"/>
    <s v="Daily Sales Import"/>
    <n v="-75.174000000000007"/>
    <n v="75.174000000000007"/>
    <x v="0"/>
    <s v="2220"/>
    <s v="000"/>
    <x v="3"/>
    <x v="1"/>
  </r>
  <r>
    <d v="2012-01-16T00:00:00"/>
    <s v="016-2230-000"/>
    <s v="Wine Sales"/>
    <n v="40.970500000000001"/>
    <n v="0"/>
    <s v="Daily Sales Import"/>
    <n v="-40.970500000000001"/>
    <n v="40.970500000000001"/>
    <x v="0"/>
    <s v="2230"/>
    <s v="000"/>
    <x v="3"/>
    <x v="1"/>
  </r>
  <r>
    <d v="2012-01-17T00:00:00"/>
    <s v="016-2100-000"/>
    <s v="Food Sales"/>
    <n v="3379.3563999999997"/>
    <n v="0"/>
    <s v="Daily Sales Import"/>
    <n v="-3379.3563999999997"/>
    <n v="3379.3563999999997"/>
    <x v="0"/>
    <s v="2100"/>
    <s v="000"/>
    <x v="3"/>
    <x v="1"/>
  </r>
  <r>
    <d v="2012-01-17T00:00:00"/>
    <s v="016-2210-000"/>
    <s v="Liquor Sales"/>
    <n v="600.25099999999998"/>
    <n v="0"/>
    <s v="Daily Sales Import"/>
    <n v="-600.25099999999998"/>
    <n v="600.25099999999998"/>
    <x v="0"/>
    <s v="2210"/>
    <s v="000"/>
    <x v="3"/>
    <x v="1"/>
  </r>
  <r>
    <d v="2012-01-17T00:00:00"/>
    <s v="016-2220-000"/>
    <s v="Beer Sales"/>
    <n v="143.88"/>
    <n v="0"/>
    <s v="Daily Sales Import"/>
    <n v="-143.88"/>
    <n v="143.88"/>
    <x v="0"/>
    <s v="2220"/>
    <s v="000"/>
    <x v="3"/>
    <x v="1"/>
  </r>
  <r>
    <d v="2012-01-17T00:00:00"/>
    <s v="016-2230-000"/>
    <s v="Wine Sales"/>
    <n v="48.934499999999993"/>
    <n v="0"/>
    <s v="Daily Sales Import"/>
    <n v="-48.934499999999993"/>
    <n v="48.934499999999993"/>
    <x v="0"/>
    <s v="2230"/>
    <s v="000"/>
    <x v="3"/>
    <x v="1"/>
  </r>
  <r>
    <d v="2012-01-18T00:00:00"/>
    <s v="016-2100-000"/>
    <s v="Food Sales"/>
    <n v="3873.7439999999997"/>
    <n v="0"/>
    <s v="Daily Sales Import"/>
    <n v="-3873.7439999999997"/>
    <n v="3873.7439999999997"/>
    <x v="0"/>
    <s v="2100"/>
    <s v="000"/>
    <x v="3"/>
    <x v="1"/>
  </r>
  <r>
    <d v="2012-01-18T00:00:00"/>
    <s v="016-2210-000"/>
    <s v="Liquor Sales"/>
    <n v="5112.5779999999995"/>
    <n v="0"/>
    <s v="Daily Sales Import"/>
    <n v="-5112.5779999999995"/>
    <n v="5112.5779999999995"/>
    <x v="0"/>
    <s v="2210"/>
    <s v="000"/>
    <x v="3"/>
    <x v="1"/>
  </r>
  <r>
    <d v="2012-01-18T00:00:00"/>
    <s v="016-2220-000"/>
    <s v="Beer Sales"/>
    <n v="1514.5364999999999"/>
    <n v="0"/>
    <s v="Daily Sales Import"/>
    <n v="-1514.5364999999999"/>
    <n v="1514.5364999999999"/>
    <x v="0"/>
    <s v="2220"/>
    <s v="000"/>
    <x v="3"/>
    <x v="1"/>
  </r>
  <r>
    <d v="2012-01-18T00:00:00"/>
    <s v="016-2230-000"/>
    <s v="Wine Sales"/>
    <n v="75.377500000000012"/>
    <n v="0"/>
    <s v="Daily Sales Import"/>
    <n v="-75.377500000000012"/>
    <n v="75.377500000000012"/>
    <x v="0"/>
    <s v="2230"/>
    <s v="000"/>
    <x v="3"/>
    <x v="1"/>
  </r>
  <r>
    <d v="2012-01-19T00:00:00"/>
    <s v="016-2100-000"/>
    <s v="Food Sales"/>
    <n v="4043.5885999999996"/>
    <n v="0"/>
    <s v="Daily Sales Import"/>
    <n v="-4043.5885999999996"/>
    <n v="4043.5885999999996"/>
    <x v="0"/>
    <s v="2100"/>
    <s v="000"/>
    <x v="3"/>
    <x v="1"/>
  </r>
  <r>
    <d v="2012-01-19T00:00:00"/>
    <s v="016-2210-000"/>
    <s v="Liquor Sales"/>
    <n v="964.96249999999998"/>
    <n v="0"/>
    <s v="Daily Sales Import"/>
    <n v="-964.96249999999998"/>
    <n v="964.96249999999998"/>
    <x v="0"/>
    <s v="2210"/>
    <s v="000"/>
    <x v="3"/>
    <x v="1"/>
  </r>
  <r>
    <d v="2012-01-19T00:00:00"/>
    <s v="016-2220-000"/>
    <s v="Beer Sales"/>
    <n v="104.247"/>
    <n v="0"/>
    <s v="Daily Sales Import"/>
    <n v="-104.247"/>
    <n v="104.247"/>
    <x v="0"/>
    <s v="2220"/>
    <s v="000"/>
    <x v="3"/>
    <x v="1"/>
  </r>
  <r>
    <d v="2012-01-19T00:00:00"/>
    <s v="016-2230-000"/>
    <s v="Wine Sales"/>
    <n v="157.035"/>
    <n v="0"/>
    <s v="Daily Sales Import"/>
    <n v="-157.035"/>
    <n v="157.035"/>
    <x v="0"/>
    <s v="2230"/>
    <s v="000"/>
    <x v="3"/>
    <x v="1"/>
  </r>
  <r>
    <d v="2012-01-20T00:00:00"/>
    <s v="016-2100-000"/>
    <s v="Food Sales"/>
    <n v="8300.4149999999991"/>
    <n v="0"/>
    <s v="Daily Sales Import"/>
    <n v="-8300.4149999999991"/>
    <n v="8300.4149999999991"/>
    <x v="0"/>
    <s v="2100"/>
    <s v="000"/>
    <x v="3"/>
    <x v="1"/>
  </r>
  <r>
    <d v="2012-01-20T00:00:00"/>
    <s v="016-2210-000"/>
    <s v="Liquor Sales"/>
    <n v="2955.5710000000004"/>
    <n v="0"/>
    <s v="Daily Sales Import"/>
    <n v="-2955.5710000000004"/>
    <n v="2955.5710000000004"/>
    <x v="0"/>
    <s v="2210"/>
    <s v="000"/>
    <x v="3"/>
    <x v="1"/>
  </r>
  <r>
    <d v="2012-01-20T00:00:00"/>
    <s v="016-2220-000"/>
    <s v="Beer Sales"/>
    <n v="634.95600000000002"/>
    <n v="0"/>
    <s v="Daily Sales Import"/>
    <n v="-634.95600000000002"/>
    <n v="634.95600000000002"/>
    <x v="0"/>
    <s v="2220"/>
    <s v="000"/>
    <x v="3"/>
    <x v="1"/>
  </r>
  <r>
    <d v="2012-01-20T00:00:00"/>
    <s v="016-2230-000"/>
    <s v="Wine Sales"/>
    <n v="276.47550000000001"/>
    <n v="0"/>
    <s v="Daily Sales Import"/>
    <n v="-276.47550000000001"/>
    <n v="276.47550000000001"/>
    <x v="0"/>
    <s v="2230"/>
    <s v="000"/>
    <x v="3"/>
    <x v="1"/>
  </r>
  <r>
    <d v="2012-01-21T00:00:00"/>
    <s v="016-2100-000"/>
    <s v="Food Sales"/>
    <n v="10277.734"/>
    <n v="0"/>
    <s v="Daily Sales Import"/>
    <n v="-10277.734"/>
    <n v="10277.734"/>
    <x v="0"/>
    <s v="2100"/>
    <s v="000"/>
    <x v="3"/>
    <x v="1"/>
  </r>
  <r>
    <d v="2012-01-21T00:00:00"/>
    <s v="016-2210-000"/>
    <s v="Liquor Sales"/>
    <n v="3234.9300000000003"/>
    <n v="0"/>
    <s v="Daily Sales Import"/>
    <n v="-3234.9300000000003"/>
    <n v="3234.9300000000003"/>
    <x v="0"/>
    <s v="2210"/>
    <s v="000"/>
    <x v="3"/>
    <x v="1"/>
  </r>
  <r>
    <d v="2012-01-21T00:00:00"/>
    <s v="016-2220-000"/>
    <s v="Beer Sales"/>
    <n v="496.76249999999999"/>
    <n v="0"/>
    <s v="Daily Sales Import"/>
    <n v="-496.76249999999999"/>
    <n v="496.76249999999999"/>
    <x v="0"/>
    <s v="2220"/>
    <s v="000"/>
    <x v="3"/>
    <x v="1"/>
  </r>
  <r>
    <d v="2012-01-21T00:00:00"/>
    <s v="016-2230-000"/>
    <s v="Wine Sales"/>
    <n v="429.95599999999996"/>
    <n v="0"/>
    <s v="Daily Sales Import"/>
    <n v="-429.95599999999996"/>
    <n v="429.95599999999996"/>
    <x v="0"/>
    <s v="2230"/>
    <s v="000"/>
    <x v="3"/>
    <x v="1"/>
  </r>
  <r>
    <d v="2012-01-22T00:00:00"/>
    <s v="016-2100-000"/>
    <s v="Food Sales"/>
    <n v="4618.8420999999998"/>
    <n v="0"/>
    <s v="Daily Sales Import"/>
    <n v="-4618.8420999999998"/>
    <n v="4618.8420999999998"/>
    <x v="0"/>
    <s v="2100"/>
    <s v="000"/>
    <x v="3"/>
    <x v="1"/>
  </r>
  <r>
    <d v="2012-01-22T00:00:00"/>
    <s v="016-2210-000"/>
    <s v="Liquor Sales"/>
    <n v="1430.3979999999999"/>
    <n v="0"/>
    <s v="Daily Sales Import"/>
    <n v="-1430.3979999999999"/>
    <n v="1430.3979999999999"/>
    <x v="0"/>
    <s v="2210"/>
    <s v="000"/>
    <x v="3"/>
    <x v="1"/>
  </r>
  <r>
    <d v="2012-01-22T00:00:00"/>
    <s v="016-2220-000"/>
    <s v="Beer Sales"/>
    <n v="167.71949999999998"/>
    <n v="0"/>
    <s v="Daily Sales Import"/>
    <n v="-167.71949999999998"/>
    <n v="167.71949999999998"/>
    <x v="0"/>
    <s v="2220"/>
    <s v="000"/>
    <x v="3"/>
    <x v="1"/>
  </r>
  <r>
    <d v="2012-01-22T00:00:00"/>
    <s v="016-2230-000"/>
    <s v="Wine Sales"/>
    <n v="101.75200000000001"/>
    <n v="0"/>
    <s v="Daily Sales Import"/>
    <n v="-101.75200000000001"/>
    <n v="101.75200000000001"/>
    <x v="0"/>
    <s v="2230"/>
    <s v="000"/>
    <x v="3"/>
    <x v="1"/>
  </r>
  <r>
    <d v="2012-01-16T00:00:00"/>
    <s v="017-2100-000"/>
    <s v="Food Sales"/>
    <n v="3770.6680000000001"/>
    <n v="0"/>
    <s v="Daily Sales Import"/>
    <n v="-3770.6680000000001"/>
    <n v="3770.6680000000001"/>
    <x v="1"/>
    <s v="2100"/>
    <s v="000"/>
    <x v="3"/>
    <x v="1"/>
  </r>
  <r>
    <d v="2012-01-16T00:00:00"/>
    <s v="017-2210-000"/>
    <s v="Liquor Sales"/>
    <n v="632.66999999999996"/>
    <n v="0"/>
    <s v="Daily Sales Import"/>
    <n v="-632.66999999999996"/>
    <n v="632.66999999999996"/>
    <x v="1"/>
    <s v="2210"/>
    <s v="000"/>
    <x v="3"/>
    <x v="1"/>
  </r>
  <r>
    <d v="2012-01-16T00:00:00"/>
    <s v="017-2220-000"/>
    <s v="Beer Sales"/>
    <n v="203.4"/>
    <n v="0"/>
    <s v="Daily Sales Import"/>
    <n v="-203.4"/>
    <n v="203.4"/>
    <x v="1"/>
    <s v="2220"/>
    <s v="000"/>
    <x v="3"/>
    <x v="1"/>
  </r>
  <r>
    <d v="2012-01-16T00:00:00"/>
    <s v="017-2230-000"/>
    <s v="Wine Sales"/>
    <n v="30.695"/>
    <n v="0"/>
    <s v="Daily Sales Import"/>
    <n v="-30.695"/>
    <n v="30.695"/>
    <x v="1"/>
    <s v="2230"/>
    <s v="000"/>
    <x v="3"/>
    <x v="1"/>
  </r>
  <r>
    <d v="2012-01-17T00:00:00"/>
    <s v="017-2100-000"/>
    <s v="Food Sales"/>
    <n v="4373.9324999999999"/>
    <n v="0"/>
    <s v="Daily Sales Import"/>
    <n v="-4373.9324999999999"/>
    <n v="4373.9324999999999"/>
    <x v="1"/>
    <s v="2100"/>
    <s v="000"/>
    <x v="3"/>
    <x v="1"/>
  </r>
  <r>
    <d v="2012-01-17T00:00:00"/>
    <s v="017-2210-000"/>
    <s v="Liquor Sales"/>
    <n v="848.08749999999998"/>
    <n v="0"/>
    <s v="Daily Sales Import"/>
    <n v="-848.08749999999998"/>
    <n v="848.08749999999998"/>
    <x v="1"/>
    <s v="2210"/>
    <s v="000"/>
    <x v="3"/>
    <x v="1"/>
  </r>
  <r>
    <d v="2012-01-17T00:00:00"/>
    <s v="017-2220-000"/>
    <s v="Beer Sales"/>
    <n v="431.05500000000001"/>
    <n v="0"/>
    <s v="Daily Sales Import"/>
    <n v="-431.05500000000001"/>
    <n v="431.05500000000001"/>
    <x v="1"/>
    <s v="2220"/>
    <s v="000"/>
    <x v="3"/>
    <x v="1"/>
  </r>
  <r>
    <d v="2012-01-17T00:00:00"/>
    <s v="017-2230-000"/>
    <s v="Wine Sales"/>
    <n v="158.0325"/>
    <n v="0"/>
    <s v="Daily Sales Import"/>
    <n v="-158.0325"/>
    <n v="158.0325"/>
    <x v="1"/>
    <s v="2230"/>
    <s v="000"/>
    <x v="3"/>
    <x v="1"/>
  </r>
  <r>
    <d v="2012-01-18T00:00:00"/>
    <s v="017-2100-000"/>
    <s v="Food Sales"/>
    <n v="4561.3710000000001"/>
    <n v="0"/>
    <s v="Daily Sales Import"/>
    <n v="-4561.3710000000001"/>
    <n v="4561.3710000000001"/>
    <x v="1"/>
    <s v="2100"/>
    <s v="000"/>
    <x v="3"/>
    <x v="1"/>
  </r>
  <r>
    <d v="2012-01-18T00:00:00"/>
    <s v="017-2210-000"/>
    <s v="Liquor Sales"/>
    <n v="1555.9839999999999"/>
    <n v="0"/>
    <s v="Daily Sales Import"/>
    <n v="-1555.9839999999999"/>
    <n v="1555.9839999999999"/>
    <x v="1"/>
    <s v="2210"/>
    <s v="000"/>
    <x v="3"/>
    <x v="1"/>
  </r>
  <r>
    <d v="2012-01-18T00:00:00"/>
    <s v="017-2220-000"/>
    <s v="Beer Sales"/>
    <n v="569.4375"/>
    <n v="0"/>
    <s v="Daily Sales Import"/>
    <n v="-569.4375"/>
    <n v="569.4375"/>
    <x v="1"/>
    <s v="2220"/>
    <s v="000"/>
    <x v="3"/>
    <x v="1"/>
  </r>
  <r>
    <d v="2012-01-18T00:00:00"/>
    <s v="017-2230-000"/>
    <s v="Wine Sales"/>
    <n v="204.68"/>
    <n v="0"/>
    <s v="Daily Sales Import"/>
    <n v="-204.68"/>
    <n v="204.68"/>
    <x v="1"/>
    <s v="2230"/>
    <s v="000"/>
    <x v="3"/>
    <x v="1"/>
  </r>
  <r>
    <d v="2012-01-19T00:00:00"/>
    <s v="017-2100-000"/>
    <s v="Food Sales"/>
    <n v="6204.4079999999994"/>
    <n v="0"/>
    <s v="Daily Sales Import"/>
    <n v="-6204.4079999999994"/>
    <n v="6204.4079999999994"/>
    <x v="1"/>
    <s v="2100"/>
    <s v="000"/>
    <x v="3"/>
    <x v="1"/>
  </r>
  <r>
    <d v="2012-01-19T00:00:00"/>
    <s v="017-2210-000"/>
    <s v="Liquor Sales"/>
    <n v="1178.5635"/>
    <n v="0"/>
    <s v="Daily Sales Import"/>
    <n v="-1178.5635"/>
    <n v="1178.5635"/>
    <x v="1"/>
    <s v="2210"/>
    <s v="000"/>
    <x v="3"/>
    <x v="1"/>
  </r>
  <r>
    <d v="2012-01-19T00:00:00"/>
    <s v="017-2220-000"/>
    <s v="Beer Sales"/>
    <n v="489.14249999999998"/>
    <n v="0"/>
    <s v="Daily Sales Import"/>
    <n v="-489.14249999999998"/>
    <n v="489.14249999999998"/>
    <x v="1"/>
    <s v="2220"/>
    <s v="000"/>
    <x v="3"/>
    <x v="1"/>
  </r>
  <r>
    <d v="2012-01-19T00:00:00"/>
    <s v="017-2230-000"/>
    <s v="Wine Sales"/>
    <n v="90.65"/>
    <n v="0"/>
    <s v="Daily Sales Import"/>
    <n v="-90.65"/>
    <n v="90.65"/>
    <x v="1"/>
    <s v="2230"/>
    <s v="000"/>
    <x v="3"/>
    <x v="1"/>
  </r>
  <r>
    <d v="2012-01-20T00:00:00"/>
    <s v="017-2100-000"/>
    <s v="Food Sales"/>
    <n v="8536.99"/>
    <n v="0"/>
    <s v="Daily Sales Import"/>
    <n v="-8536.99"/>
    <n v="8536.99"/>
    <x v="1"/>
    <s v="2100"/>
    <s v="000"/>
    <x v="3"/>
    <x v="1"/>
  </r>
  <r>
    <d v="2012-01-20T00:00:00"/>
    <s v="017-2210-000"/>
    <s v="Liquor Sales"/>
    <n v="2859.1349999999998"/>
    <n v="0"/>
    <s v="Daily Sales Import"/>
    <n v="-2859.1349999999998"/>
    <n v="2859.1349999999998"/>
    <x v="1"/>
    <s v="2210"/>
    <s v="000"/>
    <x v="3"/>
    <x v="1"/>
  </r>
  <r>
    <d v="2012-01-20T00:00:00"/>
    <s v="017-2220-000"/>
    <s v="Beer Sales"/>
    <n v="696.18"/>
    <n v="0"/>
    <s v="Daily Sales Import"/>
    <n v="-696.18"/>
    <n v="696.18"/>
    <x v="1"/>
    <s v="2220"/>
    <s v="000"/>
    <x v="3"/>
    <x v="1"/>
  </r>
  <r>
    <d v="2012-01-20T00:00:00"/>
    <s v="017-2230-000"/>
    <s v="Wine Sales"/>
    <n v="217.04000000000002"/>
    <n v="0"/>
    <s v="Daily Sales Import"/>
    <n v="-217.04000000000002"/>
    <n v="217.04000000000002"/>
    <x v="1"/>
    <s v="2230"/>
    <s v="000"/>
    <x v="3"/>
    <x v="1"/>
  </r>
  <r>
    <d v="2012-01-21T00:00:00"/>
    <s v="017-2100-000"/>
    <s v="Food Sales"/>
    <n v="5267.1954999999998"/>
    <n v="0"/>
    <s v="Daily Sales Import"/>
    <n v="-5267.1954999999998"/>
    <n v="5267.1954999999998"/>
    <x v="1"/>
    <s v="2100"/>
    <s v="000"/>
    <x v="3"/>
    <x v="1"/>
  </r>
  <r>
    <d v="2012-01-21T00:00:00"/>
    <s v="017-2210-000"/>
    <s v="Liquor Sales"/>
    <n v="1521.905"/>
    <n v="0"/>
    <s v="Daily Sales Import"/>
    <n v="-1521.905"/>
    <n v="1521.905"/>
    <x v="1"/>
    <s v="2210"/>
    <s v="000"/>
    <x v="3"/>
    <x v="1"/>
  </r>
  <r>
    <d v="2012-01-21T00:00:00"/>
    <s v="017-2220-000"/>
    <s v="Beer Sales"/>
    <n v="398.56"/>
    <n v="0"/>
    <s v="Daily Sales Import"/>
    <n v="-398.56"/>
    <n v="398.56"/>
    <x v="1"/>
    <s v="2220"/>
    <s v="000"/>
    <x v="3"/>
    <x v="1"/>
  </r>
  <r>
    <d v="2012-01-21T00:00:00"/>
    <s v="017-2230-000"/>
    <s v="Wine Sales"/>
    <n v="143.136"/>
    <n v="0"/>
    <s v="Daily Sales Import"/>
    <n v="-143.136"/>
    <n v="143.136"/>
    <x v="1"/>
    <s v="2230"/>
    <s v="000"/>
    <x v="3"/>
    <x v="1"/>
  </r>
  <r>
    <d v="2012-01-22T00:00:00"/>
    <s v="017-2100-000"/>
    <s v="Food Sales"/>
    <n v="2598.0868"/>
    <n v="0"/>
    <s v="Daily Sales Import"/>
    <n v="-2598.0868"/>
    <n v="2598.0868"/>
    <x v="1"/>
    <s v="2100"/>
    <s v="000"/>
    <x v="3"/>
    <x v="1"/>
  </r>
  <r>
    <d v="2012-01-22T00:00:00"/>
    <s v="017-2210-000"/>
    <s v="Liquor Sales"/>
    <n v="759.96800000000007"/>
    <n v="0"/>
    <s v="Daily Sales Import"/>
    <n v="-759.96800000000007"/>
    <n v="759.96800000000007"/>
    <x v="1"/>
    <s v="2210"/>
    <s v="000"/>
    <x v="3"/>
    <x v="1"/>
  </r>
  <r>
    <d v="2012-01-22T00:00:00"/>
    <s v="017-2220-000"/>
    <s v="Beer Sales"/>
    <n v="82.362500000000011"/>
    <n v="0"/>
    <s v="Daily Sales Import"/>
    <n v="-82.362500000000011"/>
    <n v="82.362500000000011"/>
    <x v="1"/>
    <s v="2220"/>
    <s v="000"/>
    <x v="3"/>
    <x v="1"/>
  </r>
  <r>
    <d v="2012-01-22T00:00:00"/>
    <s v="017-2230-000"/>
    <s v="Wine Sales"/>
    <n v="65.802000000000007"/>
    <n v="0"/>
    <s v="Daily Sales Import"/>
    <n v="-65.802000000000007"/>
    <n v="65.802000000000007"/>
    <x v="1"/>
    <s v="2230"/>
    <s v="000"/>
    <x v="3"/>
    <x v="1"/>
  </r>
  <r>
    <d v="2012-01-16T00:00:00"/>
    <s v="018-2100-000"/>
    <s v="Food Sales"/>
    <n v="5733.9359999999997"/>
    <n v="0"/>
    <s v="Daily Sales Import"/>
    <n v="-5733.9359999999997"/>
    <n v="5733.9359999999997"/>
    <x v="2"/>
    <s v="2100"/>
    <s v="000"/>
    <x v="3"/>
    <x v="1"/>
  </r>
  <r>
    <d v="2012-01-16T00:00:00"/>
    <s v="018-2210-000"/>
    <s v="Liquor Sales"/>
    <n v="677.29049999999995"/>
    <n v="0"/>
    <s v="Daily Sales Import"/>
    <n v="-677.29049999999995"/>
    <n v="677.29049999999995"/>
    <x v="2"/>
    <s v="2210"/>
    <s v="000"/>
    <x v="3"/>
    <x v="1"/>
  </r>
  <r>
    <d v="2012-01-16T00:00:00"/>
    <s v="018-2220-000"/>
    <s v="Beer Sales"/>
    <n v="170.80800000000002"/>
    <n v="0"/>
    <s v="Daily Sales Import"/>
    <n v="-170.80800000000002"/>
    <n v="170.80800000000002"/>
    <x v="2"/>
    <s v="2220"/>
    <s v="000"/>
    <x v="3"/>
    <x v="1"/>
  </r>
  <r>
    <d v="2012-01-16T00:00:00"/>
    <s v="018-2230-000"/>
    <s v="Wine Sales"/>
    <n v="53.34"/>
    <n v="0"/>
    <s v="Daily Sales Import"/>
    <n v="-53.34"/>
    <n v="53.34"/>
    <x v="2"/>
    <s v="2230"/>
    <s v="000"/>
    <x v="3"/>
    <x v="1"/>
  </r>
  <r>
    <d v="2012-01-17T00:00:00"/>
    <s v="018-2100-000"/>
    <s v="Food Sales"/>
    <n v="2419.8839999999996"/>
    <n v="0"/>
    <s v="Daily Sales Import"/>
    <n v="-2419.8839999999996"/>
    <n v="2419.8839999999996"/>
    <x v="2"/>
    <s v="2100"/>
    <s v="000"/>
    <x v="3"/>
    <x v="1"/>
  </r>
  <r>
    <d v="2012-01-17T00:00:00"/>
    <s v="018-2210-000"/>
    <s v="Liquor Sales"/>
    <n v="311.19899999999996"/>
    <n v="0"/>
    <s v="Daily Sales Import"/>
    <n v="-311.19899999999996"/>
    <n v="311.19899999999996"/>
    <x v="2"/>
    <s v="2210"/>
    <s v="000"/>
    <x v="3"/>
    <x v="1"/>
  </r>
  <r>
    <d v="2012-01-17T00:00:00"/>
    <s v="018-2220-000"/>
    <s v="Beer Sales"/>
    <n v="91.611000000000004"/>
    <n v="0"/>
    <s v="Daily Sales Import"/>
    <n v="-91.611000000000004"/>
    <n v="91.611000000000004"/>
    <x v="2"/>
    <s v="2220"/>
    <s v="000"/>
    <x v="3"/>
    <x v="1"/>
  </r>
  <r>
    <d v="2012-01-17T00:00:00"/>
    <s v="018-2230-000"/>
    <s v="Wine Sales"/>
    <n v="42.769999999999996"/>
    <n v="0"/>
    <s v="Daily Sales Import"/>
    <n v="-42.769999999999996"/>
    <n v="42.769999999999996"/>
    <x v="2"/>
    <s v="2230"/>
    <s v="000"/>
    <x v="3"/>
    <x v="1"/>
  </r>
  <r>
    <d v="2012-01-18T00:00:00"/>
    <s v="018-2100-000"/>
    <s v="Food Sales"/>
    <n v="3176.5584999999996"/>
    <n v="0"/>
    <s v="Daily Sales Import"/>
    <n v="-3176.5584999999996"/>
    <n v="3176.5584999999996"/>
    <x v="2"/>
    <s v="2100"/>
    <s v="000"/>
    <x v="3"/>
    <x v="1"/>
  </r>
  <r>
    <d v="2012-01-18T00:00:00"/>
    <s v="018-2210-000"/>
    <s v="Liquor Sales"/>
    <n v="500.67600000000004"/>
    <n v="0"/>
    <s v="Daily Sales Import"/>
    <n v="-500.67600000000004"/>
    <n v="500.67600000000004"/>
    <x v="2"/>
    <s v="2210"/>
    <s v="000"/>
    <x v="3"/>
    <x v="1"/>
  </r>
  <r>
    <d v="2012-01-18T00:00:00"/>
    <s v="018-2220-000"/>
    <s v="Beer Sales"/>
    <n v="79.14500000000001"/>
    <n v="0"/>
    <s v="Daily Sales Import"/>
    <n v="-79.14500000000001"/>
    <n v="79.14500000000001"/>
    <x v="2"/>
    <s v="2220"/>
    <s v="000"/>
    <x v="3"/>
    <x v="1"/>
  </r>
  <r>
    <d v="2012-01-18T00:00:00"/>
    <s v="018-2230-000"/>
    <s v="Wine Sales"/>
    <n v="18.942"/>
    <n v="0"/>
    <s v="Daily Sales Import"/>
    <n v="-18.942"/>
    <n v="18.942"/>
    <x v="2"/>
    <s v="2230"/>
    <s v="000"/>
    <x v="3"/>
    <x v="1"/>
  </r>
  <r>
    <d v="2012-01-19T00:00:00"/>
    <s v="018-2100-000"/>
    <s v="Food Sales"/>
    <n v="4375.5384000000004"/>
    <n v="0"/>
    <s v="Daily Sales Import"/>
    <n v="-4375.5384000000004"/>
    <n v="4375.5384000000004"/>
    <x v="2"/>
    <s v="2100"/>
    <s v="000"/>
    <x v="3"/>
    <x v="1"/>
  </r>
  <r>
    <d v="2012-01-19T00:00:00"/>
    <s v="018-2210-000"/>
    <s v="Liquor Sales"/>
    <n v="529.94799999999998"/>
    <n v="0"/>
    <s v="Daily Sales Import"/>
    <n v="-529.94799999999998"/>
    <n v="529.94799999999998"/>
    <x v="2"/>
    <s v="2210"/>
    <s v="000"/>
    <x v="3"/>
    <x v="1"/>
  </r>
  <r>
    <d v="2012-01-19T00:00:00"/>
    <s v="018-2220-000"/>
    <s v="Beer Sales"/>
    <n v="71.344000000000008"/>
    <n v="0"/>
    <s v="Daily Sales Import"/>
    <n v="-71.344000000000008"/>
    <n v="71.344000000000008"/>
    <x v="2"/>
    <s v="2220"/>
    <s v="000"/>
    <x v="3"/>
    <x v="1"/>
  </r>
  <r>
    <d v="2012-01-19T00:00:00"/>
    <s v="018-2230-000"/>
    <s v="Wine Sales"/>
    <n v="31.15"/>
    <n v="0"/>
    <s v="Daily Sales Import"/>
    <n v="-31.15"/>
    <n v="31.15"/>
    <x v="2"/>
    <s v="2230"/>
    <s v="000"/>
    <x v="3"/>
    <x v="1"/>
  </r>
  <r>
    <d v="2012-01-20T00:00:00"/>
    <s v="018-2100-000"/>
    <s v="Food Sales"/>
    <n v="5925.92"/>
    <n v="0"/>
    <s v="Daily Sales Import"/>
    <n v="-5925.92"/>
    <n v="5925.92"/>
    <x v="2"/>
    <s v="2100"/>
    <s v="000"/>
    <x v="3"/>
    <x v="1"/>
  </r>
  <r>
    <d v="2012-01-20T00:00:00"/>
    <s v="018-2210-000"/>
    <s v="Liquor Sales"/>
    <n v="2812.7440000000001"/>
    <n v="0"/>
    <s v="Daily Sales Import"/>
    <n v="-2812.7440000000001"/>
    <n v="2812.7440000000001"/>
    <x v="2"/>
    <s v="2210"/>
    <s v="000"/>
    <x v="3"/>
    <x v="1"/>
  </r>
  <r>
    <d v="2012-01-20T00:00:00"/>
    <s v="018-2220-000"/>
    <s v="Beer Sales"/>
    <n v="523.48450000000003"/>
    <n v="0"/>
    <s v="Daily Sales Import"/>
    <n v="-523.48450000000003"/>
    <n v="523.48450000000003"/>
    <x v="2"/>
    <s v="2220"/>
    <s v="000"/>
    <x v="3"/>
    <x v="1"/>
  </r>
  <r>
    <d v="2012-01-20T00:00:00"/>
    <s v="018-2230-000"/>
    <s v="Wine Sales"/>
    <n v="144.012"/>
    <n v="0"/>
    <s v="Daily Sales Import"/>
    <n v="-144.012"/>
    <n v="144.012"/>
    <x v="2"/>
    <s v="2230"/>
    <s v="000"/>
    <x v="3"/>
    <x v="1"/>
  </r>
  <r>
    <d v="2012-01-21T00:00:00"/>
    <s v="018-2100-000"/>
    <s v="Food Sales"/>
    <n v="7825.1859999999997"/>
    <n v="0"/>
    <s v="Daily Sales Import"/>
    <n v="-7825.1859999999997"/>
    <n v="7825.1859999999997"/>
    <x v="2"/>
    <s v="2100"/>
    <s v="000"/>
    <x v="3"/>
    <x v="1"/>
  </r>
  <r>
    <d v="2012-01-21T00:00:00"/>
    <s v="018-2210-000"/>
    <s v="Liquor Sales"/>
    <n v="1980.0330000000001"/>
    <n v="0"/>
    <s v="Daily Sales Import"/>
    <n v="-1980.0330000000001"/>
    <n v="1980.0330000000001"/>
    <x v="2"/>
    <s v="2210"/>
    <s v="000"/>
    <x v="3"/>
    <x v="1"/>
  </r>
  <r>
    <d v="2012-01-21T00:00:00"/>
    <s v="018-2220-000"/>
    <s v="Beer Sales"/>
    <n v="560.928"/>
    <n v="0"/>
    <s v="Daily Sales Import"/>
    <n v="-560.928"/>
    <n v="560.928"/>
    <x v="2"/>
    <s v="2220"/>
    <s v="000"/>
    <x v="3"/>
    <x v="1"/>
  </r>
  <r>
    <d v="2012-01-21T00:00:00"/>
    <s v="018-2230-000"/>
    <s v="Wine Sales"/>
    <n v="172.67"/>
    <n v="0"/>
    <s v="Daily Sales Import"/>
    <n v="-172.67"/>
    <n v="172.67"/>
    <x v="2"/>
    <s v="2230"/>
    <s v="000"/>
    <x v="3"/>
    <x v="1"/>
  </r>
  <r>
    <d v="2012-01-22T00:00:00"/>
    <s v="018-2100-000"/>
    <s v="Food Sales"/>
    <n v="5867.5844999999999"/>
    <n v="0"/>
    <s v="Daily Sales Import"/>
    <n v="-5867.5844999999999"/>
    <n v="5867.5844999999999"/>
    <x v="2"/>
    <s v="2100"/>
    <s v="000"/>
    <x v="3"/>
    <x v="1"/>
  </r>
  <r>
    <d v="2012-01-22T00:00:00"/>
    <s v="018-2210-000"/>
    <s v="Liquor Sales"/>
    <n v="679.36349999999993"/>
    <n v="0"/>
    <s v="Daily Sales Import"/>
    <n v="-679.36349999999993"/>
    <n v="679.36349999999993"/>
    <x v="2"/>
    <s v="2210"/>
    <s v="000"/>
    <x v="3"/>
    <x v="1"/>
  </r>
  <r>
    <d v="2012-01-22T00:00:00"/>
    <s v="018-2220-000"/>
    <s v="Beer Sales"/>
    <n v="107.05499999999999"/>
    <n v="0"/>
    <s v="Daily Sales Import"/>
    <n v="-107.05499999999999"/>
    <n v="107.05499999999999"/>
    <x v="2"/>
    <s v="2220"/>
    <s v="000"/>
    <x v="3"/>
    <x v="1"/>
  </r>
  <r>
    <d v="2012-01-22T00:00:00"/>
    <s v="018-2230-000"/>
    <s v="Wine Sales"/>
    <n v="53.7425"/>
    <n v="0"/>
    <s v="Daily Sales Import"/>
    <n v="-53.7425"/>
    <n v="53.7425"/>
    <x v="2"/>
    <s v="2230"/>
    <s v="000"/>
    <x v="3"/>
    <x v="1"/>
  </r>
  <r>
    <d v="2012-01-23T00:00:00"/>
    <s v="016-2100-000"/>
    <s v="Food Sales"/>
    <n v="2846.3604"/>
    <n v="0"/>
    <s v="Daily Sales Import"/>
    <n v="-2846.3604"/>
    <n v="2846.3604"/>
    <x v="0"/>
    <s v="2100"/>
    <s v="000"/>
    <x v="3"/>
    <x v="1"/>
  </r>
  <r>
    <d v="2012-01-23T00:00:00"/>
    <s v="016-2210-000"/>
    <s v="Liquor Sales"/>
    <n v="532.77599999999995"/>
    <n v="0"/>
    <s v="Daily Sales Import"/>
    <n v="-532.77599999999995"/>
    <n v="532.77599999999995"/>
    <x v="0"/>
    <s v="2210"/>
    <s v="000"/>
    <x v="3"/>
    <x v="1"/>
  </r>
  <r>
    <d v="2012-01-23T00:00:00"/>
    <s v="016-2220-000"/>
    <s v="Beer Sales"/>
    <n v="123.753"/>
    <n v="0"/>
    <s v="Daily Sales Import"/>
    <n v="-123.753"/>
    <n v="123.753"/>
    <x v="0"/>
    <s v="2220"/>
    <s v="000"/>
    <x v="3"/>
    <x v="1"/>
  </r>
  <r>
    <d v="2012-01-23T00:00:00"/>
    <s v="016-2230-000"/>
    <s v="Wine Sales"/>
    <n v="31.008000000000003"/>
    <n v="0"/>
    <s v="Daily Sales Import"/>
    <n v="-31.008000000000003"/>
    <n v="31.008000000000003"/>
    <x v="0"/>
    <s v="2230"/>
    <s v="000"/>
    <x v="3"/>
    <x v="1"/>
  </r>
  <r>
    <d v="2012-01-24T00:00:00"/>
    <s v="016-2100-000"/>
    <s v="Food Sales"/>
    <n v="1933.1466000000003"/>
    <n v="0"/>
    <s v="Daily Sales Import"/>
    <n v="-1933.1466000000003"/>
    <n v="1933.1466000000003"/>
    <x v="0"/>
    <s v="2100"/>
    <s v="000"/>
    <x v="3"/>
    <x v="1"/>
  </r>
  <r>
    <d v="2012-01-24T00:00:00"/>
    <s v="016-2210-000"/>
    <s v="Liquor Sales"/>
    <n v="752.76850000000002"/>
    <n v="0"/>
    <s v="Daily Sales Import"/>
    <n v="-752.76850000000002"/>
    <n v="752.76850000000002"/>
    <x v="0"/>
    <s v="2210"/>
    <s v="000"/>
    <x v="3"/>
    <x v="1"/>
  </r>
  <r>
    <d v="2012-01-24T00:00:00"/>
    <s v="016-2220-000"/>
    <s v="Beer Sales"/>
    <n v="92.218500000000006"/>
    <n v="0"/>
    <s v="Daily Sales Import"/>
    <n v="-92.218500000000006"/>
    <n v="92.218500000000006"/>
    <x v="0"/>
    <s v="2220"/>
    <s v="000"/>
    <x v="3"/>
    <x v="1"/>
  </r>
  <r>
    <d v="2012-01-24T00:00:00"/>
    <s v="016-2230-000"/>
    <s v="Wine Sales"/>
    <n v="94.332999999999998"/>
    <n v="0"/>
    <s v="Daily Sales Import"/>
    <n v="-94.332999999999998"/>
    <n v="94.332999999999998"/>
    <x v="0"/>
    <s v="2230"/>
    <s v="000"/>
    <x v="3"/>
    <x v="1"/>
  </r>
  <r>
    <d v="2012-01-25T00:00:00"/>
    <s v="016-2100-000"/>
    <s v="Food Sales"/>
    <n v="4214.2336999999998"/>
    <n v="0"/>
    <s v="Daily Sales Import"/>
    <n v="-4214.2336999999998"/>
    <n v="4214.2336999999998"/>
    <x v="0"/>
    <s v="2100"/>
    <s v="000"/>
    <x v="3"/>
    <x v="1"/>
  </r>
  <r>
    <d v="2012-01-25T00:00:00"/>
    <s v="016-2210-000"/>
    <s v="Liquor Sales"/>
    <n v="1661.538"/>
    <n v="0"/>
    <s v="Daily Sales Import"/>
    <n v="-1661.538"/>
    <n v="1661.538"/>
    <x v="0"/>
    <s v="2210"/>
    <s v="000"/>
    <x v="3"/>
    <x v="1"/>
  </r>
  <r>
    <d v="2012-01-25T00:00:00"/>
    <s v="016-2220-000"/>
    <s v="Beer Sales"/>
    <n v="203.41200000000003"/>
    <n v="0"/>
    <s v="Daily Sales Import"/>
    <n v="-203.41200000000003"/>
    <n v="203.41200000000003"/>
    <x v="0"/>
    <s v="2220"/>
    <s v="000"/>
    <x v="3"/>
    <x v="1"/>
  </r>
  <r>
    <d v="2012-01-25T00:00:00"/>
    <s v="016-2230-000"/>
    <s v="Wine Sales"/>
    <n v="201.70150000000001"/>
    <n v="0"/>
    <s v="Daily Sales Import"/>
    <n v="-201.70150000000001"/>
    <n v="201.70150000000001"/>
    <x v="0"/>
    <s v="2230"/>
    <s v="000"/>
    <x v="3"/>
    <x v="1"/>
  </r>
  <r>
    <d v="2012-01-26T00:00:00"/>
    <s v="016-2100-000"/>
    <s v="Food Sales"/>
    <n v="3117.9816000000001"/>
    <n v="0"/>
    <s v="Daily Sales Import"/>
    <n v="-3117.9816000000001"/>
    <n v="3117.9816000000001"/>
    <x v="0"/>
    <s v="2100"/>
    <s v="000"/>
    <x v="3"/>
    <x v="1"/>
  </r>
  <r>
    <d v="2012-01-26T00:00:00"/>
    <s v="016-2210-000"/>
    <s v="Liquor Sales"/>
    <n v="697.33900000000006"/>
    <n v="0"/>
    <s v="Daily Sales Import"/>
    <n v="-697.33900000000006"/>
    <n v="697.33900000000006"/>
    <x v="0"/>
    <s v="2210"/>
    <s v="000"/>
    <x v="3"/>
    <x v="1"/>
  </r>
  <r>
    <d v="2012-01-26T00:00:00"/>
    <s v="016-2220-000"/>
    <s v="Beer Sales"/>
    <n v="115.3815"/>
    <n v="0"/>
    <s v="Daily Sales Import"/>
    <n v="-115.3815"/>
    <n v="115.3815"/>
    <x v="0"/>
    <s v="2220"/>
    <s v="000"/>
    <x v="3"/>
    <x v="1"/>
  </r>
  <r>
    <d v="2012-01-26T00:00:00"/>
    <s v="016-2230-000"/>
    <s v="Wine Sales"/>
    <n v="94.438499999999991"/>
    <n v="0"/>
    <s v="Daily Sales Import"/>
    <n v="-94.438499999999991"/>
    <n v="94.438499999999991"/>
    <x v="0"/>
    <s v="2230"/>
    <s v="000"/>
    <x v="3"/>
    <x v="1"/>
  </r>
  <r>
    <d v="2012-01-27T00:00:00"/>
    <s v="016-2100-000"/>
    <s v="Food Sales"/>
    <n v="7850.8767999999991"/>
    <n v="0"/>
    <s v="Daily Sales Import"/>
    <n v="-7850.8767999999991"/>
    <n v="7850.8767999999991"/>
    <x v="0"/>
    <s v="2100"/>
    <s v="000"/>
    <x v="3"/>
    <x v="1"/>
  </r>
  <r>
    <d v="2012-01-27T00:00:00"/>
    <s v="016-2210-000"/>
    <s v="Liquor Sales"/>
    <n v="2205.2580000000003"/>
    <n v="0"/>
    <s v="Daily Sales Import"/>
    <n v="-2205.2580000000003"/>
    <n v="2205.2580000000003"/>
    <x v="0"/>
    <s v="2210"/>
    <s v="000"/>
    <x v="3"/>
    <x v="1"/>
  </r>
  <r>
    <d v="2012-01-27T00:00:00"/>
    <s v="016-2220-000"/>
    <s v="Beer Sales"/>
    <n v="635.28300000000002"/>
    <n v="0"/>
    <s v="Daily Sales Import"/>
    <n v="-635.28300000000002"/>
    <n v="635.28300000000002"/>
    <x v="0"/>
    <s v="2220"/>
    <s v="000"/>
    <x v="3"/>
    <x v="1"/>
  </r>
  <r>
    <d v="2012-01-27T00:00:00"/>
    <s v="016-2230-000"/>
    <s v="Wine Sales"/>
    <n v="333.89350000000002"/>
    <n v="0"/>
    <s v="Daily Sales Import"/>
    <n v="-333.89350000000002"/>
    <n v="333.89350000000002"/>
    <x v="0"/>
    <s v="2230"/>
    <s v="000"/>
    <x v="3"/>
    <x v="1"/>
  </r>
  <r>
    <d v="2012-01-28T00:00:00"/>
    <s v="016-2100-000"/>
    <s v="Food Sales"/>
    <n v="11173.368"/>
    <n v="0"/>
    <s v="Daily Sales Import"/>
    <n v="-11173.368"/>
    <n v="11173.368"/>
    <x v="0"/>
    <s v="2100"/>
    <s v="000"/>
    <x v="3"/>
    <x v="1"/>
  </r>
  <r>
    <d v="2012-01-28T00:00:00"/>
    <s v="016-2210-000"/>
    <s v="Liquor Sales"/>
    <n v="3030.3580000000002"/>
    <n v="0"/>
    <s v="Daily Sales Import"/>
    <n v="-3030.3580000000002"/>
    <n v="3030.3580000000002"/>
    <x v="0"/>
    <s v="2210"/>
    <s v="000"/>
    <x v="3"/>
    <x v="1"/>
  </r>
  <r>
    <d v="2012-01-28T00:00:00"/>
    <s v="016-2220-000"/>
    <s v="Beer Sales"/>
    <n v="705.04200000000003"/>
    <n v="0"/>
    <s v="Daily Sales Import"/>
    <n v="-705.04200000000003"/>
    <n v="705.04200000000003"/>
    <x v="0"/>
    <s v="2220"/>
    <s v="000"/>
    <x v="3"/>
    <x v="1"/>
  </r>
  <r>
    <d v="2012-01-28T00:00:00"/>
    <s v="016-2230-000"/>
    <s v="Wine Sales"/>
    <n v="288.27199999999999"/>
    <n v="0"/>
    <s v="Daily Sales Import"/>
    <n v="-288.27199999999999"/>
    <n v="288.27199999999999"/>
    <x v="0"/>
    <s v="2230"/>
    <s v="000"/>
    <x v="3"/>
    <x v="1"/>
  </r>
  <r>
    <d v="2012-01-29T00:00:00"/>
    <s v="016-2100-000"/>
    <s v="Food Sales"/>
    <n v="7328.0376000000006"/>
    <n v="0"/>
    <s v="Daily Sales Import"/>
    <n v="-7328.0376000000006"/>
    <n v="7328.0376000000006"/>
    <x v="0"/>
    <s v="2100"/>
    <s v="000"/>
    <x v="3"/>
    <x v="1"/>
  </r>
  <r>
    <d v="2012-01-29T00:00:00"/>
    <s v="016-2210-000"/>
    <s v="Liquor Sales"/>
    <n v="1919.4579999999999"/>
    <n v="0"/>
    <s v="Daily Sales Import"/>
    <n v="-1919.4579999999999"/>
    <n v="1919.4579999999999"/>
    <x v="0"/>
    <s v="2210"/>
    <s v="000"/>
    <x v="3"/>
    <x v="1"/>
  </r>
  <r>
    <d v="2012-01-29T00:00:00"/>
    <s v="016-2220-000"/>
    <s v="Beer Sales"/>
    <n v="413.09999999999997"/>
    <n v="0"/>
    <s v="Daily Sales Import"/>
    <n v="-413.09999999999997"/>
    <n v="413.09999999999997"/>
    <x v="0"/>
    <s v="2220"/>
    <s v="000"/>
    <x v="3"/>
    <x v="1"/>
  </r>
  <r>
    <d v="2012-01-29T00:00:00"/>
    <s v="016-2230-000"/>
    <s v="Wine Sales"/>
    <n v="140.95699999999999"/>
    <n v="0"/>
    <s v="Daily Sales Import"/>
    <n v="-140.95699999999999"/>
    <n v="140.95699999999999"/>
    <x v="0"/>
    <s v="2230"/>
    <s v="000"/>
    <x v="3"/>
    <x v="1"/>
  </r>
  <r>
    <d v="2012-01-23T00:00:00"/>
    <s v="017-2100-000"/>
    <s v="Food Sales"/>
    <n v="3653.9204"/>
    <n v="0"/>
    <s v="Daily Sales Import"/>
    <n v="-3653.9204"/>
    <n v="3653.9204"/>
    <x v="1"/>
    <s v="2100"/>
    <s v="000"/>
    <x v="3"/>
    <x v="1"/>
  </r>
  <r>
    <d v="2012-01-23T00:00:00"/>
    <s v="017-2210-000"/>
    <s v="Liquor Sales"/>
    <n v="689.77"/>
    <n v="0"/>
    <s v="Daily Sales Import"/>
    <n v="-689.77"/>
    <n v="689.77"/>
    <x v="1"/>
    <s v="2210"/>
    <s v="000"/>
    <x v="3"/>
    <x v="1"/>
  </r>
  <r>
    <d v="2012-01-23T00:00:00"/>
    <s v="017-2220-000"/>
    <s v="Beer Sales"/>
    <n v="247.17"/>
    <n v="0"/>
    <s v="Daily Sales Import"/>
    <n v="-247.17"/>
    <n v="247.17"/>
    <x v="1"/>
    <s v="2220"/>
    <s v="000"/>
    <x v="3"/>
    <x v="1"/>
  </r>
  <r>
    <d v="2012-01-23T00:00:00"/>
    <s v="017-2230-000"/>
    <s v="Wine Sales"/>
    <n v="82.655000000000001"/>
    <n v="0"/>
    <s v="Daily Sales Import"/>
    <n v="-82.655000000000001"/>
    <n v="82.655000000000001"/>
    <x v="1"/>
    <s v="2230"/>
    <s v="000"/>
    <x v="3"/>
    <x v="1"/>
  </r>
  <r>
    <d v="2012-01-24T00:00:00"/>
    <s v="017-2100-000"/>
    <s v="Food Sales"/>
    <n v="6353.46"/>
    <n v="0"/>
    <s v="Daily Sales Import"/>
    <n v="-6353.46"/>
    <n v="6353.46"/>
    <x v="1"/>
    <s v="2100"/>
    <s v="000"/>
    <x v="3"/>
    <x v="1"/>
  </r>
  <r>
    <d v="2012-01-24T00:00:00"/>
    <s v="017-2210-000"/>
    <s v="Liquor Sales"/>
    <n v="1539.3585000000003"/>
    <n v="0"/>
    <s v="Daily Sales Import"/>
    <n v="-1539.3585000000003"/>
    <n v="1539.3585000000003"/>
    <x v="1"/>
    <s v="2210"/>
    <s v="000"/>
    <x v="3"/>
    <x v="1"/>
  </r>
  <r>
    <d v="2012-01-24T00:00:00"/>
    <s v="017-2220-000"/>
    <s v="Beer Sales"/>
    <n v="513.625"/>
    <n v="0"/>
    <s v="Daily Sales Import"/>
    <n v="-513.625"/>
    <n v="513.625"/>
    <x v="1"/>
    <s v="2220"/>
    <s v="000"/>
    <x v="3"/>
    <x v="1"/>
  </r>
  <r>
    <d v="2012-01-24T00:00:00"/>
    <s v="017-2230-000"/>
    <s v="Wine Sales"/>
    <n v="163.48000000000002"/>
    <n v="0"/>
    <s v="Daily Sales Import"/>
    <n v="-163.48000000000002"/>
    <n v="163.48000000000002"/>
    <x v="1"/>
    <s v="2230"/>
    <s v="000"/>
    <x v="3"/>
    <x v="1"/>
  </r>
  <r>
    <d v="2012-01-25T00:00:00"/>
    <s v="017-2100-000"/>
    <s v="Food Sales"/>
    <n v="6877.6215000000002"/>
    <n v="0"/>
    <s v="Daily Sales Import"/>
    <n v="-6877.6215000000002"/>
    <n v="6877.6215000000002"/>
    <x v="1"/>
    <s v="2100"/>
    <s v="000"/>
    <x v="3"/>
    <x v="1"/>
  </r>
  <r>
    <d v="2012-01-25T00:00:00"/>
    <s v="017-2210-000"/>
    <s v="Liquor Sales"/>
    <n v="1899.1559999999999"/>
    <n v="0"/>
    <s v="Daily Sales Import"/>
    <n v="-1899.1559999999999"/>
    <n v="1899.1559999999999"/>
    <x v="1"/>
    <s v="2210"/>
    <s v="000"/>
    <x v="3"/>
    <x v="1"/>
  </r>
  <r>
    <d v="2012-01-25T00:00:00"/>
    <s v="017-2220-000"/>
    <s v="Beer Sales"/>
    <n v="539.17500000000007"/>
    <n v="0"/>
    <s v="Daily Sales Import"/>
    <n v="-539.17500000000007"/>
    <n v="539.17500000000007"/>
    <x v="1"/>
    <s v="2220"/>
    <s v="000"/>
    <x v="3"/>
    <x v="1"/>
  </r>
  <r>
    <d v="2012-01-25T00:00:00"/>
    <s v="017-2230-000"/>
    <s v="Wine Sales"/>
    <n v="171.82500000000002"/>
    <n v="0"/>
    <s v="Daily Sales Import"/>
    <n v="-171.82500000000002"/>
    <n v="171.82500000000002"/>
    <x v="1"/>
    <s v="2230"/>
    <s v="000"/>
    <x v="3"/>
    <x v="1"/>
  </r>
  <r>
    <d v="2012-01-26T00:00:00"/>
    <s v="017-2100-000"/>
    <s v="Food Sales"/>
    <n v="5284.8272000000006"/>
    <n v="0"/>
    <s v="Daily Sales Import"/>
    <n v="-5284.8272000000006"/>
    <n v="5284.8272000000006"/>
    <x v="1"/>
    <s v="2100"/>
    <s v="000"/>
    <x v="3"/>
    <x v="1"/>
  </r>
  <r>
    <d v="2012-01-26T00:00:00"/>
    <s v="017-2210-000"/>
    <s v="Liquor Sales"/>
    <n v="1281.1865"/>
    <n v="0"/>
    <s v="Daily Sales Import"/>
    <n v="-1281.1865"/>
    <n v="1281.1865"/>
    <x v="1"/>
    <s v="2210"/>
    <s v="000"/>
    <x v="3"/>
    <x v="1"/>
  </r>
  <r>
    <d v="2012-01-26T00:00:00"/>
    <s v="017-2220-000"/>
    <s v="Beer Sales"/>
    <n v="519.75"/>
    <n v="0"/>
    <s v="Daily Sales Import"/>
    <n v="-519.75"/>
    <n v="519.75"/>
    <x v="1"/>
    <s v="2220"/>
    <s v="000"/>
    <x v="3"/>
    <x v="1"/>
  </r>
  <r>
    <d v="2012-01-26T00:00:00"/>
    <s v="017-2230-000"/>
    <s v="Wine Sales"/>
    <n v="144.67000000000002"/>
    <n v="0"/>
    <s v="Daily Sales Import"/>
    <n v="-144.67000000000002"/>
    <n v="144.67000000000002"/>
    <x v="1"/>
    <s v="2230"/>
    <s v="000"/>
    <x v="3"/>
    <x v="1"/>
  </r>
  <r>
    <d v="2012-01-27T00:00:00"/>
    <s v="017-2100-000"/>
    <s v="Food Sales"/>
    <n v="8322.8984"/>
    <n v="0"/>
    <s v="Daily Sales Import"/>
    <n v="-8322.8984"/>
    <n v="8322.8984"/>
    <x v="1"/>
    <s v="2100"/>
    <s v="000"/>
    <x v="3"/>
    <x v="1"/>
  </r>
  <r>
    <d v="2012-01-27T00:00:00"/>
    <s v="017-2210-000"/>
    <s v="Liquor Sales"/>
    <n v="2568.9375"/>
    <n v="0"/>
    <s v="Daily Sales Import"/>
    <n v="-2568.9375"/>
    <n v="2568.9375"/>
    <x v="1"/>
    <s v="2210"/>
    <s v="000"/>
    <x v="3"/>
    <x v="1"/>
  </r>
  <r>
    <d v="2012-01-27T00:00:00"/>
    <s v="017-2220-000"/>
    <s v="Beer Sales"/>
    <n v="569.60749999999996"/>
    <n v="0"/>
    <s v="Daily Sales Import"/>
    <n v="-569.60749999999996"/>
    <n v="569.60749999999996"/>
    <x v="1"/>
    <s v="2220"/>
    <s v="000"/>
    <x v="3"/>
    <x v="1"/>
  </r>
  <r>
    <d v="2012-01-27T00:00:00"/>
    <s v="017-2230-000"/>
    <s v="Wine Sales"/>
    <n v="202.45500000000001"/>
    <n v="0"/>
    <s v="Daily Sales Import"/>
    <n v="-202.45500000000001"/>
    <n v="202.45500000000001"/>
    <x v="1"/>
    <s v="2230"/>
    <s v="000"/>
    <x v="3"/>
    <x v="1"/>
  </r>
  <r>
    <d v="2012-01-28T00:00:00"/>
    <s v="017-2100-000"/>
    <s v="Food Sales"/>
    <n v="5853.7246999999998"/>
    <n v="0"/>
    <s v="Daily Sales Import"/>
    <n v="-5853.7246999999998"/>
    <n v="5853.7246999999998"/>
    <x v="1"/>
    <s v="2100"/>
    <s v="000"/>
    <x v="3"/>
    <x v="1"/>
  </r>
  <r>
    <d v="2012-01-28T00:00:00"/>
    <s v="017-2210-000"/>
    <s v="Liquor Sales"/>
    <n v="2393.6849999999999"/>
    <n v="0"/>
    <s v="Daily Sales Import"/>
    <n v="-2393.6849999999999"/>
    <n v="2393.6849999999999"/>
    <x v="1"/>
    <s v="2210"/>
    <s v="000"/>
    <x v="3"/>
    <x v="1"/>
  </r>
  <r>
    <d v="2012-01-28T00:00:00"/>
    <s v="017-2220-000"/>
    <s v="Beer Sales"/>
    <n v="357.9"/>
    <n v="0"/>
    <s v="Daily Sales Import"/>
    <n v="-357.9"/>
    <n v="357.9"/>
    <x v="1"/>
    <s v="2220"/>
    <s v="000"/>
    <x v="3"/>
    <x v="1"/>
  </r>
  <r>
    <d v="2012-01-28T00:00:00"/>
    <s v="017-2230-000"/>
    <s v="Wine Sales"/>
    <n v="139.5"/>
    <n v="0"/>
    <s v="Daily Sales Import"/>
    <n v="-139.5"/>
    <n v="139.5"/>
    <x v="1"/>
    <s v="2230"/>
    <s v="000"/>
    <x v="3"/>
    <x v="1"/>
  </r>
  <r>
    <d v="2012-01-29T00:00:00"/>
    <s v="017-2100-000"/>
    <s v="Food Sales"/>
    <n v="4491.8335000000006"/>
    <n v="0"/>
    <s v="Daily Sales Import"/>
    <n v="-4491.8335000000006"/>
    <n v="4491.8335000000006"/>
    <x v="1"/>
    <s v="2100"/>
    <s v="000"/>
    <x v="3"/>
    <x v="1"/>
  </r>
  <r>
    <d v="2012-01-29T00:00:00"/>
    <s v="017-2210-000"/>
    <s v="Liquor Sales"/>
    <n v="817.21799999999996"/>
    <n v="0"/>
    <s v="Daily Sales Import"/>
    <n v="-817.21799999999996"/>
    <n v="817.21799999999996"/>
    <x v="1"/>
    <s v="2210"/>
    <s v="000"/>
    <x v="3"/>
    <x v="1"/>
  </r>
  <r>
    <d v="2012-01-29T00:00:00"/>
    <s v="017-2220-000"/>
    <s v="Beer Sales"/>
    <n v="236.88"/>
    <n v="0"/>
    <s v="Daily Sales Import"/>
    <n v="-236.88"/>
    <n v="236.88"/>
    <x v="1"/>
    <s v="2220"/>
    <s v="000"/>
    <x v="3"/>
    <x v="1"/>
  </r>
  <r>
    <d v="2012-01-29T00:00:00"/>
    <s v="017-2230-000"/>
    <s v="Wine Sales"/>
    <n v="66.637499999999989"/>
    <n v="0"/>
    <s v="Daily Sales Import"/>
    <n v="-66.637499999999989"/>
    <n v="66.637499999999989"/>
    <x v="1"/>
    <s v="2230"/>
    <s v="000"/>
    <x v="3"/>
    <x v="1"/>
  </r>
  <r>
    <d v="2012-01-23T00:00:00"/>
    <s v="018-2100-000"/>
    <s v="Food Sales"/>
    <n v="1995.7463999999998"/>
    <n v="0"/>
    <s v="Daily Sales Import"/>
    <n v="-1995.7463999999998"/>
    <n v="1995.7463999999998"/>
    <x v="2"/>
    <s v="2100"/>
    <s v="000"/>
    <x v="3"/>
    <x v="1"/>
  </r>
  <r>
    <d v="2012-01-23T00:00:00"/>
    <s v="018-2210-000"/>
    <s v="Liquor Sales"/>
    <n v="332.81"/>
    <n v="0"/>
    <s v="Daily Sales Import"/>
    <n v="-332.81"/>
    <n v="332.81"/>
    <x v="2"/>
    <s v="2210"/>
    <s v="000"/>
    <x v="3"/>
    <x v="1"/>
  </r>
  <r>
    <d v="2012-01-23T00:00:00"/>
    <s v="018-2220-000"/>
    <s v="Beer Sales"/>
    <n v="97.525500000000008"/>
    <n v="0"/>
    <s v="Daily Sales Import"/>
    <n v="-97.525500000000008"/>
    <n v="97.525500000000008"/>
    <x v="2"/>
    <s v="2220"/>
    <s v="000"/>
    <x v="3"/>
    <x v="1"/>
  </r>
  <r>
    <d v="2012-01-23T00:00:00"/>
    <s v="018-2230-000"/>
    <s v="Wine Sales"/>
    <n v="32.253"/>
    <n v="0"/>
    <s v="Daily Sales Import"/>
    <n v="-32.253"/>
    <n v="32.253"/>
    <x v="2"/>
    <s v="2230"/>
    <s v="000"/>
    <x v="3"/>
    <x v="1"/>
  </r>
  <r>
    <d v="2012-01-24T00:00:00"/>
    <s v="018-2100-000"/>
    <s v="Food Sales"/>
    <n v="3116.8998000000001"/>
    <n v="0"/>
    <s v="Daily Sales Import"/>
    <n v="-3116.8998000000001"/>
    <n v="3116.8998000000001"/>
    <x v="2"/>
    <s v="2100"/>
    <s v="000"/>
    <x v="3"/>
    <x v="1"/>
  </r>
  <r>
    <d v="2012-01-24T00:00:00"/>
    <s v="018-2210-000"/>
    <s v="Liquor Sales"/>
    <n v="579.96249999999998"/>
    <n v="0"/>
    <s v="Daily Sales Import"/>
    <n v="-579.96249999999998"/>
    <n v="579.96249999999998"/>
    <x v="2"/>
    <s v="2210"/>
    <s v="000"/>
    <x v="3"/>
    <x v="1"/>
  </r>
  <r>
    <d v="2012-01-24T00:00:00"/>
    <s v="018-2220-000"/>
    <s v="Beer Sales"/>
    <n v="203.30650000000003"/>
    <n v="0"/>
    <s v="Daily Sales Import"/>
    <n v="-203.30650000000003"/>
    <n v="203.30650000000003"/>
    <x v="2"/>
    <s v="2220"/>
    <s v="000"/>
    <x v="3"/>
    <x v="1"/>
  </r>
  <r>
    <d v="2012-01-24T00:00:00"/>
    <s v="018-2230-000"/>
    <s v="Wine Sales"/>
    <n v="23.315999999999999"/>
    <n v="0"/>
    <s v="Daily Sales Import"/>
    <n v="-23.315999999999999"/>
    <n v="23.315999999999999"/>
    <x v="2"/>
    <s v="2230"/>
    <s v="000"/>
    <x v="3"/>
    <x v="1"/>
  </r>
  <r>
    <d v="2012-01-25T00:00:00"/>
    <s v="018-2100-000"/>
    <s v="Food Sales"/>
    <n v="3516.7859999999996"/>
    <n v="0"/>
    <s v="Daily Sales Import"/>
    <n v="-3516.7859999999996"/>
    <n v="3516.7859999999996"/>
    <x v="2"/>
    <s v="2100"/>
    <s v="000"/>
    <x v="3"/>
    <x v="1"/>
  </r>
  <r>
    <d v="2012-01-25T00:00:00"/>
    <s v="018-2210-000"/>
    <s v="Liquor Sales"/>
    <n v="433.90700000000004"/>
    <n v="0"/>
    <s v="Daily Sales Import"/>
    <n v="-433.90700000000004"/>
    <n v="433.90700000000004"/>
    <x v="2"/>
    <s v="2210"/>
    <s v="000"/>
    <x v="3"/>
    <x v="1"/>
  </r>
  <r>
    <d v="2012-01-25T00:00:00"/>
    <s v="018-2220-000"/>
    <s v="Beer Sales"/>
    <n v="127.73399999999999"/>
    <n v="0"/>
    <s v="Daily Sales Import"/>
    <n v="-127.73399999999999"/>
    <n v="127.73399999999999"/>
    <x v="2"/>
    <s v="2220"/>
    <s v="000"/>
    <x v="3"/>
    <x v="1"/>
  </r>
  <r>
    <d v="2012-01-25T00:00:00"/>
    <s v="018-2230-000"/>
    <s v="Wine Sales"/>
    <n v="23.925000000000001"/>
    <n v="0"/>
    <s v="Daily Sales Import"/>
    <n v="-23.925000000000001"/>
    <n v="23.925000000000001"/>
    <x v="2"/>
    <s v="2230"/>
    <s v="000"/>
    <x v="3"/>
    <x v="1"/>
  </r>
  <r>
    <d v="2012-01-26T00:00:00"/>
    <s v="018-2100-000"/>
    <s v="Food Sales"/>
    <n v="3387.4874999999997"/>
    <n v="0"/>
    <s v="Daily Sales Import"/>
    <n v="-3387.4874999999997"/>
    <n v="3387.4874999999997"/>
    <x v="2"/>
    <s v="2100"/>
    <s v="000"/>
    <x v="3"/>
    <x v="1"/>
  </r>
  <r>
    <d v="2012-01-26T00:00:00"/>
    <s v="018-2210-000"/>
    <s v="Liquor Sales"/>
    <n v="778.82400000000007"/>
    <n v="0"/>
    <s v="Daily Sales Import"/>
    <n v="-778.82400000000007"/>
    <n v="778.82400000000007"/>
    <x v="2"/>
    <s v="2210"/>
    <s v="000"/>
    <x v="3"/>
    <x v="1"/>
  </r>
  <r>
    <d v="2012-01-26T00:00:00"/>
    <s v="018-2220-000"/>
    <s v="Beer Sales"/>
    <n v="126.79649999999998"/>
    <n v="0"/>
    <s v="Daily Sales Import"/>
    <n v="-126.79649999999998"/>
    <n v="126.79649999999998"/>
    <x v="2"/>
    <s v="2220"/>
    <s v="000"/>
    <x v="3"/>
    <x v="1"/>
  </r>
  <r>
    <d v="2012-01-26T00:00:00"/>
    <s v="018-2230-000"/>
    <s v="Wine Sales"/>
    <n v="14.548500000000001"/>
    <n v="0"/>
    <s v="Daily Sales Import"/>
    <n v="-14.548500000000001"/>
    <n v="14.548500000000001"/>
    <x v="2"/>
    <s v="2230"/>
    <s v="000"/>
    <x v="3"/>
    <x v="1"/>
  </r>
  <r>
    <d v="2012-01-27T00:00:00"/>
    <s v="018-2100-000"/>
    <s v="Food Sales"/>
    <n v="10247.19"/>
    <n v="0"/>
    <s v="Daily Sales Import"/>
    <n v="-10247.19"/>
    <n v="10247.19"/>
    <x v="2"/>
    <s v="2100"/>
    <s v="000"/>
    <x v="3"/>
    <x v="1"/>
  </r>
  <r>
    <d v="2012-01-27T00:00:00"/>
    <s v="018-2210-000"/>
    <s v="Liquor Sales"/>
    <n v="1945.3779999999997"/>
    <n v="0"/>
    <s v="Daily Sales Import"/>
    <n v="-1945.3779999999997"/>
    <n v="1945.3779999999997"/>
    <x v="2"/>
    <s v="2210"/>
    <s v="000"/>
    <x v="3"/>
    <x v="1"/>
  </r>
  <r>
    <d v="2012-01-27T00:00:00"/>
    <s v="018-2220-000"/>
    <s v="Beer Sales"/>
    <n v="578.19999999999993"/>
    <n v="0"/>
    <s v="Daily Sales Import"/>
    <n v="-578.19999999999993"/>
    <n v="578.19999999999993"/>
    <x v="2"/>
    <s v="2220"/>
    <s v="000"/>
    <x v="3"/>
    <x v="1"/>
  </r>
  <r>
    <d v="2012-01-27T00:00:00"/>
    <s v="018-2230-000"/>
    <s v="Wine Sales"/>
    <n v="328.09500000000003"/>
    <n v="0"/>
    <s v="Daily Sales Import"/>
    <n v="-328.09500000000003"/>
    <n v="328.09500000000003"/>
    <x v="2"/>
    <s v="2230"/>
    <s v="000"/>
    <x v="3"/>
    <x v="1"/>
  </r>
  <r>
    <d v="2012-01-28T00:00:00"/>
    <s v="018-2100-000"/>
    <s v="Food Sales"/>
    <n v="10679.766500000002"/>
    <n v="0"/>
    <s v="Daily Sales Import"/>
    <n v="-10679.766500000002"/>
    <n v="10679.766500000002"/>
    <x v="2"/>
    <s v="2100"/>
    <s v="000"/>
    <x v="3"/>
    <x v="1"/>
  </r>
  <r>
    <d v="2012-01-28T00:00:00"/>
    <s v="018-2210-000"/>
    <s v="Liquor Sales"/>
    <n v="2328.4560000000001"/>
    <n v="0"/>
    <s v="Daily Sales Import"/>
    <n v="-2328.4560000000001"/>
    <n v="2328.4560000000001"/>
    <x v="2"/>
    <s v="2210"/>
    <s v="000"/>
    <x v="3"/>
    <x v="1"/>
  </r>
  <r>
    <d v="2012-01-28T00:00:00"/>
    <s v="018-2220-000"/>
    <s v="Beer Sales"/>
    <n v="570.71999999999991"/>
    <n v="0"/>
    <s v="Daily Sales Import"/>
    <n v="-570.71999999999991"/>
    <n v="570.71999999999991"/>
    <x v="2"/>
    <s v="2220"/>
    <s v="000"/>
    <x v="3"/>
    <x v="1"/>
  </r>
  <r>
    <d v="2012-01-28T00:00:00"/>
    <s v="018-2230-000"/>
    <s v="Wine Sales"/>
    <n v="125.13"/>
    <n v="0"/>
    <s v="Daily Sales Import"/>
    <n v="-125.13"/>
    <n v="125.13"/>
    <x v="2"/>
    <s v="2230"/>
    <s v="000"/>
    <x v="3"/>
    <x v="1"/>
  </r>
  <r>
    <d v="2012-01-29T00:00:00"/>
    <s v="018-2100-000"/>
    <s v="Food Sales"/>
    <n v="6696.42"/>
    <n v="0"/>
    <s v="Daily Sales Import"/>
    <n v="-6696.42"/>
    <n v="6696.42"/>
    <x v="2"/>
    <s v="2100"/>
    <s v="000"/>
    <x v="3"/>
    <x v="1"/>
  </r>
  <r>
    <d v="2012-01-29T00:00:00"/>
    <s v="018-2210-000"/>
    <s v="Liquor Sales"/>
    <n v="985.47900000000016"/>
    <n v="0"/>
    <s v="Daily Sales Import"/>
    <n v="-985.47900000000016"/>
    <n v="985.47900000000016"/>
    <x v="2"/>
    <s v="2210"/>
    <s v="000"/>
    <x v="3"/>
    <x v="1"/>
  </r>
  <r>
    <d v="2012-01-29T00:00:00"/>
    <s v="018-2220-000"/>
    <s v="Beer Sales"/>
    <n v="245.322"/>
    <n v="0"/>
    <s v="Daily Sales Import"/>
    <n v="-245.322"/>
    <n v="245.322"/>
    <x v="2"/>
    <s v="2220"/>
    <s v="000"/>
    <x v="3"/>
    <x v="1"/>
  </r>
  <r>
    <d v="2012-01-29T00:00:00"/>
    <s v="018-2230-000"/>
    <s v="Wine Sales"/>
    <n v="109.342"/>
    <n v="0"/>
    <s v="Daily Sales Import"/>
    <n v="-109.342"/>
    <n v="109.342"/>
    <x v="2"/>
    <s v="2230"/>
    <s v="000"/>
    <x v="3"/>
    <x v="1"/>
  </r>
  <r>
    <d v="2012-01-30T00:00:00"/>
    <s v="016-2100-000"/>
    <s v="Food Sales"/>
    <n v="2155.7149999999997"/>
    <n v="0"/>
    <s v="Daily Sales Import"/>
    <n v="-2155.7149999999997"/>
    <n v="2155.7149999999997"/>
    <x v="0"/>
    <s v="2100"/>
    <s v="000"/>
    <x v="3"/>
    <x v="1"/>
  </r>
  <r>
    <d v="2012-01-30T00:00:00"/>
    <s v="016-2210-000"/>
    <s v="Liquor Sales"/>
    <n v="758.85599999999999"/>
    <n v="0"/>
    <s v="Daily Sales Import"/>
    <n v="-758.85599999999999"/>
    <n v="758.85599999999999"/>
    <x v="0"/>
    <s v="2210"/>
    <s v="000"/>
    <x v="3"/>
    <x v="1"/>
  </r>
  <r>
    <d v="2012-01-30T00:00:00"/>
    <s v="016-2220-000"/>
    <s v="Beer Sales"/>
    <n v="137.70000000000002"/>
    <n v="0"/>
    <s v="Daily Sales Import"/>
    <n v="-137.70000000000002"/>
    <n v="137.70000000000002"/>
    <x v="0"/>
    <s v="2220"/>
    <s v="000"/>
    <x v="3"/>
    <x v="1"/>
  </r>
  <r>
    <d v="2012-01-30T00:00:00"/>
    <s v="016-2230-000"/>
    <s v="Wine Sales"/>
    <n v="24.893000000000001"/>
    <n v="0"/>
    <s v="Daily Sales Import"/>
    <n v="-24.893000000000001"/>
    <n v="24.893000000000001"/>
    <x v="0"/>
    <s v="2230"/>
    <s v="000"/>
    <x v="3"/>
    <x v="1"/>
  </r>
  <r>
    <d v="2012-01-31T00:00:00"/>
    <s v="016-2100-000"/>
    <s v="Food Sales"/>
    <n v="2801.4524999999999"/>
    <n v="0"/>
    <s v="Daily Sales Import"/>
    <n v="-2801.4524999999999"/>
    <n v="2801.4524999999999"/>
    <x v="0"/>
    <s v="2100"/>
    <s v="000"/>
    <x v="3"/>
    <x v="1"/>
  </r>
  <r>
    <d v="2012-01-31T00:00:00"/>
    <s v="016-2210-000"/>
    <s v="Liquor Sales"/>
    <n v="627.14249999999993"/>
    <n v="0"/>
    <s v="Daily Sales Import"/>
    <n v="-627.14249999999993"/>
    <n v="627.14249999999993"/>
    <x v="0"/>
    <s v="2210"/>
    <s v="000"/>
    <x v="3"/>
    <x v="1"/>
  </r>
  <r>
    <d v="2012-01-31T00:00:00"/>
    <s v="016-2220-000"/>
    <s v="Beer Sales"/>
    <n v="228.55200000000002"/>
    <n v="0"/>
    <s v="Daily Sales Import"/>
    <n v="-228.55200000000002"/>
    <n v="228.55200000000002"/>
    <x v="0"/>
    <s v="2220"/>
    <s v="000"/>
    <x v="3"/>
    <x v="1"/>
  </r>
  <r>
    <d v="2012-01-31T00:00:00"/>
    <s v="016-2230-000"/>
    <s v="Wine Sales"/>
    <n v="103.32199999999999"/>
    <n v="0"/>
    <s v="Daily Sales Import"/>
    <n v="-103.32199999999999"/>
    <n v="103.32199999999999"/>
    <x v="0"/>
    <s v="2230"/>
    <s v="000"/>
    <x v="3"/>
    <x v="1"/>
  </r>
  <r>
    <d v="2012-02-01T00:00:00"/>
    <s v="016-2100-000"/>
    <s v="Food Sales"/>
    <n v="1875.6210000000001"/>
    <n v="0"/>
    <s v="Daily Sales Import"/>
    <n v="-1875.6210000000001"/>
    <n v="1875.6210000000001"/>
    <x v="0"/>
    <s v="2100"/>
    <s v="000"/>
    <x v="4"/>
    <x v="1"/>
  </r>
  <r>
    <d v="2012-02-01T00:00:00"/>
    <s v="016-2210-000"/>
    <s v="Liquor Sales"/>
    <n v="634.52800000000002"/>
    <n v="0"/>
    <s v="Daily Sales Import"/>
    <n v="-634.52800000000002"/>
    <n v="634.52800000000002"/>
    <x v="0"/>
    <s v="2210"/>
    <s v="000"/>
    <x v="4"/>
    <x v="1"/>
  </r>
  <r>
    <d v="2012-02-01T00:00:00"/>
    <s v="016-2220-000"/>
    <s v="Beer Sales"/>
    <n v="167.79"/>
    <n v="0"/>
    <s v="Daily Sales Import"/>
    <n v="-167.79"/>
    <n v="167.79"/>
    <x v="0"/>
    <s v="2220"/>
    <s v="000"/>
    <x v="4"/>
    <x v="1"/>
  </r>
  <r>
    <d v="2012-02-01T00:00:00"/>
    <s v="016-2230-000"/>
    <s v="Wine Sales"/>
    <n v="49.148000000000003"/>
    <n v="0"/>
    <s v="Daily Sales Import"/>
    <n v="-49.148000000000003"/>
    <n v="49.148000000000003"/>
    <x v="0"/>
    <s v="2230"/>
    <s v="000"/>
    <x v="4"/>
    <x v="1"/>
  </r>
  <r>
    <d v="2012-02-02T00:00:00"/>
    <s v="016-2100-000"/>
    <s v="Food Sales"/>
    <n v="2223.5680000000002"/>
    <n v="0"/>
    <s v="Daily Sales Import"/>
    <n v="-2223.5680000000002"/>
    <n v="2223.5680000000002"/>
    <x v="0"/>
    <s v="2100"/>
    <s v="000"/>
    <x v="4"/>
    <x v="1"/>
  </r>
  <r>
    <d v="2012-02-02T00:00:00"/>
    <s v="016-2210-000"/>
    <s v="Liquor Sales"/>
    <n v="661.11449999999991"/>
    <n v="0"/>
    <s v="Daily Sales Import"/>
    <n v="-661.11449999999991"/>
    <n v="661.11449999999991"/>
    <x v="0"/>
    <s v="2210"/>
    <s v="000"/>
    <x v="4"/>
    <x v="1"/>
  </r>
  <r>
    <d v="2012-02-02T00:00:00"/>
    <s v="016-2220-000"/>
    <s v="Beer Sales"/>
    <n v="170.89800000000002"/>
    <n v="0"/>
    <s v="Daily Sales Import"/>
    <n v="-170.89800000000002"/>
    <n v="170.89800000000002"/>
    <x v="0"/>
    <s v="2220"/>
    <s v="000"/>
    <x v="4"/>
    <x v="1"/>
  </r>
  <r>
    <d v="2012-02-02T00:00:00"/>
    <s v="016-2230-000"/>
    <s v="Wine Sales"/>
    <n v="5.39"/>
    <n v="0"/>
    <s v="Daily Sales Import"/>
    <n v="-5.39"/>
    <n v="5.39"/>
    <x v="0"/>
    <s v="2230"/>
    <s v="000"/>
    <x v="4"/>
    <x v="1"/>
  </r>
  <r>
    <d v="2012-02-03T00:00:00"/>
    <s v="016-2100-000"/>
    <s v="Food Sales"/>
    <n v="4748.7919999999995"/>
    <n v="0"/>
    <s v="Daily Sales Import"/>
    <n v="-4748.7919999999995"/>
    <n v="4748.7919999999995"/>
    <x v="0"/>
    <s v="2100"/>
    <s v="000"/>
    <x v="4"/>
    <x v="1"/>
  </r>
  <r>
    <d v="2012-02-03T00:00:00"/>
    <s v="016-2210-000"/>
    <s v="Liquor Sales"/>
    <n v="1738.443"/>
    <n v="0"/>
    <s v="Daily Sales Import"/>
    <n v="-1738.443"/>
    <n v="1738.443"/>
    <x v="0"/>
    <s v="2210"/>
    <s v="000"/>
    <x v="4"/>
    <x v="1"/>
  </r>
  <r>
    <d v="2012-02-03T00:00:00"/>
    <s v="016-2220-000"/>
    <s v="Beer Sales"/>
    <n v="431.05500000000001"/>
    <n v="0"/>
    <s v="Daily Sales Import"/>
    <n v="-431.05500000000001"/>
    <n v="431.05500000000001"/>
    <x v="0"/>
    <s v="2220"/>
    <s v="000"/>
    <x v="4"/>
    <x v="1"/>
  </r>
  <r>
    <d v="2012-02-03T00:00:00"/>
    <s v="016-2230-000"/>
    <s v="Wine Sales"/>
    <n v="147.8015"/>
    <n v="0"/>
    <s v="Daily Sales Import"/>
    <n v="-147.8015"/>
    <n v="147.8015"/>
    <x v="0"/>
    <s v="2230"/>
    <s v="000"/>
    <x v="4"/>
    <x v="1"/>
  </r>
  <r>
    <d v="2012-02-04T00:00:00"/>
    <s v="016-2100-000"/>
    <s v="Food Sales"/>
    <n v="10537.97"/>
    <n v="0"/>
    <s v="Daily Sales Import"/>
    <n v="-10537.97"/>
    <n v="10537.97"/>
    <x v="0"/>
    <s v="2100"/>
    <s v="000"/>
    <x v="4"/>
    <x v="1"/>
  </r>
  <r>
    <d v="2012-02-04T00:00:00"/>
    <s v="016-2210-000"/>
    <s v="Liquor Sales"/>
    <n v="2371.5720000000001"/>
    <n v="0"/>
    <s v="Daily Sales Import"/>
    <n v="-2371.5720000000001"/>
    <n v="2371.5720000000001"/>
    <x v="0"/>
    <s v="2210"/>
    <s v="000"/>
    <x v="4"/>
    <x v="1"/>
  </r>
  <r>
    <d v="2012-02-04T00:00:00"/>
    <s v="016-2220-000"/>
    <s v="Beer Sales"/>
    <n v="483.63299999999998"/>
    <n v="0"/>
    <s v="Daily Sales Import"/>
    <n v="-483.63299999999998"/>
    <n v="483.63299999999998"/>
    <x v="0"/>
    <s v="2220"/>
    <s v="000"/>
    <x v="4"/>
    <x v="1"/>
  </r>
  <r>
    <d v="2012-02-04T00:00:00"/>
    <s v="016-2230-000"/>
    <s v="Wine Sales"/>
    <n v="204.48"/>
    <n v="0"/>
    <s v="Daily Sales Import"/>
    <n v="-204.48"/>
    <n v="204.48"/>
    <x v="0"/>
    <s v="2230"/>
    <s v="000"/>
    <x v="4"/>
    <x v="1"/>
  </r>
  <r>
    <d v="2012-02-05T00:00:00"/>
    <s v="016-2100-000"/>
    <s v="Food Sales"/>
    <n v="3024.8460000000005"/>
    <n v="0"/>
    <s v="Daily Sales Import"/>
    <n v="-3024.8460000000005"/>
    <n v="3024.8460000000005"/>
    <x v="0"/>
    <s v="2100"/>
    <s v="000"/>
    <x v="4"/>
    <x v="1"/>
  </r>
  <r>
    <d v="2012-02-05T00:00:00"/>
    <s v="016-2210-000"/>
    <s v="Liquor Sales"/>
    <n v="512.827"/>
    <n v="0"/>
    <s v="Daily Sales Import"/>
    <n v="-512.827"/>
    <n v="512.827"/>
    <x v="0"/>
    <s v="2210"/>
    <s v="000"/>
    <x v="4"/>
    <x v="1"/>
  </r>
  <r>
    <d v="2012-02-05T00:00:00"/>
    <s v="016-2220-000"/>
    <s v="Beer Sales"/>
    <n v="221.77799999999999"/>
    <n v="0"/>
    <s v="Daily Sales Import"/>
    <n v="-221.77799999999999"/>
    <n v="221.77799999999999"/>
    <x v="0"/>
    <s v="2220"/>
    <s v="000"/>
    <x v="4"/>
    <x v="1"/>
  </r>
  <r>
    <d v="2012-02-05T00:00:00"/>
    <s v="016-2230-000"/>
    <s v="Wine Sales"/>
    <n v="55.774000000000001"/>
    <n v="0"/>
    <s v="Daily Sales Import"/>
    <n v="-55.774000000000001"/>
    <n v="55.774000000000001"/>
    <x v="0"/>
    <s v="2230"/>
    <s v="000"/>
    <x v="4"/>
    <x v="1"/>
  </r>
  <r>
    <d v="2012-01-30T00:00:00"/>
    <s v="017-2100-000"/>
    <s v="Food Sales"/>
    <n v="3209.9259999999999"/>
    <n v="0"/>
    <s v="Daily Sales Import"/>
    <n v="-3209.9259999999999"/>
    <n v="3209.9259999999999"/>
    <x v="1"/>
    <s v="2100"/>
    <s v="000"/>
    <x v="3"/>
    <x v="1"/>
  </r>
  <r>
    <d v="2012-01-30T00:00:00"/>
    <s v="017-2210-000"/>
    <s v="Liquor Sales"/>
    <n v="689.84999999999991"/>
    <n v="0"/>
    <s v="Daily Sales Import"/>
    <n v="-689.84999999999991"/>
    <n v="689.84999999999991"/>
    <x v="1"/>
    <s v="2210"/>
    <s v="000"/>
    <x v="3"/>
    <x v="1"/>
  </r>
  <r>
    <d v="2012-01-30T00:00:00"/>
    <s v="017-2220-000"/>
    <s v="Beer Sales"/>
    <n v="195.7225"/>
    <n v="0"/>
    <s v="Daily Sales Import"/>
    <n v="-195.7225"/>
    <n v="195.7225"/>
    <x v="1"/>
    <s v="2220"/>
    <s v="000"/>
    <x v="3"/>
    <x v="1"/>
  </r>
  <r>
    <d v="2012-01-30T00:00:00"/>
    <s v="017-2230-000"/>
    <s v="Wine Sales"/>
    <n v="80.040000000000006"/>
    <n v="0"/>
    <s v="Daily Sales Import"/>
    <n v="-80.040000000000006"/>
    <n v="80.040000000000006"/>
    <x v="1"/>
    <s v="2230"/>
    <s v="000"/>
    <x v="3"/>
    <x v="1"/>
  </r>
  <r>
    <d v="2012-01-31T00:00:00"/>
    <s v="017-2100-000"/>
    <s v="Food Sales"/>
    <n v="5851.6165000000001"/>
    <n v="0"/>
    <s v="Daily Sales Import"/>
    <n v="-5851.6165000000001"/>
    <n v="5851.6165000000001"/>
    <x v="1"/>
    <s v="2100"/>
    <s v="000"/>
    <x v="3"/>
    <x v="1"/>
  </r>
  <r>
    <d v="2012-01-31T00:00:00"/>
    <s v="017-2210-000"/>
    <s v="Liquor Sales"/>
    <n v="1413.4680000000001"/>
    <n v="0"/>
    <s v="Daily Sales Import"/>
    <n v="-1413.4680000000001"/>
    <n v="1413.4680000000001"/>
    <x v="1"/>
    <s v="2210"/>
    <s v="000"/>
    <x v="3"/>
    <x v="1"/>
  </r>
  <r>
    <d v="2012-01-31T00:00:00"/>
    <s v="017-2220-000"/>
    <s v="Beer Sales"/>
    <n v="276.85749999999996"/>
    <n v="0"/>
    <s v="Daily Sales Import"/>
    <n v="-276.85749999999996"/>
    <n v="276.85749999999996"/>
    <x v="1"/>
    <s v="2220"/>
    <s v="000"/>
    <x v="3"/>
    <x v="1"/>
  </r>
  <r>
    <d v="2012-01-31T00:00:00"/>
    <s v="017-2230-000"/>
    <s v="Wine Sales"/>
    <n v="222.39849999999998"/>
    <n v="0"/>
    <s v="Daily Sales Import"/>
    <n v="-222.39849999999998"/>
    <n v="222.39849999999998"/>
    <x v="1"/>
    <s v="2230"/>
    <s v="000"/>
    <x v="3"/>
    <x v="1"/>
  </r>
  <r>
    <d v="2012-02-01T00:00:00"/>
    <s v="017-2100-000"/>
    <s v="Food Sales"/>
    <n v="4699.0356000000002"/>
    <n v="0"/>
    <s v="Daily Sales Import"/>
    <n v="-4699.0356000000002"/>
    <n v="4699.0356000000002"/>
    <x v="1"/>
    <s v="2100"/>
    <s v="000"/>
    <x v="4"/>
    <x v="1"/>
  </r>
  <r>
    <d v="2012-02-01T00:00:00"/>
    <s v="017-2210-000"/>
    <s v="Liquor Sales"/>
    <n v="661.66800000000001"/>
    <n v="0"/>
    <s v="Daily Sales Import"/>
    <n v="-661.66800000000001"/>
    <n v="661.66800000000001"/>
    <x v="1"/>
    <s v="2210"/>
    <s v="000"/>
    <x v="4"/>
    <x v="1"/>
  </r>
  <r>
    <d v="2012-02-01T00:00:00"/>
    <s v="017-2220-000"/>
    <s v="Beer Sales"/>
    <n v="375.375"/>
    <n v="0"/>
    <s v="Daily Sales Import"/>
    <n v="-375.375"/>
    <n v="375.375"/>
    <x v="1"/>
    <s v="2220"/>
    <s v="000"/>
    <x v="4"/>
    <x v="1"/>
  </r>
  <r>
    <d v="2012-02-01T00:00:00"/>
    <s v="017-2230-000"/>
    <s v="Wine Sales"/>
    <n v="43.1325"/>
    <n v="0"/>
    <s v="Daily Sales Import"/>
    <n v="-43.1325"/>
    <n v="43.1325"/>
    <x v="1"/>
    <s v="2230"/>
    <s v="000"/>
    <x v="4"/>
    <x v="1"/>
  </r>
  <r>
    <d v="2012-02-02T00:00:00"/>
    <s v="017-2100-000"/>
    <s v="Food Sales"/>
    <n v="6924.9299999999994"/>
    <n v="0"/>
    <s v="Daily Sales Import"/>
    <n v="-6924.9299999999994"/>
    <n v="6924.9299999999994"/>
    <x v="1"/>
    <s v="2100"/>
    <s v="000"/>
    <x v="4"/>
    <x v="1"/>
  </r>
  <r>
    <d v="2012-02-02T00:00:00"/>
    <s v="017-2210-000"/>
    <s v="Liquor Sales"/>
    <n v="1294.0550000000001"/>
    <n v="0"/>
    <s v="Daily Sales Import"/>
    <n v="-1294.0550000000001"/>
    <n v="1294.0550000000001"/>
    <x v="1"/>
    <s v="2210"/>
    <s v="000"/>
    <x v="4"/>
    <x v="1"/>
  </r>
  <r>
    <d v="2012-02-02T00:00:00"/>
    <s v="017-2220-000"/>
    <s v="Beer Sales"/>
    <n v="438.9"/>
    <n v="0"/>
    <s v="Daily Sales Import"/>
    <n v="-438.9"/>
    <n v="438.9"/>
    <x v="1"/>
    <s v="2220"/>
    <s v="000"/>
    <x v="4"/>
    <x v="1"/>
  </r>
  <r>
    <d v="2012-02-02T00:00:00"/>
    <s v="017-2230-000"/>
    <s v="Wine Sales"/>
    <n v="112.295"/>
    <n v="0"/>
    <s v="Daily Sales Import"/>
    <n v="-112.295"/>
    <n v="112.295"/>
    <x v="1"/>
    <s v="2230"/>
    <s v="000"/>
    <x v="4"/>
    <x v="1"/>
  </r>
  <r>
    <d v="2012-02-03T00:00:00"/>
    <s v="017-2100-000"/>
    <s v="Food Sales"/>
    <n v="6619.1282000000001"/>
    <n v="0"/>
    <s v="Daily Sales Import"/>
    <n v="-6619.1282000000001"/>
    <n v="6619.1282000000001"/>
    <x v="1"/>
    <s v="2100"/>
    <s v="000"/>
    <x v="4"/>
    <x v="1"/>
  </r>
  <r>
    <d v="2012-02-03T00:00:00"/>
    <s v="017-2210-000"/>
    <s v="Liquor Sales"/>
    <n v="1876.337"/>
    <n v="0"/>
    <s v="Daily Sales Import"/>
    <n v="-1876.337"/>
    <n v="1876.337"/>
    <x v="1"/>
    <s v="2210"/>
    <s v="000"/>
    <x v="4"/>
    <x v="1"/>
  </r>
  <r>
    <d v="2012-02-03T00:00:00"/>
    <s v="017-2220-000"/>
    <s v="Beer Sales"/>
    <n v="600.31500000000005"/>
    <n v="0"/>
    <s v="Daily Sales Import"/>
    <n v="-600.31500000000005"/>
    <n v="600.31500000000005"/>
    <x v="1"/>
    <s v="2220"/>
    <s v="000"/>
    <x v="4"/>
    <x v="1"/>
  </r>
  <r>
    <d v="2012-02-03T00:00:00"/>
    <s v="017-2230-000"/>
    <s v="Wine Sales"/>
    <n v="162.55400000000003"/>
    <n v="0"/>
    <s v="Daily Sales Import"/>
    <n v="-162.55400000000003"/>
    <n v="162.55400000000003"/>
    <x v="1"/>
    <s v="2230"/>
    <s v="000"/>
    <x v="4"/>
    <x v="1"/>
  </r>
  <r>
    <d v="2012-02-04T00:00:00"/>
    <s v="017-2100-000"/>
    <s v="Food Sales"/>
    <n v="7035.7867999999999"/>
    <n v="0"/>
    <s v="Daily Sales Import"/>
    <n v="-7035.7867999999999"/>
    <n v="7035.7867999999999"/>
    <x v="1"/>
    <s v="2100"/>
    <s v="000"/>
    <x v="4"/>
    <x v="1"/>
  </r>
  <r>
    <d v="2012-02-04T00:00:00"/>
    <s v="017-2210-000"/>
    <s v="Liquor Sales"/>
    <n v="2319.875"/>
    <n v="0"/>
    <s v="Daily Sales Import"/>
    <n v="-2319.875"/>
    <n v="2319.875"/>
    <x v="1"/>
    <s v="2210"/>
    <s v="000"/>
    <x v="4"/>
    <x v="1"/>
  </r>
  <r>
    <d v="2012-02-04T00:00:00"/>
    <s v="017-2220-000"/>
    <s v="Beer Sales"/>
    <n v="784.99"/>
    <n v="0"/>
    <s v="Daily Sales Import"/>
    <n v="-784.99"/>
    <n v="784.99"/>
    <x v="1"/>
    <s v="2220"/>
    <s v="000"/>
    <x v="4"/>
    <x v="1"/>
  </r>
  <r>
    <d v="2012-02-04T00:00:00"/>
    <s v="017-2230-000"/>
    <s v="Wine Sales"/>
    <n v="169.22400000000002"/>
    <n v="0"/>
    <s v="Daily Sales Import"/>
    <n v="-169.22400000000002"/>
    <n v="169.22400000000002"/>
    <x v="1"/>
    <s v="2230"/>
    <s v="000"/>
    <x v="4"/>
    <x v="1"/>
  </r>
  <r>
    <d v="2012-02-05T00:00:00"/>
    <s v="017-2100-000"/>
    <s v="Food Sales"/>
    <n v="3431.6767999999997"/>
    <n v="0"/>
    <s v="Daily Sales Import"/>
    <n v="-3431.6767999999997"/>
    <n v="3431.6767999999997"/>
    <x v="1"/>
    <s v="2100"/>
    <s v="000"/>
    <x v="4"/>
    <x v="1"/>
  </r>
  <r>
    <d v="2012-02-05T00:00:00"/>
    <s v="017-2210-000"/>
    <s v="Liquor Sales"/>
    <n v="410.61900000000003"/>
    <n v="0"/>
    <s v="Daily Sales Import"/>
    <n v="-410.61900000000003"/>
    <n v="410.61900000000003"/>
    <x v="1"/>
    <s v="2210"/>
    <s v="000"/>
    <x v="4"/>
    <x v="1"/>
  </r>
  <r>
    <d v="2012-02-05T00:00:00"/>
    <s v="017-2220-000"/>
    <s v="Beer Sales"/>
    <n v="133.52500000000001"/>
    <n v="0"/>
    <s v="Daily Sales Import"/>
    <n v="-133.52500000000001"/>
    <n v="133.52500000000001"/>
    <x v="1"/>
    <s v="2220"/>
    <s v="000"/>
    <x v="4"/>
    <x v="1"/>
  </r>
  <r>
    <d v="2012-02-05T00:00:00"/>
    <s v="017-2230-000"/>
    <s v="Wine Sales"/>
    <n v="29.929500000000004"/>
    <n v="0"/>
    <s v="Daily Sales Import"/>
    <n v="-29.929500000000004"/>
    <n v="29.929500000000004"/>
    <x v="1"/>
    <s v="2230"/>
    <s v="000"/>
    <x v="4"/>
    <x v="1"/>
  </r>
  <r>
    <d v="2012-01-30T00:00:00"/>
    <s v="018-2100-000"/>
    <s v="Food Sales"/>
    <n v="3648.6995999999999"/>
    <n v="0"/>
    <s v="Daily Sales Import"/>
    <n v="-3648.6995999999999"/>
    <n v="3648.6995999999999"/>
    <x v="2"/>
    <s v="2100"/>
    <s v="000"/>
    <x v="3"/>
    <x v="1"/>
  </r>
  <r>
    <d v="2012-01-30T00:00:00"/>
    <s v="018-2210-000"/>
    <s v="Liquor Sales"/>
    <n v="459.10799999999995"/>
    <n v="0"/>
    <s v="Daily Sales Import"/>
    <n v="-459.10799999999995"/>
    <n v="459.10799999999995"/>
    <x v="2"/>
    <s v="2210"/>
    <s v="000"/>
    <x v="3"/>
    <x v="1"/>
  </r>
  <r>
    <d v="2012-01-30T00:00:00"/>
    <s v="018-2220-000"/>
    <s v="Beer Sales"/>
    <n v="91.218000000000004"/>
    <n v="0"/>
    <s v="Daily Sales Import"/>
    <n v="-91.218000000000004"/>
    <n v="91.218000000000004"/>
    <x v="2"/>
    <s v="2220"/>
    <s v="000"/>
    <x v="3"/>
    <x v="1"/>
  </r>
  <r>
    <d v="2012-01-30T00:00:00"/>
    <s v="018-2230-000"/>
    <s v="Wine Sales"/>
    <n v="6.7575000000000003"/>
    <n v="0"/>
    <s v="Daily Sales Import"/>
    <n v="-6.7575000000000003"/>
    <n v="6.7575000000000003"/>
    <x v="2"/>
    <s v="2230"/>
    <s v="000"/>
    <x v="3"/>
    <x v="1"/>
  </r>
  <r>
    <d v="2012-01-31T00:00:00"/>
    <s v="018-2100-000"/>
    <s v="Food Sales"/>
    <n v="2979.8553999999995"/>
    <n v="0"/>
    <s v="Daily Sales Import"/>
    <n v="-2979.8553999999995"/>
    <n v="2979.8553999999995"/>
    <x v="2"/>
    <s v="2100"/>
    <s v="000"/>
    <x v="3"/>
    <x v="1"/>
  </r>
  <r>
    <d v="2012-01-31T00:00:00"/>
    <s v="018-2210-000"/>
    <s v="Liquor Sales"/>
    <n v="341.59100000000001"/>
    <n v="0"/>
    <s v="Daily Sales Import"/>
    <n v="-341.59100000000001"/>
    <n v="341.59100000000001"/>
    <x v="2"/>
    <s v="2210"/>
    <s v="000"/>
    <x v="3"/>
    <x v="1"/>
  </r>
  <r>
    <d v="2012-01-31T00:00:00"/>
    <s v="018-2220-000"/>
    <s v="Beer Sales"/>
    <n v="54.533999999999999"/>
    <n v="0"/>
    <s v="Daily Sales Import"/>
    <n v="-54.533999999999999"/>
    <n v="54.533999999999999"/>
    <x v="2"/>
    <s v="2220"/>
    <s v="000"/>
    <x v="3"/>
    <x v="1"/>
  </r>
  <r>
    <d v="2012-01-31T00:00:00"/>
    <s v="018-2230-000"/>
    <s v="Wine Sales"/>
    <n v="18.033999999999999"/>
    <n v="0"/>
    <s v="Daily Sales Import"/>
    <n v="-18.033999999999999"/>
    <n v="18.033999999999999"/>
    <x v="2"/>
    <s v="2230"/>
    <s v="000"/>
    <x v="3"/>
    <x v="1"/>
  </r>
  <r>
    <d v="2012-02-01T00:00:00"/>
    <s v="018-2100-000"/>
    <s v="Food Sales"/>
    <n v="4866.085500000001"/>
    <n v="0"/>
    <s v="Daily Sales Import"/>
    <n v="-4866.085500000001"/>
    <n v="4866.085500000001"/>
    <x v="2"/>
    <s v="2100"/>
    <s v="000"/>
    <x v="4"/>
    <x v="1"/>
  </r>
  <r>
    <d v="2012-02-01T00:00:00"/>
    <s v="018-2210-000"/>
    <s v="Liquor Sales"/>
    <n v="1011.7974999999999"/>
    <n v="0"/>
    <s v="Daily Sales Import"/>
    <n v="-1011.7974999999999"/>
    <n v="1011.7974999999999"/>
    <x v="2"/>
    <s v="2210"/>
    <s v="000"/>
    <x v="4"/>
    <x v="1"/>
  </r>
  <r>
    <d v="2012-02-01T00:00:00"/>
    <s v="018-2220-000"/>
    <s v="Beer Sales"/>
    <n v="264.28499999999997"/>
    <n v="0"/>
    <s v="Daily Sales Import"/>
    <n v="-264.28499999999997"/>
    <n v="264.28499999999997"/>
    <x v="2"/>
    <s v="2220"/>
    <s v="000"/>
    <x v="4"/>
    <x v="1"/>
  </r>
  <r>
    <d v="2012-02-01T00:00:00"/>
    <s v="018-2230-000"/>
    <s v="Wine Sales"/>
    <n v="69.781500000000008"/>
    <n v="0"/>
    <s v="Daily Sales Import"/>
    <n v="-69.781500000000008"/>
    <n v="69.781500000000008"/>
    <x v="2"/>
    <s v="2230"/>
    <s v="000"/>
    <x v="4"/>
    <x v="1"/>
  </r>
  <r>
    <d v="2012-02-02T00:00:00"/>
    <s v="018-2100-000"/>
    <s v="Food Sales"/>
    <n v="3279.16"/>
    <n v="0"/>
    <s v="Daily Sales Import"/>
    <n v="-3279.16"/>
    <n v="3279.16"/>
    <x v="2"/>
    <s v="2100"/>
    <s v="000"/>
    <x v="4"/>
    <x v="1"/>
  </r>
  <r>
    <d v="2012-02-02T00:00:00"/>
    <s v="018-2210-000"/>
    <s v="Liquor Sales"/>
    <n v="756.79750000000001"/>
    <n v="0"/>
    <s v="Daily Sales Import"/>
    <n v="-756.79750000000001"/>
    <n v="756.79750000000001"/>
    <x v="2"/>
    <s v="2210"/>
    <s v="000"/>
    <x v="4"/>
    <x v="1"/>
  </r>
  <r>
    <d v="2012-02-02T00:00:00"/>
    <s v="018-2220-000"/>
    <s v="Beer Sales"/>
    <n v="209.76"/>
    <n v="0"/>
    <s v="Daily Sales Import"/>
    <n v="-209.76"/>
    <n v="209.76"/>
    <x v="2"/>
    <s v="2220"/>
    <s v="000"/>
    <x v="4"/>
    <x v="1"/>
  </r>
  <r>
    <d v="2012-02-02T00:00:00"/>
    <s v="018-2230-000"/>
    <s v="Wine Sales"/>
    <n v="41.325000000000003"/>
    <n v="0"/>
    <s v="Daily Sales Import"/>
    <n v="-41.325000000000003"/>
    <n v="41.325000000000003"/>
    <x v="2"/>
    <s v="2230"/>
    <s v="000"/>
    <x v="4"/>
    <x v="1"/>
  </r>
  <r>
    <d v="2012-02-03T00:00:00"/>
    <s v="018-2100-000"/>
    <s v="Food Sales"/>
    <n v="7804.7775000000001"/>
    <n v="0"/>
    <s v="Daily Sales Import"/>
    <n v="-7804.7775000000001"/>
    <n v="7804.7775000000001"/>
    <x v="2"/>
    <s v="2100"/>
    <s v="000"/>
    <x v="4"/>
    <x v="1"/>
  </r>
  <r>
    <d v="2012-02-03T00:00:00"/>
    <s v="018-2210-000"/>
    <s v="Liquor Sales"/>
    <n v="2791.17"/>
    <n v="0"/>
    <s v="Daily Sales Import"/>
    <n v="-2791.17"/>
    <n v="2791.17"/>
    <x v="2"/>
    <s v="2210"/>
    <s v="000"/>
    <x v="4"/>
    <x v="1"/>
  </r>
  <r>
    <d v="2012-02-03T00:00:00"/>
    <s v="018-2220-000"/>
    <s v="Beer Sales"/>
    <n v="462.89249999999998"/>
    <n v="0"/>
    <s v="Daily Sales Import"/>
    <n v="-462.89249999999998"/>
    <n v="462.89249999999998"/>
    <x v="2"/>
    <s v="2220"/>
    <s v="000"/>
    <x v="4"/>
    <x v="1"/>
  </r>
  <r>
    <d v="2012-02-03T00:00:00"/>
    <s v="018-2230-000"/>
    <s v="Wine Sales"/>
    <n v="46.312999999999995"/>
    <n v="0"/>
    <s v="Daily Sales Import"/>
    <n v="-46.312999999999995"/>
    <n v="46.312999999999995"/>
    <x v="2"/>
    <s v="2230"/>
    <s v="000"/>
    <x v="4"/>
    <x v="1"/>
  </r>
  <r>
    <d v="2012-02-04T00:00:00"/>
    <s v="018-2100-000"/>
    <s v="Food Sales"/>
    <n v="8732.0750000000007"/>
    <n v="0"/>
    <s v="Daily Sales Import"/>
    <n v="-8732.0750000000007"/>
    <n v="8732.0750000000007"/>
    <x v="2"/>
    <s v="2100"/>
    <s v="000"/>
    <x v="4"/>
    <x v="1"/>
  </r>
  <r>
    <d v="2012-02-04T00:00:00"/>
    <s v="018-2210-000"/>
    <s v="Liquor Sales"/>
    <n v="2313.9719999999998"/>
    <n v="0"/>
    <s v="Daily Sales Import"/>
    <n v="-2313.9719999999998"/>
    <n v="2313.9719999999998"/>
    <x v="2"/>
    <s v="2210"/>
    <s v="000"/>
    <x v="4"/>
    <x v="1"/>
  </r>
  <r>
    <d v="2012-02-04T00:00:00"/>
    <s v="018-2220-000"/>
    <s v="Beer Sales"/>
    <n v="661.33800000000008"/>
    <n v="0"/>
    <s v="Daily Sales Import"/>
    <n v="-661.33800000000008"/>
    <n v="661.33800000000008"/>
    <x v="2"/>
    <s v="2220"/>
    <s v="000"/>
    <x v="4"/>
    <x v="1"/>
  </r>
  <r>
    <d v="2012-02-04T00:00:00"/>
    <s v="018-2230-000"/>
    <s v="Wine Sales"/>
    <n v="159.47999999999999"/>
    <n v="0"/>
    <s v="Daily Sales Import"/>
    <n v="-159.47999999999999"/>
    <n v="159.47999999999999"/>
    <x v="2"/>
    <s v="2230"/>
    <s v="000"/>
    <x v="4"/>
    <x v="1"/>
  </r>
  <r>
    <d v="2012-02-05T00:00:00"/>
    <s v="018-2100-000"/>
    <s v="Food Sales"/>
    <n v="6043.268"/>
    <n v="0"/>
    <s v="Daily Sales Import"/>
    <n v="-6043.268"/>
    <n v="6043.268"/>
    <x v="2"/>
    <s v="2100"/>
    <s v="000"/>
    <x v="4"/>
    <x v="1"/>
  </r>
  <r>
    <d v="2012-02-05T00:00:00"/>
    <s v="018-2210-000"/>
    <s v="Liquor Sales"/>
    <n v="366.26499999999999"/>
    <n v="0"/>
    <s v="Daily Sales Import"/>
    <n v="-366.26499999999999"/>
    <n v="366.26499999999999"/>
    <x v="2"/>
    <s v="2210"/>
    <s v="000"/>
    <x v="4"/>
    <x v="1"/>
  </r>
  <r>
    <d v="2012-02-05T00:00:00"/>
    <s v="018-2220-000"/>
    <s v="Beer Sales"/>
    <n v="250.00199999999998"/>
    <n v="0"/>
    <s v="Daily Sales Import"/>
    <n v="-250.00199999999998"/>
    <n v="250.00199999999998"/>
    <x v="2"/>
    <s v="2220"/>
    <s v="000"/>
    <x v="4"/>
    <x v="1"/>
  </r>
  <r>
    <d v="2012-02-05T00:00:00"/>
    <s v="018-2230-000"/>
    <s v="Wine Sales"/>
    <n v="20.674500000000002"/>
    <n v="0"/>
    <s v="Daily Sales Import"/>
    <n v="-20.674500000000002"/>
    <n v="20.674500000000002"/>
    <x v="2"/>
    <s v="2230"/>
    <s v="000"/>
    <x v="4"/>
    <x v="1"/>
  </r>
  <r>
    <d v="2012-02-06T00:00:00"/>
    <s v="016-2100-000"/>
    <s v="Food Sales"/>
    <n v="1547.2746"/>
    <n v="0"/>
    <s v="Daily Sales Import"/>
    <n v="-1547.2746"/>
    <n v="1547.2746"/>
    <x v="0"/>
    <s v="2100"/>
    <s v="000"/>
    <x v="4"/>
    <x v="1"/>
  </r>
  <r>
    <d v="2012-02-06T00:00:00"/>
    <s v="016-2210-000"/>
    <s v="Liquor Sales"/>
    <n v="598.88400000000001"/>
    <n v="0"/>
    <s v="Daily Sales Import"/>
    <n v="-598.88400000000001"/>
    <n v="598.88400000000001"/>
    <x v="0"/>
    <s v="2210"/>
    <s v="000"/>
    <x v="4"/>
    <x v="1"/>
  </r>
  <r>
    <d v="2012-02-06T00:00:00"/>
    <s v="016-2220-000"/>
    <s v="Beer Sales"/>
    <n v="55.985999999999997"/>
    <n v="0"/>
    <s v="Daily Sales Import"/>
    <n v="-55.985999999999997"/>
    <n v="55.985999999999997"/>
    <x v="0"/>
    <s v="2220"/>
    <s v="000"/>
    <x v="4"/>
    <x v="1"/>
  </r>
  <r>
    <d v="2012-02-06T00:00:00"/>
    <s v="016-2230-000"/>
    <s v="Wine Sales"/>
    <n v="76.00500000000001"/>
    <n v="0"/>
    <s v="Daily Sales Import"/>
    <n v="-76.00500000000001"/>
    <n v="76.00500000000001"/>
    <x v="0"/>
    <s v="2230"/>
    <s v="000"/>
    <x v="4"/>
    <x v="1"/>
  </r>
  <r>
    <d v="2012-02-07T00:00:00"/>
    <s v="016-2100-000"/>
    <s v="Food Sales"/>
    <n v="1852.0432000000001"/>
    <n v="0"/>
    <s v="Daily Sales Import"/>
    <n v="-1852.0432000000001"/>
    <n v="1852.0432000000001"/>
    <x v="0"/>
    <s v="2100"/>
    <s v="000"/>
    <x v="4"/>
    <x v="1"/>
  </r>
  <r>
    <d v="2012-02-07T00:00:00"/>
    <s v="016-2210-000"/>
    <s v="Liquor Sales"/>
    <n v="708.29099999999994"/>
    <n v="0"/>
    <s v="Daily Sales Import"/>
    <n v="-708.29099999999994"/>
    <n v="708.29099999999994"/>
    <x v="0"/>
    <s v="2210"/>
    <s v="000"/>
    <x v="4"/>
    <x v="1"/>
  </r>
  <r>
    <d v="2012-02-07T00:00:00"/>
    <s v="016-2220-000"/>
    <s v="Beer Sales"/>
    <n v="201.48899999999998"/>
    <n v="0"/>
    <s v="Daily Sales Import"/>
    <n v="-201.48899999999998"/>
    <n v="201.48899999999998"/>
    <x v="0"/>
    <s v="2220"/>
    <s v="000"/>
    <x v="4"/>
    <x v="1"/>
  </r>
  <r>
    <d v="2012-02-07T00:00:00"/>
    <s v="016-2230-000"/>
    <s v="Wine Sales"/>
    <n v="90.149999999999991"/>
    <n v="0"/>
    <s v="Daily Sales Import"/>
    <n v="-90.149999999999991"/>
    <n v="90.149999999999991"/>
    <x v="0"/>
    <s v="2230"/>
    <s v="000"/>
    <x v="4"/>
    <x v="1"/>
  </r>
  <r>
    <d v="2012-02-08T00:00:00"/>
    <s v="016-2100-000"/>
    <s v="Food Sales"/>
    <n v="3976.7040000000006"/>
    <n v="0"/>
    <s v="Daily Sales Import"/>
    <n v="-3976.7040000000006"/>
    <n v="3976.7040000000006"/>
    <x v="0"/>
    <s v="2100"/>
    <s v="000"/>
    <x v="4"/>
    <x v="1"/>
  </r>
  <r>
    <d v="2012-02-08T00:00:00"/>
    <s v="016-2210-000"/>
    <s v="Liquor Sales"/>
    <n v="831.82"/>
    <n v="0"/>
    <s v="Daily Sales Import"/>
    <n v="-831.82"/>
    <n v="831.82"/>
    <x v="0"/>
    <s v="2210"/>
    <s v="000"/>
    <x v="4"/>
    <x v="1"/>
  </r>
  <r>
    <d v="2012-02-08T00:00:00"/>
    <s v="016-2220-000"/>
    <s v="Beer Sales"/>
    <n v="113.85"/>
    <n v="0"/>
    <s v="Daily Sales Import"/>
    <n v="-113.85"/>
    <n v="113.85"/>
    <x v="0"/>
    <s v="2220"/>
    <s v="000"/>
    <x v="4"/>
    <x v="1"/>
  </r>
  <r>
    <d v="2012-02-08T00:00:00"/>
    <s v="016-2230-000"/>
    <s v="Wine Sales"/>
    <n v="137.38499999999999"/>
    <n v="0"/>
    <s v="Daily Sales Import"/>
    <n v="-137.38499999999999"/>
    <n v="137.38499999999999"/>
    <x v="0"/>
    <s v="2230"/>
    <s v="000"/>
    <x v="4"/>
    <x v="1"/>
  </r>
  <r>
    <d v="2012-02-09T00:00:00"/>
    <s v="016-2100-000"/>
    <s v="Food Sales"/>
    <n v="3118.3085999999998"/>
    <n v="0"/>
    <s v="Daily Sales Import"/>
    <n v="-3118.3085999999998"/>
    <n v="3118.3085999999998"/>
    <x v="0"/>
    <s v="2100"/>
    <s v="000"/>
    <x v="4"/>
    <x v="1"/>
  </r>
  <r>
    <d v="2012-02-09T00:00:00"/>
    <s v="016-2210-000"/>
    <s v="Liquor Sales"/>
    <n v="985.02549999999997"/>
    <n v="0"/>
    <s v="Daily Sales Import"/>
    <n v="-985.02549999999997"/>
    <n v="985.02549999999997"/>
    <x v="0"/>
    <s v="2210"/>
    <s v="000"/>
    <x v="4"/>
    <x v="1"/>
  </r>
  <r>
    <d v="2012-02-09T00:00:00"/>
    <s v="016-2220-000"/>
    <s v="Beer Sales"/>
    <n v="327.40199999999999"/>
    <n v="0"/>
    <s v="Daily Sales Import"/>
    <n v="-327.40199999999999"/>
    <n v="327.40199999999999"/>
    <x v="0"/>
    <s v="2220"/>
    <s v="000"/>
    <x v="4"/>
    <x v="1"/>
  </r>
  <r>
    <d v="2012-02-09T00:00:00"/>
    <s v="016-2230-000"/>
    <s v="Wine Sales"/>
    <n v="128.85599999999999"/>
    <n v="0"/>
    <s v="Daily Sales Import"/>
    <n v="-128.85599999999999"/>
    <n v="128.85599999999999"/>
    <x v="0"/>
    <s v="2230"/>
    <s v="000"/>
    <x v="4"/>
    <x v="1"/>
  </r>
  <r>
    <d v="2012-02-10T00:00:00"/>
    <s v="016-2100-000"/>
    <s v="Food Sales"/>
    <n v="6573.9974999999995"/>
    <n v="0"/>
    <s v="Daily Sales Import"/>
    <n v="-6573.9974999999995"/>
    <n v="6573.9974999999995"/>
    <x v="0"/>
    <s v="2100"/>
    <s v="000"/>
    <x v="4"/>
    <x v="1"/>
  </r>
  <r>
    <d v="2012-02-10T00:00:00"/>
    <s v="016-2210-000"/>
    <s v="Liquor Sales"/>
    <n v="2878.33"/>
    <n v="0"/>
    <s v="Daily Sales Import"/>
    <n v="-2878.33"/>
    <n v="2878.33"/>
    <x v="0"/>
    <s v="2210"/>
    <s v="000"/>
    <x v="4"/>
    <x v="1"/>
  </r>
  <r>
    <d v="2012-02-10T00:00:00"/>
    <s v="016-2220-000"/>
    <s v="Beer Sales"/>
    <n v="553.65599999999995"/>
    <n v="0"/>
    <s v="Daily Sales Import"/>
    <n v="-553.65599999999995"/>
    <n v="553.65599999999995"/>
    <x v="0"/>
    <s v="2220"/>
    <s v="000"/>
    <x v="4"/>
    <x v="1"/>
  </r>
  <r>
    <d v="2012-02-10T00:00:00"/>
    <s v="016-2230-000"/>
    <s v="Wine Sales"/>
    <n v="184.20200000000003"/>
    <n v="0"/>
    <s v="Daily Sales Import"/>
    <n v="-184.20200000000003"/>
    <n v="184.20200000000003"/>
    <x v="0"/>
    <s v="2230"/>
    <s v="000"/>
    <x v="4"/>
    <x v="1"/>
  </r>
  <r>
    <d v="2012-02-11T00:00:00"/>
    <s v="016-2100-000"/>
    <s v="Food Sales"/>
    <n v="8699.2199999999993"/>
    <n v="0"/>
    <s v="Daily Sales Import"/>
    <n v="-8699.2199999999993"/>
    <n v="8699.2199999999993"/>
    <x v="0"/>
    <s v="2100"/>
    <s v="000"/>
    <x v="4"/>
    <x v="1"/>
  </r>
  <r>
    <d v="2012-02-11T00:00:00"/>
    <s v="016-2210-000"/>
    <s v="Liquor Sales"/>
    <n v="2560.864"/>
    <n v="0"/>
    <s v="Daily Sales Import"/>
    <n v="-2560.864"/>
    <n v="2560.864"/>
    <x v="0"/>
    <s v="2210"/>
    <s v="000"/>
    <x v="4"/>
    <x v="1"/>
  </r>
  <r>
    <d v="2012-02-11T00:00:00"/>
    <s v="016-2220-000"/>
    <s v="Beer Sales"/>
    <n v="554.55599999999993"/>
    <n v="0"/>
    <s v="Daily Sales Import"/>
    <n v="-554.55599999999993"/>
    <n v="554.55599999999993"/>
    <x v="0"/>
    <s v="2220"/>
    <s v="000"/>
    <x v="4"/>
    <x v="1"/>
  </r>
  <r>
    <d v="2012-02-11T00:00:00"/>
    <s v="016-2230-000"/>
    <s v="Wine Sales"/>
    <n v="228.4365"/>
    <n v="0"/>
    <s v="Daily Sales Import"/>
    <n v="-228.4365"/>
    <n v="228.4365"/>
    <x v="0"/>
    <s v="2230"/>
    <s v="000"/>
    <x v="4"/>
    <x v="1"/>
  </r>
  <r>
    <d v="2012-02-12T00:00:00"/>
    <s v="016-2100-000"/>
    <s v="Food Sales"/>
    <n v="5496.329999999999"/>
    <n v="0"/>
    <s v="Daily Sales Import"/>
    <n v="-5496.329999999999"/>
    <n v="5496.329999999999"/>
    <x v="0"/>
    <s v="2100"/>
    <s v="000"/>
    <x v="4"/>
    <x v="1"/>
  </r>
  <r>
    <d v="2012-02-12T00:00:00"/>
    <s v="016-2210-000"/>
    <s v="Liquor Sales"/>
    <n v="1825.9604999999999"/>
    <n v="0"/>
    <s v="Daily Sales Import"/>
    <n v="-1825.9604999999999"/>
    <n v="1825.9604999999999"/>
    <x v="0"/>
    <s v="2210"/>
    <s v="000"/>
    <x v="4"/>
    <x v="1"/>
  </r>
  <r>
    <d v="2012-02-12T00:00:00"/>
    <s v="016-2220-000"/>
    <s v="Beer Sales"/>
    <n v="307.00799999999998"/>
    <n v="0"/>
    <s v="Daily Sales Import"/>
    <n v="-307.00799999999998"/>
    <n v="307.00799999999998"/>
    <x v="0"/>
    <s v="2220"/>
    <s v="000"/>
    <x v="4"/>
    <x v="1"/>
  </r>
  <r>
    <d v="2012-02-12T00:00:00"/>
    <s v="016-2230-000"/>
    <s v="Wine Sales"/>
    <n v="255.892"/>
    <n v="0"/>
    <s v="Daily Sales Import"/>
    <n v="-255.892"/>
    <n v="255.892"/>
    <x v="0"/>
    <s v="2230"/>
    <s v="000"/>
    <x v="4"/>
    <x v="1"/>
  </r>
  <r>
    <d v="2012-02-06T00:00:00"/>
    <s v="017-2100-000"/>
    <s v="Food Sales"/>
    <n v="3949.6360000000004"/>
    <n v="0"/>
    <s v="Daily Sales Import"/>
    <n v="-3949.6360000000004"/>
    <n v="3949.6360000000004"/>
    <x v="1"/>
    <s v="2100"/>
    <s v="000"/>
    <x v="4"/>
    <x v="1"/>
  </r>
  <r>
    <d v="2012-02-06T00:00:00"/>
    <s v="017-2210-000"/>
    <s v="Liquor Sales"/>
    <n v="798.17250000000001"/>
    <n v="0"/>
    <s v="Daily Sales Import"/>
    <n v="-798.17250000000001"/>
    <n v="798.17250000000001"/>
    <x v="1"/>
    <s v="2210"/>
    <s v="000"/>
    <x v="4"/>
    <x v="1"/>
  </r>
  <r>
    <d v="2012-02-06T00:00:00"/>
    <s v="017-2220-000"/>
    <s v="Beer Sales"/>
    <n v="468.6"/>
    <n v="0"/>
    <s v="Daily Sales Import"/>
    <n v="-468.6"/>
    <n v="468.6"/>
    <x v="1"/>
    <s v="2220"/>
    <s v="000"/>
    <x v="4"/>
    <x v="1"/>
  </r>
  <r>
    <d v="2012-02-06T00:00:00"/>
    <s v="017-2230-000"/>
    <s v="Wine Sales"/>
    <n v="110.474"/>
    <n v="0"/>
    <s v="Daily Sales Import"/>
    <n v="-110.474"/>
    <n v="110.474"/>
    <x v="1"/>
    <s v="2230"/>
    <s v="000"/>
    <x v="4"/>
    <x v="1"/>
  </r>
  <r>
    <d v="2012-02-07T00:00:00"/>
    <s v="017-2100-000"/>
    <s v="Food Sales"/>
    <n v="5663.5259999999998"/>
    <n v="0"/>
    <s v="Daily Sales Import"/>
    <n v="-5663.5259999999998"/>
    <n v="5663.5259999999998"/>
    <x v="1"/>
    <s v="2100"/>
    <s v="000"/>
    <x v="4"/>
    <x v="1"/>
  </r>
  <r>
    <d v="2012-02-07T00:00:00"/>
    <s v="017-2210-000"/>
    <s v="Liquor Sales"/>
    <n v="906.34949999999992"/>
    <n v="0"/>
    <s v="Daily Sales Import"/>
    <n v="-906.34949999999992"/>
    <n v="906.34949999999992"/>
    <x v="1"/>
    <s v="2210"/>
    <s v="000"/>
    <x v="4"/>
    <x v="1"/>
  </r>
  <r>
    <d v="2012-02-07T00:00:00"/>
    <s v="017-2220-000"/>
    <s v="Beer Sales"/>
    <n v="905.21999999999991"/>
    <n v="0"/>
    <s v="Daily Sales Import"/>
    <n v="-905.21999999999991"/>
    <n v="905.21999999999991"/>
    <x v="1"/>
    <s v="2220"/>
    <s v="000"/>
    <x v="4"/>
    <x v="1"/>
  </r>
  <r>
    <d v="2012-02-07T00:00:00"/>
    <s v="017-2230-000"/>
    <s v="Wine Sales"/>
    <n v="164.87299999999999"/>
    <n v="0"/>
    <s v="Daily Sales Import"/>
    <n v="-164.87299999999999"/>
    <n v="164.87299999999999"/>
    <x v="1"/>
    <s v="2230"/>
    <s v="000"/>
    <x v="4"/>
    <x v="1"/>
  </r>
  <r>
    <d v="2012-02-08T00:00:00"/>
    <s v="017-2100-000"/>
    <s v="Food Sales"/>
    <n v="4108.41"/>
    <n v="0"/>
    <s v="Daily Sales Import"/>
    <n v="-4108.41"/>
    <n v="4108.41"/>
    <x v="1"/>
    <s v="2100"/>
    <s v="000"/>
    <x v="4"/>
    <x v="1"/>
  </r>
  <r>
    <d v="2012-02-08T00:00:00"/>
    <s v="017-2210-000"/>
    <s v="Liquor Sales"/>
    <n v="1558.96"/>
    <n v="0"/>
    <s v="Daily Sales Import"/>
    <n v="-1558.96"/>
    <n v="1558.96"/>
    <x v="1"/>
    <s v="2210"/>
    <s v="000"/>
    <x v="4"/>
    <x v="1"/>
  </r>
  <r>
    <d v="2012-02-08T00:00:00"/>
    <s v="017-2220-000"/>
    <s v="Beer Sales"/>
    <n v="508.51249999999999"/>
    <n v="0"/>
    <s v="Daily Sales Import"/>
    <n v="-508.51249999999999"/>
    <n v="508.51249999999999"/>
    <x v="1"/>
    <s v="2220"/>
    <s v="000"/>
    <x v="4"/>
    <x v="1"/>
  </r>
  <r>
    <d v="2012-02-08T00:00:00"/>
    <s v="017-2230-000"/>
    <s v="Wine Sales"/>
    <n v="116.245"/>
    <n v="0"/>
    <s v="Daily Sales Import"/>
    <n v="-116.245"/>
    <n v="116.245"/>
    <x v="1"/>
    <s v="2230"/>
    <s v="000"/>
    <x v="4"/>
    <x v="1"/>
  </r>
  <r>
    <d v="2012-02-09T00:00:00"/>
    <s v="017-2100-000"/>
    <s v="Food Sales"/>
    <n v="6186.1887000000006"/>
    <n v="0"/>
    <s v="Daily Sales Import"/>
    <n v="-6186.1887000000006"/>
    <n v="6186.1887000000006"/>
    <x v="1"/>
    <s v="2100"/>
    <s v="000"/>
    <x v="4"/>
    <x v="1"/>
  </r>
  <r>
    <d v="2012-02-09T00:00:00"/>
    <s v="017-2210-000"/>
    <s v="Liquor Sales"/>
    <n v="1546.1880000000001"/>
    <n v="0"/>
    <s v="Daily Sales Import"/>
    <n v="-1546.1880000000001"/>
    <n v="1546.1880000000001"/>
    <x v="1"/>
    <s v="2210"/>
    <s v="000"/>
    <x v="4"/>
    <x v="1"/>
  </r>
  <r>
    <d v="2012-02-09T00:00:00"/>
    <s v="017-2220-000"/>
    <s v="Beer Sales"/>
    <n v="361.51500000000004"/>
    <n v="0"/>
    <s v="Daily Sales Import"/>
    <n v="-361.51500000000004"/>
    <n v="361.51500000000004"/>
    <x v="1"/>
    <s v="2220"/>
    <s v="000"/>
    <x v="4"/>
    <x v="1"/>
  </r>
  <r>
    <d v="2012-02-09T00:00:00"/>
    <s v="017-2230-000"/>
    <s v="Wine Sales"/>
    <n v="191.77099999999999"/>
    <n v="0"/>
    <s v="Daily Sales Import"/>
    <n v="-191.77099999999999"/>
    <n v="191.77099999999999"/>
    <x v="1"/>
    <s v="2230"/>
    <s v="000"/>
    <x v="4"/>
    <x v="1"/>
  </r>
  <r>
    <d v="2012-02-10T00:00:00"/>
    <s v="017-2100-000"/>
    <s v="Food Sales"/>
    <n v="7648.2899999999991"/>
    <n v="0"/>
    <s v="Daily Sales Import"/>
    <n v="-7648.2899999999991"/>
    <n v="7648.2899999999991"/>
    <x v="1"/>
    <s v="2100"/>
    <s v="000"/>
    <x v="4"/>
    <x v="1"/>
  </r>
  <r>
    <d v="2012-02-10T00:00:00"/>
    <s v="017-2210-000"/>
    <s v="Liquor Sales"/>
    <n v="2391.0120000000002"/>
    <n v="0"/>
    <s v="Daily Sales Import"/>
    <n v="-2391.0120000000002"/>
    <n v="2391.0120000000002"/>
    <x v="1"/>
    <s v="2210"/>
    <s v="000"/>
    <x v="4"/>
    <x v="1"/>
  </r>
  <r>
    <d v="2012-02-10T00:00:00"/>
    <s v="017-2220-000"/>
    <s v="Beer Sales"/>
    <n v="555.34500000000003"/>
    <n v="0"/>
    <s v="Daily Sales Import"/>
    <n v="-555.34500000000003"/>
    <n v="555.34500000000003"/>
    <x v="1"/>
    <s v="2220"/>
    <s v="000"/>
    <x v="4"/>
    <x v="1"/>
  </r>
  <r>
    <d v="2012-02-10T00:00:00"/>
    <s v="017-2230-000"/>
    <s v="Wine Sales"/>
    <n v="132.09"/>
    <n v="0"/>
    <s v="Daily Sales Import"/>
    <n v="-132.09"/>
    <n v="132.09"/>
    <x v="1"/>
    <s v="2230"/>
    <s v="000"/>
    <x v="4"/>
    <x v="1"/>
  </r>
  <r>
    <d v="2012-02-11T00:00:00"/>
    <s v="017-2100-000"/>
    <s v="Food Sales"/>
    <n v="8579.0074999999997"/>
    <n v="0"/>
    <s v="Daily Sales Import"/>
    <n v="-8579.0074999999997"/>
    <n v="8579.0074999999997"/>
    <x v="1"/>
    <s v="2100"/>
    <s v="000"/>
    <x v="4"/>
    <x v="1"/>
  </r>
  <r>
    <d v="2012-02-11T00:00:00"/>
    <s v="017-2210-000"/>
    <s v="Liquor Sales"/>
    <n v="2101.1149999999998"/>
    <n v="0"/>
    <s v="Daily Sales Import"/>
    <n v="-2101.1149999999998"/>
    <n v="2101.1149999999998"/>
    <x v="1"/>
    <s v="2210"/>
    <s v="000"/>
    <x v="4"/>
    <x v="1"/>
  </r>
  <r>
    <d v="2012-02-11T00:00:00"/>
    <s v="017-2220-000"/>
    <s v="Beer Sales"/>
    <n v="342.38000000000005"/>
    <n v="0"/>
    <s v="Daily Sales Import"/>
    <n v="-342.38000000000005"/>
    <n v="342.38000000000005"/>
    <x v="1"/>
    <s v="2220"/>
    <s v="000"/>
    <x v="4"/>
    <x v="1"/>
  </r>
  <r>
    <d v="2012-02-11T00:00:00"/>
    <s v="017-2230-000"/>
    <s v="Wine Sales"/>
    <n v="214.75799999999998"/>
    <n v="0"/>
    <s v="Daily Sales Import"/>
    <n v="-214.75799999999998"/>
    <n v="214.75799999999998"/>
    <x v="1"/>
    <s v="2230"/>
    <s v="000"/>
    <x v="4"/>
    <x v="1"/>
  </r>
  <r>
    <d v="2012-02-12T00:00:00"/>
    <s v="017-2100-000"/>
    <s v="Food Sales"/>
    <n v="4016.0128000000004"/>
    <n v="0"/>
    <s v="Daily Sales Import"/>
    <n v="-4016.0128000000004"/>
    <n v="4016.0128000000004"/>
    <x v="1"/>
    <s v="2100"/>
    <s v="000"/>
    <x v="4"/>
    <x v="1"/>
  </r>
  <r>
    <d v="2012-02-12T00:00:00"/>
    <s v="017-2210-000"/>
    <s v="Liquor Sales"/>
    <n v="661.01750000000004"/>
    <n v="0"/>
    <s v="Daily Sales Import"/>
    <n v="-661.01750000000004"/>
    <n v="661.01750000000004"/>
    <x v="1"/>
    <s v="2210"/>
    <s v="000"/>
    <x v="4"/>
    <x v="1"/>
  </r>
  <r>
    <d v="2012-02-12T00:00:00"/>
    <s v="017-2220-000"/>
    <s v="Beer Sales"/>
    <n v="191.47499999999999"/>
    <n v="0"/>
    <s v="Daily Sales Import"/>
    <n v="-191.47499999999999"/>
    <n v="191.47499999999999"/>
    <x v="1"/>
    <s v="2220"/>
    <s v="000"/>
    <x v="4"/>
    <x v="1"/>
  </r>
  <r>
    <d v="2012-02-12T00:00:00"/>
    <s v="017-2230-000"/>
    <s v="Wine Sales"/>
    <n v="110.63799999999999"/>
    <n v="0"/>
    <s v="Daily Sales Import"/>
    <n v="-110.63799999999999"/>
    <n v="110.63799999999999"/>
    <x v="1"/>
    <s v="2230"/>
    <s v="000"/>
    <x v="4"/>
    <x v="1"/>
  </r>
  <r>
    <d v="2012-02-06T00:00:00"/>
    <s v="018-2100-000"/>
    <s v="Food Sales"/>
    <n v="2153.384"/>
    <n v="0"/>
    <s v="Daily Sales Import"/>
    <n v="-2153.384"/>
    <n v="2153.384"/>
    <x v="2"/>
    <s v="2100"/>
    <s v="000"/>
    <x v="4"/>
    <x v="1"/>
  </r>
  <r>
    <d v="2012-02-06T00:00:00"/>
    <s v="018-2210-000"/>
    <s v="Liquor Sales"/>
    <n v="271.17899999999997"/>
    <n v="0"/>
    <s v="Daily Sales Import"/>
    <n v="-271.17899999999997"/>
    <n v="271.17899999999997"/>
    <x v="2"/>
    <s v="2210"/>
    <s v="000"/>
    <x v="4"/>
    <x v="1"/>
  </r>
  <r>
    <d v="2012-02-06T00:00:00"/>
    <s v="018-2220-000"/>
    <s v="Beer Sales"/>
    <n v="102.476"/>
    <n v="0"/>
    <s v="Daily Sales Import"/>
    <n v="-102.476"/>
    <n v="102.476"/>
    <x v="2"/>
    <s v="2220"/>
    <s v="000"/>
    <x v="4"/>
    <x v="1"/>
  </r>
  <r>
    <d v="2012-02-06T00:00:00"/>
    <s v="018-2230-000"/>
    <s v="Wine Sales"/>
    <n v="7.9654999999999996"/>
    <n v="0"/>
    <s v="Daily Sales Import"/>
    <n v="-7.9654999999999996"/>
    <n v="7.9654999999999996"/>
    <x v="2"/>
    <s v="2230"/>
    <s v="000"/>
    <x v="4"/>
    <x v="1"/>
  </r>
  <r>
    <d v="2012-02-07T00:00:00"/>
    <s v="018-2100-000"/>
    <s v="Food Sales"/>
    <n v="2920.1288999999997"/>
    <n v="0"/>
    <s v="Daily Sales Import"/>
    <n v="-2920.1288999999997"/>
    <n v="2920.1288999999997"/>
    <x v="2"/>
    <s v="2100"/>
    <s v="000"/>
    <x v="4"/>
    <x v="1"/>
  </r>
  <r>
    <d v="2012-02-07T00:00:00"/>
    <s v="018-2210-000"/>
    <s v="Liquor Sales"/>
    <n v="420.42"/>
    <n v="0"/>
    <s v="Daily Sales Import"/>
    <n v="-420.42"/>
    <n v="420.42"/>
    <x v="2"/>
    <s v="2210"/>
    <s v="000"/>
    <x v="4"/>
    <x v="1"/>
  </r>
  <r>
    <d v="2012-02-07T00:00:00"/>
    <s v="018-2220-000"/>
    <s v="Beer Sales"/>
    <n v="82.362500000000011"/>
    <n v="0"/>
    <s v="Daily Sales Import"/>
    <n v="-82.362500000000011"/>
    <n v="82.362500000000011"/>
    <x v="2"/>
    <s v="2220"/>
    <s v="000"/>
    <x v="4"/>
    <x v="1"/>
  </r>
  <r>
    <d v="2012-02-08T00:00:00"/>
    <s v="018-2100-000"/>
    <s v="Food Sales"/>
    <n v="2201.3897999999999"/>
    <n v="0"/>
    <s v="Daily Sales Import"/>
    <n v="-2201.3897999999999"/>
    <n v="2201.3897999999999"/>
    <x v="2"/>
    <s v="2100"/>
    <s v="000"/>
    <x v="4"/>
    <x v="1"/>
  </r>
  <r>
    <d v="2012-02-08T00:00:00"/>
    <s v="018-2210-000"/>
    <s v="Liquor Sales"/>
    <n v="552.4"/>
    <n v="0"/>
    <s v="Daily Sales Import"/>
    <n v="-552.4"/>
    <n v="552.4"/>
    <x v="2"/>
    <s v="2210"/>
    <s v="000"/>
    <x v="4"/>
    <x v="1"/>
  </r>
  <r>
    <d v="2012-02-08T00:00:00"/>
    <s v="018-2220-000"/>
    <s v="Beer Sales"/>
    <n v="92.399999999999991"/>
    <n v="0"/>
    <s v="Daily Sales Import"/>
    <n v="-92.399999999999991"/>
    <n v="92.399999999999991"/>
    <x v="2"/>
    <s v="2220"/>
    <s v="000"/>
    <x v="4"/>
    <x v="1"/>
  </r>
  <r>
    <d v="2012-02-08T00:00:00"/>
    <s v="018-2230-000"/>
    <s v="Wine Sales"/>
    <n v="34.28"/>
    <n v="0"/>
    <s v="Daily Sales Import"/>
    <n v="-34.28"/>
    <n v="34.28"/>
    <x v="2"/>
    <s v="2230"/>
    <s v="000"/>
    <x v="4"/>
    <x v="1"/>
  </r>
  <r>
    <d v="2012-02-09T00:00:00"/>
    <s v="018-2100-000"/>
    <s v="Food Sales"/>
    <n v="4354.4865"/>
    <n v="0"/>
    <s v="Daily Sales Import"/>
    <n v="-4354.4865"/>
    <n v="4354.4865"/>
    <x v="2"/>
    <s v="2100"/>
    <s v="000"/>
    <x v="4"/>
    <x v="1"/>
  </r>
  <r>
    <d v="2012-02-09T00:00:00"/>
    <s v="018-2210-000"/>
    <s v="Liquor Sales"/>
    <n v="602.61149999999998"/>
    <n v="0"/>
    <s v="Daily Sales Import"/>
    <n v="-602.61149999999998"/>
    <n v="602.61149999999998"/>
    <x v="2"/>
    <s v="2210"/>
    <s v="000"/>
    <x v="4"/>
    <x v="1"/>
  </r>
  <r>
    <d v="2012-02-09T00:00:00"/>
    <s v="018-2220-000"/>
    <s v="Beer Sales"/>
    <n v="168.39"/>
    <n v="0"/>
    <s v="Daily Sales Import"/>
    <n v="-168.39"/>
    <n v="168.39"/>
    <x v="2"/>
    <s v="2220"/>
    <s v="000"/>
    <x v="4"/>
    <x v="1"/>
  </r>
  <r>
    <d v="2012-02-09T00:00:00"/>
    <s v="018-2230-000"/>
    <s v="Wine Sales"/>
    <n v="13.819499999999998"/>
    <n v="0"/>
    <s v="Daily Sales Import"/>
    <n v="-13.819499999999998"/>
    <n v="13.819499999999998"/>
    <x v="2"/>
    <s v="2230"/>
    <s v="000"/>
    <x v="4"/>
    <x v="1"/>
  </r>
  <r>
    <d v="2012-02-10T00:00:00"/>
    <s v="018-2100-000"/>
    <s v="Food Sales"/>
    <n v="6974.1834999999992"/>
    <n v="0"/>
    <s v="Daily Sales Import"/>
    <n v="-6974.1834999999992"/>
    <n v="6974.1834999999992"/>
    <x v="2"/>
    <s v="2100"/>
    <s v="000"/>
    <x v="4"/>
    <x v="1"/>
  </r>
  <r>
    <d v="2012-02-10T00:00:00"/>
    <s v="018-2210-000"/>
    <s v="Liquor Sales"/>
    <n v="2496.0150000000003"/>
    <n v="0"/>
    <s v="Daily Sales Import"/>
    <n v="-2496.0150000000003"/>
    <n v="2496.0150000000003"/>
    <x v="2"/>
    <s v="2210"/>
    <s v="000"/>
    <x v="4"/>
    <x v="1"/>
  </r>
  <r>
    <d v="2012-02-10T00:00:00"/>
    <s v="018-2220-000"/>
    <s v="Beer Sales"/>
    <n v="390.87900000000002"/>
    <n v="0"/>
    <s v="Daily Sales Import"/>
    <n v="-390.87900000000002"/>
    <n v="390.87900000000002"/>
    <x v="2"/>
    <s v="2220"/>
    <s v="000"/>
    <x v="4"/>
    <x v="1"/>
  </r>
  <r>
    <d v="2012-02-10T00:00:00"/>
    <s v="018-2230-000"/>
    <s v="Wine Sales"/>
    <n v="145.512"/>
    <n v="0"/>
    <s v="Daily Sales Import"/>
    <n v="-145.512"/>
    <n v="145.512"/>
    <x v="2"/>
    <s v="2230"/>
    <s v="000"/>
    <x v="4"/>
    <x v="1"/>
  </r>
  <r>
    <d v="2012-02-11T00:00:00"/>
    <s v="018-2100-000"/>
    <s v="Food Sales"/>
    <n v="14587.631999999998"/>
    <n v="0"/>
    <s v="Daily Sales Import"/>
    <n v="-14587.631999999998"/>
    <n v="14587.631999999998"/>
    <x v="2"/>
    <s v="2100"/>
    <s v="000"/>
    <x v="4"/>
    <x v="1"/>
  </r>
  <r>
    <d v="2012-02-11T00:00:00"/>
    <s v="018-2210-000"/>
    <s v="Liquor Sales"/>
    <n v="1706.2375000000002"/>
    <n v="0"/>
    <s v="Daily Sales Import"/>
    <n v="-1706.2375000000002"/>
    <n v="1706.2375000000002"/>
    <x v="2"/>
    <s v="2210"/>
    <s v="000"/>
    <x v="4"/>
    <x v="1"/>
  </r>
  <r>
    <d v="2012-02-11T00:00:00"/>
    <s v="018-2220-000"/>
    <s v="Beer Sales"/>
    <n v="990.02699999999982"/>
    <n v="0"/>
    <s v="Daily Sales Import"/>
    <n v="-990.02699999999982"/>
    <n v="990.02699999999982"/>
    <x v="2"/>
    <s v="2220"/>
    <s v="000"/>
    <x v="4"/>
    <x v="1"/>
  </r>
  <r>
    <d v="2012-02-11T00:00:00"/>
    <s v="018-2230-000"/>
    <s v="Wine Sales"/>
    <n v="253.32999999999996"/>
    <n v="0"/>
    <s v="Daily Sales Import"/>
    <n v="-253.32999999999996"/>
    <n v="253.32999999999996"/>
    <x v="2"/>
    <s v="2230"/>
    <s v="000"/>
    <x v="4"/>
    <x v="1"/>
  </r>
  <r>
    <d v="2012-02-12T00:00:00"/>
    <s v="018-2100-000"/>
    <s v="Food Sales"/>
    <n v="6792.5190000000002"/>
    <n v="0"/>
    <s v="Daily Sales Import"/>
    <n v="-6792.5190000000002"/>
    <n v="6792.5190000000002"/>
    <x v="2"/>
    <s v="2100"/>
    <s v="000"/>
    <x v="4"/>
    <x v="1"/>
  </r>
  <r>
    <d v="2012-02-12T00:00:00"/>
    <s v="018-2210-000"/>
    <s v="Liquor Sales"/>
    <n v="1190.1559999999999"/>
    <n v="0"/>
    <s v="Daily Sales Import"/>
    <n v="-1190.1559999999999"/>
    <n v="1190.1559999999999"/>
    <x v="2"/>
    <s v="2210"/>
    <s v="000"/>
    <x v="4"/>
    <x v="1"/>
  </r>
  <r>
    <d v="2012-02-12T00:00:00"/>
    <s v="018-2220-000"/>
    <s v="Beer Sales"/>
    <n v="268.04249999999996"/>
    <n v="0"/>
    <s v="Daily Sales Import"/>
    <n v="-268.04249999999996"/>
    <n v="268.04249999999996"/>
    <x v="2"/>
    <s v="2220"/>
    <s v="000"/>
    <x v="4"/>
    <x v="1"/>
  </r>
  <r>
    <d v="2012-02-12T00:00:00"/>
    <s v="018-2230-000"/>
    <s v="Wine Sales"/>
    <n v="131.46100000000001"/>
    <n v="0"/>
    <s v="Daily Sales Import"/>
    <n v="-131.46100000000001"/>
    <n v="131.46100000000001"/>
    <x v="2"/>
    <s v="2230"/>
    <s v="000"/>
    <x v="4"/>
    <x v="1"/>
  </r>
  <r>
    <d v="2012-02-13T00:00:00"/>
    <s v="016-2100-000"/>
    <s v="Food Sales"/>
    <n v="2405.3399999999997"/>
    <n v="0"/>
    <s v="Daily Sales Import"/>
    <n v="-2405.3399999999997"/>
    <n v="2405.3399999999997"/>
    <x v="0"/>
    <s v="2100"/>
    <s v="000"/>
    <x v="4"/>
    <x v="1"/>
  </r>
  <r>
    <d v="2012-02-13T00:00:00"/>
    <s v="016-2210-000"/>
    <s v="Liquor Sales"/>
    <n v="803.24400000000003"/>
    <n v="0"/>
    <s v="Daily Sales Import"/>
    <n v="-803.24400000000003"/>
    <n v="803.24400000000003"/>
    <x v="0"/>
    <s v="2210"/>
    <s v="000"/>
    <x v="4"/>
    <x v="1"/>
  </r>
  <r>
    <d v="2012-02-13T00:00:00"/>
    <s v="016-2220-000"/>
    <s v="Beer Sales"/>
    <n v="76.786500000000004"/>
    <n v="0"/>
    <s v="Daily Sales Import"/>
    <n v="-76.786500000000004"/>
    <n v="76.786500000000004"/>
    <x v="0"/>
    <s v="2220"/>
    <s v="000"/>
    <x v="4"/>
    <x v="1"/>
  </r>
  <r>
    <d v="2012-02-13T00:00:00"/>
    <s v="016-2230-000"/>
    <s v="Wine Sales"/>
    <n v="101.426"/>
    <n v="0"/>
    <s v="Daily Sales Import"/>
    <n v="-101.426"/>
    <n v="101.426"/>
    <x v="0"/>
    <s v="2230"/>
    <s v="000"/>
    <x v="4"/>
    <x v="1"/>
  </r>
  <r>
    <d v="2012-02-14T00:00:00"/>
    <s v="016-2100-000"/>
    <s v="Food Sales"/>
    <n v="5028.3272000000006"/>
    <n v="0"/>
    <s v="Daily Sales Import"/>
    <n v="-5028.3272000000006"/>
    <n v="5028.3272000000006"/>
    <x v="0"/>
    <s v="2100"/>
    <s v="000"/>
    <x v="4"/>
    <x v="1"/>
  </r>
  <r>
    <d v="2012-02-14T00:00:00"/>
    <s v="016-2210-000"/>
    <s v="Liquor Sales"/>
    <n v="1101.924"/>
    <n v="0"/>
    <s v="Daily Sales Import"/>
    <n v="-1101.924"/>
    <n v="1101.924"/>
    <x v="0"/>
    <s v="2210"/>
    <s v="000"/>
    <x v="4"/>
    <x v="1"/>
  </r>
  <r>
    <d v="2012-02-14T00:00:00"/>
    <s v="016-2220-000"/>
    <s v="Beer Sales"/>
    <n v="147.23099999999999"/>
    <n v="0"/>
    <s v="Daily Sales Import"/>
    <n v="-147.23099999999999"/>
    <n v="147.23099999999999"/>
    <x v="0"/>
    <s v="2220"/>
    <s v="000"/>
    <x v="4"/>
    <x v="1"/>
  </r>
  <r>
    <d v="2012-02-14T00:00:00"/>
    <s v="016-2230-000"/>
    <s v="Wine Sales"/>
    <n v="304.74"/>
    <n v="0"/>
    <s v="Daily Sales Import"/>
    <n v="-304.74"/>
    <n v="304.74"/>
    <x v="0"/>
    <s v="2230"/>
    <s v="000"/>
    <x v="4"/>
    <x v="1"/>
  </r>
  <r>
    <d v="2012-02-15T00:00:00"/>
    <s v="016-2100-000"/>
    <s v="Food Sales"/>
    <n v="2168.3145"/>
    <n v="0"/>
    <s v="Daily Sales Import"/>
    <n v="-2168.3145"/>
    <n v="2168.3145"/>
    <x v="0"/>
    <s v="2100"/>
    <s v="000"/>
    <x v="4"/>
    <x v="1"/>
  </r>
  <r>
    <d v="2012-02-15T00:00:00"/>
    <s v="016-2210-000"/>
    <s v="Liquor Sales"/>
    <n v="570.41399999999999"/>
    <n v="0"/>
    <s v="Daily Sales Import"/>
    <n v="-570.41399999999999"/>
    <n v="570.41399999999999"/>
    <x v="0"/>
    <s v="2210"/>
    <s v="000"/>
    <x v="4"/>
    <x v="1"/>
  </r>
  <r>
    <d v="2012-02-15T00:00:00"/>
    <s v="016-2220-000"/>
    <s v="Beer Sales"/>
    <n v="150.5205"/>
    <n v="0"/>
    <s v="Daily Sales Import"/>
    <n v="-150.5205"/>
    <n v="150.5205"/>
    <x v="0"/>
    <s v="2220"/>
    <s v="000"/>
    <x v="4"/>
    <x v="1"/>
  </r>
  <r>
    <d v="2012-02-15T00:00:00"/>
    <s v="016-2230-000"/>
    <s v="Wine Sales"/>
    <n v="60.984000000000009"/>
    <n v="0"/>
    <s v="Daily Sales Import"/>
    <n v="-60.984000000000009"/>
    <n v="60.984000000000009"/>
    <x v="0"/>
    <s v="2230"/>
    <s v="000"/>
    <x v="4"/>
    <x v="1"/>
  </r>
  <r>
    <d v="2012-02-16T00:00:00"/>
    <s v="016-2100-000"/>
    <s v="Food Sales"/>
    <n v="4866.6372000000001"/>
    <n v="0"/>
    <s v="Daily Sales Import"/>
    <n v="-4866.6372000000001"/>
    <n v="4866.6372000000001"/>
    <x v="0"/>
    <s v="2100"/>
    <s v="000"/>
    <x v="4"/>
    <x v="1"/>
  </r>
  <r>
    <d v="2012-02-16T00:00:00"/>
    <s v="016-2210-000"/>
    <s v="Liquor Sales"/>
    <n v="1310.2649999999999"/>
    <n v="0"/>
    <s v="Daily Sales Import"/>
    <n v="-1310.2649999999999"/>
    <n v="1310.2649999999999"/>
    <x v="0"/>
    <s v="2210"/>
    <s v="000"/>
    <x v="4"/>
    <x v="1"/>
  </r>
  <r>
    <d v="2012-02-16T00:00:00"/>
    <s v="016-2220-000"/>
    <s v="Beer Sales"/>
    <n v="319.99799999999999"/>
    <n v="0"/>
    <s v="Daily Sales Import"/>
    <n v="-319.99799999999999"/>
    <n v="319.99799999999999"/>
    <x v="0"/>
    <s v="2220"/>
    <s v="000"/>
    <x v="4"/>
    <x v="1"/>
  </r>
  <r>
    <d v="2012-02-16T00:00:00"/>
    <s v="016-2230-000"/>
    <s v="Wine Sales"/>
    <n v="123.895"/>
    <n v="0"/>
    <s v="Daily Sales Import"/>
    <n v="-123.895"/>
    <n v="123.895"/>
    <x v="0"/>
    <s v="2230"/>
    <s v="000"/>
    <x v="4"/>
    <x v="1"/>
  </r>
  <r>
    <d v="2012-02-17T00:00:00"/>
    <s v="016-2100-000"/>
    <s v="Food Sales"/>
    <n v="8809.9600000000009"/>
    <n v="0"/>
    <s v="Daily Sales Import"/>
    <n v="-8809.9600000000009"/>
    <n v="8809.9600000000009"/>
    <x v="0"/>
    <s v="2100"/>
    <s v="000"/>
    <x v="4"/>
    <x v="1"/>
  </r>
  <r>
    <d v="2012-02-17T00:00:00"/>
    <s v="016-2210-000"/>
    <s v="Liquor Sales"/>
    <n v="3097.634"/>
    <n v="0"/>
    <s v="Daily Sales Import"/>
    <n v="-3097.634"/>
    <n v="3097.634"/>
    <x v="0"/>
    <s v="2210"/>
    <s v="000"/>
    <x v="4"/>
    <x v="1"/>
  </r>
  <r>
    <d v="2012-02-17T00:00:00"/>
    <s v="016-2220-000"/>
    <s v="Beer Sales"/>
    <n v="421.137"/>
    <n v="0"/>
    <s v="Daily Sales Import"/>
    <n v="-421.137"/>
    <n v="421.137"/>
    <x v="0"/>
    <s v="2220"/>
    <s v="000"/>
    <x v="4"/>
    <x v="1"/>
  </r>
  <r>
    <d v="2012-02-17T00:00:00"/>
    <s v="016-2230-000"/>
    <s v="Wine Sales"/>
    <n v="178.976"/>
    <n v="0"/>
    <s v="Daily Sales Import"/>
    <n v="-178.976"/>
    <n v="178.976"/>
    <x v="0"/>
    <s v="2230"/>
    <s v="000"/>
    <x v="4"/>
    <x v="1"/>
  </r>
  <r>
    <d v="2012-02-18T00:00:00"/>
    <s v="016-2100-000"/>
    <s v="Food Sales"/>
    <n v="9127.5589999999993"/>
    <n v="0"/>
    <s v="Daily Sales Import"/>
    <n v="-9127.5589999999993"/>
    <n v="9127.5589999999993"/>
    <x v="0"/>
    <s v="2100"/>
    <s v="000"/>
    <x v="4"/>
    <x v="1"/>
  </r>
  <r>
    <d v="2012-02-18T00:00:00"/>
    <s v="016-2210-000"/>
    <s v="Liquor Sales"/>
    <n v="3526.5205000000001"/>
    <n v="0"/>
    <s v="Daily Sales Import"/>
    <n v="-3526.5205000000001"/>
    <n v="3526.5205000000001"/>
    <x v="0"/>
    <s v="2210"/>
    <s v="000"/>
    <x v="4"/>
    <x v="1"/>
  </r>
  <r>
    <d v="2012-02-18T00:00:00"/>
    <s v="016-2220-000"/>
    <s v="Beer Sales"/>
    <n v="680.07599999999991"/>
    <n v="0"/>
    <s v="Daily Sales Import"/>
    <n v="-680.07599999999991"/>
    <n v="680.07599999999991"/>
    <x v="0"/>
    <s v="2220"/>
    <s v="000"/>
    <x v="4"/>
    <x v="1"/>
  </r>
  <r>
    <d v="2012-02-18T00:00:00"/>
    <s v="016-2230-000"/>
    <s v="Wine Sales"/>
    <n v="410.71050000000002"/>
    <n v="0"/>
    <s v="Daily Sales Import"/>
    <n v="-410.71050000000002"/>
    <n v="410.71050000000002"/>
    <x v="0"/>
    <s v="2230"/>
    <s v="000"/>
    <x v="4"/>
    <x v="1"/>
  </r>
  <r>
    <d v="2012-02-19T00:00:00"/>
    <s v="016-2100-000"/>
    <s v="Food Sales"/>
    <n v="5126.0739999999996"/>
    <n v="0"/>
    <s v="Daily Sales Import"/>
    <n v="-5126.0739999999996"/>
    <n v="5126.0739999999996"/>
    <x v="0"/>
    <s v="2100"/>
    <s v="000"/>
    <x v="4"/>
    <x v="1"/>
  </r>
  <r>
    <d v="2012-02-19T00:00:00"/>
    <s v="016-2210-000"/>
    <s v="Liquor Sales"/>
    <n v="1433.76"/>
    <n v="0"/>
    <s v="Daily Sales Import"/>
    <n v="-1433.76"/>
    <n v="1433.76"/>
    <x v="0"/>
    <s v="2210"/>
    <s v="000"/>
    <x v="4"/>
    <x v="1"/>
  </r>
  <r>
    <d v="2012-02-19T00:00:00"/>
    <s v="016-2220-000"/>
    <s v="Beer Sales"/>
    <n v="349.524"/>
    <n v="0"/>
    <s v="Daily Sales Import"/>
    <n v="-349.524"/>
    <n v="349.524"/>
    <x v="0"/>
    <s v="2220"/>
    <s v="000"/>
    <x v="4"/>
    <x v="1"/>
  </r>
  <r>
    <d v="2012-02-19T00:00:00"/>
    <s v="016-2230-000"/>
    <s v="Wine Sales"/>
    <n v="150.78700000000001"/>
    <n v="0"/>
    <s v="Daily Sales Import"/>
    <n v="-150.78700000000001"/>
    <n v="150.78700000000001"/>
    <x v="0"/>
    <s v="2230"/>
    <s v="000"/>
    <x v="4"/>
    <x v="1"/>
  </r>
  <r>
    <d v="2012-02-13T00:00:00"/>
    <s v="017-2100-000"/>
    <s v="Food Sales"/>
    <n v="4329.7344999999996"/>
    <n v="0"/>
    <s v="Daily Sales Import"/>
    <n v="-4329.7344999999996"/>
    <n v="4329.7344999999996"/>
    <x v="1"/>
    <s v="2100"/>
    <s v="000"/>
    <x v="4"/>
    <x v="1"/>
  </r>
  <r>
    <d v="2012-02-13T00:00:00"/>
    <s v="017-2210-000"/>
    <s v="Liquor Sales"/>
    <n v="393.33250000000004"/>
    <n v="0"/>
    <s v="Daily Sales Import"/>
    <n v="-393.33250000000004"/>
    <n v="393.33250000000004"/>
    <x v="1"/>
    <s v="2210"/>
    <s v="000"/>
    <x v="4"/>
    <x v="1"/>
  </r>
  <r>
    <d v="2012-02-13T00:00:00"/>
    <s v="017-2220-000"/>
    <s v="Beer Sales"/>
    <n v="239.76500000000001"/>
    <n v="0"/>
    <s v="Daily Sales Import"/>
    <n v="-239.76500000000001"/>
    <n v="239.76500000000001"/>
    <x v="1"/>
    <s v="2220"/>
    <s v="000"/>
    <x v="4"/>
    <x v="1"/>
  </r>
  <r>
    <d v="2012-02-13T00:00:00"/>
    <s v="017-2230-000"/>
    <s v="Wine Sales"/>
    <n v="38.777999999999999"/>
    <n v="0"/>
    <s v="Daily Sales Import"/>
    <n v="-38.777999999999999"/>
    <n v="38.777999999999999"/>
    <x v="1"/>
    <s v="2230"/>
    <s v="000"/>
    <x v="4"/>
    <x v="1"/>
  </r>
  <r>
    <d v="2012-02-14T00:00:00"/>
    <s v="017-2100-000"/>
    <s v="Food Sales"/>
    <n v="6920.1630000000005"/>
    <n v="0"/>
    <s v="Daily Sales Import"/>
    <n v="-6920.1630000000005"/>
    <n v="6920.1630000000005"/>
    <x v="1"/>
    <s v="2100"/>
    <s v="000"/>
    <x v="4"/>
    <x v="1"/>
  </r>
  <r>
    <d v="2012-02-14T00:00:00"/>
    <s v="017-2210-000"/>
    <s v="Liquor Sales"/>
    <n v="945.46950000000004"/>
    <n v="0"/>
    <s v="Daily Sales Import"/>
    <n v="-945.46950000000004"/>
    <n v="945.46950000000004"/>
    <x v="1"/>
    <s v="2210"/>
    <s v="000"/>
    <x v="4"/>
    <x v="1"/>
  </r>
  <r>
    <d v="2012-02-14T00:00:00"/>
    <s v="017-2220-000"/>
    <s v="Beer Sales"/>
    <n v="273.54250000000002"/>
    <n v="0"/>
    <s v="Daily Sales Import"/>
    <n v="-273.54250000000002"/>
    <n v="273.54250000000002"/>
    <x v="1"/>
    <s v="2220"/>
    <s v="000"/>
    <x v="4"/>
    <x v="1"/>
  </r>
  <r>
    <d v="2012-02-14T00:00:00"/>
    <s v="017-2230-000"/>
    <s v="Wine Sales"/>
    <n v="203.09"/>
    <n v="0"/>
    <s v="Daily Sales Import"/>
    <n v="-203.09"/>
    <n v="203.09"/>
    <x v="1"/>
    <s v="2230"/>
    <s v="000"/>
    <x v="4"/>
    <x v="1"/>
  </r>
  <r>
    <d v="2012-02-15T00:00:00"/>
    <s v="017-2100-000"/>
    <s v="Food Sales"/>
    <n v="4077.8136"/>
    <n v="0"/>
    <s v="Daily Sales Import"/>
    <n v="-4077.8136"/>
    <n v="4077.8136"/>
    <x v="1"/>
    <s v="2100"/>
    <s v="000"/>
    <x v="4"/>
    <x v="1"/>
  </r>
  <r>
    <d v="2012-02-15T00:00:00"/>
    <s v="017-2210-000"/>
    <s v="Liquor Sales"/>
    <n v="816.1875"/>
    <n v="0"/>
    <s v="Daily Sales Import"/>
    <n v="-816.1875"/>
    <n v="816.1875"/>
    <x v="1"/>
    <s v="2210"/>
    <s v="000"/>
    <x v="4"/>
    <x v="1"/>
  </r>
  <r>
    <d v="2012-02-15T00:00:00"/>
    <s v="017-2220-000"/>
    <s v="Beer Sales"/>
    <n v="480.10499999999996"/>
    <n v="0"/>
    <s v="Daily Sales Import"/>
    <n v="-480.10499999999996"/>
    <n v="480.10499999999996"/>
    <x v="1"/>
    <s v="2220"/>
    <s v="000"/>
    <x v="4"/>
    <x v="1"/>
  </r>
  <r>
    <d v="2012-02-15T00:00:00"/>
    <s v="017-2230-000"/>
    <s v="Wine Sales"/>
    <n v="106.99149999999999"/>
    <n v="0"/>
    <s v="Daily Sales Import"/>
    <n v="-106.99149999999999"/>
    <n v="106.99149999999999"/>
    <x v="1"/>
    <s v="2230"/>
    <s v="000"/>
    <x v="4"/>
    <x v="1"/>
  </r>
  <r>
    <d v="2012-02-16T00:00:00"/>
    <s v="017-2100-000"/>
    <s v="Food Sales"/>
    <n v="4773.0930000000008"/>
    <n v="0"/>
    <s v="Daily Sales Import"/>
    <n v="-4773.0930000000008"/>
    <n v="4773.0930000000008"/>
    <x v="1"/>
    <s v="2100"/>
    <s v="000"/>
    <x v="4"/>
    <x v="1"/>
  </r>
  <r>
    <d v="2012-02-16T00:00:00"/>
    <s v="017-2210-000"/>
    <s v="Liquor Sales"/>
    <n v="2118.4245000000001"/>
    <n v="0"/>
    <s v="Daily Sales Import"/>
    <n v="-2118.4245000000001"/>
    <n v="2118.4245000000001"/>
    <x v="1"/>
    <s v="2210"/>
    <s v="000"/>
    <x v="4"/>
    <x v="1"/>
  </r>
  <r>
    <d v="2012-02-16T00:00:00"/>
    <s v="017-2220-000"/>
    <s v="Beer Sales"/>
    <n v="380.8"/>
    <n v="0"/>
    <s v="Daily Sales Import"/>
    <n v="-380.8"/>
    <n v="380.8"/>
    <x v="1"/>
    <s v="2220"/>
    <s v="000"/>
    <x v="4"/>
    <x v="1"/>
  </r>
  <r>
    <d v="2012-02-16T00:00:00"/>
    <s v="017-2230-000"/>
    <s v="Wine Sales"/>
    <n v="156.3835"/>
    <n v="0"/>
    <s v="Daily Sales Import"/>
    <n v="-156.3835"/>
    <n v="156.3835"/>
    <x v="1"/>
    <s v="2230"/>
    <s v="000"/>
    <x v="4"/>
    <x v="1"/>
  </r>
  <r>
    <d v="2012-02-17T00:00:00"/>
    <s v="017-2100-000"/>
    <s v="Food Sales"/>
    <n v="6933.2374999999993"/>
    <n v="0"/>
    <s v="Daily Sales Import"/>
    <n v="-6933.2374999999993"/>
    <n v="6933.2374999999993"/>
    <x v="1"/>
    <s v="2100"/>
    <s v="000"/>
    <x v="4"/>
    <x v="1"/>
  </r>
  <r>
    <d v="2012-02-17T00:00:00"/>
    <s v="017-2210-000"/>
    <s v="Liquor Sales"/>
    <n v="2693.4960000000001"/>
    <n v="0"/>
    <s v="Daily Sales Import"/>
    <n v="-2693.4960000000001"/>
    <n v="2693.4960000000001"/>
    <x v="1"/>
    <s v="2210"/>
    <s v="000"/>
    <x v="4"/>
    <x v="1"/>
  </r>
  <r>
    <d v="2012-02-17T00:00:00"/>
    <s v="017-2220-000"/>
    <s v="Beer Sales"/>
    <n v="568.67999999999995"/>
    <n v="0"/>
    <s v="Daily Sales Import"/>
    <n v="-568.67999999999995"/>
    <n v="568.67999999999995"/>
    <x v="1"/>
    <s v="2220"/>
    <s v="000"/>
    <x v="4"/>
    <x v="1"/>
  </r>
  <r>
    <d v="2012-02-17T00:00:00"/>
    <s v="017-2230-000"/>
    <s v="Wine Sales"/>
    <n v="78.78"/>
    <n v="0"/>
    <s v="Daily Sales Import"/>
    <n v="-78.78"/>
    <n v="78.78"/>
    <x v="1"/>
    <s v="2230"/>
    <s v="000"/>
    <x v="4"/>
    <x v="1"/>
  </r>
  <r>
    <d v="2012-02-18T00:00:00"/>
    <s v="017-2100-000"/>
    <s v="Food Sales"/>
    <n v="8967.4585000000006"/>
    <n v="0"/>
    <s v="Daily Sales Import"/>
    <n v="-8967.4585000000006"/>
    <n v="8967.4585000000006"/>
    <x v="1"/>
    <s v="2100"/>
    <s v="000"/>
    <x v="4"/>
    <x v="1"/>
  </r>
  <r>
    <d v="2012-02-18T00:00:00"/>
    <s v="017-2210-000"/>
    <s v="Liquor Sales"/>
    <n v="1967.8950000000002"/>
    <n v="0"/>
    <s v="Daily Sales Import"/>
    <n v="-1967.8950000000002"/>
    <n v="1967.8950000000002"/>
    <x v="1"/>
    <s v="2210"/>
    <s v="000"/>
    <x v="4"/>
    <x v="1"/>
  </r>
  <r>
    <d v="2012-02-18T00:00:00"/>
    <s v="017-2220-000"/>
    <s v="Beer Sales"/>
    <n v="523.53"/>
    <n v="0"/>
    <s v="Daily Sales Import"/>
    <n v="-523.53"/>
    <n v="523.53"/>
    <x v="1"/>
    <s v="2220"/>
    <s v="000"/>
    <x v="4"/>
    <x v="1"/>
  </r>
  <r>
    <d v="2012-02-18T00:00:00"/>
    <s v="017-2230-000"/>
    <s v="Wine Sales"/>
    <n v="91.644000000000005"/>
    <n v="0"/>
    <s v="Daily Sales Import"/>
    <n v="-91.644000000000005"/>
    <n v="91.644000000000005"/>
    <x v="1"/>
    <s v="2230"/>
    <s v="000"/>
    <x v="4"/>
    <x v="1"/>
  </r>
  <r>
    <d v="2012-02-19T00:00:00"/>
    <s v="017-2100-000"/>
    <s v="Food Sales"/>
    <n v="5036.3320000000003"/>
    <n v="0"/>
    <s v="Daily Sales Import"/>
    <n v="-5036.3320000000003"/>
    <n v="5036.3320000000003"/>
    <x v="1"/>
    <s v="2100"/>
    <s v="000"/>
    <x v="4"/>
    <x v="1"/>
  </r>
  <r>
    <d v="2012-02-19T00:00:00"/>
    <s v="017-2210-000"/>
    <s v="Liquor Sales"/>
    <n v="650.20199999999988"/>
    <n v="0"/>
    <s v="Daily Sales Import"/>
    <n v="-650.20199999999988"/>
    <n v="650.20199999999988"/>
    <x v="1"/>
    <s v="2210"/>
    <s v="000"/>
    <x v="4"/>
    <x v="1"/>
  </r>
  <r>
    <d v="2012-02-19T00:00:00"/>
    <s v="017-2220-000"/>
    <s v="Beer Sales"/>
    <n v="146.685"/>
    <n v="0"/>
    <s v="Daily Sales Import"/>
    <n v="-146.685"/>
    <n v="146.685"/>
    <x v="1"/>
    <s v="2220"/>
    <s v="000"/>
    <x v="4"/>
    <x v="1"/>
  </r>
  <r>
    <d v="2012-02-19T00:00:00"/>
    <s v="017-2230-000"/>
    <s v="Wine Sales"/>
    <n v="73.739999999999995"/>
    <n v="0"/>
    <s v="Daily Sales Import"/>
    <n v="-73.739999999999995"/>
    <n v="73.739999999999995"/>
    <x v="1"/>
    <s v="2230"/>
    <s v="000"/>
    <x v="4"/>
    <x v="1"/>
  </r>
  <r>
    <d v="2012-02-13T00:00:00"/>
    <s v="018-2100-000"/>
    <s v="Food Sales"/>
    <n v="2898.636"/>
    <n v="0"/>
    <s v="Daily Sales Import"/>
    <n v="-2898.636"/>
    <n v="2898.636"/>
    <x v="2"/>
    <s v="2100"/>
    <s v="000"/>
    <x v="4"/>
    <x v="1"/>
  </r>
  <r>
    <d v="2012-02-13T00:00:00"/>
    <s v="018-2210-000"/>
    <s v="Liquor Sales"/>
    <n v="510.57350000000002"/>
    <n v="0"/>
    <s v="Daily Sales Import"/>
    <n v="-510.57350000000002"/>
    <n v="510.57350000000002"/>
    <x v="2"/>
    <s v="2210"/>
    <s v="000"/>
    <x v="4"/>
    <x v="1"/>
  </r>
  <r>
    <d v="2012-02-13T00:00:00"/>
    <s v="018-2220-000"/>
    <s v="Beer Sales"/>
    <n v="103.7475"/>
    <n v="0"/>
    <s v="Daily Sales Import"/>
    <n v="-103.7475"/>
    <n v="103.7475"/>
    <x v="2"/>
    <s v="2220"/>
    <s v="000"/>
    <x v="4"/>
    <x v="1"/>
  </r>
  <r>
    <d v="2012-02-13T00:00:00"/>
    <s v="018-2230-000"/>
    <s v="Wine Sales"/>
    <n v="8.7840000000000007"/>
    <n v="0"/>
    <s v="Daily Sales Import"/>
    <n v="-8.7840000000000007"/>
    <n v="8.7840000000000007"/>
    <x v="2"/>
    <s v="2230"/>
    <s v="000"/>
    <x v="4"/>
    <x v="1"/>
  </r>
  <r>
    <d v="2012-02-14T00:00:00"/>
    <s v="018-2100-000"/>
    <s v="Food Sales"/>
    <n v="14539.41"/>
    <n v="0"/>
    <s v="Daily Sales Import"/>
    <n v="-14539.41"/>
    <n v="14539.41"/>
    <x v="2"/>
    <s v="2100"/>
    <s v="000"/>
    <x v="4"/>
    <x v="1"/>
  </r>
  <r>
    <d v="2012-02-14T00:00:00"/>
    <s v="018-2210-000"/>
    <s v="Liquor Sales"/>
    <n v="1959.0870000000002"/>
    <n v="0"/>
    <s v="Daily Sales Import"/>
    <n v="-1959.0870000000002"/>
    <n v="1959.0870000000002"/>
    <x v="2"/>
    <s v="2210"/>
    <s v="000"/>
    <x v="4"/>
    <x v="1"/>
  </r>
  <r>
    <d v="2012-02-14T00:00:00"/>
    <s v="018-2220-000"/>
    <s v="Beer Sales"/>
    <n v="498.99899999999997"/>
    <n v="0"/>
    <s v="Daily Sales Import"/>
    <n v="-498.99899999999997"/>
    <n v="498.99899999999997"/>
    <x v="2"/>
    <s v="2220"/>
    <s v="000"/>
    <x v="4"/>
    <x v="1"/>
  </r>
  <r>
    <d v="2012-02-14T00:00:00"/>
    <s v="018-2230-000"/>
    <s v="Wine Sales"/>
    <n v="117.91200000000001"/>
    <n v="0"/>
    <s v="Daily Sales Import"/>
    <n v="-117.91200000000001"/>
    <n v="117.91200000000001"/>
    <x v="2"/>
    <s v="2230"/>
    <s v="000"/>
    <x v="4"/>
    <x v="1"/>
  </r>
  <r>
    <d v="2012-02-15T00:00:00"/>
    <s v="018-2100-000"/>
    <s v="Food Sales"/>
    <n v="4664.5450000000001"/>
    <n v="0"/>
    <s v="Daily Sales Import"/>
    <n v="-4664.5450000000001"/>
    <n v="4664.5450000000001"/>
    <x v="2"/>
    <s v="2100"/>
    <s v="000"/>
    <x v="4"/>
    <x v="1"/>
  </r>
  <r>
    <d v="2012-02-15T00:00:00"/>
    <s v="018-2210-000"/>
    <s v="Liquor Sales"/>
    <n v="624.41249999999991"/>
    <n v="0"/>
    <s v="Daily Sales Import"/>
    <n v="-624.41249999999991"/>
    <n v="624.41249999999991"/>
    <x v="2"/>
    <s v="2210"/>
    <s v="000"/>
    <x v="4"/>
    <x v="1"/>
  </r>
  <r>
    <d v="2012-02-15T00:00:00"/>
    <s v="018-2220-000"/>
    <s v="Beer Sales"/>
    <n v="164.22900000000001"/>
    <n v="0"/>
    <s v="Daily Sales Import"/>
    <n v="-164.22900000000001"/>
    <n v="164.22900000000001"/>
    <x v="2"/>
    <s v="2220"/>
    <s v="000"/>
    <x v="4"/>
    <x v="1"/>
  </r>
  <r>
    <d v="2012-02-15T00:00:00"/>
    <s v="018-2230-000"/>
    <s v="Wine Sales"/>
    <n v="51.530999999999999"/>
    <n v="0"/>
    <s v="Daily Sales Import"/>
    <n v="-51.530999999999999"/>
    <n v="51.530999999999999"/>
    <x v="2"/>
    <s v="2230"/>
    <s v="000"/>
    <x v="4"/>
    <x v="1"/>
  </r>
  <r>
    <d v="2012-02-16T00:00:00"/>
    <s v="018-2100-000"/>
    <s v="Food Sales"/>
    <n v="2735.9261999999999"/>
    <n v="0"/>
    <s v="Daily Sales Import"/>
    <n v="-2735.9261999999999"/>
    <n v="2735.9261999999999"/>
    <x v="2"/>
    <s v="2100"/>
    <s v="000"/>
    <x v="4"/>
    <x v="1"/>
  </r>
  <r>
    <d v="2012-02-16T00:00:00"/>
    <s v="018-2210-000"/>
    <s v="Liquor Sales"/>
    <n v="709.45799999999997"/>
    <n v="0"/>
    <s v="Daily Sales Import"/>
    <n v="-709.45799999999997"/>
    <n v="709.45799999999997"/>
    <x v="2"/>
    <s v="2210"/>
    <s v="000"/>
    <x v="4"/>
    <x v="1"/>
  </r>
  <r>
    <d v="2012-02-16T00:00:00"/>
    <s v="018-2220-000"/>
    <s v="Beer Sales"/>
    <n v="91.139999999999986"/>
    <n v="0"/>
    <s v="Daily Sales Import"/>
    <n v="-91.139999999999986"/>
    <n v="91.139999999999986"/>
    <x v="2"/>
    <s v="2220"/>
    <s v="000"/>
    <x v="4"/>
    <x v="1"/>
  </r>
  <r>
    <d v="2012-02-16T00:00:00"/>
    <s v="018-2230-000"/>
    <s v="Wine Sales"/>
    <n v="62.28"/>
    <n v="0"/>
    <s v="Daily Sales Import"/>
    <n v="-62.28"/>
    <n v="62.28"/>
    <x v="2"/>
    <s v="2230"/>
    <s v="000"/>
    <x v="4"/>
    <x v="1"/>
  </r>
  <r>
    <d v="2012-02-17T00:00:00"/>
    <s v="018-2100-000"/>
    <s v="Food Sales"/>
    <n v="7570.41"/>
    <n v="0"/>
    <s v="Daily Sales Import"/>
    <n v="-7570.41"/>
    <n v="7570.41"/>
    <x v="2"/>
    <s v="2100"/>
    <s v="000"/>
    <x v="4"/>
    <x v="1"/>
  </r>
  <r>
    <d v="2012-02-17T00:00:00"/>
    <s v="018-2210-000"/>
    <s v="Liquor Sales"/>
    <n v="3029"/>
    <n v="0"/>
    <s v="Daily Sales Import"/>
    <n v="-3029"/>
    <n v="3029"/>
    <x v="2"/>
    <s v="2210"/>
    <s v="000"/>
    <x v="4"/>
    <x v="1"/>
  </r>
  <r>
    <d v="2012-02-17T00:00:00"/>
    <s v="018-2220-000"/>
    <s v="Beer Sales"/>
    <n v="408.71999999999997"/>
    <n v="0"/>
    <s v="Daily Sales Import"/>
    <n v="-408.71999999999997"/>
    <n v="408.71999999999997"/>
    <x v="2"/>
    <s v="2220"/>
    <s v="000"/>
    <x v="4"/>
    <x v="1"/>
  </r>
  <r>
    <d v="2012-02-17T00:00:00"/>
    <s v="018-2230-000"/>
    <s v="Wine Sales"/>
    <n v="219.096"/>
    <n v="0"/>
    <s v="Daily Sales Import"/>
    <n v="-219.096"/>
    <n v="219.096"/>
    <x v="2"/>
    <s v="2230"/>
    <s v="000"/>
    <x v="4"/>
    <x v="1"/>
  </r>
  <r>
    <d v="2012-02-18T00:00:00"/>
    <s v="018-2100-000"/>
    <s v="Food Sales"/>
    <n v="13090.012499999999"/>
    <n v="0"/>
    <s v="Daily Sales Import"/>
    <n v="-13090.012499999999"/>
    <n v="13090.012499999999"/>
    <x v="2"/>
    <s v="2100"/>
    <s v="000"/>
    <x v="4"/>
    <x v="1"/>
  </r>
  <r>
    <d v="2012-02-18T00:00:00"/>
    <s v="018-2210-000"/>
    <s v="Liquor Sales"/>
    <n v="3480.7999999999997"/>
    <n v="0"/>
    <s v="Daily Sales Import"/>
    <n v="-3480.7999999999997"/>
    <n v="3480.7999999999997"/>
    <x v="2"/>
    <s v="2210"/>
    <s v="000"/>
    <x v="4"/>
    <x v="1"/>
  </r>
  <r>
    <d v="2012-02-18T00:00:00"/>
    <s v="018-2220-000"/>
    <s v="Beer Sales"/>
    <n v="982.52700000000004"/>
    <n v="0"/>
    <s v="Daily Sales Import"/>
    <n v="-982.52700000000004"/>
    <n v="982.52700000000004"/>
    <x v="2"/>
    <s v="2220"/>
    <s v="000"/>
    <x v="4"/>
    <x v="1"/>
  </r>
  <r>
    <d v="2012-02-18T00:00:00"/>
    <s v="018-2230-000"/>
    <s v="Wine Sales"/>
    <n v="178.178"/>
    <n v="0"/>
    <s v="Daily Sales Import"/>
    <n v="-178.178"/>
    <n v="178.178"/>
    <x v="2"/>
    <s v="2230"/>
    <s v="000"/>
    <x v="4"/>
    <x v="1"/>
  </r>
  <r>
    <d v="2012-02-19T00:00:00"/>
    <s v="018-2100-000"/>
    <s v="Food Sales"/>
    <n v="7763.3135999999995"/>
    <n v="0"/>
    <s v="Daily Sales Import"/>
    <n v="-7763.3135999999995"/>
    <n v="7763.3135999999995"/>
    <x v="2"/>
    <s v="2100"/>
    <s v="000"/>
    <x v="4"/>
    <x v="1"/>
  </r>
  <r>
    <d v="2012-02-19T00:00:00"/>
    <s v="018-2210-000"/>
    <s v="Liquor Sales"/>
    <n v="1245.3980000000001"/>
    <n v="0"/>
    <s v="Daily Sales Import"/>
    <n v="-1245.3980000000001"/>
    <n v="1245.3980000000001"/>
    <x v="2"/>
    <s v="2210"/>
    <s v="000"/>
    <x v="4"/>
    <x v="1"/>
  </r>
  <r>
    <d v="2012-02-19T00:00:00"/>
    <s v="018-2220-000"/>
    <s v="Beer Sales"/>
    <n v="334.09800000000001"/>
    <n v="0"/>
    <s v="Daily Sales Import"/>
    <n v="-334.09800000000001"/>
    <n v="334.09800000000001"/>
    <x v="2"/>
    <s v="2220"/>
    <s v="000"/>
    <x v="4"/>
    <x v="1"/>
  </r>
  <r>
    <d v="2012-02-19T00:00:00"/>
    <s v="018-2230-000"/>
    <s v="Wine Sales"/>
    <n v="116.43600000000001"/>
    <n v="0"/>
    <s v="Daily Sales Import"/>
    <n v="-116.43600000000001"/>
    <n v="116.43600000000001"/>
    <x v="2"/>
    <s v="2230"/>
    <s v="000"/>
    <x v="4"/>
    <x v="1"/>
  </r>
  <r>
    <d v="2012-02-20T00:00:00"/>
    <s v="016-2100-000"/>
    <s v="Food Sales"/>
    <n v="5509.4579999999996"/>
    <n v="0"/>
    <s v="Daily Sales Import"/>
    <n v="-5509.4579999999996"/>
    <n v="5509.4579999999996"/>
    <x v="0"/>
    <s v="2100"/>
    <s v="000"/>
    <x v="4"/>
    <x v="1"/>
  </r>
  <r>
    <d v="2012-02-20T00:00:00"/>
    <s v="016-2210-000"/>
    <s v="Liquor Sales"/>
    <n v="890.49400000000003"/>
    <n v="0"/>
    <s v="Daily Sales Import"/>
    <n v="-890.49400000000003"/>
    <n v="890.49400000000003"/>
    <x v="0"/>
    <s v="2210"/>
    <s v="000"/>
    <x v="4"/>
    <x v="1"/>
  </r>
  <r>
    <d v="2012-02-20T00:00:00"/>
    <s v="016-2220-000"/>
    <s v="Beer Sales"/>
    <n v="140.55299999999997"/>
    <n v="0"/>
    <s v="Daily Sales Import"/>
    <n v="-140.55299999999997"/>
    <n v="140.55299999999997"/>
    <x v="0"/>
    <s v="2220"/>
    <s v="000"/>
    <x v="4"/>
    <x v="1"/>
  </r>
  <r>
    <d v="2012-02-20T00:00:00"/>
    <s v="016-2230-000"/>
    <s v="Wine Sales"/>
    <n v="143.565"/>
    <n v="0"/>
    <s v="Daily Sales Import"/>
    <n v="-143.565"/>
    <n v="143.565"/>
    <x v="0"/>
    <s v="2230"/>
    <s v="000"/>
    <x v="4"/>
    <x v="1"/>
  </r>
  <r>
    <d v="2012-02-21T00:00:00"/>
    <s v="016-2100-000"/>
    <s v="Food Sales"/>
    <n v="3600.1598999999997"/>
    <n v="0"/>
    <s v="Daily Sales Import"/>
    <n v="-3600.1598999999997"/>
    <n v="3600.1598999999997"/>
    <x v="0"/>
    <s v="2100"/>
    <s v="000"/>
    <x v="4"/>
    <x v="1"/>
  </r>
  <r>
    <d v="2012-02-21T00:00:00"/>
    <s v="016-2210-000"/>
    <s v="Liquor Sales"/>
    <n v="1401.4087999999999"/>
    <n v="0"/>
    <s v="Daily Sales Import"/>
    <n v="-1401.4087999999999"/>
    <n v="1401.4087999999999"/>
    <x v="0"/>
    <s v="2210"/>
    <s v="000"/>
    <x v="4"/>
    <x v="1"/>
  </r>
  <r>
    <d v="2012-02-21T00:00:00"/>
    <s v="016-2220-000"/>
    <s v="Beer Sales"/>
    <n v="240.46199999999999"/>
    <n v="0"/>
    <s v="Daily Sales Import"/>
    <n v="-240.46199999999999"/>
    <n v="240.46199999999999"/>
    <x v="0"/>
    <s v="2220"/>
    <s v="000"/>
    <x v="4"/>
    <x v="1"/>
  </r>
  <r>
    <d v="2012-02-21T00:00:00"/>
    <s v="016-2230-000"/>
    <s v="Wine Sales"/>
    <n v="173.101"/>
    <n v="0"/>
    <s v="Daily Sales Import"/>
    <n v="-173.101"/>
    <n v="173.101"/>
    <x v="0"/>
    <s v="2230"/>
    <s v="000"/>
    <x v="4"/>
    <x v="1"/>
  </r>
  <r>
    <d v="2012-02-22T00:00:00"/>
    <s v="016-2100-000"/>
    <s v="Food Sales"/>
    <n v="5213.5092000000004"/>
    <n v="0"/>
    <s v="Daily Sales Import"/>
    <n v="-5213.5092000000004"/>
    <n v="5213.5092000000004"/>
    <x v="0"/>
    <s v="2100"/>
    <s v="000"/>
    <x v="4"/>
    <x v="1"/>
  </r>
  <r>
    <d v="2012-02-22T00:00:00"/>
    <s v="016-2210-000"/>
    <s v="Liquor Sales"/>
    <n v="1383.0155"/>
    <n v="0"/>
    <s v="Daily Sales Import"/>
    <n v="-1383.0155"/>
    <n v="1383.0155"/>
    <x v="0"/>
    <s v="2210"/>
    <s v="000"/>
    <x v="4"/>
    <x v="1"/>
  </r>
  <r>
    <d v="2012-02-22T00:00:00"/>
    <s v="016-2220-000"/>
    <s v="Beer Sales"/>
    <n v="171.31199999999998"/>
    <n v="0"/>
    <s v="Daily Sales Import"/>
    <n v="-171.31199999999998"/>
    <n v="171.31199999999998"/>
    <x v="0"/>
    <s v="2220"/>
    <s v="000"/>
    <x v="4"/>
    <x v="1"/>
  </r>
  <r>
    <d v="2012-02-22T00:00:00"/>
    <s v="016-2230-000"/>
    <s v="Wine Sales"/>
    <n v="157.82600000000002"/>
    <n v="0"/>
    <s v="Daily Sales Import"/>
    <n v="-157.82600000000002"/>
    <n v="157.82600000000002"/>
    <x v="0"/>
    <s v="2230"/>
    <s v="000"/>
    <x v="4"/>
    <x v="1"/>
  </r>
  <r>
    <d v="2012-02-23T00:00:00"/>
    <s v="016-2100-000"/>
    <s v="Food Sales"/>
    <n v="3749.7179999999998"/>
    <n v="0"/>
    <s v="Daily Sales Import"/>
    <n v="-3749.7179999999998"/>
    <n v="3749.7179999999998"/>
    <x v="0"/>
    <s v="2100"/>
    <s v="000"/>
    <x v="4"/>
    <x v="1"/>
  </r>
  <r>
    <d v="2012-02-23T00:00:00"/>
    <s v="016-2210-000"/>
    <s v="Liquor Sales"/>
    <n v="1750.4425000000001"/>
    <n v="0"/>
    <s v="Daily Sales Import"/>
    <n v="-1750.4425000000001"/>
    <n v="1750.4425000000001"/>
    <x v="0"/>
    <s v="2210"/>
    <s v="000"/>
    <x v="4"/>
    <x v="1"/>
  </r>
  <r>
    <d v="2012-02-23T00:00:00"/>
    <s v="016-2220-000"/>
    <s v="Beer Sales"/>
    <n v="254.43"/>
    <n v="0"/>
    <s v="Daily Sales Import"/>
    <n v="-254.43"/>
    <n v="254.43"/>
    <x v="0"/>
    <s v="2220"/>
    <s v="000"/>
    <x v="4"/>
    <x v="1"/>
  </r>
  <r>
    <d v="2012-02-23T00:00:00"/>
    <s v="016-2230-000"/>
    <s v="Wine Sales"/>
    <n v="66.497"/>
    <n v="0"/>
    <s v="Daily Sales Import"/>
    <n v="-66.497"/>
    <n v="66.497"/>
    <x v="0"/>
    <s v="2230"/>
    <s v="000"/>
    <x v="4"/>
    <x v="1"/>
  </r>
  <r>
    <d v="2012-02-24T00:00:00"/>
    <s v="016-2100-000"/>
    <s v="Food Sales"/>
    <n v="9187.7759999999998"/>
    <n v="0"/>
    <s v="Daily Sales Import"/>
    <n v="-9187.7759999999998"/>
    <n v="9187.7759999999998"/>
    <x v="0"/>
    <s v="2100"/>
    <s v="000"/>
    <x v="4"/>
    <x v="1"/>
  </r>
  <r>
    <d v="2012-02-24T00:00:00"/>
    <s v="016-2210-000"/>
    <s v="Liquor Sales"/>
    <n v="3349.4880000000003"/>
    <n v="0"/>
    <s v="Daily Sales Import"/>
    <n v="-3349.4880000000003"/>
    <n v="3349.4880000000003"/>
    <x v="0"/>
    <s v="2210"/>
    <s v="000"/>
    <x v="4"/>
    <x v="1"/>
  </r>
  <r>
    <d v="2012-02-24T00:00:00"/>
    <s v="016-2220-000"/>
    <s v="Beer Sales"/>
    <n v="328.14"/>
    <n v="0"/>
    <s v="Daily Sales Import"/>
    <n v="-328.14"/>
    <n v="328.14"/>
    <x v="0"/>
    <s v="2220"/>
    <s v="000"/>
    <x v="4"/>
    <x v="1"/>
  </r>
  <r>
    <d v="2012-02-24T00:00:00"/>
    <s v="016-2230-000"/>
    <s v="Wine Sales"/>
    <n v="214.785"/>
    <n v="0"/>
    <s v="Daily Sales Import"/>
    <n v="-214.785"/>
    <n v="214.785"/>
    <x v="0"/>
    <s v="2230"/>
    <s v="000"/>
    <x v="4"/>
    <x v="1"/>
  </r>
  <r>
    <d v="2012-02-25T00:00:00"/>
    <s v="016-2100-000"/>
    <s v="Food Sales"/>
    <n v="7843.6575000000003"/>
    <n v="0"/>
    <s v="Daily Sales Import"/>
    <n v="-7843.6575000000003"/>
    <n v="7843.6575000000003"/>
    <x v="0"/>
    <s v="2100"/>
    <s v="000"/>
    <x v="4"/>
    <x v="1"/>
  </r>
  <r>
    <d v="2012-02-25T00:00:00"/>
    <s v="016-2210-000"/>
    <s v="Liquor Sales"/>
    <n v="3290.0160000000001"/>
    <n v="0"/>
    <s v="Daily Sales Import"/>
    <n v="-3290.0160000000001"/>
    <n v="3290.0160000000001"/>
    <x v="0"/>
    <s v="2210"/>
    <s v="000"/>
    <x v="4"/>
    <x v="1"/>
  </r>
  <r>
    <d v="2012-02-25T00:00:00"/>
    <s v="016-2220-000"/>
    <s v="Beer Sales"/>
    <n v="684.495"/>
    <n v="0"/>
    <s v="Daily Sales Import"/>
    <n v="-684.495"/>
    <n v="684.495"/>
    <x v="0"/>
    <s v="2220"/>
    <s v="000"/>
    <x v="4"/>
    <x v="1"/>
  </r>
  <r>
    <d v="2012-02-25T00:00:00"/>
    <s v="016-2230-000"/>
    <s v="Wine Sales"/>
    <n v="270.93599999999998"/>
    <n v="0"/>
    <s v="Daily Sales Import"/>
    <n v="-270.93599999999998"/>
    <n v="270.93599999999998"/>
    <x v="0"/>
    <s v="2230"/>
    <s v="000"/>
    <x v="4"/>
    <x v="1"/>
  </r>
  <r>
    <d v="2012-02-26T00:00:00"/>
    <s v="016-2100-000"/>
    <s v="Food Sales"/>
    <n v="6080.1895000000004"/>
    <n v="0"/>
    <s v="Daily Sales Import"/>
    <n v="-6080.1895000000004"/>
    <n v="6080.1895000000004"/>
    <x v="0"/>
    <s v="2100"/>
    <s v="000"/>
    <x v="4"/>
    <x v="1"/>
  </r>
  <r>
    <d v="2012-02-26T00:00:00"/>
    <s v="016-2210-000"/>
    <s v="Liquor Sales"/>
    <n v="2159.5030000000002"/>
    <n v="0"/>
    <s v="Daily Sales Import"/>
    <n v="-2159.5030000000002"/>
    <n v="2159.5030000000002"/>
    <x v="0"/>
    <s v="2210"/>
    <s v="000"/>
    <x v="4"/>
    <x v="1"/>
  </r>
  <r>
    <d v="2012-02-26T00:00:00"/>
    <s v="016-2220-000"/>
    <s v="Beer Sales"/>
    <n v="278.88000000000005"/>
    <n v="0"/>
    <s v="Daily Sales Import"/>
    <n v="-278.88000000000005"/>
    <n v="278.88000000000005"/>
    <x v="0"/>
    <s v="2220"/>
    <s v="000"/>
    <x v="4"/>
    <x v="1"/>
  </r>
  <r>
    <d v="2012-02-26T00:00:00"/>
    <s v="016-2230-000"/>
    <s v="Wine Sales"/>
    <n v="177.16099999999997"/>
    <n v="0"/>
    <s v="Daily Sales Import"/>
    <n v="-177.16099999999997"/>
    <n v="177.16099999999997"/>
    <x v="0"/>
    <s v="2230"/>
    <s v="000"/>
    <x v="4"/>
    <x v="1"/>
  </r>
  <r>
    <d v="2012-02-20T00:00:00"/>
    <s v="017-2100-000"/>
    <s v="Food Sales"/>
    <n v="4283.3940000000002"/>
    <n v="0"/>
    <s v="Daily Sales Import"/>
    <n v="-4283.3940000000002"/>
    <n v="4283.3940000000002"/>
    <x v="1"/>
    <s v="2100"/>
    <s v="000"/>
    <x v="4"/>
    <x v="1"/>
  </r>
  <r>
    <d v="2012-02-20T00:00:00"/>
    <s v="017-2210-000"/>
    <s v="Liquor Sales"/>
    <n v="915.38200000000018"/>
    <n v="0"/>
    <s v="Daily Sales Import"/>
    <n v="-915.38200000000018"/>
    <n v="915.38200000000018"/>
    <x v="1"/>
    <s v="2210"/>
    <s v="000"/>
    <x v="4"/>
    <x v="1"/>
  </r>
  <r>
    <d v="2012-02-20T00:00:00"/>
    <s v="017-2220-000"/>
    <s v="Beer Sales"/>
    <n v="325.62"/>
    <n v="0"/>
    <s v="Daily Sales Import"/>
    <n v="-325.62"/>
    <n v="325.62"/>
    <x v="1"/>
    <s v="2220"/>
    <s v="000"/>
    <x v="4"/>
    <x v="1"/>
  </r>
  <r>
    <d v="2012-02-20T00:00:00"/>
    <s v="017-2230-000"/>
    <s v="Wine Sales"/>
    <n v="68.105500000000006"/>
    <n v="0"/>
    <s v="Daily Sales Import"/>
    <n v="-68.105500000000006"/>
    <n v="68.105500000000006"/>
    <x v="1"/>
    <s v="2230"/>
    <s v="000"/>
    <x v="4"/>
    <x v="1"/>
  </r>
  <r>
    <d v="2012-02-21T00:00:00"/>
    <s v="017-2100-000"/>
    <s v="Food Sales"/>
    <n v="5453.8440000000001"/>
    <n v="0"/>
    <s v="Daily Sales Import"/>
    <n v="-5453.8440000000001"/>
    <n v="5453.8440000000001"/>
    <x v="1"/>
    <s v="2100"/>
    <s v="000"/>
    <x v="4"/>
    <x v="1"/>
  </r>
  <r>
    <d v="2012-02-21T00:00:00"/>
    <s v="017-2210-000"/>
    <s v="Liquor Sales"/>
    <n v="1214.9835"/>
    <n v="0"/>
    <s v="Daily Sales Import"/>
    <n v="-1214.9835"/>
    <n v="1214.9835"/>
    <x v="1"/>
    <s v="2210"/>
    <s v="000"/>
    <x v="4"/>
    <x v="1"/>
  </r>
  <r>
    <d v="2012-02-21T00:00:00"/>
    <s v="017-2220-000"/>
    <s v="Beer Sales"/>
    <n v="355.98750000000001"/>
    <n v="0"/>
    <s v="Daily Sales Import"/>
    <n v="-355.98750000000001"/>
    <n v="355.98750000000001"/>
    <x v="1"/>
    <s v="2220"/>
    <s v="000"/>
    <x v="4"/>
    <x v="1"/>
  </r>
  <r>
    <d v="2012-02-21T00:00:00"/>
    <s v="017-2230-000"/>
    <s v="Wine Sales"/>
    <n v="91.552499999999995"/>
    <n v="0"/>
    <s v="Daily Sales Import"/>
    <n v="-91.552499999999995"/>
    <n v="91.552499999999995"/>
    <x v="1"/>
    <s v="2230"/>
    <s v="000"/>
    <x v="4"/>
    <x v="1"/>
  </r>
  <r>
    <d v="2012-02-22T00:00:00"/>
    <s v="017-2100-000"/>
    <s v="Food Sales"/>
    <n v="5335.6379999999999"/>
    <n v="0"/>
    <s v="Daily Sales Import"/>
    <n v="-5335.6379999999999"/>
    <n v="5335.6379999999999"/>
    <x v="1"/>
    <s v="2100"/>
    <s v="000"/>
    <x v="4"/>
    <x v="1"/>
  </r>
  <r>
    <d v="2012-02-22T00:00:00"/>
    <s v="017-2210-000"/>
    <s v="Liquor Sales"/>
    <n v="1166.8020000000001"/>
    <n v="0"/>
    <s v="Daily Sales Import"/>
    <n v="-1166.8020000000001"/>
    <n v="1166.8020000000001"/>
    <x v="1"/>
    <s v="2210"/>
    <s v="000"/>
    <x v="4"/>
    <x v="1"/>
  </r>
  <r>
    <d v="2012-02-22T00:00:00"/>
    <s v="017-2220-000"/>
    <s v="Beer Sales"/>
    <n v="385.7525"/>
    <n v="0"/>
    <s v="Daily Sales Import"/>
    <n v="-385.7525"/>
    <n v="385.7525"/>
    <x v="1"/>
    <s v="2220"/>
    <s v="000"/>
    <x v="4"/>
    <x v="1"/>
  </r>
  <r>
    <d v="2012-02-22T00:00:00"/>
    <s v="017-2230-000"/>
    <s v="Wine Sales"/>
    <n v="73.672499999999999"/>
    <n v="0"/>
    <s v="Daily Sales Import"/>
    <n v="-73.672499999999999"/>
    <n v="73.672499999999999"/>
    <x v="1"/>
    <s v="2230"/>
    <s v="000"/>
    <x v="4"/>
    <x v="1"/>
  </r>
  <r>
    <d v="2012-02-23T00:00:00"/>
    <s v="017-2100-000"/>
    <s v="Food Sales"/>
    <n v="4685.8490000000002"/>
    <n v="0"/>
    <s v="Daily Sales Import"/>
    <n v="-4685.8490000000002"/>
    <n v="4685.8490000000002"/>
    <x v="1"/>
    <s v="2100"/>
    <s v="000"/>
    <x v="4"/>
    <x v="1"/>
  </r>
  <r>
    <d v="2012-02-23T00:00:00"/>
    <s v="017-2210-000"/>
    <s v="Liquor Sales"/>
    <n v="1197.152"/>
    <n v="0"/>
    <s v="Daily Sales Import"/>
    <n v="-1197.152"/>
    <n v="1197.152"/>
    <x v="1"/>
    <s v="2210"/>
    <s v="000"/>
    <x v="4"/>
    <x v="1"/>
  </r>
  <r>
    <d v="2012-02-23T00:00:00"/>
    <s v="017-2220-000"/>
    <s v="Beer Sales"/>
    <n v="447.47999999999996"/>
    <n v="0"/>
    <s v="Daily Sales Import"/>
    <n v="-447.47999999999996"/>
    <n v="447.47999999999996"/>
    <x v="1"/>
    <s v="2220"/>
    <s v="000"/>
    <x v="4"/>
    <x v="1"/>
  </r>
  <r>
    <d v="2012-02-23T00:00:00"/>
    <s v="017-2230-000"/>
    <s v="Wine Sales"/>
    <n v="128.64500000000001"/>
    <n v="0"/>
    <s v="Daily Sales Import"/>
    <n v="-128.64500000000001"/>
    <n v="128.64500000000001"/>
    <x v="1"/>
    <s v="2230"/>
    <s v="000"/>
    <x v="4"/>
    <x v="1"/>
  </r>
  <r>
    <d v="2012-02-24T00:00:00"/>
    <s v="017-2100-000"/>
    <s v="Food Sales"/>
    <n v="7298.8140000000003"/>
    <n v="0"/>
    <s v="Daily Sales Import"/>
    <n v="-7298.8140000000003"/>
    <n v="7298.8140000000003"/>
    <x v="1"/>
    <s v="2100"/>
    <s v="000"/>
    <x v="4"/>
    <x v="1"/>
  </r>
  <r>
    <d v="2012-02-24T00:00:00"/>
    <s v="017-2210-000"/>
    <s v="Liquor Sales"/>
    <n v="3115.2239999999997"/>
    <n v="0"/>
    <s v="Daily Sales Import"/>
    <n v="-3115.2239999999997"/>
    <n v="3115.2239999999997"/>
    <x v="1"/>
    <s v="2210"/>
    <s v="000"/>
    <x v="4"/>
    <x v="1"/>
  </r>
  <r>
    <d v="2012-02-24T00:00:00"/>
    <s v="017-2220-000"/>
    <s v="Beer Sales"/>
    <n v="568.9325"/>
    <n v="0"/>
    <s v="Daily Sales Import"/>
    <n v="-568.9325"/>
    <n v="568.9325"/>
    <x v="1"/>
    <s v="2220"/>
    <s v="000"/>
    <x v="4"/>
    <x v="1"/>
  </r>
  <r>
    <d v="2012-02-24T00:00:00"/>
    <s v="017-2230-000"/>
    <s v="Wine Sales"/>
    <n v="184.5"/>
    <n v="0"/>
    <s v="Daily Sales Import"/>
    <n v="-184.5"/>
    <n v="184.5"/>
    <x v="1"/>
    <s v="2230"/>
    <s v="000"/>
    <x v="4"/>
    <x v="1"/>
  </r>
  <r>
    <d v="2012-02-25T00:00:00"/>
    <s v="017-2100-000"/>
    <s v="Food Sales"/>
    <n v="8921.2050000000017"/>
    <n v="0"/>
    <s v="Daily Sales Import"/>
    <n v="-8921.2050000000017"/>
    <n v="8921.2050000000017"/>
    <x v="1"/>
    <s v="2100"/>
    <s v="000"/>
    <x v="4"/>
    <x v="1"/>
  </r>
  <r>
    <d v="2012-02-25T00:00:00"/>
    <s v="017-2210-000"/>
    <s v="Liquor Sales"/>
    <n v="2373.3240000000001"/>
    <n v="0"/>
    <s v="Daily Sales Import"/>
    <n v="-2373.3240000000001"/>
    <n v="2373.3240000000001"/>
    <x v="1"/>
    <s v="2210"/>
    <s v="000"/>
    <x v="4"/>
    <x v="1"/>
  </r>
  <r>
    <d v="2012-02-25T00:00:00"/>
    <s v="017-2220-000"/>
    <s v="Beer Sales"/>
    <n v="388.8"/>
    <n v="0"/>
    <s v="Daily Sales Import"/>
    <n v="-388.8"/>
    <n v="388.8"/>
    <x v="1"/>
    <s v="2220"/>
    <s v="000"/>
    <x v="4"/>
    <x v="1"/>
  </r>
  <r>
    <d v="2012-02-25T00:00:00"/>
    <s v="017-2230-000"/>
    <s v="Wine Sales"/>
    <n v="80.033500000000004"/>
    <n v="0"/>
    <s v="Daily Sales Import"/>
    <n v="-80.033500000000004"/>
    <n v="80.033500000000004"/>
    <x v="1"/>
    <s v="2230"/>
    <s v="000"/>
    <x v="4"/>
    <x v="1"/>
  </r>
  <r>
    <d v="2012-02-26T00:00:00"/>
    <s v="017-2100-000"/>
    <s v="Food Sales"/>
    <n v="3306.3224999999998"/>
    <n v="0"/>
    <s v="Daily Sales Import"/>
    <n v="-3306.3224999999998"/>
    <n v="3306.3224999999998"/>
    <x v="1"/>
    <s v="2100"/>
    <s v="000"/>
    <x v="4"/>
    <x v="1"/>
  </r>
  <r>
    <d v="2012-02-26T00:00:00"/>
    <s v="017-2210-000"/>
    <s v="Liquor Sales"/>
    <n v="914.048"/>
    <n v="0"/>
    <s v="Daily Sales Import"/>
    <n v="-914.048"/>
    <n v="914.048"/>
    <x v="1"/>
    <s v="2210"/>
    <s v="000"/>
    <x v="4"/>
    <x v="1"/>
  </r>
  <r>
    <d v="2012-02-26T00:00:00"/>
    <s v="017-2220-000"/>
    <s v="Beer Sales"/>
    <n v="162.83499999999998"/>
    <n v="0"/>
    <s v="Daily Sales Import"/>
    <n v="-162.83499999999998"/>
    <n v="162.83499999999998"/>
    <x v="1"/>
    <s v="2220"/>
    <s v="000"/>
    <x v="4"/>
    <x v="1"/>
  </r>
  <r>
    <d v="2012-02-26T00:00:00"/>
    <s v="017-2230-000"/>
    <s v="Wine Sales"/>
    <n v="62.88"/>
    <n v="0"/>
    <s v="Daily Sales Import"/>
    <n v="-62.88"/>
    <n v="62.88"/>
    <x v="1"/>
    <s v="2230"/>
    <s v="000"/>
    <x v="4"/>
    <x v="1"/>
  </r>
  <r>
    <d v="2012-02-20T00:00:00"/>
    <s v="018-2100-000"/>
    <s v="Food Sales"/>
    <n v="6568.7329999999993"/>
    <n v="0"/>
    <s v="Daily Sales Import"/>
    <n v="-6568.7329999999993"/>
    <n v="6568.7329999999993"/>
    <x v="2"/>
    <s v="2100"/>
    <s v="000"/>
    <x v="4"/>
    <x v="1"/>
  </r>
  <r>
    <d v="2012-02-20T00:00:00"/>
    <s v="018-2210-000"/>
    <s v="Liquor Sales"/>
    <n v="934.18499999999995"/>
    <n v="0"/>
    <s v="Daily Sales Import"/>
    <n v="-934.18499999999995"/>
    <n v="934.18499999999995"/>
    <x v="2"/>
    <s v="2210"/>
    <s v="000"/>
    <x v="4"/>
    <x v="1"/>
  </r>
  <r>
    <d v="2012-02-20T00:00:00"/>
    <s v="018-2220-000"/>
    <s v="Beer Sales"/>
    <n v="278.964"/>
    <n v="0"/>
    <s v="Daily Sales Import"/>
    <n v="-278.964"/>
    <n v="278.964"/>
    <x v="2"/>
    <s v="2220"/>
    <s v="000"/>
    <x v="4"/>
    <x v="1"/>
  </r>
  <r>
    <d v="2012-02-20T00:00:00"/>
    <s v="018-2230-000"/>
    <s v="Wine Sales"/>
    <n v="59.8675"/>
    <n v="0"/>
    <s v="Daily Sales Import"/>
    <n v="-59.8675"/>
    <n v="59.8675"/>
    <x v="2"/>
    <s v="2230"/>
    <s v="000"/>
    <x v="4"/>
    <x v="1"/>
  </r>
  <r>
    <d v="2012-02-21T00:00:00"/>
    <s v="018-2100-000"/>
    <s v="Food Sales"/>
    <n v="3305.5819999999999"/>
    <n v="0"/>
    <s v="Daily Sales Import"/>
    <n v="-3305.5819999999999"/>
    <n v="3305.5819999999999"/>
    <x v="2"/>
    <s v="2100"/>
    <s v="000"/>
    <x v="4"/>
    <x v="1"/>
  </r>
  <r>
    <d v="2012-02-21T00:00:00"/>
    <s v="018-2210-000"/>
    <s v="Liquor Sales"/>
    <n v="346.40100000000001"/>
    <n v="0"/>
    <s v="Daily Sales Import"/>
    <n v="-346.40100000000001"/>
    <n v="346.40100000000001"/>
    <x v="2"/>
    <s v="2210"/>
    <s v="000"/>
    <x v="4"/>
    <x v="1"/>
  </r>
  <r>
    <d v="2012-02-21T00:00:00"/>
    <s v="018-2220-000"/>
    <s v="Beer Sales"/>
    <n v="168.965"/>
    <n v="0"/>
    <s v="Daily Sales Import"/>
    <n v="-168.965"/>
    <n v="168.965"/>
    <x v="2"/>
    <s v="2220"/>
    <s v="000"/>
    <x v="4"/>
    <x v="1"/>
  </r>
  <r>
    <d v="2012-02-21T00:00:00"/>
    <s v="018-2230-000"/>
    <s v="Wine Sales"/>
    <n v="5.2930000000000001"/>
    <n v="0"/>
    <s v="Daily Sales Import"/>
    <n v="-5.2930000000000001"/>
    <n v="5.2930000000000001"/>
    <x v="2"/>
    <s v="2230"/>
    <s v="000"/>
    <x v="4"/>
    <x v="1"/>
  </r>
  <r>
    <d v="2012-02-22T00:00:00"/>
    <s v="018-2100-000"/>
    <s v="Food Sales"/>
    <n v="3848.8869999999997"/>
    <n v="0"/>
    <s v="Daily Sales Import"/>
    <n v="-3848.8869999999997"/>
    <n v="3848.8869999999997"/>
    <x v="2"/>
    <s v="2100"/>
    <s v="000"/>
    <x v="4"/>
    <x v="1"/>
  </r>
  <r>
    <d v="2012-02-22T00:00:00"/>
    <s v="018-2210-000"/>
    <s v="Liquor Sales"/>
    <n v="602.31000000000006"/>
    <n v="0"/>
    <s v="Daily Sales Import"/>
    <n v="-602.31000000000006"/>
    <n v="602.31000000000006"/>
    <x v="2"/>
    <s v="2210"/>
    <s v="000"/>
    <x v="4"/>
    <x v="1"/>
  </r>
  <r>
    <d v="2012-02-22T00:00:00"/>
    <s v="018-2220-000"/>
    <s v="Beer Sales"/>
    <n v="193.6575"/>
    <n v="0"/>
    <s v="Daily Sales Import"/>
    <n v="-193.6575"/>
    <n v="193.6575"/>
    <x v="2"/>
    <s v="2220"/>
    <s v="000"/>
    <x v="4"/>
    <x v="1"/>
  </r>
  <r>
    <d v="2012-02-22T00:00:00"/>
    <s v="018-2230-000"/>
    <s v="Wine Sales"/>
    <n v="14.1645"/>
    <n v="0"/>
    <s v="Daily Sales Import"/>
    <n v="-14.1645"/>
    <n v="14.1645"/>
    <x v="2"/>
    <s v="2230"/>
    <s v="000"/>
    <x v="4"/>
    <x v="1"/>
  </r>
  <r>
    <d v="2012-02-23T00:00:00"/>
    <s v="018-2100-000"/>
    <s v="Food Sales"/>
    <n v="4933.53"/>
    <n v="0"/>
    <s v="Daily Sales Import"/>
    <n v="-4933.53"/>
    <n v="4933.53"/>
    <x v="2"/>
    <s v="2100"/>
    <s v="000"/>
    <x v="4"/>
    <x v="1"/>
  </r>
  <r>
    <d v="2012-02-23T00:00:00"/>
    <s v="018-2210-000"/>
    <s v="Liquor Sales"/>
    <n v="756.68849999999998"/>
    <n v="0"/>
    <s v="Daily Sales Import"/>
    <n v="-756.68849999999998"/>
    <n v="756.68849999999998"/>
    <x v="2"/>
    <s v="2210"/>
    <s v="000"/>
    <x v="4"/>
    <x v="1"/>
  </r>
  <r>
    <d v="2012-02-23T00:00:00"/>
    <s v="018-2220-000"/>
    <s v="Beer Sales"/>
    <n v="162"/>
    <n v="0"/>
    <s v="Daily Sales Import"/>
    <n v="-162"/>
    <n v="162"/>
    <x v="2"/>
    <s v="2220"/>
    <s v="000"/>
    <x v="4"/>
    <x v="1"/>
  </r>
  <r>
    <d v="2012-02-23T00:00:00"/>
    <s v="018-2230-000"/>
    <s v="Wine Sales"/>
    <n v="39.887999999999998"/>
    <n v="0"/>
    <s v="Daily Sales Import"/>
    <n v="-39.887999999999998"/>
    <n v="39.887999999999998"/>
    <x v="2"/>
    <s v="2230"/>
    <s v="000"/>
    <x v="4"/>
    <x v="1"/>
  </r>
  <r>
    <d v="2012-02-24T00:00:00"/>
    <s v="018-2100-000"/>
    <s v="Food Sales"/>
    <n v="9290.3040000000001"/>
    <n v="0"/>
    <s v="Daily Sales Import"/>
    <n v="-9290.3040000000001"/>
    <n v="9290.3040000000001"/>
    <x v="2"/>
    <s v="2100"/>
    <s v="000"/>
    <x v="4"/>
    <x v="1"/>
  </r>
  <r>
    <d v="2012-02-24T00:00:00"/>
    <s v="018-2210-000"/>
    <s v="Liquor Sales"/>
    <n v="1939.6839999999997"/>
    <n v="0"/>
    <s v="Daily Sales Import"/>
    <n v="-1939.6839999999997"/>
    <n v="1939.6839999999997"/>
    <x v="2"/>
    <s v="2210"/>
    <s v="000"/>
    <x v="4"/>
    <x v="1"/>
  </r>
  <r>
    <d v="2012-02-24T00:00:00"/>
    <s v="018-2220-000"/>
    <s v="Beer Sales"/>
    <n v="380.19599999999997"/>
    <n v="0"/>
    <s v="Daily Sales Import"/>
    <n v="-380.19599999999997"/>
    <n v="380.19599999999997"/>
    <x v="2"/>
    <s v="2220"/>
    <s v="000"/>
    <x v="4"/>
    <x v="1"/>
  </r>
  <r>
    <d v="2012-02-24T00:00:00"/>
    <s v="018-2230-000"/>
    <s v="Wine Sales"/>
    <n v="76.497"/>
    <n v="0"/>
    <s v="Daily Sales Import"/>
    <n v="-76.497"/>
    <n v="76.497"/>
    <x v="2"/>
    <s v="2230"/>
    <s v="000"/>
    <x v="4"/>
    <x v="1"/>
  </r>
  <r>
    <d v="2012-02-25T00:00:00"/>
    <s v="018-2100-000"/>
    <s v="Food Sales"/>
    <n v="9426.15"/>
    <n v="0"/>
    <s v="Daily Sales Import"/>
    <n v="-9426.15"/>
    <n v="9426.15"/>
    <x v="2"/>
    <s v="2100"/>
    <s v="000"/>
    <x v="4"/>
    <x v="1"/>
  </r>
  <r>
    <d v="2012-02-25T00:00:00"/>
    <s v="018-2210-000"/>
    <s v="Liquor Sales"/>
    <n v="2358.252"/>
    <n v="0"/>
    <s v="Daily Sales Import"/>
    <n v="-2358.252"/>
    <n v="2358.252"/>
    <x v="2"/>
    <s v="2210"/>
    <s v="000"/>
    <x v="4"/>
    <x v="1"/>
  </r>
  <r>
    <d v="2012-02-25T00:00:00"/>
    <s v="018-2220-000"/>
    <s v="Beer Sales"/>
    <n v="410.96699999999998"/>
    <n v="0"/>
    <s v="Daily Sales Import"/>
    <n v="-410.96699999999998"/>
    <n v="410.96699999999998"/>
    <x v="2"/>
    <s v="2220"/>
    <s v="000"/>
    <x v="4"/>
    <x v="1"/>
  </r>
  <r>
    <d v="2012-02-25T00:00:00"/>
    <s v="018-2230-000"/>
    <s v="Wine Sales"/>
    <n v="105.36999999999999"/>
    <n v="0"/>
    <s v="Daily Sales Import"/>
    <n v="-105.36999999999999"/>
    <n v="105.36999999999999"/>
    <x v="2"/>
    <s v="2230"/>
    <s v="000"/>
    <x v="4"/>
    <x v="1"/>
  </r>
  <r>
    <d v="2012-02-26T00:00:00"/>
    <s v="018-2100-000"/>
    <s v="Food Sales"/>
    <n v="7547.9949999999999"/>
    <n v="0"/>
    <s v="Daily Sales Import"/>
    <n v="-7547.9949999999999"/>
    <n v="7547.9949999999999"/>
    <x v="2"/>
    <s v="2100"/>
    <s v="000"/>
    <x v="4"/>
    <x v="1"/>
  </r>
  <r>
    <d v="2012-02-26T00:00:00"/>
    <s v="018-2210-000"/>
    <s v="Liquor Sales"/>
    <n v="1389.0149999999999"/>
    <n v="0"/>
    <s v="Daily Sales Import"/>
    <n v="-1389.0149999999999"/>
    <n v="1389.0149999999999"/>
    <x v="2"/>
    <s v="2210"/>
    <s v="000"/>
    <x v="4"/>
    <x v="1"/>
  </r>
  <r>
    <d v="2012-02-26T00:00:00"/>
    <s v="018-2220-000"/>
    <s v="Beer Sales"/>
    <n v="257.92199999999997"/>
    <n v="0"/>
    <s v="Daily Sales Import"/>
    <n v="-257.92199999999997"/>
    <n v="257.92199999999997"/>
    <x v="2"/>
    <s v="2220"/>
    <s v="000"/>
    <x v="4"/>
    <x v="1"/>
  </r>
  <r>
    <d v="2012-02-26T00:00:00"/>
    <s v="018-2230-000"/>
    <s v="Wine Sales"/>
    <n v="71.376499999999993"/>
    <n v="0"/>
    <s v="Daily Sales Import"/>
    <n v="-71.376499999999993"/>
    <n v="71.376499999999993"/>
    <x v="2"/>
    <s v="2230"/>
    <s v="000"/>
    <x v="4"/>
    <x v="1"/>
  </r>
  <r>
    <d v="2012-02-27T00:00:00"/>
    <s v="016-2100-000"/>
    <s v="Food Sales"/>
    <n v="2987.1325999999999"/>
    <n v="0"/>
    <s v="Daily Sales Import"/>
    <n v="-2987.1325999999999"/>
    <n v="2987.1325999999999"/>
    <x v="0"/>
    <s v="2100"/>
    <s v="000"/>
    <x v="4"/>
    <x v="1"/>
  </r>
  <r>
    <d v="2012-02-27T00:00:00"/>
    <s v="016-2210-000"/>
    <s v="Liquor Sales"/>
    <n v="482.35699999999997"/>
    <n v="0"/>
    <s v="Daily Sales Import"/>
    <n v="-482.35699999999997"/>
    <n v="482.35699999999997"/>
    <x v="0"/>
    <s v="2210"/>
    <s v="000"/>
    <x v="4"/>
    <x v="1"/>
  </r>
  <r>
    <d v="2012-02-27T00:00:00"/>
    <s v="016-2220-000"/>
    <s v="Beer Sales"/>
    <n v="292.18950000000001"/>
    <n v="0"/>
    <s v="Daily Sales Import"/>
    <n v="-292.18950000000001"/>
    <n v="292.18950000000001"/>
    <x v="0"/>
    <s v="2220"/>
    <s v="000"/>
    <x v="4"/>
    <x v="1"/>
  </r>
  <r>
    <d v="2012-02-27T00:00:00"/>
    <s v="016-2230-000"/>
    <s v="Wine Sales"/>
    <n v="23.156999999999996"/>
    <n v="0"/>
    <s v="Daily Sales Import"/>
    <n v="-23.156999999999996"/>
    <n v="23.156999999999996"/>
    <x v="0"/>
    <s v="2230"/>
    <s v="000"/>
    <x v="4"/>
    <x v="1"/>
  </r>
  <r>
    <d v="2012-02-28T00:00:00"/>
    <s v="016-2100-000"/>
    <s v="Food Sales"/>
    <n v="2772.1736000000005"/>
    <n v="0"/>
    <s v="Daily Sales Import"/>
    <n v="-2772.1736000000005"/>
    <n v="2772.1736000000005"/>
    <x v="0"/>
    <s v="2100"/>
    <s v="000"/>
    <x v="4"/>
    <x v="1"/>
  </r>
  <r>
    <d v="2012-02-28T00:00:00"/>
    <s v="016-2210-000"/>
    <s v="Liquor Sales"/>
    <n v="1214.673"/>
    <n v="0"/>
    <s v="Daily Sales Import"/>
    <n v="-1214.673"/>
    <n v="1214.673"/>
    <x v="0"/>
    <s v="2210"/>
    <s v="000"/>
    <x v="4"/>
    <x v="1"/>
  </r>
  <r>
    <d v="2012-02-28T00:00:00"/>
    <s v="016-2220-000"/>
    <s v="Beer Sales"/>
    <n v="177.9375"/>
    <n v="0"/>
    <s v="Daily Sales Import"/>
    <n v="-177.9375"/>
    <n v="177.9375"/>
    <x v="0"/>
    <s v="2220"/>
    <s v="000"/>
    <x v="4"/>
    <x v="1"/>
  </r>
  <r>
    <d v="2012-02-28T00:00:00"/>
    <s v="016-2230-000"/>
    <s v="Wine Sales"/>
    <n v="89.407499999999999"/>
    <n v="0"/>
    <s v="Daily Sales Import"/>
    <n v="-89.407499999999999"/>
    <n v="89.407499999999999"/>
    <x v="0"/>
    <s v="2230"/>
    <s v="000"/>
    <x v="4"/>
    <x v="1"/>
  </r>
  <r>
    <d v="2012-02-29T00:00:00"/>
    <s v="016-2100-000"/>
    <s v="Food Sales"/>
    <n v="3578.46"/>
    <n v="0"/>
    <s v="Daily Sales Import"/>
    <n v="-3578.46"/>
    <n v="3578.46"/>
    <x v="0"/>
    <s v="2100"/>
    <s v="000"/>
    <x v="4"/>
    <x v="1"/>
  </r>
  <r>
    <d v="2012-02-29T00:00:00"/>
    <s v="016-2210-000"/>
    <s v="Liquor Sales"/>
    <n v="1147.3504999999998"/>
    <n v="0"/>
    <s v="Daily Sales Import"/>
    <n v="-1147.3504999999998"/>
    <n v="1147.3504999999998"/>
    <x v="0"/>
    <s v="2210"/>
    <s v="000"/>
    <x v="4"/>
    <x v="1"/>
  </r>
  <r>
    <d v="2012-02-29T00:00:00"/>
    <s v="016-2220-000"/>
    <s v="Beer Sales"/>
    <n v="177.792"/>
    <n v="0"/>
    <s v="Daily Sales Import"/>
    <n v="-177.792"/>
    <n v="177.792"/>
    <x v="0"/>
    <s v="2220"/>
    <s v="000"/>
    <x v="4"/>
    <x v="1"/>
  </r>
  <r>
    <d v="2012-02-29T00:00:00"/>
    <s v="016-2230-000"/>
    <s v="Wine Sales"/>
    <n v="175.18"/>
    <n v="0"/>
    <s v="Daily Sales Import"/>
    <n v="-175.18"/>
    <n v="175.18"/>
    <x v="0"/>
    <s v="2230"/>
    <s v="000"/>
    <x v="4"/>
    <x v="1"/>
  </r>
  <r>
    <d v="2012-03-01T00:00:00"/>
    <s v="016-2100-000"/>
    <s v="Food Sales"/>
    <n v="3854.8445999999994"/>
    <n v="0"/>
    <s v="Daily Sales Import"/>
    <n v="-3854.8445999999994"/>
    <n v="3854.8445999999994"/>
    <x v="0"/>
    <s v="2100"/>
    <s v="000"/>
    <x v="5"/>
    <x v="1"/>
  </r>
  <r>
    <d v="2012-03-01T00:00:00"/>
    <s v="016-2210-000"/>
    <s v="Liquor Sales"/>
    <n v="1097.0640000000001"/>
    <n v="0"/>
    <s v="Daily Sales Import"/>
    <n v="-1097.0640000000001"/>
    <n v="1097.0640000000001"/>
    <x v="0"/>
    <s v="2210"/>
    <s v="000"/>
    <x v="5"/>
    <x v="1"/>
  </r>
  <r>
    <d v="2012-03-01T00:00:00"/>
    <s v="016-2220-000"/>
    <s v="Beer Sales"/>
    <n v="240.8175"/>
    <n v="0"/>
    <s v="Daily Sales Import"/>
    <n v="-240.8175"/>
    <n v="240.8175"/>
    <x v="0"/>
    <s v="2220"/>
    <s v="000"/>
    <x v="5"/>
    <x v="1"/>
  </r>
  <r>
    <d v="2012-03-01T00:00:00"/>
    <s v="016-2230-000"/>
    <s v="Wine Sales"/>
    <n v="105.26400000000001"/>
    <n v="0"/>
    <s v="Daily Sales Import"/>
    <n v="-105.26400000000001"/>
    <n v="105.26400000000001"/>
    <x v="0"/>
    <s v="2230"/>
    <s v="000"/>
    <x v="5"/>
    <x v="1"/>
  </r>
  <r>
    <d v="2012-03-02T00:00:00"/>
    <s v="016-2100-000"/>
    <s v="Food Sales"/>
    <n v="8913.08"/>
    <n v="0"/>
    <s v="Daily Sales Import"/>
    <n v="-8913.08"/>
    <n v="8913.08"/>
    <x v="0"/>
    <s v="2100"/>
    <s v="000"/>
    <x v="5"/>
    <x v="1"/>
  </r>
  <r>
    <d v="2012-03-02T00:00:00"/>
    <s v="016-2210-000"/>
    <s v="Liquor Sales"/>
    <n v="4487.3729999999996"/>
    <n v="0"/>
    <s v="Daily Sales Import"/>
    <n v="-4487.3729999999996"/>
    <n v="4487.3729999999996"/>
    <x v="0"/>
    <s v="2210"/>
    <s v="000"/>
    <x v="5"/>
    <x v="1"/>
  </r>
  <r>
    <d v="2012-03-02T00:00:00"/>
    <s v="016-2220-000"/>
    <s v="Beer Sales"/>
    <n v="657.63299999999992"/>
    <n v="0"/>
    <s v="Daily Sales Import"/>
    <n v="-657.63299999999992"/>
    <n v="657.63299999999992"/>
    <x v="0"/>
    <s v="2220"/>
    <s v="000"/>
    <x v="5"/>
    <x v="1"/>
  </r>
  <r>
    <d v="2012-03-02T00:00:00"/>
    <s v="016-2230-000"/>
    <s v="Wine Sales"/>
    <n v="337.09949999999998"/>
    <n v="0"/>
    <s v="Daily Sales Import"/>
    <n v="-337.09949999999998"/>
    <n v="337.09949999999998"/>
    <x v="0"/>
    <s v="2230"/>
    <s v="000"/>
    <x v="5"/>
    <x v="1"/>
  </r>
  <r>
    <d v="2012-03-03T00:00:00"/>
    <s v="016-2100-000"/>
    <s v="Food Sales"/>
    <n v="9119.3919999999998"/>
    <n v="0"/>
    <s v="Daily Sales Import"/>
    <n v="-9119.3919999999998"/>
    <n v="9119.3919999999998"/>
    <x v="0"/>
    <s v="2100"/>
    <s v="000"/>
    <x v="5"/>
    <x v="1"/>
  </r>
  <r>
    <d v="2012-03-03T00:00:00"/>
    <s v="016-2210-000"/>
    <s v="Liquor Sales"/>
    <n v="2675.1215000000002"/>
    <n v="0"/>
    <s v="Daily Sales Import"/>
    <n v="-2675.1215000000002"/>
    <n v="2675.1215000000002"/>
    <x v="0"/>
    <s v="2210"/>
    <s v="000"/>
    <x v="5"/>
    <x v="1"/>
  </r>
  <r>
    <d v="2012-03-03T00:00:00"/>
    <s v="016-2220-000"/>
    <s v="Beer Sales"/>
    <n v="574.13250000000005"/>
    <n v="0"/>
    <s v="Daily Sales Import"/>
    <n v="-574.13250000000005"/>
    <n v="574.13250000000005"/>
    <x v="0"/>
    <s v="2220"/>
    <s v="000"/>
    <x v="5"/>
    <x v="1"/>
  </r>
  <r>
    <d v="2012-03-03T00:00:00"/>
    <s v="016-2230-000"/>
    <s v="Wine Sales"/>
    <n v="218.83349999999996"/>
    <n v="0"/>
    <s v="Daily Sales Import"/>
    <n v="-218.83349999999996"/>
    <n v="218.83349999999996"/>
    <x v="0"/>
    <s v="2230"/>
    <s v="000"/>
    <x v="5"/>
    <x v="1"/>
  </r>
  <r>
    <d v="2012-03-04T00:00:00"/>
    <s v="016-2100-000"/>
    <s v="Food Sales"/>
    <n v="5904.7190000000001"/>
    <n v="0"/>
    <s v="Daily Sales Import"/>
    <n v="-5904.7190000000001"/>
    <n v="5904.7190000000001"/>
    <x v="0"/>
    <s v="2100"/>
    <s v="000"/>
    <x v="5"/>
    <x v="1"/>
  </r>
  <r>
    <d v="2012-03-04T00:00:00"/>
    <s v="016-2210-000"/>
    <s v="Liquor Sales"/>
    <n v="1493.8589999999999"/>
    <n v="0"/>
    <s v="Daily Sales Import"/>
    <n v="-1493.8589999999999"/>
    <n v="1493.8589999999999"/>
    <x v="0"/>
    <s v="2210"/>
    <s v="000"/>
    <x v="5"/>
    <x v="1"/>
  </r>
  <r>
    <d v="2012-03-04T00:00:00"/>
    <s v="016-2220-000"/>
    <s v="Beer Sales"/>
    <n v="175.17150000000001"/>
    <n v="0"/>
    <s v="Daily Sales Import"/>
    <n v="-175.17150000000001"/>
    <n v="175.17150000000001"/>
    <x v="0"/>
    <s v="2220"/>
    <s v="000"/>
    <x v="5"/>
    <x v="1"/>
  </r>
  <r>
    <d v="2012-03-04T00:00:00"/>
    <s v="016-2230-000"/>
    <s v="Wine Sales"/>
    <n v="201.98600000000002"/>
    <n v="0"/>
    <s v="Daily Sales Import"/>
    <n v="-201.98600000000002"/>
    <n v="201.98600000000002"/>
    <x v="0"/>
    <s v="2230"/>
    <s v="000"/>
    <x v="5"/>
    <x v="1"/>
  </r>
  <r>
    <d v="2012-02-27T00:00:00"/>
    <s v="017-2100-000"/>
    <s v="Food Sales"/>
    <n v="3305.0592999999999"/>
    <n v="0"/>
    <s v="Daily Sales Import"/>
    <n v="-3305.0592999999999"/>
    <n v="3305.0592999999999"/>
    <x v="1"/>
    <s v="2100"/>
    <s v="000"/>
    <x v="4"/>
    <x v="1"/>
  </r>
  <r>
    <d v="2012-02-27T00:00:00"/>
    <s v="017-2210-000"/>
    <s v="Liquor Sales"/>
    <n v="899.07999999999993"/>
    <n v="0"/>
    <s v="Daily Sales Import"/>
    <n v="-899.07999999999993"/>
    <n v="899.07999999999993"/>
    <x v="1"/>
    <s v="2210"/>
    <s v="000"/>
    <x v="4"/>
    <x v="1"/>
  </r>
  <r>
    <d v="2012-02-27T00:00:00"/>
    <s v="017-2220-000"/>
    <s v="Beer Sales"/>
    <n v="365.71499999999997"/>
    <n v="0"/>
    <s v="Daily Sales Import"/>
    <n v="-365.71499999999997"/>
    <n v="365.71499999999997"/>
    <x v="1"/>
    <s v="2220"/>
    <s v="000"/>
    <x v="4"/>
    <x v="1"/>
  </r>
  <r>
    <d v="2012-02-27T00:00:00"/>
    <s v="017-2230-000"/>
    <s v="Wine Sales"/>
    <n v="94.814999999999998"/>
    <n v="0"/>
    <s v="Daily Sales Import"/>
    <n v="-94.814999999999998"/>
    <n v="94.814999999999998"/>
    <x v="1"/>
    <s v="2230"/>
    <s v="000"/>
    <x v="4"/>
    <x v="1"/>
  </r>
  <r>
    <d v="2012-02-28T00:00:00"/>
    <s v="017-2100-000"/>
    <s v="Food Sales"/>
    <n v="4679.7760000000007"/>
    <n v="0"/>
    <s v="Daily Sales Import"/>
    <n v="-4679.7760000000007"/>
    <n v="4679.7760000000007"/>
    <x v="1"/>
    <s v="2100"/>
    <s v="000"/>
    <x v="4"/>
    <x v="1"/>
  </r>
  <r>
    <d v="2012-02-28T00:00:00"/>
    <s v="017-2210-000"/>
    <s v="Liquor Sales"/>
    <n v="1243.0079999999998"/>
    <n v="0"/>
    <s v="Daily Sales Import"/>
    <n v="-1243.0079999999998"/>
    <n v="1243.0079999999998"/>
    <x v="1"/>
    <s v="2210"/>
    <s v="000"/>
    <x v="4"/>
    <x v="1"/>
  </r>
  <r>
    <d v="2012-02-28T00:00:00"/>
    <s v="017-2220-000"/>
    <s v="Beer Sales"/>
    <n v="444.77250000000004"/>
    <n v="0"/>
    <s v="Daily Sales Import"/>
    <n v="-444.77250000000004"/>
    <n v="444.77250000000004"/>
    <x v="1"/>
    <s v="2220"/>
    <s v="000"/>
    <x v="4"/>
    <x v="1"/>
  </r>
  <r>
    <d v="2012-02-28T00:00:00"/>
    <s v="017-2230-000"/>
    <s v="Wine Sales"/>
    <n v="67.552999999999997"/>
    <n v="0"/>
    <s v="Daily Sales Import"/>
    <n v="-67.552999999999997"/>
    <n v="67.552999999999997"/>
    <x v="1"/>
    <s v="2230"/>
    <s v="000"/>
    <x v="4"/>
    <x v="1"/>
  </r>
  <r>
    <d v="2012-02-29T00:00:00"/>
    <s v="017-2100-000"/>
    <s v="Food Sales"/>
    <n v="3445.7849999999999"/>
    <n v="0"/>
    <s v="Daily Sales Import"/>
    <n v="-3445.7849999999999"/>
    <n v="3445.7849999999999"/>
    <x v="1"/>
    <s v="2100"/>
    <s v="000"/>
    <x v="4"/>
    <x v="1"/>
  </r>
  <r>
    <d v="2012-02-29T00:00:00"/>
    <s v="017-2210-000"/>
    <s v="Liquor Sales"/>
    <n v="1044.1600000000001"/>
    <n v="0"/>
    <s v="Daily Sales Import"/>
    <n v="-1044.1600000000001"/>
    <n v="1044.1600000000001"/>
    <x v="1"/>
    <s v="2210"/>
    <s v="000"/>
    <x v="4"/>
    <x v="1"/>
  </r>
  <r>
    <d v="2012-02-29T00:00:00"/>
    <s v="017-2220-000"/>
    <s v="Beer Sales"/>
    <n v="325.11750000000001"/>
    <n v="0"/>
    <s v="Daily Sales Import"/>
    <n v="-325.11750000000001"/>
    <n v="325.11750000000001"/>
    <x v="1"/>
    <s v="2220"/>
    <s v="000"/>
    <x v="4"/>
    <x v="1"/>
  </r>
  <r>
    <d v="2012-02-29T00:00:00"/>
    <s v="017-2230-000"/>
    <s v="Wine Sales"/>
    <n v="87.078000000000003"/>
    <n v="0"/>
    <s v="Daily Sales Import"/>
    <n v="-87.078000000000003"/>
    <n v="87.078000000000003"/>
    <x v="1"/>
    <s v="2230"/>
    <s v="000"/>
    <x v="4"/>
    <x v="1"/>
  </r>
  <r>
    <d v="2012-03-01T00:00:00"/>
    <s v="017-2100-000"/>
    <s v="Food Sales"/>
    <n v="7337.8976000000002"/>
    <n v="0"/>
    <s v="Daily Sales Import"/>
    <n v="-7337.8976000000002"/>
    <n v="7337.8976000000002"/>
    <x v="1"/>
    <s v="2100"/>
    <s v="000"/>
    <x v="5"/>
    <x v="1"/>
  </r>
  <r>
    <d v="2012-03-01T00:00:00"/>
    <s v="017-2210-000"/>
    <s v="Liquor Sales"/>
    <n v="1715.547"/>
    <n v="0"/>
    <s v="Daily Sales Import"/>
    <n v="-1715.547"/>
    <n v="1715.547"/>
    <x v="1"/>
    <s v="2210"/>
    <s v="000"/>
    <x v="5"/>
    <x v="1"/>
  </r>
  <r>
    <d v="2012-03-01T00:00:00"/>
    <s v="017-2220-000"/>
    <s v="Beer Sales"/>
    <n v="1048.5625"/>
    <n v="0"/>
    <s v="Daily Sales Import"/>
    <n v="-1048.5625"/>
    <n v="1048.5625"/>
    <x v="1"/>
    <s v="2220"/>
    <s v="000"/>
    <x v="5"/>
    <x v="1"/>
  </r>
  <r>
    <d v="2012-03-01T00:00:00"/>
    <s v="017-2230-000"/>
    <s v="Wine Sales"/>
    <n v="151.47"/>
    <n v="0"/>
    <s v="Daily Sales Import"/>
    <n v="-151.47"/>
    <n v="151.47"/>
    <x v="1"/>
    <s v="2230"/>
    <s v="000"/>
    <x v="5"/>
    <x v="1"/>
  </r>
  <r>
    <d v="2012-03-02T00:00:00"/>
    <s v="017-2100-000"/>
    <s v="Food Sales"/>
    <n v="5358.3924999999999"/>
    <n v="0"/>
    <s v="Daily Sales Import"/>
    <n v="-5358.3924999999999"/>
    <n v="5358.3924999999999"/>
    <x v="1"/>
    <s v="2100"/>
    <s v="000"/>
    <x v="5"/>
    <x v="1"/>
  </r>
  <r>
    <d v="2012-03-02T00:00:00"/>
    <s v="017-2210-000"/>
    <s v="Liquor Sales"/>
    <n v="2103.8424999999997"/>
    <n v="0"/>
    <s v="Daily Sales Import"/>
    <n v="-2103.8424999999997"/>
    <n v="2103.8424999999997"/>
    <x v="1"/>
    <s v="2210"/>
    <s v="000"/>
    <x v="5"/>
    <x v="1"/>
  </r>
  <r>
    <d v="2012-03-02T00:00:00"/>
    <s v="017-2220-000"/>
    <s v="Beer Sales"/>
    <n v="769.86"/>
    <n v="0"/>
    <s v="Daily Sales Import"/>
    <n v="-769.86"/>
    <n v="769.86"/>
    <x v="1"/>
    <s v="2220"/>
    <s v="000"/>
    <x v="5"/>
    <x v="1"/>
  </r>
  <r>
    <d v="2012-03-02T00:00:00"/>
    <s v="017-2230-000"/>
    <s v="Wine Sales"/>
    <n v="145.10999999999999"/>
    <n v="0"/>
    <s v="Daily Sales Import"/>
    <n v="-145.10999999999999"/>
    <n v="145.10999999999999"/>
    <x v="1"/>
    <s v="2230"/>
    <s v="000"/>
    <x v="5"/>
    <x v="1"/>
  </r>
  <r>
    <d v="2012-03-03T00:00:00"/>
    <s v="017-2100-000"/>
    <s v="Food Sales"/>
    <n v="7734.5625"/>
    <n v="0"/>
    <s v="Daily Sales Import"/>
    <n v="-7734.5625"/>
    <n v="7734.5625"/>
    <x v="1"/>
    <s v="2100"/>
    <s v="000"/>
    <x v="5"/>
    <x v="1"/>
  </r>
  <r>
    <d v="2012-03-03T00:00:00"/>
    <s v="017-2210-000"/>
    <s v="Liquor Sales"/>
    <n v="2823.5480000000002"/>
    <n v="0"/>
    <s v="Daily Sales Import"/>
    <n v="-2823.5480000000002"/>
    <n v="2823.5480000000002"/>
    <x v="1"/>
    <s v="2210"/>
    <s v="000"/>
    <x v="5"/>
    <x v="1"/>
  </r>
  <r>
    <d v="2012-03-03T00:00:00"/>
    <s v="017-2220-000"/>
    <s v="Beer Sales"/>
    <n v="512.52499999999998"/>
    <n v="0"/>
    <s v="Daily Sales Import"/>
    <n v="-512.52499999999998"/>
    <n v="512.52499999999998"/>
    <x v="1"/>
    <s v="2220"/>
    <s v="000"/>
    <x v="5"/>
    <x v="1"/>
  </r>
  <r>
    <d v="2012-03-03T00:00:00"/>
    <s v="017-2230-000"/>
    <s v="Wine Sales"/>
    <n v="100.41800000000001"/>
    <n v="0"/>
    <s v="Daily Sales Import"/>
    <n v="-100.41800000000001"/>
    <n v="100.41800000000001"/>
    <x v="1"/>
    <s v="2230"/>
    <s v="000"/>
    <x v="5"/>
    <x v="1"/>
  </r>
  <r>
    <d v="2012-03-04T00:00:00"/>
    <s v="017-2100-000"/>
    <s v="Food Sales"/>
    <n v="6511.0884000000005"/>
    <n v="0"/>
    <s v="Daily Sales Import"/>
    <n v="-6511.0884000000005"/>
    <n v="6511.0884000000005"/>
    <x v="1"/>
    <s v="2100"/>
    <s v="000"/>
    <x v="5"/>
    <x v="1"/>
  </r>
  <r>
    <d v="2012-03-04T00:00:00"/>
    <s v="017-2210-000"/>
    <s v="Liquor Sales"/>
    <n v="1527.1064999999999"/>
    <n v="0"/>
    <s v="Daily Sales Import"/>
    <n v="-1527.1064999999999"/>
    <n v="1527.1064999999999"/>
    <x v="1"/>
    <s v="2210"/>
    <s v="000"/>
    <x v="5"/>
    <x v="1"/>
  </r>
  <r>
    <d v="2012-03-04T00:00:00"/>
    <s v="017-2220-000"/>
    <s v="Beer Sales"/>
    <n v="302.94"/>
    <n v="0"/>
    <s v="Daily Sales Import"/>
    <n v="-302.94"/>
    <n v="302.94"/>
    <x v="1"/>
    <s v="2220"/>
    <s v="000"/>
    <x v="5"/>
    <x v="1"/>
  </r>
  <r>
    <d v="2012-03-04T00:00:00"/>
    <s v="017-2230-000"/>
    <s v="Wine Sales"/>
    <n v="92.080499999999986"/>
    <n v="0"/>
    <s v="Daily Sales Import"/>
    <n v="-92.080499999999986"/>
    <n v="92.080499999999986"/>
    <x v="1"/>
    <s v="2230"/>
    <s v="000"/>
    <x v="5"/>
    <x v="1"/>
  </r>
  <r>
    <d v="2012-02-27T00:00:00"/>
    <s v="018-2100-000"/>
    <s v="Food Sales"/>
    <n v="3656.6669999999999"/>
    <n v="0"/>
    <s v="Daily Sales Import"/>
    <n v="-3656.6669999999999"/>
    <n v="3656.6669999999999"/>
    <x v="2"/>
    <s v="2100"/>
    <s v="000"/>
    <x v="4"/>
    <x v="1"/>
  </r>
  <r>
    <d v="2012-02-27T00:00:00"/>
    <s v="018-2210-000"/>
    <s v="Liquor Sales"/>
    <n v="474.30300000000005"/>
    <n v="0"/>
    <s v="Daily Sales Import"/>
    <n v="-474.30300000000005"/>
    <n v="474.30300000000005"/>
    <x v="2"/>
    <s v="2210"/>
    <s v="000"/>
    <x v="4"/>
    <x v="1"/>
  </r>
  <r>
    <d v="2012-02-27T00:00:00"/>
    <s v="018-2220-000"/>
    <s v="Beer Sales"/>
    <n v="67.177499999999995"/>
    <n v="0"/>
    <s v="Daily Sales Import"/>
    <n v="-67.177499999999995"/>
    <n v="67.177499999999995"/>
    <x v="2"/>
    <s v="2220"/>
    <s v="000"/>
    <x v="4"/>
    <x v="1"/>
  </r>
  <r>
    <d v="2012-02-27T00:00:00"/>
    <s v="018-2230-000"/>
    <s v="Wine Sales"/>
    <n v="12.561000000000002"/>
    <n v="0"/>
    <s v="Daily Sales Import"/>
    <n v="-12.561000000000002"/>
    <n v="12.561000000000002"/>
    <x v="2"/>
    <s v="2230"/>
    <s v="000"/>
    <x v="4"/>
    <x v="1"/>
  </r>
  <r>
    <d v="2012-02-28T00:00:00"/>
    <s v="018-2100-000"/>
    <s v="Food Sales"/>
    <n v="3570.8820000000001"/>
    <n v="0"/>
    <s v="Daily Sales Import"/>
    <n v="-3570.8820000000001"/>
    <n v="3570.8820000000001"/>
    <x v="2"/>
    <s v="2100"/>
    <s v="000"/>
    <x v="4"/>
    <x v="1"/>
  </r>
  <r>
    <d v="2012-02-28T00:00:00"/>
    <s v="018-2210-000"/>
    <s v="Liquor Sales"/>
    <n v="919.44799999999998"/>
    <n v="0"/>
    <s v="Daily Sales Import"/>
    <n v="-919.44799999999998"/>
    <n v="919.44799999999998"/>
    <x v="2"/>
    <s v="2210"/>
    <s v="000"/>
    <x v="4"/>
    <x v="1"/>
  </r>
  <r>
    <d v="2012-02-28T00:00:00"/>
    <s v="018-2220-000"/>
    <s v="Beer Sales"/>
    <n v="96.394500000000008"/>
    <n v="0"/>
    <s v="Daily Sales Import"/>
    <n v="-96.394500000000008"/>
    <n v="96.394500000000008"/>
    <x v="2"/>
    <s v="2220"/>
    <s v="000"/>
    <x v="4"/>
    <x v="1"/>
  </r>
  <r>
    <d v="2012-02-28T00:00:00"/>
    <s v="018-2230-000"/>
    <s v="Wine Sales"/>
    <n v="58.104500000000002"/>
    <n v="0"/>
    <s v="Daily Sales Import"/>
    <n v="-58.104500000000002"/>
    <n v="58.104500000000002"/>
    <x v="2"/>
    <s v="2230"/>
    <s v="000"/>
    <x v="4"/>
    <x v="1"/>
  </r>
  <r>
    <d v="2012-02-29T00:00:00"/>
    <s v="018-2100-000"/>
    <s v="Food Sales"/>
    <n v="3304.1269999999995"/>
    <n v="0"/>
    <s v="Daily Sales Import"/>
    <n v="-3304.1269999999995"/>
    <n v="3304.1269999999995"/>
    <x v="2"/>
    <s v="2100"/>
    <s v="000"/>
    <x v="4"/>
    <x v="1"/>
  </r>
  <r>
    <d v="2012-02-29T00:00:00"/>
    <s v="018-2210-000"/>
    <s v="Liquor Sales"/>
    <n v="623.34950000000003"/>
    <n v="0"/>
    <s v="Daily Sales Import"/>
    <n v="-623.34950000000003"/>
    <n v="623.34950000000003"/>
    <x v="2"/>
    <s v="2210"/>
    <s v="000"/>
    <x v="4"/>
    <x v="1"/>
  </r>
  <r>
    <d v="2012-02-29T00:00:00"/>
    <s v="018-2220-000"/>
    <s v="Beer Sales"/>
    <n v="115.6455"/>
    <n v="0"/>
    <s v="Daily Sales Import"/>
    <n v="-115.6455"/>
    <n v="115.6455"/>
    <x v="2"/>
    <s v="2220"/>
    <s v="000"/>
    <x v="4"/>
    <x v="1"/>
  </r>
  <r>
    <d v="2012-02-29T00:00:00"/>
    <s v="018-2230-000"/>
    <s v="Wine Sales"/>
    <n v="21.648"/>
    <n v="0"/>
    <s v="Daily Sales Import"/>
    <n v="-21.648"/>
    <n v="21.648"/>
    <x v="2"/>
    <s v="2230"/>
    <s v="000"/>
    <x v="4"/>
    <x v="1"/>
  </r>
  <r>
    <d v="2012-03-01T00:00:00"/>
    <s v="018-2100-000"/>
    <s v="Food Sales"/>
    <n v="4553.92"/>
    <n v="0"/>
    <s v="Daily Sales Import"/>
    <n v="-4553.92"/>
    <n v="4553.92"/>
    <x v="2"/>
    <s v="2100"/>
    <s v="000"/>
    <x v="5"/>
    <x v="1"/>
  </r>
  <r>
    <d v="2012-03-01T00:00:00"/>
    <s v="018-2210-000"/>
    <s v="Liquor Sales"/>
    <n v="900.35"/>
    <n v="0"/>
    <s v="Daily Sales Import"/>
    <n v="-900.35"/>
    <n v="900.35"/>
    <x v="2"/>
    <s v="2210"/>
    <s v="000"/>
    <x v="5"/>
    <x v="1"/>
  </r>
  <r>
    <d v="2012-03-01T00:00:00"/>
    <s v="018-2220-000"/>
    <s v="Beer Sales"/>
    <n v="282.71600000000001"/>
    <n v="0"/>
    <s v="Daily Sales Import"/>
    <n v="-282.71600000000001"/>
    <n v="282.71600000000001"/>
    <x v="2"/>
    <s v="2220"/>
    <s v="000"/>
    <x v="5"/>
    <x v="1"/>
  </r>
  <r>
    <d v="2012-03-01T00:00:00"/>
    <s v="018-2230-000"/>
    <s v="Wine Sales"/>
    <n v="27.2195"/>
    <n v="0"/>
    <s v="Daily Sales Import"/>
    <n v="-27.2195"/>
    <n v="27.2195"/>
    <x v="2"/>
    <s v="2230"/>
    <s v="000"/>
    <x v="5"/>
    <x v="1"/>
  </r>
  <r>
    <d v="2012-03-02T00:00:00"/>
    <s v="018-2100-000"/>
    <s v="Food Sales"/>
    <n v="9695.2799999999988"/>
    <n v="0"/>
    <s v="Daily Sales Import"/>
    <n v="-9695.2799999999988"/>
    <n v="9695.2799999999988"/>
    <x v="2"/>
    <s v="2100"/>
    <s v="000"/>
    <x v="5"/>
    <x v="1"/>
  </r>
  <r>
    <d v="2012-03-02T00:00:00"/>
    <s v="018-2210-000"/>
    <s v="Liquor Sales"/>
    <n v="2520.1799999999998"/>
    <n v="0"/>
    <s v="Daily Sales Import"/>
    <n v="-2520.1799999999998"/>
    <n v="2520.1799999999998"/>
    <x v="2"/>
    <s v="2210"/>
    <s v="000"/>
    <x v="5"/>
    <x v="1"/>
  </r>
  <r>
    <d v="2012-03-02T00:00:00"/>
    <s v="018-2220-000"/>
    <s v="Beer Sales"/>
    <n v="344.84999999999997"/>
    <n v="0"/>
    <s v="Daily Sales Import"/>
    <n v="-344.84999999999997"/>
    <n v="344.84999999999997"/>
    <x v="2"/>
    <s v="2220"/>
    <s v="000"/>
    <x v="5"/>
    <x v="1"/>
  </r>
  <r>
    <d v="2012-03-02T00:00:00"/>
    <s v="018-2230-000"/>
    <s v="Wine Sales"/>
    <n v="120.4385"/>
    <n v="0"/>
    <s v="Daily Sales Import"/>
    <n v="-120.4385"/>
    <n v="120.4385"/>
    <x v="2"/>
    <s v="2230"/>
    <s v="000"/>
    <x v="5"/>
    <x v="1"/>
  </r>
  <r>
    <d v="2012-03-03T00:00:00"/>
    <s v="018-2100-000"/>
    <s v="Food Sales"/>
    <n v="15376.621499999999"/>
    <n v="0"/>
    <s v="Daily Sales Import"/>
    <n v="-15376.621499999999"/>
    <n v="15376.621499999999"/>
    <x v="2"/>
    <s v="2100"/>
    <s v="000"/>
    <x v="5"/>
    <x v="1"/>
  </r>
  <r>
    <d v="2012-03-03T00:00:00"/>
    <s v="018-2210-000"/>
    <s v="Liquor Sales"/>
    <n v="3363.9175"/>
    <n v="0"/>
    <s v="Daily Sales Import"/>
    <n v="-3363.9175"/>
    <n v="3363.9175"/>
    <x v="2"/>
    <s v="2210"/>
    <s v="000"/>
    <x v="5"/>
    <x v="1"/>
  </r>
  <r>
    <d v="2012-03-03T00:00:00"/>
    <s v="018-2220-000"/>
    <s v="Beer Sales"/>
    <n v="849.16650000000004"/>
    <n v="0"/>
    <s v="Daily Sales Import"/>
    <n v="-849.16650000000004"/>
    <n v="849.16650000000004"/>
    <x v="2"/>
    <s v="2220"/>
    <s v="000"/>
    <x v="5"/>
    <x v="1"/>
  </r>
  <r>
    <d v="2012-03-03T00:00:00"/>
    <s v="018-2230-000"/>
    <s v="Wine Sales"/>
    <n v="117.01900000000001"/>
    <n v="0"/>
    <s v="Daily Sales Import"/>
    <n v="-117.01900000000001"/>
    <n v="117.01900000000001"/>
    <x v="2"/>
    <s v="2230"/>
    <s v="000"/>
    <x v="5"/>
    <x v="1"/>
  </r>
  <r>
    <d v="2012-03-04T00:00:00"/>
    <s v="018-2100-000"/>
    <s v="Food Sales"/>
    <n v="10186.916999999999"/>
    <n v="0"/>
    <s v="Daily Sales Import"/>
    <n v="-10186.916999999999"/>
    <n v="10186.916999999999"/>
    <x v="2"/>
    <s v="2100"/>
    <s v="000"/>
    <x v="5"/>
    <x v="1"/>
  </r>
  <r>
    <d v="2012-03-04T00:00:00"/>
    <s v="018-2210-000"/>
    <s v="Liquor Sales"/>
    <n v="995.62699999999995"/>
    <n v="0"/>
    <s v="Daily Sales Import"/>
    <n v="-995.62699999999995"/>
    <n v="995.62699999999995"/>
    <x v="2"/>
    <s v="2210"/>
    <s v="000"/>
    <x v="5"/>
    <x v="1"/>
  </r>
  <r>
    <d v="2012-03-04T00:00:00"/>
    <s v="018-2220-000"/>
    <s v="Beer Sales"/>
    <n v="225.36"/>
    <n v="0"/>
    <s v="Daily Sales Import"/>
    <n v="-225.36"/>
    <n v="225.36"/>
    <x v="2"/>
    <s v="2220"/>
    <s v="000"/>
    <x v="5"/>
    <x v="1"/>
  </r>
  <r>
    <d v="2012-03-04T00:00:00"/>
    <s v="018-2230-000"/>
    <s v="Wine Sales"/>
    <n v="134.32500000000002"/>
    <n v="0"/>
    <s v="Daily Sales Import"/>
    <n v="-134.32500000000002"/>
    <n v="134.32500000000002"/>
    <x v="2"/>
    <s v="2230"/>
    <s v="000"/>
    <x v="5"/>
    <x v="1"/>
  </r>
  <r>
    <d v="2012-03-05T00:00:00"/>
    <s v="016-2100-000"/>
    <s v="Food Sales"/>
    <n v="3498.0709999999995"/>
    <n v="0"/>
    <s v="Daily Sales Import"/>
    <n v="-3498.0709999999995"/>
    <n v="3498.0709999999995"/>
    <x v="0"/>
    <s v="2100"/>
    <s v="000"/>
    <x v="5"/>
    <x v="1"/>
  </r>
  <r>
    <d v="2012-03-05T00:00:00"/>
    <s v="016-2210-000"/>
    <s v="Liquor Sales"/>
    <n v="629.36450000000002"/>
    <n v="0"/>
    <s v="Daily Sales Import"/>
    <n v="-629.36450000000002"/>
    <n v="629.36450000000002"/>
    <x v="0"/>
    <s v="2210"/>
    <s v="000"/>
    <x v="5"/>
    <x v="1"/>
  </r>
  <r>
    <d v="2012-03-05T00:00:00"/>
    <s v="016-2220-000"/>
    <s v="Beer Sales"/>
    <n v="90.792000000000002"/>
    <n v="0"/>
    <s v="Daily Sales Import"/>
    <n v="-90.792000000000002"/>
    <n v="90.792000000000002"/>
    <x v="0"/>
    <s v="2220"/>
    <s v="000"/>
    <x v="5"/>
    <x v="1"/>
  </r>
  <r>
    <d v="2012-03-05T00:00:00"/>
    <s v="016-2230-000"/>
    <s v="Wine Sales"/>
    <n v="27.209"/>
    <n v="0"/>
    <s v="Daily Sales Import"/>
    <n v="-27.209"/>
    <n v="27.209"/>
    <x v="0"/>
    <s v="2230"/>
    <s v="000"/>
    <x v="5"/>
    <x v="1"/>
  </r>
  <r>
    <d v="2012-03-06T00:00:00"/>
    <s v="016-2100-000"/>
    <s v="Food Sales"/>
    <n v="2705.9858999999997"/>
    <n v="0"/>
    <s v="Daily Sales Import"/>
    <n v="-2705.9858999999997"/>
    <n v="2705.9858999999997"/>
    <x v="0"/>
    <s v="2100"/>
    <s v="000"/>
    <x v="5"/>
    <x v="1"/>
  </r>
  <r>
    <d v="2012-03-06T00:00:00"/>
    <s v="016-2210-000"/>
    <s v="Liquor Sales"/>
    <n v="692.84699999999998"/>
    <n v="0"/>
    <s v="Daily Sales Import"/>
    <n v="-692.84699999999998"/>
    <n v="692.84699999999998"/>
    <x v="0"/>
    <s v="2210"/>
    <s v="000"/>
    <x v="5"/>
    <x v="1"/>
  </r>
  <r>
    <d v="2012-03-06T00:00:00"/>
    <s v="016-2220-000"/>
    <s v="Beer Sales"/>
    <n v="246.92850000000004"/>
    <n v="0"/>
    <s v="Daily Sales Import"/>
    <n v="-246.92850000000004"/>
    <n v="246.92850000000004"/>
    <x v="0"/>
    <s v="2220"/>
    <s v="000"/>
    <x v="5"/>
    <x v="1"/>
  </r>
  <r>
    <d v="2012-03-06T00:00:00"/>
    <s v="016-2230-000"/>
    <s v="Wine Sales"/>
    <n v="38.502000000000002"/>
    <n v="0"/>
    <s v="Daily Sales Import"/>
    <n v="-38.502000000000002"/>
    <n v="38.502000000000002"/>
    <x v="0"/>
    <s v="2230"/>
    <s v="000"/>
    <x v="5"/>
    <x v="1"/>
  </r>
  <r>
    <d v="2012-03-07T00:00:00"/>
    <s v="016-2100-000"/>
    <s v="Food Sales"/>
    <n v="3943.4603999999999"/>
    <n v="0"/>
    <s v="Daily Sales Import"/>
    <n v="-3943.4603999999999"/>
    <n v="3943.4603999999999"/>
    <x v="0"/>
    <s v="2100"/>
    <s v="000"/>
    <x v="5"/>
    <x v="1"/>
  </r>
  <r>
    <d v="2012-03-07T00:00:00"/>
    <s v="016-2210-000"/>
    <s v="Liquor Sales"/>
    <n v="655.39400000000012"/>
    <n v="0"/>
    <s v="Daily Sales Import"/>
    <n v="-655.39400000000012"/>
    <n v="655.39400000000012"/>
    <x v="0"/>
    <s v="2210"/>
    <s v="000"/>
    <x v="5"/>
    <x v="1"/>
  </r>
  <r>
    <d v="2012-03-07T00:00:00"/>
    <s v="016-2220-000"/>
    <s v="Beer Sales"/>
    <n v="123.58500000000001"/>
    <n v="0"/>
    <s v="Daily Sales Import"/>
    <n v="-123.58500000000001"/>
    <n v="123.58500000000001"/>
    <x v="0"/>
    <s v="2220"/>
    <s v="000"/>
    <x v="5"/>
    <x v="1"/>
  </r>
  <r>
    <d v="2012-03-07T00:00:00"/>
    <s v="016-2230-000"/>
    <s v="Wine Sales"/>
    <n v="48.015499999999996"/>
    <n v="0"/>
    <s v="Daily Sales Import"/>
    <n v="-48.015499999999996"/>
    <n v="48.015499999999996"/>
    <x v="0"/>
    <s v="2230"/>
    <s v="000"/>
    <x v="5"/>
    <x v="1"/>
  </r>
  <r>
    <d v="2012-03-08T00:00:00"/>
    <s v="016-2100-000"/>
    <s v="Food Sales"/>
    <n v="4026.165"/>
    <n v="0"/>
    <s v="Daily Sales Import"/>
    <n v="-4026.165"/>
    <n v="4026.165"/>
    <x v="0"/>
    <s v="2100"/>
    <s v="000"/>
    <x v="5"/>
    <x v="1"/>
  </r>
  <r>
    <d v="2012-03-08T00:00:00"/>
    <s v="016-2210-000"/>
    <s v="Liquor Sales"/>
    <n v="636.83999999999992"/>
    <n v="0"/>
    <s v="Daily Sales Import"/>
    <n v="-636.83999999999992"/>
    <n v="636.83999999999992"/>
    <x v="0"/>
    <s v="2210"/>
    <s v="000"/>
    <x v="5"/>
    <x v="1"/>
  </r>
  <r>
    <d v="2012-03-08T00:00:00"/>
    <s v="016-2220-000"/>
    <s v="Beer Sales"/>
    <n v="278.58600000000001"/>
    <n v="0"/>
    <s v="Daily Sales Import"/>
    <n v="-278.58600000000001"/>
    <n v="278.58600000000001"/>
    <x v="0"/>
    <s v="2220"/>
    <s v="000"/>
    <x v="5"/>
    <x v="1"/>
  </r>
  <r>
    <d v="2012-03-08T00:00:00"/>
    <s v="016-2230-000"/>
    <s v="Wine Sales"/>
    <n v="68.846000000000004"/>
    <n v="0"/>
    <s v="Daily Sales Import"/>
    <n v="-68.846000000000004"/>
    <n v="68.846000000000004"/>
    <x v="0"/>
    <s v="2230"/>
    <s v="000"/>
    <x v="5"/>
    <x v="1"/>
  </r>
  <r>
    <d v="2012-03-09T00:00:00"/>
    <s v="016-2100-000"/>
    <s v="Food Sales"/>
    <n v="6141.4710000000005"/>
    <n v="0"/>
    <s v="Daily Sales Import"/>
    <n v="-6141.4710000000005"/>
    <n v="6141.4710000000005"/>
    <x v="0"/>
    <s v="2100"/>
    <s v="000"/>
    <x v="5"/>
    <x v="1"/>
  </r>
  <r>
    <d v="2012-03-09T00:00:00"/>
    <s v="016-2210-000"/>
    <s v="Liquor Sales"/>
    <n v="2352.63"/>
    <n v="0"/>
    <s v="Daily Sales Import"/>
    <n v="-2352.63"/>
    <n v="2352.63"/>
    <x v="0"/>
    <s v="2210"/>
    <s v="000"/>
    <x v="5"/>
    <x v="1"/>
  </r>
  <r>
    <d v="2012-03-09T00:00:00"/>
    <s v="016-2220-000"/>
    <s v="Beer Sales"/>
    <n v="471.04199999999997"/>
    <n v="0"/>
    <s v="Daily Sales Import"/>
    <n v="-471.04199999999997"/>
    <n v="471.04199999999997"/>
    <x v="0"/>
    <s v="2220"/>
    <s v="000"/>
    <x v="5"/>
    <x v="1"/>
  </r>
  <r>
    <d v="2012-03-09T00:00:00"/>
    <s v="016-2230-000"/>
    <s v="Wine Sales"/>
    <n v="286.88850000000002"/>
    <n v="0"/>
    <s v="Daily Sales Import"/>
    <n v="-286.88850000000002"/>
    <n v="286.88850000000002"/>
    <x v="0"/>
    <s v="2230"/>
    <s v="000"/>
    <x v="5"/>
    <x v="1"/>
  </r>
  <r>
    <d v="2012-03-10T00:00:00"/>
    <s v="016-2100-000"/>
    <s v="Food Sales"/>
    <n v="10466.092000000001"/>
    <n v="0"/>
    <s v="Daily Sales Import"/>
    <n v="-10466.092000000001"/>
    <n v="10466.092000000001"/>
    <x v="0"/>
    <s v="2100"/>
    <s v="000"/>
    <x v="5"/>
    <x v="1"/>
  </r>
  <r>
    <d v="2012-03-10T00:00:00"/>
    <s v="016-2210-000"/>
    <s v="Liquor Sales"/>
    <n v="2832.9839999999999"/>
    <n v="0"/>
    <s v="Daily Sales Import"/>
    <n v="-2832.9839999999999"/>
    <n v="2832.9839999999999"/>
    <x v="0"/>
    <s v="2210"/>
    <s v="000"/>
    <x v="5"/>
    <x v="1"/>
  </r>
  <r>
    <d v="2012-03-10T00:00:00"/>
    <s v="016-2220-000"/>
    <s v="Beer Sales"/>
    <n v="548.53200000000004"/>
    <n v="0"/>
    <s v="Daily Sales Import"/>
    <n v="-548.53200000000004"/>
    <n v="548.53200000000004"/>
    <x v="0"/>
    <s v="2220"/>
    <s v="000"/>
    <x v="5"/>
    <x v="1"/>
  </r>
  <r>
    <d v="2012-03-10T00:00:00"/>
    <s v="016-2230-000"/>
    <s v="Wine Sales"/>
    <n v="295.53599999999994"/>
    <n v="0"/>
    <s v="Daily Sales Import"/>
    <n v="-295.53599999999994"/>
    <n v="295.53599999999994"/>
    <x v="0"/>
    <s v="2230"/>
    <s v="000"/>
    <x v="5"/>
    <x v="1"/>
  </r>
  <r>
    <d v="2012-03-11T00:00:00"/>
    <s v="016-2100-000"/>
    <s v="Food Sales"/>
    <n v="6076.9049999999997"/>
    <n v="0"/>
    <s v="Daily Sales Import"/>
    <n v="-6076.9049999999997"/>
    <n v="6076.9049999999997"/>
    <x v="0"/>
    <s v="2100"/>
    <s v="000"/>
    <x v="5"/>
    <x v="1"/>
  </r>
  <r>
    <d v="2012-03-11T00:00:00"/>
    <s v="016-2210-000"/>
    <s v="Liquor Sales"/>
    <n v="1444.4325000000001"/>
    <n v="0"/>
    <s v="Daily Sales Import"/>
    <n v="-1444.4325000000001"/>
    <n v="1444.4325000000001"/>
    <x v="0"/>
    <s v="2210"/>
    <s v="000"/>
    <x v="5"/>
    <x v="1"/>
  </r>
  <r>
    <d v="2012-03-11T00:00:00"/>
    <s v="016-2220-000"/>
    <s v="Beer Sales"/>
    <n v="152.685"/>
    <n v="0"/>
    <s v="Daily Sales Import"/>
    <n v="-152.685"/>
    <n v="152.685"/>
    <x v="0"/>
    <s v="2220"/>
    <s v="000"/>
    <x v="5"/>
    <x v="1"/>
  </r>
  <r>
    <d v="2012-03-11T00:00:00"/>
    <s v="016-2230-000"/>
    <s v="Wine Sales"/>
    <n v="139.63249999999999"/>
    <n v="0"/>
    <s v="Daily Sales Import"/>
    <n v="-139.63249999999999"/>
    <n v="139.63249999999999"/>
    <x v="0"/>
    <s v="2230"/>
    <s v="000"/>
    <x v="5"/>
    <x v="1"/>
  </r>
  <r>
    <d v="2012-03-05T00:00:00"/>
    <s v="017-2100-000"/>
    <s v="Food Sales"/>
    <n v="3321.5349999999999"/>
    <n v="0"/>
    <s v="Daily Sales Import"/>
    <n v="-3321.5349999999999"/>
    <n v="3321.5349999999999"/>
    <x v="1"/>
    <s v="2100"/>
    <s v="000"/>
    <x v="5"/>
    <x v="1"/>
  </r>
  <r>
    <d v="2012-03-05T00:00:00"/>
    <s v="017-2210-000"/>
    <s v="Liquor Sales"/>
    <n v="494.53600000000006"/>
    <n v="0"/>
    <s v="Daily Sales Import"/>
    <n v="-494.53600000000006"/>
    <n v="494.53600000000006"/>
    <x v="1"/>
    <s v="2210"/>
    <s v="000"/>
    <x v="5"/>
    <x v="1"/>
  </r>
  <r>
    <d v="2012-03-05T00:00:00"/>
    <s v="017-2220-000"/>
    <s v="Beer Sales"/>
    <n v="165.70250000000001"/>
    <n v="0"/>
    <s v="Daily Sales Import"/>
    <n v="-165.70250000000001"/>
    <n v="165.70250000000001"/>
    <x v="1"/>
    <s v="2220"/>
    <s v="000"/>
    <x v="5"/>
    <x v="1"/>
  </r>
  <r>
    <d v="2012-03-05T00:00:00"/>
    <s v="017-2230-000"/>
    <s v="Wine Sales"/>
    <n v="57.494000000000007"/>
    <n v="0"/>
    <s v="Daily Sales Import"/>
    <n v="-57.494000000000007"/>
    <n v="57.494000000000007"/>
    <x v="1"/>
    <s v="2230"/>
    <s v="000"/>
    <x v="5"/>
    <x v="1"/>
  </r>
  <r>
    <d v="2012-03-06T00:00:00"/>
    <s v="017-2100-000"/>
    <s v="Food Sales"/>
    <n v="5956.1628000000001"/>
    <n v="0"/>
    <s v="Daily Sales Import"/>
    <n v="-5956.1628000000001"/>
    <n v="5956.1628000000001"/>
    <x v="1"/>
    <s v="2100"/>
    <s v="000"/>
    <x v="5"/>
    <x v="1"/>
  </r>
  <r>
    <d v="2012-03-06T00:00:00"/>
    <s v="017-2210-000"/>
    <s v="Liquor Sales"/>
    <n v="1272.7459999999999"/>
    <n v="0"/>
    <s v="Daily Sales Import"/>
    <n v="-1272.7459999999999"/>
    <n v="1272.7459999999999"/>
    <x v="1"/>
    <s v="2210"/>
    <s v="000"/>
    <x v="5"/>
    <x v="1"/>
  </r>
  <r>
    <d v="2012-03-06T00:00:00"/>
    <s v="017-2220-000"/>
    <s v="Beer Sales"/>
    <n v="266.25"/>
    <n v="0"/>
    <s v="Daily Sales Import"/>
    <n v="-266.25"/>
    <n v="266.25"/>
    <x v="1"/>
    <s v="2220"/>
    <s v="000"/>
    <x v="5"/>
    <x v="1"/>
  </r>
  <r>
    <d v="2012-03-06T00:00:00"/>
    <s v="017-2230-000"/>
    <s v="Wine Sales"/>
    <n v="81.10199999999999"/>
    <n v="0"/>
    <s v="Daily Sales Import"/>
    <n v="-81.10199999999999"/>
    <n v="81.10199999999999"/>
    <x v="1"/>
    <s v="2230"/>
    <s v="000"/>
    <x v="5"/>
    <x v="1"/>
  </r>
  <r>
    <d v="2012-03-07T00:00:00"/>
    <s v="017-2100-000"/>
    <s v="Food Sales"/>
    <n v="4579.63"/>
    <n v="0"/>
    <s v="Daily Sales Import"/>
    <n v="-4579.63"/>
    <n v="4579.63"/>
    <x v="1"/>
    <s v="2100"/>
    <s v="000"/>
    <x v="5"/>
    <x v="1"/>
  </r>
  <r>
    <d v="2012-03-07T00:00:00"/>
    <s v="017-2210-000"/>
    <s v="Liquor Sales"/>
    <n v="1026.4865"/>
    <n v="0"/>
    <s v="Daily Sales Import"/>
    <n v="-1026.4865"/>
    <n v="1026.4865"/>
    <x v="1"/>
    <s v="2210"/>
    <s v="000"/>
    <x v="5"/>
    <x v="1"/>
  </r>
  <r>
    <d v="2012-03-07T00:00:00"/>
    <s v="017-2220-000"/>
    <s v="Beer Sales"/>
    <n v="225.63"/>
    <n v="0"/>
    <s v="Daily Sales Import"/>
    <n v="-225.63"/>
    <n v="225.63"/>
    <x v="1"/>
    <s v="2220"/>
    <s v="000"/>
    <x v="5"/>
    <x v="1"/>
  </r>
  <r>
    <d v="2012-03-07T00:00:00"/>
    <s v="017-2230-000"/>
    <s v="Wine Sales"/>
    <n v="84.26"/>
    <n v="0"/>
    <s v="Daily Sales Import"/>
    <n v="-84.26"/>
    <n v="84.26"/>
    <x v="1"/>
    <s v="2230"/>
    <s v="000"/>
    <x v="5"/>
    <x v="1"/>
  </r>
  <r>
    <d v="2012-03-08T00:00:00"/>
    <s v="017-2100-000"/>
    <s v="Food Sales"/>
    <n v="7467.5103999999992"/>
    <n v="0"/>
    <s v="Daily Sales Import"/>
    <n v="-7467.5103999999992"/>
    <n v="7467.5103999999992"/>
    <x v="1"/>
    <s v="2100"/>
    <s v="000"/>
    <x v="5"/>
    <x v="1"/>
  </r>
  <r>
    <d v="2012-03-08T00:00:00"/>
    <s v="017-2210-000"/>
    <s v="Liquor Sales"/>
    <n v="2400.4639999999999"/>
    <n v="0"/>
    <s v="Daily Sales Import"/>
    <n v="-2400.4639999999999"/>
    <n v="2400.4639999999999"/>
    <x v="1"/>
    <s v="2210"/>
    <s v="000"/>
    <x v="5"/>
    <x v="1"/>
  </r>
  <r>
    <d v="2012-03-08T00:00:00"/>
    <s v="017-2220-000"/>
    <s v="Beer Sales"/>
    <n v="459.11250000000001"/>
    <n v="0"/>
    <s v="Daily Sales Import"/>
    <n v="-459.11250000000001"/>
    <n v="459.11250000000001"/>
    <x v="1"/>
    <s v="2220"/>
    <s v="000"/>
    <x v="5"/>
    <x v="1"/>
  </r>
  <r>
    <d v="2012-03-08T00:00:00"/>
    <s v="017-2230-000"/>
    <s v="Wine Sales"/>
    <n v="80.632500000000007"/>
    <n v="0"/>
    <s v="Daily Sales Import"/>
    <n v="-80.632500000000007"/>
    <n v="80.632500000000007"/>
    <x v="1"/>
    <s v="2230"/>
    <s v="000"/>
    <x v="5"/>
    <x v="1"/>
  </r>
  <r>
    <d v="2012-03-09T00:00:00"/>
    <s v="017-2100-000"/>
    <s v="Food Sales"/>
    <n v="5504.9876999999997"/>
    <n v="0"/>
    <s v="Daily Sales Import"/>
    <n v="-5504.9876999999997"/>
    <n v="5504.9876999999997"/>
    <x v="1"/>
    <s v="2100"/>
    <s v="000"/>
    <x v="5"/>
    <x v="1"/>
  </r>
  <r>
    <d v="2012-03-09T00:00:00"/>
    <s v="017-2210-000"/>
    <s v="Liquor Sales"/>
    <n v="2022.24"/>
    <n v="0"/>
    <s v="Daily Sales Import"/>
    <n v="-2022.24"/>
    <n v="2022.24"/>
    <x v="1"/>
    <s v="2210"/>
    <s v="000"/>
    <x v="5"/>
    <x v="1"/>
  </r>
  <r>
    <d v="2012-03-09T00:00:00"/>
    <s v="017-2220-000"/>
    <s v="Beer Sales"/>
    <n v="361.38749999999999"/>
    <n v="0"/>
    <s v="Daily Sales Import"/>
    <n v="-361.38749999999999"/>
    <n v="361.38749999999999"/>
    <x v="1"/>
    <s v="2220"/>
    <s v="000"/>
    <x v="5"/>
    <x v="1"/>
  </r>
  <r>
    <d v="2012-03-09T00:00:00"/>
    <s v="017-2230-000"/>
    <s v="Wine Sales"/>
    <n v="59.840999999999994"/>
    <n v="0"/>
    <s v="Daily Sales Import"/>
    <n v="-59.840999999999994"/>
    <n v="59.840999999999994"/>
    <x v="1"/>
    <s v="2230"/>
    <s v="000"/>
    <x v="5"/>
    <x v="1"/>
  </r>
  <r>
    <d v="2012-03-10T00:00:00"/>
    <s v="017-2100-000"/>
    <s v="Food Sales"/>
    <n v="7134.8874999999998"/>
    <n v="0"/>
    <s v="Daily Sales Import"/>
    <n v="-7134.8874999999998"/>
    <n v="7134.8874999999998"/>
    <x v="1"/>
    <s v="2100"/>
    <s v="000"/>
    <x v="5"/>
    <x v="1"/>
  </r>
  <r>
    <d v="2012-03-10T00:00:00"/>
    <s v="017-2210-000"/>
    <s v="Liquor Sales"/>
    <n v="2474.306"/>
    <n v="0"/>
    <s v="Daily Sales Import"/>
    <n v="-2474.306"/>
    <n v="2474.306"/>
    <x v="1"/>
    <s v="2210"/>
    <s v="000"/>
    <x v="5"/>
    <x v="1"/>
  </r>
  <r>
    <d v="2012-03-10T00:00:00"/>
    <s v="017-2220-000"/>
    <s v="Beer Sales"/>
    <n v="410.85"/>
    <n v="0"/>
    <s v="Daily Sales Import"/>
    <n v="-410.85"/>
    <n v="410.85"/>
    <x v="1"/>
    <s v="2220"/>
    <s v="000"/>
    <x v="5"/>
    <x v="1"/>
  </r>
  <r>
    <d v="2012-03-10T00:00:00"/>
    <s v="017-2230-000"/>
    <s v="Wine Sales"/>
    <n v="90.649999999999991"/>
    <n v="0"/>
    <s v="Daily Sales Import"/>
    <n v="-90.649999999999991"/>
    <n v="90.649999999999991"/>
    <x v="1"/>
    <s v="2230"/>
    <s v="000"/>
    <x v="5"/>
    <x v="1"/>
  </r>
  <r>
    <d v="2012-03-11T00:00:00"/>
    <s v="017-2100-000"/>
    <s v="Food Sales"/>
    <n v="6178.0136000000002"/>
    <n v="0"/>
    <s v="Daily Sales Import"/>
    <n v="-6178.0136000000002"/>
    <n v="6178.0136000000002"/>
    <x v="1"/>
    <s v="2100"/>
    <s v="000"/>
    <x v="5"/>
    <x v="1"/>
  </r>
  <r>
    <d v="2012-03-11T00:00:00"/>
    <s v="017-2210-000"/>
    <s v="Liquor Sales"/>
    <n v="870.24000000000012"/>
    <n v="0"/>
    <s v="Daily Sales Import"/>
    <n v="-870.24000000000012"/>
    <n v="870.24000000000012"/>
    <x v="1"/>
    <s v="2210"/>
    <s v="000"/>
    <x v="5"/>
    <x v="1"/>
  </r>
  <r>
    <d v="2012-03-11T00:00:00"/>
    <s v="017-2220-000"/>
    <s v="Beer Sales"/>
    <n v="197.56"/>
    <n v="0"/>
    <s v="Daily Sales Import"/>
    <n v="-197.56"/>
    <n v="197.56"/>
    <x v="1"/>
    <s v="2220"/>
    <s v="000"/>
    <x v="5"/>
    <x v="1"/>
  </r>
  <r>
    <d v="2012-03-11T00:00:00"/>
    <s v="017-2230-000"/>
    <s v="Wine Sales"/>
    <n v="59.84"/>
    <n v="0"/>
    <s v="Daily Sales Import"/>
    <n v="-59.84"/>
    <n v="59.84"/>
    <x v="1"/>
    <s v="2230"/>
    <s v="000"/>
    <x v="5"/>
    <x v="1"/>
  </r>
  <r>
    <d v="2012-03-05T00:00:00"/>
    <s v="018-2100-000"/>
    <s v="Food Sales"/>
    <n v="1698.0425"/>
    <n v="0"/>
    <s v="Daily Sales Import"/>
    <n v="-1698.0425"/>
    <n v="1698.0425"/>
    <x v="2"/>
    <s v="2100"/>
    <s v="000"/>
    <x v="5"/>
    <x v="1"/>
  </r>
  <r>
    <d v="2012-03-05T00:00:00"/>
    <s v="018-2210-000"/>
    <s v="Liquor Sales"/>
    <n v="213.63600000000002"/>
    <n v="0"/>
    <s v="Daily Sales Import"/>
    <n v="-213.63600000000002"/>
    <n v="213.63600000000002"/>
    <x v="2"/>
    <s v="2210"/>
    <s v="000"/>
    <x v="5"/>
    <x v="1"/>
  </r>
  <r>
    <d v="2012-03-05T00:00:00"/>
    <s v="018-2220-000"/>
    <s v="Beer Sales"/>
    <n v="53.889499999999998"/>
    <n v="0"/>
    <s v="Daily Sales Import"/>
    <n v="-53.889499999999998"/>
    <n v="53.889499999999998"/>
    <x v="2"/>
    <s v="2220"/>
    <s v="000"/>
    <x v="5"/>
    <x v="1"/>
  </r>
  <r>
    <d v="2012-03-05T00:00:00"/>
    <s v="018-2230-000"/>
    <s v="Wine Sales"/>
    <n v="5.6980000000000004"/>
    <n v="0"/>
    <s v="Daily Sales Import"/>
    <n v="-5.6980000000000004"/>
    <n v="5.6980000000000004"/>
    <x v="2"/>
    <s v="2230"/>
    <s v="000"/>
    <x v="5"/>
    <x v="1"/>
  </r>
  <r>
    <d v="2012-03-06T00:00:00"/>
    <s v="018-2100-000"/>
    <s v="Food Sales"/>
    <n v="4773.7079999999996"/>
    <n v="0"/>
    <s v="Daily Sales Import"/>
    <n v="-4773.7079999999996"/>
    <n v="4773.7079999999996"/>
    <x v="2"/>
    <s v="2100"/>
    <s v="000"/>
    <x v="5"/>
    <x v="1"/>
  </r>
  <r>
    <d v="2012-03-06T00:00:00"/>
    <s v="018-2210-000"/>
    <s v="Liquor Sales"/>
    <n v="616.93799999999999"/>
    <n v="0"/>
    <s v="Daily Sales Import"/>
    <n v="-616.93799999999999"/>
    <n v="616.93799999999999"/>
    <x v="2"/>
    <s v="2210"/>
    <s v="000"/>
    <x v="5"/>
    <x v="1"/>
  </r>
  <r>
    <d v="2012-03-06T00:00:00"/>
    <s v="018-2220-000"/>
    <s v="Beer Sales"/>
    <n v="157.815"/>
    <n v="0"/>
    <s v="Daily Sales Import"/>
    <n v="-157.815"/>
    <n v="157.815"/>
    <x v="2"/>
    <s v="2220"/>
    <s v="000"/>
    <x v="5"/>
    <x v="1"/>
  </r>
  <r>
    <d v="2012-03-06T00:00:00"/>
    <s v="018-2230-000"/>
    <s v="Wine Sales"/>
    <n v="133.755"/>
    <n v="0"/>
    <s v="Daily Sales Import"/>
    <n v="-133.755"/>
    <n v="133.755"/>
    <x v="2"/>
    <s v="2230"/>
    <s v="000"/>
    <x v="5"/>
    <x v="1"/>
  </r>
  <r>
    <d v="2012-03-07T00:00:00"/>
    <s v="018-2100-000"/>
    <s v="Food Sales"/>
    <n v="3620.7059999999997"/>
    <n v="0"/>
    <s v="Daily Sales Import"/>
    <n v="-3620.7059999999997"/>
    <n v="3620.7059999999997"/>
    <x v="2"/>
    <s v="2100"/>
    <s v="000"/>
    <x v="5"/>
    <x v="1"/>
  </r>
  <r>
    <d v="2012-03-07T00:00:00"/>
    <s v="018-2210-000"/>
    <s v="Liquor Sales"/>
    <n v="570.70200000000011"/>
    <n v="0"/>
    <s v="Daily Sales Import"/>
    <n v="-570.70200000000011"/>
    <n v="570.70200000000011"/>
    <x v="2"/>
    <s v="2210"/>
    <s v="000"/>
    <x v="5"/>
    <x v="1"/>
  </r>
  <r>
    <d v="2012-03-07T00:00:00"/>
    <s v="018-2220-000"/>
    <s v="Beer Sales"/>
    <n v="98.423999999999992"/>
    <n v="0"/>
    <s v="Daily Sales Import"/>
    <n v="-98.423999999999992"/>
    <n v="98.423999999999992"/>
    <x v="2"/>
    <s v="2220"/>
    <s v="000"/>
    <x v="5"/>
    <x v="1"/>
  </r>
  <r>
    <d v="2012-03-07T00:00:00"/>
    <s v="018-2230-000"/>
    <s v="Wine Sales"/>
    <n v="77"/>
    <n v="0"/>
    <s v="Daily Sales Import"/>
    <n v="-77"/>
    <n v="77"/>
    <x v="2"/>
    <s v="2230"/>
    <s v="000"/>
    <x v="5"/>
    <x v="1"/>
  </r>
  <r>
    <d v="2012-03-08T00:00:00"/>
    <s v="018-2100-000"/>
    <s v="Food Sales"/>
    <n v="5898.6608999999999"/>
    <n v="0"/>
    <s v="Daily Sales Import"/>
    <n v="-5898.6608999999999"/>
    <n v="5898.6608999999999"/>
    <x v="2"/>
    <s v="2100"/>
    <s v="000"/>
    <x v="5"/>
    <x v="1"/>
  </r>
  <r>
    <d v="2012-03-08T00:00:00"/>
    <s v="018-2210-000"/>
    <s v="Liquor Sales"/>
    <n v="846.09"/>
    <n v="0"/>
    <s v="Daily Sales Import"/>
    <n v="-846.09"/>
    <n v="846.09"/>
    <x v="2"/>
    <s v="2210"/>
    <s v="000"/>
    <x v="5"/>
    <x v="1"/>
  </r>
  <r>
    <d v="2012-03-08T00:00:00"/>
    <s v="018-2220-000"/>
    <s v="Beer Sales"/>
    <n v="235.52250000000001"/>
    <n v="0"/>
    <s v="Daily Sales Import"/>
    <n v="-235.52250000000001"/>
    <n v="235.52250000000001"/>
    <x v="2"/>
    <s v="2220"/>
    <s v="000"/>
    <x v="5"/>
    <x v="1"/>
  </r>
  <r>
    <d v="2012-03-08T00:00:00"/>
    <s v="018-2230-000"/>
    <s v="Wine Sales"/>
    <n v="60.509999999999991"/>
    <n v="0"/>
    <s v="Daily Sales Import"/>
    <n v="-60.509999999999991"/>
    <n v="60.509999999999991"/>
    <x v="2"/>
    <s v="2230"/>
    <s v="000"/>
    <x v="5"/>
    <x v="1"/>
  </r>
  <r>
    <d v="2012-03-09T00:00:00"/>
    <s v="018-2100-000"/>
    <s v="Food Sales"/>
    <n v="7956.3705"/>
    <n v="0"/>
    <s v="Daily Sales Import"/>
    <n v="-7956.3705"/>
    <n v="7956.3705"/>
    <x v="2"/>
    <s v="2100"/>
    <s v="000"/>
    <x v="5"/>
    <x v="1"/>
  </r>
  <r>
    <d v="2012-03-09T00:00:00"/>
    <s v="018-2210-000"/>
    <s v="Liquor Sales"/>
    <n v="3228.9075000000003"/>
    <n v="0"/>
    <s v="Daily Sales Import"/>
    <n v="-3228.9075000000003"/>
    <n v="3228.9075000000003"/>
    <x v="2"/>
    <s v="2210"/>
    <s v="000"/>
    <x v="5"/>
    <x v="1"/>
  </r>
  <r>
    <d v="2012-03-09T00:00:00"/>
    <s v="018-2220-000"/>
    <s v="Beer Sales"/>
    <n v="669.39600000000007"/>
    <n v="0"/>
    <s v="Daily Sales Import"/>
    <n v="-669.39600000000007"/>
    <n v="669.39600000000007"/>
    <x v="2"/>
    <s v="2220"/>
    <s v="000"/>
    <x v="5"/>
    <x v="1"/>
  </r>
  <r>
    <d v="2012-03-09T00:00:00"/>
    <s v="018-2230-000"/>
    <s v="Wine Sales"/>
    <n v="158.73000000000002"/>
    <n v="0"/>
    <s v="Daily Sales Import"/>
    <n v="-158.73000000000002"/>
    <n v="158.73000000000002"/>
    <x v="2"/>
    <s v="2230"/>
    <s v="000"/>
    <x v="5"/>
    <x v="1"/>
  </r>
  <r>
    <d v="2012-03-10T00:00:00"/>
    <s v="018-2100-000"/>
    <s v="Food Sales"/>
    <n v="15395.248"/>
    <n v="0"/>
    <s v="Daily Sales Import"/>
    <n v="-15395.248"/>
    <n v="15395.248"/>
    <x v="2"/>
    <s v="2100"/>
    <s v="000"/>
    <x v="5"/>
    <x v="1"/>
  </r>
  <r>
    <d v="2012-03-10T00:00:00"/>
    <s v="018-2210-000"/>
    <s v="Liquor Sales"/>
    <n v="4536.2974999999997"/>
    <n v="0"/>
    <s v="Daily Sales Import"/>
    <n v="-4536.2974999999997"/>
    <n v="4536.2974999999997"/>
    <x v="2"/>
    <s v="2210"/>
    <s v="000"/>
    <x v="5"/>
    <x v="1"/>
  </r>
  <r>
    <d v="2012-03-10T00:00:00"/>
    <s v="018-2220-000"/>
    <s v="Beer Sales"/>
    <n v="606.41100000000006"/>
    <n v="0"/>
    <s v="Daily Sales Import"/>
    <n v="-606.41100000000006"/>
    <n v="606.41100000000006"/>
    <x v="2"/>
    <s v="2220"/>
    <s v="000"/>
    <x v="5"/>
    <x v="1"/>
  </r>
  <r>
    <d v="2012-03-10T00:00:00"/>
    <s v="018-2230-000"/>
    <s v="Wine Sales"/>
    <n v="205.85499999999999"/>
    <n v="0"/>
    <s v="Daily Sales Import"/>
    <n v="-205.85499999999999"/>
    <n v="205.85499999999999"/>
    <x v="2"/>
    <s v="2230"/>
    <s v="000"/>
    <x v="5"/>
    <x v="1"/>
  </r>
  <r>
    <d v="2012-03-11T00:00:00"/>
    <s v="018-2100-000"/>
    <s v="Food Sales"/>
    <n v="11666.34"/>
    <n v="0"/>
    <s v="Daily Sales Import"/>
    <n v="-11666.34"/>
    <n v="11666.34"/>
    <x v="2"/>
    <s v="2100"/>
    <s v="000"/>
    <x v="5"/>
    <x v="1"/>
  </r>
  <r>
    <d v="2012-03-11T00:00:00"/>
    <s v="018-2210-000"/>
    <s v="Liquor Sales"/>
    <n v="1151.9360000000001"/>
    <n v="0"/>
    <s v="Daily Sales Import"/>
    <n v="-1151.9360000000001"/>
    <n v="1151.9360000000001"/>
    <x v="2"/>
    <s v="2210"/>
    <s v="000"/>
    <x v="5"/>
    <x v="1"/>
  </r>
  <r>
    <d v="2012-03-11T00:00:00"/>
    <s v="018-2220-000"/>
    <s v="Beer Sales"/>
    <n v="275.32349999999997"/>
    <n v="0"/>
    <s v="Daily Sales Import"/>
    <n v="-275.32349999999997"/>
    <n v="275.32349999999997"/>
    <x v="2"/>
    <s v="2220"/>
    <s v="000"/>
    <x v="5"/>
    <x v="1"/>
  </r>
  <r>
    <d v="2012-03-11T00:00:00"/>
    <s v="018-2230-000"/>
    <s v="Wine Sales"/>
    <n v="63.878"/>
    <n v="0"/>
    <s v="Daily Sales Import"/>
    <n v="-63.878"/>
    <n v="63.878"/>
    <x v="2"/>
    <s v="2230"/>
    <s v="000"/>
    <x v="5"/>
    <x v="1"/>
  </r>
  <r>
    <d v="2012-03-12T00:00:00"/>
    <s v="016-2100-000"/>
    <s v="Food Sales"/>
    <n v="3891.1120000000005"/>
    <n v="0"/>
    <s v="Daily Sales Import"/>
    <n v="-3891.1120000000005"/>
    <n v="3891.1120000000005"/>
    <x v="0"/>
    <s v="2100"/>
    <s v="000"/>
    <x v="5"/>
    <x v="1"/>
  </r>
  <r>
    <d v="2012-03-12T00:00:00"/>
    <s v="016-2210-000"/>
    <s v="Liquor Sales"/>
    <n v="810.72"/>
    <n v="0"/>
    <s v="Daily Sales Import"/>
    <n v="-810.72"/>
    <n v="810.72"/>
    <x v="0"/>
    <s v="2210"/>
    <s v="000"/>
    <x v="5"/>
    <x v="1"/>
  </r>
  <r>
    <d v="2012-03-12T00:00:00"/>
    <s v="016-2220-000"/>
    <s v="Beer Sales"/>
    <n v="137.25"/>
    <n v="0"/>
    <s v="Daily Sales Import"/>
    <n v="-137.25"/>
    <n v="137.25"/>
    <x v="0"/>
    <s v="2220"/>
    <s v="000"/>
    <x v="5"/>
    <x v="1"/>
  </r>
  <r>
    <d v="2012-03-12T00:00:00"/>
    <s v="016-2230-000"/>
    <s v="Wine Sales"/>
    <n v="110.99550000000001"/>
    <n v="0"/>
    <s v="Daily Sales Import"/>
    <n v="-110.99550000000001"/>
    <n v="110.99550000000001"/>
    <x v="0"/>
    <s v="2230"/>
    <s v="000"/>
    <x v="5"/>
    <x v="1"/>
  </r>
  <r>
    <d v="2012-03-13T00:00:00"/>
    <s v="016-2100-000"/>
    <s v="Food Sales"/>
    <n v="4527.4230000000007"/>
    <n v="0"/>
    <s v="Daily Sales Import"/>
    <n v="-4527.4230000000007"/>
    <n v="4527.4230000000007"/>
    <x v="0"/>
    <s v="2100"/>
    <s v="000"/>
    <x v="5"/>
    <x v="1"/>
  </r>
  <r>
    <d v="2012-03-13T00:00:00"/>
    <s v="016-2210-000"/>
    <s v="Liquor Sales"/>
    <n v="1082.9225000000001"/>
    <n v="0"/>
    <s v="Daily Sales Import"/>
    <n v="-1082.9225000000001"/>
    <n v="1082.9225000000001"/>
    <x v="0"/>
    <s v="2210"/>
    <s v="000"/>
    <x v="5"/>
    <x v="1"/>
  </r>
  <r>
    <d v="2012-03-13T00:00:00"/>
    <s v="016-2220-000"/>
    <s v="Beer Sales"/>
    <n v="294.93"/>
    <n v="0"/>
    <s v="Daily Sales Import"/>
    <n v="-294.93"/>
    <n v="294.93"/>
    <x v="0"/>
    <s v="2220"/>
    <s v="000"/>
    <x v="5"/>
    <x v="1"/>
  </r>
  <r>
    <d v="2012-03-13T00:00:00"/>
    <s v="016-2230-000"/>
    <s v="Wine Sales"/>
    <n v="168.49349999999998"/>
    <n v="0"/>
    <s v="Daily Sales Import"/>
    <n v="-168.49349999999998"/>
    <n v="168.49349999999998"/>
    <x v="0"/>
    <s v="2230"/>
    <s v="000"/>
    <x v="5"/>
    <x v="1"/>
  </r>
  <r>
    <d v="2012-03-14T00:00:00"/>
    <s v="016-2100-000"/>
    <s v="Food Sales"/>
    <n v="5093.6130000000003"/>
    <n v="0"/>
    <s v="Daily Sales Import"/>
    <n v="-5093.6130000000003"/>
    <n v="5093.6130000000003"/>
    <x v="0"/>
    <s v="2100"/>
    <s v="000"/>
    <x v="5"/>
    <x v="1"/>
  </r>
  <r>
    <d v="2012-03-14T00:00:00"/>
    <s v="016-2210-000"/>
    <s v="Liquor Sales"/>
    <n v="978.06299999999999"/>
    <n v="0"/>
    <s v="Daily Sales Import"/>
    <n v="-978.06299999999999"/>
    <n v="978.06299999999999"/>
    <x v="0"/>
    <s v="2210"/>
    <s v="000"/>
    <x v="5"/>
    <x v="1"/>
  </r>
  <r>
    <d v="2012-03-14T00:00:00"/>
    <s v="016-2220-000"/>
    <s v="Beer Sales"/>
    <n v="361.452"/>
    <n v="0"/>
    <s v="Daily Sales Import"/>
    <n v="-361.452"/>
    <n v="361.452"/>
    <x v="0"/>
    <s v="2220"/>
    <s v="000"/>
    <x v="5"/>
    <x v="1"/>
  </r>
  <r>
    <d v="2012-03-14T00:00:00"/>
    <s v="016-2230-000"/>
    <s v="Wine Sales"/>
    <n v="94.5"/>
    <n v="0"/>
    <s v="Daily Sales Import"/>
    <n v="-94.5"/>
    <n v="94.5"/>
    <x v="0"/>
    <s v="2230"/>
    <s v="000"/>
    <x v="5"/>
    <x v="1"/>
  </r>
  <r>
    <d v="2012-03-15T00:00:00"/>
    <s v="016-2100-000"/>
    <s v="Food Sales"/>
    <n v="4689.6908000000003"/>
    <n v="0"/>
    <s v="Daily Sales Import"/>
    <n v="-4689.6908000000003"/>
    <n v="4689.6908000000003"/>
    <x v="0"/>
    <s v="2100"/>
    <s v="000"/>
    <x v="5"/>
    <x v="1"/>
  </r>
  <r>
    <d v="2012-03-15T00:00:00"/>
    <s v="016-2210-000"/>
    <s v="Liquor Sales"/>
    <n v="1823.4040000000002"/>
    <n v="0"/>
    <s v="Daily Sales Import"/>
    <n v="-1823.4040000000002"/>
    <n v="1823.4040000000002"/>
    <x v="0"/>
    <s v="2210"/>
    <s v="000"/>
    <x v="5"/>
    <x v="1"/>
  </r>
  <r>
    <d v="2012-03-15T00:00:00"/>
    <s v="016-2220-000"/>
    <s v="Beer Sales"/>
    <n v="159.39000000000001"/>
    <n v="0"/>
    <s v="Daily Sales Import"/>
    <n v="-159.39000000000001"/>
    <n v="159.39000000000001"/>
    <x v="0"/>
    <s v="2220"/>
    <s v="000"/>
    <x v="5"/>
    <x v="1"/>
  </r>
  <r>
    <d v="2012-03-15T00:00:00"/>
    <s v="016-2230-000"/>
    <s v="Wine Sales"/>
    <n v="187.30800000000002"/>
    <n v="0"/>
    <s v="Daily Sales Import"/>
    <n v="-187.30800000000002"/>
    <n v="187.30800000000002"/>
    <x v="0"/>
    <s v="2230"/>
    <s v="000"/>
    <x v="5"/>
    <x v="1"/>
  </r>
  <r>
    <d v="2012-03-16T00:00:00"/>
    <s v="016-2100-000"/>
    <s v="Food Sales"/>
    <n v="8914.4331999999995"/>
    <n v="0"/>
    <s v="Daily Sales Import"/>
    <n v="-8914.4331999999995"/>
    <n v="8914.4331999999995"/>
    <x v="0"/>
    <s v="2100"/>
    <s v="000"/>
    <x v="5"/>
    <x v="1"/>
  </r>
  <r>
    <d v="2012-03-16T00:00:00"/>
    <s v="016-2210-000"/>
    <s v="Liquor Sales"/>
    <n v="2399.7760000000003"/>
    <n v="0"/>
    <s v="Daily Sales Import"/>
    <n v="-2399.7760000000003"/>
    <n v="2399.7760000000003"/>
    <x v="0"/>
    <s v="2210"/>
    <s v="000"/>
    <x v="5"/>
    <x v="1"/>
  </r>
  <r>
    <d v="2012-03-16T00:00:00"/>
    <s v="016-2220-000"/>
    <s v="Beer Sales"/>
    <n v="637.5"/>
    <n v="0"/>
    <s v="Daily Sales Import"/>
    <n v="-637.5"/>
    <n v="637.5"/>
    <x v="0"/>
    <s v="2220"/>
    <s v="000"/>
    <x v="5"/>
    <x v="1"/>
  </r>
  <r>
    <d v="2012-03-16T00:00:00"/>
    <s v="016-2230-000"/>
    <s v="Wine Sales"/>
    <n v="375.96249999999998"/>
    <n v="0"/>
    <s v="Daily Sales Import"/>
    <n v="-375.96249999999998"/>
    <n v="375.96249999999998"/>
    <x v="0"/>
    <s v="2230"/>
    <s v="000"/>
    <x v="5"/>
    <x v="1"/>
  </r>
  <r>
    <d v="2012-03-17T00:00:00"/>
    <s v="016-2100-000"/>
    <s v="Food Sales"/>
    <n v="9947.8995000000014"/>
    <n v="0"/>
    <s v="Daily Sales Import"/>
    <n v="-9947.8995000000014"/>
    <n v="9947.8995000000014"/>
    <x v="0"/>
    <s v="2100"/>
    <s v="000"/>
    <x v="5"/>
    <x v="1"/>
  </r>
  <r>
    <d v="2012-03-17T00:00:00"/>
    <s v="016-2210-000"/>
    <s v="Liquor Sales"/>
    <n v="2946.2510000000002"/>
    <n v="0"/>
    <s v="Daily Sales Import"/>
    <n v="-2946.2510000000002"/>
    <n v="2946.2510000000002"/>
    <x v="0"/>
    <s v="2210"/>
    <s v="000"/>
    <x v="5"/>
    <x v="1"/>
  </r>
  <r>
    <d v="2012-03-17T00:00:00"/>
    <s v="016-2220-000"/>
    <s v="Beer Sales"/>
    <n v="812.91600000000005"/>
    <n v="0"/>
    <s v="Daily Sales Import"/>
    <n v="-812.91600000000005"/>
    <n v="812.91600000000005"/>
    <x v="0"/>
    <s v="2220"/>
    <s v="000"/>
    <x v="5"/>
    <x v="1"/>
  </r>
  <r>
    <d v="2012-03-17T00:00:00"/>
    <s v="016-2230-000"/>
    <s v="Wine Sales"/>
    <n v="308.17199999999997"/>
    <n v="0"/>
    <s v="Daily Sales Import"/>
    <n v="-308.17199999999997"/>
    <n v="308.17199999999997"/>
    <x v="0"/>
    <s v="2230"/>
    <s v="000"/>
    <x v="5"/>
    <x v="1"/>
  </r>
  <r>
    <d v="2012-03-18T00:00:00"/>
    <s v="016-2100-000"/>
    <s v="Food Sales"/>
    <n v="6228.6165000000001"/>
    <n v="0"/>
    <s v="Daily Sales Import"/>
    <n v="-6228.6165000000001"/>
    <n v="6228.6165000000001"/>
    <x v="0"/>
    <s v="2100"/>
    <s v="000"/>
    <x v="5"/>
    <x v="1"/>
  </r>
  <r>
    <d v="2012-03-18T00:00:00"/>
    <s v="016-2210-000"/>
    <s v="Liquor Sales"/>
    <n v="935.1875"/>
    <n v="0"/>
    <s v="Daily Sales Import"/>
    <n v="-935.1875"/>
    <n v="935.1875"/>
    <x v="0"/>
    <s v="2210"/>
    <s v="000"/>
    <x v="5"/>
    <x v="1"/>
  </r>
  <r>
    <d v="2012-03-18T00:00:00"/>
    <s v="016-2220-000"/>
    <s v="Beer Sales"/>
    <n v="267.10199999999998"/>
    <n v="0"/>
    <s v="Daily Sales Import"/>
    <n v="-267.10199999999998"/>
    <n v="267.10199999999998"/>
    <x v="0"/>
    <s v="2220"/>
    <s v="000"/>
    <x v="5"/>
    <x v="1"/>
  </r>
  <r>
    <d v="2012-03-18T00:00:00"/>
    <s v="016-2230-000"/>
    <s v="Wine Sales"/>
    <n v="137.76899999999998"/>
    <n v="0"/>
    <s v="Daily Sales Import"/>
    <n v="-137.76899999999998"/>
    <n v="137.76899999999998"/>
    <x v="0"/>
    <s v="2230"/>
    <s v="000"/>
    <x v="5"/>
    <x v="1"/>
  </r>
  <r>
    <d v="2012-03-12T00:00:00"/>
    <s v="017-2100-000"/>
    <s v="Food Sales"/>
    <n v="4188.03"/>
    <n v="0"/>
    <s v="Daily Sales Import"/>
    <n v="-4188.03"/>
    <n v="4188.03"/>
    <x v="1"/>
    <s v="2100"/>
    <s v="000"/>
    <x v="5"/>
    <x v="1"/>
  </r>
  <r>
    <d v="2012-03-12T00:00:00"/>
    <s v="017-2210-000"/>
    <s v="Liquor Sales"/>
    <n v="1029.1325000000002"/>
    <n v="0"/>
    <s v="Daily Sales Import"/>
    <n v="-1029.1325000000002"/>
    <n v="1029.1325000000002"/>
    <x v="1"/>
    <s v="2210"/>
    <s v="000"/>
    <x v="5"/>
    <x v="1"/>
  </r>
  <r>
    <d v="2012-03-12T00:00:00"/>
    <s v="017-2220-000"/>
    <s v="Beer Sales"/>
    <n v="322.82249999999999"/>
    <n v="0"/>
    <s v="Daily Sales Import"/>
    <n v="-322.82249999999999"/>
    <n v="322.82249999999999"/>
    <x v="1"/>
    <s v="2220"/>
    <s v="000"/>
    <x v="5"/>
    <x v="1"/>
  </r>
  <r>
    <d v="2012-03-12T00:00:00"/>
    <s v="017-2230-000"/>
    <s v="Wine Sales"/>
    <n v="98.04"/>
    <n v="0"/>
    <s v="Daily Sales Import"/>
    <n v="-98.04"/>
    <n v="98.04"/>
    <x v="1"/>
    <s v="2230"/>
    <s v="000"/>
    <x v="5"/>
    <x v="1"/>
  </r>
  <r>
    <d v="2012-03-13T00:00:00"/>
    <s v="017-2100-000"/>
    <s v="Food Sales"/>
    <n v="3772.6041999999998"/>
    <n v="0"/>
    <s v="Daily Sales Import"/>
    <n v="-3772.6041999999998"/>
    <n v="3772.6041999999998"/>
    <x v="1"/>
    <s v="2100"/>
    <s v="000"/>
    <x v="5"/>
    <x v="1"/>
  </r>
  <r>
    <d v="2012-03-13T00:00:00"/>
    <s v="017-2210-000"/>
    <s v="Liquor Sales"/>
    <n v="1351.0240000000001"/>
    <n v="0"/>
    <s v="Daily Sales Import"/>
    <n v="-1351.0240000000001"/>
    <n v="1351.0240000000001"/>
    <x v="1"/>
    <s v="2210"/>
    <s v="000"/>
    <x v="5"/>
    <x v="1"/>
  </r>
  <r>
    <d v="2012-03-13T00:00:00"/>
    <s v="017-2220-000"/>
    <s v="Beer Sales"/>
    <n v="283.64999999999998"/>
    <n v="0"/>
    <s v="Daily Sales Import"/>
    <n v="-283.64999999999998"/>
    <n v="283.64999999999998"/>
    <x v="1"/>
    <s v="2220"/>
    <s v="000"/>
    <x v="5"/>
    <x v="1"/>
  </r>
  <r>
    <d v="2012-03-13T00:00:00"/>
    <s v="017-2230-000"/>
    <s v="Wine Sales"/>
    <n v="43.877000000000002"/>
    <n v="0"/>
    <s v="Daily Sales Import"/>
    <n v="-43.877000000000002"/>
    <n v="43.877000000000002"/>
    <x v="1"/>
    <s v="2230"/>
    <s v="000"/>
    <x v="5"/>
    <x v="1"/>
  </r>
  <r>
    <d v="2012-03-14T00:00:00"/>
    <s v="017-2100-000"/>
    <s v="Food Sales"/>
    <n v="5206.8554999999997"/>
    <n v="0"/>
    <s v="Daily Sales Import"/>
    <n v="-5206.8554999999997"/>
    <n v="5206.8554999999997"/>
    <x v="1"/>
    <s v="2100"/>
    <s v="000"/>
    <x v="5"/>
    <x v="1"/>
  </r>
  <r>
    <d v="2012-03-14T00:00:00"/>
    <s v="017-2210-000"/>
    <s v="Liquor Sales"/>
    <n v="1316.4460000000001"/>
    <n v="0"/>
    <s v="Daily Sales Import"/>
    <n v="-1316.4460000000001"/>
    <n v="1316.4460000000001"/>
    <x v="1"/>
    <s v="2210"/>
    <s v="000"/>
    <x v="5"/>
    <x v="1"/>
  </r>
  <r>
    <d v="2012-03-14T00:00:00"/>
    <s v="017-2220-000"/>
    <s v="Beer Sales"/>
    <n v="301.92"/>
    <n v="0"/>
    <s v="Daily Sales Import"/>
    <n v="-301.92"/>
    <n v="301.92"/>
    <x v="1"/>
    <s v="2220"/>
    <s v="000"/>
    <x v="5"/>
    <x v="1"/>
  </r>
  <r>
    <d v="2012-03-14T00:00:00"/>
    <s v="017-2230-000"/>
    <s v="Wine Sales"/>
    <n v="65.52"/>
    <n v="0"/>
    <s v="Daily Sales Import"/>
    <n v="-65.52"/>
    <n v="65.52"/>
    <x v="1"/>
    <s v="2230"/>
    <s v="000"/>
    <x v="5"/>
    <x v="1"/>
  </r>
  <r>
    <d v="2012-03-15T00:00:00"/>
    <s v="017-2100-000"/>
    <s v="Food Sales"/>
    <n v="5609.9404999999997"/>
    <n v="0"/>
    <s v="Daily Sales Import"/>
    <n v="-5609.9404999999997"/>
    <n v="5609.9404999999997"/>
    <x v="1"/>
    <s v="2100"/>
    <s v="000"/>
    <x v="5"/>
    <x v="1"/>
  </r>
  <r>
    <d v="2012-03-15T00:00:00"/>
    <s v="017-2210-000"/>
    <s v="Liquor Sales"/>
    <n v="1807.19"/>
    <n v="0"/>
    <s v="Daily Sales Import"/>
    <n v="-1807.19"/>
    <n v="1807.19"/>
    <x v="1"/>
    <s v="2210"/>
    <s v="000"/>
    <x v="5"/>
    <x v="1"/>
  </r>
  <r>
    <d v="2012-03-15T00:00:00"/>
    <s v="017-2220-000"/>
    <s v="Beer Sales"/>
    <n v="349.25"/>
    <n v="0"/>
    <s v="Daily Sales Import"/>
    <n v="-349.25"/>
    <n v="349.25"/>
    <x v="1"/>
    <s v="2220"/>
    <s v="000"/>
    <x v="5"/>
    <x v="1"/>
  </r>
  <r>
    <d v="2012-03-15T00:00:00"/>
    <s v="017-2230-000"/>
    <s v="Wine Sales"/>
    <n v="119.98250000000002"/>
    <n v="0"/>
    <s v="Daily Sales Import"/>
    <n v="-119.98250000000002"/>
    <n v="119.98250000000002"/>
    <x v="1"/>
    <s v="2230"/>
    <s v="000"/>
    <x v="5"/>
    <x v="1"/>
  </r>
  <r>
    <d v="2012-03-16T00:00:00"/>
    <s v="017-2100-000"/>
    <s v="Food Sales"/>
    <n v="7903.8050000000003"/>
    <n v="0"/>
    <s v="Daily Sales Import"/>
    <n v="-7903.8050000000003"/>
    <n v="7903.8050000000003"/>
    <x v="1"/>
    <s v="2100"/>
    <s v="000"/>
    <x v="5"/>
    <x v="1"/>
  </r>
  <r>
    <d v="2012-03-16T00:00:00"/>
    <s v="017-2210-000"/>
    <s v="Liquor Sales"/>
    <n v="3063.6210000000001"/>
    <n v="0"/>
    <s v="Daily Sales Import"/>
    <n v="-3063.6210000000001"/>
    <n v="3063.6210000000001"/>
    <x v="1"/>
    <s v="2210"/>
    <s v="000"/>
    <x v="5"/>
    <x v="1"/>
  </r>
  <r>
    <d v="2012-03-16T00:00:00"/>
    <s v="017-2220-000"/>
    <s v="Beer Sales"/>
    <n v="510.61500000000001"/>
    <n v="0"/>
    <s v="Daily Sales Import"/>
    <n v="-510.61500000000001"/>
    <n v="510.61500000000001"/>
    <x v="1"/>
    <s v="2220"/>
    <s v="000"/>
    <x v="5"/>
    <x v="1"/>
  </r>
  <r>
    <d v="2012-03-16T00:00:00"/>
    <s v="017-2230-000"/>
    <s v="Wine Sales"/>
    <n v="173.72549999999998"/>
    <n v="0"/>
    <s v="Daily Sales Import"/>
    <n v="-173.72549999999998"/>
    <n v="173.72549999999998"/>
    <x v="1"/>
    <s v="2230"/>
    <s v="000"/>
    <x v="5"/>
    <x v="1"/>
  </r>
  <r>
    <d v="2012-03-17T00:00:00"/>
    <s v="017-2100-000"/>
    <s v="Food Sales"/>
    <n v="9733.36"/>
    <n v="0"/>
    <s v="Daily Sales Import"/>
    <n v="-9733.36"/>
    <n v="9733.36"/>
    <x v="1"/>
    <s v="2100"/>
    <s v="000"/>
    <x v="5"/>
    <x v="1"/>
  </r>
  <r>
    <d v="2012-03-17T00:00:00"/>
    <s v="017-2210-000"/>
    <s v="Liquor Sales"/>
    <n v="2680.3710000000001"/>
    <n v="0"/>
    <s v="Daily Sales Import"/>
    <n v="-2680.3710000000001"/>
    <n v="2680.3710000000001"/>
    <x v="1"/>
    <s v="2210"/>
    <s v="000"/>
    <x v="5"/>
    <x v="1"/>
  </r>
  <r>
    <d v="2012-03-17T00:00:00"/>
    <s v="017-2220-000"/>
    <s v="Beer Sales"/>
    <n v="407.83000000000004"/>
    <n v="0"/>
    <s v="Daily Sales Import"/>
    <n v="-407.83000000000004"/>
    <n v="407.83000000000004"/>
    <x v="1"/>
    <s v="2220"/>
    <s v="000"/>
    <x v="5"/>
    <x v="1"/>
  </r>
  <r>
    <d v="2012-03-17T00:00:00"/>
    <s v="017-2230-000"/>
    <s v="Wine Sales"/>
    <n v="33.779999999999994"/>
    <n v="0"/>
    <s v="Daily Sales Import"/>
    <n v="-33.779999999999994"/>
    <n v="33.779999999999994"/>
    <x v="1"/>
    <s v="2230"/>
    <s v="000"/>
    <x v="5"/>
    <x v="1"/>
  </r>
  <r>
    <d v="2012-03-18T00:00:00"/>
    <s v="017-2100-000"/>
    <s v="Food Sales"/>
    <n v="4733.3248000000003"/>
    <n v="0"/>
    <s v="Daily Sales Import"/>
    <n v="-4733.3248000000003"/>
    <n v="4733.3248000000003"/>
    <x v="1"/>
    <s v="2100"/>
    <s v="000"/>
    <x v="5"/>
    <x v="1"/>
  </r>
  <r>
    <d v="2012-03-18T00:00:00"/>
    <s v="017-2210-000"/>
    <s v="Liquor Sales"/>
    <n v="1505.4840000000002"/>
    <n v="0"/>
    <s v="Daily Sales Import"/>
    <n v="-1505.4840000000002"/>
    <n v="1505.4840000000002"/>
    <x v="1"/>
    <s v="2210"/>
    <s v="000"/>
    <x v="5"/>
    <x v="1"/>
  </r>
  <r>
    <d v="2012-03-18T00:00:00"/>
    <s v="017-2220-000"/>
    <s v="Beer Sales"/>
    <n v="252.9975"/>
    <n v="0"/>
    <s v="Daily Sales Import"/>
    <n v="-252.9975"/>
    <n v="252.9975"/>
    <x v="1"/>
    <s v="2220"/>
    <s v="000"/>
    <x v="5"/>
    <x v="1"/>
  </r>
  <r>
    <d v="2012-03-18T00:00:00"/>
    <s v="017-2230-000"/>
    <s v="Wine Sales"/>
    <n v="95.925000000000011"/>
    <n v="0"/>
    <s v="Daily Sales Import"/>
    <n v="-95.925000000000011"/>
    <n v="95.925000000000011"/>
    <x v="1"/>
    <s v="2230"/>
    <s v="000"/>
    <x v="5"/>
    <x v="1"/>
  </r>
  <r>
    <d v="2012-03-12T00:00:00"/>
    <s v="018-2100-000"/>
    <s v="Food Sales"/>
    <n v="3098.1565000000001"/>
    <n v="0"/>
    <s v="Daily Sales Import"/>
    <n v="-3098.1565000000001"/>
    <n v="3098.1565000000001"/>
    <x v="2"/>
    <s v="2100"/>
    <s v="000"/>
    <x v="5"/>
    <x v="1"/>
  </r>
  <r>
    <d v="2012-03-12T00:00:00"/>
    <s v="018-2210-000"/>
    <s v="Liquor Sales"/>
    <n v="854.73849999999993"/>
    <n v="0"/>
    <s v="Daily Sales Import"/>
    <n v="-854.73849999999993"/>
    <n v="854.73849999999993"/>
    <x v="2"/>
    <s v="2210"/>
    <s v="000"/>
    <x v="5"/>
    <x v="1"/>
  </r>
  <r>
    <d v="2012-03-12T00:00:00"/>
    <s v="018-2220-000"/>
    <s v="Beer Sales"/>
    <n v="117.092"/>
    <n v="0"/>
    <s v="Daily Sales Import"/>
    <n v="-117.092"/>
    <n v="117.092"/>
    <x v="2"/>
    <s v="2220"/>
    <s v="000"/>
    <x v="5"/>
    <x v="1"/>
  </r>
  <r>
    <d v="2012-03-12T00:00:00"/>
    <s v="018-2230-000"/>
    <s v="Wine Sales"/>
    <n v="14.237499999999999"/>
    <n v="0"/>
    <s v="Daily Sales Import"/>
    <n v="-14.237499999999999"/>
    <n v="14.237499999999999"/>
    <x v="2"/>
    <s v="2230"/>
    <s v="000"/>
    <x v="5"/>
    <x v="1"/>
  </r>
  <r>
    <d v="2012-03-13T00:00:00"/>
    <s v="018-2100-000"/>
    <s v="Food Sales"/>
    <n v="4907.8645000000006"/>
    <n v="0"/>
    <s v="Daily Sales Import"/>
    <n v="-4907.8645000000006"/>
    <n v="4907.8645000000006"/>
    <x v="2"/>
    <s v="2100"/>
    <s v="000"/>
    <x v="5"/>
    <x v="1"/>
  </r>
  <r>
    <d v="2012-03-13T00:00:00"/>
    <s v="018-2210-000"/>
    <s v="Liquor Sales"/>
    <n v="700.28800000000001"/>
    <n v="0"/>
    <s v="Daily Sales Import"/>
    <n v="-700.28800000000001"/>
    <n v="700.28800000000001"/>
    <x v="2"/>
    <s v="2210"/>
    <s v="000"/>
    <x v="5"/>
    <x v="1"/>
  </r>
  <r>
    <d v="2012-03-13T00:00:00"/>
    <s v="018-2220-000"/>
    <s v="Beer Sales"/>
    <n v="193.9425"/>
    <n v="0"/>
    <s v="Daily Sales Import"/>
    <n v="-193.9425"/>
    <n v="193.9425"/>
    <x v="2"/>
    <s v="2220"/>
    <s v="000"/>
    <x v="5"/>
    <x v="1"/>
  </r>
  <r>
    <d v="2012-03-13T00:00:00"/>
    <s v="018-2230-000"/>
    <s v="Wine Sales"/>
    <n v="29.867500000000003"/>
    <n v="0"/>
    <s v="Daily Sales Import"/>
    <n v="-29.867500000000003"/>
    <n v="29.867500000000003"/>
    <x v="2"/>
    <s v="2230"/>
    <s v="000"/>
    <x v="5"/>
    <x v="1"/>
  </r>
  <r>
    <d v="2012-03-14T00:00:00"/>
    <s v="018-2100-000"/>
    <s v="Food Sales"/>
    <n v="4137.78"/>
    <n v="0"/>
    <s v="Daily Sales Import"/>
    <n v="-4137.78"/>
    <n v="4137.78"/>
    <x v="2"/>
    <s v="2100"/>
    <s v="000"/>
    <x v="5"/>
    <x v="1"/>
  </r>
  <r>
    <d v="2012-03-14T00:00:00"/>
    <s v="018-2210-000"/>
    <s v="Liquor Sales"/>
    <n v="1358.9945"/>
    <n v="0"/>
    <s v="Daily Sales Import"/>
    <n v="-1358.9945"/>
    <n v="1358.9945"/>
    <x v="2"/>
    <s v="2210"/>
    <s v="000"/>
    <x v="5"/>
    <x v="1"/>
  </r>
  <r>
    <d v="2012-03-14T00:00:00"/>
    <s v="018-2220-000"/>
    <s v="Beer Sales"/>
    <n v="305.94600000000003"/>
    <n v="0"/>
    <s v="Daily Sales Import"/>
    <n v="-305.94600000000003"/>
    <n v="305.94600000000003"/>
    <x v="2"/>
    <s v="2220"/>
    <s v="000"/>
    <x v="5"/>
    <x v="1"/>
  </r>
  <r>
    <d v="2012-03-14T00:00:00"/>
    <s v="018-2230-000"/>
    <s v="Wine Sales"/>
    <n v="30.634"/>
    <n v="0"/>
    <s v="Daily Sales Import"/>
    <n v="-30.634"/>
    <n v="30.634"/>
    <x v="2"/>
    <s v="2230"/>
    <s v="000"/>
    <x v="5"/>
    <x v="1"/>
  </r>
  <r>
    <d v="2012-03-15T00:00:00"/>
    <s v="018-2100-000"/>
    <s v="Food Sales"/>
    <n v="6069.978000000001"/>
    <n v="0"/>
    <s v="Daily Sales Import"/>
    <n v="-6069.978000000001"/>
    <n v="6069.978000000001"/>
    <x v="2"/>
    <s v="2100"/>
    <s v="000"/>
    <x v="5"/>
    <x v="1"/>
  </r>
  <r>
    <d v="2012-03-15T00:00:00"/>
    <s v="018-2210-000"/>
    <s v="Liquor Sales"/>
    <n v="1085.04"/>
    <n v="0"/>
    <s v="Daily Sales Import"/>
    <n v="-1085.04"/>
    <n v="1085.04"/>
    <x v="2"/>
    <s v="2210"/>
    <s v="000"/>
    <x v="5"/>
    <x v="1"/>
  </r>
  <r>
    <d v="2012-03-15T00:00:00"/>
    <s v="018-2220-000"/>
    <s v="Beer Sales"/>
    <n v="197.125"/>
    <n v="0"/>
    <s v="Daily Sales Import"/>
    <n v="-197.125"/>
    <n v="197.125"/>
    <x v="2"/>
    <s v="2220"/>
    <s v="000"/>
    <x v="5"/>
    <x v="1"/>
  </r>
  <r>
    <d v="2012-03-15T00:00:00"/>
    <s v="018-2230-000"/>
    <s v="Wine Sales"/>
    <n v="94.77000000000001"/>
    <n v="0"/>
    <s v="Daily Sales Import"/>
    <n v="-94.77000000000001"/>
    <n v="94.77000000000001"/>
    <x v="2"/>
    <s v="2230"/>
    <s v="000"/>
    <x v="5"/>
    <x v="1"/>
  </r>
  <r>
    <d v="2012-03-16T00:00:00"/>
    <s v="018-2100-000"/>
    <s v="Food Sales"/>
    <n v="6608.0099999999993"/>
    <n v="0"/>
    <s v="Daily Sales Import"/>
    <n v="-6608.0099999999993"/>
    <n v="6608.0099999999993"/>
    <x v="2"/>
    <s v="2100"/>
    <s v="000"/>
    <x v="5"/>
    <x v="1"/>
  </r>
  <r>
    <d v="2012-03-16T00:00:00"/>
    <s v="018-2210-000"/>
    <s v="Liquor Sales"/>
    <n v="1767.48"/>
    <n v="0"/>
    <s v="Daily Sales Import"/>
    <n v="-1767.48"/>
    <n v="1767.48"/>
    <x v="2"/>
    <s v="2210"/>
    <s v="000"/>
    <x v="5"/>
    <x v="1"/>
  </r>
  <r>
    <d v="2012-03-16T00:00:00"/>
    <s v="018-2220-000"/>
    <s v="Beer Sales"/>
    <n v="532.93650000000002"/>
    <n v="0"/>
    <s v="Daily Sales Import"/>
    <n v="-532.93650000000002"/>
    <n v="532.93650000000002"/>
    <x v="2"/>
    <s v="2220"/>
    <s v="000"/>
    <x v="5"/>
    <x v="1"/>
  </r>
  <r>
    <d v="2012-03-16T00:00:00"/>
    <s v="018-2230-000"/>
    <s v="Wine Sales"/>
    <n v="96.53"/>
    <n v="0"/>
    <s v="Daily Sales Import"/>
    <n v="-96.53"/>
    <n v="96.53"/>
    <x v="2"/>
    <s v="2230"/>
    <s v="000"/>
    <x v="5"/>
    <x v="1"/>
  </r>
  <r>
    <d v="2012-03-17T00:00:00"/>
    <s v="018-2100-000"/>
    <s v="Food Sales"/>
    <n v="15484.567999999999"/>
    <n v="0"/>
    <s v="Daily Sales Import"/>
    <n v="-15484.567999999999"/>
    <n v="15484.567999999999"/>
    <x v="2"/>
    <s v="2100"/>
    <s v="000"/>
    <x v="5"/>
    <x v="1"/>
  </r>
  <r>
    <d v="2012-03-17T00:00:00"/>
    <s v="018-2210-000"/>
    <s v="Liquor Sales"/>
    <n v="3218.4589999999998"/>
    <n v="0"/>
    <s v="Daily Sales Import"/>
    <n v="-3218.4589999999998"/>
    <n v="3218.4589999999998"/>
    <x v="2"/>
    <s v="2210"/>
    <s v="000"/>
    <x v="5"/>
    <x v="1"/>
  </r>
  <r>
    <d v="2012-03-17T00:00:00"/>
    <s v="018-2220-000"/>
    <s v="Beer Sales"/>
    <n v="597.52350000000001"/>
    <n v="0"/>
    <s v="Daily Sales Import"/>
    <n v="-597.52350000000001"/>
    <n v="597.52350000000001"/>
    <x v="2"/>
    <s v="2220"/>
    <s v="000"/>
    <x v="5"/>
    <x v="1"/>
  </r>
  <r>
    <d v="2012-03-17T00:00:00"/>
    <s v="018-2230-000"/>
    <s v="Wine Sales"/>
    <n v="170.93849999999998"/>
    <n v="0"/>
    <s v="Daily Sales Import"/>
    <n v="-170.93849999999998"/>
    <n v="170.93849999999998"/>
    <x v="2"/>
    <s v="2230"/>
    <s v="000"/>
    <x v="5"/>
    <x v="1"/>
  </r>
  <r>
    <d v="2012-03-18T00:00:00"/>
    <s v="018-2100-000"/>
    <s v="Food Sales"/>
    <n v="10717.129500000001"/>
    <n v="0"/>
    <s v="Daily Sales Import"/>
    <n v="-10717.129500000001"/>
    <n v="10717.129500000001"/>
    <x v="2"/>
    <s v="2100"/>
    <s v="000"/>
    <x v="5"/>
    <x v="1"/>
  </r>
  <r>
    <d v="2012-03-18T00:00:00"/>
    <s v="018-2210-000"/>
    <s v="Liquor Sales"/>
    <n v="1301.9689999999998"/>
    <n v="0"/>
    <s v="Daily Sales Import"/>
    <n v="-1301.9689999999998"/>
    <n v="1301.9689999999998"/>
    <x v="2"/>
    <s v="2210"/>
    <s v="000"/>
    <x v="5"/>
    <x v="1"/>
  </r>
  <r>
    <d v="2012-03-18T00:00:00"/>
    <s v="018-2220-000"/>
    <s v="Beer Sales"/>
    <n v="423.83250000000004"/>
    <n v="0"/>
    <s v="Daily Sales Import"/>
    <n v="-423.83250000000004"/>
    <n v="423.83250000000004"/>
    <x v="2"/>
    <s v="2220"/>
    <s v="000"/>
    <x v="5"/>
    <x v="1"/>
  </r>
  <r>
    <d v="2012-03-18T00:00:00"/>
    <s v="018-2230-000"/>
    <s v="Wine Sales"/>
    <n v="103.2925"/>
    <n v="0"/>
    <s v="Daily Sales Import"/>
    <n v="-103.2925"/>
    <n v="103.2925"/>
    <x v="2"/>
    <s v="2230"/>
    <s v="000"/>
    <x v="5"/>
    <x v="1"/>
  </r>
  <r>
    <d v="2012-03-19T00:00:00"/>
    <s v="016-2100-000"/>
    <s v="Food Sales"/>
    <n v="2368.1327999999999"/>
    <n v="0"/>
    <s v="Daily Sales Import"/>
    <n v="-2368.1327999999999"/>
    <n v="2368.1327999999999"/>
    <x v="0"/>
    <s v="2100"/>
    <s v="000"/>
    <x v="5"/>
    <x v="1"/>
  </r>
  <r>
    <d v="2012-03-19T00:00:00"/>
    <s v="016-2210-000"/>
    <s v="Liquor Sales"/>
    <n v="1006.9460000000001"/>
    <n v="0"/>
    <s v="Daily Sales Import"/>
    <n v="-1006.9460000000001"/>
    <n v="1006.9460000000001"/>
    <x v="0"/>
    <s v="2210"/>
    <s v="000"/>
    <x v="5"/>
    <x v="1"/>
  </r>
  <r>
    <d v="2012-03-19T00:00:00"/>
    <s v="016-2220-000"/>
    <s v="Beer Sales"/>
    <n v="113.52"/>
    <n v="0"/>
    <s v="Daily Sales Import"/>
    <n v="-113.52"/>
    <n v="113.52"/>
    <x v="0"/>
    <s v="2220"/>
    <s v="000"/>
    <x v="5"/>
    <x v="1"/>
  </r>
  <r>
    <d v="2012-03-19T00:00:00"/>
    <s v="016-2230-000"/>
    <s v="Wine Sales"/>
    <n v="12.302499999999998"/>
    <n v="0"/>
    <s v="Daily Sales Import"/>
    <n v="-12.302499999999998"/>
    <n v="12.302499999999998"/>
    <x v="0"/>
    <s v="2230"/>
    <s v="000"/>
    <x v="5"/>
    <x v="1"/>
  </r>
  <r>
    <d v="2012-03-20T00:00:00"/>
    <s v="016-2100-000"/>
    <s v="Food Sales"/>
    <n v="2773.5785000000001"/>
    <n v="0"/>
    <s v="Daily Sales Import"/>
    <n v="-2773.5785000000001"/>
    <n v="2773.5785000000001"/>
    <x v="0"/>
    <s v="2100"/>
    <s v="000"/>
    <x v="5"/>
    <x v="1"/>
  </r>
  <r>
    <d v="2012-03-20T00:00:00"/>
    <s v="016-2210-000"/>
    <s v="Liquor Sales"/>
    <n v="1265.1990000000001"/>
    <n v="0"/>
    <s v="Daily Sales Import"/>
    <n v="-1265.1990000000001"/>
    <n v="1265.1990000000001"/>
    <x v="0"/>
    <s v="2210"/>
    <s v="000"/>
    <x v="5"/>
    <x v="1"/>
  </r>
  <r>
    <d v="2012-03-20T00:00:00"/>
    <s v="016-2220-000"/>
    <s v="Beer Sales"/>
    <n v="178.71"/>
    <n v="0"/>
    <s v="Daily Sales Import"/>
    <n v="-178.71"/>
    <n v="178.71"/>
    <x v="0"/>
    <s v="2220"/>
    <s v="000"/>
    <x v="5"/>
    <x v="1"/>
  </r>
  <r>
    <d v="2012-03-20T00:00:00"/>
    <s v="016-2230-000"/>
    <s v="Wine Sales"/>
    <n v="65.891999999999996"/>
    <n v="0"/>
    <s v="Daily Sales Import"/>
    <n v="-65.891999999999996"/>
    <n v="65.891999999999996"/>
    <x v="0"/>
    <s v="2230"/>
    <s v="000"/>
    <x v="5"/>
    <x v="1"/>
  </r>
  <r>
    <d v="2012-03-21T00:00:00"/>
    <s v="016-2100-000"/>
    <s v="Food Sales"/>
    <n v="4170.7539999999999"/>
    <n v="0"/>
    <s v="Daily Sales Import"/>
    <n v="-4170.7539999999999"/>
    <n v="4170.7539999999999"/>
    <x v="0"/>
    <s v="2100"/>
    <s v="000"/>
    <x v="5"/>
    <x v="1"/>
  </r>
  <r>
    <d v="2012-03-21T00:00:00"/>
    <s v="016-2210-000"/>
    <s v="Liquor Sales"/>
    <n v="1553.51"/>
    <n v="0"/>
    <s v="Daily Sales Import"/>
    <n v="-1553.51"/>
    <n v="1553.51"/>
    <x v="0"/>
    <s v="2210"/>
    <s v="000"/>
    <x v="5"/>
    <x v="1"/>
  </r>
  <r>
    <d v="2012-03-21T00:00:00"/>
    <s v="016-2220-000"/>
    <s v="Beer Sales"/>
    <n v="285.27"/>
    <n v="0"/>
    <s v="Daily Sales Import"/>
    <n v="-285.27"/>
    <n v="285.27"/>
    <x v="0"/>
    <s v="2220"/>
    <s v="000"/>
    <x v="5"/>
    <x v="1"/>
  </r>
  <r>
    <d v="2012-03-21T00:00:00"/>
    <s v="016-2230-000"/>
    <s v="Wine Sales"/>
    <n v="100.26299999999999"/>
    <n v="0"/>
    <s v="Daily Sales Import"/>
    <n v="-100.26299999999999"/>
    <n v="100.26299999999999"/>
    <x v="0"/>
    <s v="2230"/>
    <s v="000"/>
    <x v="5"/>
    <x v="1"/>
  </r>
  <r>
    <d v="2012-03-22T00:00:00"/>
    <s v="016-2100-000"/>
    <s v="Food Sales"/>
    <n v="3350.2939999999999"/>
    <n v="0"/>
    <s v="Daily Sales Import"/>
    <n v="-3350.2939999999999"/>
    <n v="3350.2939999999999"/>
    <x v="0"/>
    <s v="2100"/>
    <s v="000"/>
    <x v="5"/>
    <x v="1"/>
  </r>
  <r>
    <d v="2012-03-22T00:00:00"/>
    <s v="016-2210-000"/>
    <s v="Liquor Sales"/>
    <n v="1325.7639999999999"/>
    <n v="0"/>
    <s v="Daily Sales Import"/>
    <n v="-1325.7639999999999"/>
    <n v="1325.7639999999999"/>
    <x v="0"/>
    <s v="2210"/>
    <s v="000"/>
    <x v="5"/>
    <x v="1"/>
  </r>
  <r>
    <d v="2012-03-22T00:00:00"/>
    <s v="016-2220-000"/>
    <s v="Beer Sales"/>
    <n v="160.239"/>
    <n v="0"/>
    <s v="Daily Sales Import"/>
    <n v="-160.239"/>
    <n v="160.239"/>
    <x v="0"/>
    <s v="2220"/>
    <s v="000"/>
    <x v="5"/>
    <x v="1"/>
  </r>
  <r>
    <d v="2012-03-22T00:00:00"/>
    <s v="016-2230-000"/>
    <s v="Wine Sales"/>
    <n v="98.507500000000007"/>
    <n v="0"/>
    <s v="Daily Sales Import"/>
    <n v="-98.507500000000007"/>
    <n v="98.507500000000007"/>
    <x v="0"/>
    <s v="2230"/>
    <s v="000"/>
    <x v="5"/>
    <x v="1"/>
  </r>
  <r>
    <d v="2012-03-23T00:00:00"/>
    <s v="016-2100-000"/>
    <s v="Food Sales"/>
    <n v="8200.7183999999997"/>
    <n v="0"/>
    <s v="Daily Sales Import"/>
    <n v="-8200.7183999999997"/>
    <n v="8200.7183999999997"/>
    <x v="0"/>
    <s v="2100"/>
    <s v="000"/>
    <x v="5"/>
    <x v="1"/>
  </r>
  <r>
    <d v="2012-03-23T00:00:00"/>
    <s v="016-2210-000"/>
    <s v="Liquor Sales"/>
    <n v="3180.1979999999999"/>
    <n v="0"/>
    <s v="Daily Sales Import"/>
    <n v="-3180.1979999999999"/>
    <n v="3180.1979999999999"/>
    <x v="0"/>
    <s v="2210"/>
    <s v="000"/>
    <x v="5"/>
    <x v="1"/>
  </r>
  <r>
    <d v="2012-03-23T00:00:00"/>
    <s v="016-2220-000"/>
    <s v="Beer Sales"/>
    <n v="459.54300000000006"/>
    <n v="0"/>
    <s v="Daily Sales Import"/>
    <n v="-459.54300000000006"/>
    <n v="459.54300000000006"/>
    <x v="0"/>
    <s v="2220"/>
    <s v="000"/>
    <x v="5"/>
    <x v="1"/>
  </r>
  <r>
    <d v="2012-03-23T00:00:00"/>
    <s v="016-2230-000"/>
    <s v="Wine Sales"/>
    <n v="175.19600000000003"/>
    <n v="0"/>
    <s v="Daily Sales Import"/>
    <n v="-175.19600000000003"/>
    <n v="175.19600000000003"/>
    <x v="0"/>
    <s v="2230"/>
    <s v="000"/>
    <x v="5"/>
    <x v="1"/>
  </r>
  <r>
    <d v="2012-03-24T00:00:00"/>
    <s v="016-2100-000"/>
    <s v="Food Sales"/>
    <n v="8570.7199999999993"/>
    <n v="0"/>
    <s v="Daily Sales Import"/>
    <n v="-8570.7199999999993"/>
    <n v="8570.7199999999993"/>
    <x v="0"/>
    <s v="2100"/>
    <s v="000"/>
    <x v="5"/>
    <x v="1"/>
  </r>
  <r>
    <d v="2012-03-24T00:00:00"/>
    <s v="016-2210-000"/>
    <s v="Liquor Sales"/>
    <n v="2561.2860000000001"/>
    <n v="0"/>
    <s v="Daily Sales Import"/>
    <n v="-2561.2860000000001"/>
    <n v="2561.2860000000001"/>
    <x v="0"/>
    <s v="2210"/>
    <s v="000"/>
    <x v="5"/>
    <x v="1"/>
  </r>
  <r>
    <d v="2012-03-24T00:00:00"/>
    <s v="016-2220-000"/>
    <s v="Beer Sales"/>
    <n v="642.54600000000005"/>
    <n v="0"/>
    <s v="Daily Sales Import"/>
    <n v="-642.54600000000005"/>
    <n v="642.54600000000005"/>
    <x v="0"/>
    <s v="2220"/>
    <s v="000"/>
    <x v="5"/>
    <x v="1"/>
  </r>
  <r>
    <d v="2012-03-24T00:00:00"/>
    <s v="016-2230-000"/>
    <s v="Wine Sales"/>
    <n v="143.79300000000001"/>
    <n v="0"/>
    <s v="Daily Sales Import"/>
    <n v="-143.79300000000001"/>
    <n v="143.79300000000001"/>
    <x v="0"/>
    <s v="2230"/>
    <s v="000"/>
    <x v="5"/>
    <x v="1"/>
  </r>
  <r>
    <d v="2012-03-25T00:00:00"/>
    <s v="016-2100-000"/>
    <s v="Food Sales"/>
    <n v="5131.4369999999999"/>
    <n v="0"/>
    <s v="Daily Sales Import"/>
    <n v="-5131.4369999999999"/>
    <n v="5131.4369999999999"/>
    <x v="0"/>
    <s v="2100"/>
    <s v="000"/>
    <x v="5"/>
    <x v="1"/>
  </r>
  <r>
    <d v="2012-03-25T00:00:00"/>
    <s v="016-2210-000"/>
    <s v="Liquor Sales"/>
    <n v="1649.06"/>
    <n v="0"/>
    <s v="Daily Sales Import"/>
    <n v="-1649.06"/>
    <n v="1649.06"/>
    <x v="0"/>
    <s v="2210"/>
    <s v="000"/>
    <x v="5"/>
    <x v="1"/>
  </r>
  <r>
    <d v="2012-03-25T00:00:00"/>
    <s v="016-2220-000"/>
    <s v="Beer Sales"/>
    <n v="245.952"/>
    <n v="0"/>
    <s v="Daily Sales Import"/>
    <n v="-245.952"/>
    <n v="245.952"/>
    <x v="0"/>
    <s v="2220"/>
    <s v="000"/>
    <x v="5"/>
    <x v="1"/>
  </r>
  <r>
    <d v="2012-03-25T00:00:00"/>
    <s v="016-2230-000"/>
    <s v="Wine Sales"/>
    <n v="142.04400000000001"/>
    <n v="0"/>
    <s v="Daily Sales Import"/>
    <n v="-142.04400000000001"/>
    <n v="142.04400000000001"/>
    <x v="0"/>
    <s v="2230"/>
    <s v="000"/>
    <x v="5"/>
    <x v="1"/>
  </r>
  <r>
    <d v="2012-03-19T00:00:00"/>
    <s v="017-2100-000"/>
    <s v="Food Sales"/>
    <n v="4473.3204999999998"/>
    <n v="0"/>
    <s v="Daily Sales Import"/>
    <n v="-4473.3204999999998"/>
    <n v="4473.3204999999998"/>
    <x v="1"/>
    <s v="2100"/>
    <s v="000"/>
    <x v="5"/>
    <x v="1"/>
  </r>
  <r>
    <d v="2012-03-19T00:00:00"/>
    <s v="017-2210-000"/>
    <s v="Liquor Sales"/>
    <n v="1350.8924999999999"/>
    <n v="0"/>
    <s v="Daily Sales Import"/>
    <n v="-1350.8924999999999"/>
    <n v="1350.8924999999999"/>
    <x v="1"/>
    <s v="2210"/>
    <s v="000"/>
    <x v="5"/>
    <x v="1"/>
  </r>
  <r>
    <d v="2012-03-19T00:00:00"/>
    <s v="017-2220-000"/>
    <s v="Beer Sales"/>
    <n v="332.23499999999996"/>
    <n v="0"/>
    <s v="Daily Sales Import"/>
    <n v="-332.23499999999996"/>
    <n v="332.23499999999996"/>
    <x v="1"/>
    <s v="2220"/>
    <s v="000"/>
    <x v="5"/>
    <x v="1"/>
  </r>
  <r>
    <d v="2012-03-19T00:00:00"/>
    <s v="017-2230-000"/>
    <s v="Wine Sales"/>
    <n v="127.5425"/>
    <n v="0"/>
    <s v="Daily Sales Import"/>
    <n v="-127.5425"/>
    <n v="127.5425"/>
    <x v="1"/>
    <s v="2230"/>
    <s v="000"/>
    <x v="5"/>
    <x v="1"/>
  </r>
  <r>
    <d v="2012-03-20T00:00:00"/>
    <s v="017-2100-000"/>
    <s v="Food Sales"/>
    <n v="5029.5493000000006"/>
    <n v="0"/>
    <s v="Daily Sales Import"/>
    <n v="-5029.5493000000006"/>
    <n v="5029.5493000000006"/>
    <x v="1"/>
    <s v="2100"/>
    <s v="000"/>
    <x v="5"/>
    <x v="1"/>
  </r>
  <r>
    <d v="2012-03-20T00:00:00"/>
    <s v="017-2210-000"/>
    <s v="Liquor Sales"/>
    <n v="1683.296"/>
    <n v="0"/>
    <s v="Daily Sales Import"/>
    <n v="-1683.296"/>
    <n v="1683.296"/>
    <x v="1"/>
    <s v="2210"/>
    <s v="000"/>
    <x v="5"/>
    <x v="1"/>
  </r>
  <r>
    <d v="2012-03-20T00:00:00"/>
    <s v="017-2220-000"/>
    <s v="Beer Sales"/>
    <n v="786.88749999999993"/>
    <n v="0"/>
    <s v="Daily Sales Import"/>
    <n v="-786.88749999999993"/>
    <n v="786.88749999999993"/>
    <x v="1"/>
    <s v="2220"/>
    <s v="000"/>
    <x v="5"/>
    <x v="1"/>
  </r>
  <r>
    <d v="2012-03-20T00:00:00"/>
    <s v="017-2230-000"/>
    <s v="Wine Sales"/>
    <n v="137.81549999999999"/>
    <n v="0"/>
    <s v="Daily Sales Import"/>
    <n v="-137.81549999999999"/>
    <n v="137.81549999999999"/>
    <x v="1"/>
    <s v="2230"/>
    <s v="000"/>
    <x v="5"/>
    <x v="1"/>
  </r>
  <r>
    <d v="2012-03-21T00:00:00"/>
    <s v="017-2100-000"/>
    <s v="Food Sales"/>
    <n v="5237.2950000000001"/>
    <n v="0"/>
    <s v="Daily Sales Import"/>
    <n v="-5237.2950000000001"/>
    <n v="5237.2950000000001"/>
    <x v="1"/>
    <s v="2100"/>
    <s v="000"/>
    <x v="5"/>
    <x v="1"/>
  </r>
  <r>
    <d v="2012-03-21T00:00:00"/>
    <s v="017-2210-000"/>
    <s v="Liquor Sales"/>
    <n v="1218.1659999999999"/>
    <n v="0"/>
    <s v="Daily Sales Import"/>
    <n v="-1218.1659999999999"/>
    <n v="1218.1659999999999"/>
    <x v="1"/>
    <s v="2210"/>
    <s v="000"/>
    <x v="5"/>
    <x v="1"/>
  </r>
  <r>
    <d v="2012-03-21T00:00:00"/>
    <s v="017-2220-000"/>
    <s v="Beer Sales"/>
    <n v="512.4"/>
    <n v="0"/>
    <s v="Daily Sales Import"/>
    <n v="-512.4"/>
    <n v="512.4"/>
    <x v="1"/>
    <s v="2220"/>
    <s v="000"/>
    <x v="5"/>
    <x v="1"/>
  </r>
  <r>
    <d v="2012-03-21T00:00:00"/>
    <s v="017-2230-000"/>
    <s v="Wine Sales"/>
    <n v="52.688000000000002"/>
    <n v="0"/>
    <s v="Daily Sales Import"/>
    <n v="-52.688000000000002"/>
    <n v="52.688000000000002"/>
    <x v="1"/>
    <s v="2230"/>
    <s v="000"/>
    <x v="5"/>
    <x v="1"/>
  </r>
  <r>
    <d v="2012-03-22T00:00:00"/>
    <s v="017-2100-000"/>
    <s v="Food Sales"/>
    <n v="9005.4146000000001"/>
    <n v="0"/>
    <s v="Daily Sales Import"/>
    <n v="-9005.4146000000001"/>
    <n v="9005.4146000000001"/>
    <x v="1"/>
    <s v="2100"/>
    <s v="000"/>
    <x v="5"/>
    <x v="1"/>
  </r>
  <r>
    <d v="2012-03-22T00:00:00"/>
    <s v="017-2210-000"/>
    <s v="Liquor Sales"/>
    <n v="3478.0734999999995"/>
    <n v="0"/>
    <s v="Daily Sales Import"/>
    <n v="-3478.0734999999995"/>
    <n v="3478.0734999999995"/>
    <x v="1"/>
    <s v="2210"/>
    <s v="000"/>
    <x v="5"/>
    <x v="1"/>
  </r>
  <r>
    <d v="2012-03-22T00:00:00"/>
    <s v="017-2220-000"/>
    <s v="Beer Sales"/>
    <n v="897.76749999999993"/>
    <n v="0"/>
    <s v="Daily Sales Import"/>
    <n v="-897.76749999999993"/>
    <n v="897.76749999999993"/>
    <x v="1"/>
    <s v="2220"/>
    <s v="000"/>
    <x v="5"/>
    <x v="1"/>
  </r>
  <r>
    <d v="2012-03-22T00:00:00"/>
    <s v="017-2230-000"/>
    <s v="Wine Sales"/>
    <n v="277.56400000000002"/>
    <n v="0"/>
    <s v="Daily Sales Import"/>
    <n v="-277.56400000000002"/>
    <n v="277.56400000000002"/>
    <x v="1"/>
    <s v="2230"/>
    <s v="000"/>
    <x v="5"/>
    <x v="1"/>
  </r>
  <r>
    <d v="2012-03-23T00:00:00"/>
    <s v="017-2100-000"/>
    <s v="Food Sales"/>
    <n v="8415.1375999999982"/>
    <n v="0"/>
    <s v="Daily Sales Import"/>
    <n v="-8415.1375999999982"/>
    <n v="8415.1375999999982"/>
    <x v="1"/>
    <s v="2100"/>
    <s v="000"/>
    <x v="5"/>
    <x v="1"/>
  </r>
  <r>
    <d v="2012-03-23T00:00:00"/>
    <s v="017-2210-000"/>
    <s v="Liquor Sales"/>
    <n v="3038.5185000000001"/>
    <n v="0"/>
    <s v="Daily Sales Import"/>
    <n v="-3038.5185000000001"/>
    <n v="3038.5185000000001"/>
    <x v="1"/>
    <s v="2210"/>
    <s v="000"/>
    <x v="5"/>
    <x v="1"/>
  </r>
  <r>
    <d v="2012-03-23T00:00:00"/>
    <s v="017-2220-000"/>
    <s v="Beer Sales"/>
    <n v="554.04999999999995"/>
    <n v="0"/>
    <s v="Daily Sales Import"/>
    <n v="-554.04999999999995"/>
    <n v="554.04999999999995"/>
    <x v="1"/>
    <s v="2220"/>
    <s v="000"/>
    <x v="5"/>
    <x v="1"/>
  </r>
  <r>
    <d v="2012-03-23T00:00:00"/>
    <s v="017-2230-000"/>
    <s v="Wine Sales"/>
    <n v="114.5275"/>
    <n v="0"/>
    <s v="Daily Sales Import"/>
    <n v="-114.5275"/>
    <n v="114.5275"/>
    <x v="1"/>
    <s v="2230"/>
    <s v="000"/>
    <x v="5"/>
    <x v="1"/>
  </r>
  <r>
    <d v="2012-03-24T00:00:00"/>
    <s v="017-2100-000"/>
    <s v="Food Sales"/>
    <n v="9260.8052000000007"/>
    <n v="0"/>
    <s v="Daily Sales Import"/>
    <n v="-9260.8052000000007"/>
    <n v="9260.8052000000007"/>
    <x v="1"/>
    <s v="2100"/>
    <s v="000"/>
    <x v="5"/>
    <x v="1"/>
  </r>
  <r>
    <d v="2012-03-24T00:00:00"/>
    <s v="017-2210-000"/>
    <s v="Liquor Sales"/>
    <n v="2313.5165000000002"/>
    <n v="0"/>
    <s v="Daily Sales Import"/>
    <n v="-2313.5165000000002"/>
    <n v="2313.5165000000002"/>
    <x v="1"/>
    <s v="2210"/>
    <s v="000"/>
    <x v="5"/>
    <x v="1"/>
  </r>
  <r>
    <d v="2012-03-24T00:00:00"/>
    <s v="017-2220-000"/>
    <s v="Beer Sales"/>
    <n v="573.41000000000008"/>
    <n v="0"/>
    <s v="Daily Sales Import"/>
    <n v="-573.41000000000008"/>
    <n v="573.41000000000008"/>
    <x v="1"/>
    <s v="2220"/>
    <s v="000"/>
    <x v="5"/>
    <x v="1"/>
  </r>
  <r>
    <d v="2012-03-24T00:00:00"/>
    <s v="017-2230-000"/>
    <s v="Wine Sales"/>
    <n v="107.52"/>
    <n v="0"/>
    <s v="Daily Sales Import"/>
    <n v="-107.52"/>
    <n v="107.52"/>
    <x v="1"/>
    <s v="2230"/>
    <s v="000"/>
    <x v="5"/>
    <x v="1"/>
  </r>
  <r>
    <d v="2012-03-25T00:00:00"/>
    <s v="017-2100-000"/>
    <s v="Food Sales"/>
    <n v="4360.6720000000005"/>
    <n v="0"/>
    <s v="Daily Sales Import"/>
    <n v="-4360.6720000000005"/>
    <n v="4360.6720000000005"/>
    <x v="1"/>
    <s v="2100"/>
    <s v="000"/>
    <x v="5"/>
    <x v="1"/>
  </r>
  <r>
    <d v="2012-03-25T00:00:00"/>
    <s v="017-2210-000"/>
    <s v="Liquor Sales"/>
    <n v="1187.1624999999999"/>
    <n v="0"/>
    <s v="Daily Sales Import"/>
    <n v="-1187.1624999999999"/>
    <n v="1187.1624999999999"/>
    <x v="1"/>
    <s v="2210"/>
    <s v="000"/>
    <x v="5"/>
    <x v="1"/>
  </r>
  <r>
    <d v="2012-03-25T00:00:00"/>
    <s v="017-2220-000"/>
    <s v="Beer Sales"/>
    <n v="146.88499999999999"/>
    <n v="0"/>
    <s v="Daily Sales Import"/>
    <n v="-146.88499999999999"/>
    <n v="146.88499999999999"/>
    <x v="1"/>
    <s v="2220"/>
    <s v="000"/>
    <x v="5"/>
    <x v="1"/>
  </r>
  <r>
    <d v="2012-03-25T00:00:00"/>
    <s v="017-2230-000"/>
    <s v="Wine Sales"/>
    <n v="136.01"/>
    <n v="0"/>
    <s v="Daily Sales Import"/>
    <n v="-136.01"/>
    <n v="136.01"/>
    <x v="1"/>
    <s v="2230"/>
    <s v="000"/>
    <x v="5"/>
    <x v="1"/>
  </r>
  <r>
    <d v="2012-03-19T00:00:00"/>
    <s v="018-2100-000"/>
    <s v="Food Sales"/>
    <n v="3994.2420000000002"/>
    <n v="0"/>
    <s v="Daily Sales Import"/>
    <n v="-3994.2420000000002"/>
    <n v="3994.2420000000002"/>
    <x v="2"/>
    <s v="2100"/>
    <s v="000"/>
    <x v="5"/>
    <x v="1"/>
  </r>
  <r>
    <d v="2012-03-19T00:00:00"/>
    <s v="018-2210-000"/>
    <s v="Liquor Sales"/>
    <n v="705.18"/>
    <n v="0"/>
    <s v="Daily Sales Import"/>
    <n v="-705.18"/>
    <n v="705.18"/>
    <x v="2"/>
    <s v="2210"/>
    <s v="000"/>
    <x v="5"/>
    <x v="1"/>
  </r>
  <r>
    <d v="2012-03-19T00:00:00"/>
    <s v="018-2220-000"/>
    <s v="Beer Sales"/>
    <n v="170.34549999999999"/>
    <n v="0"/>
    <s v="Daily Sales Import"/>
    <n v="-170.34549999999999"/>
    <n v="170.34549999999999"/>
    <x v="2"/>
    <s v="2220"/>
    <s v="000"/>
    <x v="5"/>
    <x v="1"/>
  </r>
  <r>
    <d v="2012-03-19T00:00:00"/>
    <s v="018-2230-000"/>
    <s v="Wine Sales"/>
    <n v="17.876999999999999"/>
    <n v="0"/>
    <s v="Daily Sales Import"/>
    <n v="-17.876999999999999"/>
    <n v="17.876999999999999"/>
    <x v="2"/>
    <s v="2230"/>
    <s v="000"/>
    <x v="5"/>
    <x v="1"/>
  </r>
  <r>
    <d v="2012-03-20T00:00:00"/>
    <s v="018-2100-000"/>
    <s v="Food Sales"/>
    <n v="4773.2150000000001"/>
    <n v="0"/>
    <s v="Daily Sales Import"/>
    <n v="-4773.2150000000001"/>
    <n v="4773.2150000000001"/>
    <x v="2"/>
    <s v="2100"/>
    <s v="000"/>
    <x v="5"/>
    <x v="1"/>
  </r>
  <r>
    <d v="2012-03-20T00:00:00"/>
    <s v="018-2210-000"/>
    <s v="Liquor Sales"/>
    <n v="718.89400000000001"/>
    <n v="0"/>
    <s v="Daily Sales Import"/>
    <n v="-718.89400000000001"/>
    <n v="718.89400000000001"/>
    <x v="2"/>
    <s v="2210"/>
    <s v="000"/>
    <x v="5"/>
    <x v="1"/>
  </r>
  <r>
    <d v="2012-03-20T00:00:00"/>
    <s v="018-2220-000"/>
    <s v="Beer Sales"/>
    <n v="125.15400000000001"/>
    <n v="0"/>
    <s v="Daily Sales Import"/>
    <n v="-125.15400000000001"/>
    <n v="125.15400000000001"/>
    <x v="2"/>
    <s v="2220"/>
    <s v="000"/>
    <x v="5"/>
    <x v="1"/>
  </r>
  <r>
    <d v="2012-03-20T00:00:00"/>
    <s v="018-2230-000"/>
    <s v="Wine Sales"/>
    <n v="32.230000000000004"/>
    <n v="0"/>
    <s v="Daily Sales Import"/>
    <n v="-32.230000000000004"/>
    <n v="32.230000000000004"/>
    <x v="2"/>
    <s v="2230"/>
    <s v="000"/>
    <x v="5"/>
    <x v="1"/>
  </r>
  <r>
    <d v="2012-03-21T00:00:00"/>
    <s v="018-2100-000"/>
    <s v="Food Sales"/>
    <n v="4627.1220000000003"/>
    <n v="0"/>
    <s v="Daily Sales Import"/>
    <n v="-4627.1220000000003"/>
    <n v="4627.1220000000003"/>
    <x v="2"/>
    <s v="2100"/>
    <s v="000"/>
    <x v="5"/>
    <x v="1"/>
  </r>
  <r>
    <d v="2012-03-21T00:00:00"/>
    <s v="018-2210-000"/>
    <s v="Liquor Sales"/>
    <n v="547.2589999999999"/>
    <n v="0"/>
    <s v="Daily Sales Import"/>
    <n v="-547.2589999999999"/>
    <n v="547.2589999999999"/>
    <x v="2"/>
    <s v="2210"/>
    <s v="000"/>
    <x v="5"/>
    <x v="1"/>
  </r>
  <r>
    <d v="2012-03-21T00:00:00"/>
    <s v="018-2220-000"/>
    <s v="Beer Sales"/>
    <n v="119.268"/>
    <n v="0"/>
    <s v="Daily Sales Import"/>
    <n v="-119.268"/>
    <n v="119.268"/>
    <x v="2"/>
    <s v="2220"/>
    <s v="000"/>
    <x v="5"/>
    <x v="1"/>
  </r>
  <r>
    <d v="2012-03-21T00:00:00"/>
    <s v="018-2230-000"/>
    <s v="Wine Sales"/>
    <n v="84.8065"/>
    <n v="0"/>
    <s v="Daily Sales Import"/>
    <n v="-84.8065"/>
    <n v="84.8065"/>
    <x v="2"/>
    <s v="2230"/>
    <s v="000"/>
    <x v="5"/>
    <x v="1"/>
  </r>
  <r>
    <d v="2012-03-22T00:00:00"/>
    <s v="018-2100-000"/>
    <s v="Food Sales"/>
    <n v="6307.1629999999996"/>
    <n v="0"/>
    <s v="Daily Sales Import"/>
    <n v="-6307.1629999999996"/>
    <n v="6307.1629999999996"/>
    <x v="2"/>
    <s v="2100"/>
    <s v="000"/>
    <x v="5"/>
    <x v="1"/>
  </r>
  <r>
    <d v="2012-03-22T00:00:00"/>
    <s v="018-2210-000"/>
    <s v="Liquor Sales"/>
    <n v="1319.2605000000001"/>
    <n v="0"/>
    <s v="Daily Sales Import"/>
    <n v="-1319.2605000000001"/>
    <n v="1319.2605000000001"/>
    <x v="2"/>
    <s v="2210"/>
    <s v="000"/>
    <x v="5"/>
    <x v="1"/>
  </r>
  <r>
    <d v="2012-03-22T00:00:00"/>
    <s v="018-2220-000"/>
    <s v="Beer Sales"/>
    <n v="304.95400000000001"/>
    <n v="0"/>
    <s v="Daily Sales Import"/>
    <n v="-304.95400000000001"/>
    <n v="304.95400000000001"/>
    <x v="2"/>
    <s v="2220"/>
    <s v="000"/>
    <x v="5"/>
    <x v="1"/>
  </r>
  <r>
    <d v="2012-03-22T00:00:00"/>
    <s v="018-2230-000"/>
    <s v="Wine Sales"/>
    <n v="84.719999999999985"/>
    <n v="0"/>
    <s v="Daily Sales Import"/>
    <n v="-84.719999999999985"/>
    <n v="84.719999999999985"/>
    <x v="2"/>
    <s v="2230"/>
    <s v="000"/>
    <x v="5"/>
    <x v="1"/>
  </r>
  <r>
    <d v="2012-03-23T00:00:00"/>
    <s v="018-2100-000"/>
    <s v="Food Sales"/>
    <n v="10346.200000000001"/>
    <n v="0"/>
    <s v="Daily Sales Import"/>
    <n v="-10346.200000000001"/>
    <n v="10346.200000000001"/>
    <x v="2"/>
    <s v="2100"/>
    <s v="000"/>
    <x v="5"/>
    <x v="1"/>
  </r>
  <r>
    <d v="2012-03-23T00:00:00"/>
    <s v="018-2210-000"/>
    <s v="Liquor Sales"/>
    <n v="3149.2550000000001"/>
    <n v="0"/>
    <s v="Daily Sales Import"/>
    <n v="-3149.2550000000001"/>
    <n v="3149.2550000000001"/>
    <x v="2"/>
    <s v="2210"/>
    <s v="000"/>
    <x v="5"/>
    <x v="1"/>
  </r>
  <r>
    <d v="2012-03-23T00:00:00"/>
    <s v="018-2220-000"/>
    <s v="Beer Sales"/>
    <n v="459.92999999999995"/>
    <n v="0"/>
    <s v="Daily Sales Import"/>
    <n v="-459.92999999999995"/>
    <n v="459.92999999999995"/>
    <x v="2"/>
    <s v="2220"/>
    <s v="000"/>
    <x v="5"/>
    <x v="1"/>
  </r>
  <r>
    <d v="2012-03-23T00:00:00"/>
    <s v="018-2230-000"/>
    <s v="Wine Sales"/>
    <n v="114.75200000000001"/>
    <n v="0"/>
    <s v="Daily Sales Import"/>
    <n v="-114.75200000000001"/>
    <n v="114.75200000000001"/>
    <x v="2"/>
    <s v="2230"/>
    <s v="000"/>
    <x v="5"/>
    <x v="1"/>
  </r>
  <r>
    <d v="2012-03-24T00:00:00"/>
    <s v="018-2100-000"/>
    <s v="Food Sales"/>
    <n v="14075.512500000001"/>
    <n v="0"/>
    <s v="Daily Sales Import"/>
    <n v="-14075.512500000001"/>
    <n v="14075.512500000001"/>
    <x v="2"/>
    <s v="2100"/>
    <s v="000"/>
    <x v="5"/>
    <x v="1"/>
  </r>
  <r>
    <d v="2012-03-24T00:00:00"/>
    <s v="018-2210-000"/>
    <s v="Liquor Sales"/>
    <n v="4025.5520000000006"/>
    <n v="0"/>
    <s v="Daily Sales Import"/>
    <n v="-4025.5520000000006"/>
    <n v="4025.5520000000006"/>
    <x v="2"/>
    <s v="2210"/>
    <s v="000"/>
    <x v="5"/>
    <x v="1"/>
  </r>
  <r>
    <d v="2012-03-24T00:00:00"/>
    <s v="018-2220-000"/>
    <s v="Beer Sales"/>
    <n v="595.851"/>
    <n v="0"/>
    <s v="Daily Sales Import"/>
    <n v="-595.851"/>
    <n v="595.851"/>
    <x v="2"/>
    <s v="2220"/>
    <s v="000"/>
    <x v="5"/>
    <x v="1"/>
  </r>
  <r>
    <d v="2012-03-24T00:00:00"/>
    <s v="018-2230-000"/>
    <s v="Wine Sales"/>
    <n v="53.372"/>
    <n v="0"/>
    <s v="Daily Sales Import"/>
    <n v="-53.372"/>
    <n v="53.372"/>
    <x v="2"/>
    <s v="2230"/>
    <s v="000"/>
    <x v="5"/>
    <x v="1"/>
  </r>
  <r>
    <d v="2012-03-25T00:00:00"/>
    <s v="018-2100-000"/>
    <s v="Food Sales"/>
    <n v="11840.584000000001"/>
    <n v="0"/>
    <s v="Daily Sales Import"/>
    <n v="-11840.584000000001"/>
    <n v="11840.584000000001"/>
    <x v="2"/>
    <s v="2100"/>
    <s v="000"/>
    <x v="5"/>
    <x v="1"/>
  </r>
  <r>
    <d v="2012-03-25T00:00:00"/>
    <s v="018-2210-000"/>
    <s v="Liquor Sales"/>
    <n v="1094.9714999999999"/>
    <n v="0"/>
    <s v="Daily Sales Import"/>
    <n v="-1094.9714999999999"/>
    <n v="1094.9714999999999"/>
    <x v="2"/>
    <s v="2210"/>
    <s v="000"/>
    <x v="5"/>
    <x v="1"/>
  </r>
  <r>
    <d v="2012-03-25T00:00:00"/>
    <s v="018-2220-000"/>
    <s v="Beer Sales"/>
    <n v="178.26300000000001"/>
    <n v="0"/>
    <s v="Daily Sales Import"/>
    <n v="-178.26300000000001"/>
    <n v="178.26300000000001"/>
    <x v="2"/>
    <s v="2220"/>
    <s v="000"/>
    <x v="5"/>
    <x v="1"/>
  </r>
  <r>
    <d v="2012-03-25T00:00:00"/>
    <s v="018-2230-000"/>
    <s v="Wine Sales"/>
    <n v="168.67250000000001"/>
    <n v="0"/>
    <s v="Daily Sales Import"/>
    <n v="-168.67250000000001"/>
    <n v="168.67250000000001"/>
    <x v="2"/>
    <s v="2230"/>
    <s v="000"/>
    <x v="5"/>
    <x v="1"/>
  </r>
  <r>
    <d v="2012-03-26T00:00:00"/>
    <s v="016-2100-000"/>
    <s v="Food Sales"/>
    <n v="3232.3977"/>
    <n v="0"/>
    <s v="Daily Sales Import"/>
    <n v="-3232.3977"/>
    <n v="3232.3977"/>
    <x v="0"/>
    <s v="2100"/>
    <s v="000"/>
    <x v="5"/>
    <x v="1"/>
  </r>
  <r>
    <d v="2012-03-26T00:00:00"/>
    <s v="016-2210-000"/>
    <s v="Liquor Sales"/>
    <n v="1123.3174999999999"/>
    <n v="0"/>
    <s v="Daily Sales Import"/>
    <n v="-1123.3174999999999"/>
    <n v="1123.3174999999999"/>
    <x v="0"/>
    <s v="2210"/>
    <s v="000"/>
    <x v="5"/>
    <x v="1"/>
  </r>
  <r>
    <d v="2012-03-26T00:00:00"/>
    <s v="016-2220-000"/>
    <s v="Beer Sales"/>
    <n v="159.89999999999998"/>
    <n v="0"/>
    <s v="Daily Sales Import"/>
    <n v="-159.89999999999998"/>
    <n v="159.89999999999998"/>
    <x v="0"/>
    <s v="2220"/>
    <s v="000"/>
    <x v="5"/>
    <x v="1"/>
  </r>
  <r>
    <d v="2012-03-26T00:00:00"/>
    <s v="016-2230-000"/>
    <s v="Wine Sales"/>
    <n v="36.224999999999994"/>
    <n v="0"/>
    <s v="Daily Sales Import"/>
    <n v="-36.224999999999994"/>
    <n v="36.224999999999994"/>
    <x v="0"/>
    <s v="2230"/>
    <s v="000"/>
    <x v="5"/>
    <x v="1"/>
  </r>
  <r>
    <d v="2012-03-27T00:00:00"/>
    <s v="016-2100-000"/>
    <s v="Food Sales"/>
    <n v="3692.7633999999998"/>
    <n v="0"/>
    <s v="Daily Sales Import"/>
    <n v="-3692.7633999999998"/>
    <n v="3692.7633999999998"/>
    <x v="0"/>
    <s v="2100"/>
    <s v="000"/>
    <x v="5"/>
    <x v="1"/>
  </r>
  <r>
    <d v="2012-03-27T00:00:00"/>
    <s v="016-2210-000"/>
    <s v="Liquor Sales"/>
    <n v="1395.558"/>
    <n v="0"/>
    <s v="Daily Sales Import"/>
    <n v="-1395.558"/>
    <n v="1395.558"/>
    <x v="0"/>
    <s v="2210"/>
    <s v="000"/>
    <x v="5"/>
    <x v="1"/>
  </r>
  <r>
    <d v="2012-03-27T00:00:00"/>
    <s v="016-2220-000"/>
    <s v="Beer Sales"/>
    <n v="130.92750000000001"/>
    <n v="0"/>
    <s v="Daily Sales Import"/>
    <n v="-130.92750000000001"/>
    <n v="130.92750000000001"/>
    <x v="0"/>
    <s v="2220"/>
    <s v="000"/>
    <x v="5"/>
    <x v="1"/>
  </r>
  <r>
    <d v="2012-03-27T00:00:00"/>
    <s v="016-2230-000"/>
    <s v="Wine Sales"/>
    <n v="101.80500000000001"/>
    <n v="0"/>
    <s v="Daily Sales Import"/>
    <n v="-101.80500000000001"/>
    <n v="101.80500000000001"/>
    <x v="0"/>
    <s v="2230"/>
    <s v="000"/>
    <x v="5"/>
    <x v="1"/>
  </r>
  <r>
    <d v="2012-03-28T00:00:00"/>
    <s v="016-2100-000"/>
    <s v="Food Sales"/>
    <n v="3141.7430000000004"/>
    <n v="0"/>
    <s v="Daily Sales Import"/>
    <n v="-3141.7430000000004"/>
    <n v="3141.7430000000004"/>
    <x v="0"/>
    <s v="2100"/>
    <s v="000"/>
    <x v="5"/>
    <x v="1"/>
  </r>
  <r>
    <d v="2012-03-28T00:00:00"/>
    <s v="016-2210-000"/>
    <s v="Liquor Sales"/>
    <n v="1234.0999999999999"/>
    <n v="0"/>
    <s v="Daily Sales Import"/>
    <n v="-1234.0999999999999"/>
    <n v="1234.0999999999999"/>
    <x v="0"/>
    <s v="2210"/>
    <s v="000"/>
    <x v="5"/>
    <x v="1"/>
  </r>
  <r>
    <d v="2012-03-28T00:00:00"/>
    <s v="016-2220-000"/>
    <s v="Beer Sales"/>
    <n v="174.53699999999998"/>
    <n v="0"/>
    <s v="Daily Sales Import"/>
    <n v="-174.53699999999998"/>
    <n v="174.53699999999998"/>
    <x v="0"/>
    <s v="2220"/>
    <s v="000"/>
    <x v="5"/>
    <x v="1"/>
  </r>
  <r>
    <d v="2012-03-28T00:00:00"/>
    <s v="016-2230-000"/>
    <s v="Wine Sales"/>
    <n v="120.47499999999999"/>
    <n v="0"/>
    <s v="Daily Sales Import"/>
    <n v="-120.47499999999999"/>
    <n v="120.47499999999999"/>
    <x v="0"/>
    <s v="2230"/>
    <s v="000"/>
    <x v="5"/>
    <x v="1"/>
  </r>
  <r>
    <d v="2012-03-29T00:00:00"/>
    <s v="016-2100-000"/>
    <s v="Food Sales"/>
    <n v="5094.6732000000002"/>
    <n v="0"/>
    <s v="Daily Sales Import"/>
    <n v="-5094.6732000000002"/>
    <n v="5094.6732000000002"/>
    <x v="0"/>
    <s v="2100"/>
    <s v="000"/>
    <x v="5"/>
    <x v="1"/>
  </r>
  <r>
    <d v="2012-03-29T00:00:00"/>
    <s v="016-2210-000"/>
    <s v="Liquor Sales"/>
    <n v="1121.77"/>
    <n v="0"/>
    <s v="Daily Sales Import"/>
    <n v="-1121.77"/>
    <n v="1121.77"/>
    <x v="0"/>
    <s v="2210"/>
    <s v="000"/>
    <x v="5"/>
    <x v="1"/>
  </r>
  <r>
    <d v="2012-03-29T00:00:00"/>
    <s v="016-2220-000"/>
    <s v="Beer Sales"/>
    <n v="173.07"/>
    <n v="0"/>
    <s v="Daily Sales Import"/>
    <n v="-173.07"/>
    <n v="173.07"/>
    <x v="0"/>
    <s v="2220"/>
    <s v="000"/>
    <x v="5"/>
    <x v="1"/>
  </r>
  <r>
    <d v="2012-03-29T00:00:00"/>
    <s v="016-2230-000"/>
    <s v="Wine Sales"/>
    <n v="161.56"/>
    <n v="0"/>
    <s v="Daily Sales Import"/>
    <n v="-161.56"/>
    <n v="161.56"/>
    <x v="0"/>
    <s v="2230"/>
    <s v="000"/>
    <x v="5"/>
    <x v="1"/>
  </r>
  <r>
    <d v="2012-03-30T00:00:00"/>
    <s v="016-2100-000"/>
    <s v="Food Sales"/>
    <n v="9804.0123999999996"/>
    <n v="0"/>
    <s v="Daily Sales Import"/>
    <n v="-9804.0123999999996"/>
    <n v="9804.0123999999996"/>
    <x v="0"/>
    <s v="2100"/>
    <s v="000"/>
    <x v="5"/>
    <x v="1"/>
  </r>
  <r>
    <d v="2012-03-30T00:00:00"/>
    <s v="016-2210-000"/>
    <s v="Liquor Sales"/>
    <n v="2735.1349999999998"/>
    <n v="0"/>
    <s v="Daily Sales Import"/>
    <n v="-2735.1349999999998"/>
    <n v="2735.1349999999998"/>
    <x v="0"/>
    <s v="2210"/>
    <s v="000"/>
    <x v="5"/>
    <x v="1"/>
  </r>
  <r>
    <d v="2012-03-30T00:00:00"/>
    <s v="016-2220-000"/>
    <s v="Beer Sales"/>
    <n v="376.8"/>
    <n v="0"/>
    <s v="Daily Sales Import"/>
    <n v="-376.8"/>
    <n v="376.8"/>
    <x v="0"/>
    <s v="2220"/>
    <s v="000"/>
    <x v="5"/>
    <x v="1"/>
  </r>
  <r>
    <d v="2012-03-30T00:00:00"/>
    <s v="016-2230-000"/>
    <s v="Wine Sales"/>
    <n v="264.745"/>
    <n v="0"/>
    <s v="Daily Sales Import"/>
    <n v="-264.745"/>
    <n v="264.745"/>
    <x v="0"/>
    <s v="2230"/>
    <s v="000"/>
    <x v="5"/>
    <x v="1"/>
  </r>
  <r>
    <d v="2012-03-31T00:00:00"/>
    <s v="016-2100-000"/>
    <s v="Food Sales"/>
    <n v="6586.0032000000001"/>
    <n v="0"/>
    <s v="Daily Sales Import"/>
    <n v="-6586.0032000000001"/>
    <n v="6586.0032000000001"/>
    <x v="0"/>
    <s v="2100"/>
    <s v="000"/>
    <x v="5"/>
    <x v="1"/>
  </r>
  <r>
    <d v="2012-03-31T00:00:00"/>
    <s v="016-2210-000"/>
    <s v="Liquor Sales"/>
    <n v="2672.6079999999997"/>
    <n v="0"/>
    <s v="Daily Sales Import"/>
    <n v="-2672.6079999999997"/>
    <n v="2672.6079999999997"/>
    <x v="0"/>
    <s v="2210"/>
    <s v="000"/>
    <x v="5"/>
    <x v="1"/>
  </r>
  <r>
    <d v="2012-03-31T00:00:00"/>
    <s v="016-2220-000"/>
    <s v="Beer Sales"/>
    <n v="473.75549999999993"/>
    <n v="0"/>
    <s v="Daily Sales Import"/>
    <n v="-473.75549999999993"/>
    <n v="473.75549999999993"/>
    <x v="0"/>
    <s v="2220"/>
    <s v="000"/>
    <x v="5"/>
    <x v="1"/>
  </r>
  <r>
    <d v="2012-03-31T00:00:00"/>
    <s v="016-2230-000"/>
    <s v="Wine Sales"/>
    <n v="333.22999999999996"/>
    <n v="0"/>
    <s v="Daily Sales Import"/>
    <n v="-333.22999999999996"/>
    <n v="333.22999999999996"/>
    <x v="0"/>
    <s v="2230"/>
    <s v="000"/>
    <x v="5"/>
    <x v="1"/>
  </r>
  <r>
    <d v="2012-03-26T00:00:00"/>
    <s v="017-2100-000"/>
    <s v="Food Sales"/>
    <n v="3498.6488999999997"/>
    <n v="0"/>
    <s v="Daily Sales Import"/>
    <n v="-3498.6488999999997"/>
    <n v="3498.6488999999997"/>
    <x v="1"/>
    <s v="2100"/>
    <s v="000"/>
    <x v="5"/>
    <x v="1"/>
  </r>
  <r>
    <d v="2012-03-26T00:00:00"/>
    <s v="017-2210-000"/>
    <s v="Liquor Sales"/>
    <n v="1588.3525"/>
    <n v="0"/>
    <s v="Daily Sales Import"/>
    <n v="-1588.3525"/>
    <n v="1588.3525"/>
    <x v="1"/>
    <s v="2210"/>
    <s v="000"/>
    <x v="5"/>
    <x v="1"/>
  </r>
  <r>
    <d v="2012-03-26T00:00:00"/>
    <s v="017-2220-000"/>
    <s v="Beer Sales"/>
    <n v="280.73500000000001"/>
    <n v="0"/>
    <s v="Daily Sales Import"/>
    <n v="-280.73500000000001"/>
    <n v="280.73500000000001"/>
    <x v="1"/>
    <s v="2220"/>
    <s v="000"/>
    <x v="5"/>
    <x v="1"/>
  </r>
  <r>
    <d v="2012-03-26T00:00:00"/>
    <s v="017-2230-000"/>
    <s v="Wine Sales"/>
    <n v="10.308999999999999"/>
    <n v="0"/>
    <s v="Daily Sales Import"/>
    <n v="-10.308999999999999"/>
    <n v="10.308999999999999"/>
    <x v="1"/>
    <s v="2230"/>
    <s v="000"/>
    <x v="5"/>
    <x v="1"/>
  </r>
  <r>
    <d v="2012-03-27T00:00:00"/>
    <s v="017-2100-000"/>
    <s v="Food Sales"/>
    <n v="5534.5752000000002"/>
    <n v="0"/>
    <s v="Daily Sales Import"/>
    <n v="-5534.5752000000002"/>
    <n v="5534.5752000000002"/>
    <x v="1"/>
    <s v="2100"/>
    <s v="000"/>
    <x v="5"/>
    <x v="1"/>
  </r>
  <r>
    <d v="2012-03-27T00:00:00"/>
    <s v="017-2210-000"/>
    <s v="Liquor Sales"/>
    <n v="1389.5719999999999"/>
    <n v="0"/>
    <s v="Daily Sales Import"/>
    <n v="-1389.5719999999999"/>
    <n v="1389.5719999999999"/>
    <x v="1"/>
    <s v="2210"/>
    <s v="000"/>
    <x v="5"/>
    <x v="1"/>
  </r>
  <r>
    <d v="2012-03-27T00:00:00"/>
    <s v="017-2220-000"/>
    <s v="Beer Sales"/>
    <n v="255.76250000000002"/>
    <n v="0"/>
    <s v="Daily Sales Import"/>
    <n v="-255.76250000000002"/>
    <n v="255.76250000000002"/>
    <x v="1"/>
    <s v="2220"/>
    <s v="000"/>
    <x v="5"/>
    <x v="1"/>
  </r>
  <r>
    <d v="2012-03-27T00:00:00"/>
    <s v="017-2230-000"/>
    <s v="Wine Sales"/>
    <n v="54.2455"/>
    <n v="0"/>
    <s v="Daily Sales Import"/>
    <n v="-54.2455"/>
    <n v="54.2455"/>
    <x v="1"/>
    <s v="2230"/>
    <s v="000"/>
    <x v="5"/>
    <x v="1"/>
  </r>
  <r>
    <d v="2012-03-28T00:00:00"/>
    <s v="017-2100-000"/>
    <s v="Food Sales"/>
    <n v="6848.8101999999999"/>
    <n v="0"/>
    <s v="Daily Sales Import"/>
    <n v="-6848.8101999999999"/>
    <n v="6848.8101999999999"/>
    <x v="1"/>
    <s v="2100"/>
    <s v="000"/>
    <x v="5"/>
    <x v="1"/>
  </r>
  <r>
    <d v="2012-03-28T00:00:00"/>
    <s v="017-2210-000"/>
    <s v="Liquor Sales"/>
    <n v="2340.3380000000002"/>
    <n v="0"/>
    <s v="Daily Sales Import"/>
    <n v="-2340.3380000000002"/>
    <n v="2340.3380000000002"/>
    <x v="1"/>
    <s v="2210"/>
    <s v="000"/>
    <x v="5"/>
    <x v="1"/>
  </r>
  <r>
    <d v="2012-03-28T00:00:00"/>
    <s v="017-2220-000"/>
    <s v="Beer Sales"/>
    <n v="371.21249999999998"/>
    <n v="0"/>
    <s v="Daily Sales Import"/>
    <n v="-371.21249999999998"/>
    <n v="371.21249999999998"/>
    <x v="1"/>
    <s v="2220"/>
    <s v="000"/>
    <x v="5"/>
    <x v="1"/>
  </r>
  <r>
    <d v="2012-03-28T00:00:00"/>
    <s v="017-2230-000"/>
    <s v="Wine Sales"/>
    <n v="156.33749999999998"/>
    <n v="0"/>
    <s v="Daily Sales Import"/>
    <n v="-156.33749999999998"/>
    <n v="156.33749999999998"/>
    <x v="1"/>
    <s v="2230"/>
    <s v="000"/>
    <x v="5"/>
    <x v="1"/>
  </r>
  <r>
    <d v="2012-03-29T00:00:00"/>
    <s v="017-2100-000"/>
    <s v="Food Sales"/>
    <n v="7565.3927999999996"/>
    <n v="0"/>
    <s v="Daily Sales Import"/>
    <n v="-7565.3927999999996"/>
    <n v="7565.3927999999996"/>
    <x v="1"/>
    <s v="2100"/>
    <s v="000"/>
    <x v="5"/>
    <x v="1"/>
  </r>
  <r>
    <d v="2012-03-29T00:00:00"/>
    <s v="017-2210-000"/>
    <s v="Liquor Sales"/>
    <n v="2330.2439999999997"/>
    <n v="0"/>
    <s v="Daily Sales Import"/>
    <n v="-2330.2439999999997"/>
    <n v="2330.2439999999997"/>
    <x v="1"/>
    <s v="2210"/>
    <s v="000"/>
    <x v="5"/>
    <x v="1"/>
  </r>
  <r>
    <d v="2012-03-29T00:00:00"/>
    <s v="017-2220-000"/>
    <s v="Beer Sales"/>
    <n v="509.23999999999995"/>
    <n v="0"/>
    <s v="Daily Sales Import"/>
    <n v="-509.23999999999995"/>
    <n v="509.23999999999995"/>
    <x v="1"/>
    <s v="2220"/>
    <s v="000"/>
    <x v="5"/>
    <x v="1"/>
  </r>
  <r>
    <d v="2012-03-29T00:00:00"/>
    <s v="017-2230-000"/>
    <s v="Wine Sales"/>
    <n v="30.951999999999998"/>
    <n v="0"/>
    <s v="Daily Sales Import"/>
    <n v="-30.951999999999998"/>
    <n v="30.951999999999998"/>
    <x v="1"/>
    <s v="2230"/>
    <s v="000"/>
    <x v="5"/>
    <x v="1"/>
  </r>
  <r>
    <d v="2012-03-30T00:00:00"/>
    <s v="017-2100-000"/>
    <s v="Food Sales"/>
    <n v="9730.1918999999998"/>
    <n v="0"/>
    <s v="Daily Sales Import"/>
    <n v="-9730.1918999999998"/>
    <n v="9730.1918999999998"/>
    <x v="1"/>
    <s v="2100"/>
    <s v="000"/>
    <x v="5"/>
    <x v="1"/>
  </r>
  <r>
    <d v="2012-03-30T00:00:00"/>
    <s v="017-2210-000"/>
    <s v="Liquor Sales"/>
    <n v="2603.7760000000003"/>
    <n v="0"/>
    <s v="Daily Sales Import"/>
    <n v="-2603.7760000000003"/>
    <n v="2603.7760000000003"/>
    <x v="1"/>
    <s v="2210"/>
    <s v="000"/>
    <x v="5"/>
    <x v="1"/>
  </r>
  <r>
    <d v="2012-03-30T00:00:00"/>
    <s v="017-2220-000"/>
    <s v="Beer Sales"/>
    <n v="717.98500000000001"/>
    <n v="0"/>
    <s v="Daily Sales Import"/>
    <n v="-717.98500000000001"/>
    <n v="717.98500000000001"/>
    <x v="1"/>
    <s v="2220"/>
    <s v="000"/>
    <x v="5"/>
    <x v="1"/>
  </r>
  <r>
    <d v="2012-03-30T00:00:00"/>
    <s v="017-2230-000"/>
    <s v="Wine Sales"/>
    <n v="119.85199999999999"/>
    <n v="0"/>
    <s v="Daily Sales Import"/>
    <n v="-119.85199999999999"/>
    <n v="119.85199999999999"/>
    <x v="1"/>
    <s v="2230"/>
    <s v="000"/>
    <x v="5"/>
    <x v="1"/>
  </r>
  <r>
    <d v="2012-03-31T00:00:00"/>
    <s v="017-2100-000"/>
    <s v="Food Sales"/>
    <n v="8469.0822000000007"/>
    <n v="0"/>
    <s v="Daily Sales Import"/>
    <n v="-8469.0822000000007"/>
    <n v="8469.0822000000007"/>
    <x v="1"/>
    <s v="2100"/>
    <s v="000"/>
    <x v="5"/>
    <x v="1"/>
  </r>
  <r>
    <d v="2012-03-31T00:00:00"/>
    <s v="017-2210-000"/>
    <s v="Liquor Sales"/>
    <n v="1619.5694999999998"/>
    <n v="0"/>
    <s v="Daily Sales Import"/>
    <n v="-1619.5694999999998"/>
    <n v="1619.5694999999998"/>
    <x v="1"/>
    <s v="2210"/>
    <s v="000"/>
    <x v="5"/>
    <x v="1"/>
  </r>
  <r>
    <d v="2012-03-31T00:00:00"/>
    <s v="017-2220-000"/>
    <s v="Beer Sales"/>
    <n v="293.84999999999997"/>
    <n v="0"/>
    <s v="Daily Sales Import"/>
    <n v="-293.84999999999997"/>
    <n v="293.84999999999997"/>
    <x v="1"/>
    <s v="2220"/>
    <s v="000"/>
    <x v="5"/>
    <x v="1"/>
  </r>
  <r>
    <d v="2012-03-31T00:00:00"/>
    <s v="017-2230-000"/>
    <s v="Wine Sales"/>
    <n v="73.872"/>
    <n v="0"/>
    <s v="Daily Sales Import"/>
    <n v="-73.872"/>
    <n v="73.872"/>
    <x v="1"/>
    <s v="2230"/>
    <s v="000"/>
    <x v="5"/>
    <x v="1"/>
  </r>
  <r>
    <d v="2012-03-26T00:00:00"/>
    <s v="018-2100-000"/>
    <s v="Food Sales"/>
    <n v="3371.3663000000001"/>
    <n v="0"/>
    <s v="Daily Sales Import"/>
    <n v="-3371.3663000000001"/>
    <n v="3371.3663000000001"/>
    <x v="2"/>
    <s v="2100"/>
    <s v="000"/>
    <x v="5"/>
    <x v="1"/>
  </r>
  <r>
    <d v="2012-03-26T00:00:00"/>
    <s v="018-2210-000"/>
    <s v="Liquor Sales"/>
    <n v="729.72900000000004"/>
    <n v="0"/>
    <s v="Daily Sales Import"/>
    <n v="-729.72900000000004"/>
    <n v="729.72900000000004"/>
    <x v="2"/>
    <s v="2210"/>
    <s v="000"/>
    <x v="5"/>
    <x v="1"/>
  </r>
  <r>
    <d v="2012-03-26T00:00:00"/>
    <s v="018-2220-000"/>
    <s v="Beer Sales"/>
    <n v="208.74700000000001"/>
    <n v="0"/>
    <s v="Daily Sales Import"/>
    <n v="-208.74700000000001"/>
    <n v="208.74700000000001"/>
    <x v="2"/>
    <s v="2220"/>
    <s v="000"/>
    <x v="5"/>
    <x v="1"/>
  </r>
  <r>
    <d v="2012-03-26T00:00:00"/>
    <s v="018-2230-000"/>
    <s v="Wine Sales"/>
    <n v="103.16999999999999"/>
    <n v="0"/>
    <s v="Daily Sales Import"/>
    <n v="-103.16999999999999"/>
    <n v="103.16999999999999"/>
    <x v="2"/>
    <s v="2230"/>
    <s v="000"/>
    <x v="5"/>
    <x v="1"/>
  </r>
  <r>
    <d v="2012-03-27T00:00:00"/>
    <s v="018-2100-000"/>
    <s v="Food Sales"/>
    <n v="4467.2459999999992"/>
    <n v="0"/>
    <s v="Daily Sales Import"/>
    <n v="-4467.2459999999992"/>
    <n v="4467.2459999999992"/>
    <x v="2"/>
    <s v="2100"/>
    <s v="000"/>
    <x v="5"/>
    <x v="1"/>
  </r>
  <r>
    <d v="2012-03-27T00:00:00"/>
    <s v="018-2210-000"/>
    <s v="Liquor Sales"/>
    <n v="625.99599999999998"/>
    <n v="0"/>
    <s v="Daily Sales Import"/>
    <n v="-625.99599999999998"/>
    <n v="625.99599999999998"/>
    <x v="2"/>
    <s v="2210"/>
    <s v="000"/>
    <x v="5"/>
    <x v="1"/>
  </r>
  <r>
    <d v="2012-03-27T00:00:00"/>
    <s v="018-2220-000"/>
    <s v="Beer Sales"/>
    <n v="289.08499999999998"/>
    <n v="0"/>
    <s v="Daily Sales Import"/>
    <n v="-289.08499999999998"/>
    <n v="289.08499999999998"/>
    <x v="2"/>
    <s v="2220"/>
    <s v="000"/>
    <x v="5"/>
    <x v="1"/>
  </r>
  <r>
    <d v="2012-03-27T00:00:00"/>
    <s v="018-2230-000"/>
    <s v="Wine Sales"/>
    <n v="83.348500000000001"/>
    <n v="0"/>
    <s v="Daily Sales Import"/>
    <n v="-83.348500000000001"/>
    <n v="83.348500000000001"/>
    <x v="2"/>
    <s v="2230"/>
    <s v="000"/>
    <x v="5"/>
    <x v="1"/>
  </r>
  <r>
    <d v="2012-03-28T00:00:00"/>
    <s v="018-2100-000"/>
    <s v="Food Sales"/>
    <n v="3892.5279000000005"/>
    <n v="0"/>
    <s v="Daily Sales Import"/>
    <n v="-3892.5279000000005"/>
    <n v="3892.5279000000005"/>
    <x v="2"/>
    <s v="2100"/>
    <s v="000"/>
    <x v="5"/>
    <x v="1"/>
  </r>
  <r>
    <d v="2012-03-28T00:00:00"/>
    <s v="018-2210-000"/>
    <s v="Liquor Sales"/>
    <n v="549.72299999999996"/>
    <n v="0"/>
    <s v="Daily Sales Import"/>
    <n v="-549.72299999999996"/>
    <n v="549.72299999999996"/>
    <x v="2"/>
    <s v="2210"/>
    <s v="000"/>
    <x v="5"/>
    <x v="1"/>
  </r>
  <r>
    <d v="2012-03-28T00:00:00"/>
    <s v="018-2220-000"/>
    <s v="Beer Sales"/>
    <n v="125.202"/>
    <n v="0"/>
    <s v="Daily Sales Import"/>
    <n v="-125.202"/>
    <n v="125.202"/>
    <x v="2"/>
    <s v="2220"/>
    <s v="000"/>
    <x v="5"/>
    <x v="1"/>
  </r>
  <r>
    <d v="2012-03-28T00:00:00"/>
    <s v="018-2230-000"/>
    <s v="Wine Sales"/>
    <n v="30.643999999999998"/>
    <n v="0"/>
    <s v="Daily Sales Import"/>
    <n v="-30.643999999999998"/>
    <n v="30.643999999999998"/>
    <x v="2"/>
    <s v="2230"/>
    <s v="000"/>
    <x v="5"/>
    <x v="1"/>
  </r>
  <r>
    <d v="2012-03-29T00:00:00"/>
    <s v="018-2100-000"/>
    <s v="Food Sales"/>
    <n v="4635.6269999999995"/>
    <n v="0"/>
    <s v="Daily Sales Import"/>
    <n v="-4635.6269999999995"/>
    <n v="4635.6269999999995"/>
    <x v="2"/>
    <s v="2100"/>
    <s v="000"/>
    <x v="5"/>
    <x v="1"/>
  </r>
  <r>
    <d v="2012-03-29T00:00:00"/>
    <s v="018-2210-000"/>
    <s v="Liquor Sales"/>
    <n v="1409.8080000000002"/>
    <n v="0"/>
    <s v="Daily Sales Import"/>
    <n v="-1409.8080000000002"/>
    <n v="1409.8080000000002"/>
    <x v="2"/>
    <s v="2210"/>
    <s v="000"/>
    <x v="5"/>
    <x v="1"/>
  </r>
  <r>
    <d v="2012-03-29T00:00:00"/>
    <s v="018-2220-000"/>
    <s v="Beer Sales"/>
    <n v="245.83749999999998"/>
    <n v="0"/>
    <s v="Daily Sales Import"/>
    <n v="-245.83749999999998"/>
    <n v="245.83749999999998"/>
    <x v="2"/>
    <s v="2220"/>
    <s v="000"/>
    <x v="5"/>
    <x v="1"/>
  </r>
  <r>
    <d v="2012-03-29T00:00:00"/>
    <s v="018-2230-000"/>
    <s v="Wine Sales"/>
    <n v="37.440000000000005"/>
    <n v="0"/>
    <s v="Daily Sales Import"/>
    <n v="-37.440000000000005"/>
    <n v="37.440000000000005"/>
    <x v="2"/>
    <s v="2230"/>
    <s v="000"/>
    <x v="5"/>
    <x v="1"/>
  </r>
  <r>
    <d v="2012-03-30T00:00:00"/>
    <s v="018-2100-000"/>
    <s v="Food Sales"/>
    <n v="8206.0572000000011"/>
    <n v="0"/>
    <s v="Daily Sales Import"/>
    <n v="-8206.0572000000011"/>
    <n v="8206.0572000000011"/>
    <x v="2"/>
    <s v="2100"/>
    <s v="000"/>
    <x v="5"/>
    <x v="1"/>
  </r>
  <r>
    <d v="2012-03-30T00:00:00"/>
    <s v="018-2210-000"/>
    <s v="Liquor Sales"/>
    <n v="2745.3629999999998"/>
    <n v="0"/>
    <s v="Daily Sales Import"/>
    <n v="-2745.3629999999998"/>
    <n v="2745.3629999999998"/>
    <x v="2"/>
    <s v="2210"/>
    <s v="000"/>
    <x v="5"/>
    <x v="1"/>
  </r>
  <r>
    <d v="2012-03-30T00:00:00"/>
    <s v="018-2220-000"/>
    <s v="Beer Sales"/>
    <n v="641.69099999999992"/>
    <n v="0"/>
    <s v="Daily Sales Import"/>
    <n v="-641.69099999999992"/>
    <n v="641.69099999999992"/>
    <x v="2"/>
    <s v="2220"/>
    <s v="000"/>
    <x v="5"/>
    <x v="1"/>
  </r>
  <r>
    <d v="2012-03-30T00:00:00"/>
    <s v="018-2230-000"/>
    <s v="Wine Sales"/>
    <n v="190.5085"/>
    <n v="0"/>
    <s v="Daily Sales Import"/>
    <n v="-190.5085"/>
    <n v="190.5085"/>
    <x v="2"/>
    <s v="2230"/>
    <s v="000"/>
    <x v="5"/>
    <x v="1"/>
  </r>
  <r>
    <d v="2012-03-31T00:00:00"/>
    <s v="018-2100-000"/>
    <s v="Food Sales"/>
    <n v="12426.645"/>
    <n v="0"/>
    <s v="Daily Sales Import"/>
    <n v="-12426.645"/>
    <n v="12426.645"/>
    <x v="2"/>
    <s v="2100"/>
    <s v="000"/>
    <x v="5"/>
    <x v="1"/>
  </r>
  <r>
    <d v="2012-03-31T00:00:00"/>
    <s v="018-2210-000"/>
    <s v="Liquor Sales"/>
    <n v="2120.52"/>
    <n v="0"/>
    <s v="Daily Sales Import"/>
    <n v="-2120.52"/>
    <n v="2120.52"/>
    <x v="2"/>
    <s v="2210"/>
    <s v="000"/>
    <x v="5"/>
    <x v="1"/>
  </r>
  <r>
    <d v="2012-03-31T00:00:00"/>
    <s v="018-2220-000"/>
    <s v="Beer Sales"/>
    <n v="724.21649999999988"/>
    <n v="0"/>
    <s v="Daily Sales Import"/>
    <n v="-724.21649999999988"/>
    <n v="724.21649999999988"/>
    <x v="2"/>
    <s v="2220"/>
    <s v="000"/>
    <x v="5"/>
    <x v="1"/>
  </r>
  <r>
    <d v="2012-03-31T00:00:00"/>
    <s v="018-2230-000"/>
    <s v="Wine Sales"/>
    <n v="178.29"/>
    <n v="0"/>
    <s v="Daily Sales Import"/>
    <n v="-178.29"/>
    <n v="178.29"/>
    <x v="2"/>
    <s v="2230"/>
    <s v="000"/>
    <x v="5"/>
    <x v="1"/>
  </r>
  <r>
    <d v="2012-04-01T00:00:00"/>
    <s v="016-2100-000"/>
    <s v="Food Sales"/>
    <n v="5024.4552000000003"/>
    <n v="0"/>
    <s v="Daily Sales Import"/>
    <n v="-5024.4552000000003"/>
    <n v="5024.4552000000003"/>
    <x v="0"/>
    <s v="2100"/>
    <s v="000"/>
    <x v="6"/>
    <x v="1"/>
  </r>
  <r>
    <d v="2012-04-01T00:00:00"/>
    <s v="016-2210-000"/>
    <s v="Liquor Sales"/>
    <n v="1107.652"/>
    <n v="0"/>
    <s v="Daily Sales Import"/>
    <n v="-1107.652"/>
    <n v="1107.652"/>
    <x v="0"/>
    <s v="2210"/>
    <s v="000"/>
    <x v="6"/>
    <x v="1"/>
  </r>
  <r>
    <d v="2012-04-01T00:00:00"/>
    <s v="016-2220-000"/>
    <s v="Beer Sales"/>
    <n v="195.68440000000001"/>
    <n v="0"/>
    <s v="Daily Sales Import"/>
    <n v="-195.68440000000001"/>
    <n v="195.68440000000001"/>
    <x v="0"/>
    <s v="2220"/>
    <s v="000"/>
    <x v="6"/>
    <x v="1"/>
  </r>
  <r>
    <d v="2012-04-01T00:00:00"/>
    <s v="016-2230-000"/>
    <s v="Wine Sales"/>
    <n v="99.495000000000005"/>
    <n v="0"/>
    <s v="Daily Sales Import"/>
    <n v="-99.495000000000005"/>
    <n v="99.495000000000005"/>
    <x v="0"/>
    <s v="2230"/>
    <s v="000"/>
    <x v="6"/>
    <x v="1"/>
  </r>
  <r>
    <d v="2012-04-01T00:00:00"/>
    <s v="017-2100-000"/>
    <s v="Food Sales"/>
    <n v="6309.6033000000007"/>
    <n v="0"/>
    <s v="Daily Sales Import"/>
    <n v="-6309.6033000000007"/>
    <n v="6309.6033000000007"/>
    <x v="1"/>
    <s v="2100"/>
    <s v="000"/>
    <x v="6"/>
    <x v="1"/>
  </r>
  <r>
    <d v="2012-04-01T00:00:00"/>
    <s v="017-2210-000"/>
    <s v="Liquor Sales"/>
    <n v="1407.3895"/>
    <n v="0"/>
    <s v="Daily Sales Import"/>
    <n v="-1407.3895"/>
    <n v="1407.3895"/>
    <x v="1"/>
    <s v="2210"/>
    <s v="000"/>
    <x v="6"/>
    <x v="1"/>
  </r>
  <r>
    <d v="2012-04-01T00:00:00"/>
    <s v="017-2220-000"/>
    <s v="Beer Sales"/>
    <n v="276.14999999999998"/>
    <n v="0"/>
    <s v="Daily Sales Import"/>
    <n v="-276.14999999999998"/>
    <n v="276.14999999999998"/>
    <x v="1"/>
    <s v="2220"/>
    <s v="000"/>
    <x v="6"/>
    <x v="1"/>
  </r>
  <r>
    <d v="2012-04-01T00:00:00"/>
    <s v="017-2230-000"/>
    <s v="Wine Sales"/>
    <n v="124.124"/>
    <n v="0"/>
    <s v="Daily Sales Import"/>
    <n v="-124.124"/>
    <n v="124.124"/>
    <x v="1"/>
    <s v="2230"/>
    <s v="000"/>
    <x v="6"/>
    <x v="1"/>
  </r>
  <r>
    <d v="2012-04-01T00:00:00"/>
    <s v="018-2100-000"/>
    <s v="Food Sales"/>
    <n v="11663.91"/>
    <n v="0"/>
    <s v="Daily Sales Import"/>
    <n v="-11663.91"/>
    <n v="11663.91"/>
    <x v="2"/>
    <s v="2100"/>
    <s v="000"/>
    <x v="6"/>
    <x v="1"/>
  </r>
  <r>
    <d v="2012-04-01T00:00:00"/>
    <s v="018-2210-000"/>
    <s v="Liquor Sales"/>
    <n v="929.12849999999992"/>
    <n v="0"/>
    <s v="Daily Sales Import"/>
    <n v="-929.12849999999992"/>
    <n v="929.12849999999992"/>
    <x v="2"/>
    <s v="2210"/>
    <s v="000"/>
    <x v="6"/>
    <x v="1"/>
  </r>
  <r>
    <d v="2012-04-01T00:00:00"/>
    <s v="018-2220-000"/>
    <s v="Beer Sales"/>
    <n v="264.69"/>
    <n v="0"/>
    <s v="Daily Sales Import"/>
    <n v="-264.69"/>
    <n v="264.69"/>
    <x v="2"/>
    <s v="2220"/>
    <s v="000"/>
    <x v="6"/>
    <x v="1"/>
  </r>
  <r>
    <d v="2012-04-01T00:00:00"/>
    <s v="018-2230-000"/>
    <s v="Wine Sales"/>
    <n v="61.732000000000006"/>
    <n v="0"/>
    <s v="Daily Sales Import"/>
    <n v="-61.732000000000006"/>
    <n v="61.732000000000006"/>
    <x v="2"/>
    <s v="2230"/>
    <s v="000"/>
    <x v="6"/>
    <x v="1"/>
  </r>
  <r>
    <d v="2012-04-02T00:00:00"/>
    <s v="016-2100-000"/>
    <s v="Food Sales"/>
    <n v="4072.9257000000002"/>
    <n v="0"/>
    <s v="Daily Sales Import"/>
    <n v="-4072.9257000000002"/>
    <n v="4072.9257000000002"/>
    <x v="0"/>
    <s v="2100"/>
    <s v="000"/>
    <x v="6"/>
    <x v="1"/>
  </r>
  <r>
    <d v="2012-04-02T00:00:00"/>
    <s v="016-2210-000"/>
    <s v="Liquor Sales"/>
    <n v="1106.979"/>
    <n v="0"/>
    <s v="Daily Sales Import"/>
    <n v="-1106.979"/>
    <n v="1106.979"/>
    <x v="0"/>
    <s v="2210"/>
    <s v="000"/>
    <x v="6"/>
    <x v="1"/>
  </r>
  <r>
    <d v="2012-04-02T00:00:00"/>
    <s v="016-2220-000"/>
    <s v="Beer Sales"/>
    <n v="107.63849999999999"/>
    <n v="0"/>
    <s v="Daily Sales Import"/>
    <n v="-107.63849999999999"/>
    <n v="107.63849999999999"/>
    <x v="0"/>
    <s v="2220"/>
    <s v="000"/>
    <x v="6"/>
    <x v="1"/>
  </r>
  <r>
    <d v="2012-04-02T00:00:00"/>
    <s v="016-2230-000"/>
    <s v="Wine Sales"/>
    <n v="36.220999999999997"/>
    <n v="0"/>
    <s v="Daily Sales Import"/>
    <n v="-36.220999999999997"/>
    <n v="36.220999999999997"/>
    <x v="0"/>
    <s v="2230"/>
    <s v="000"/>
    <x v="6"/>
    <x v="1"/>
  </r>
  <r>
    <d v="2012-04-03T00:00:00"/>
    <s v="016-2100-000"/>
    <s v="Food Sales"/>
    <n v="5721.517499999999"/>
    <n v="0"/>
    <s v="Daily Sales Import"/>
    <n v="-5721.517499999999"/>
    <n v="5721.517499999999"/>
    <x v="0"/>
    <s v="2100"/>
    <s v="000"/>
    <x v="6"/>
    <x v="1"/>
  </r>
  <r>
    <d v="2012-04-03T00:00:00"/>
    <s v="016-2210-000"/>
    <s v="Liquor Sales"/>
    <n v="1188.5895"/>
    <n v="0"/>
    <s v="Daily Sales Import"/>
    <n v="-1188.5895"/>
    <n v="1188.5895"/>
    <x v="0"/>
    <s v="2210"/>
    <s v="000"/>
    <x v="6"/>
    <x v="1"/>
  </r>
  <r>
    <d v="2012-04-03T00:00:00"/>
    <s v="016-2220-000"/>
    <s v="Beer Sales"/>
    <n v="445.91399999999999"/>
    <n v="0"/>
    <s v="Daily Sales Import"/>
    <n v="-445.91399999999999"/>
    <n v="445.91399999999999"/>
    <x v="0"/>
    <s v="2220"/>
    <s v="000"/>
    <x v="6"/>
    <x v="1"/>
  </r>
  <r>
    <d v="2012-04-03T00:00:00"/>
    <s v="016-2230-000"/>
    <s v="Wine Sales"/>
    <n v="118.8"/>
    <n v="0"/>
    <s v="Daily Sales Import"/>
    <n v="-118.8"/>
    <n v="118.8"/>
    <x v="0"/>
    <s v="2230"/>
    <s v="000"/>
    <x v="6"/>
    <x v="1"/>
  </r>
  <r>
    <d v="2012-04-04T00:00:00"/>
    <s v="016-2100-000"/>
    <s v="Food Sales"/>
    <n v="4405.1548000000003"/>
    <n v="0"/>
    <s v="Daily Sales Import"/>
    <n v="-4405.1548000000003"/>
    <n v="4405.1548000000003"/>
    <x v="0"/>
    <s v="2100"/>
    <s v="000"/>
    <x v="6"/>
    <x v="1"/>
  </r>
  <r>
    <d v="2012-04-04T00:00:00"/>
    <s v="016-2210-000"/>
    <s v="Liquor Sales"/>
    <n v="835.82800000000009"/>
    <n v="0"/>
    <s v="Daily Sales Import"/>
    <n v="-835.82800000000009"/>
    <n v="835.82800000000009"/>
    <x v="0"/>
    <s v="2210"/>
    <s v="000"/>
    <x v="6"/>
    <x v="1"/>
  </r>
  <r>
    <d v="2012-04-04T00:00:00"/>
    <s v="016-2220-000"/>
    <s v="Beer Sales"/>
    <n v="140.90399999999997"/>
    <n v="0"/>
    <s v="Daily Sales Import"/>
    <n v="-140.90399999999997"/>
    <n v="140.90399999999997"/>
    <x v="0"/>
    <s v="2220"/>
    <s v="000"/>
    <x v="6"/>
    <x v="1"/>
  </r>
  <r>
    <d v="2012-04-04T00:00:00"/>
    <s v="016-2230-000"/>
    <s v="Wine Sales"/>
    <n v="88.691199999999995"/>
    <n v="0"/>
    <s v="Daily Sales Import"/>
    <n v="-88.691199999999995"/>
    <n v="88.691199999999995"/>
    <x v="0"/>
    <s v="2230"/>
    <s v="000"/>
    <x v="6"/>
    <x v="1"/>
  </r>
  <r>
    <d v="2012-04-05T00:00:00"/>
    <s v="016-2100-000"/>
    <s v="Food Sales"/>
    <n v="4955.335"/>
    <n v="0"/>
    <s v="Daily Sales Import"/>
    <n v="-4955.335"/>
    <n v="4955.335"/>
    <x v="0"/>
    <s v="2100"/>
    <s v="000"/>
    <x v="6"/>
    <x v="1"/>
  </r>
  <r>
    <d v="2012-04-05T00:00:00"/>
    <s v="016-2210-000"/>
    <s v="Liquor Sales"/>
    <n v="1629.184"/>
    <n v="0"/>
    <s v="Daily Sales Import"/>
    <n v="-1629.184"/>
    <n v="1629.184"/>
    <x v="0"/>
    <s v="2210"/>
    <s v="000"/>
    <x v="6"/>
    <x v="1"/>
  </r>
  <r>
    <d v="2012-04-05T00:00:00"/>
    <s v="016-2220-000"/>
    <s v="Beer Sales"/>
    <n v="174.76499999999999"/>
    <n v="0"/>
    <s v="Daily Sales Import"/>
    <n v="-174.76499999999999"/>
    <n v="174.76499999999999"/>
    <x v="0"/>
    <s v="2220"/>
    <s v="000"/>
    <x v="6"/>
    <x v="1"/>
  </r>
  <r>
    <d v="2012-04-05T00:00:00"/>
    <s v="016-2230-000"/>
    <s v="Wine Sales"/>
    <n v="195.33749999999998"/>
    <n v="0"/>
    <s v="Daily Sales Import"/>
    <n v="-195.33749999999998"/>
    <n v="195.33749999999998"/>
    <x v="0"/>
    <s v="2230"/>
    <s v="000"/>
    <x v="6"/>
    <x v="1"/>
  </r>
  <r>
    <d v="2012-04-06T00:00:00"/>
    <s v="016-2100-000"/>
    <s v="Food Sales"/>
    <n v="8387.2578999999987"/>
    <n v="0"/>
    <s v="Daily Sales Import"/>
    <n v="-8387.2578999999987"/>
    <n v="8387.2578999999987"/>
    <x v="0"/>
    <s v="2100"/>
    <s v="000"/>
    <x v="6"/>
    <x v="1"/>
  </r>
  <r>
    <d v="2012-04-06T00:00:00"/>
    <s v="016-2210-000"/>
    <s v="Liquor Sales"/>
    <n v="2165.5280000000002"/>
    <n v="0"/>
    <s v="Daily Sales Import"/>
    <n v="-2165.5280000000002"/>
    <n v="2165.5280000000002"/>
    <x v="0"/>
    <s v="2210"/>
    <s v="000"/>
    <x v="6"/>
    <x v="1"/>
  </r>
  <r>
    <d v="2012-04-06T00:00:00"/>
    <s v="016-2220-000"/>
    <s v="Beer Sales"/>
    <n v="409.54499999999996"/>
    <n v="0"/>
    <s v="Daily Sales Import"/>
    <n v="-409.54499999999996"/>
    <n v="409.54499999999996"/>
    <x v="0"/>
    <s v="2220"/>
    <s v="000"/>
    <x v="6"/>
    <x v="1"/>
  </r>
  <r>
    <d v="2012-04-06T00:00:00"/>
    <s v="016-2230-000"/>
    <s v="Wine Sales"/>
    <n v="265.95350000000002"/>
    <n v="0"/>
    <s v="Daily Sales Import"/>
    <n v="-265.95350000000002"/>
    <n v="265.95350000000002"/>
    <x v="0"/>
    <s v="2230"/>
    <s v="000"/>
    <x v="6"/>
    <x v="1"/>
  </r>
  <r>
    <d v="2012-04-07T00:00:00"/>
    <s v="016-2100-000"/>
    <s v="Food Sales"/>
    <n v="7213.5288"/>
    <n v="0"/>
    <s v="Daily Sales Import"/>
    <n v="-7213.5288"/>
    <n v="7213.5288"/>
    <x v="0"/>
    <s v="2100"/>
    <s v="000"/>
    <x v="6"/>
    <x v="1"/>
  </r>
  <r>
    <d v="2012-04-07T00:00:00"/>
    <s v="016-2210-000"/>
    <s v="Liquor Sales"/>
    <n v="1700.0775000000003"/>
    <n v="0"/>
    <s v="Daily Sales Import"/>
    <n v="-1700.0775000000003"/>
    <n v="1700.0775000000003"/>
    <x v="0"/>
    <s v="2210"/>
    <s v="000"/>
    <x v="6"/>
    <x v="1"/>
  </r>
  <r>
    <d v="2012-04-07T00:00:00"/>
    <s v="016-2220-000"/>
    <s v="Beer Sales"/>
    <n v="396.28349999999995"/>
    <n v="0"/>
    <s v="Daily Sales Import"/>
    <n v="-396.28349999999995"/>
    <n v="396.28349999999995"/>
    <x v="0"/>
    <s v="2220"/>
    <s v="000"/>
    <x v="6"/>
    <x v="1"/>
  </r>
  <r>
    <d v="2012-04-07T00:00:00"/>
    <s v="016-2230-000"/>
    <s v="Wine Sales"/>
    <n v="340.4325"/>
    <n v="0"/>
    <s v="Daily Sales Import"/>
    <n v="-340.4325"/>
    <n v="340.4325"/>
    <x v="0"/>
    <s v="2230"/>
    <s v="000"/>
    <x v="6"/>
    <x v="1"/>
  </r>
  <r>
    <d v="2012-04-08T00:00:00"/>
    <s v="016-2100-000"/>
    <s v="Food Sales"/>
    <n v="4931.1062000000002"/>
    <n v="0"/>
    <s v="Daily Sales Import"/>
    <n v="-4931.1062000000002"/>
    <n v="4931.1062000000002"/>
    <x v="0"/>
    <s v="2100"/>
    <s v="000"/>
    <x v="6"/>
    <x v="1"/>
  </r>
  <r>
    <d v="2012-04-08T00:00:00"/>
    <s v="016-2210-000"/>
    <s v="Liquor Sales"/>
    <n v="650.57529999999997"/>
    <n v="0"/>
    <s v="Daily Sales Import"/>
    <n v="-650.57529999999997"/>
    <n v="650.57529999999997"/>
    <x v="0"/>
    <s v="2210"/>
    <s v="000"/>
    <x v="6"/>
    <x v="1"/>
  </r>
  <r>
    <d v="2012-04-08T00:00:00"/>
    <s v="016-2220-000"/>
    <s v="Beer Sales"/>
    <n v="153.1584"/>
    <n v="0"/>
    <s v="Daily Sales Import"/>
    <n v="-153.1584"/>
    <n v="153.1584"/>
    <x v="0"/>
    <s v="2220"/>
    <s v="000"/>
    <x v="6"/>
    <x v="1"/>
  </r>
  <r>
    <d v="2012-04-08T00:00:00"/>
    <s v="016-2230-000"/>
    <s v="Wine Sales"/>
    <n v="65.578500000000005"/>
    <n v="0"/>
    <s v="Daily Sales Import"/>
    <n v="-65.578500000000005"/>
    <n v="65.578500000000005"/>
    <x v="0"/>
    <s v="2230"/>
    <s v="000"/>
    <x v="6"/>
    <x v="1"/>
  </r>
  <r>
    <d v="2012-04-02T00:00:00"/>
    <s v="017-2100-000"/>
    <s v="Food Sales"/>
    <n v="4205.2945"/>
    <n v="0"/>
    <s v="Daily Sales Import"/>
    <n v="-4205.2945"/>
    <n v="4205.2945"/>
    <x v="1"/>
    <s v="2100"/>
    <s v="000"/>
    <x v="6"/>
    <x v="1"/>
  </r>
  <r>
    <d v="2012-04-02T00:00:00"/>
    <s v="017-2210-000"/>
    <s v="Liquor Sales"/>
    <n v="977.95749999999998"/>
    <n v="0"/>
    <s v="Daily Sales Import"/>
    <n v="-977.95749999999998"/>
    <n v="977.95749999999998"/>
    <x v="1"/>
    <s v="2210"/>
    <s v="000"/>
    <x v="6"/>
    <x v="1"/>
  </r>
  <r>
    <d v="2012-04-02T00:00:00"/>
    <s v="017-2220-000"/>
    <s v="Beer Sales"/>
    <n v="359.7475"/>
    <n v="0"/>
    <s v="Daily Sales Import"/>
    <n v="-359.7475"/>
    <n v="359.7475"/>
    <x v="1"/>
    <s v="2220"/>
    <s v="000"/>
    <x v="6"/>
    <x v="1"/>
  </r>
  <r>
    <d v="2012-04-02T00:00:00"/>
    <s v="017-2230-000"/>
    <s v="Wine Sales"/>
    <n v="78.78"/>
    <n v="0"/>
    <s v="Daily Sales Import"/>
    <n v="-78.78"/>
    <n v="78.78"/>
    <x v="1"/>
    <s v="2230"/>
    <s v="000"/>
    <x v="6"/>
    <x v="1"/>
  </r>
  <r>
    <d v="2012-04-03T00:00:00"/>
    <s v="017-2100-000"/>
    <s v="Food Sales"/>
    <n v="6671.25"/>
    <n v="0"/>
    <s v="Daily Sales Import"/>
    <n v="-6671.25"/>
    <n v="6671.25"/>
    <x v="1"/>
    <s v="2100"/>
    <s v="000"/>
    <x v="6"/>
    <x v="1"/>
  </r>
  <r>
    <d v="2012-04-03T00:00:00"/>
    <s v="017-2210-000"/>
    <s v="Liquor Sales"/>
    <n v="1590.183"/>
    <n v="0"/>
    <s v="Daily Sales Import"/>
    <n v="-1590.183"/>
    <n v="1590.183"/>
    <x v="1"/>
    <s v="2210"/>
    <s v="000"/>
    <x v="6"/>
    <x v="1"/>
  </r>
  <r>
    <d v="2012-04-03T00:00:00"/>
    <s v="017-2220-000"/>
    <s v="Beer Sales"/>
    <n v="384.94499999999999"/>
    <n v="0"/>
    <s v="Daily Sales Import"/>
    <n v="-384.94499999999999"/>
    <n v="384.94499999999999"/>
    <x v="1"/>
    <s v="2220"/>
    <s v="000"/>
    <x v="6"/>
    <x v="1"/>
  </r>
  <r>
    <d v="2012-04-03T00:00:00"/>
    <s v="017-2230-000"/>
    <s v="Wine Sales"/>
    <n v="63.896000000000001"/>
    <n v="0"/>
    <s v="Daily Sales Import"/>
    <n v="-63.896000000000001"/>
    <n v="63.896000000000001"/>
    <x v="1"/>
    <s v="2230"/>
    <s v="000"/>
    <x v="6"/>
    <x v="1"/>
  </r>
  <r>
    <d v="2012-04-04T00:00:00"/>
    <s v="017-2100-000"/>
    <s v="Food Sales"/>
    <n v="3881.0989999999997"/>
    <n v="0"/>
    <s v="Daily Sales Import"/>
    <n v="-3881.0989999999997"/>
    <n v="3881.0989999999997"/>
    <x v="1"/>
    <s v="2100"/>
    <s v="000"/>
    <x v="6"/>
    <x v="1"/>
  </r>
  <r>
    <d v="2012-04-04T00:00:00"/>
    <s v="017-2210-000"/>
    <s v="Liquor Sales"/>
    <n v="1368.4649999999999"/>
    <n v="0"/>
    <s v="Daily Sales Import"/>
    <n v="-1368.4649999999999"/>
    <n v="1368.4649999999999"/>
    <x v="1"/>
    <s v="2210"/>
    <s v="000"/>
    <x v="6"/>
    <x v="1"/>
  </r>
  <r>
    <d v="2012-04-04T00:00:00"/>
    <s v="017-2220-000"/>
    <s v="Beer Sales"/>
    <n v="349.44"/>
    <n v="0"/>
    <s v="Daily Sales Import"/>
    <n v="-349.44"/>
    <n v="349.44"/>
    <x v="1"/>
    <s v="2220"/>
    <s v="000"/>
    <x v="6"/>
    <x v="1"/>
  </r>
  <r>
    <d v="2012-04-04T00:00:00"/>
    <s v="017-2230-000"/>
    <s v="Wine Sales"/>
    <n v="91.245000000000005"/>
    <n v="0"/>
    <s v="Daily Sales Import"/>
    <n v="-91.245000000000005"/>
    <n v="91.245000000000005"/>
    <x v="1"/>
    <s v="2230"/>
    <s v="000"/>
    <x v="6"/>
    <x v="1"/>
  </r>
  <r>
    <d v="2012-04-05T00:00:00"/>
    <s v="017-2100-000"/>
    <s v="Food Sales"/>
    <n v="7256.0334999999995"/>
    <n v="0"/>
    <s v="Daily Sales Import"/>
    <n v="-7256.0334999999995"/>
    <n v="7256.0334999999995"/>
    <x v="1"/>
    <s v="2100"/>
    <s v="000"/>
    <x v="6"/>
    <x v="1"/>
  </r>
  <r>
    <d v="2012-04-05T00:00:00"/>
    <s v="017-2210-000"/>
    <s v="Liquor Sales"/>
    <n v="1956.99"/>
    <n v="0"/>
    <s v="Daily Sales Import"/>
    <n v="-1956.99"/>
    <n v="1956.99"/>
    <x v="1"/>
    <s v="2210"/>
    <s v="000"/>
    <x v="6"/>
    <x v="1"/>
  </r>
  <r>
    <d v="2012-04-05T00:00:00"/>
    <s v="017-2220-000"/>
    <s v="Beer Sales"/>
    <n v="254.745"/>
    <n v="0"/>
    <s v="Daily Sales Import"/>
    <n v="-254.745"/>
    <n v="254.745"/>
    <x v="1"/>
    <s v="2220"/>
    <s v="000"/>
    <x v="6"/>
    <x v="1"/>
  </r>
  <r>
    <d v="2012-04-05T00:00:00"/>
    <s v="017-2230-000"/>
    <s v="Wine Sales"/>
    <n v="146.1215"/>
    <n v="0"/>
    <s v="Daily Sales Import"/>
    <n v="-146.1215"/>
    <n v="146.1215"/>
    <x v="1"/>
    <s v="2230"/>
    <s v="000"/>
    <x v="6"/>
    <x v="1"/>
  </r>
  <r>
    <d v="2012-04-06T00:00:00"/>
    <s v="017-2100-000"/>
    <s v="Food Sales"/>
    <n v="5876.2079999999996"/>
    <n v="0"/>
    <s v="Daily Sales Import"/>
    <n v="-5876.2079999999996"/>
    <n v="5876.2079999999996"/>
    <x v="1"/>
    <s v="2100"/>
    <s v="000"/>
    <x v="6"/>
    <x v="1"/>
  </r>
  <r>
    <d v="2012-04-06T00:00:00"/>
    <s v="017-2210-000"/>
    <s v="Liquor Sales"/>
    <n v="2512.9499999999998"/>
    <n v="0"/>
    <s v="Daily Sales Import"/>
    <n v="-2512.9499999999998"/>
    <n v="2512.9499999999998"/>
    <x v="1"/>
    <s v="2210"/>
    <s v="000"/>
    <x v="6"/>
    <x v="1"/>
  </r>
  <r>
    <d v="2012-04-06T00:00:00"/>
    <s v="017-2220-000"/>
    <s v="Beer Sales"/>
    <n v="509.96"/>
    <n v="0"/>
    <s v="Daily Sales Import"/>
    <n v="-509.96"/>
    <n v="509.96"/>
    <x v="1"/>
    <s v="2220"/>
    <s v="000"/>
    <x v="6"/>
    <x v="1"/>
  </r>
  <r>
    <d v="2012-04-06T00:00:00"/>
    <s v="017-2230-000"/>
    <s v="Wine Sales"/>
    <n v="92.105999999999995"/>
    <n v="0"/>
    <s v="Daily Sales Import"/>
    <n v="-92.105999999999995"/>
    <n v="92.105999999999995"/>
    <x v="1"/>
    <s v="2230"/>
    <s v="000"/>
    <x v="6"/>
    <x v="1"/>
  </r>
  <r>
    <d v="2012-04-07T00:00:00"/>
    <s v="017-2100-000"/>
    <s v="Food Sales"/>
    <n v="7653.74"/>
    <n v="0"/>
    <s v="Daily Sales Import"/>
    <n v="-7653.74"/>
    <n v="7653.74"/>
    <x v="1"/>
    <s v="2100"/>
    <s v="000"/>
    <x v="6"/>
    <x v="1"/>
  </r>
  <r>
    <d v="2012-04-07T00:00:00"/>
    <s v="017-2210-000"/>
    <s v="Liquor Sales"/>
    <n v="1664.25"/>
    <n v="0"/>
    <s v="Daily Sales Import"/>
    <n v="-1664.25"/>
    <n v="1664.25"/>
    <x v="1"/>
    <s v="2210"/>
    <s v="000"/>
    <x v="6"/>
    <x v="1"/>
  </r>
  <r>
    <d v="2012-04-07T00:00:00"/>
    <s v="017-2220-000"/>
    <s v="Beer Sales"/>
    <n v="359.11500000000001"/>
    <n v="0"/>
    <s v="Daily Sales Import"/>
    <n v="-359.11500000000001"/>
    <n v="359.11500000000001"/>
    <x v="1"/>
    <s v="2220"/>
    <s v="000"/>
    <x v="6"/>
    <x v="1"/>
  </r>
  <r>
    <d v="2012-04-07T00:00:00"/>
    <s v="017-2230-000"/>
    <s v="Wine Sales"/>
    <n v="105.18300000000001"/>
    <n v="0"/>
    <s v="Daily Sales Import"/>
    <n v="-105.18300000000001"/>
    <n v="105.18300000000001"/>
    <x v="1"/>
    <s v="2230"/>
    <s v="000"/>
    <x v="6"/>
    <x v="1"/>
  </r>
  <r>
    <d v="2012-04-08T00:00:00"/>
    <s v="017-2100-000"/>
    <s v="Food Sales"/>
    <n v="3477.3"/>
    <n v="0"/>
    <s v="Daily Sales Import"/>
    <n v="-3477.3"/>
    <n v="3477.3"/>
    <x v="1"/>
    <s v="2100"/>
    <s v="000"/>
    <x v="6"/>
    <x v="1"/>
  </r>
  <r>
    <d v="2012-04-08T00:00:00"/>
    <s v="017-2210-000"/>
    <s v="Liquor Sales"/>
    <n v="1146.365"/>
    <n v="0"/>
    <s v="Daily Sales Import"/>
    <n v="-1146.365"/>
    <n v="1146.365"/>
    <x v="1"/>
    <s v="2210"/>
    <s v="000"/>
    <x v="6"/>
    <x v="1"/>
  </r>
  <r>
    <d v="2012-04-08T00:00:00"/>
    <s v="017-2220-000"/>
    <s v="Beer Sales"/>
    <n v="91.850000000000009"/>
    <n v="0"/>
    <s v="Daily Sales Import"/>
    <n v="-91.850000000000009"/>
    <n v="91.850000000000009"/>
    <x v="1"/>
    <s v="2220"/>
    <s v="000"/>
    <x v="6"/>
    <x v="1"/>
  </r>
  <r>
    <d v="2012-04-08T00:00:00"/>
    <s v="017-2230-000"/>
    <s v="Wine Sales"/>
    <n v="88.88"/>
    <n v="0"/>
    <s v="Daily Sales Import"/>
    <n v="-88.88"/>
    <n v="88.88"/>
    <x v="1"/>
    <s v="2230"/>
    <s v="000"/>
    <x v="6"/>
    <x v="1"/>
  </r>
  <r>
    <d v="2012-04-02T00:00:00"/>
    <s v="018-2100-000"/>
    <s v="Food Sales"/>
    <n v="4724.0649999999996"/>
    <n v="0"/>
    <s v="Daily Sales Import"/>
    <n v="-4724.0649999999996"/>
    <n v="4724.0649999999996"/>
    <x v="2"/>
    <s v="2100"/>
    <s v="000"/>
    <x v="6"/>
    <x v="1"/>
  </r>
  <r>
    <d v="2012-04-02T00:00:00"/>
    <s v="018-2210-000"/>
    <s v="Liquor Sales"/>
    <n v="620.86500000000001"/>
    <n v="0"/>
    <s v="Daily Sales Import"/>
    <n v="-620.86500000000001"/>
    <n v="620.86500000000001"/>
    <x v="2"/>
    <s v="2210"/>
    <s v="000"/>
    <x v="6"/>
    <x v="1"/>
  </r>
  <r>
    <d v="2012-04-02T00:00:00"/>
    <s v="018-2220-000"/>
    <s v="Beer Sales"/>
    <n v="145.886"/>
    <n v="0"/>
    <s v="Daily Sales Import"/>
    <n v="-145.886"/>
    <n v="145.886"/>
    <x v="2"/>
    <s v="2220"/>
    <s v="000"/>
    <x v="6"/>
    <x v="1"/>
  </r>
  <r>
    <d v="2012-04-02T00:00:00"/>
    <s v="018-2230-000"/>
    <s v="Wine Sales"/>
    <n v="17.29"/>
    <n v="0"/>
    <s v="Daily Sales Import"/>
    <n v="-17.29"/>
    <n v="17.29"/>
    <x v="2"/>
    <s v="2230"/>
    <s v="000"/>
    <x v="6"/>
    <x v="1"/>
  </r>
  <r>
    <d v="2012-04-03T00:00:00"/>
    <s v="018-2100-000"/>
    <s v="Food Sales"/>
    <n v="3613.0185000000001"/>
    <n v="0"/>
    <s v="Daily Sales Import"/>
    <n v="-3613.0185000000001"/>
    <n v="3613.0185000000001"/>
    <x v="2"/>
    <s v="2100"/>
    <s v="000"/>
    <x v="6"/>
    <x v="1"/>
  </r>
  <r>
    <d v="2012-04-03T00:00:00"/>
    <s v="018-2210-000"/>
    <s v="Liquor Sales"/>
    <n v="1029.6389999999999"/>
    <n v="0"/>
    <s v="Daily Sales Import"/>
    <n v="-1029.6389999999999"/>
    <n v="1029.6389999999999"/>
    <x v="2"/>
    <s v="2210"/>
    <s v="000"/>
    <x v="6"/>
    <x v="1"/>
  </r>
  <r>
    <d v="2012-04-03T00:00:00"/>
    <s v="018-2220-000"/>
    <s v="Beer Sales"/>
    <n v="153.73800000000003"/>
    <n v="0"/>
    <s v="Daily Sales Import"/>
    <n v="-153.73800000000003"/>
    <n v="153.73800000000003"/>
    <x v="2"/>
    <s v="2220"/>
    <s v="000"/>
    <x v="6"/>
    <x v="1"/>
  </r>
  <r>
    <d v="2012-04-03T00:00:00"/>
    <s v="018-2230-000"/>
    <s v="Wine Sales"/>
    <n v="54.768000000000001"/>
    <n v="0"/>
    <s v="Daily Sales Import"/>
    <n v="-54.768000000000001"/>
    <n v="54.768000000000001"/>
    <x v="2"/>
    <s v="2230"/>
    <s v="000"/>
    <x v="6"/>
    <x v="1"/>
  </r>
  <r>
    <d v="2012-04-04T00:00:00"/>
    <s v="018-2100-000"/>
    <s v="Food Sales"/>
    <n v="5148.5720000000001"/>
    <n v="0"/>
    <s v="Daily Sales Import"/>
    <n v="-5148.5720000000001"/>
    <n v="5148.5720000000001"/>
    <x v="2"/>
    <s v="2100"/>
    <s v="000"/>
    <x v="6"/>
    <x v="1"/>
  </r>
  <r>
    <d v="2012-04-04T00:00:00"/>
    <s v="018-2210-000"/>
    <s v="Liquor Sales"/>
    <n v="1436.9780000000001"/>
    <n v="0"/>
    <s v="Daily Sales Import"/>
    <n v="-1436.9780000000001"/>
    <n v="1436.9780000000001"/>
    <x v="2"/>
    <s v="2210"/>
    <s v="000"/>
    <x v="6"/>
    <x v="1"/>
  </r>
  <r>
    <d v="2012-04-04T00:00:00"/>
    <s v="018-2220-000"/>
    <s v="Beer Sales"/>
    <n v="204.68799999999999"/>
    <n v="0"/>
    <s v="Daily Sales Import"/>
    <n v="-204.68799999999999"/>
    <n v="204.68799999999999"/>
    <x v="2"/>
    <s v="2220"/>
    <s v="000"/>
    <x v="6"/>
    <x v="1"/>
  </r>
  <r>
    <d v="2012-04-04T00:00:00"/>
    <s v="018-2230-000"/>
    <s v="Wine Sales"/>
    <n v="91.555999999999997"/>
    <n v="0"/>
    <s v="Daily Sales Import"/>
    <n v="-91.555999999999997"/>
    <n v="91.555999999999997"/>
    <x v="2"/>
    <s v="2230"/>
    <s v="000"/>
    <x v="6"/>
    <x v="1"/>
  </r>
  <r>
    <d v="2012-04-05T00:00:00"/>
    <s v="018-2100-000"/>
    <s v="Food Sales"/>
    <n v="4403.8142999999991"/>
    <n v="0"/>
    <s v="Daily Sales Import"/>
    <n v="-4403.8142999999991"/>
    <n v="4403.8142999999991"/>
    <x v="2"/>
    <s v="2100"/>
    <s v="000"/>
    <x v="6"/>
    <x v="1"/>
  </r>
  <r>
    <d v="2012-04-05T00:00:00"/>
    <s v="018-2210-000"/>
    <s v="Liquor Sales"/>
    <n v="1538.5039999999999"/>
    <n v="0"/>
    <s v="Daily Sales Import"/>
    <n v="-1538.5039999999999"/>
    <n v="1538.5039999999999"/>
    <x v="2"/>
    <s v="2210"/>
    <s v="000"/>
    <x v="6"/>
    <x v="1"/>
  </r>
  <r>
    <d v="2012-04-05T00:00:00"/>
    <s v="018-2220-000"/>
    <s v="Beer Sales"/>
    <n v="286.79499999999996"/>
    <n v="0"/>
    <s v="Daily Sales Import"/>
    <n v="-286.79499999999996"/>
    <n v="286.79499999999996"/>
    <x v="2"/>
    <s v="2220"/>
    <s v="000"/>
    <x v="6"/>
    <x v="1"/>
  </r>
  <r>
    <d v="2012-04-05T00:00:00"/>
    <s v="018-2230-000"/>
    <s v="Wine Sales"/>
    <n v="45.500999999999998"/>
    <n v="0"/>
    <s v="Daily Sales Import"/>
    <n v="-45.500999999999998"/>
    <n v="45.500999999999998"/>
    <x v="2"/>
    <s v="2230"/>
    <s v="000"/>
    <x v="6"/>
    <x v="1"/>
  </r>
  <r>
    <d v="2012-04-06T00:00:00"/>
    <s v="018-2100-000"/>
    <s v="Food Sales"/>
    <n v="13116.134700000001"/>
    <n v="0"/>
    <s v="Daily Sales Import"/>
    <n v="-13116.134700000001"/>
    <n v="13116.134700000001"/>
    <x v="2"/>
    <s v="2100"/>
    <s v="000"/>
    <x v="6"/>
    <x v="1"/>
  </r>
  <r>
    <d v="2012-04-06T00:00:00"/>
    <s v="018-2210-000"/>
    <s v="Liquor Sales"/>
    <n v="3214.9124999999999"/>
    <n v="0"/>
    <s v="Daily Sales Import"/>
    <n v="-3214.9124999999999"/>
    <n v="3214.9124999999999"/>
    <x v="2"/>
    <s v="2210"/>
    <s v="000"/>
    <x v="6"/>
    <x v="1"/>
  </r>
  <r>
    <d v="2012-04-06T00:00:00"/>
    <s v="018-2220-000"/>
    <s v="Beer Sales"/>
    <n v="746.40699999999993"/>
    <n v="0"/>
    <s v="Daily Sales Import"/>
    <n v="-746.40699999999993"/>
    <n v="746.40699999999993"/>
    <x v="2"/>
    <s v="2220"/>
    <s v="000"/>
    <x v="6"/>
    <x v="1"/>
  </r>
  <r>
    <d v="2012-04-06T00:00:00"/>
    <s v="018-2230-000"/>
    <s v="Wine Sales"/>
    <n v="138.16999999999999"/>
    <n v="0"/>
    <s v="Daily Sales Import"/>
    <n v="-138.16999999999999"/>
    <n v="138.16999999999999"/>
    <x v="2"/>
    <s v="2230"/>
    <s v="000"/>
    <x v="6"/>
    <x v="1"/>
  </r>
  <r>
    <d v="2012-04-07T00:00:00"/>
    <s v="018-2100-000"/>
    <s v="Food Sales"/>
    <n v="9078.5995000000003"/>
    <n v="0"/>
    <s v="Daily Sales Import"/>
    <n v="-9078.5995000000003"/>
    <n v="9078.5995000000003"/>
    <x v="2"/>
    <s v="2100"/>
    <s v="000"/>
    <x v="6"/>
    <x v="1"/>
  </r>
  <r>
    <d v="2012-04-07T00:00:00"/>
    <s v="018-2210-000"/>
    <s v="Liquor Sales"/>
    <n v="1767.3419999999999"/>
    <n v="0"/>
    <s v="Daily Sales Import"/>
    <n v="-1767.3419999999999"/>
    <n v="1767.3419999999999"/>
    <x v="2"/>
    <s v="2210"/>
    <s v="000"/>
    <x v="6"/>
    <x v="1"/>
  </r>
  <r>
    <d v="2012-04-07T00:00:00"/>
    <s v="018-2220-000"/>
    <s v="Beer Sales"/>
    <n v="580.76850000000002"/>
    <n v="0"/>
    <s v="Daily Sales Import"/>
    <n v="-580.76850000000002"/>
    <n v="580.76850000000002"/>
    <x v="2"/>
    <s v="2220"/>
    <s v="000"/>
    <x v="6"/>
    <x v="1"/>
  </r>
  <r>
    <d v="2012-04-07T00:00:00"/>
    <s v="018-2230-000"/>
    <s v="Wine Sales"/>
    <n v="38.277499999999996"/>
    <n v="0"/>
    <s v="Daily Sales Import"/>
    <n v="-38.277499999999996"/>
    <n v="38.277499999999996"/>
    <x v="2"/>
    <s v="2230"/>
    <s v="000"/>
    <x v="6"/>
    <x v="1"/>
  </r>
  <r>
    <d v="2012-04-08T00:00:00"/>
    <s v="018-2100-000"/>
    <s v="Food Sales"/>
    <n v="6449.3414999999995"/>
    <n v="0"/>
    <s v="Daily Sales Import"/>
    <n v="-6449.3414999999995"/>
    <n v="6449.3414999999995"/>
    <x v="2"/>
    <s v="2100"/>
    <s v="000"/>
    <x v="6"/>
    <x v="1"/>
  </r>
  <r>
    <d v="2012-04-08T00:00:00"/>
    <s v="018-2210-000"/>
    <s v="Liquor Sales"/>
    <n v="858.40649999999994"/>
    <n v="0"/>
    <s v="Daily Sales Import"/>
    <n v="-858.40649999999994"/>
    <n v="858.40649999999994"/>
    <x v="2"/>
    <s v="2210"/>
    <s v="000"/>
    <x v="6"/>
    <x v="1"/>
  </r>
  <r>
    <d v="2012-04-08T00:00:00"/>
    <s v="018-2220-000"/>
    <s v="Beer Sales"/>
    <n v="321.97500000000002"/>
    <n v="0"/>
    <s v="Daily Sales Import"/>
    <n v="-321.97500000000002"/>
    <n v="321.97500000000002"/>
    <x v="2"/>
    <s v="2220"/>
    <s v="000"/>
    <x v="6"/>
    <x v="1"/>
  </r>
  <r>
    <d v="2012-04-08T00:00:00"/>
    <s v="018-2230-000"/>
    <s v="Wine Sales"/>
    <n v="110.71049999999998"/>
    <n v="0"/>
    <s v="Daily Sales Import"/>
    <n v="-110.71049999999998"/>
    <n v="110.71049999999998"/>
    <x v="2"/>
    <s v="2230"/>
    <s v="000"/>
    <x v="6"/>
    <x v="1"/>
  </r>
  <r>
    <d v="2012-04-09T00:00:00"/>
    <s v="016-2100-000"/>
    <s v="Food Sales"/>
    <n v="3960.81"/>
    <n v="0"/>
    <s v="Daily Sales Import"/>
    <n v="-3960.81"/>
    <n v="3960.81"/>
    <x v="0"/>
    <s v="2100"/>
    <s v="000"/>
    <x v="6"/>
    <x v="1"/>
  </r>
  <r>
    <d v="2012-04-09T00:00:00"/>
    <s v="016-2210-000"/>
    <s v="Liquor Sales"/>
    <n v="691.18600000000004"/>
    <n v="0"/>
    <s v="Daily Sales Import"/>
    <n v="-691.18600000000004"/>
    <n v="691.18600000000004"/>
    <x v="0"/>
    <s v="2210"/>
    <s v="000"/>
    <x v="6"/>
    <x v="1"/>
  </r>
  <r>
    <d v="2012-04-09T00:00:00"/>
    <s v="016-2220-000"/>
    <s v="Beer Sales"/>
    <n v="132.327"/>
    <n v="0"/>
    <s v="Daily Sales Import"/>
    <n v="-132.327"/>
    <n v="132.327"/>
    <x v="0"/>
    <s v="2220"/>
    <s v="000"/>
    <x v="6"/>
    <x v="1"/>
  </r>
  <r>
    <d v="2012-04-09T00:00:00"/>
    <s v="016-2230-000"/>
    <s v="Wine Sales"/>
    <n v="94.909499999999994"/>
    <n v="0"/>
    <s v="Daily Sales Import"/>
    <n v="-94.909499999999994"/>
    <n v="94.909499999999994"/>
    <x v="0"/>
    <s v="2230"/>
    <s v="000"/>
    <x v="6"/>
    <x v="1"/>
  </r>
  <r>
    <d v="2012-04-10T00:00:00"/>
    <s v="016-2100-000"/>
    <s v="Food Sales"/>
    <n v="5320.9065000000001"/>
    <n v="0"/>
    <s v="Daily Sales Import"/>
    <n v="-5320.9065000000001"/>
    <n v="5320.9065000000001"/>
    <x v="0"/>
    <s v="2100"/>
    <s v="000"/>
    <x v="6"/>
    <x v="1"/>
  </r>
  <r>
    <d v="2012-04-10T00:00:00"/>
    <s v="016-2210-000"/>
    <s v="Liquor Sales"/>
    <n v="2005.74"/>
    <n v="0"/>
    <s v="Daily Sales Import"/>
    <n v="-2005.74"/>
    <n v="2005.74"/>
    <x v="0"/>
    <s v="2210"/>
    <s v="000"/>
    <x v="6"/>
    <x v="1"/>
  </r>
  <r>
    <d v="2012-04-10T00:00:00"/>
    <s v="016-2220-000"/>
    <s v="Beer Sales"/>
    <n v="269.46749999999997"/>
    <n v="0"/>
    <s v="Daily Sales Import"/>
    <n v="-269.46749999999997"/>
    <n v="269.46749999999997"/>
    <x v="0"/>
    <s v="2220"/>
    <s v="000"/>
    <x v="6"/>
    <x v="1"/>
  </r>
  <r>
    <d v="2012-04-10T00:00:00"/>
    <s v="016-2230-000"/>
    <s v="Wine Sales"/>
    <n v="121.212"/>
    <n v="0"/>
    <s v="Daily Sales Import"/>
    <n v="-121.212"/>
    <n v="121.212"/>
    <x v="0"/>
    <s v="2230"/>
    <s v="000"/>
    <x v="6"/>
    <x v="1"/>
  </r>
  <r>
    <d v="2012-04-11T00:00:00"/>
    <s v="016-2100-000"/>
    <s v="Food Sales"/>
    <n v="4146.5971"/>
    <n v="0"/>
    <s v="Daily Sales Import"/>
    <n v="-4146.5971"/>
    <n v="4146.5971"/>
    <x v="0"/>
    <s v="2100"/>
    <s v="000"/>
    <x v="6"/>
    <x v="1"/>
  </r>
  <r>
    <d v="2012-04-11T00:00:00"/>
    <s v="016-2210-000"/>
    <s v="Liquor Sales"/>
    <n v="1774.4175"/>
    <n v="0"/>
    <s v="Daily Sales Import"/>
    <n v="-1774.4175"/>
    <n v="1774.4175"/>
    <x v="0"/>
    <s v="2210"/>
    <s v="000"/>
    <x v="6"/>
    <x v="1"/>
  </r>
  <r>
    <d v="2012-04-11T00:00:00"/>
    <s v="016-2220-000"/>
    <s v="Beer Sales"/>
    <n v="188.124"/>
    <n v="0"/>
    <s v="Daily Sales Import"/>
    <n v="-188.124"/>
    <n v="188.124"/>
    <x v="0"/>
    <s v="2220"/>
    <s v="000"/>
    <x v="6"/>
    <x v="1"/>
  </r>
  <r>
    <d v="2012-04-11T00:00:00"/>
    <s v="016-2230-000"/>
    <s v="Wine Sales"/>
    <n v="113.52899999999998"/>
    <n v="0"/>
    <s v="Daily Sales Import"/>
    <n v="-113.52899999999998"/>
    <n v="113.52899999999998"/>
    <x v="0"/>
    <s v="2230"/>
    <s v="000"/>
    <x v="6"/>
    <x v="1"/>
  </r>
  <r>
    <d v="2012-04-12T00:00:00"/>
    <s v="016-2100-000"/>
    <s v="Food Sales"/>
    <n v="4297.5237999999999"/>
    <n v="0"/>
    <s v="Daily Sales Import"/>
    <n v="-4297.5237999999999"/>
    <n v="4297.5237999999999"/>
    <x v="0"/>
    <s v="2100"/>
    <s v="000"/>
    <x v="6"/>
    <x v="1"/>
  </r>
  <r>
    <d v="2012-04-12T00:00:00"/>
    <s v="016-2210-000"/>
    <s v="Liquor Sales"/>
    <n v="1316.88"/>
    <n v="0"/>
    <s v="Daily Sales Import"/>
    <n v="-1316.88"/>
    <n v="1316.88"/>
    <x v="0"/>
    <s v="2210"/>
    <s v="000"/>
    <x v="6"/>
    <x v="1"/>
  </r>
  <r>
    <d v="2012-04-12T00:00:00"/>
    <s v="016-2220-000"/>
    <s v="Beer Sales"/>
    <n v="319.57600000000002"/>
    <n v="0"/>
    <s v="Daily Sales Import"/>
    <n v="-319.57600000000002"/>
    <n v="319.57600000000002"/>
    <x v="0"/>
    <s v="2220"/>
    <s v="000"/>
    <x v="6"/>
    <x v="1"/>
  </r>
  <r>
    <d v="2012-04-12T00:00:00"/>
    <s v="016-2230-000"/>
    <s v="Wine Sales"/>
    <n v="250.64999999999998"/>
    <n v="0"/>
    <s v="Daily Sales Import"/>
    <n v="-250.64999999999998"/>
    <n v="250.64999999999998"/>
    <x v="0"/>
    <s v="2230"/>
    <s v="000"/>
    <x v="6"/>
    <x v="1"/>
  </r>
  <r>
    <d v="2012-04-13T00:00:00"/>
    <s v="016-2100-000"/>
    <s v="Food Sales"/>
    <n v="7601.9415999999992"/>
    <n v="0"/>
    <s v="Daily Sales Import"/>
    <n v="-7601.9415999999992"/>
    <n v="7601.9415999999992"/>
    <x v="0"/>
    <s v="2100"/>
    <s v="000"/>
    <x v="6"/>
    <x v="1"/>
  </r>
  <r>
    <d v="2012-04-13T00:00:00"/>
    <s v="016-2210-000"/>
    <s v="Liquor Sales"/>
    <n v="2463.0375000000004"/>
    <n v="0"/>
    <s v="Daily Sales Import"/>
    <n v="-2463.0375000000004"/>
    <n v="2463.0375000000004"/>
    <x v="0"/>
    <s v="2210"/>
    <s v="000"/>
    <x v="6"/>
    <x v="1"/>
  </r>
  <r>
    <d v="2012-04-13T00:00:00"/>
    <s v="016-2220-000"/>
    <s v="Beer Sales"/>
    <n v="472.10399999999993"/>
    <n v="0"/>
    <s v="Daily Sales Import"/>
    <n v="-472.10399999999993"/>
    <n v="472.10399999999993"/>
    <x v="0"/>
    <s v="2220"/>
    <s v="000"/>
    <x v="6"/>
    <x v="1"/>
  </r>
  <r>
    <d v="2012-04-13T00:00:00"/>
    <s v="016-2230-000"/>
    <s v="Wine Sales"/>
    <n v="203.25200000000001"/>
    <n v="0"/>
    <s v="Daily Sales Import"/>
    <n v="-203.25200000000001"/>
    <n v="203.25200000000001"/>
    <x v="0"/>
    <s v="2230"/>
    <s v="000"/>
    <x v="6"/>
    <x v="1"/>
  </r>
  <r>
    <d v="2012-04-14T00:00:00"/>
    <s v="016-2100-000"/>
    <s v="Food Sales"/>
    <n v="10679.768"/>
    <n v="0"/>
    <s v="Daily Sales Import"/>
    <n v="-10679.768"/>
    <n v="10679.768"/>
    <x v="0"/>
    <s v="2100"/>
    <s v="000"/>
    <x v="6"/>
    <x v="1"/>
  </r>
  <r>
    <d v="2012-04-14T00:00:00"/>
    <s v="016-2210-000"/>
    <s v="Liquor Sales"/>
    <n v="5070.2520000000004"/>
    <n v="0"/>
    <s v="Daily Sales Import"/>
    <n v="-5070.2520000000004"/>
    <n v="5070.2520000000004"/>
    <x v="0"/>
    <s v="2210"/>
    <s v="000"/>
    <x v="6"/>
    <x v="1"/>
  </r>
  <r>
    <d v="2012-04-14T00:00:00"/>
    <s v="016-2220-000"/>
    <s v="Beer Sales"/>
    <n v="1342.692"/>
    <n v="0"/>
    <s v="Daily Sales Import"/>
    <n v="-1342.692"/>
    <n v="1342.692"/>
    <x v="0"/>
    <s v="2220"/>
    <s v="000"/>
    <x v="6"/>
    <x v="1"/>
  </r>
  <r>
    <d v="2012-04-14T00:00:00"/>
    <s v="016-2230-000"/>
    <s v="Wine Sales"/>
    <n v="369.29999999999995"/>
    <n v="0"/>
    <s v="Daily Sales Import"/>
    <n v="-369.29999999999995"/>
    <n v="369.29999999999995"/>
    <x v="0"/>
    <s v="2230"/>
    <s v="000"/>
    <x v="6"/>
    <x v="1"/>
  </r>
  <r>
    <d v="2012-04-15T00:00:00"/>
    <s v="016-2100-000"/>
    <s v="Food Sales"/>
    <n v="4163.9976000000006"/>
    <n v="0"/>
    <s v="Daily Sales Import"/>
    <n v="-4163.9976000000006"/>
    <n v="4163.9976000000006"/>
    <x v="0"/>
    <s v="2100"/>
    <s v="000"/>
    <x v="6"/>
    <x v="1"/>
  </r>
  <r>
    <d v="2012-04-15T00:00:00"/>
    <s v="016-2210-000"/>
    <s v="Liquor Sales"/>
    <n v="1628.2398000000001"/>
    <n v="0"/>
    <s v="Daily Sales Import"/>
    <n v="-1628.2398000000001"/>
    <n v="1628.2398000000001"/>
    <x v="0"/>
    <s v="2210"/>
    <s v="000"/>
    <x v="6"/>
    <x v="1"/>
  </r>
  <r>
    <d v="2012-04-15T00:00:00"/>
    <s v="016-2220-000"/>
    <s v="Beer Sales"/>
    <n v="263.08799999999997"/>
    <n v="0"/>
    <s v="Daily Sales Import"/>
    <n v="-263.08799999999997"/>
    <n v="263.08799999999997"/>
    <x v="0"/>
    <s v="2220"/>
    <s v="000"/>
    <x v="6"/>
    <x v="1"/>
  </r>
  <r>
    <d v="2012-04-15T00:00:00"/>
    <s v="016-2230-000"/>
    <s v="Wine Sales"/>
    <n v="136.864"/>
    <n v="0"/>
    <s v="Daily Sales Import"/>
    <n v="-136.864"/>
    <n v="136.864"/>
    <x v="0"/>
    <s v="2230"/>
    <s v="000"/>
    <x v="6"/>
    <x v="1"/>
  </r>
  <r>
    <d v="2012-04-09T00:00:00"/>
    <s v="017-2100-000"/>
    <s v="Food Sales"/>
    <n v="6074.9849999999997"/>
    <n v="0"/>
    <s v="Daily Sales Import"/>
    <n v="-6074.9849999999997"/>
    <n v="6074.9849999999997"/>
    <x v="1"/>
    <s v="2100"/>
    <s v="000"/>
    <x v="6"/>
    <x v="1"/>
  </r>
  <r>
    <d v="2012-04-09T00:00:00"/>
    <s v="017-2210-000"/>
    <s v="Liquor Sales"/>
    <n v="1782.5775000000001"/>
    <n v="0"/>
    <s v="Daily Sales Import"/>
    <n v="-1782.5775000000001"/>
    <n v="1782.5775000000001"/>
    <x v="1"/>
    <s v="2210"/>
    <s v="000"/>
    <x v="6"/>
    <x v="1"/>
  </r>
  <r>
    <d v="2012-04-09T00:00:00"/>
    <s v="017-2220-000"/>
    <s v="Beer Sales"/>
    <n v="647.42499999999995"/>
    <n v="0"/>
    <s v="Daily Sales Import"/>
    <n v="-647.42499999999995"/>
    <n v="647.42499999999995"/>
    <x v="1"/>
    <s v="2220"/>
    <s v="000"/>
    <x v="6"/>
    <x v="1"/>
  </r>
  <r>
    <d v="2012-04-09T00:00:00"/>
    <s v="017-2230-000"/>
    <s v="Wine Sales"/>
    <n v="223.51499999999999"/>
    <n v="0"/>
    <s v="Daily Sales Import"/>
    <n v="-223.51499999999999"/>
    <n v="223.51499999999999"/>
    <x v="1"/>
    <s v="2230"/>
    <s v="000"/>
    <x v="6"/>
    <x v="1"/>
  </r>
  <r>
    <d v="2012-04-10T00:00:00"/>
    <s v="017-2100-000"/>
    <s v="Food Sales"/>
    <n v="6647.0549999999994"/>
    <n v="0"/>
    <s v="Daily Sales Import"/>
    <n v="-6647.0549999999994"/>
    <n v="6647.0549999999994"/>
    <x v="1"/>
    <s v="2100"/>
    <s v="000"/>
    <x v="6"/>
    <x v="1"/>
  </r>
  <r>
    <d v="2012-04-10T00:00:00"/>
    <s v="017-2210-000"/>
    <s v="Liquor Sales"/>
    <n v="1697.6079999999999"/>
    <n v="0"/>
    <s v="Daily Sales Import"/>
    <n v="-1697.6079999999999"/>
    <n v="1697.6079999999999"/>
    <x v="1"/>
    <s v="2210"/>
    <s v="000"/>
    <x v="6"/>
    <x v="1"/>
  </r>
  <r>
    <d v="2012-04-10T00:00:00"/>
    <s v="017-2220-000"/>
    <s v="Beer Sales"/>
    <n v="571.48500000000001"/>
    <n v="0"/>
    <s v="Daily Sales Import"/>
    <n v="-571.48500000000001"/>
    <n v="571.48500000000001"/>
    <x v="1"/>
    <s v="2220"/>
    <s v="000"/>
    <x v="6"/>
    <x v="1"/>
  </r>
  <r>
    <d v="2012-04-10T00:00:00"/>
    <s v="017-2230-000"/>
    <s v="Wine Sales"/>
    <n v="136.96200000000002"/>
    <n v="0"/>
    <s v="Daily Sales Import"/>
    <n v="-136.96200000000002"/>
    <n v="136.96200000000002"/>
    <x v="1"/>
    <s v="2230"/>
    <s v="000"/>
    <x v="6"/>
    <x v="1"/>
  </r>
  <r>
    <d v="2012-04-11T00:00:00"/>
    <s v="017-2100-000"/>
    <s v="Food Sales"/>
    <n v="5034.8959999999997"/>
    <n v="0"/>
    <s v="Daily Sales Import"/>
    <n v="-5034.8959999999997"/>
    <n v="5034.8959999999997"/>
    <x v="1"/>
    <s v="2100"/>
    <s v="000"/>
    <x v="6"/>
    <x v="1"/>
  </r>
  <r>
    <d v="2012-04-11T00:00:00"/>
    <s v="017-2210-000"/>
    <s v="Liquor Sales"/>
    <n v="1471.7860000000001"/>
    <n v="0"/>
    <s v="Daily Sales Import"/>
    <n v="-1471.7860000000001"/>
    <n v="1471.7860000000001"/>
    <x v="1"/>
    <s v="2210"/>
    <s v="000"/>
    <x v="6"/>
    <x v="1"/>
  </r>
  <r>
    <d v="2012-04-11T00:00:00"/>
    <s v="017-2220-000"/>
    <s v="Beer Sales"/>
    <n v="540.57499999999993"/>
    <n v="0"/>
    <s v="Daily Sales Import"/>
    <n v="-540.57499999999993"/>
    <n v="540.57499999999993"/>
    <x v="1"/>
    <s v="2220"/>
    <s v="000"/>
    <x v="6"/>
    <x v="1"/>
  </r>
  <r>
    <d v="2012-04-11T00:00:00"/>
    <s v="017-2230-000"/>
    <s v="Wine Sales"/>
    <n v="211.15599999999998"/>
    <n v="0"/>
    <s v="Daily Sales Import"/>
    <n v="-211.15599999999998"/>
    <n v="211.15599999999998"/>
    <x v="1"/>
    <s v="2230"/>
    <s v="000"/>
    <x v="6"/>
    <x v="1"/>
  </r>
  <r>
    <d v="2012-04-12T00:00:00"/>
    <s v="017-2100-000"/>
    <s v="Food Sales"/>
    <n v="5381.2745999999997"/>
    <n v="0"/>
    <s v="Daily Sales Import"/>
    <n v="-5381.2745999999997"/>
    <n v="5381.2745999999997"/>
    <x v="1"/>
    <s v="2100"/>
    <s v="000"/>
    <x v="6"/>
    <x v="1"/>
  </r>
  <r>
    <d v="2012-04-12T00:00:00"/>
    <s v="017-2210-000"/>
    <s v="Liquor Sales"/>
    <n v="1248.6285"/>
    <n v="0"/>
    <s v="Daily Sales Import"/>
    <n v="-1248.6285"/>
    <n v="1248.6285"/>
    <x v="1"/>
    <s v="2210"/>
    <s v="000"/>
    <x v="6"/>
    <x v="1"/>
  </r>
  <r>
    <d v="2012-04-12T00:00:00"/>
    <s v="017-2220-000"/>
    <s v="Beer Sales"/>
    <n v="422.98750000000001"/>
    <n v="0"/>
    <s v="Daily Sales Import"/>
    <n v="-422.98750000000001"/>
    <n v="422.98750000000001"/>
    <x v="1"/>
    <s v="2220"/>
    <s v="000"/>
    <x v="6"/>
    <x v="1"/>
  </r>
  <r>
    <d v="2012-04-12T00:00:00"/>
    <s v="017-2230-000"/>
    <s v="Wine Sales"/>
    <n v="231.334"/>
    <n v="0"/>
    <s v="Daily Sales Import"/>
    <n v="-231.334"/>
    <n v="231.334"/>
    <x v="1"/>
    <s v="2230"/>
    <s v="000"/>
    <x v="6"/>
    <x v="1"/>
  </r>
  <r>
    <d v="2012-04-13T00:00:00"/>
    <s v="017-2100-000"/>
    <s v="Food Sales"/>
    <n v="9606.2671000000009"/>
    <n v="0"/>
    <s v="Daily Sales Import"/>
    <n v="-9606.2671000000009"/>
    <n v="9606.2671000000009"/>
    <x v="1"/>
    <s v="2100"/>
    <s v="000"/>
    <x v="6"/>
    <x v="1"/>
  </r>
  <r>
    <d v="2012-04-13T00:00:00"/>
    <s v="017-2210-000"/>
    <s v="Liquor Sales"/>
    <n v="3557.2064999999998"/>
    <n v="0"/>
    <s v="Daily Sales Import"/>
    <n v="-3557.2064999999998"/>
    <n v="3557.2064999999998"/>
    <x v="1"/>
    <s v="2210"/>
    <s v="000"/>
    <x v="6"/>
    <x v="1"/>
  </r>
  <r>
    <d v="2012-04-13T00:00:00"/>
    <s v="017-2220-000"/>
    <s v="Beer Sales"/>
    <n v="907.48749999999995"/>
    <n v="0"/>
    <s v="Daily Sales Import"/>
    <n v="-907.48749999999995"/>
    <n v="907.48749999999995"/>
    <x v="1"/>
    <s v="2220"/>
    <s v="000"/>
    <x v="6"/>
    <x v="1"/>
  </r>
  <r>
    <d v="2012-04-13T00:00:00"/>
    <s v="017-2230-000"/>
    <s v="Wine Sales"/>
    <n v="340.86499999999995"/>
    <n v="0"/>
    <s v="Daily Sales Import"/>
    <n v="-340.86499999999995"/>
    <n v="340.86499999999995"/>
    <x v="1"/>
    <s v="2230"/>
    <s v="000"/>
    <x v="6"/>
    <x v="1"/>
  </r>
  <r>
    <d v="2012-04-14T00:00:00"/>
    <s v="017-2100-000"/>
    <s v="Food Sales"/>
    <n v="9581.4549999999999"/>
    <n v="0"/>
    <s v="Daily Sales Import"/>
    <n v="-9581.4549999999999"/>
    <n v="9581.4549999999999"/>
    <x v="1"/>
    <s v="2100"/>
    <s v="000"/>
    <x v="6"/>
    <x v="1"/>
  </r>
  <r>
    <d v="2012-04-14T00:00:00"/>
    <s v="017-2210-000"/>
    <s v="Liquor Sales"/>
    <n v="2350.9859999999999"/>
    <n v="0"/>
    <s v="Daily Sales Import"/>
    <n v="-2350.9859999999999"/>
    <n v="2350.9859999999999"/>
    <x v="1"/>
    <s v="2210"/>
    <s v="000"/>
    <x v="6"/>
    <x v="1"/>
  </r>
  <r>
    <d v="2012-04-14T00:00:00"/>
    <s v="017-2220-000"/>
    <s v="Beer Sales"/>
    <n v="363.67500000000001"/>
    <n v="0"/>
    <s v="Daily Sales Import"/>
    <n v="-363.67500000000001"/>
    <n v="363.67500000000001"/>
    <x v="1"/>
    <s v="2220"/>
    <s v="000"/>
    <x v="6"/>
    <x v="1"/>
  </r>
  <r>
    <d v="2012-04-14T00:00:00"/>
    <s v="017-2230-000"/>
    <s v="Wine Sales"/>
    <n v="261.95999999999998"/>
    <n v="0"/>
    <s v="Daily Sales Import"/>
    <n v="-261.95999999999998"/>
    <n v="261.95999999999998"/>
    <x v="1"/>
    <s v="2230"/>
    <s v="000"/>
    <x v="6"/>
    <x v="1"/>
  </r>
  <r>
    <d v="2012-04-15T00:00:00"/>
    <s v="017-2100-000"/>
    <s v="Food Sales"/>
    <n v="5517.5337000000009"/>
    <n v="0"/>
    <s v="Daily Sales Import"/>
    <n v="-5517.5337000000009"/>
    <n v="5517.5337000000009"/>
    <x v="1"/>
    <s v="2100"/>
    <s v="000"/>
    <x v="6"/>
    <x v="1"/>
  </r>
  <r>
    <d v="2012-04-15T00:00:00"/>
    <s v="017-2210-000"/>
    <s v="Liquor Sales"/>
    <n v="1102.1189999999999"/>
    <n v="0"/>
    <s v="Daily Sales Import"/>
    <n v="-1102.1189999999999"/>
    <n v="1102.1189999999999"/>
    <x v="1"/>
    <s v="2210"/>
    <s v="000"/>
    <x v="6"/>
    <x v="1"/>
  </r>
  <r>
    <d v="2012-04-15T00:00:00"/>
    <s v="017-2220-000"/>
    <s v="Beer Sales"/>
    <n v="214.3475"/>
    <n v="0"/>
    <s v="Daily Sales Import"/>
    <n v="-214.3475"/>
    <n v="214.3475"/>
    <x v="1"/>
    <s v="2220"/>
    <s v="000"/>
    <x v="6"/>
    <x v="1"/>
  </r>
  <r>
    <d v="2012-04-15T00:00:00"/>
    <s v="017-2230-000"/>
    <s v="Wine Sales"/>
    <n v="119.36250000000001"/>
    <n v="0"/>
    <s v="Daily Sales Import"/>
    <n v="-119.36250000000001"/>
    <n v="119.36250000000001"/>
    <x v="1"/>
    <s v="2230"/>
    <s v="000"/>
    <x v="6"/>
    <x v="1"/>
  </r>
  <r>
    <d v="2012-04-09T00:00:00"/>
    <s v="018-2100-000"/>
    <s v="Food Sales"/>
    <n v="3959.7950000000001"/>
    <n v="0"/>
    <s v="Daily Sales Import"/>
    <n v="-3959.7950000000001"/>
    <n v="3959.7950000000001"/>
    <x v="2"/>
    <s v="2100"/>
    <s v="000"/>
    <x v="6"/>
    <x v="1"/>
  </r>
  <r>
    <d v="2012-04-09T00:00:00"/>
    <s v="018-2210-000"/>
    <s v="Liquor Sales"/>
    <n v="756.11699999999996"/>
    <n v="0"/>
    <s v="Daily Sales Import"/>
    <n v="-756.11699999999996"/>
    <n v="756.11699999999996"/>
    <x v="2"/>
    <s v="2210"/>
    <s v="000"/>
    <x v="6"/>
    <x v="1"/>
  </r>
  <r>
    <d v="2012-04-09T00:00:00"/>
    <s v="018-2220-000"/>
    <s v="Beer Sales"/>
    <n v="187.30799999999999"/>
    <n v="0"/>
    <s v="Daily Sales Import"/>
    <n v="-187.30799999999999"/>
    <n v="187.30799999999999"/>
    <x v="2"/>
    <s v="2220"/>
    <s v="000"/>
    <x v="6"/>
    <x v="1"/>
  </r>
  <r>
    <d v="2012-04-09T00:00:00"/>
    <s v="018-2230-000"/>
    <s v="Wine Sales"/>
    <n v="25.085999999999999"/>
    <n v="0"/>
    <s v="Daily Sales Import"/>
    <n v="-25.085999999999999"/>
    <n v="25.085999999999999"/>
    <x v="2"/>
    <s v="2230"/>
    <s v="000"/>
    <x v="6"/>
    <x v="1"/>
  </r>
  <r>
    <d v="2012-04-10T00:00:00"/>
    <s v="018-2100-000"/>
    <s v="Food Sales"/>
    <n v="2980.4949999999999"/>
    <n v="0"/>
    <s v="Daily Sales Import"/>
    <n v="-2980.4949999999999"/>
    <n v="2980.4949999999999"/>
    <x v="2"/>
    <s v="2100"/>
    <s v="000"/>
    <x v="6"/>
    <x v="1"/>
  </r>
  <r>
    <d v="2012-04-10T00:00:00"/>
    <s v="018-2210-000"/>
    <s v="Liquor Sales"/>
    <n v="928.99799999999993"/>
    <n v="0"/>
    <s v="Daily Sales Import"/>
    <n v="-928.99799999999993"/>
    <n v="928.99799999999993"/>
    <x v="2"/>
    <s v="2210"/>
    <s v="000"/>
    <x v="6"/>
    <x v="1"/>
  </r>
  <r>
    <d v="2012-04-10T00:00:00"/>
    <s v="018-2220-000"/>
    <s v="Beer Sales"/>
    <n v="378.47999999999996"/>
    <n v="0"/>
    <s v="Daily Sales Import"/>
    <n v="-378.47999999999996"/>
    <n v="378.47999999999996"/>
    <x v="2"/>
    <s v="2220"/>
    <s v="000"/>
    <x v="6"/>
    <x v="1"/>
  </r>
  <r>
    <d v="2012-04-10T00:00:00"/>
    <s v="018-2230-000"/>
    <s v="Wine Sales"/>
    <n v="42.741499999999995"/>
    <n v="0"/>
    <s v="Daily Sales Import"/>
    <n v="-42.741499999999995"/>
    <n v="42.741499999999995"/>
    <x v="2"/>
    <s v="2230"/>
    <s v="000"/>
    <x v="6"/>
    <x v="1"/>
  </r>
  <r>
    <d v="2012-04-11T00:00:00"/>
    <s v="018-2100-000"/>
    <s v="Food Sales"/>
    <n v="3340.0376000000001"/>
    <n v="0"/>
    <s v="Daily Sales Import"/>
    <n v="-3340.0376000000001"/>
    <n v="3340.0376000000001"/>
    <x v="2"/>
    <s v="2100"/>
    <s v="000"/>
    <x v="6"/>
    <x v="1"/>
  </r>
  <r>
    <d v="2012-04-11T00:00:00"/>
    <s v="018-2210-000"/>
    <s v="Liquor Sales"/>
    <n v="604.39600000000007"/>
    <n v="0"/>
    <s v="Daily Sales Import"/>
    <n v="-604.39600000000007"/>
    <n v="604.39600000000007"/>
    <x v="2"/>
    <s v="2210"/>
    <s v="000"/>
    <x v="6"/>
    <x v="1"/>
  </r>
  <r>
    <d v="2012-04-11T00:00:00"/>
    <s v="018-2220-000"/>
    <s v="Beer Sales"/>
    <n v="118.2505"/>
    <n v="0"/>
    <s v="Daily Sales Import"/>
    <n v="-118.2505"/>
    <n v="118.2505"/>
    <x v="2"/>
    <s v="2220"/>
    <s v="000"/>
    <x v="6"/>
    <x v="1"/>
  </r>
  <r>
    <d v="2012-04-11T00:00:00"/>
    <s v="018-2230-000"/>
    <s v="Wine Sales"/>
    <n v="52.271999999999998"/>
    <n v="0"/>
    <s v="Daily Sales Import"/>
    <n v="-52.271999999999998"/>
    <n v="52.271999999999998"/>
    <x v="2"/>
    <s v="2230"/>
    <s v="000"/>
    <x v="6"/>
    <x v="1"/>
  </r>
  <r>
    <d v="2012-04-12T00:00:00"/>
    <s v="018-2100-000"/>
    <s v="Food Sales"/>
    <n v="3720.732"/>
    <n v="0"/>
    <s v="Daily Sales Import"/>
    <n v="-3720.732"/>
    <n v="3720.732"/>
    <x v="2"/>
    <s v="2100"/>
    <s v="000"/>
    <x v="6"/>
    <x v="1"/>
  </r>
  <r>
    <d v="2012-04-12T00:00:00"/>
    <s v="018-2210-000"/>
    <s v="Liquor Sales"/>
    <n v="937.16449999999998"/>
    <n v="0"/>
    <s v="Daily Sales Import"/>
    <n v="-937.16449999999998"/>
    <n v="937.16449999999998"/>
    <x v="2"/>
    <s v="2210"/>
    <s v="000"/>
    <x v="6"/>
    <x v="1"/>
  </r>
  <r>
    <d v="2012-04-12T00:00:00"/>
    <s v="018-2220-000"/>
    <s v="Beer Sales"/>
    <n v="243.76799999999997"/>
    <n v="0"/>
    <s v="Daily Sales Import"/>
    <n v="-243.76799999999997"/>
    <n v="243.76799999999997"/>
    <x v="2"/>
    <s v="2220"/>
    <s v="000"/>
    <x v="6"/>
    <x v="1"/>
  </r>
  <r>
    <d v="2012-04-12T00:00:00"/>
    <s v="018-2230-000"/>
    <s v="Wine Sales"/>
    <n v="35.875"/>
    <n v="0"/>
    <s v="Daily Sales Import"/>
    <n v="-35.875"/>
    <n v="35.875"/>
    <x v="2"/>
    <s v="2230"/>
    <s v="000"/>
    <x v="6"/>
    <x v="1"/>
  </r>
  <r>
    <d v="2012-04-13T00:00:00"/>
    <s v="018-2100-000"/>
    <s v="Food Sales"/>
    <n v="12010.567499999999"/>
    <n v="0"/>
    <s v="Daily Sales Import"/>
    <n v="-12010.567499999999"/>
    <n v="12010.567499999999"/>
    <x v="2"/>
    <s v="2100"/>
    <s v="000"/>
    <x v="6"/>
    <x v="1"/>
  </r>
  <r>
    <d v="2012-04-13T00:00:00"/>
    <s v="018-2210-000"/>
    <s v="Liquor Sales"/>
    <n v="2797.681"/>
    <n v="0"/>
    <s v="Daily Sales Import"/>
    <n v="-2797.681"/>
    <n v="2797.681"/>
    <x v="2"/>
    <s v="2210"/>
    <s v="000"/>
    <x v="6"/>
    <x v="1"/>
  </r>
  <r>
    <d v="2012-04-13T00:00:00"/>
    <s v="018-2220-000"/>
    <s v="Beer Sales"/>
    <n v="444.37999999999994"/>
    <n v="0"/>
    <s v="Daily Sales Import"/>
    <n v="-444.37999999999994"/>
    <n v="444.37999999999994"/>
    <x v="2"/>
    <s v="2220"/>
    <s v="000"/>
    <x v="6"/>
    <x v="1"/>
  </r>
  <r>
    <d v="2012-04-13T00:00:00"/>
    <s v="018-2230-000"/>
    <s v="Wine Sales"/>
    <n v="145.595"/>
    <n v="0"/>
    <s v="Daily Sales Import"/>
    <n v="-145.595"/>
    <n v="145.595"/>
    <x v="2"/>
    <s v="2230"/>
    <s v="000"/>
    <x v="6"/>
    <x v="1"/>
  </r>
  <r>
    <d v="2012-04-14T00:00:00"/>
    <s v="018-2100-000"/>
    <s v="Food Sales"/>
    <n v="16356.238400000002"/>
    <n v="0"/>
    <s v="Daily Sales Import"/>
    <n v="-16356.238400000002"/>
    <n v="16356.238400000002"/>
    <x v="2"/>
    <s v="2100"/>
    <s v="000"/>
    <x v="6"/>
    <x v="1"/>
  </r>
  <r>
    <d v="2012-04-14T00:00:00"/>
    <s v="018-2210-000"/>
    <s v="Liquor Sales"/>
    <n v="3610.2404999999999"/>
    <n v="0"/>
    <s v="Daily Sales Import"/>
    <n v="-3610.2404999999999"/>
    <n v="3610.2404999999999"/>
    <x v="2"/>
    <s v="2210"/>
    <s v="000"/>
    <x v="6"/>
    <x v="1"/>
  </r>
  <r>
    <d v="2012-04-14T00:00:00"/>
    <s v="018-2220-000"/>
    <s v="Beer Sales"/>
    <n v="432.67649999999998"/>
    <n v="0"/>
    <s v="Daily Sales Import"/>
    <n v="-432.67649999999998"/>
    <n v="432.67649999999998"/>
    <x v="2"/>
    <s v="2220"/>
    <s v="000"/>
    <x v="6"/>
    <x v="1"/>
  </r>
  <r>
    <d v="2012-04-14T00:00:00"/>
    <s v="018-2230-000"/>
    <s v="Wine Sales"/>
    <n v="139.09700000000001"/>
    <n v="0"/>
    <s v="Daily Sales Import"/>
    <n v="-139.09700000000001"/>
    <n v="139.09700000000001"/>
    <x v="2"/>
    <s v="2230"/>
    <s v="000"/>
    <x v="6"/>
    <x v="1"/>
  </r>
  <r>
    <d v="2012-04-15T00:00:00"/>
    <s v="018-2100-000"/>
    <s v="Food Sales"/>
    <n v="8349.0740000000005"/>
    <n v="0"/>
    <s v="Daily Sales Import"/>
    <n v="-8349.0740000000005"/>
    <n v="8349.0740000000005"/>
    <x v="2"/>
    <s v="2100"/>
    <s v="000"/>
    <x v="6"/>
    <x v="1"/>
  </r>
  <r>
    <d v="2012-04-15T00:00:00"/>
    <s v="018-2210-000"/>
    <s v="Liquor Sales"/>
    <n v="1844.6120000000001"/>
    <n v="0"/>
    <s v="Daily Sales Import"/>
    <n v="-1844.6120000000001"/>
    <n v="1844.6120000000001"/>
    <x v="2"/>
    <s v="2210"/>
    <s v="000"/>
    <x v="6"/>
    <x v="1"/>
  </r>
  <r>
    <d v="2012-04-15T00:00:00"/>
    <s v="018-2220-000"/>
    <s v="Beer Sales"/>
    <n v="375.49799999999999"/>
    <n v="0"/>
    <s v="Daily Sales Import"/>
    <n v="-375.49799999999999"/>
    <n v="375.49799999999999"/>
    <x v="2"/>
    <s v="2220"/>
    <s v="000"/>
    <x v="6"/>
    <x v="1"/>
  </r>
  <r>
    <d v="2012-04-15T00:00:00"/>
    <s v="018-2230-000"/>
    <s v="Wine Sales"/>
    <n v="171.21199999999999"/>
    <n v="0"/>
    <s v="Daily Sales Import"/>
    <n v="-171.21199999999999"/>
    <n v="171.21199999999999"/>
    <x v="2"/>
    <s v="2230"/>
    <s v="000"/>
    <x v="6"/>
    <x v="1"/>
  </r>
  <r>
    <d v="2012-04-16T00:00:00"/>
    <s v="016-2100-000"/>
    <s v="Food Sales"/>
    <n v="2684.5694000000003"/>
    <n v="0"/>
    <s v="Daily Sales Import"/>
    <n v="-2684.5694000000003"/>
    <n v="2684.5694000000003"/>
    <x v="0"/>
    <s v="2100"/>
    <s v="000"/>
    <x v="6"/>
    <x v="1"/>
  </r>
  <r>
    <d v="2012-04-16T00:00:00"/>
    <s v="016-2210-000"/>
    <s v="Liquor Sales"/>
    <n v="826.09899999999993"/>
    <n v="0"/>
    <s v="Daily Sales Import"/>
    <n v="-826.09899999999993"/>
    <n v="826.09899999999993"/>
    <x v="0"/>
    <s v="2210"/>
    <s v="000"/>
    <x v="6"/>
    <x v="1"/>
  </r>
  <r>
    <d v="2012-04-16T00:00:00"/>
    <s v="016-2220-000"/>
    <s v="Beer Sales"/>
    <n v="122.337"/>
    <n v="0"/>
    <s v="Daily Sales Import"/>
    <n v="-122.337"/>
    <n v="122.337"/>
    <x v="0"/>
    <s v="2220"/>
    <s v="000"/>
    <x v="6"/>
    <x v="1"/>
  </r>
  <r>
    <d v="2012-04-16T00:00:00"/>
    <s v="016-2230-000"/>
    <s v="Wine Sales"/>
    <n v="92.547000000000011"/>
    <n v="0"/>
    <s v="Daily Sales Import"/>
    <n v="-92.547000000000011"/>
    <n v="92.547000000000011"/>
    <x v="0"/>
    <s v="2230"/>
    <s v="000"/>
    <x v="6"/>
    <x v="1"/>
  </r>
  <r>
    <d v="2012-04-17T00:00:00"/>
    <s v="016-2100-000"/>
    <s v="Food Sales"/>
    <n v="3716.6849999999999"/>
    <n v="0"/>
    <s v="Daily Sales Import"/>
    <n v="-3716.6849999999999"/>
    <n v="3716.6849999999999"/>
    <x v="0"/>
    <s v="2100"/>
    <s v="000"/>
    <x v="6"/>
    <x v="1"/>
  </r>
  <r>
    <d v="2012-04-17T00:00:00"/>
    <s v="016-2210-000"/>
    <s v="Liquor Sales"/>
    <n v="2070.1149999999998"/>
    <n v="0"/>
    <s v="Daily Sales Import"/>
    <n v="-2070.1149999999998"/>
    <n v="2070.1149999999998"/>
    <x v="0"/>
    <s v="2210"/>
    <s v="000"/>
    <x v="6"/>
    <x v="1"/>
  </r>
  <r>
    <d v="2012-04-17T00:00:00"/>
    <s v="016-2220-000"/>
    <s v="Beer Sales"/>
    <n v="383.4"/>
    <n v="0"/>
    <s v="Daily Sales Import"/>
    <n v="-383.4"/>
    <n v="383.4"/>
    <x v="0"/>
    <s v="2220"/>
    <s v="000"/>
    <x v="6"/>
    <x v="1"/>
  </r>
  <r>
    <d v="2012-04-17T00:00:00"/>
    <s v="016-2230-000"/>
    <s v="Wine Sales"/>
    <n v="106.43600000000001"/>
    <n v="0"/>
    <s v="Daily Sales Import"/>
    <n v="-106.43600000000001"/>
    <n v="106.43600000000001"/>
    <x v="0"/>
    <s v="2230"/>
    <s v="000"/>
    <x v="6"/>
    <x v="1"/>
  </r>
  <r>
    <d v="2012-04-18T00:00:00"/>
    <s v="016-2100-000"/>
    <s v="Food Sales"/>
    <n v="3646.643"/>
    <n v="0"/>
    <s v="Daily Sales Import"/>
    <n v="-3646.643"/>
    <n v="3646.643"/>
    <x v="0"/>
    <s v="2100"/>
    <s v="000"/>
    <x v="6"/>
    <x v="1"/>
  </r>
  <r>
    <d v="2012-04-18T00:00:00"/>
    <s v="016-2210-000"/>
    <s v="Liquor Sales"/>
    <n v="1024.2339999999999"/>
    <n v="0"/>
    <s v="Daily Sales Import"/>
    <n v="-1024.2339999999999"/>
    <n v="1024.2339999999999"/>
    <x v="0"/>
    <s v="2210"/>
    <s v="000"/>
    <x v="6"/>
    <x v="1"/>
  </r>
  <r>
    <d v="2012-04-18T00:00:00"/>
    <s v="016-2220-000"/>
    <s v="Beer Sales"/>
    <n v="185.05800000000002"/>
    <n v="0"/>
    <s v="Daily Sales Import"/>
    <n v="-185.05800000000002"/>
    <n v="185.05800000000002"/>
    <x v="0"/>
    <s v="2220"/>
    <s v="000"/>
    <x v="6"/>
    <x v="1"/>
  </r>
  <r>
    <d v="2012-04-18T00:00:00"/>
    <s v="016-2230-000"/>
    <s v="Wine Sales"/>
    <n v="120.73100000000001"/>
    <n v="0"/>
    <s v="Daily Sales Import"/>
    <n v="-120.73100000000001"/>
    <n v="120.73100000000001"/>
    <x v="0"/>
    <s v="2230"/>
    <s v="000"/>
    <x v="6"/>
    <x v="1"/>
  </r>
  <r>
    <d v="2012-04-19T00:00:00"/>
    <s v="016-2100-000"/>
    <s v="Food Sales"/>
    <n v="5463.799"/>
    <n v="0"/>
    <s v="Daily Sales Import"/>
    <n v="-5463.799"/>
    <n v="5463.799"/>
    <x v="0"/>
    <s v="2100"/>
    <s v="000"/>
    <x v="6"/>
    <x v="1"/>
  </r>
  <r>
    <d v="2012-04-19T00:00:00"/>
    <s v="016-2210-000"/>
    <s v="Liquor Sales"/>
    <n v="2380.3200000000002"/>
    <n v="0"/>
    <s v="Daily Sales Import"/>
    <n v="-2380.3200000000002"/>
    <n v="2380.3200000000002"/>
    <x v="0"/>
    <s v="2210"/>
    <s v="000"/>
    <x v="6"/>
    <x v="1"/>
  </r>
  <r>
    <d v="2012-04-19T00:00:00"/>
    <s v="016-2220-000"/>
    <s v="Beer Sales"/>
    <n v="347.65199999999999"/>
    <n v="0"/>
    <s v="Daily Sales Import"/>
    <n v="-347.65199999999999"/>
    <n v="347.65199999999999"/>
    <x v="0"/>
    <s v="2220"/>
    <s v="000"/>
    <x v="6"/>
    <x v="1"/>
  </r>
  <r>
    <d v="2012-04-19T00:00:00"/>
    <s v="016-2230-000"/>
    <s v="Wine Sales"/>
    <n v="161.56799999999998"/>
    <n v="0"/>
    <s v="Daily Sales Import"/>
    <n v="-161.56799999999998"/>
    <n v="161.56799999999998"/>
    <x v="0"/>
    <s v="2230"/>
    <s v="000"/>
    <x v="6"/>
    <x v="1"/>
  </r>
  <r>
    <d v="2012-04-20T00:00:00"/>
    <s v="016-2100-000"/>
    <s v="Food Sales"/>
    <n v="6542.5834999999997"/>
    <n v="0"/>
    <s v="Daily Sales Import"/>
    <n v="-6542.5834999999997"/>
    <n v="6542.5834999999997"/>
    <x v="0"/>
    <s v="2100"/>
    <s v="000"/>
    <x v="6"/>
    <x v="1"/>
  </r>
  <r>
    <d v="2012-04-20T00:00:00"/>
    <s v="016-2210-000"/>
    <s v="Liquor Sales"/>
    <n v="2512.16"/>
    <n v="0"/>
    <s v="Daily Sales Import"/>
    <n v="-2512.16"/>
    <n v="2512.16"/>
    <x v="0"/>
    <s v="2210"/>
    <s v="000"/>
    <x v="6"/>
    <x v="1"/>
  </r>
  <r>
    <d v="2012-04-20T00:00:00"/>
    <s v="016-2220-000"/>
    <s v="Beer Sales"/>
    <n v="399.25200000000007"/>
    <n v="0"/>
    <s v="Daily Sales Import"/>
    <n v="-399.25200000000007"/>
    <n v="399.25200000000007"/>
    <x v="0"/>
    <s v="2220"/>
    <s v="000"/>
    <x v="6"/>
    <x v="1"/>
  </r>
  <r>
    <d v="2012-04-20T00:00:00"/>
    <s v="016-2230-000"/>
    <s v="Wine Sales"/>
    <n v="158.68800000000002"/>
    <n v="0"/>
    <s v="Daily Sales Import"/>
    <n v="-158.68800000000002"/>
    <n v="158.68800000000002"/>
    <x v="0"/>
    <s v="2230"/>
    <s v="000"/>
    <x v="6"/>
    <x v="1"/>
  </r>
  <r>
    <d v="2012-04-21T00:00:00"/>
    <s v="016-2100-000"/>
    <s v="Food Sales"/>
    <n v="7285.9016000000001"/>
    <n v="0"/>
    <s v="Daily Sales Import"/>
    <n v="-7285.9016000000001"/>
    <n v="7285.9016000000001"/>
    <x v="0"/>
    <s v="2100"/>
    <s v="000"/>
    <x v="6"/>
    <x v="1"/>
  </r>
  <r>
    <d v="2012-04-21T00:00:00"/>
    <s v="016-2210-000"/>
    <s v="Liquor Sales"/>
    <n v="2677.5765000000001"/>
    <n v="0"/>
    <s v="Daily Sales Import"/>
    <n v="-2677.5765000000001"/>
    <n v="2677.5765000000001"/>
    <x v="0"/>
    <s v="2210"/>
    <s v="000"/>
    <x v="6"/>
    <x v="1"/>
  </r>
  <r>
    <d v="2012-04-21T00:00:00"/>
    <s v="016-2220-000"/>
    <s v="Beer Sales"/>
    <n v="567.66600000000005"/>
    <n v="0"/>
    <s v="Daily Sales Import"/>
    <n v="-567.66600000000005"/>
    <n v="567.66600000000005"/>
    <x v="0"/>
    <s v="2220"/>
    <s v="000"/>
    <x v="6"/>
    <x v="1"/>
  </r>
  <r>
    <d v="2012-04-21T00:00:00"/>
    <s v="016-2230-000"/>
    <s v="Wine Sales"/>
    <n v="174.60000000000002"/>
    <n v="0"/>
    <s v="Daily Sales Import"/>
    <n v="-174.60000000000002"/>
    <n v="174.60000000000002"/>
    <x v="0"/>
    <s v="2230"/>
    <s v="000"/>
    <x v="6"/>
    <x v="1"/>
  </r>
  <r>
    <d v="2012-04-22T00:00:00"/>
    <s v="016-2100-000"/>
    <s v="Food Sales"/>
    <n v="5090.8032000000003"/>
    <n v="0"/>
    <s v="Daily Sales Import"/>
    <n v="-5090.8032000000003"/>
    <n v="5090.8032000000003"/>
    <x v="0"/>
    <s v="2100"/>
    <s v="000"/>
    <x v="6"/>
    <x v="1"/>
  </r>
  <r>
    <d v="2012-04-22T00:00:00"/>
    <s v="016-2210-000"/>
    <s v="Liquor Sales"/>
    <n v="2028.6630000000002"/>
    <n v="0"/>
    <s v="Daily Sales Import"/>
    <n v="-2028.6630000000002"/>
    <n v="2028.6630000000002"/>
    <x v="0"/>
    <s v="2210"/>
    <s v="000"/>
    <x v="6"/>
    <x v="1"/>
  </r>
  <r>
    <d v="2012-04-22T00:00:00"/>
    <s v="016-2220-000"/>
    <s v="Beer Sales"/>
    <n v="262.80450000000002"/>
    <n v="0"/>
    <s v="Daily Sales Import"/>
    <n v="-262.80450000000002"/>
    <n v="262.80450000000002"/>
    <x v="0"/>
    <s v="2220"/>
    <s v="000"/>
    <x v="6"/>
    <x v="1"/>
  </r>
  <r>
    <d v="2012-04-22T00:00:00"/>
    <s v="016-2230-000"/>
    <s v="Wine Sales"/>
    <n v="91.263000000000005"/>
    <n v="0"/>
    <s v="Daily Sales Import"/>
    <n v="-91.263000000000005"/>
    <n v="91.263000000000005"/>
    <x v="0"/>
    <s v="2230"/>
    <s v="000"/>
    <x v="6"/>
    <x v="1"/>
  </r>
  <r>
    <d v="2012-04-16T00:00:00"/>
    <s v="017-2100-000"/>
    <s v="Food Sales"/>
    <n v="4214.4938999999995"/>
    <n v="0"/>
    <s v="Daily Sales Import"/>
    <n v="-4214.4938999999995"/>
    <n v="4214.4938999999995"/>
    <x v="1"/>
    <s v="2100"/>
    <s v="000"/>
    <x v="6"/>
    <x v="1"/>
  </r>
  <r>
    <d v="2012-04-16T00:00:00"/>
    <s v="017-2210-000"/>
    <s v="Liquor Sales"/>
    <n v="1449.2435000000003"/>
    <n v="0"/>
    <s v="Daily Sales Import"/>
    <n v="-1449.2435000000003"/>
    <n v="1449.2435000000003"/>
    <x v="1"/>
    <s v="2210"/>
    <s v="000"/>
    <x v="6"/>
    <x v="1"/>
  </r>
  <r>
    <d v="2012-04-16T00:00:00"/>
    <s v="017-2220-000"/>
    <s v="Beer Sales"/>
    <n v="537.12"/>
    <n v="0"/>
    <s v="Daily Sales Import"/>
    <n v="-537.12"/>
    <n v="537.12"/>
    <x v="1"/>
    <s v="2220"/>
    <s v="000"/>
    <x v="6"/>
    <x v="1"/>
  </r>
  <r>
    <d v="2012-04-16T00:00:00"/>
    <s v="017-2230-000"/>
    <s v="Wine Sales"/>
    <n v="133.72799999999998"/>
    <n v="0"/>
    <s v="Daily Sales Import"/>
    <n v="-133.72799999999998"/>
    <n v="133.72799999999998"/>
    <x v="1"/>
    <s v="2230"/>
    <s v="000"/>
    <x v="6"/>
    <x v="1"/>
  </r>
  <r>
    <d v="2012-04-17T00:00:00"/>
    <s v="017-2100-000"/>
    <s v="Food Sales"/>
    <n v="7424.8356000000003"/>
    <n v="0"/>
    <s v="Daily Sales Import"/>
    <n v="-7424.8356000000003"/>
    <n v="7424.8356000000003"/>
    <x v="1"/>
    <s v="2100"/>
    <s v="000"/>
    <x v="6"/>
    <x v="1"/>
  </r>
  <r>
    <d v="2012-04-17T00:00:00"/>
    <s v="017-2210-000"/>
    <s v="Liquor Sales"/>
    <n v="1438.6995000000002"/>
    <n v="0"/>
    <s v="Daily Sales Import"/>
    <n v="-1438.6995000000002"/>
    <n v="1438.6995000000002"/>
    <x v="1"/>
    <s v="2210"/>
    <s v="000"/>
    <x v="6"/>
    <x v="1"/>
  </r>
  <r>
    <d v="2012-04-17T00:00:00"/>
    <s v="017-2220-000"/>
    <s v="Beer Sales"/>
    <n v="657.12"/>
    <n v="0"/>
    <s v="Daily Sales Import"/>
    <n v="-657.12"/>
    <n v="657.12"/>
    <x v="1"/>
    <s v="2220"/>
    <s v="000"/>
    <x v="6"/>
    <x v="1"/>
  </r>
  <r>
    <d v="2012-04-17T00:00:00"/>
    <s v="017-2230-000"/>
    <s v="Wine Sales"/>
    <n v="138.46950000000001"/>
    <n v="0"/>
    <s v="Daily Sales Import"/>
    <n v="-138.46950000000001"/>
    <n v="138.46950000000001"/>
    <x v="1"/>
    <s v="2230"/>
    <s v="000"/>
    <x v="6"/>
    <x v="1"/>
  </r>
  <r>
    <d v="2012-04-18T00:00:00"/>
    <s v="017-2100-000"/>
    <s v="Food Sales"/>
    <n v="5415.1152000000002"/>
    <n v="0"/>
    <s v="Daily Sales Import"/>
    <n v="-5415.1152000000002"/>
    <n v="5415.1152000000002"/>
    <x v="1"/>
    <s v="2100"/>
    <s v="000"/>
    <x v="6"/>
    <x v="1"/>
  </r>
  <r>
    <d v="2012-04-18T00:00:00"/>
    <s v="017-2210-000"/>
    <s v="Liquor Sales"/>
    <n v="1078.6424999999999"/>
    <n v="0"/>
    <s v="Daily Sales Import"/>
    <n v="-1078.6424999999999"/>
    <n v="1078.6424999999999"/>
    <x v="1"/>
    <s v="2210"/>
    <s v="000"/>
    <x v="6"/>
    <x v="1"/>
  </r>
  <r>
    <d v="2012-04-18T00:00:00"/>
    <s v="017-2220-000"/>
    <s v="Beer Sales"/>
    <n v="383.34999999999997"/>
    <n v="0"/>
    <s v="Daily Sales Import"/>
    <n v="-383.34999999999997"/>
    <n v="383.34999999999997"/>
    <x v="1"/>
    <s v="2220"/>
    <s v="000"/>
    <x v="6"/>
    <x v="1"/>
  </r>
  <r>
    <d v="2012-04-18T00:00:00"/>
    <s v="017-2230-000"/>
    <s v="Wine Sales"/>
    <n v="84.01"/>
    <n v="0"/>
    <s v="Daily Sales Import"/>
    <n v="-84.01"/>
    <n v="84.01"/>
    <x v="1"/>
    <s v="2230"/>
    <s v="000"/>
    <x v="6"/>
    <x v="1"/>
  </r>
  <r>
    <d v="2012-04-19T00:00:00"/>
    <s v="017-2100-000"/>
    <s v="Food Sales"/>
    <n v="8337.5134999999991"/>
    <n v="0"/>
    <s v="Daily Sales Import"/>
    <n v="-8337.5134999999991"/>
    <n v="8337.5134999999991"/>
    <x v="1"/>
    <s v="2100"/>
    <s v="000"/>
    <x v="6"/>
    <x v="1"/>
  </r>
  <r>
    <d v="2012-04-19T00:00:00"/>
    <s v="017-2210-000"/>
    <s v="Liquor Sales"/>
    <n v="2265.069"/>
    <n v="0"/>
    <s v="Daily Sales Import"/>
    <n v="-2265.069"/>
    <n v="2265.069"/>
    <x v="1"/>
    <s v="2210"/>
    <s v="000"/>
    <x v="6"/>
    <x v="1"/>
  </r>
  <r>
    <d v="2012-04-19T00:00:00"/>
    <s v="017-2220-000"/>
    <s v="Beer Sales"/>
    <n v="730.01250000000005"/>
    <n v="0"/>
    <s v="Daily Sales Import"/>
    <n v="-730.01250000000005"/>
    <n v="730.01250000000005"/>
    <x v="1"/>
    <s v="2220"/>
    <s v="000"/>
    <x v="6"/>
    <x v="1"/>
  </r>
  <r>
    <d v="2012-04-19T00:00:00"/>
    <s v="017-2230-000"/>
    <s v="Wine Sales"/>
    <n v="100.2165"/>
    <n v="0"/>
    <s v="Daily Sales Import"/>
    <n v="-100.2165"/>
    <n v="100.2165"/>
    <x v="1"/>
    <s v="2230"/>
    <s v="000"/>
    <x v="6"/>
    <x v="1"/>
  </r>
  <r>
    <d v="2012-04-20T00:00:00"/>
    <s v="017-2100-000"/>
    <s v="Food Sales"/>
    <n v="6907.6079999999993"/>
    <n v="0"/>
    <s v="Daily Sales Import"/>
    <n v="-6907.6079999999993"/>
    <n v="6907.6079999999993"/>
    <x v="1"/>
    <s v="2100"/>
    <s v="000"/>
    <x v="6"/>
    <x v="1"/>
  </r>
  <r>
    <d v="2012-04-20T00:00:00"/>
    <s v="017-2210-000"/>
    <s v="Liquor Sales"/>
    <n v="1991.44"/>
    <n v="0"/>
    <s v="Daily Sales Import"/>
    <n v="-1991.44"/>
    <n v="1991.44"/>
    <x v="1"/>
    <s v="2210"/>
    <s v="000"/>
    <x v="6"/>
    <x v="1"/>
  </r>
  <r>
    <d v="2012-04-20T00:00:00"/>
    <s v="017-2220-000"/>
    <s v="Beer Sales"/>
    <n v="348.70500000000004"/>
    <n v="0"/>
    <s v="Daily Sales Import"/>
    <n v="-348.70500000000004"/>
    <n v="348.70500000000004"/>
    <x v="1"/>
    <s v="2220"/>
    <s v="000"/>
    <x v="6"/>
    <x v="1"/>
  </r>
  <r>
    <d v="2012-04-20T00:00:00"/>
    <s v="017-2230-000"/>
    <s v="Wine Sales"/>
    <n v="119.92599999999999"/>
    <n v="0"/>
    <s v="Daily Sales Import"/>
    <n v="-119.92599999999999"/>
    <n v="119.92599999999999"/>
    <x v="1"/>
    <s v="2230"/>
    <s v="000"/>
    <x v="6"/>
    <x v="1"/>
  </r>
  <r>
    <d v="2012-04-21T00:00:00"/>
    <s v="017-2100-000"/>
    <s v="Food Sales"/>
    <n v="7211.5751"/>
    <n v="0"/>
    <s v="Daily Sales Import"/>
    <n v="-7211.5751"/>
    <n v="7211.5751"/>
    <x v="1"/>
    <s v="2100"/>
    <s v="000"/>
    <x v="6"/>
    <x v="1"/>
  </r>
  <r>
    <d v="2012-04-21T00:00:00"/>
    <s v="017-2210-000"/>
    <s v="Liquor Sales"/>
    <n v="2476.6345000000001"/>
    <n v="0"/>
    <s v="Daily Sales Import"/>
    <n v="-2476.6345000000001"/>
    <n v="2476.6345000000001"/>
    <x v="1"/>
    <s v="2210"/>
    <s v="000"/>
    <x v="6"/>
    <x v="1"/>
  </r>
  <r>
    <d v="2012-04-21T00:00:00"/>
    <s v="017-2220-000"/>
    <s v="Beer Sales"/>
    <n v="539.35"/>
    <n v="0"/>
    <s v="Daily Sales Import"/>
    <n v="-539.35"/>
    <n v="539.35"/>
    <x v="1"/>
    <s v="2220"/>
    <s v="000"/>
    <x v="6"/>
    <x v="1"/>
  </r>
  <r>
    <d v="2012-04-21T00:00:00"/>
    <s v="017-2230-000"/>
    <s v="Wine Sales"/>
    <n v="164.99699999999999"/>
    <n v="0"/>
    <s v="Daily Sales Import"/>
    <n v="-164.99699999999999"/>
    <n v="164.99699999999999"/>
    <x v="1"/>
    <s v="2230"/>
    <s v="000"/>
    <x v="6"/>
    <x v="1"/>
  </r>
  <r>
    <d v="2012-04-22T00:00:00"/>
    <s v="017-2100-000"/>
    <s v="Food Sales"/>
    <n v="4310.9736999999996"/>
    <n v="0"/>
    <s v="Daily Sales Import"/>
    <n v="-4310.9736999999996"/>
    <n v="4310.9736999999996"/>
    <x v="1"/>
    <s v="2100"/>
    <s v="000"/>
    <x v="6"/>
    <x v="1"/>
  </r>
  <r>
    <d v="2012-04-22T00:00:00"/>
    <s v="017-2210-000"/>
    <s v="Liquor Sales"/>
    <n v="951.97900000000004"/>
    <n v="0"/>
    <s v="Daily Sales Import"/>
    <n v="-951.97900000000004"/>
    <n v="951.97900000000004"/>
    <x v="1"/>
    <s v="2210"/>
    <s v="000"/>
    <x v="6"/>
    <x v="1"/>
  </r>
  <r>
    <d v="2012-04-22T00:00:00"/>
    <s v="017-2220-000"/>
    <s v="Beer Sales"/>
    <n v="215.62499999999997"/>
    <n v="0"/>
    <s v="Daily Sales Import"/>
    <n v="-215.62499999999997"/>
    <n v="215.62499999999997"/>
    <x v="1"/>
    <s v="2220"/>
    <s v="000"/>
    <x v="6"/>
    <x v="1"/>
  </r>
  <r>
    <d v="2012-04-22T00:00:00"/>
    <s v="017-2230-000"/>
    <s v="Wine Sales"/>
    <n v="148.76400000000001"/>
    <n v="0"/>
    <s v="Daily Sales Import"/>
    <n v="-148.76400000000001"/>
    <n v="148.76400000000001"/>
    <x v="1"/>
    <s v="2230"/>
    <s v="000"/>
    <x v="6"/>
    <x v="1"/>
  </r>
  <r>
    <d v="2012-04-16T00:00:00"/>
    <s v="018-2100-000"/>
    <s v="Food Sales"/>
    <n v="5157.5450000000001"/>
    <n v="0"/>
    <s v="Daily Sales Import"/>
    <n v="-5157.5450000000001"/>
    <n v="5157.5450000000001"/>
    <x v="2"/>
    <s v="2100"/>
    <s v="000"/>
    <x v="6"/>
    <x v="1"/>
  </r>
  <r>
    <d v="2012-04-16T00:00:00"/>
    <s v="018-2210-000"/>
    <s v="Liquor Sales"/>
    <n v="606.98650000000009"/>
    <n v="0"/>
    <s v="Daily Sales Import"/>
    <n v="-606.98650000000009"/>
    <n v="606.98650000000009"/>
    <x v="2"/>
    <s v="2210"/>
    <s v="000"/>
    <x v="6"/>
    <x v="1"/>
  </r>
  <r>
    <d v="2012-04-16T00:00:00"/>
    <s v="018-2220-000"/>
    <s v="Beer Sales"/>
    <n v="123.06299999999999"/>
    <n v="0"/>
    <s v="Daily Sales Import"/>
    <n v="-123.06299999999999"/>
    <n v="123.06299999999999"/>
    <x v="2"/>
    <s v="2220"/>
    <s v="000"/>
    <x v="6"/>
    <x v="1"/>
  </r>
  <r>
    <d v="2012-04-16T00:00:00"/>
    <s v="018-2230-000"/>
    <s v="Wine Sales"/>
    <n v="31.2075"/>
    <n v="0"/>
    <s v="Daily Sales Import"/>
    <n v="-31.2075"/>
    <n v="31.2075"/>
    <x v="2"/>
    <s v="2230"/>
    <s v="000"/>
    <x v="6"/>
    <x v="1"/>
  </r>
  <r>
    <d v="2012-04-17T00:00:00"/>
    <s v="018-2100-000"/>
    <s v="Food Sales"/>
    <n v="4170.1044000000002"/>
    <n v="0"/>
    <s v="Daily Sales Import"/>
    <n v="-4170.1044000000002"/>
    <n v="4170.1044000000002"/>
    <x v="2"/>
    <s v="2100"/>
    <s v="000"/>
    <x v="6"/>
    <x v="1"/>
  </r>
  <r>
    <d v="2012-04-17T00:00:00"/>
    <s v="018-2210-000"/>
    <s v="Liquor Sales"/>
    <n v="665.55"/>
    <n v="0"/>
    <s v="Daily Sales Import"/>
    <n v="-665.55"/>
    <n v="665.55"/>
    <x v="2"/>
    <s v="2210"/>
    <s v="000"/>
    <x v="6"/>
    <x v="1"/>
  </r>
  <r>
    <d v="2012-04-17T00:00:00"/>
    <s v="018-2220-000"/>
    <s v="Beer Sales"/>
    <n v="253.28299999999999"/>
    <n v="0"/>
    <s v="Daily Sales Import"/>
    <n v="-253.28299999999999"/>
    <n v="253.28299999999999"/>
    <x v="2"/>
    <s v="2220"/>
    <s v="000"/>
    <x v="6"/>
    <x v="1"/>
  </r>
  <r>
    <d v="2012-04-17T00:00:00"/>
    <s v="018-2230-000"/>
    <s v="Wine Sales"/>
    <n v="52.948"/>
    <n v="0"/>
    <s v="Daily Sales Import"/>
    <n v="-52.948"/>
    <n v="52.948"/>
    <x v="2"/>
    <s v="2230"/>
    <s v="000"/>
    <x v="6"/>
    <x v="1"/>
  </r>
  <r>
    <d v="2012-04-18T00:00:00"/>
    <s v="018-2100-000"/>
    <s v="Food Sales"/>
    <n v="3940.0478000000003"/>
    <n v="0"/>
    <s v="Daily Sales Import"/>
    <n v="-3940.0478000000003"/>
    <n v="3940.0478000000003"/>
    <x v="2"/>
    <s v="2100"/>
    <s v="000"/>
    <x v="6"/>
    <x v="1"/>
  </r>
  <r>
    <d v="2012-04-18T00:00:00"/>
    <s v="018-2210-000"/>
    <s v="Liquor Sales"/>
    <n v="657.58950000000004"/>
    <n v="0"/>
    <s v="Daily Sales Import"/>
    <n v="-657.58950000000004"/>
    <n v="657.58950000000004"/>
    <x v="2"/>
    <s v="2210"/>
    <s v="000"/>
    <x v="6"/>
    <x v="1"/>
  </r>
  <r>
    <d v="2012-04-18T00:00:00"/>
    <s v="018-2220-000"/>
    <s v="Beer Sales"/>
    <n v="65.568999999999988"/>
    <n v="0"/>
    <s v="Daily Sales Import"/>
    <n v="-65.568999999999988"/>
    <n v="65.568999999999988"/>
    <x v="2"/>
    <s v="2220"/>
    <s v="000"/>
    <x v="6"/>
    <x v="1"/>
  </r>
  <r>
    <d v="2012-04-18T00:00:00"/>
    <s v="018-2230-000"/>
    <s v="Wine Sales"/>
    <n v="11.111499999999999"/>
    <n v="0"/>
    <s v="Daily Sales Import"/>
    <n v="-11.111499999999999"/>
    <n v="11.111499999999999"/>
    <x v="2"/>
    <s v="2230"/>
    <s v="000"/>
    <x v="6"/>
    <x v="1"/>
  </r>
  <r>
    <d v="2012-04-19T00:00:00"/>
    <s v="018-2100-000"/>
    <s v="Food Sales"/>
    <n v="4509.7779999999993"/>
    <n v="0"/>
    <s v="Daily Sales Import"/>
    <n v="-4509.7779999999993"/>
    <n v="4509.7779999999993"/>
    <x v="2"/>
    <s v="2100"/>
    <s v="000"/>
    <x v="6"/>
    <x v="1"/>
  </r>
  <r>
    <d v="2012-04-19T00:00:00"/>
    <s v="018-2210-000"/>
    <s v="Liquor Sales"/>
    <n v="1238.99"/>
    <n v="0"/>
    <s v="Daily Sales Import"/>
    <n v="-1238.99"/>
    <n v="1238.99"/>
    <x v="2"/>
    <s v="2210"/>
    <s v="000"/>
    <x v="6"/>
    <x v="1"/>
  </r>
  <r>
    <d v="2012-04-19T00:00:00"/>
    <s v="018-2220-000"/>
    <s v="Beer Sales"/>
    <n v="288.37599999999998"/>
    <n v="0"/>
    <s v="Daily Sales Import"/>
    <n v="-288.37599999999998"/>
    <n v="288.37599999999998"/>
    <x v="2"/>
    <s v="2220"/>
    <s v="000"/>
    <x v="6"/>
    <x v="1"/>
  </r>
  <r>
    <d v="2012-04-19T00:00:00"/>
    <s v="018-2230-000"/>
    <s v="Wine Sales"/>
    <n v="52.048999999999999"/>
    <n v="0"/>
    <s v="Daily Sales Import"/>
    <n v="-52.048999999999999"/>
    <n v="52.048999999999999"/>
    <x v="2"/>
    <s v="2230"/>
    <s v="000"/>
    <x v="6"/>
    <x v="1"/>
  </r>
  <r>
    <d v="2012-04-20T00:00:00"/>
    <s v="018-2100-000"/>
    <s v="Food Sales"/>
    <n v="8413.2479999999996"/>
    <n v="0"/>
    <s v="Daily Sales Import"/>
    <n v="-8413.2479999999996"/>
    <n v="8413.2479999999996"/>
    <x v="2"/>
    <s v="2100"/>
    <s v="000"/>
    <x v="6"/>
    <x v="1"/>
  </r>
  <r>
    <d v="2012-04-20T00:00:00"/>
    <s v="018-2210-000"/>
    <s v="Liquor Sales"/>
    <n v="3760.1489999999999"/>
    <n v="0"/>
    <s v="Daily Sales Import"/>
    <n v="-3760.1489999999999"/>
    <n v="3760.1489999999999"/>
    <x v="2"/>
    <s v="2210"/>
    <s v="000"/>
    <x v="6"/>
    <x v="1"/>
  </r>
  <r>
    <d v="2012-04-20T00:00:00"/>
    <s v="018-2220-000"/>
    <s v="Beer Sales"/>
    <n v="504.55999999999995"/>
    <n v="0"/>
    <s v="Daily Sales Import"/>
    <n v="-504.55999999999995"/>
    <n v="504.55999999999995"/>
    <x v="2"/>
    <s v="2220"/>
    <s v="000"/>
    <x v="6"/>
    <x v="1"/>
  </r>
  <r>
    <d v="2012-04-20T00:00:00"/>
    <s v="018-2230-000"/>
    <s v="Wine Sales"/>
    <n v="134.96249999999998"/>
    <n v="0"/>
    <s v="Daily Sales Import"/>
    <n v="-134.96249999999998"/>
    <n v="134.96249999999998"/>
    <x v="2"/>
    <s v="2230"/>
    <s v="000"/>
    <x v="6"/>
    <x v="1"/>
  </r>
  <r>
    <d v="2012-04-21T00:00:00"/>
    <s v="018-2100-000"/>
    <s v="Food Sales"/>
    <n v="12334.895999999999"/>
    <n v="0"/>
    <s v="Daily Sales Import"/>
    <n v="-12334.895999999999"/>
    <n v="12334.895999999999"/>
    <x v="2"/>
    <s v="2100"/>
    <s v="000"/>
    <x v="6"/>
    <x v="1"/>
  </r>
  <r>
    <d v="2012-04-21T00:00:00"/>
    <s v="018-2210-000"/>
    <s v="Liquor Sales"/>
    <n v="2751.3374999999996"/>
    <n v="0"/>
    <s v="Daily Sales Import"/>
    <n v="-2751.3374999999996"/>
    <n v="2751.3374999999996"/>
    <x v="2"/>
    <s v="2210"/>
    <s v="000"/>
    <x v="6"/>
    <x v="1"/>
  </r>
  <r>
    <d v="2012-04-21T00:00:00"/>
    <s v="018-2220-000"/>
    <s v="Beer Sales"/>
    <n v="458.02499999999998"/>
    <n v="0"/>
    <s v="Daily Sales Import"/>
    <n v="-458.02499999999998"/>
    <n v="458.02499999999998"/>
    <x v="2"/>
    <s v="2220"/>
    <s v="000"/>
    <x v="6"/>
    <x v="1"/>
  </r>
  <r>
    <d v="2012-04-21T00:00:00"/>
    <s v="018-2230-000"/>
    <s v="Wine Sales"/>
    <n v="144.89999999999998"/>
    <n v="0"/>
    <s v="Daily Sales Import"/>
    <n v="-144.89999999999998"/>
    <n v="144.89999999999998"/>
    <x v="2"/>
    <s v="2230"/>
    <s v="000"/>
    <x v="6"/>
    <x v="1"/>
  </r>
  <r>
    <d v="2012-04-22T00:00:00"/>
    <s v="018-2100-000"/>
    <s v="Food Sales"/>
    <n v="5796.8625000000002"/>
    <n v="0"/>
    <s v="Daily Sales Import"/>
    <n v="-5796.8625000000002"/>
    <n v="5796.8625000000002"/>
    <x v="2"/>
    <s v="2100"/>
    <s v="000"/>
    <x v="6"/>
    <x v="1"/>
  </r>
  <r>
    <d v="2012-04-22T00:00:00"/>
    <s v="018-2210-000"/>
    <s v="Liquor Sales"/>
    <n v="1369.9140000000002"/>
    <n v="0"/>
    <s v="Daily Sales Import"/>
    <n v="-1369.9140000000002"/>
    <n v="1369.9140000000002"/>
    <x v="2"/>
    <s v="2210"/>
    <s v="000"/>
    <x v="6"/>
    <x v="1"/>
  </r>
  <r>
    <d v="2012-04-22T00:00:00"/>
    <s v="018-2220-000"/>
    <s v="Beer Sales"/>
    <n v="194.0625"/>
    <n v="0"/>
    <s v="Daily Sales Import"/>
    <n v="-194.0625"/>
    <n v="194.0625"/>
    <x v="2"/>
    <s v="2220"/>
    <s v="000"/>
    <x v="6"/>
    <x v="1"/>
  </r>
  <r>
    <d v="2012-04-22T00:00:00"/>
    <s v="018-2230-000"/>
    <s v="Wine Sales"/>
    <n v="53.67"/>
    <n v="0"/>
    <s v="Daily Sales Import"/>
    <n v="-53.67"/>
    <n v="53.67"/>
    <x v="2"/>
    <s v="2230"/>
    <s v="000"/>
    <x v="6"/>
    <x v="1"/>
  </r>
  <r>
    <d v="2012-04-23T00:00:00"/>
    <s v="016-2100-000"/>
    <s v="Food Sales"/>
    <n v="1861.28"/>
    <n v="0"/>
    <s v="Daily Sales Import"/>
    <n v="-1861.28"/>
    <n v="1861.28"/>
    <x v="0"/>
    <s v="2100"/>
    <s v="000"/>
    <x v="6"/>
    <x v="1"/>
  </r>
  <r>
    <d v="2012-04-23T00:00:00"/>
    <s v="016-2210-000"/>
    <s v="Liquor Sales"/>
    <n v="526.07450000000006"/>
    <n v="0"/>
    <s v="Daily Sales Import"/>
    <n v="-526.07450000000006"/>
    <n v="526.07450000000006"/>
    <x v="0"/>
    <s v="2210"/>
    <s v="000"/>
    <x v="6"/>
    <x v="1"/>
  </r>
  <r>
    <d v="2012-04-23T00:00:00"/>
    <s v="016-2220-000"/>
    <s v="Beer Sales"/>
    <n v="86.940000000000012"/>
    <n v="0"/>
    <s v="Daily Sales Import"/>
    <n v="-86.940000000000012"/>
    <n v="86.940000000000012"/>
    <x v="0"/>
    <s v="2220"/>
    <s v="000"/>
    <x v="6"/>
    <x v="1"/>
  </r>
  <r>
    <d v="2012-04-23T00:00:00"/>
    <s v="016-2230-000"/>
    <s v="Wine Sales"/>
    <n v="14.31"/>
    <n v="0"/>
    <s v="Daily Sales Import"/>
    <n v="-14.31"/>
    <n v="14.31"/>
    <x v="0"/>
    <s v="2230"/>
    <s v="000"/>
    <x v="6"/>
    <x v="1"/>
  </r>
  <r>
    <d v="2012-04-24T00:00:00"/>
    <s v="016-2100-000"/>
    <s v="Food Sales"/>
    <n v="4913.0135999999993"/>
    <n v="0"/>
    <s v="Daily Sales Import"/>
    <n v="-4913.0135999999993"/>
    <n v="4913.0135999999993"/>
    <x v="0"/>
    <s v="2100"/>
    <s v="000"/>
    <x v="6"/>
    <x v="1"/>
  </r>
  <r>
    <d v="2012-04-24T00:00:00"/>
    <s v="016-2210-000"/>
    <s v="Liquor Sales"/>
    <n v="1598.19"/>
    <n v="0"/>
    <s v="Daily Sales Import"/>
    <n v="-1598.19"/>
    <n v="1598.19"/>
    <x v="0"/>
    <s v="2210"/>
    <s v="000"/>
    <x v="6"/>
    <x v="1"/>
  </r>
  <r>
    <d v="2012-04-24T00:00:00"/>
    <s v="016-2220-000"/>
    <s v="Beer Sales"/>
    <n v="543.36299999999994"/>
    <n v="0"/>
    <s v="Daily Sales Import"/>
    <n v="-543.36299999999994"/>
    <n v="543.36299999999994"/>
    <x v="0"/>
    <s v="2220"/>
    <s v="000"/>
    <x v="6"/>
    <x v="1"/>
  </r>
  <r>
    <d v="2012-04-24T00:00:00"/>
    <s v="016-2230-000"/>
    <s v="Wine Sales"/>
    <n v="213.72400000000002"/>
    <n v="0"/>
    <s v="Daily Sales Import"/>
    <n v="-213.72400000000002"/>
    <n v="213.72400000000002"/>
    <x v="0"/>
    <s v="2230"/>
    <s v="000"/>
    <x v="6"/>
    <x v="1"/>
  </r>
  <r>
    <d v="2012-04-25T00:00:00"/>
    <s v="016-2100-000"/>
    <s v="Food Sales"/>
    <n v="3569.3658"/>
    <n v="0"/>
    <s v="Daily Sales Import"/>
    <n v="-3569.3658"/>
    <n v="3569.3658"/>
    <x v="0"/>
    <s v="2100"/>
    <s v="000"/>
    <x v="6"/>
    <x v="1"/>
  </r>
  <r>
    <d v="2012-04-25T00:00:00"/>
    <s v="016-2210-000"/>
    <s v="Liquor Sales"/>
    <n v="1037.3050000000001"/>
    <n v="0"/>
    <s v="Daily Sales Import"/>
    <n v="-1037.3050000000001"/>
    <n v="1037.3050000000001"/>
    <x v="0"/>
    <s v="2210"/>
    <s v="000"/>
    <x v="6"/>
    <x v="1"/>
  </r>
  <r>
    <d v="2012-04-25T00:00:00"/>
    <s v="016-2220-000"/>
    <s v="Beer Sales"/>
    <n v="132.87"/>
    <n v="0"/>
    <s v="Daily Sales Import"/>
    <n v="-132.87"/>
    <n v="132.87"/>
    <x v="0"/>
    <s v="2220"/>
    <s v="000"/>
    <x v="6"/>
    <x v="1"/>
  </r>
  <r>
    <d v="2012-04-25T00:00:00"/>
    <s v="016-2230-000"/>
    <s v="Wine Sales"/>
    <n v="129.80250000000001"/>
    <n v="0"/>
    <s v="Daily Sales Import"/>
    <n v="-129.80250000000001"/>
    <n v="129.80250000000001"/>
    <x v="0"/>
    <s v="2230"/>
    <s v="000"/>
    <x v="6"/>
    <x v="1"/>
  </r>
  <r>
    <d v="2012-04-26T00:00:00"/>
    <s v="016-2100-000"/>
    <s v="Food Sales"/>
    <n v="4329.1368000000002"/>
    <n v="0"/>
    <s v="Daily Sales Import"/>
    <n v="-4329.1368000000002"/>
    <n v="4329.1368000000002"/>
    <x v="0"/>
    <s v="2100"/>
    <s v="000"/>
    <x v="6"/>
    <x v="1"/>
  </r>
  <r>
    <d v="2012-04-26T00:00:00"/>
    <s v="016-2210-000"/>
    <s v="Liquor Sales"/>
    <n v="681.51639999999998"/>
    <n v="0"/>
    <s v="Daily Sales Import"/>
    <n v="-681.51639999999998"/>
    <n v="681.51639999999998"/>
    <x v="0"/>
    <s v="2210"/>
    <s v="000"/>
    <x v="6"/>
    <x v="1"/>
  </r>
  <r>
    <d v="2012-04-26T00:00:00"/>
    <s v="016-2220-000"/>
    <s v="Beer Sales"/>
    <n v="178.96950000000001"/>
    <n v="0"/>
    <s v="Daily Sales Import"/>
    <n v="-178.96950000000001"/>
    <n v="178.96950000000001"/>
    <x v="0"/>
    <s v="2220"/>
    <s v="000"/>
    <x v="6"/>
    <x v="1"/>
  </r>
  <r>
    <d v="2012-04-26T00:00:00"/>
    <s v="016-2230-000"/>
    <s v="Wine Sales"/>
    <n v="189.286"/>
    <n v="0"/>
    <s v="Daily Sales Import"/>
    <n v="-189.286"/>
    <n v="189.286"/>
    <x v="0"/>
    <s v="2230"/>
    <s v="000"/>
    <x v="6"/>
    <x v="1"/>
  </r>
  <r>
    <d v="2012-04-27T00:00:00"/>
    <s v="016-2100-000"/>
    <s v="Food Sales"/>
    <n v="7023.1919999999991"/>
    <n v="0"/>
    <s v="Daily Sales Import"/>
    <n v="-7023.1919999999991"/>
    <n v="7023.1919999999991"/>
    <x v="0"/>
    <s v="2100"/>
    <s v="000"/>
    <x v="6"/>
    <x v="1"/>
  </r>
  <r>
    <d v="2012-04-27T00:00:00"/>
    <s v="016-2210-000"/>
    <s v="Liquor Sales"/>
    <n v="2060.6529999999998"/>
    <n v="0"/>
    <s v="Daily Sales Import"/>
    <n v="-2060.6529999999998"/>
    <n v="2060.6529999999998"/>
    <x v="0"/>
    <s v="2210"/>
    <s v="000"/>
    <x v="6"/>
    <x v="1"/>
  </r>
  <r>
    <d v="2012-04-27T00:00:00"/>
    <s v="016-2220-000"/>
    <s v="Beer Sales"/>
    <n v="307.65960000000001"/>
    <n v="0"/>
    <s v="Daily Sales Import"/>
    <n v="-307.65960000000001"/>
    <n v="307.65960000000001"/>
    <x v="0"/>
    <s v="2220"/>
    <s v="000"/>
    <x v="6"/>
    <x v="1"/>
  </r>
  <r>
    <d v="2012-04-27T00:00:00"/>
    <s v="016-2230-000"/>
    <s v="Wine Sales"/>
    <n v="204.86699999999999"/>
    <n v="0"/>
    <s v="Daily Sales Import"/>
    <n v="-204.86699999999999"/>
    <n v="204.86699999999999"/>
    <x v="0"/>
    <s v="2230"/>
    <s v="000"/>
    <x v="6"/>
    <x v="1"/>
  </r>
  <r>
    <d v="2012-04-28T00:00:00"/>
    <s v="016-2100-000"/>
    <s v="Food Sales"/>
    <n v="9339.4119999999984"/>
    <n v="0"/>
    <s v="Daily Sales Import"/>
    <n v="-9339.4119999999984"/>
    <n v="9339.4119999999984"/>
    <x v="0"/>
    <s v="2100"/>
    <s v="000"/>
    <x v="6"/>
    <x v="1"/>
  </r>
  <r>
    <d v="2012-04-28T00:00:00"/>
    <s v="016-2210-000"/>
    <s v="Liquor Sales"/>
    <n v="2959.4565000000002"/>
    <n v="0"/>
    <s v="Daily Sales Import"/>
    <n v="-2959.4565000000002"/>
    <n v="2959.4565000000002"/>
    <x v="0"/>
    <s v="2210"/>
    <s v="000"/>
    <x v="6"/>
    <x v="1"/>
  </r>
  <r>
    <d v="2012-04-28T00:00:00"/>
    <s v="016-2220-000"/>
    <s v="Beer Sales"/>
    <n v="563.625"/>
    <n v="0"/>
    <s v="Daily Sales Import"/>
    <n v="-563.625"/>
    <n v="563.625"/>
    <x v="0"/>
    <s v="2220"/>
    <s v="000"/>
    <x v="6"/>
    <x v="1"/>
  </r>
  <r>
    <d v="2012-04-28T00:00:00"/>
    <s v="016-2230-000"/>
    <s v="Wine Sales"/>
    <n v="230.04800000000003"/>
    <n v="0"/>
    <s v="Daily Sales Import"/>
    <n v="-230.04800000000003"/>
    <n v="230.04800000000003"/>
    <x v="0"/>
    <s v="2230"/>
    <s v="000"/>
    <x v="6"/>
    <x v="1"/>
  </r>
  <r>
    <d v="2012-04-29T00:00:00"/>
    <s v="016-2100-000"/>
    <s v="Food Sales"/>
    <n v="4011.8385000000003"/>
    <n v="0"/>
    <s v="Daily Sales Import"/>
    <n v="-4011.8385000000003"/>
    <n v="4011.8385000000003"/>
    <x v="0"/>
    <s v="2100"/>
    <s v="000"/>
    <x v="6"/>
    <x v="1"/>
  </r>
  <r>
    <d v="2012-04-29T00:00:00"/>
    <s v="016-2210-000"/>
    <s v="Liquor Sales"/>
    <n v="669.3"/>
    <n v="0"/>
    <s v="Daily Sales Import"/>
    <n v="-669.3"/>
    <n v="669.3"/>
    <x v="0"/>
    <s v="2210"/>
    <s v="000"/>
    <x v="6"/>
    <x v="1"/>
  </r>
  <r>
    <d v="2012-04-29T00:00:00"/>
    <s v="016-2220-000"/>
    <s v="Beer Sales"/>
    <n v="241.10099999999997"/>
    <n v="0"/>
    <s v="Daily Sales Import"/>
    <n v="-241.10099999999997"/>
    <n v="241.10099999999997"/>
    <x v="0"/>
    <s v="2220"/>
    <s v="000"/>
    <x v="6"/>
    <x v="1"/>
  </r>
  <r>
    <d v="2012-04-29T00:00:00"/>
    <s v="016-2230-000"/>
    <s v="Wine Sales"/>
    <n v="62.379000000000005"/>
    <n v="0"/>
    <s v="Daily Sales Import"/>
    <n v="-62.379000000000005"/>
    <n v="62.379000000000005"/>
    <x v="0"/>
    <s v="2230"/>
    <s v="000"/>
    <x v="6"/>
    <x v="1"/>
  </r>
  <r>
    <d v="2012-04-23T00:00:00"/>
    <s v="017-2100-000"/>
    <s v="Food Sales"/>
    <n v="5326.5471000000007"/>
    <n v="0"/>
    <s v="Daily Sales Import"/>
    <n v="-5326.5471000000007"/>
    <n v="5326.5471000000007"/>
    <x v="1"/>
    <s v="2100"/>
    <s v="000"/>
    <x v="6"/>
    <x v="1"/>
  </r>
  <r>
    <d v="2012-04-23T00:00:00"/>
    <s v="017-2210-000"/>
    <s v="Liquor Sales"/>
    <n v="1166.9850000000001"/>
    <n v="0"/>
    <s v="Daily Sales Import"/>
    <n v="-1166.9850000000001"/>
    <n v="1166.9850000000001"/>
    <x v="1"/>
    <s v="2210"/>
    <s v="000"/>
    <x v="6"/>
    <x v="1"/>
  </r>
  <r>
    <d v="2012-04-23T00:00:00"/>
    <s v="017-2220-000"/>
    <s v="Beer Sales"/>
    <n v="349.3125"/>
    <n v="0"/>
    <s v="Daily Sales Import"/>
    <n v="-349.3125"/>
    <n v="349.3125"/>
    <x v="1"/>
    <s v="2220"/>
    <s v="000"/>
    <x v="6"/>
    <x v="1"/>
  </r>
  <r>
    <d v="2012-04-23T00:00:00"/>
    <s v="017-2230-000"/>
    <s v="Wine Sales"/>
    <n v="35.44"/>
    <n v="0"/>
    <s v="Daily Sales Import"/>
    <n v="-35.44"/>
    <n v="35.44"/>
    <x v="1"/>
    <s v="2230"/>
    <s v="000"/>
    <x v="6"/>
    <x v="1"/>
  </r>
  <r>
    <d v="2012-04-24T00:00:00"/>
    <s v="017-2100-000"/>
    <s v="Food Sales"/>
    <n v="6759.4400000000005"/>
    <n v="0"/>
    <s v="Daily Sales Import"/>
    <n v="-6759.4400000000005"/>
    <n v="6759.4400000000005"/>
    <x v="1"/>
    <s v="2100"/>
    <s v="000"/>
    <x v="6"/>
    <x v="1"/>
  </r>
  <r>
    <d v="2012-04-24T00:00:00"/>
    <s v="017-2210-000"/>
    <s v="Liquor Sales"/>
    <n v="2665.51"/>
    <n v="0"/>
    <s v="Daily Sales Import"/>
    <n v="-2665.51"/>
    <n v="2665.51"/>
    <x v="1"/>
    <s v="2210"/>
    <s v="000"/>
    <x v="6"/>
    <x v="1"/>
  </r>
  <r>
    <d v="2012-04-24T00:00:00"/>
    <s v="017-2220-000"/>
    <s v="Beer Sales"/>
    <n v="540.15499999999997"/>
    <n v="0"/>
    <s v="Daily Sales Import"/>
    <n v="-540.15499999999997"/>
    <n v="540.15499999999997"/>
    <x v="1"/>
    <s v="2220"/>
    <s v="000"/>
    <x v="6"/>
    <x v="1"/>
  </r>
  <r>
    <d v="2012-04-24T00:00:00"/>
    <s v="017-2230-000"/>
    <s v="Wine Sales"/>
    <n v="69.367999999999995"/>
    <n v="0"/>
    <s v="Daily Sales Import"/>
    <n v="-69.367999999999995"/>
    <n v="69.367999999999995"/>
    <x v="1"/>
    <s v="2230"/>
    <s v="000"/>
    <x v="6"/>
    <x v="1"/>
  </r>
  <r>
    <d v="2012-04-25T00:00:00"/>
    <s v="017-2100-000"/>
    <s v="Food Sales"/>
    <n v="5978.7959999999994"/>
    <n v="0"/>
    <s v="Daily Sales Import"/>
    <n v="-5978.7959999999994"/>
    <n v="5978.7959999999994"/>
    <x v="1"/>
    <s v="2100"/>
    <s v="000"/>
    <x v="6"/>
    <x v="1"/>
  </r>
  <r>
    <d v="2012-04-25T00:00:00"/>
    <s v="017-2210-000"/>
    <s v="Liquor Sales"/>
    <n v="2151.0659999999998"/>
    <n v="0"/>
    <s v="Daily Sales Import"/>
    <n v="-2151.0659999999998"/>
    <n v="2151.0659999999998"/>
    <x v="1"/>
    <s v="2210"/>
    <s v="000"/>
    <x v="6"/>
    <x v="1"/>
  </r>
  <r>
    <d v="2012-04-25T00:00:00"/>
    <s v="017-2220-000"/>
    <s v="Beer Sales"/>
    <n v="501.6"/>
    <n v="0"/>
    <s v="Daily Sales Import"/>
    <n v="-501.6"/>
    <n v="501.6"/>
    <x v="1"/>
    <s v="2220"/>
    <s v="000"/>
    <x v="6"/>
    <x v="1"/>
  </r>
  <r>
    <d v="2012-04-25T00:00:00"/>
    <s v="017-2230-000"/>
    <s v="Wine Sales"/>
    <n v="35.741999999999997"/>
    <n v="0"/>
    <s v="Daily Sales Import"/>
    <n v="-35.741999999999997"/>
    <n v="35.741999999999997"/>
    <x v="1"/>
    <s v="2230"/>
    <s v="000"/>
    <x v="6"/>
    <x v="1"/>
  </r>
  <r>
    <d v="2012-04-26T00:00:00"/>
    <s v="017-2100-000"/>
    <s v="Food Sales"/>
    <n v="4780.2309999999998"/>
    <n v="0"/>
    <s v="Daily Sales Import"/>
    <n v="-4780.2309999999998"/>
    <n v="4780.2309999999998"/>
    <x v="1"/>
    <s v="2100"/>
    <s v="000"/>
    <x v="6"/>
    <x v="1"/>
  </r>
  <r>
    <d v="2012-04-26T00:00:00"/>
    <s v="017-2210-000"/>
    <s v="Liquor Sales"/>
    <n v="1844.08"/>
    <n v="0"/>
    <s v="Daily Sales Import"/>
    <n v="-1844.08"/>
    <n v="1844.08"/>
    <x v="1"/>
    <s v="2210"/>
    <s v="000"/>
    <x v="6"/>
    <x v="1"/>
  </r>
  <r>
    <d v="2012-04-26T00:00:00"/>
    <s v="017-2220-000"/>
    <s v="Beer Sales"/>
    <n v="342.0625"/>
    <n v="0"/>
    <s v="Daily Sales Import"/>
    <n v="-342.0625"/>
    <n v="342.0625"/>
    <x v="1"/>
    <s v="2220"/>
    <s v="000"/>
    <x v="6"/>
    <x v="1"/>
  </r>
  <r>
    <d v="2012-04-26T00:00:00"/>
    <s v="017-2230-000"/>
    <s v="Wine Sales"/>
    <n v="61.787999999999997"/>
    <n v="0"/>
    <s v="Daily Sales Import"/>
    <n v="-61.787999999999997"/>
    <n v="61.787999999999997"/>
    <x v="1"/>
    <s v="2230"/>
    <s v="000"/>
    <x v="6"/>
    <x v="1"/>
  </r>
  <r>
    <d v="2012-04-27T00:00:00"/>
    <s v="017-2100-000"/>
    <s v="Food Sales"/>
    <n v="11041.824900000001"/>
    <n v="0"/>
    <s v="Daily Sales Import"/>
    <n v="-11041.824900000001"/>
    <n v="11041.824900000001"/>
    <x v="1"/>
    <s v="2100"/>
    <s v="000"/>
    <x v="6"/>
    <x v="1"/>
  </r>
  <r>
    <d v="2012-04-27T00:00:00"/>
    <s v="017-2210-000"/>
    <s v="Liquor Sales"/>
    <n v="2710.6624999999999"/>
    <n v="0"/>
    <s v="Daily Sales Import"/>
    <n v="-2710.6624999999999"/>
    <n v="2710.6624999999999"/>
    <x v="1"/>
    <s v="2210"/>
    <s v="000"/>
    <x v="6"/>
    <x v="1"/>
  </r>
  <r>
    <d v="2012-04-27T00:00:00"/>
    <s v="017-2220-000"/>
    <s v="Beer Sales"/>
    <n v="507.29999999999995"/>
    <n v="0"/>
    <s v="Daily Sales Import"/>
    <n v="-507.29999999999995"/>
    <n v="507.29999999999995"/>
    <x v="1"/>
    <s v="2220"/>
    <s v="000"/>
    <x v="6"/>
    <x v="1"/>
  </r>
  <r>
    <d v="2012-04-27T00:00:00"/>
    <s v="017-2230-000"/>
    <s v="Wine Sales"/>
    <n v="49.707499999999996"/>
    <n v="0"/>
    <s v="Daily Sales Import"/>
    <n v="-49.707499999999996"/>
    <n v="49.707499999999996"/>
    <x v="1"/>
    <s v="2230"/>
    <s v="000"/>
    <x v="6"/>
    <x v="1"/>
  </r>
  <r>
    <d v="2012-04-28T00:00:00"/>
    <s v="017-2100-000"/>
    <s v="Food Sales"/>
    <n v="5808.1688999999997"/>
    <n v="0"/>
    <s v="Daily Sales Import"/>
    <n v="-5808.1688999999997"/>
    <n v="5808.1688999999997"/>
    <x v="1"/>
    <s v="2100"/>
    <s v="000"/>
    <x v="6"/>
    <x v="1"/>
  </r>
  <r>
    <d v="2012-04-28T00:00:00"/>
    <s v="017-2210-000"/>
    <s v="Liquor Sales"/>
    <n v="2232.9829999999997"/>
    <n v="0"/>
    <s v="Daily Sales Import"/>
    <n v="-2232.9829999999997"/>
    <n v="2232.9829999999997"/>
    <x v="1"/>
    <s v="2210"/>
    <s v="000"/>
    <x v="6"/>
    <x v="1"/>
  </r>
  <r>
    <d v="2012-04-28T00:00:00"/>
    <s v="017-2220-000"/>
    <s v="Beer Sales"/>
    <n v="437.34250000000003"/>
    <n v="0"/>
    <s v="Daily Sales Import"/>
    <n v="-437.34250000000003"/>
    <n v="437.34250000000003"/>
    <x v="1"/>
    <s v="2220"/>
    <s v="000"/>
    <x v="6"/>
    <x v="1"/>
  </r>
  <r>
    <d v="2012-04-28T00:00:00"/>
    <s v="017-2230-000"/>
    <s v="Wine Sales"/>
    <n v="166.86750000000001"/>
    <n v="0"/>
    <s v="Daily Sales Import"/>
    <n v="-166.86750000000001"/>
    <n v="166.86750000000001"/>
    <x v="1"/>
    <s v="2230"/>
    <s v="000"/>
    <x v="6"/>
    <x v="1"/>
  </r>
  <r>
    <d v="2012-04-29T00:00:00"/>
    <s v="017-2100-000"/>
    <s v="Food Sales"/>
    <n v="5243.2716"/>
    <n v="0"/>
    <s v="Daily Sales Import"/>
    <n v="-5243.2716"/>
    <n v="5243.2716"/>
    <x v="1"/>
    <s v="2100"/>
    <s v="000"/>
    <x v="6"/>
    <x v="1"/>
  </r>
  <r>
    <d v="2012-04-29T00:00:00"/>
    <s v="017-2210-000"/>
    <s v="Liquor Sales"/>
    <n v="872.45950000000005"/>
    <n v="0"/>
    <s v="Daily Sales Import"/>
    <n v="-872.45950000000005"/>
    <n v="872.45950000000005"/>
    <x v="1"/>
    <s v="2210"/>
    <s v="000"/>
    <x v="6"/>
    <x v="1"/>
  </r>
  <r>
    <d v="2012-04-29T00:00:00"/>
    <s v="017-2220-000"/>
    <s v="Beer Sales"/>
    <n v="232.715"/>
    <n v="0"/>
    <s v="Daily Sales Import"/>
    <n v="-232.715"/>
    <n v="232.715"/>
    <x v="1"/>
    <s v="2220"/>
    <s v="000"/>
    <x v="6"/>
    <x v="1"/>
  </r>
  <r>
    <d v="2012-04-29T00:00:00"/>
    <s v="017-2230-000"/>
    <s v="Wine Sales"/>
    <n v="50.372999999999998"/>
    <n v="0"/>
    <s v="Daily Sales Import"/>
    <n v="-50.372999999999998"/>
    <n v="50.372999999999998"/>
    <x v="1"/>
    <s v="2230"/>
    <s v="000"/>
    <x v="6"/>
    <x v="1"/>
  </r>
  <r>
    <d v="2012-04-23T00:00:00"/>
    <s v="018-2100-000"/>
    <s v="Food Sales"/>
    <n v="3263.3579999999997"/>
    <n v="0"/>
    <s v="Daily Sales Import"/>
    <n v="-3263.3579999999997"/>
    <n v="3263.3579999999997"/>
    <x v="2"/>
    <s v="2100"/>
    <s v="000"/>
    <x v="6"/>
    <x v="1"/>
  </r>
  <r>
    <d v="2012-04-23T00:00:00"/>
    <s v="018-2210-000"/>
    <s v="Liquor Sales"/>
    <n v="873.40150000000006"/>
    <n v="0"/>
    <s v="Daily Sales Import"/>
    <n v="-873.40150000000006"/>
    <n v="873.40150000000006"/>
    <x v="2"/>
    <s v="2210"/>
    <s v="000"/>
    <x v="6"/>
    <x v="1"/>
  </r>
  <r>
    <d v="2012-04-23T00:00:00"/>
    <s v="018-2220-000"/>
    <s v="Beer Sales"/>
    <n v="116.71050000000001"/>
    <n v="0"/>
    <s v="Daily Sales Import"/>
    <n v="-116.71050000000001"/>
    <n v="116.71050000000001"/>
    <x v="2"/>
    <s v="2220"/>
    <s v="000"/>
    <x v="6"/>
    <x v="1"/>
  </r>
  <r>
    <d v="2012-04-23T00:00:00"/>
    <s v="018-2230-000"/>
    <s v="Wine Sales"/>
    <n v="9.6480000000000015"/>
    <n v="0"/>
    <s v="Daily Sales Import"/>
    <n v="-9.6480000000000015"/>
    <n v="9.6480000000000015"/>
    <x v="2"/>
    <s v="2230"/>
    <s v="000"/>
    <x v="6"/>
    <x v="1"/>
  </r>
  <r>
    <d v="2012-04-24T00:00:00"/>
    <s v="018-2100-000"/>
    <s v="Food Sales"/>
    <n v="3032.82"/>
    <n v="0"/>
    <s v="Daily Sales Import"/>
    <n v="-3032.82"/>
    <n v="3032.82"/>
    <x v="2"/>
    <s v="2100"/>
    <s v="000"/>
    <x v="6"/>
    <x v="1"/>
  </r>
  <r>
    <d v="2012-04-24T00:00:00"/>
    <s v="018-2210-000"/>
    <s v="Liquor Sales"/>
    <n v="1028.1479999999999"/>
    <n v="0"/>
    <s v="Daily Sales Import"/>
    <n v="-1028.1479999999999"/>
    <n v="1028.1479999999999"/>
    <x v="2"/>
    <s v="2210"/>
    <s v="000"/>
    <x v="6"/>
    <x v="1"/>
  </r>
  <r>
    <d v="2012-04-24T00:00:00"/>
    <s v="018-2220-000"/>
    <s v="Beer Sales"/>
    <n v="170.51000000000002"/>
    <n v="0"/>
    <s v="Daily Sales Import"/>
    <n v="-170.51000000000002"/>
    <n v="170.51000000000002"/>
    <x v="2"/>
    <s v="2220"/>
    <s v="000"/>
    <x v="6"/>
    <x v="1"/>
  </r>
  <r>
    <d v="2012-04-24T00:00:00"/>
    <s v="018-2230-000"/>
    <s v="Wine Sales"/>
    <n v="38.376000000000005"/>
    <n v="0"/>
    <s v="Daily Sales Import"/>
    <n v="-38.376000000000005"/>
    <n v="38.376000000000005"/>
    <x v="2"/>
    <s v="2230"/>
    <s v="000"/>
    <x v="6"/>
    <x v="1"/>
  </r>
  <r>
    <d v="2012-04-25T00:00:00"/>
    <s v="018-2100-000"/>
    <s v="Food Sales"/>
    <n v="3505.0070000000001"/>
    <n v="0"/>
    <s v="Daily Sales Import"/>
    <n v="-3505.0070000000001"/>
    <n v="3505.0070000000001"/>
    <x v="2"/>
    <s v="2100"/>
    <s v="000"/>
    <x v="6"/>
    <x v="1"/>
  </r>
  <r>
    <d v="2012-04-25T00:00:00"/>
    <s v="018-2210-000"/>
    <s v="Liquor Sales"/>
    <n v="871.33050000000003"/>
    <n v="0"/>
    <s v="Daily Sales Import"/>
    <n v="-871.33050000000003"/>
    <n v="871.33050000000003"/>
    <x v="2"/>
    <s v="2210"/>
    <s v="000"/>
    <x v="6"/>
    <x v="1"/>
  </r>
  <r>
    <d v="2012-04-25T00:00:00"/>
    <s v="018-2220-000"/>
    <s v="Beer Sales"/>
    <n v="260.60000000000002"/>
    <n v="0"/>
    <s v="Daily Sales Import"/>
    <n v="-260.60000000000002"/>
    <n v="260.60000000000002"/>
    <x v="2"/>
    <s v="2220"/>
    <s v="000"/>
    <x v="6"/>
    <x v="1"/>
  </r>
  <r>
    <d v="2012-04-25T00:00:00"/>
    <s v="018-2230-000"/>
    <s v="Wine Sales"/>
    <n v="49.848000000000006"/>
    <n v="0"/>
    <s v="Daily Sales Import"/>
    <n v="-49.848000000000006"/>
    <n v="49.848000000000006"/>
    <x v="2"/>
    <s v="2230"/>
    <s v="000"/>
    <x v="6"/>
    <x v="1"/>
  </r>
  <r>
    <d v="2012-04-26T00:00:00"/>
    <s v="018-2100-000"/>
    <s v="Food Sales"/>
    <n v="3215.1587999999997"/>
    <n v="0"/>
    <s v="Daily Sales Import"/>
    <n v="-3215.1587999999997"/>
    <n v="3215.1587999999997"/>
    <x v="2"/>
    <s v="2100"/>
    <s v="000"/>
    <x v="6"/>
    <x v="1"/>
  </r>
  <r>
    <d v="2012-04-26T00:00:00"/>
    <s v="018-2210-000"/>
    <s v="Liquor Sales"/>
    <n v="653.50799999999992"/>
    <n v="0"/>
    <s v="Daily Sales Import"/>
    <n v="-653.50799999999992"/>
    <n v="653.50799999999992"/>
    <x v="2"/>
    <s v="2210"/>
    <s v="000"/>
    <x v="6"/>
    <x v="1"/>
  </r>
  <r>
    <d v="2012-04-26T00:00:00"/>
    <s v="018-2220-000"/>
    <s v="Beer Sales"/>
    <n v="178.97750000000002"/>
    <n v="0"/>
    <s v="Daily Sales Import"/>
    <n v="-178.97750000000002"/>
    <n v="178.97750000000002"/>
    <x v="2"/>
    <s v="2220"/>
    <s v="000"/>
    <x v="6"/>
    <x v="1"/>
  </r>
  <r>
    <d v="2012-04-26T00:00:00"/>
    <s v="018-2230-000"/>
    <s v="Wine Sales"/>
    <n v="81.330500000000001"/>
    <n v="0"/>
    <s v="Daily Sales Import"/>
    <n v="-81.330500000000001"/>
    <n v="81.330500000000001"/>
    <x v="2"/>
    <s v="2230"/>
    <s v="000"/>
    <x v="6"/>
    <x v="1"/>
  </r>
  <r>
    <d v="2012-04-27T00:00:00"/>
    <s v="018-2100-000"/>
    <s v="Food Sales"/>
    <n v="11297"/>
    <n v="0"/>
    <s v="Daily Sales Import"/>
    <n v="-11297"/>
    <n v="11297"/>
    <x v="2"/>
    <s v="2100"/>
    <s v="000"/>
    <x v="6"/>
    <x v="1"/>
  </r>
  <r>
    <d v="2012-04-27T00:00:00"/>
    <s v="018-2210-000"/>
    <s v="Liquor Sales"/>
    <n v="3083.6079999999997"/>
    <n v="0"/>
    <s v="Daily Sales Import"/>
    <n v="-3083.6079999999997"/>
    <n v="3083.6079999999997"/>
    <x v="2"/>
    <s v="2210"/>
    <s v="000"/>
    <x v="6"/>
    <x v="1"/>
  </r>
  <r>
    <d v="2012-04-27T00:00:00"/>
    <s v="018-2220-000"/>
    <s v="Beer Sales"/>
    <n v="873.78249999999991"/>
    <n v="0"/>
    <s v="Daily Sales Import"/>
    <n v="-873.78249999999991"/>
    <n v="873.78249999999991"/>
    <x v="2"/>
    <s v="2220"/>
    <s v="000"/>
    <x v="6"/>
    <x v="1"/>
  </r>
  <r>
    <d v="2012-04-27T00:00:00"/>
    <s v="018-2230-000"/>
    <s v="Wine Sales"/>
    <n v="59.83"/>
    <n v="0"/>
    <s v="Daily Sales Import"/>
    <n v="-59.83"/>
    <n v="59.83"/>
    <x v="2"/>
    <s v="2230"/>
    <s v="000"/>
    <x v="6"/>
    <x v="1"/>
  </r>
  <r>
    <d v="2012-04-28T00:00:00"/>
    <s v="018-2100-000"/>
    <s v="Food Sales"/>
    <n v="12021.764999999999"/>
    <n v="0"/>
    <s v="Daily Sales Import"/>
    <n v="-12021.764999999999"/>
    <n v="12021.764999999999"/>
    <x v="2"/>
    <s v="2100"/>
    <s v="000"/>
    <x v="6"/>
    <x v="1"/>
  </r>
  <r>
    <d v="2012-04-28T00:00:00"/>
    <s v="018-2210-000"/>
    <s v="Liquor Sales"/>
    <n v="3232.047"/>
    <n v="0"/>
    <s v="Daily Sales Import"/>
    <n v="-3232.047"/>
    <n v="3232.047"/>
    <x v="2"/>
    <s v="2210"/>
    <s v="000"/>
    <x v="6"/>
    <x v="1"/>
  </r>
  <r>
    <d v="2012-04-28T00:00:00"/>
    <s v="018-2220-000"/>
    <s v="Beer Sales"/>
    <n v="579.82500000000005"/>
    <n v="0"/>
    <s v="Daily Sales Import"/>
    <n v="-579.82500000000005"/>
    <n v="579.82500000000005"/>
    <x v="2"/>
    <s v="2220"/>
    <s v="000"/>
    <x v="6"/>
    <x v="1"/>
  </r>
  <r>
    <d v="2012-04-28T00:00:00"/>
    <s v="018-2230-000"/>
    <s v="Wine Sales"/>
    <n v="174.53800000000001"/>
    <n v="0"/>
    <s v="Daily Sales Import"/>
    <n v="-174.53800000000001"/>
    <n v="174.53800000000001"/>
    <x v="2"/>
    <s v="2230"/>
    <s v="000"/>
    <x v="6"/>
    <x v="1"/>
  </r>
  <r>
    <d v="2012-04-29T00:00:00"/>
    <s v="018-2100-000"/>
    <s v="Food Sales"/>
    <n v="11162.043"/>
    <n v="0"/>
    <s v="Daily Sales Import"/>
    <n v="-11162.043"/>
    <n v="11162.043"/>
    <x v="2"/>
    <s v="2100"/>
    <s v="000"/>
    <x v="6"/>
    <x v="1"/>
  </r>
  <r>
    <d v="2012-04-29T00:00:00"/>
    <s v="018-2210-000"/>
    <s v="Liquor Sales"/>
    <n v="1728.6399999999999"/>
    <n v="0"/>
    <s v="Daily Sales Import"/>
    <n v="-1728.6399999999999"/>
    <n v="1728.6399999999999"/>
    <x v="2"/>
    <s v="2210"/>
    <s v="000"/>
    <x v="6"/>
    <x v="1"/>
  </r>
  <r>
    <d v="2012-04-29T00:00:00"/>
    <s v="018-2220-000"/>
    <s v="Beer Sales"/>
    <n v="410.09100000000001"/>
    <n v="0"/>
    <s v="Daily Sales Import"/>
    <n v="-410.09100000000001"/>
    <n v="410.09100000000001"/>
    <x v="2"/>
    <s v="2220"/>
    <s v="000"/>
    <x v="6"/>
    <x v="1"/>
  </r>
  <r>
    <d v="2012-04-29T00:00:00"/>
    <s v="018-2230-000"/>
    <s v="Wine Sales"/>
    <n v="78.124500000000012"/>
    <n v="0"/>
    <s v="Daily Sales Import"/>
    <n v="-78.124500000000012"/>
    <n v="78.124500000000012"/>
    <x v="2"/>
    <s v="2230"/>
    <s v="000"/>
    <x v="6"/>
    <x v="1"/>
  </r>
  <r>
    <d v="2012-04-30T00:00:00"/>
    <s v="016-2100-000"/>
    <s v="Food Sales"/>
    <n v="2515.3044"/>
    <n v="0"/>
    <s v="Daily Sales Import"/>
    <n v="-2515.3044"/>
    <n v="2515.3044"/>
    <x v="0"/>
    <s v="2100"/>
    <s v="000"/>
    <x v="6"/>
    <x v="1"/>
  </r>
  <r>
    <d v="2012-04-30T00:00:00"/>
    <s v="016-2210-000"/>
    <s v="Liquor Sales"/>
    <n v="840.35599999999999"/>
    <n v="0"/>
    <s v="Daily Sales Import"/>
    <n v="-840.35599999999999"/>
    <n v="840.35599999999999"/>
    <x v="0"/>
    <s v="2210"/>
    <s v="000"/>
    <x v="6"/>
    <x v="1"/>
  </r>
  <r>
    <d v="2012-04-30T00:00:00"/>
    <s v="016-2220-000"/>
    <s v="Beer Sales"/>
    <n v="141.21"/>
    <n v="0"/>
    <s v="Daily Sales Import"/>
    <n v="-141.21"/>
    <n v="141.21"/>
    <x v="0"/>
    <s v="2220"/>
    <s v="000"/>
    <x v="6"/>
    <x v="1"/>
  </r>
  <r>
    <d v="2012-04-30T00:00:00"/>
    <s v="016-2230-000"/>
    <s v="Wine Sales"/>
    <n v="69.927499999999995"/>
    <n v="0"/>
    <s v="Daily Sales Import"/>
    <n v="-69.927499999999995"/>
    <n v="69.927499999999995"/>
    <x v="0"/>
    <s v="2230"/>
    <s v="000"/>
    <x v="6"/>
    <x v="1"/>
  </r>
  <r>
    <d v="2012-05-01T00:00:00"/>
    <s v="016-2100-000"/>
    <s v="Food Sales"/>
    <n v="3888.5616"/>
    <n v="0"/>
    <s v="Daily Sales Import"/>
    <n v="-3888.5616"/>
    <n v="3888.5616"/>
    <x v="0"/>
    <s v="2100"/>
    <s v="000"/>
    <x v="7"/>
    <x v="1"/>
  </r>
  <r>
    <d v="2012-05-01T00:00:00"/>
    <s v="016-2210-000"/>
    <s v="Liquor Sales"/>
    <n v="1402.4320000000002"/>
    <n v="0"/>
    <s v="Daily Sales Import"/>
    <n v="-1402.4320000000002"/>
    <n v="1402.4320000000002"/>
    <x v="0"/>
    <s v="2210"/>
    <s v="000"/>
    <x v="7"/>
    <x v="1"/>
  </r>
  <r>
    <d v="2012-05-01T00:00:00"/>
    <s v="016-2220-000"/>
    <s v="Beer Sales"/>
    <n v="479.18400000000008"/>
    <n v="0"/>
    <s v="Daily Sales Import"/>
    <n v="-479.18400000000008"/>
    <n v="479.18400000000008"/>
    <x v="0"/>
    <s v="2220"/>
    <s v="000"/>
    <x v="7"/>
    <x v="1"/>
  </r>
  <r>
    <d v="2012-05-01T00:00:00"/>
    <s v="016-2230-000"/>
    <s v="Wine Sales"/>
    <n v="129.5445"/>
    <n v="0"/>
    <s v="Daily Sales Import"/>
    <n v="-129.5445"/>
    <n v="129.5445"/>
    <x v="0"/>
    <s v="2230"/>
    <s v="000"/>
    <x v="7"/>
    <x v="1"/>
  </r>
  <r>
    <d v="2012-05-02T00:00:00"/>
    <s v="016-2100-000"/>
    <s v="Food Sales"/>
    <n v="4215.7551000000003"/>
    <n v="0"/>
    <s v="Daily Sales Import"/>
    <n v="-4215.7551000000003"/>
    <n v="4215.7551000000003"/>
    <x v="0"/>
    <s v="2100"/>
    <s v="000"/>
    <x v="7"/>
    <x v="1"/>
  </r>
  <r>
    <d v="2012-05-02T00:00:00"/>
    <s v="016-2210-000"/>
    <s v="Liquor Sales"/>
    <n v="874.6"/>
    <n v="0"/>
    <s v="Daily Sales Import"/>
    <n v="-874.6"/>
    <n v="874.6"/>
    <x v="0"/>
    <s v="2210"/>
    <s v="000"/>
    <x v="7"/>
    <x v="1"/>
  </r>
  <r>
    <d v="2012-05-02T00:00:00"/>
    <s v="016-2220-000"/>
    <s v="Beer Sales"/>
    <n v="224.03700000000001"/>
    <n v="0"/>
    <s v="Daily Sales Import"/>
    <n v="-224.03700000000001"/>
    <n v="224.03700000000001"/>
    <x v="0"/>
    <s v="2220"/>
    <s v="000"/>
    <x v="7"/>
    <x v="1"/>
  </r>
  <r>
    <d v="2012-05-02T00:00:00"/>
    <s v="016-2230-000"/>
    <s v="Wine Sales"/>
    <n v="175.21200000000002"/>
    <n v="0"/>
    <s v="Daily Sales Import"/>
    <n v="-175.21200000000002"/>
    <n v="175.21200000000002"/>
    <x v="0"/>
    <s v="2230"/>
    <s v="000"/>
    <x v="7"/>
    <x v="1"/>
  </r>
  <r>
    <d v="2012-05-03T00:00:00"/>
    <s v="016-2100-000"/>
    <s v="Food Sales"/>
    <n v="3744.3218000000002"/>
    <n v="0"/>
    <s v="Daily Sales Import"/>
    <n v="-3744.3218000000002"/>
    <n v="3744.3218000000002"/>
    <x v="0"/>
    <s v="2100"/>
    <s v="000"/>
    <x v="7"/>
    <x v="1"/>
  </r>
  <r>
    <d v="2012-05-03T00:00:00"/>
    <s v="016-2210-000"/>
    <s v="Liquor Sales"/>
    <n v="1399.2159999999999"/>
    <n v="0"/>
    <s v="Daily Sales Import"/>
    <n v="-1399.2159999999999"/>
    <n v="1399.2159999999999"/>
    <x v="0"/>
    <s v="2210"/>
    <s v="000"/>
    <x v="7"/>
    <x v="1"/>
  </r>
  <r>
    <d v="2012-05-03T00:00:00"/>
    <s v="016-2220-000"/>
    <s v="Beer Sales"/>
    <n v="269.32500000000005"/>
    <n v="0"/>
    <s v="Daily Sales Import"/>
    <n v="-269.32500000000005"/>
    <n v="269.32500000000005"/>
    <x v="0"/>
    <s v="2220"/>
    <s v="000"/>
    <x v="7"/>
    <x v="1"/>
  </r>
  <r>
    <d v="2012-05-03T00:00:00"/>
    <s v="016-2230-000"/>
    <s v="Wine Sales"/>
    <n v="77.083500000000001"/>
    <n v="0"/>
    <s v="Daily Sales Import"/>
    <n v="-77.083500000000001"/>
    <n v="77.083500000000001"/>
    <x v="0"/>
    <s v="2230"/>
    <s v="000"/>
    <x v="7"/>
    <x v="1"/>
  </r>
  <r>
    <d v="2012-05-04T00:00:00"/>
    <s v="016-2100-000"/>
    <s v="Food Sales"/>
    <n v="8079.5419999999995"/>
    <n v="0"/>
    <s v="Daily Sales Import"/>
    <n v="-8079.5419999999995"/>
    <n v="8079.5419999999995"/>
    <x v="0"/>
    <s v="2100"/>
    <s v="000"/>
    <x v="7"/>
    <x v="1"/>
  </r>
  <r>
    <d v="2012-05-04T00:00:00"/>
    <s v="016-2210-000"/>
    <s v="Liquor Sales"/>
    <n v="2441.4"/>
    <n v="0"/>
    <s v="Daily Sales Import"/>
    <n v="-2441.4"/>
    <n v="2441.4"/>
    <x v="0"/>
    <s v="2210"/>
    <s v="000"/>
    <x v="7"/>
    <x v="1"/>
  </r>
  <r>
    <d v="2012-05-04T00:00:00"/>
    <s v="016-2220-000"/>
    <s v="Beer Sales"/>
    <n v="711.83499999999992"/>
    <n v="0"/>
    <s v="Daily Sales Import"/>
    <n v="-711.83499999999992"/>
    <n v="711.83499999999992"/>
    <x v="0"/>
    <s v="2220"/>
    <s v="000"/>
    <x v="7"/>
    <x v="1"/>
  </r>
  <r>
    <d v="2012-05-04T00:00:00"/>
    <s v="016-2230-000"/>
    <s v="Wine Sales"/>
    <n v="203.74300000000002"/>
    <n v="0"/>
    <s v="Daily Sales Import"/>
    <n v="-203.74300000000002"/>
    <n v="203.74300000000002"/>
    <x v="0"/>
    <s v="2230"/>
    <s v="000"/>
    <x v="7"/>
    <x v="1"/>
  </r>
  <r>
    <d v="2012-05-05T00:00:00"/>
    <s v="016-2100-000"/>
    <s v="Food Sales"/>
    <n v="13771.338"/>
    <n v="0"/>
    <s v="Daily Sales Import"/>
    <n v="-13771.338"/>
    <n v="13771.338"/>
    <x v="0"/>
    <s v="2100"/>
    <s v="000"/>
    <x v="7"/>
    <x v="1"/>
  </r>
  <r>
    <d v="2012-05-05T00:00:00"/>
    <s v="016-2210-000"/>
    <s v="Liquor Sales"/>
    <n v="21099.6414"/>
    <n v="0"/>
    <s v="Daily Sales Import"/>
    <n v="-21099.6414"/>
    <n v="21099.6414"/>
    <x v="0"/>
    <s v="2210"/>
    <s v="000"/>
    <x v="7"/>
    <x v="1"/>
  </r>
  <r>
    <d v="2012-05-05T00:00:00"/>
    <s v="016-2220-000"/>
    <s v="Beer Sales"/>
    <n v="8819.0607999999993"/>
    <n v="0"/>
    <s v="Daily Sales Import"/>
    <n v="-8819.0607999999993"/>
    <n v="8819.0607999999993"/>
    <x v="0"/>
    <s v="2220"/>
    <s v="000"/>
    <x v="7"/>
    <x v="1"/>
  </r>
  <r>
    <d v="2012-05-05T00:00:00"/>
    <s v="016-2230-000"/>
    <s v="Wine Sales"/>
    <n v="523.21799999999996"/>
    <n v="0"/>
    <s v="Daily Sales Import"/>
    <n v="-523.21799999999996"/>
    <n v="523.21799999999996"/>
    <x v="0"/>
    <s v="2230"/>
    <s v="000"/>
    <x v="7"/>
    <x v="1"/>
  </r>
  <r>
    <d v="2012-05-06T00:00:00"/>
    <s v="016-2100-000"/>
    <s v="Food Sales"/>
    <n v="5151.4650000000001"/>
    <n v="0"/>
    <s v="Daily Sales Import"/>
    <n v="-5151.4650000000001"/>
    <n v="5151.4650000000001"/>
    <x v="0"/>
    <s v="2100"/>
    <s v="000"/>
    <x v="7"/>
    <x v="1"/>
  </r>
  <r>
    <d v="2012-05-06T00:00:00"/>
    <s v="016-2210-000"/>
    <s v="Liquor Sales"/>
    <n v="1136.3264999999999"/>
    <n v="0"/>
    <s v="Daily Sales Import"/>
    <n v="-1136.3264999999999"/>
    <n v="1136.3264999999999"/>
    <x v="0"/>
    <s v="2210"/>
    <s v="000"/>
    <x v="7"/>
    <x v="1"/>
  </r>
  <r>
    <d v="2012-05-06T00:00:00"/>
    <s v="016-2220-000"/>
    <s v="Beer Sales"/>
    <n v="318.24"/>
    <n v="0"/>
    <s v="Daily Sales Import"/>
    <n v="-318.24"/>
    <n v="318.24"/>
    <x v="0"/>
    <s v="2220"/>
    <s v="000"/>
    <x v="7"/>
    <x v="1"/>
  </r>
  <r>
    <d v="2012-05-06T00:00:00"/>
    <s v="016-2230-000"/>
    <s v="Wine Sales"/>
    <n v="55.024000000000008"/>
    <n v="0"/>
    <s v="Daily Sales Import"/>
    <n v="-55.024000000000008"/>
    <n v="55.024000000000008"/>
    <x v="0"/>
    <s v="2230"/>
    <s v="000"/>
    <x v="7"/>
    <x v="1"/>
  </r>
  <r>
    <d v="2012-04-30T00:00:00"/>
    <s v="017-2100-000"/>
    <s v="Food Sales"/>
    <n v="3788.8312000000005"/>
    <n v="0"/>
    <s v="Daily Sales Import"/>
    <n v="-3788.8312000000005"/>
    <n v="3788.8312000000005"/>
    <x v="1"/>
    <s v="2100"/>
    <s v="000"/>
    <x v="6"/>
    <x v="1"/>
  </r>
  <r>
    <d v="2012-04-30T00:00:00"/>
    <s v="017-2210-000"/>
    <s v="Liquor Sales"/>
    <n v="1000.3435000000001"/>
    <n v="0"/>
    <s v="Daily Sales Import"/>
    <n v="-1000.3435000000001"/>
    <n v="1000.3435000000001"/>
    <x v="1"/>
    <s v="2210"/>
    <s v="000"/>
    <x v="6"/>
    <x v="1"/>
  </r>
  <r>
    <d v="2012-04-30T00:00:00"/>
    <s v="017-2220-000"/>
    <s v="Beer Sales"/>
    <n v="426.88"/>
    <n v="0"/>
    <s v="Daily Sales Import"/>
    <n v="-426.88"/>
    <n v="426.88"/>
    <x v="1"/>
    <s v="2220"/>
    <s v="000"/>
    <x v="6"/>
    <x v="1"/>
  </r>
  <r>
    <d v="2012-04-30T00:00:00"/>
    <s v="017-2230-000"/>
    <s v="Wine Sales"/>
    <n v="59.774000000000008"/>
    <n v="0"/>
    <s v="Daily Sales Import"/>
    <n v="-59.774000000000008"/>
    <n v="59.774000000000008"/>
    <x v="1"/>
    <s v="2230"/>
    <s v="000"/>
    <x v="6"/>
    <x v="1"/>
  </r>
  <r>
    <d v="2012-05-01T00:00:00"/>
    <s v="017-2100-000"/>
    <s v="Food Sales"/>
    <n v="5320.4416000000001"/>
    <n v="0"/>
    <s v="Daily Sales Import"/>
    <n v="-5320.4416000000001"/>
    <n v="5320.4416000000001"/>
    <x v="1"/>
    <s v="2100"/>
    <s v="000"/>
    <x v="7"/>
    <x v="1"/>
  </r>
  <r>
    <d v="2012-05-01T00:00:00"/>
    <s v="017-2210-000"/>
    <s v="Liquor Sales"/>
    <n v="2249.3539999999998"/>
    <n v="0"/>
    <s v="Daily Sales Import"/>
    <n v="-2249.3539999999998"/>
    <n v="2249.3539999999998"/>
    <x v="1"/>
    <s v="2210"/>
    <s v="000"/>
    <x v="7"/>
    <x v="1"/>
  </r>
  <r>
    <d v="2012-05-01T00:00:00"/>
    <s v="017-2220-000"/>
    <s v="Beer Sales"/>
    <n v="781.42"/>
    <n v="0"/>
    <s v="Daily Sales Import"/>
    <n v="-781.42"/>
    <n v="781.42"/>
    <x v="1"/>
    <s v="2220"/>
    <s v="000"/>
    <x v="7"/>
    <x v="1"/>
  </r>
  <r>
    <d v="2012-05-01T00:00:00"/>
    <s v="017-2230-000"/>
    <s v="Wine Sales"/>
    <n v="79.805000000000007"/>
    <n v="0"/>
    <s v="Daily Sales Import"/>
    <n v="-79.805000000000007"/>
    <n v="79.805000000000007"/>
    <x v="1"/>
    <s v="2230"/>
    <s v="000"/>
    <x v="7"/>
    <x v="1"/>
  </r>
  <r>
    <d v="2012-05-02T00:00:00"/>
    <s v="017-2100-000"/>
    <s v="Food Sales"/>
    <n v="8850.2831999999999"/>
    <n v="0"/>
    <s v="Daily Sales Import"/>
    <n v="-8850.2831999999999"/>
    <n v="8850.2831999999999"/>
    <x v="1"/>
    <s v="2100"/>
    <s v="000"/>
    <x v="7"/>
    <x v="1"/>
  </r>
  <r>
    <d v="2012-05-02T00:00:00"/>
    <s v="017-2210-000"/>
    <s v="Liquor Sales"/>
    <n v="1784.37"/>
    <n v="0"/>
    <s v="Daily Sales Import"/>
    <n v="-1784.37"/>
    <n v="1784.37"/>
    <x v="1"/>
    <s v="2210"/>
    <s v="000"/>
    <x v="7"/>
    <x v="1"/>
  </r>
  <r>
    <d v="2012-05-02T00:00:00"/>
    <s v="017-2220-000"/>
    <s v="Beer Sales"/>
    <n v="477.7525"/>
    <n v="0"/>
    <s v="Daily Sales Import"/>
    <n v="-477.7525"/>
    <n v="477.7525"/>
    <x v="1"/>
    <s v="2220"/>
    <s v="000"/>
    <x v="7"/>
    <x v="1"/>
  </r>
  <r>
    <d v="2012-05-02T00:00:00"/>
    <s v="017-2230-000"/>
    <s v="Wine Sales"/>
    <n v="90.785000000000011"/>
    <n v="0"/>
    <s v="Daily Sales Import"/>
    <n v="-90.785000000000011"/>
    <n v="90.785000000000011"/>
    <x v="1"/>
    <s v="2230"/>
    <s v="000"/>
    <x v="7"/>
    <x v="1"/>
  </r>
  <r>
    <d v="2012-05-03T00:00:00"/>
    <s v="017-2100-000"/>
    <s v="Food Sales"/>
    <n v="4252.0716000000002"/>
    <n v="0"/>
    <s v="Daily Sales Import"/>
    <n v="-4252.0716000000002"/>
    <n v="4252.0716000000002"/>
    <x v="1"/>
    <s v="2100"/>
    <s v="000"/>
    <x v="7"/>
    <x v="1"/>
  </r>
  <r>
    <d v="2012-05-03T00:00:00"/>
    <s v="017-2210-000"/>
    <s v="Liquor Sales"/>
    <n v="1567.9940000000001"/>
    <n v="0"/>
    <s v="Daily Sales Import"/>
    <n v="-1567.9940000000001"/>
    <n v="1567.9940000000001"/>
    <x v="1"/>
    <s v="2210"/>
    <s v="000"/>
    <x v="7"/>
    <x v="1"/>
  </r>
  <r>
    <d v="2012-05-03T00:00:00"/>
    <s v="017-2220-000"/>
    <s v="Beer Sales"/>
    <n v="617.8125"/>
    <n v="0"/>
    <s v="Daily Sales Import"/>
    <n v="-617.8125"/>
    <n v="617.8125"/>
    <x v="1"/>
    <s v="2220"/>
    <s v="000"/>
    <x v="7"/>
    <x v="1"/>
  </r>
  <r>
    <d v="2012-05-03T00:00:00"/>
    <s v="017-2230-000"/>
    <s v="Wine Sales"/>
    <n v="144.816"/>
    <n v="0"/>
    <s v="Daily Sales Import"/>
    <n v="-144.816"/>
    <n v="144.816"/>
    <x v="1"/>
    <s v="2230"/>
    <s v="000"/>
    <x v="7"/>
    <x v="1"/>
  </r>
  <r>
    <d v="2012-05-04T00:00:00"/>
    <s v="017-2100-000"/>
    <s v="Food Sales"/>
    <n v="7984.1926999999996"/>
    <n v="0"/>
    <s v="Daily Sales Import"/>
    <n v="-7984.1926999999996"/>
    <n v="7984.1926999999996"/>
    <x v="1"/>
    <s v="2100"/>
    <s v="000"/>
    <x v="7"/>
    <x v="1"/>
  </r>
  <r>
    <d v="2012-05-04T00:00:00"/>
    <s v="017-2210-000"/>
    <s v="Liquor Sales"/>
    <n v="2780.7359999999999"/>
    <n v="0"/>
    <s v="Daily Sales Import"/>
    <n v="-2780.7359999999999"/>
    <n v="2780.7359999999999"/>
    <x v="1"/>
    <s v="2210"/>
    <s v="000"/>
    <x v="7"/>
    <x v="1"/>
  </r>
  <r>
    <d v="2012-05-04T00:00:00"/>
    <s v="017-2220-000"/>
    <s v="Beer Sales"/>
    <n v="518.33249999999998"/>
    <n v="0"/>
    <s v="Daily Sales Import"/>
    <n v="-518.33249999999998"/>
    <n v="518.33249999999998"/>
    <x v="1"/>
    <s v="2220"/>
    <s v="000"/>
    <x v="7"/>
    <x v="1"/>
  </r>
  <r>
    <d v="2012-05-04T00:00:00"/>
    <s v="017-2230-000"/>
    <s v="Wine Sales"/>
    <n v="286.358"/>
    <n v="0"/>
    <s v="Daily Sales Import"/>
    <n v="-286.358"/>
    <n v="286.358"/>
    <x v="1"/>
    <s v="2230"/>
    <s v="000"/>
    <x v="7"/>
    <x v="1"/>
  </r>
  <r>
    <d v="2012-05-05T00:00:00"/>
    <s v="017-2100-000"/>
    <s v="Food Sales"/>
    <n v="14785.620999999999"/>
    <n v="0"/>
    <s v="Daily Sales Import"/>
    <n v="-14785.620999999999"/>
    <n v="14785.620999999999"/>
    <x v="1"/>
    <s v="2100"/>
    <s v="000"/>
    <x v="7"/>
    <x v="1"/>
  </r>
  <r>
    <d v="2012-05-05T00:00:00"/>
    <s v="017-2210-000"/>
    <s v="Liquor Sales"/>
    <n v="10819.5965"/>
    <n v="0"/>
    <s v="Daily Sales Import"/>
    <n v="-10819.5965"/>
    <n v="10819.5965"/>
    <x v="1"/>
    <s v="2210"/>
    <s v="000"/>
    <x v="7"/>
    <x v="1"/>
  </r>
  <r>
    <d v="2012-05-05T00:00:00"/>
    <s v="017-2220-000"/>
    <s v="Beer Sales"/>
    <n v="1296.8799999999999"/>
    <n v="0"/>
    <s v="Daily Sales Import"/>
    <n v="-1296.8799999999999"/>
    <n v="1296.8799999999999"/>
    <x v="1"/>
    <s v="2220"/>
    <s v="000"/>
    <x v="7"/>
    <x v="1"/>
  </r>
  <r>
    <d v="2012-05-05T00:00:00"/>
    <s v="017-2230-000"/>
    <s v="Wine Sales"/>
    <n v="236.13"/>
    <n v="0"/>
    <s v="Daily Sales Import"/>
    <n v="-236.13"/>
    <n v="236.13"/>
    <x v="1"/>
    <s v="2230"/>
    <s v="000"/>
    <x v="7"/>
    <x v="1"/>
  </r>
  <r>
    <d v="2012-05-06T00:00:00"/>
    <s v="017-2100-000"/>
    <s v="Food Sales"/>
    <n v="5783.87"/>
    <n v="0"/>
    <s v="Daily Sales Import"/>
    <n v="-5783.87"/>
    <n v="5783.87"/>
    <x v="1"/>
    <s v="2100"/>
    <s v="000"/>
    <x v="7"/>
    <x v="1"/>
  </r>
  <r>
    <d v="2012-05-06T00:00:00"/>
    <s v="017-2210-000"/>
    <s v="Liquor Sales"/>
    <n v="1592.3925000000002"/>
    <n v="0"/>
    <s v="Daily Sales Import"/>
    <n v="-1592.3925000000002"/>
    <n v="1592.3925000000002"/>
    <x v="1"/>
    <s v="2210"/>
    <s v="000"/>
    <x v="7"/>
    <x v="1"/>
  </r>
  <r>
    <d v="2012-05-06T00:00:00"/>
    <s v="017-2220-000"/>
    <s v="Beer Sales"/>
    <n v="234.69749999999999"/>
    <n v="0"/>
    <s v="Daily Sales Import"/>
    <n v="-234.69749999999999"/>
    <n v="234.69749999999999"/>
    <x v="1"/>
    <s v="2220"/>
    <s v="000"/>
    <x v="7"/>
    <x v="1"/>
  </r>
  <r>
    <d v="2012-05-06T00:00:00"/>
    <s v="017-2230-000"/>
    <s v="Wine Sales"/>
    <n v="155.88300000000001"/>
    <n v="0"/>
    <s v="Daily Sales Import"/>
    <n v="-155.88300000000001"/>
    <n v="155.88300000000001"/>
    <x v="1"/>
    <s v="2230"/>
    <s v="000"/>
    <x v="7"/>
    <x v="1"/>
  </r>
  <r>
    <d v="2012-04-30T00:00:00"/>
    <s v="018-2100-000"/>
    <s v="Food Sales"/>
    <n v="3858.1151"/>
    <n v="0"/>
    <s v="Daily Sales Import"/>
    <n v="-3858.1151"/>
    <n v="3858.1151"/>
    <x v="2"/>
    <s v="2100"/>
    <s v="000"/>
    <x v="6"/>
    <x v="1"/>
  </r>
  <r>
    <d v="2012-04-30T00:00:00"/>
    <s v="018-2210-000"/>
    <s v="Liquor Sales"/>
    <n v="924.11249999999995"/>
    <n v="0"/>
    <s v="Daily Sales Import"/>
    <n v="-924.11249999999995"/>
    <n v="924.11249999999995"/>
    <x v="2"/>
    <s v="2210"/>
    <s v="000"/>
    <x v="6"/>
    <x v="1"/>
  </r>
  <r>
    <d v="2012-04-30T00:00:00"/>
    <s v="018-2220-000"/>
    <s v="Beer Sales"/>
    <n v="188.92999999999998"/>
    <n v="0"/>
    <s v="Daily Sales Import"/>
    <n v="-188.92999999999998"/>
    <n v="188.92999999999998"/>
    <x v="2"/>
    <s v="2220"/>
    <s v="000"/>
    <x v="6"/>
    <x v="1"/>
  </r>
  <r>
    <d v="2012-04-30T00:00:00"/>
    <s v="018-2230-000"/>
    <s v="Wine Sales"/>
    <n v="47.058"/>
    <n v="0"/>
    <s v="Daily Sales Import"/>
    <n v="-47.058"/>
    <n v="47.058"/>
    <x v="2"/>
    <s v="2230"/>
    <s v="000"/>
    <x v="6"/>
    <x v="1"/>
  </r>
  <r>
    <d v="2012-05-01T00:00:00"/>
    <s v="018-2100-000"/>
    <s v="Food Sales"/>
    <n v="3808.3925000000004"/>
    <n v="0"/>
    <s v="Daily Sales Import"/>
    <n v="-3808.3925000000004"/>
    <n v="3808.3925000000004"/>
    <x v="2"/>
    <s v="2100"/>
    <s v="000"/>
    <x v="7"/>
    <x v="1"/>
  </r>
  <r>
    <d v="2012-05-01T00:00:00"/>
    <s v="018-2210-000"/>
    <s v="Liquor Sales"/>
    <n v="523.88"/>
    <n v="0"/>
    <s v="Daily Sales Import"/>
    <n v="-523.88"/>
    <n v="523.88"/>
    <x v="2"/>
    <s v="2210"/>
    <s v="000"/>
    <x v="7"/>
    <x v="1"/>
  </r>
  <r>
    <d v="2012-05-01T00:00:00"/>
    <s v="018-2220-000"/>
    <s v="Beer Sales"/>
    <n v="139.10399999999998"/>
    <n v="0"/>
    <s v="Daily Sales Import"/>
    <n v="-139.10399999999998"/>
    <n v="139.10399999999998"/>
    <x v="2"/>
    <s v="2220"/>
    <s v="000"/>
    <x v="7"/>
    <x v="1"/>
  </r>
  <r>
    <d v="2012-05-01T00:00:00"/>
    <s v="018-2230-000"/>
    <s v="Wine Sales"/>
    <n v="12.167999999999999"/>
    <n v="0"/>
    <s v="Daily Sales Import"/>
    <n v="-12.167999999999999"/>
    <n v="12.167999999999999"/>
    <x v="2"/>
    <s v="2230"/>
    <s v="000"/>
    <x v="7"/>
    <x v="1"/>
  </r>
  <r>
    <d v="2012-05-02T00:00:00"/>
    <s v="018-2100-000"/>
    <s v="Food Sales"/>
    <n v="4966.3680000000004"/>
    <n v="0"/>
    <s v="Daily Sales Import"/>
    <n v="-4966.3680000000004"/>
    <n v="4966.3680000000004"/>
    <x v="2"/>
    <s v="2100"/>
    <s v="000"/>
    <x v="7"/>
    <x v="1"/>
  </r>
  <r>
    <d v="2012-05-02T00:00:00"/>
    <s v="018-2210-000"/>
    <s v="Liquor Sales"/>
    <n v="742.46399999999994"/>
    <n v="0"/>
    <s v="Daily Sales Import"/>
    <n v="-742.46399999999994"/>
    <n v="742.46399999999994"/>
    <x v="2"/>
    <s v="2210"/>
    <s v="000"/>
    <x v="7"/>
    <x v="1"/>
  </r>
  <r>
    <d v="2012-05-02T00:00:00"/>
    <s v="018-2220-000"/>
    <s v="Beer Sales"/>
    <n v="189.40299999999999"/>
    <n v="0"/>
    <s v="Daily Sales Import"/>
    <n v="-189.40299999999999"/>
    <n v="189.40299999999999"/>
    <x v="2"/>
    <s v="2220"/>
    <s v="000"/>
    <x v="7"/>
    <x v="1"/>
  </r>
  <r>
    <d v="2012-05-02T00:00:00"/>
    <s v="018-2230-000"/>
    <s v="Wine Sales"/>
    <n v="56.415999999999997"/>
    <n v="0"/>
    <s v="Daily Sales Import"/>
    <n v="-56.415999999999997"/>
    <n v="56.415999999999997"/>
    <x v="2"/>
    <s v="2230"/>
    <s v="000"/>
    <x v="7"/>
    <x v="1"/>
  </r>
  <r>
    <d v="2012-05-03T00:00:00"/>
    <s v="018-2100-000"/>
    <s v="Food Sales"/>
    <n v="5730.8160000000007"/>
    <n v="0"/>
    <s v="Daily Sales Import"/>
    <n v="-5730.8160000000007"/>
    <n v="5730.8160000000007"/>
    <x v="2"/>
    <s v="2100"/>
    <s v="000"/>
    <x v="7"/>
    <x v="1"/>
  </r>
  <r>
    <d v="2012-05-03T00:00:00"/>
    <s v="018-2210-000"/>
    <s v="Liquor Sales"/>
    <n v="965.94"/>
    <n v="0"/>
    <s v="Daily Sales Import"/>
    <n v="-965.94"/>
    <n v="965.94"/>
    <x v="2"/>
    <s v="2210"/>
    <s v="000"/>
    <x v="7"/>
    <x v="1"/>
  </r>
  <r>
    <d v="2012-05-03T00:00:00"/>
    <s v="018-2220-000"/>
    <s v="Beer Sales"/>
    <n v="289.03400000000005"/>
    <n v="0"/>
    <s v="Daily Sales Import"/>
    <n v="-289.03400000000005"/>
    <n v="289.03400000000005"/>
    <x v="2"/>
    <s v="2220"/>
    <s v="000"/>
    <x v="7"/>
    <x v="1"/>
  </r>
  <r>
    <d v="2012-05-03T00:00:00"/>
    <s v="018-2230-000"/>
    <s v="Wine Sales"/>
    <n v="38.870000000000005"/>
    <n v="0"/>
    <s v="Daily Sales Import"/>
    <n v="-38.870000000000005"/>
    <n v="38.870000000000005"/>
    <x v="2"/>
    <s v="2230"/>
    <s v="000"/>
    <x v="7"/>
    <x v="1"/>
  </r>
  <r>
    <d v="2012-05-04T00:00:00"/>
    <s v="018-2100-000"/>
    <s v="Food Sales"/>
    <n v="8977.8431999999993"/>
    <n v="0"/>
    <s v="Daily Sales Import"/>
    <n v="-8977.8431999999993"/>
    <n v="8977.8431999999993"/>
    <x v="2"/>
    <s v="2100"/>
    <s v="000"/>
    <x v="7"/>
    <x v="1"/>
  </r>
  <r>
    <d v="2012-05-04T00:00:00"/>
    <s v="018-2210-000"/>
    <s v="Liquor Sales"/>
    <n v="2776.9169999999999"/>
    <n v="0"/>
    <s v="Daily Sales Import"/>
    <n v="-2776.9169999999999"/>
    <n v="2776.9169999999999"/>
    <x v="2"/>
    <s v="2210"/>
    <s v="000"/>
    <x v="7"/>
    <x v="1"/>
  </r>
  <r>
    <d v="2012-05-04T00:00:00"/>
    <s v="018-2220-000"/>
    <s v="Beer Sales"/>
    <n v="723.35"/>
    <n v="0"/>
    <s v="Daily Sales Import"/>
    <n v="-723.35"/>
    <n v="723.35"/>
    <x v="2"/>
    <s v="2220"/>
    <s v="000"/>
    <x v="7"/>
    <x v="1"/>
  </r>
  <r>
    <d v="2012-05-04T00:00:00"/>
    <s v="018-2230-000"/>
    <s v="Wine Sales"/>
    <n v="57.238999999999997"/>
    <n v="0"/>
    <s v="Daily Sales Import"/>
    <n v="-57.238999999999997"/>
    <n v="57.238999999999997"/>
    <x v="2"/>
    <s v="2230"/>
    <s v="000"/>
    <x v="7"/>
    <x v="1"/>
  </r>
  <r>
    <d v="2012-05-05T00:00:00"/>
    <s v="018-2100-000"/>
    <s v="Food Sales"/>
    <n v="17787.863499999999"/>
    <n v="0"/>
    <s v="Daily Sales Import"/>
    <n v="-17787.863499999999"/>
    <n v="17787.863499999999"/>
    <x v="2"/>
    <s v="2100"/>
    <s v="000"/>
    <x v="7"/>
    <x v="1"/>
  </r>
  <r>
    <d v="2012-05-05T00:00:00"/>
    <s v="018-2210-000"/>
    <s v="Liquor Sales"/>
    <n v="9979.42"/>
    <n v="0"/>
    <s v="Daily Sales Import"/>
    <n v="-9979.42"/>
    <n v="9979.42"/>
    <x v="2"/>
    <s v="2210"/>
    <s v="000"/>
    <x v="7"/>
    <x v="1"/>
  </r>
  <r>
    <d v="2012-05-05T00:00:00"/>
    <s v="018-2220-000"/>
    <s v="Beer Sales"/>
    <n v="2729.4"/>
    <n v="0"/>
    <s v="Daily Sales Import"/>
    <n v="-2729.4"/>
    <n v="2729.4"/>
    <x v="2"/>
    <s v="2220"/>
    <s v="000"/>
    <x v="7"/>
    <x v="1"/>
  </r>
  <r>
    <d v="2012-05-05T00:00:00"/>
    <s v="018-2230-000"/>
    <s v="Wine Sales"/>
    <n v="103.4"/>
    <n v="0"/>
    <s v="Daily Sales Import"/>
    <n v="-103.4"/>
    <n v="103.4"/>
    <x v="2"/>
    <s v="2230"/>
    <s v="000"/>
    <x v="7"/>
    <x v="1"/>
  </r>
  <r>
    <d v="2012-05-06T00:00:00"/>
    <s v="018-2100-000"/>
    <s v="Food Sales"/>
    <n v="9620.6594999999998"/>
    <n v="0"/>
    <s v="Daily Sales Import"/>
    <n v="-9620.6594999999998"/>
    <n v="9620.6594999999998"/>
    <x v="2"/>
    <s v="2100"/>
    <s v="000"/>
    <x v="7"/>
    <x v="1"/>
  </r>
  <r>
    <d v="2012-05-06T00:00:00"/>
    <s v="018-2210-000"/>
    <s v="Liquor Sales"/>
    <n v="1860.3374999999999"/>
    <n v="0"/>
    <s v="Daily Sales Import"/>
    <n v="-1860.3374999999999"/>
    <n v="1860.3374999999999"/>
    <x v="2"/>
    <s v="2210"/>
    <s v="000"/>
    <x v="7"/>
    <x v="1"/>
  </r>
  <r>
    <d v="2012-05-06T00:00:00"/>
    <s v="018-2220-000"/>
    <s v="Beer Sales"/>
    <n v="372.74400000000003"/>
    <n v="0"/>
    <s v="Daily Sales Import"/>
    <n v="-372.74400000000003"/>
    <n v="372.74400000000003"/>
    <x v="2"/>
    <s v="2220"/>
    <s v="000"/>
    <x v="7"/>
    <x v="1"/>
  </r>
  <r>
    <d v="2012-05-06T00:00:00"/>
    <s v="018-2230-000"/>
    <s v="Wine Sales"/>
    <n v="56.703000000000003"/>
    <n v="0"/>
    <s v="Daily Sales Import"/>
    <n v="-56.703000000000003"/>
    <n v="56.703000000000003"/>
    <x v="2"/>
    <s v="2230"/>
    <s v="000"/>
    <x v="7"/>
    <x v="1"/>
  </r>
  <r>
    <d v="2012-05-07T00:00:00"/>
    <s v="016-2100-000"/>
    <s v="Food Sales"/>
    <n v="2081.431"/>
    <n v="0"/>
    <s v="Daily Sales Import"/>
    <n v="-2081.431"/>
    <n v="2081.431"/>
    <x v="0"/>
    <s v="2100"/>
    <s v="000"/>
    <x v="7"/>
    <x v="1"/>
  </r>
  <r>
    <d v="2012-05-07T00:00:00"/>
    <s v="016-2210-000"/>
    <s v="Liquor Sales"/>
    <n v="425.28250000000003"/>
    <n v="0"/>
    <s v="Daily Sales Import"/>
    <n v="-425.28250000000003"/>
    <n v="425.28250000000003"/>
    <x v="0"/>
    <s v="2210"/>
    <s v="000"/>
    <x v="7"/>
    <x v="1"/>
  </r>
  <r>
    <d v="2012-05-07T00:00:00"/>
    <s v="016-2220-000"/>
    <s v="Beer Sales"/>
    <n v="133.756"/>
    <n v="0"/>
    <s v="Daily Sales Import"/>
    <n v="-133.756"/>
    <n v="133.756"/>
    <x v="0"/>
    <s v="2220"/>
    <s v="000"/>
    <x v="7"/>
    <x v="1"/>
  </r>
  <r>
    <d v="2012-05-07T00:00:00"/>
    <s v="016-2230-000"/>
    <s v="Wine Sales"/>
    <n v="48.795999999999999"/>
    <n v="0"/>
    <s v="Daily Sales Import"/>
    <n v="-48.795999999999999"/>
    <n v="48.795999999999999"/>
    <x v="0"/>
    <s v="2230"/>
    <s v="000"/>
    <x v="7"/>
    <x v="1"/>
  </r>
  <r>
    <d v="2012-05-08T00:00:00"/>
    <s v="016-2100-000"/>
    <s v="Food Sales"/>
    <n v="3759.4692"/>
    <n v="0"/>
    <s v="Daily Sales Import"/>
    <n v="-3759.4692"/>
    <n v="3759.4692"/>
    <x v="0"/>
    <s v="2100"/>
    <s v="000"/>
    <x v="7"/>
    <x v="1"/>
  </r>
  <r>
    <d v="2012-05-08T00:00:00"/>
    <s v="016-2210-000"/>
    <s v="Liquor Sales"/>
    <n v="1706.2780000000002"/>
    <n v="0"/>
    <s v="Daily Sales Import"/>
    <n v="-1706.2780000000002"/>
    <n v="1706.2780000000002"/>
    <x v="0"/>
    <s v="2210"/>
    <s v="000"/>
    <x v="7"/>
    <x v="1"/>
  </r>
  <r>
    <d v="2012-05-08T00:00:00"/>
    <s v="016-2220-000"/>
    <s v="Beer Sales"/>
    <n v="582.69200000000001"/>
    <n v="0"/>
    <s v="Daily Sales Import"/>
    <n v="-582.69200000000001"/>
    <n v="582.69200000000001"/>
    <x v="0"/>
    <s v="2220"/>
    <s v="000"/>
    <x v="7"/>
    <x v="1"/>
  </r>
  <r>
    <d v="2012-05-08T00:00:00"/>
    <s v="016-2230-000"/>
    <s v="Wine Sales"/>
    <n v="224.29499999999999"/>
    <n v="0"/>
    <s v="Daily Sales Import"/>
    <n v="-224.29499999999999"/>
    <n v="224.29499999999999"/>
    <x v="0"/>
    <s v="2230"/>
    <s v="000"/>
    <x v="7"/>
    <x v="1"/>
  </r>
  <r>
    <d v="2012-05-09T00:00:00"/>
    <s v="016-2100-000"/>
    <s v="Food Sales"/>
    <n v="3668.1236000000004"/>
    <n v="0"/>
    <s v="Daily Sales Import"/>
    <n v="-3668.1236000000004"/>
    <n v="3668.1236000000004"/>
    <x v="0"/>
    <s v="2100"/>
    <s v="000"/>
    <x v="7"/>
    <x v="1"/>
  </r>
  <r>
    <d v="2012-05-09T00:00:00"/>
    <s v="016-2210-000"/>
    <s v="Liquor Sales"/>
    <n v="1014.5555000000001"/>
    <n v="0"/>
    <s v="Daily Sales Import"/>
    <n v="-1014.5555000000001"/>
    <n v="1014.5555000000001"/>
    <x v="0"/>
    <s v="2210"/>
    <s v="000"/>
    <x v="7"/>
    <x v="1"/>
  </r>
  <r>
    <d v="2012-05-09T00:00:00"/>
    <s v="016-2220-000"/>
    <s v="Beer Sales"/>
    <n v="149.32500000000002"/>
    <n v="0"/>
    <s v="Daily Sales Import"/>
    <n v="-149.32500000000002"/>
    <n v="149.32500000000002"/>
    <x v="0"/>
    <s v="2220"/>
    <s v="000"/>
    <x v="7"/>
    <x v="1"/>
  </r>
  <r>
    <d v="2012-05-09T00:00:00"/>
    <s v="016-2230-000"/>
    <s v="Wine Sales"/>
    <n v="48.776000000000003"/>
    <n v="0"/>
    <s v="Daily Sales Import"/>
    <n v="-48.776000000000003"/>
    <n v="48.776000000000003"/>
    <x v="0"/>
    <s v="2230"/>
    <s v="000"/>
    <x v="7"/>
    <x v="1"/>
  </r>
  <r>
    <d v="2012-05-10T00:00:00"/>
    <s v="016-2100-000"/>
    <s v="Food Sales"/>
    <n v="1955.7505000000001"/>
    <n v="0"/>
    <s v="Daily Sales Import"/>
    <n v="-1955.7505000000001"/>
    <n v="1955.7505000000001"/>
    <x v="0"/>
    <s v="2100"/>
    <s v="000"/>
    <x v="7"/>
    <x v="1"/>
  </r>
  <r>
    <d v="2012-05-10T00:00:00"/>
    <s v="016-2210-000"/>
    <s v="Liquor Sales"/>
    <n v="684.45400000000006"/>
    <n v="0"/>
    <s v="Daily Sales Import"/>
    <n v="-684.45400000000006"/>
    <n v="684.45400000000006"/>
    <x v="0"/>
    <s v="2210"/>
    <s v="000"/>
    <x v="7"/>
    <x v="1"/>
  </r>
  <r>
    <d v="2012-05-10T00:00:00"/>
    <s v="016-2220-000"/>
    <s v="Beer Sales"/>
    <n v="125.03999999999999"/>
    <n v="0"/>
    <s v="Daily Sales Import"/>
    <n v="-125.03999999999999"/>
    <n v="125.03999999999999"/>
    <x v="0"/>
    <s v="2220"/>
    <s v="000"/>
    <x v="7"/>
    <x v="1"/>
  </r>
  <r>
    <d v="2012-05-10T00:00:00"/>
    <s v="016-2230-000"/>
    <s v="Wine Sales"/>
    <n v="117.53400000000001"/>
    <n v="0"/>
    <s v="Daily Sales Import"/>
    <n v="-117.53400000000001"/>
    <n v="117.53400000000001"/>
    <x v="0"/>
    <s v="2230"/>
    <s v="000"/>
    <x v="7"/>
    <x v="1"/>
  </r>
  <r>
    <d v="2012-05-11T00:00:00"/>
    <s v="016-2100-000"/>
    <s v="Food Sales"/>
    <n v="6892.8696"/>
    <n v="0"/>
    <s v="Daily Sales Import"/>
    <n v="-6892.8696"/>
    <n v="6892.8696"/>
    <x v="0"/>
    <s v="2100"/>
    <s v="000"/>
    <x v="7"/>
    <x v="1"/>
  </r>
  <r>
    <d v="2012-05-11T00:00:00"/>
    <s v="016-2210-000"/>
    <s v="Liquor Sales"/>
    <n v="1896.2684999999999"/>
    <n v="0"/>
    <s v="Daily Sales Import"/>
    <n v="-1896.2684999999999"/>
    <n v="1896.2684999999999"/>
    <x v="0"/>
    <s v="2210"/>
    <s v="000"/>
    <x v="7"/>
    <x v="1"/>
  </r>
  <r>
    <d v="2012-05-11T00:00:00"/>
    <s v="016-2220-000"/>
    <s v="Beer Sales"/>
    <n v="467.52850000000001"/>
    <n v="0"/>
    <s v="Daily Sales Import"/>
    <n v="-467.52850000000001"/>
    <n v="467.52850000000001"/>
    <x v="0"/>
    <s v="2220"/>
    <s v="000"/>
    <x v="7"/>
    <x v="1"/>
  </r>
  <r>
    <d v="2012-05-11T00:00:00"/>
    <s v="016-2230-000"/>
    <s v="Wine Sales"/>
    <n v="192.83000000000004"/>
    <n v="0"/>
    <s v="Daily Sales Import"/>
    <n v="-192.83000000000004"/>
    <n v="192.83000000000004"/>
    <x v="0"/>
    <s v="2230"/>
    <s v="000"/>
    <x v="7"/>
    <x v="1"/>
  </r>
  <r>
    <d v="2012-05-12T00:00:00"/>
    <s v="016-2100-000"/>
    <s v="Food Sales"/>
    <n v="7691.8336000000008"/>
    <n v="0"/>
    <s v="Daily Sales Import"/>
    <n v="-7691.8336000000008"/>
    <n v="7691.8336000000008"/>
    <x v="0"/>
    <s v="2100"/>
    <s v="000"/>
    <x v="7"/>
    <x v="1"/>
  </r>
  <r>
    <d v="2012-05-12T00:00:00"/>
    <s v="016-2210-000"/>
    <s v="Liquor Sales"/>
    <n v="1800.2024999999999"/>
    <n v="0"/>
    <s v="Daily Sales Import"/>
    <n v="-1800.2024999999999"/>
    <n v="1800.2024999999999"/>
    <x v="0"/>
    <s v="2210"/>
    <s v="000"/>
    <x v="7"/>
    <x v="1"/>
  </r>
  <r>
    <d v="2012-05-12T00:00:00"/>
    <s v="016-2220-000"/>
    <s v="Beer Sales"/>
    <n v="462.70399999999995"/>
    <n v="0"/>
    <s v="Daily Sales Import"/>
    <n v="-462.70399999999995"/>
    <n v="462.70399999999995"/>
    <x v="0"/>
    <s v="2220"/>
    <s v="000"/>
    <x v="7"/>
    <x v="1"/>
  </r>
  <r>
    <d v="2012-05-12T00:00:00"/>
    <s v="016-2230-000"/>
    <s v="Wine Sales"/>
    <n v="195.48"/>
    <n v="0"/>
    <s v="Daily Sales Import"/>
    <n v="-195.48"/>
    <n v="195.48"/>
    <x v="0"/>
    <s v="2230"/>
    <s v="000"/>
    <x v="7"/>
    <x v="1"/>
  </r>
  <r>
    <d v="2012-05-13T00:00:00"/>
    <s v="016-2100-000"/>
    <s v="Food Sales"/>
    <n v="9024.6607999999997"/>
    <n v="0"/>
    <s v="Daily Sales Import"/>
    <n v="-9024.6607999999997"/>
    <n v="9024.6607999999997"/>
    <x v="0"/>
    <s v="2100"/>
    <s v="000"/>
    <x v="7"/>
    <x v="1"/>
  </r>
  <r>
    <d v="2012-05-13T00:00:00"/>
    <s v="016-2210-000"/>
    <s v="Liquor Sales"/>
    <n v="1738.3740000000003"/>
    <n v="0"/>
    <s v="Daily Sales Import"/>
    <n v="-1738.3740000000003"/>
    <n v="1738.3740000000003"/>
    <x v="0"/>
    <s v="2210"/>
    <s v="000"/>
    <x v="7"/>
    <x v="1"/>
  </r>
  <r>
    <d v="2012-05-13T00:00:00"/>
    <s v="016-2220-000"/>
    <s v="Beer Sales"/>
    <n v="232.8"/>
    <n v="0"/>
    <s v="Daily Sales Import"/>
    <n v="-232.8"/>
    <n v="232.8"/>
    <x v="0"/>
    <s v="2220"/>
    <s v="000"/>
    <x v="7"/>
    <x v="1"/>
  </r>
  <r>
    <d v="2012-05-13T00:00:00"/>
    <s v="016-2230-000"/>
    <s v="Wine Sales"/>
    <n v="198.74349999999998"/>
    <n v="0"/>
    <s v="Daily Sales Import"/>
    <n v="-198.74349999999998"/>
    <n v="198.74349999999998"/>
    <x v="0"/>
    <s v="2230"/>
    <s v="000"/>
    <x v="7"/>
    <x v="1"/>
  </r>
  <r>
    <d v="2012-05-07T00:00:00"/>
    <s v="017-2100-000"/>
    <s v="Food Sales"/>
    <n v="4125.8564999999999"/>
    <n v="0"/>
    <s v="Daily Sales Import"/>
    <n v="-4125.8564999999999"/>
    <n v="4125.8564999999999"/>
    <x v="1"/>
    <s v="2100"/>
    <s v="000"/>
    <x v="7"/>
    <x v="1"/>
  </r>
  <r>
    <d v="2012-05-07T00:00:00"/>
    <s v="017-2210-000"/>
    <s v="Liquor Sales"/>
    <n v="938.44799999999998"/>
    <n v="0"/>
    <s v="Daily Sales Import"/>
    <n v="-938.44799999999998"/>
    <n v="938.44799999999998"/>
    <x v="1"/>
    <s v="2210"/>
    <s v="000"/>
    <x v="7"/>
    <x v="1"/>
  </r>
  <r>
    <d v="2012-05-07T00:00:00"/>
    <s v="017-2220-000"/>
    <s v="Beer Sales"/>
    <n v="242.74250000000001"/>
    <n v="0"/>
    <s v="Daily Sales Import"/>
    <n v="-242.74250000000001"/>
    <n v="242.74250000000001"/>
    <x v="1"/>
    <s v="2220"/>
    <s v="000"/>
    <x v="7"/>
    <x v="1"/>
  </r>
  <r>
    <d v="2012-05-07T00:00:00"/>
    <s v="017-2230-000"/>
    <s v="Wine Sales"/>
    <n v="60.23899999999999"/>
    <n v="0"/>
    <s v="Daily Sales Import"/>
    <n v="-60.23899999999999"/>
    <n v="60.23899999999999"/>
    <x v="1"/>
    <s v="2230"/>
    <s v="000"/>
    <x v="7"/>
    <x v="1"/>
  </r>
  <r>
    <d v="2012-05-08T00:00:00"/>
    <s v="017-2100-000"/>
    <s v="Food Sales"/>
    <n v="4784.2860000000001"/>
    <n v="0"/>
    <s v="Daily Sales Import"/>
    <n v="-4784.2860000000001"/>
    <n v="4784.2860000000001"/>
    <x v="1"/>
    <s v="2100"/>
    <s v="000"/>
    <x v="7"/>
    <x v="1"/>
  </r>
  <r>
    <d v="2012-05-08T00:00:00"/>
    <s v="017-2210-000"/>
    <s v="Liquor Sales"/>
    <n v="1044.7996000000001"/>
    <n v="0"/>
    <s v="Daily Sales Import"/>
    <n v="-1044.7996000000001"/>
    <n v="1044.7996000000001"/>
    <x v="1"/>
    <s v="2210"/>
    <s v="000"/>
    <x v="7"/>
    <x v="1"/>
  </r>
  <r>
    <d v="2012-05-08T00:00:00"/>
    <s v="017-2220-000"/>
    <s v="Beer Sales"/>
    <n v="415.6"/>
    <n v="0"/>
    <s v="Daily Sales Import"/>
    <n v="-415.6"/>
    <n v="415.6"/>
    <x v="1"/>
    <s v="2220"/>
    <s v="000"/>
    <x v="7"/>
    <x v="1"/>
  </r>
  <r>
    <d v="2012-05-08T00:00:00"/>
    <s v="017-2230-000"/>
    <s v="Wine Sales"/>
    <n v="58.326500000000003"/>
    <n v="0"/>
    <s v="Daily Sales Import"/>
    <n v="-58.326500000000003"/>
    <n v="58.326500000000003"/>
    <x v="1"/>
    <s v="2230"/>
    <s v="000"/>
    <x v="7"/>
    <x v="1"/>
  </r>
  <r>
    <d v="2012-05-09T00:00:00"/>
    <s v="017-2100-000"/>
    <s v="Food Sales"/>
    <n v="4959.9279999999999"/>
    <n v="0"/>
    <s v="Daily Sales Import"/>
    <n v="-4959.9279999999999"/>
    <n v="4959.9279999999999"/>
    <x v="1"/>
    <s v="2100"/>
    <s v="000"/>
    <x v="7"/>
    <x v="1"/>
  </r>
  <r>
    <d v="2012-05-09T00:00:00"/>
    <s v="017-2210-000"/>
    <s v="Liquor Sales"/>
    <n v="1985.5069999999998"/>
    <n v="0"/>
    <s v="Daily Sales Import"/>
    <n v="-1985.5069999999998"/>
    <n v="1985.5069999999998"/>
    <x v="1"/>
    <s v="2210"/>
    <s v="000"/>
    <x v="7"/>
    <x v="1"/>
  </r>
  <r>
    <d v="2012-05-09T00:00:00"/>
    <s v="017-2220-000"/>
    <s v="Beer Sales"/>
    <n v="341.44749999999999"/>
    <n v="0"/>
    <s v="Daily Sales Import"/>
    <n v="-341.44749999999999"/>
    <n v="341.44749999999999"/>
    <x v="1"/>
    <s v="2220"/>
    <s v="000"/>
    <x v="7"/>
    <x v="1"/>
  </r>
  <r>
    <d v="2012-05-09T00:00:00"/>
    <s v="017-2230-000"/>
    <s v="Wine Sales"/>
    <n v="79.53"/>
    <n v="0"/>
    <s v="Daily Sales Import"/>
    <n v="-79.53"/>
    <n v="79.53"/>
    <x v="1"/>
    <s v="2230"/>
    <s v="000"/>
    <x v="7"/>
    <x v="1"/>
  </r>
  <r>
    <d v="2012-05-10T00:00:00"/>
    <s v="017-2100-000"/>
    <s v="Food Sales"/>
    <n v="5002.1887999999999"/>
    <n v="0"/>
    <s v="Daily Sales Import"/>
    <n v="-5002.1887999999999"/>
    <n v="5002.1887999999999"/>
    <x v="1"/>
    <s v="2100"/>
    <s v="000"/>
    <x v="7"/>
    <x v="1"/>
  </r>
  <r>
    <d v="2012-05-10T00:00:00"/>
    <s v="017-2210-000"/>
    <s v="Liquor Sales"/>
    <n v="1870.8479999999997"/>
    <n v="0"/>
    <s v="Daily Sales Import"/>
    <n v="-1870.8479999999997"/>
    <n v="1870.8479999999997"/>
    <x v="1"/>
    <s v="2210"/>
    <s v="000"/>
    <x v="7"/>
    <x v="1"/>
  </r>
  <r>
    <d v="2012-05-10T00:00:00"/>
    <s v="017-2220-000"/>
    <s v="Beer Sales"/>
    <n v="740.92500000000007"/>
    <n v="0"/>
    <s v="Daily Sales Import"/>
    <n v="-740.92500000000007"/>
    <n v="740.92500000000007"/>
    <x v="1"/>
    <s v="2220"/>
    <s v="000"/>
    <x v="7"/>
    <x v="1"/>
  </r>
  <r>
    <d v="2012-05-10T00:00:00"/>
    <s v="017-2230-000"/>
    <s v="Wine Sales"/>
    <n v="92.63"/>
    <n v="0"/>
    <s v="Daily Sales Import"/>
    <n v="-92.63"/>
    <n v="92.63"/>
    <x v="1"/>
    <s v="2230"/>
    <s v="000"/>
    <x v="7"/>
    <x v="1"/>
  </r>
  <r>
    <d v="2012-05-11T00:00:00"/>
    <s v="017-2100-000"/>
    <s v="Food Sales"/>
    <n v="8098.375"/>
    <n v="0"/>
    <s v="Daily Sales Import"/>
    <n v="-8098.375"/>
    <n v="8098.375"/>
    <x v="1"/>
    <s v="2100"/>
    <s v="000"/>
    <x v="7"/>
    <x v="1"/>
  </r>
  <r>
    <d v="2012-05-11T00:00:00"/>
    <s v="017-2210-000"/>
    <s v="Liquor Sales"/>
    <n v="2091.0484999999999"/>
    <n v="0"/>
    <s v="Daily Sales Import"/>
    <n v="-2091.0484999999999"/>
    <n v="2091.0484999999999"/>
    <x v="1"/>
    <s v="2210"/>
    <s v="000"/>
    <x v="7"/>
    <x v="1"/>
  </r>
  <r>
    <d v="2012-05-11T00:00:00"/>
    <s v="017-2220-000"/>
    <s v="Beer Sales"/>
    <n v="340.62"/>
    <n v="0"/>
    <s v="Daily Sales Import"/>
    <n v="-340.62"/>
    <n v="340.62"/>
    <x v="1"/>
    <s v="2220"/>
    <s v="000"/>
    <x v="7"/>
    <x v="1"/>
  </r>
  <r>
    <d v="2012-05-11T00:00:00"/>
    <s v="017-2230-000"/>
    <s v="Wine Sales"/>
    <n v="148.03700000000001"/>
    <n v="0"/>
    <s v="Daily Sales Import"/>
    <n v="-148.03700000000001"/>
    <n v="148.03700000000001"/>
    <x v="1"/>
    <s v="2230"/>
    <s v="000"/>
    <x v="7"/>
    <x v="1"/>
  </r>
  <r>
    <d v="2012-05-12T00:00:00"/>
    <s v="017-2100-000"/>
    <s v="Food Sales"/>
    <n v="9025.6264999999985"/>
    <n v="0"/>
    <s v="Daily Sales Import"/>
    <n v="-9025.6264999999985"/>
    <n v="9025.6264999999985"/>
    <x v="1"/>
    <s v="2100"/>
    <s v="000"/>
    <x v="7"/>
    <x v="1"/>
  </r>
  <r>
    <d v="2012-05-12T00:00:00"/>
    <s v="017-2210-000"/>
    <s v="Liquor Sales"/>
    <n v="2880.2649999999999"/>
    <n v="0"/>
    <s v="Daily Sales Import"/>
    <n v="-2880.2649999999999"/>
    <n v="2880.2649999999999"/>
    <x v="1"/>
    <s v="2210"/>
    <s v="000"/>
    <x v="7"/>
    <x v="1"/>
  </r>
  <r>
    <d v="2012-05-12T00:00:00"/>
    <s v="017-2220-000"/>
    <s v="Beer Sales"/>
    <n v="421.05"/>
    <n v="0"/>
    <s v="Daily Sales Import"/>
    <n v="-421.05"/>
    <n v="421.05"/>
    <x v="1"/>
    <s v="2220"/>
    <s v="000"/>
    <x v="7"/>
    <x v="1"/>
  </r>
  <r>
    <d v="2012-05-12T00:00:00"/>
    <s v="017-2230-000"/>
    <s v="Wine Sales"/>
    <n v="56.912999999999997"/>
    <n v="0"/>
    <s v="Daily Sales Import"/>
    <n v="-56.912999999999997"/>
    <n v="56.912999999999997"/>
    <x v="1"/>
    <s v="2230"/>
    <s v="000"/>
    <x v="7"/>
    <x v="1"/>
  </r>
  <r>
    <d v="2012-05-13T00:00:00"/>
    <s v="017-2100-000"/>
    <s v="Food Sales"/>
    <n v="8567.6960999999992"/>
    <n v="0"/>
    <s v="Daily Sales Import"/>
    <n v="-8567.6960999999992"/>
    <n v="8567.6960999999992"/>
    <x v="1"/>
    <s v="2100"/>
    <s v="000"/>
    <x v="7"/>
    <x v="1"/>
  </r>
  <r>
    <d v="2012-05-13T00:00:00"/>
    <s v="017-2210-000"/>
    <s v="Liquor Sales"/>
    <n v="1091.231"/>
    <n v="0"/>
    <s v="Daily Sales Import"/>
    <n v="-1091.231"/>
    <n v="1091.231"/>
    <x v="1"/>
    <s v="2210"/>
    <s v="000"/>
    <x v="7"/>
    <x v="1"/>
  </r>
  <r>
    <d v="2012-05-13T00:00:00"/>
    <s v="017-2220-000"/>
    <s v="Beer Sales"/>
    <n v="289.52499999999998"/>
    <n v="0"/>
    <s v="Daily Sales Import"/>
    <n v="-289.52499999999998"/>
    <n v="289.52499999999998"/>
    <x v="1"/>
    <s v="2220"/>
    <s v="000"/>
    <x v="7"/>
    <x v="1"/>
  </r>
  <r>
    <d v="2012-05-13T00:00:00"/>
    <s v="017-2230-000"/>
    <s v="Wine Sales"/>
    <n v="110.05800000000001"/>
    <n v="0"/>
    <s v="Daily Sales Import"/>
    <n v="-110.05800000000001"/>
    <n v="110.05800000000001"/>
    <x v="1"/>
    <s v="2230"/>
    <s v="000"/>
    <x v="7"/>
    <x v="1"/>
  </r>
  <r>
    <d v="2012-05-07T00:00:00"/>
    <s v="018-2100-000"/>
    <s v="Food Sales"/>
    <n v="2580.3354999999997"/>
    <n v="0"/>
    <s v="Daily Sales Import"/>
    <n v="-2580.3354999999997"/>
    <n v="2580.3354999999997"/>
    <x v="2"/>
    <s v="2100"/>
    <s v="000"/>
    <x v="7"/>
    <x v="1"/>
  </r>
  <r>
    <d v="2012-05-07T00:00:00"/>
    <s v="018-2210-000"/>
    <s v="Liquor Sales"/>
    <n v="556.928"/>
    <n v="0"/>
    <s v="Daily Sales Import"/>
    <n v="-556.928"/>
    <n v="556.928"/>
    <x v="2"/>
    <s v="2210"/>
    <s v="000"/>
    <x v="7"/>
    <x v="1"/>
  </r>
  <r>
    <d v="2012-05-07T00:00:00"/>
    <s v="018-2220-000"/>
    <s v="Beer Sales"/>
    <n v="76.554999999999993"/>
    <n v="0"/>
    <s v="Daily Sales Import"/>
    <n v="-76.554999999999993"/>
    <n v="76.554999999999993"/>
    <x v="2"/>
    <s v="2220"/>
    <s v="000"/>
    <x v="7"/>
    <x v="1"/>
  </r>
  <r>
    <d v="2012-05-07T00:00:00"/>
    <s v="018-2230-000"/>
    <s v="Wine Sales"/>
    <n v="32.912999999999997"/>
    <n v="0"/>
    <s v="Daily Sales Import"/>
    <n v="-32.912999999999997"/>
    <n v="32.912999999999997"/>
    <x v="2"/>
    <s v="2230"/>
    <s v="000"/>
    <x v="7"/>
    <x v="1"/>
  </r>
  <r>
    <d v="2012-05-08T00:00:00"/>
    <s v="018-2100-000"/>
    <s v="Food Sales"/>
    <n v="3319.9740000000002"/>
    <n v="0"/>
    <s v="Daily Sales Import"/>
    <n v="-3319.9740000000002"/>
    <n v="3319.9740000000002"/>
    <x v="2"/>
    <s v="2100"/>
    <s v="000"/>
    <x v="7"/>
    <x v="1"/>
  </r>
  <r>
    <d v="2012-05-08T00:00:00"/>
    <s v="018-2210-000"/>
    <s v="Liquor Sales"/>
    <n v="780.22800000000007"/>
    <n v="0"/>
    <s v="Daily Sales Import"/>
    <n v="-780.22800000000007"/>
    <n v="780.22800000000007"/>
    <x v="2"/>
    <s v="2210"/>
    <s v="000"/>
    <x v="7"/>
    <x v="1"/>
  </r>
  <r>
    <d v="2012-05-08T00:00:00"/>
    <s v="018-2220-000"/>
    <s v="Beer Sales"/>
    <n v="67.283000000000001"/>
    <n v="0"/>
    <s v="Daily Sales Import"/>
    <n v="-67.283000000000001"/>
    <n v="67.283000000000001"/>
    <x v="2"/>
    <s v="2220"/>
    <s v="000"/>
    <x v="7"/>
    <x v="1"/>
  </r>
  <r>
    <d v="2012-05-08T00:00:00"/>
    <s v="018-2230-000"/>
    <s v="Wine Sales"/>
    <n v="29.470500000000001"/>
    <n v="0"/>
    <s v="Daily Sales Import"/>
    <n v="-29.470500000000001"/>
    <n v="29.470500000000001"/>
    <x v="2"/>
    <s v="2230"/>
    <s v="000"/>
    <x v="7"/>
    <x v="1"/>
  </r>
  <r>
    <d v="2012-05-09T00:00:00"/>
    <s v="018-2100-000"/>
    <s v="Food Sales"/>
    <n v="2885.2389999999996"/>
    <n v="0"/>
    <s v="Daily Sales Import"/>
    <n v="-2885.2389999999996"/>
    <n v="2885.2389999999996"/>
    <x v="2"/>
    <s v="2100"/>
    <s v="000"/>
    <x v="7"/>
    <x v="1"/>
  </r>
  <r>
    <d v="2012-05-09T00:00:00"/>
    <s v="018-2210-000"/>
    <s v="Liquor Sales"/>
    <n v="638.15700000000004"/>
    <n v="0"/>
    <s v="Daily Sales Import"/>
    <n v="-638.15700000000004"/>
    <n v="638.15700000000004"/>
    <x v="2"/>
    <s v="2210"/>
    <s v="000"/>
    <x v="7"/>
    <x v="1"/>
  </r>
  <r>
    <d v="2012-05-09T00:00:00"/>
    <s v="018-2220-000"/>
    <s v="Beer Sales"/>
    <n v="163.21200000000002"/>
    <n v="0"/>
    <s v="Daily Sales Import"/>
    <n v="-163.21200000000002"/>
    <n v="163.21200000000002"/>
    <x v="2"/>
    <s v="2220"/>
    <s v="000"/>
    <x v="7"/>
    <x v="1"/>
  </r>
  <r>
    <d v="2012-05-09T00:00:00"/>
    <s v="018-2230-000"/>
    <s v="Wine Sales"/>
    <n v="33.336999999999996"/>
    <n v="0"/>
    <s v="Daily Sales Import"/>
    <n v="-33.336999999999996"/>
    <n v="33.336999999999996"/>
    <x v="2"/>
    <s v="2230"/>
    <s v="000"/>
    <x v="7"/>
    <x v="1"/>
  </r>
  <r>
    <d v="2012-05-10T00:00:00"/>
    <s v="018-2100-000"/>
    <s v="Food Sales"/>
    <n v="4645.8959999999997"/>
    <n v="0"/>
    <s v="Daily Sales Import"/>
    <n v="-4645.8959999999997"/>
    <n v="4645.8959999999997"/>
    <x v="2"/>
    <s v="2100"/>
    <s v="000"/>
    <x v="7"/>
    <x v="1"/>
  </r>
  <r>
    <d v="2012-05-10T00:00:00"/>
    <s v="018-2210-000"/>
    <s v="Liquor Sales"/>
    <n v="1388.4359999999999"/>
    <n v="0"/>
    <s v="Daily Sales Import"/>
    <n v="-1388.4359999999999"/>
    <n v="1388.4359999999999"/>
    <x v="2"/>
    <s v="2210"/>
    <s v="000"/>
    <x v="7"/>
    <x v="1"/>
  </r>
  <r>
    <d v="2012-05-10T00:00:00"/>
    <s v="018-2220-000"/>
    <s v="Beer Sales"/>
    <n v="441.61799999999999"/>
    <n v="0"/>
    <s v="Daily Sales Import"/>
    <n v="-441.61799999999999"/>
    <n v="441.61799999999999"/>
    <x v="2"/>
    <s v="2220"/>
    <s v="000"/>
    <x v="7"/>
    <x v="1"/>
  </r>
  <r>
    <d v="2012-05-10T00:00:00"/>
    <s v="018-2230-000"/>
    <s v="Wine Sales"/>
    <n v="39.83"/>
    <n v="0"/>
    <s v="Daily Sales Import"/>
    <n v="-39.83"/>
    <n v="39.83"/>
    <x v="2"/>
    <s v="2230"/>
    <s v="000"/>
    <x v="7"/>
    <x v="1"/>
  </r>
  <r>
    <d v="2012-05-11T00:00:00"/>
    <s v="018-2100-000"/>
    <s v="Food Sales"/>
    <n v="11812.018"/>
    <n v="0"/>
    <s v="Daily Sales Import"/>
    <n v="-11812.018"/>
    <n v="11812.018"/>
    <x v="2"/>
    <s v="2100"/>
    <s v="000"/>
    <x v="7"/>
    <x v="1"/>
  </r>
  <r>
    <d v="2012-05-11T00:00:00"/>
    <s v="018-2210-000"/>
    <s v="Liquor Sales"/>
    <n v="1811.5800000000002"/>
    <n v="0"/>
    <s v="Daily Sales Import"/>
    <n v="-1811.5800000000002"/>
    <n v="1811.5800000000002"/>
    <x v="2"/>
    <s v="2210"/>
    <s v="000"/>
    <x v="7"/>
    <x v="1"/>
  </r>
  <r>
    <d v="2012-05-11T00:00:00"/>
    <s v="018-2220-000"/>
    <s v="Beer Sales"/>
    <n v="434.72399999999999"/>
    <n v="0"/>
    <s v="Daily Sales Import"/>
    <n v="-434.72399999999999"/>
    <n v="434.72399999999999"/>
    <x v="2"/>
    <s v="2220"/>
    <s v="000"/>
    <x v="7"/>
    <x v="1"/>
  </r>
  <r>
    <d v="2012-05-11T00:00:00"/>
    <s v="018-2230-000"/>
    <s v="Wine Sales"/>
    <n v="62.329500000000003"/>
    <n v="0"/>
    <s v="Daily Sales Import"/>
    <n v="-62.329500000000003"/>
    <n v="62.329500000000003"/>
    <x v="2"/>
    <s v="2230"/>
    <s v="000"/>
    <x v="7"/>
    <x v="1"/>
  </r>
  <r>
    <d v="2012-05-12T00:00:00"/>
    <s v="018-2100-000"/>
    <s v="Food Sales"/>
    <n v="15495.269999999999"/>
    <n v="0"/>
    <s v="Daily Sales Import"/>
    <n v="-15495.269999999999"/>
    <n v="15495.269999999999"/>
    <x v="2"/>
    <s v="2100"/>
    <s v="000"/>
    <x v="7"/>
    <x v="1"/>
  </r>
  <r>
    <d v="2012-05-12T00:00:00"/>
    <s v="018-2210-000"/>
    <s v="Liquor Sales"/>
    <n v="3034.71"/>
    <n v="0"/>
    <s v="Daily Sales Import"/>
    <n v="-3034.71"/>
    <n v="3034.71"/>
    <x v="2"/>
    <s v="2210"/>
    <s v="000"/>
    <x v="7"/>
    <x v="1"/>
  </r>
  <r>
    <d v="2012-05-12T00:00:00"/>
    <s v="018-2220-000"/>
    <s v="Beer Sales"/>
    <n v="817.59149999999988"/>
    <n v="0"/>
    <s v="Daily Sales Import"/>
    <n v="-817.59149999999988"/>
    <n v="817.59149999999988"/>
    <x v="2"/>
    <s v="2220"/>
    <s v="000"/>
    <x v="7"/>
    <x v="1"/>
  </r>
  <r>
    <d v="2012-05-12T00:00:00"/>
    <s v="018-2230-000"/>
    <s v="Wine Sales"/>
    <n v="165.79400000000001"/>
    <n v="0"/>
    <s v="Daily Sales Import"/>
    <n v="-165.79400000000001"/>
    <n v="165.79400000000001"/>
    <x v="2"/>
    <s v="2230"/>
    <s v="000"/>
    <x v="7"/>
    <x v="1"/>
  </r>
  <r>
    <d v="2012-05-13T00:00:00"/>
    <s v="018-2100-000"/>
    <s v="Food Sales"/>
    <n v="18630.076000000001"/>
    <n v="0"/>
    <s v="Daily Sales Import"/>
    <n v="-18630.076000000001"/>
    <n v="18630.076000000001"/>
    <x v="2"/>
    <s v="2100"/>
    <s v="000"/>
    <x v="7"/>
    <x v="1"/>
  </r>
  <r>
    <d v="2012-05-13T00:00:00"/>
    <s v="018-2210-000"/>
    <s v="Liquor Sales"/>
    <n v="3509.0429999999997"/>
    <n v="0"/>
    <s v="Daily Sales Import"/>
    <n v="-3509.0429999999997"/>
    <n v="3509.0429999999997"/>
    <x v="2"/>
    <s v="2210"/>
    <s v="000"/>
    <x v="7"/>
    <x v="1"/>
  </r>
  <r>
    <d v="2012-05-13T00:00:00"/>
    <s v="018-2220-000"/>
    <s v="Beer Sales"/>
    <n v="925.53749999999991"/>
    <n v="0"/>
    <s v="Daily Sales Import"/>
    <n v="-925.53749999999991"/>
    <n v="925.53749999999991"/>
    <x v="2"/>
    <s v="2220"/>
    <s v="000"/>
    <x v="7"/>
    <x v="1"/>
  </r>
  <r>
    <d v="2012-05-13T00:00:00"/>
    <s v="018-2230-000"/>
    <s v="Wine Sales"/>
    <n v="237.58749999999998"/>
    <n v="0"/>
    <s v="Daily Sales Import"/>
    <n v="-237.58749999999998"/>
    <n v="237.58749999999998"/>
    <x v="2"/>
    <s v="2230"/>
    <s v="000"/>
    <x v="7"/>
    <x v="1"/>
  </r>
  <r>
    <d v="2012-05-14T00:00:00"/>
    <s v="016-2100-000"/>
    <s v="Food Sales"/>
    <n v="1576.2740000000001"/>
    <n v="0"/>
    <s v="Daily Sales Import"/>
    <n v="-1576.2740000000001"/>
    <n v="1576.2740000000001"/>
    <x v="0"/>
    <s v="2100"/>
    <s v="000"/>
    <x v="7"/>
    <x v="1"/>
  </r>
  <r>
    <d v="2012-05-14T00:00:00"/>
    <s v="016-2210-000"/>
    <s v="Liquor Sales"/>
    <n v="260.01689999999996"/>
    <n v="0"/>
    <s v="Daily Sales Import"/>
    <n v="-260.01689999999996"/>
    <n v="260.01689999999996"/>
    <x v="0"/>
    <s v="2210"/>
    <s v="000"/>
    <x v="7"/>
    <x v="1"/>
  </r>
  <r>
    <d v="2012-05-14T00:00:00"/>
    <s v="016-2220-000"/>
    <s v="Beer Sales"/>
    <n v="21.456"/>
    <n v="0"/>
    <s v="Daily Sales Import"/>
    <n v="-21.456"/>
    <n v="21.456"/>
    <x v="0"/>
    <s v="2220"/>
    <s v="000"/>
    <x v="7"/>
    <x v="1"/>
  </r>
  <r>
    <d v="2012-05-14T00:00:00"/>
    <s v="016-2230-000"/>
    <s v="Wine Sales"/>
    <n v="22.503999999999998"/>
    <n v="0"/>
    <s v="Daily Sales Import"/>
    <n v="-22.503999999999998"/>
    <n v="22.503999999999998"/>
    <x v="0"/>
    <s v="2230"/>
    <s v="000"/>
    <x v="7"/>
    <x v="1"/>
  </r>
  <r>
    <d v="2012-05-15T00:00:00"/>
    <s v="016-2100-000"/>
    <s v="Food Sales"/>
    <n v="3437.5744"/>
    <n v="0"/>
    <s v="Daily Sales Import"/>
    <n v="-3437.5744"/>
    <n v="3437.5744"/>
    <x v="0"/>
    <s v="2100"/>
    <s v="000"/>
    <x v="7"/>
    <x v="1"/>
  </r>
  <r>
    <d v="2012-05-15T00:00:00"/>
    <s v="016-2210-000"/>
    <s v="Liquor Sales"/>
    <n v="1323.8185000000001"/>
    <n v="0"/>
    <s v="Daily Sales Import"/>
    <n v="-1323.8185000000001"/>
    <n v="1323.8185000000001"/>
    <x v="0"/>
    <s v="2210"/>
    <s v="000"/>
    <x v="7"/>
    <x v="1"/>
  </r>
  <r>
    <d v="2012-05-15T00:00:00"/>
    <s v="016-2220-000"/>
    <s v="Beer Sales"/>
    <n v="327.06"/>
    <n v="0"/>
    <s v="Daily Sales Import"/>
    <n v="-327.06"/>
    <n v="327.06"/>
    <x v="0"/>
    <s v="2220"/>
    <s v="000"/>
    <x v="7"/>
    <x v="1"/>
  </r>
  <r>
    <d v="2012-05-15T00:00:00"/>
    <s v="016-2230-000"/>
    <s v="Wine Sales"/>
    <n v="115.995"/>
    <n v="0"/>
    <s v="Daily Sales Import"/>
    <n v="-115.995"/>
    <n v="115.995"/>
    <x v="0"/>
    <s v="2230"/>
    <s v="000"/>
    <x v="7"/>
    <x v="1"/>
  </r>
  <r>
    <d v="2012-05-16T00:00:00"/>
    <s v="016-2100-000"/>
    <s v="Food Sales"/>
    <n v="2499.5108"/>
    <n v="0"/>
    <s v="Daily Sales Import"/>
    <n v="-2499.5108"/>
    <n v="2499.5108"/>
    <x v="0"/>
    <s v="2100"/>
    <s v="000"/>
    <x v="7"/>
    <x v="1"/>
  </r>
  <r>
    <d v="2012-05-16T00:00:00"/>
    <s v="016-2210-000"/>
    <s v="Liquor Sales"/>
    <n v="783.59400000000005"/>
    <n v="0"/>
    <s v="Daily Sales Import"/>
    <n v="-783.59400000000005"/>
    <n v="783.59400000000005"/>
    <x v="0"/>
    <s v="2210"/>
    <s v="000"/>
    <x v="7"/>
    <x v="1"/>
  </r>
  <r>
    <d v="2012-05-16T00:00:00"/>
    <s v="016-2220-000"/>
    <s v="Beer Sales"/>
    <n v="91.327500000000001"/>
    <n v="0"/>
    <s v="Daily Sales Import"/>
    <n v="-91.327500000000001"/>
    <n v="91.327500000000001"/>
    <x v="0"/>
    <s v="2220"/>
    <s v="000"/>
    <x v="7"/>
    <x v="1"/>
  </r>
  <r>
    <d v="2012-05-16T00:00:00"/>
    <s v="016-2230-000"/>
    <s v="Wine Sales"/>
    <n v="34.448"/>
    <n v="0"/>
    <s v="Daily Sales Import"/>
    <n v="-34.448"/>
    <n v="34.448"/>
    <x v="0"/>
    <s v="2230"/>
    <s v="000"/>
    <x v="7"/>
    <x v="1"/>
  </r>
  <r>
    <d v="2012-05-17T00:00:00"/>
    <s v="016-2100-000"/>
    <s v="Food Sales"/>
    <n v="4031.7164000000002"/>
    <n v="0"/>
    <s v="Daily Sales Import"/>
    <n v="-4031.7164000000002"/>
    <n v="4031.7164000000002"/>
    <x v="0"/>
    <s v="2100"/>
    <s v="000"/>
    <x v="7"/>
    <x v="1"/>
  </r>
  <r>
    <d v="2012-05-17T00:00:00"/>
    <s v="016-2210-000"/>
    <s v="Liquor Sales"/>
    <n v="721.56900000000007"/>
    <n v="0"/>
    <s v="Daily Sales Import"/>
    <n v="-721.56900000000007"/>
    <n v="721.56900000000007"/>
    <x v="0"/>
    <s v="2210"/>
    <s v="000"/>
    <x v="7"/>
    <x v="1"/>
  </r>
  <r>
    <d v="2012-05-17T00:00:00"/>
    <s v="016-2220-000"/>
    <s v="Beer Sales"/>
    <n v="212.49350000000001"/>
    <n v="0"/>
    <s v="Daily Sales Import"/>
    <n v="-212.49350000000001"/>
    <n v="212.49350000000001"/>
    <x v="0"/>
    <s v="2220"/>
    <s v="000"/>
    <x v="7"/>
    <x v="1"/>
  </r>
  <r>
    <d v="2012-05-17T00:00:00"/>
    <s v="016-2230-000"/>
    <s v="Wine Sales"/>
    <n v="28.784000000000002"/>
    <n v="0"/>
    <s v="Daily Sales Import"/>
    <n v="-28.784000000000002"/>
    <n v="28.784000000000002"/>
    <x v="0"/>
    <s v="2230"/>
    <s v="000"/>
    <x v="7"/>
    <x v="1"/>
  </r>
  <r>
    <d v="2012-05-18T00:00:00"/>
    <s v="016-2100-000"/>
    <s v="Food Sales"/>
    <n v="9340.2574999999997"/>
    <n v="0"/>
    <s v="Daily Sales Import"/>
    <n v="-9340.2574999999997"/>
    <n v="9340.2574999999997"/>
    <x v="0"/>
    <s v="2100"/>
    <s v="000"/>
    <x v="7"/>
    <x v="1"/>
  </r>
  <r>
    <d v="2012-05-18T00:00:00"/>
    <s v="016-2210-000"/>
    <s v="Liquor Sales"/>
    <n v="1583.501"/>
    <n v="0"/>
    <s v="Daily Sales Import"/>
    <n v="-1583.501"/>
    <n v="1583.501"/>
    <x v="0"/>
    <s v="2210"/>
    <s v="000"/>
    <x v="7"/>
    <x v="1"/>
  </r>
  <r>
    <d v="2012-05-18T00:00:00"/>
    <s v="016-2220-000"/>
    <s v="Beer Sales"/>
    <n v="439.65100000000001"/>
    <n v="0"/>
    <s v="Daily Sales Import"/>
    <n v="-439.65100000000001"/>
    <n v="439.65100000000001"/>
    <x v="0"/>
    <s v="2220"/>
    <s v="000"/>
    <x v="7"/>
    <x v="1"/>
  </r>
  <r>
    <d v="2012-05-18T00:00:00"/>
    <s v="016-2230-000"/>
    <s v="Wine Sales"/>
    <n v="253.20600000000005"/>
    <n v="0"/>
    <s v="Daily Sales Import"/>
    <n v="-253.20600000000005"/>
    <n v="253.20600000000005"/>
    <x v="0"/>
    <s v="2230"/>
    <s v="000"/>
    <x v="7"/>
    <x v="1"/>
  </r>
  <r>
    <d v="2012-05-19T00:00:00"/>
    <s v="016-2100-000"/>
    <s v="Food Sales"/>
    <n v="6479.5059000000001"/>
    <n v="0"/>
    <s v="Daily Sales Import"/>
    <n v="-6479.5059000000001"/>
    <n v="6479.5059000000001"/>
    <x v="0"/>
    <s v="2100"/>
    <s v="000"/>
    <x v="7"/>
    <x v="1"/>
  </r>
  <r>
    <d v="2012-05-19T00:00:00"/>
    <s v="016-2210-000"/>
    <s v="Liquor Sales"/>
    <n v="1852.3176000000001"/>
    <n v="0"/>
    <s v="Daily Sales Import"/>
    <n v="-1852.3176000000001"/>
    <n v="1852.3176000000001"/>
    <x v="0"/>
    <s v="2210"/>
    <s v="000"/>
    <x v="7"/>
    <x v="1"/>
  </r>
  <r>
    <d v="2012-05-19T00:00:00"/>
    <s v="016-2220-000"/>
    <s v="Beer Sales"/>
    <n v="617.42399999999998"/>
    <n v="0"/>
    <s v="Daily Sales Import"/>
    <n v="-617.42399999999998"/>
    <n v="617.42399999999998"/>
    <x v="0"/>
    <s v="2220"/>
    <s v="000"/>
    <x v="7"/>
    <x v="1"/>
  </r>
  <r>
    <d v="2012-05-19T00:00:00"/>
    <s v="016-2230-000"/>
    <s v="Wine Sales"/>
    <n v="186.58799999999999"/>
    <n v="0"/>
    <s v="Daily Sales Import"/>
    <n v="-186.58799999999999"/>
    <n v="186.58799999999999"/>
    <x v="0"/>
    <s v="2230"/>
    <s v="000"/>
    <x v="7"/>
    <x v="1"/>
  </r>
  <r>
    <d v="2012-05-20T00:00:00"/>
    <s v="016-2100-000"/>
    <s v="Food Sales"/>
    <n v="4419.6779999999999"/>
    <n v="0"/>
    <s v="Daily Sales Import"/>
    <n v="-4419.6779999999999"/>
    <n v="4419.6779999999999"/>
    <x v="0"/>
    <s v="2100"/>
    <s v="000"/>
    <x v="7"/>
    <x v="1"/>
  </r>
  <r>
    <d v="2012-05-20T00:00:00"/>
    <s v="016-2210-000"/>
    <s v="Liquor Sales"/>
    <n v="1509.8951999999999"/>
    <n v="0"/>
    <s v="Daily Sales Import"/>
    <n v="-1509.8951999999999"/>
    <n v="1509.8951999999999"/>
    <x v="0"/>
    <s v="2210"/>
    <s v="000"/>
    <x v="7"/>
    <x v="1"/>
  </r>
  <r>
    <d v="2012-05-20T00:00:00"/>
    <s v="016-2220-000"/>
    <s v="Beer Sales"/>
    <n v="160.358"/>
    <n v="0"/>
    <s v="Daily Sales Import"/>
    <n v="-160.358"/>
    <n v="160.358"/>
    <x v="0"/>
    <s v="2220"/>
    <s v="000"/>
    <x v="7"/>
    <x v="1"/>
  </r>
  <r>
    <d v="2012-05-20T00:00:00"/>
    <s v="016-2230-000"/>
    <s v="Wine Sales"/>
    <n v="181.6755"/>
    <n v="0"/>
    <s v="Daily Sales Import"/>
    <n v="-181.6755"/>
    <n v="181.6755"/>
    <x v="0"/>
    <s v="2230"/>
    <s v="000"/>
    <x v="7"/>
    <x v="1"/>
  </r>
  <r>
    <d v="2012-05-14T00:00:00"/>
    <s v="017-2100-000"/>
    <s v="Food Sales"/>
    <n v="5543.4708000000001"/>
    <n v="0"/>
    <s v="Daily Sales Import"/>
    <n v="-5543.4708000000001"/>
    <n v="5543.4708000000001"/>
    <x v="1"/>
    <s v="2100"/>
    <s v="000"/>
    <x v="7"/>
    <x v="1"/>
  </r>
  <r>
    <d v="2012-05-14T00:00:00"/>
    <s v="017-2210-000"/>
    <s v="Liquor Sales"/>
    <n v="1610.3815000000002"/>
    <n v="0"/>
    <s v="Daily Sales Import"/>
    <n v="-1610.3815000000002"/>
    <n v="1610.3815000000002"/>
    <x v="1"/>
    <s v="2210"/>
    <s v="000"/>
    <x v="7"/>
    <x v="1"/>
  </r>
  <r>
    <d v="2012-05-14T00:00:00"/>
    <s v="017-2220-000"/>
    <s v="Beer Sales"/>
    <n v="500.76"/>
    <n v="0"/>
    <s v="Daily Sales Import"/>
    <n v="-500.76"/>
    <n v="500.76"/>
    <x v="1"/>
    <s v="2220"/>
    <s v="000"/>
    <x v="7"/>
    <x v="1"/>
  </r>
  <r>
    <d v="2012-05-14T00:00:00"/>
    <s v="017-2230-000"/>
    <s v="Wine Sales"/>
    <n v="66.412500000000009"/>
    <n v="0"/>
    <s v="Daily Sales Import"/>
    <n v="-66.412500000000009"/>
    <n v="66.412500000000009"/>
    <x v="1"/>
    <s v="2230"/>
    <s v="000"/>
    <x v="7"/>
    <x v="1"/>
  </r>
  <r>
    <d v="2012-05-15T00:00:00"/>
    <s v="017-2100-000"/>
    <s v="Food Sales"/>
    <n v="5552.4314999999997"/>
    <n v="0"/>
    <s v="Daily Sales Import"/>
    <n v="-5552.4314999999997"/>
    <n v="5552.4314999999997"/>
    <x v="1"/>
    <s v="2100"/>
    <s v="000"/>
    <x v="7"/>
    <x v="1"/>
  </r>
  <r>
    <d v="2012-05-15T00:00:00"/>
    <s v="017-2210-000"/>
    <s v="Liquor Sales"/>
    <n v="1531.7655"/>
    <n v="0"/>
    <s v="Daily Sales Import"/>
    <n v="-1531.7655"/>
    <n v="1531.7655"/>
    <x v="1"/>
    <s v="2210"/>
    <s v="000"/>
    <x v="7"/>
    <x v="1"/>
  </r>
  <r>
    <d v="2012-05-15T00:00:00"/>
    <s v="017-2220-000"/>
    <s v="Beer Sales"/>
    <n v="320.42499999999995"/>
    <n v="0"/>
    <s v="Daily Sales Import"/>
    <n v="-320.42499999999995"/>
    <n v="320.42499999999995"/>
    <x v="1"/>
    <s v="2220"/>
    <s v="000"/>
    <x v="7"/>
    <x v="1"/>
  </r>
  <r>
    <d v="2012-05-15T00:00:00"/>
    <s v="017-2230-000"/>
    <s v="Wine Sales"/>
    <n v="60.119"/>
    <n v="0"/>
    <s v="Daily Sales Import"/>
    <n v="-60.119"/>
    <n v="60.119"/>
    <x v="1"/>
    <s v="2230"/>
    <s v="000"/>
    <x v="7"/>
    <x v="1"/>
  </r>
  <r>
    <d v="2012-05-16T00:00:00"/>
    <s v="017-2100-000"/>
    <s v="Food Sales"/>
    <n v="6342.2983999999997"/>
    <n v="0"/>
    <s v="Daily Sales Import"/>
    <n v="-6342.2983999999997"/>
    <n v="6342.2983999999997"/>
    <x v="1"/>
    <s v="2100"/>
    <s v="000"/>
    <x v="7"/>
    <x v="1"/>
  </r>
  <r>
    <d v="2012-05-16T00:00:00"/>
    <s v="017-2210-000"/>
    <s v="Liquor Sales"/>
    <n v="2086.7175000000002"/>
    <n v="0"/>
    <s v="Daily Sales Import"/>
    <n v="-2086.7175000000002"/>
    <n v="2086.7175000000002"/>
    <x v="1"/>
    <s v="2210"/>
    <s v="000"/>
    <x v="7"/>
    <x v="1"/>
  </r>
  <r>
    <d v="2012-05-16T00:00:00"/>
    <s v="017-2220-000"/>
    <s v="Beer Sales"/>
    <n v="626.88749999999993"/>
    <n v="0"/>
    <s v="Daily Sales Import"/>
    <n v="-626.88749999999993"/>
    <n v="626.88749999999993"/>
    <x v="1"/>
    <s v="2220"/>
    <s v="000"/>
    <x v="7"/>
    <x v="1"/>
  </r>
  <r>
    <d v="2012-05-16T00:00:00"/>
    <s v="017-2230-000"/>
    <s v="Wine Sales"/>
    <n v="189.83700000000002"/>
    <n v="0"/>
    <s v="Daily Sales Import"/>
    <n v="-189.83700000000002"/>
    <n v="189.83700000000002"/>
    <x v="1"/>
    <s v="2230"/>
    <s v="000"/>
    <x v="7"/>
    <x v="1"/>
  </r>
  <r>
    <d v="2012-05-17T00:00:00"/>
    <s v="017-2100-000"/>
    <s v="Food Sales"/>
    <n v="7150.4706000000006"/>
    <n v="0"/>
    <s v="Daily Sales Import"/>
    <n v="-7150.4706000000006"/>
    <n v="7150.4706000000006"/>
    <x v="1"/>
    <s v="2100"/>
    <s v="000"/>
    <x v="7"/>
    <x v="1"/>
  </r>
  <r>
    <d v="2012-05-17T00:00:00"/>
    <s v="017-2210-000"/>
    <s v="Liquor Sales"/>
    <n v="2545.2220000000002"/>
    <n v="0"/>
    <s v="Daily Sales Import"/>
    <n v="-2545.2220000000002"/>
    <n v="2545.2220000000002"/>
    <x v="1"/>
    <s v="2210"/>
    <s v="000"/>
    <x v="7"/>
    <x v="1"/>
  </r>
  <r>
    <d v="2012-05-17T00:00:00"/>
    <s v="017-2220-000"/>
    <s v="Beer Sales"/>
    <n v="854.20500000000004"/>
    <n v="0"/>
    <s v="Daily Sales Import"/>
    <n v="-854.20500000000004"/>
    <n v="854.20500000000004"/>
    <x v="1"/>
    <s v="2220"/>
    <s v="000"/>
    <x v="7"/>
    <x v="1"/>
  </r>
  <r>
    <d v="2012-05-17T00:00:00"/>
    <s v="017-2230-000"/>
    <s v="Wine Sales"/>
    <n v="99.791999999999987"/>
    <n v="0"/>
    <s v="Daily Sales Import"/>
    <n v="-99.791999999999987"/>
    <n v="99.791999999999987"/>
    <x v="1"/>
    <s v="2230"/>
    <s v="000"/>
    <x v="7"/>
    <x v="1"/>
  </r>
  <r>
    <d v="2012-05-18T00:00:00"/>
    <s v="017-2100-000"/>
    <s v="Food Sales"/>
    <n v="10343.715200000001"/>
    <n v="0"/>
    <s v="Daily Sales Import"/>
    <n v="-10343.715200000001"/>
    <n v="10343.715200000001"/>
    <x v="1"/>
    <s v="2100"/>
    <s v="000"/>
    <x v="7"/>
    <x v="1"/>
  </r>
  <r>
    <d v="2012-05-18T00:00:00"/>
    <s v="017-2210-000"/>
    <s v="Liquor Sales"/>
    <n v="2829.7750000000001"/>
    <n v="0"/>
    <s v="Daily Sales Import"/>
    <n v="-2829.7750000000001"/>
    <n v="2829.7750000000001"/>
    <x v="1"/>
    <s v="2210"/>
    <s v="000"/>
    <x v="7"/>
    <x v="1"/>
  </r>
  <r>
    <d v="2012-05-18T00:00:00"/>
    <s v="017-2220-000"/>
    <s v="Beer Sales"/>
    <n v="615.30999999999995"/>
    <n v="0"/>
    <s v="Daily Sales Import"/>
    <n v="-615.30999999999995"/>
    <n v="615.30999999999995"/>
    <x v="1"/>
    <s v="2220"/>
    <s v="000"/>
    <x v="7"/>
    <x v="1"/>
  </r>
  <r>
    <d v="2012-05-18T00:00:00"/>
    <s v="017-2230-000"/>
    <s v="Wine Sales"/>
    <n v="114.11399999999999"/>
    <n v="0"/>
    <s v="Daily Sales Import"/>
    <n v="-114.11399999999999"/>
    <n v="114.11399999999999"/>
    <x v="1"/>
    <s v="2230"/>
    <s v="000"/>
    <x v="7"/>
    <x v="1"/>
  </r>
  <r>
    <d v="2012-05-19T00:00:00"/>
    <s v="017-2100-000"/>
    <s v="Food Sales"/>
    <n v="10722.375"/>
    <n v="0"/>
    <s v="Daily Sales Import"/>
    <n v="-10722.375"/>
    <n v="10722.375"/>
    <x v="1"/>
    <s v="2100"/>
    <s v="000"/>
    <x v="7"/>
    <x v="1"/>
  </r>
  <r>
    <d v="2012-05-19T00:00:00"/>
    <s v="017-2210-000"/>
    <s v="Liquor Sales"/>
    <n v="1531.5575000000001"/>
    <n v="0"/>
    <s v="Daily Sales Import"/>
    <n v="-1531.5575000000001"/>
    <n v="1531.5575000000001"/>
    <x v="1"/>
    <s v="2210"/>
    <s v="000"/>
    <x v="7"/>
    <x v="1"/>
  </r>
  <r>
    <d v="2012-05-19T00:00:00"/>
    <s v="017-2220-000"/>
    <s v="Beer Sales"/>
    <n v="329.27"/>
    <n v="0"/>
    <s v="Daily Sales Import"/>
    <n v="-329.27"/>
    <n v="329.27"/>
    <x v="1"/>
    <s v="2220"/>
    <s v="000"/>
    <x v="7"/>
    <x v="1"/>
  </r>
  <r>
    <d v="2012-05-19T00:00:00"/>
    <s v="017-2230-000"/>
    <s v="Wine Sales"/>
    <n v="79.981999999999999"/>
    <n v="0"/>
    <s v="Daily Sales Import"/>
    <n v="-79.981999999999999"/>
    <n v="79.981999999999999"/>
    <x v="1"/>
    <s v="2230"/>
    <s v="000"/>
    <x v="7"/>
    <x v="1"/>
  </r>
  <r>
    <d v="2012-05-20T00:00:00"/>
    <s v="017-2100-000"/>
    <s v="Food Sales"/>
    <n v="6057.6470999999992"/>
    <n v="0"/>
    <s v="Daily Sales Import"/>
    <n v="-6057.6470999999992"/>
    <n v="6057.6470999999992"/>
    <x v="1"/>
    <s v="2100"/>
    <s v="000"/>
    <x v="7"/>
    <x v="1"/>
  </r>
  <r>
    <d v="2012-05-20T00:00:00"/>
    <s v="017-2210-000"/>
    <s v="Liquor Sales"/>
    <n v="1366.442"/>
    <n v="0"/>
    <s v="Daily Sales Import"/>
    <n v="-1366.442"/>
    <n v="1366.442"/>
    <x v="1"/>
    <s v="2210"/>
    <s v="000"/>
    <x v="7"/>
    <x v="1"/>
  </r>
  <r>
    <d v="2012-05-20T00:00:00"/>
    <s v="017-2220-000"/>
    <s v="Beer Sales"/>
    <n v="245.245"/>
    <n v="0"/>
    <s v="Daily Sales Import"/>
    <n v="-245.245"/>
    <n v="245.245"/>
    <x v="1"/>
    <s v="2220"/>
    <s v="000"/>
    <x v="7"/>
    <x v="1"/>
  </r>
  <r>
    <d v="2012-05-20T00:00:00"/>
    <s v="017-2230-000"/>
    <s v="Wine Sales"/>
    <n v="53.13"/>
    <n v="0"/>
    <s v="Daily Sales Import"/>
    <n v="-53.13"/>
    <n v="53.13"/>
    <x v="1"/>
    <s v="2230"/>
    <s v="000"/>
    <x v="7"/>
    <x v="1"/>
  </r>
  <r>
    <d v="2012-05-14T00:00:00"/>
    <s v="018-2100-000"/>
    <s v="Food Sales"/>
    <n v="4993.4250000000002"/>
    <n v="0"/>
    <s v="Daily Sales Import"/>
    <n v="-4993.4250000000002"/>
    <n v="4993.4250000000002"/>
    <x v="2"/>
    <s v="2100"/>
    <s v="000"/>
    <x v="7"/>
    <x v="1"/>
  </r>
  <r>
    <d v="2012-05-14T00:00:00"/>
    <s v="018-2210-000"/>
    <s v="Liquor Sales"/>
    <n v="292.75799999999998"/>
    <n v="0"/>
    <s v="Daily Sales Import"/>
    <n v="-292.75799999999998"/>
    <n v="292.75799999999998"/>
    <x v="2"/>
    <s v="2210"/>
    <s v="000"/>
    <x v="7"/>
    <x v="1"/>
  </r>
  <r>
    <d v="2012-05-14T00:00:00"/>
    <s v="018-2220-000"/>
    <s v="Beer Sales"/>
    <n v="242.26800000000003"/>
    <n v="0"/>
    <s v="Daily Sales Import"/>
    <n v="-242.26800000000003"/>
    <n v="242.26800000000003"/>
    <x v="2"/>
    <s v="2220"/>
    <s v="000"/>
    <x v="7"/>
    <x v="1"/>
  </r>
  <r>
    <d v="2012-05-14T00:00:00"/>
    <s v="018-2230-000"/>
    <s v="Wine Sales"/>
    <n v="21.141999999999999"/>
    <n v="0"/>
    <s v="Daily Sales Import"/>
    <n v="-21.141999999999999"/>
    <n v="21.141999999999999"/>
    <x v="2"/>
    <s v="2230"/>
    <s v="000"/>
    <x v="7"/>
    <x v="1"/>
  </r>
  <r>
    <d v="2012-05-15T00:00:00"/>
    <s v="018-2100-000"/>
    <s v="Food Sales"/>
    <n v="4410.7739999999994"/>
    <n v="0"/>
    <s v="Daily Sales Import"/>
    <n v="-4410.7739999999994"/>
    <n v="4410.7739999999994"/>
    <x v="2"/>
    <s v="2100"/>
    <s v="000"/>
    <x v="7"/>
    <x v="1"/>
  </r>
  <r>
    <d v="2012-05-15T00:00:00"/>
    <s v="018-2210-000"/>
    <s v="Liquor Sales"/>
    <n v="697.40300000000013"/>
    <n v="0"/>
    <s v="Daily Sales Import"/>
    <n v="-697.40300000000013"/>
    <n v="697.40300000000013"/>
    <x v="2"/>
    <s v="2210"/>
    <s v="000"/>
    <x v="7"/>
    <x v="1"/>
  </r>
  <r>
    <d v="2012-05-15T00:00:00"/>
    <s v="018-2220-000"/>
    <s v="Beer Sales"/>
    <n v="145.52549999999999"/>
    <n v="0"/>
    <s v="Daily Sales Import"/>
    <n v="-145.52549999999999"/>
    <n v="145.52549999999999"/>
    <x v="2"/>
    <s v="2220"/>
    <s v="000"/>
    <x v="7"/>
    <x v="1"/>
  </r>
  <r>
    <d v="2012-05-15T00:00:00"/>
    <s v="018-2230-000"/>
    <s v="Wine Sales"/>
    <n v="49.802500000000002"/>
    <n v="0"/>
    <s v="Daily Sales Import"/>
    <n v="-49.802500000000002"/>
    <n v="49.802500000000002"/>
    <x v="2"/>
    <s v="2230"/>
    <s v="000"/>
    <x v="7"/>
    <x v="1"/>
  </r>
  <r>
    <d v="2012-05-16T00:00:00"/>
    <s v="018-2100-000"/>
    <s v="Food Sales"/>
    <n v="4388.4592000000002"/>
    <n v="0"/>
    <s v="Daily Sales Import"/>
    <n v="-4388.4592000000002"/>
    <n v="4388.4592000000002"/>
    <x v="2"/>
    <s v="2100"/>
    <s v="000"/>
    <x v="7"/>
    <x v="1"/>
  </r>
  <r>
    <d v="2012-05-16T00:00:00"/>
    <s v="018-2210-000"/>
    <s v="Liquor Sales"/>
    <n v="899.26049999999998"/>
    <n v="0"/>
    <s v="Daily Sales Import"/>
    <n v="-899.26049999999998"/>
    <n v="899.26049999999998"/>
    <x v="2"/>
    <s v="2210"/>
    <s v="000"/>
    <x v="7"/>
    <x v="1"/>
  </r>
  <r>
    <d v="2012-05-16T00:00:00"/>
    <s v="018-2220-000"/>
    <s v="Beer Sales"/>
    <n v="268.07599999999996"/>
    <n v="0"/>
    <s v="Daily Sales Import"/>
    <n v="-268.07599999999996"/>
    <n v="268.07599999999996"/>
    <x v="2"/>
    <s v="2220"/>
    <s v="000"/>
    <x v="7"/>
    <x v="1"/>
  </r>
  <r>
    <d v="2012-05-16T00:00:00"/>
    <s v="018-2230-000"/>
    <s v="Wine Sales"/>
    <n v="8.7779999999999987"/>
    <n v="0"/>
    <s v="Daily Sales Import"/>
    <n v="-8.7779999999999987"/>
    <n v="8.7779999999999987"/>
    <x v="2"/>
    <s v="2230"/>
    <s v="000"/>
    <x v="7"/>
    <x v="1"/>
  </r>
  <r>
    <d v="2012-05-17T00:00:00"/>
    <s v="018-2100-000"/>
    <s v="Food Sales"/>
    <n v="5130.7709999999997"/>
    <n v="0"/>
    <s v="Daily Sales Import"/>
    <n v="-5130.7709999999997"/>
    <n v="5130.7709999999997"/>
    <x v="2"/>
    <s v="2100"/>
    <s v="000"/>
    <x v="7"/>
    <x v="1"/>
  </r>
  <r>
    <d v="2012-05-17T00:00:00"/>
    <s v="018-2210-000"/>
    <s v="Liquor Sales"/>
    <n v="893.34"/>
    <n v="0"/>
    <s v="Daily Sales Import"/>
    <n v="-893.34"/>
    <n v="893.34"/>
    <x v="2"/>
    <s v="2210"/>
    <s v="000"/>
    <x v="7"/>
    <x v="1"/>
  </r>
  <r>
    <d v="2012-05-17T00:00:00"/>
    <s v="018-2220-000"/>
    <s v="Beer Sales"/>
    <n v="293.92999999999995"/>
    <n v="0"/>
    <s v="Daily Sales Import"/>
    <n v="-293.92999999999995"/>
    <n v="293.92999999999995"/>
    <x v="2"/>
    <s v="2220"/>
    <s v="000"/>
    <x v="7"/>
    <x v="1"/>
  </r>
  <r>
    <d v="2012-05-17T00:00:00"/>
    <s v="018-2230-000"/>
    <s v="Wine Sales"/>
    <n v="77.263999999999996"/>
    <n v="0"/>
    <s v="Daily Sales Import"/>
    <n v="-77.263999999999996"/>
    <n v="77.263999999999996"/>
    <x v="2"/>
    <s v="2230"/>
    <s v="000"/>
    <x v="7"/>
    <x v="1"/>
  </r>
  <r>
    <d v="2012-05-18T00:00:00"/>
    <s v="018-2100-000"/>
    <s v="Food Sales"/>
    <n v="14000.9056"/>
    <n v="0"/>
    <s v="Daily Sales Import"/>
    <n v="-14000.9056"/>
    <n v="14000.9056"/>
    <x v="2"/>
    <s v="2100"/>
    <s v="000"/>
    <x v="7"/>
    <x v="1"/>
  </r>
  <r>
    <d v="2012-05-18T00:00:00"/>
    <s v="018-2210-000"/>
    <s v="Liquor Sales"/>
    <n v="2161.8389999999995"/>
    <n v="0"/>
    <s v="Daily Sales Import"/>
    <n v="-2161.8389999999995"/>
    <n v="2161.8389999999995"/>
    <x v="2"/>
    <s v="2210"/>
    <s v="000"/>
    <x v="7"/>
    <x v="1"/>
  </r>
  <r>
    <d v="2012-05-18T00:00:00"/>
    <s v="018-2220-000"/>
    <s v="Beer Sales"/>
    <n v="747.48750000000007"/>
    <n v="0"/>
    <s v="Daily Sales Import"/>
    <n v="-747.48750000000007"/>
    <n v="747.48750000000007"/>
    <x v="2"/>
    <s v="2220"/>
    <s v="000"/>
    <x v="7"/>
    <x v="1"/>
  </r>
  <r>
    <d v="2012-05-18T00:00:00"/>
    <s v="018-2230-000"/>
    <s v="Wine Sales"/>
    <n v="79.915499999999994"/>
    <n v="0"/>
    <s v="Daily Sales Import"/>
    <n v="-79.915499999999994"/>
    <n v="79.915499999999994"/>
    <x v="2"/>
    <s v="2230"/>
    <s v="000"/>
    <x v="7"/>
    <x v="1"/>
  </r>
  <r>
    <d v="2012-05-19T00:00:00"/>
    <s v="018-2100-000"/>
    <s v="Food Sales"/>
    <n v="14182.411500000002"/>
    <n v="0"/>
    <s v="Daily Sales Import"/>
    <n v="-14182.411500000002"/>
    <n v="14182.411500000002"/>
    <x v="2"/>
    <s v="2100"/>
    <s v="000"/>
    <x v="7"/>
    <x v="1"/>
  </r>
  <r>
    <d v="2012-05-19T00:00:00"/>
    <s v="018-2210-000"/>
    <s v="Liquor Sales"/>
    <n v="3102.9300000000003"/>
    <n v="0"/>
    <s v="Daily Sales Import"/>
    <n v="-3102.9300000000003"/>
    <n v="3102.9300000000003"/>
    <x v="2"/>
    <s v="2210"/>
    <s v="000"/>
    <x v="7"/>
    <x v="1"/>
  </r>
  <r>
    <d v="2012-05-19T00:00:00"/>
    <s v="018-2220-000"/>
    <s v="Beer Sales"/>
    <n v="472.23000000000008"/>
    <n v="0"/>
    <s v="Daily Sales Import"/>
    <n v="-472.23000000000008"/>
    <n v="472.23000000000008"/>
    <x v="2"/>
    <s v="2220"/>
    <s v="000"/>
    <x v="7"/>
    <x v="1"/>
  </r>
  <r>
    <d v="2012-05-19T00:00:00"/>
    <s v="018-2230-000"/>
    <s v="Wine Sales"/>
    <n v="91.868000000000009"/>
    <n v="0"/>
    <s v="Daily Sales Import"/>
    <n v="-91.868000000000009"/>
    <n v="91.868000000000009"/>
    <x v="2"/>
    <s v="2230"/>
    <s v="000"/>
    <x v="7"/>
    <x v="1"/>
  </r>
  <r>
    <d v="2012-05-20T00:00:00"/>
    <s v="018-2100-000"/>
    <s v="Food Sales"/>
    <n v="12089.404"/>
    <n v="0"/>
    <s v="Daily Sales Import"/>
    <n v="-12089.404"/>
    <n v="12089.404"/>
    <x v="2"/>
    <s v="2100"/>
    <s v="000"/>
    <x v="7"/>
    <x v="1"/>
  </r>
  <r>
    <d v="2012-05-20T00:00:00"/>
    <s v="018-2210-000"/>
    <s v="Liquor Sales"/>
    <n v="1376.076"/>
    <n v="0"/>
    <s v="Daily Sales Import"/>
    <n v="-1376.076"/>
    <n v="1376.076"/>
    <x v="2"/>
    <s v="2210"/>
    <s v="000"/>
    <x v="7"/>
    <x v="1"/>
  </r>
  <r>
    <d v="2012-05-20T00:00:00"/>
    <s v="018-2220-000"/>
    <s v="Beer Sales"/>
    <n v="388.31400000000002"/>
    <n v="0"/>
    <s v="Daily Sales Import"/>
    <n v="-388.31400000000002"/>
    <n v="388.31400000000002"/>
    <x v="2"/>
    <s v="2220"/>
    <s v="000"/>
    <x v="7"/>
    <x v="1"/>
  </r>
  <r>
    <d v="2012-05-20T00:00:00"/>
    <s v="018-2230-000"/>
    <s v="Wine Sales"/>
    <n v="66.924000000000007"/>
    <n v="0"/>
    <s v="Daily Sales Import"/>
    <n v="-66.924000000000007"/>
    <n v="66.924000000000007"/>
    <x v="2"/>
    <s v="2230"/>
    <s v="000"/>
    <x v="7"/>
    <x v="1"/>
  </r>
  <r>
    <d v="2012-05-21T00:00:00"/>
    <s v="016-2100-000"/>
    <s v="Food Sales"/>
    <n v="1548.1958000000002"/>
    <n v="0"/>
    <s v="Daily Sales Import"/>
    <n v="-1548.1958000000002"/>
    <n v="1548.1958000000002"/>
    <x v="0"/>
    <s v="2100"/>
    <s v="000"/>
    <x v="7"/>
    <x v="1"/>
  </r>
  <r>
    <d v="2012-05-21T00:00:00"/>
    <s v="016-2210-000"/>
    <s v="Liquor Sales"/>
    <n v="651.16800000000001"/>
    <n v="0"/>
    <s v="Daily Sales Import"/>
    <n v="-651.16800000000001"/>
    <n v="651.16800000000001"/>
    <x v="0"/>
    <s v="2210"/>
    <s v="000"/>
    <x v="7"/>
    <x v="1"/>
  </r>
  <r>
    <d v="2012-05-21T00:00:00"/>
    <s v="016-2220-000"/>
    <s v="Beer Sales"/>
    <n v="119.28750000000001"/>
    <n v="0"/>
    <s v="Daily Sales Import"/>
    <n v="-119.28750000000001"/>
    <n v="119.28750000000001"/>
    <x v="0"/>
    <s v="2220"/>
    <s v="000"/>
    <x v="7"/>
    <x v="1"/>
  </r>
  <r>
    <d v="2012-05-21T00:00:00"/>
    <s v="016-2230-000"/>
    <s v="Wine Sales"/>
    <n v="85.618000000000009"/>
    <n v="0"/>
    <s v="Daily Sales Import"/>
    <n v="-85.618000000000009"/>
    <n v="85.618000000000009"/>
    <x v="0"/>
    <s v="2230"/>
    <s v="000"/>
    <x v="7"/>
    <x v="1"/>
  </r>
  <r>
    <d v="2012-05-22T00:00:00"/>
    <s v="016-2100-000"/>
    <s v="Food Sales"/>
    <n v="3246.8669"/>
    <n v="0"/>
    <s v="Daily Sales Import"/>
    <n v="-3246.8669"/>
    <n v="3246.8669"/>
    <x v="0"/>
    <s v="2100"/>
    <s v="000"/>
    <x v="7"/>
    <x v="1"/>
  </r>
  <r>
    <d v="2012-05-22T00:00:00"/>
    <s v="016-2210-000"/>
    <s v="Liquor Sales"/>
    <n v="1145.7207000000001"/>
    <n v="0"/>
    <s v="Daily Sales Import"/>
    <n v="-1145.7207000000001"/>
    <n v="1145.7207000000001"/>
    <x v="0"/>
    <s v="2210"/>
    <s v="000"/>
    <x v="7"/>
    <x v="1"/>
  </r>
  <r>
    <d v="2012-05-22T00:00:00"/>
    <s v="016-2220-000"/>
    <s v="Beer Sales"/>
    <n v="316.92949999999996"/>
    <n v="0"/>
    <s v="Daily Sales Import"/>
    <n v="-316.92949999999996"/>
    <n v="316.92949999999996"/>
    <x v="0"/>
    <s v="2220"/>
    <s v="000"/>
    <x v="7"/>
    <x v="1"/>
  </r>
  <r>
    <d v="2012-05-22T00:00:00"/>
    <s v="016-2230-000"/>
    <s v="Wine Sales"/>
    <n v="113.98799999999999"/>
    <n v="0"/>
    <s v="Daily Sales Import"/>
    <n v="-113.98799999999999"/>
    <n v="113.98799999999999"/>
    <x v="0"/>
    <s v="2230"/>
    <s v="000"/>
    <x v="7"/>
    <x v="1"/>
  </r>
  <r>
    <d v="2012-05-23T00:00:00"/>
    <s v="016-2100-000"/>
    <s v="Food Sales"/>
    <n v="1890.5699999999997"/>
    <n v="0"/>
    <s v="Daily Sales Import"/>
    <n v="-1890.5699999999997"/>
    <n v="1890.5699999999997"/>
    <x v="0"/>
    <s v="2100"/>
    <s v="000"/>
    <x v="7"/>
    <x v="1"/>
  </r>
  <r>
    <d v="2012-05-23T00:00:00"/>
    <s v="016-2210-000"/>
    <s v="Liquor Sales"/>
    <n v="443.70299999999997"/>
    <n v="0"/>
    <s v="Daily Sales Import"/>
    <n v="-443.70299999999997"/>
    <n v="443.70299999999997"/>
    <x v="0"/>
    <s v="2210"/>
    <s v="000"/>
    <x v="7"/>
    <x v="1"/>
  </r>
  <r>
    <d v="2012-05-23T00:00:00"/>
    <s v="016-2220-000"/>
    <s v="Beer Sales"/>
    <n v="188.44200000000001"/>
    <n v="0"/>
    <s v="Daily Sales Import"/>
    <n v="-188.44200000000001"/>
    <n v="188.44200000000001"/>
    <x v="0"/>
    <s v="2220"/>
    <s v="000"/>
    <x v="7"/>
    <x v="1"/>
  </r>
  <r>
    <d v="2012-05-23T00:00:00"/>
    <s v="016-2230-000"/>
    <s v="Wine Sales"/>
    <n v="94.481999999999999"/>
    <n v="0"/>
    <s v="Daily Sales Import"/>
    <n v="-94.481999999999999"/>
    <n v="94.481999999999999"/>
    <x v="0"/>
    <s v="2230"/>
    <s v="000"/>
    <x v="7"/>
    <x v="1"/>
  </r>
  <r>
    <d v="2012-05-24T00:00:00"/>
    <s v="016-2100-000"/>
    <s v="Food Sales"/>
    <n v="3925.1523999999999"/>
    <n v="0"/>
    <s v="Daily Sales Import"/>
    <n v="-3925.1523999999999"/>
    <n v="3925.1523999999999"/>
    <x v="0"/>
    <s v="2100"/>
    <s v="000"/>
    <x v="7"/>
    <x v="1"/>
  </r>
  <r>
    <d v="2012-05-24T00:00:00"/>
    <s v="016-2210-000"/>
    <s v="Liquor Sales"/>
    <n v="1032.548"/>
    <n v="0"/>
    <s v="Daily Sales Import"/>
    <n v="-1032.548"/>
    <n v="1032.548"/>
    <x v="0"/>
    <s v="2210"/>
    <s v="000"/>
    <x v="7"/>
    <x v="1"/>
  </r>
  <r>
    <d v="2012-05-24T00:00:00"/>
    <s v="016-2220-000"/>
    <s v="Beer Sales"/>
    <n v="282.42399999999998"/>
    <n v="0"/>
    <s v="Daily Sales Import"/>
    <n v="-282.42399999999998"/>
    <n v="282.42399999999998"/>
    <x v="0"/>
    <s v="2220"/>
    <s v="000"/>
    <x v="7"/>
    <x v="1"/>
  </r>
  <r>
    <d v="2012-05-24T00:00:00"/>
    <s v="016-2230-000"/>
    <s v="Wine Sales"/>
    <n v="143.685"/>
    <n v="0"/>
    <s v="Daily Sales Import"/>
    <n v="-143.685"/>
    <n v="143.685"/>
    <x v="0"/>
    <s v="2230"/>
    <s v="000"/>
    <x v="7"/>
    <x v="1"/>
  </r>
  <r>
    <d v="2012-05-25T00:00:00"/>
    <s v="016-2100-000"/>
    <s v="Food Sales"/>
    <n v="5968.6859999999997"/>
    <n v="0"/>
    <s v="Daily Sales Import"/>
    <n v="-5968.6859999999997"/>
    <n v="5968.6859999999997"/>
    <x v="0"/>
    <s v="2100"/>
    <s v="000"/>
    <x v="7"/>
    <x v="1"/>
  </r>
  <r>
    <d v="2012-05-25T00:00:00"/>
    <s v="016-2210-000"/>
    <s v="Liquor Sales"/>
    <n v="1891.2995000000003"/>
    <n v="0"/>
    <s v="Daily Sales Import"/>
    <n v="-1891.2995000000003"/>
    <n v="1891.2995000000003"/>
    <x v="0"/>
    <s v="2210"/>
    <s v="000"/>
    <x v="7"/>
    <x v="1"/>
  </r>
  <r>
    <d v="2012-05-25T00:00:00"/>
    <s v="016-2220-000"/>
    <s v="Beer Sales"/>
    <n v="474.12400000000002"/>
    <n v="0"/>
    <s v="Daily Sales Import"/>
    <n v="-474.12400000000002"/>
    <n v="474.12400000000002"/>
    <x v="0"/>
    <s v="2220"/>
    <s v="000"/>
    <x v="7"/>
    <x v="1"/>
  </r>
  <r>
    <d v="2012-05-25T00:00:00"/>
    <s v="016-2230-000"/>
    <s v="Wine Sales"/>
    <n v="122.93100000000001"/>
    <n v="0"/>
    <s v="Daily Sales Import"/>
    <n v="-122.93100000000001"/>
    <n v="122.93100000000001"/>
    <x v="0"/>
    <s v="2230"/>
    <s v="000"/>
    <x v="7"/>
    <x v="1"/>
  </r>
  <r>
    <d v="2012-05-26T00:00:00"/>
    <s v="016-2100-000"/>
    <s v="Food Sales"/>
    <n v="6325.5940000000001"/>
    <n v="0"/>
    <s v="Daily Sales Import"/>
    <n v="-6325.5940000000001"/>
    <n v="6325.5940000000001"/>
    <x v="0"/>
    <s v="2100"/>
    <s v="000"/>
    <x v="7"/>
    <x v="1"/>
  </r>
  <r>
    <d v="2012-05-26T00:00:00"/>
    <s v="016-2210-000"/>
    <s v="Liquor Sales"/>
    <n v="2732.3865000000005"/>
    <n v="0"/>
    <s v="Daily Sales Import"/>
    <n v="-2732.3865000000005"/>
    <n v="2732.3865000000005"/>
    <x v="0"/>
    <s v="2210"/>
    <s v="000"/>
    <x v="7"/>
    <x v="1"/>
  </r>
  <r>
    <d v="2012-05-26T00:00:00"/>
    <s v="016-2220-000"/>
    <s v="Beer Sales"/>
    <n v="298.67099999999999"/>
    <n v="0"/>
    <s v="Daily Sales Import"/>
    <n v="-298.67099999999999"/>
    <n v="298.67099999999999"/>
    <x v="0"/>
    <s v="2220"/>
    <s v="000"/>
    <x v="7"/>
    <x v="1"/>
  </r>
  <r>
    <d v="2012-05-26T00:00:00"/>
    <s v="016-2230-000"/>
    <s v="Wine Sales"/>
    <n v="191.8545"/>
    <n v="0"/>
    <s v="Daily Sales Import"/>
    <n v="-191.8545"/>
    <n v="191.8545"/>
    <x v="0"/>
    <s v="2230"/>
    <s v="000"/>
    <x v="7"/>
    <x v="1"/>
  </r>
  <r>
    <d v="2012-05-27T00:00:00"/>
    <s v="016-2100-000"/>
    <s v="Food Sales"/>
    <n v="8295.3639999999996"/>
    <n v="0"/>
    <s v="Daily Sales Import"/>
    <n v="-8295.3639999999996"/>
    <n v="8295.3639999999996"/>
    <x v="0"/>
    <s v="2100"/>
    <s v="000"/>
    <x v="7"/>
    <x v="1"/>
  </r>
  <r>
    <d v="2012-05-27T00:00:00"/>
    <s v="016-2210-000"/>
    <s v="Liquor Sales"/>
    <n v="2132.5576000000001"/>
    <n v="0"/>
    <s v="Daily Sales Import"/>
    <n v="-2132.5576000000001"/>
    <n v="2132.5576000000001"/>
    <x v="0"/>
    <s v="2210"/>
    <s v="000"/>
    <x v="7"/>
    <x v="1"/>
  </r>
  <r>
    <d v="2012-05-27T00:00:00"/>
    <s v="016-2220-000"/>
    <s v="Beer Sales"/>
    <n v="426.834"/>
    <n v="0"/>
    <s v="Daily Sales Import"/>
    <n v="-426.834"/>
    <n v="426.834"/>
    <x v="0"/>
    <s v="2220"/>
    <s v="000"/>
    <x v="7"/>
    <x v="1"/>
  </r>
  <r>
    <d v="2012-05-27T00:00:00"/>
    <s v="016-2230-000"/>
    <s v="Wine Sales"/>
    <n v="139.98600000000002"/>
    <n v="0"/>
    <s v="Daily Sales Import"/>
    <n v="-139.98600000000002"/>
    <n v="139.98600000000002"/>
    <x v="0"/>
    <s v="2230"/>
    <s v="000"/>
    <x v="7"/>
    <x v="1"/>
  </r>
  <r>
    <d v="2012-05-21T00:00:00"/>
    <s v="017-2100-000"/>
    <s v="Food Sales"/>
    <n v="4609.201"/>
    <n v="0"/>
    <s v="Daily Sales Import"/>
    <n v="-4609.201"/>
    <n v="4609.201"/>
    <x v="1"/>
    <s v="2100"/>
    <s v="000"/>
    <x v="7"/>
    <x v="1"/>
  </r>
  <r>
    <d v="2012-05-21T00:00:00"/>
    <s v="017-2210-000"/>
    <s v="Liquor Sales"/>
    <n v="1148.6299999999999"/>
    <n v="0"/>
    <s v="Daily Sales Import"/>
    <n v="-1148.6299999999999"/>
    <n v="1148.6299999999999"/>
    <x v="1"/>
    <s v="2210"/>
    <s v="000"/>
    <x v="7"/>
    <x v="1"/>
  </r>
  <r>
    <d v="2012-05-21T00:00:00"/>
    <s v="017-2220-000"/>
    <s v="Beer Sales"/>
    <n v="497.7"/>
    <n v="0"/>
    <s v="Daily Sales Import"/>
    <n v="-497.7"/>
    <n v="497.7"/>
    <x v="1"/>
    <s v="2220"/>
    <s v="000"/>
    <x v="7"/>
    <x v="1"/>
  </r>
  <r>
    <d v="2012-05-21T00:00:00"/>
    <s v="017-2230-000"/>
    <s v="Wine Sales"/>
    <n v="91.165500000000009"/>
    <n v="0"/>
    <s v="Daily Sales Import"/>
    <n v="-91.165500000000009"/>
    <n v="91.165500000000009"/>
    <x v="1"/>
    <s v="2230"/>
    <s v="000"/>
    <x v="7"/>
    <x v="1"/>
  </r>
  <r>
    <d v="2012-05-22T00:00:00"/>
    <s v="017-2100-000"/>
    <s v="Food Sales"/>
    <n v="7853.9663999999993"/>
    <n v="0"/>
    <s v="Daily Sales Import"/>
    <n v="-7853.9663999999993"/>
    <n v="7853.9663999999993"/>
    <x v="1"/>
    <s v="2100"/>
    <s v="000"/>
    <x v="7"/>
    <x v="1"/>
  </r>
  <r>
    <d v="2012-05-22T00:00:00"/>
    <s v="017-2210-000"/>
    <s v="Liquor Sales"/>
    <n v="2625.9995000000004"/>
    <n v="0"/>
    <s v="Daily Sales Import"/>
    <n v="-2625.9995000000004"/>
    <n v="2625.9995000000004"/>
    <x v="1"/>
    <s v="2210"/>
    <s v="000"/>
    <x v="7"/>
    <x v="1"/>
  </r>
  <r>
    <d v="2012-05-22T00:00:00"/>
    <s v="017-2220-000"/>
    <s v="Beer Sales"/>
    <n v="571.95000000000005"/>
    <n v="0"/>
    <s v="Daily Sales Import"/>
    <n v="-571.95000000000005"/>
    <n v="571.95000000000005"/>
    <x v="1"/>
    <s v="2220"/>
    <s v="000"/>
    <x v="7"/>
    <x v="1"/>
  </r>
  <r>
    <d v="2012-05-22T00:00:00"/>
    <s v="017-2230-000"/>
    <s v="Wine Sales"/>
    <n v="154.24499999999998"/>
    <n v="0"/>
    <s v="Daily Sales Import"/>
    <n v="-154.24499999999998"/>
    <n v="154.24499999999998"/>
    <x v="1"/>
    <s v="2230"/>
    <s v="000"/>
    <x v="7"/>
    <x v="1"/>
  </r>
  <r>
    <d v="2012-05-23T00:00:00"/>
    <s v="017-2100-000"/>
    <s v="Food Sales"/>
    <n v="4178.4985000000006"/>
    <n v="0"/>
    <s v="Daily Sales Import"/>
    <n v="-4178.4985000000006"/>
    <n v="4178.4985000000006"/>
    <x v="1"/>
    <s v="2100"/>
    <s v="000"/>
    <x v="7"/>
    <x v="1"/>
  </r>
  <r>
    <d v="2012-05-23T00:00:00"/>
    <s v="017-2210-000"/>
    <s v="Liquor Sales"/>
    <n v="1485.9375"/>
    <n v="0"/>
    <s v="Daily Sales Import"/>
    <n v="-1485.9375"/>
    <n v="1485.9375"/>
    <x v="1"/>
    <s v="2210"/>
    <s v="000"/>
    <x v="7"/>
    <x v="1"/>
  </r>
  <r>
    <d v="2012-05-23T00:00:00"/>
    <s v="017-2220-000"/>
    <s v="Beer Sales"/>
    <n v="501.97500000000002"/>
    <n v="0"/>
    <s v="Daily Sales Import"/>
    <n v="-501.97500000000002"/>
    <n v="501.97500000000002"/>
    <x v="1"/>
    <s v="2220"/>
    <s v="000"/>
    <x v="7"/>
    <x v="1"/>
  </r>
  <r>
    <d v="2012-05-23T00:00:00"/>
    <s v="017-2230-000"/>
    <s v="Wine Sales"/>
    <n v="76.2"/>
    <n v="0"/>
    <s v="Daily Sales Import"/>
    <n v="-76.2"/>
    <n v="76.2"/>
    <x v="1"/>
    <s v="2230"/>
    <s v="000"/>
    <x v="7"/>
    <x v="1"/>
  </r>
  <r>
    <d v="2012-05-24T00:00:00"/>
    <s v="017-2100-000"/>
    <s v="Food Sales"/>
    <n v="7434.7484999999997"/>
    <n v="0"/>
    <s v="Daily Sales Import"/>
    <n v="-7434.7484999999997"/>
    <n v="7434.7484999999997"/>
    <x v="1"/>
    <s v="2100"/>
    <s v="000"/>
    <x v="7"/>
    <x v="1"/>
  </r>
  <r>
    <d v="2012-05-24T00:00:00"/>
    <s v="017-2210-000"/>
    <s v="Liquor Sales"/>
    <n v="2499.0309999999999"/>
    <n v="0"/>
    <s v="Daily Sales Import"/>
    <n v="-2499.0309999999999"/>
    <n v="2499.0309999999999"/>
    <x v="1"/>
    <s v="2210"/>
    <s v="000"/>
    <x v="7"/>
    <x v="1"/>
  </r>
  <r>
    <d v="2012-05-24T00:00:00"/>
    <s v="017-2220-000"/>
    <s v="Beer Sales"/>
    <n v="336.46250000000003"/>
    <n v="0"/>
    <s v="Daily Sales Import"/>
    <n v="-336.46250000000003"/>
    <n v="336.46250000000003"/>
    <x v="1"/>
    <s v="2220"/>
    <s v="000"/>
    <x v="7"/>
    <x v="1"/>
  </r>
  <r>
    <d v="2012-05-24T00:00:00"/>
    <s v="017-2230-000"/>
    <s v="Wine Sales"/>
    <n v="60.8536"/>
    <n v="0"/>
    <s v="Daily Sales Import"/>
    <n v="-60.8536"/>
    <n v="60.8536"/>
    <x v="1"/>
    <s v="2230"/>
    <s v="000"/>
    <x v="7"/>
    <x v="1"/>
  </r>
  <r>
    <d v="2012-05-25T00:00:00"/>
    <s v="017-2100-000"/>
    <s v="Food Sales"/>
    <n v="7461.6465000000007"/>
    <n v="0"/>
    <s v="Daily Sales Import"/>
    <n v="-7461.6465000000007"/>
    <n v="7461.6465000000007"/>
    <x v="1"/>
    <s v="2100"/>
    <s v="000"/>
    <x v="7"/>
    <x v="1"/>
  </r>
  <r>
    <d v="2012-05-25T00:00:00"/>
    <s v="017-2210-000"/>
    <s v="Liquor Sales"/>
    <n v="2307.3920000000003"/>
    <n v="0"/>
    <s v="Daily Sales Import"/>
    <n v="-2307.3920000000003"/>
    <n v="2307.3920000000003"/>
    <x v="1"/>
    <s v="2210"/>
    <s v="000"/>
    <x v="7"/>
    <x v="1"/>
  </r>
  <r>
    <d v="2012-05-25T00:00:00"/>
    <s v="017-2220-000"/>
    <s v="Beer Sales"/>
    <n v="482.25"/>
    <n v="0"/>
    <s v="Daily Sales Import"/>
    <n v="-482.25"/>
    <n v="482.25"/>
    <x v="1"/>
    <s v="2220"/>
    <s v="000"/>
    <x v="7"/>
    <x v="1"/>
  </r>
  <r>
    <d v="2012-05-25T00:00:00"/>
    <s v="017-2230-000"/>
    <s v="Wine Sales"/>
    <n v="74.715499999999992"/>
    <n v="0"/>
    <s v="Daily Sales Import"/>
    <n v="-74.715499999999992"/>
    <n v="74.715499999999992"/>
    <x v="1"/>
    <s v="2230"/>
    <s v="000"/>
    <x v="7"/>
    <x v="1"/>
  </r>
  <r>
    <d v="2012-05-26T00:00:00"/>
    <s v="017-2100-000"/>
    <s v="Food Sales"/>
    <n v="6616.1540999999997"/>
    <n v="0"/>
    <s v="Daily Sales Import"/>
    <n v="-6616.1540999999997"/>
    <n v="6616.1540999999997"/>
    <x v="1"/>
    <s v="2100"/>
    <s v="000"/>
    <x v="7"/>
    <x v="1"/>
  </r>
  <r>
    <d v="2012-05-26T00:00:00"/>
    <s v="017-2210-000"/>
    <s v="Liquor Sales"/>
    <n v="1466.7940000000003"/>
    <n v="0"/>
    <s v="Daily Sales Import"/>
    <n v="-1466.7940000000003"/>
    <n v="1466.7940000000003"/>
    <x v="1"/>
    <s v="2210"/>
    <s v="000"/>
    <x v="7"/>
    <x v="1"/>
  </r>
  <r>
    <d v="2012-05-26T00:00:00"/>
    <s v="017-2220-000"/>
    <s v="Beer Sales"/>
    <n v="308.91500000000002"/>
    <n v="0"/>
    <s v="Daily Sales Import"/>
    <n v="-308.91500000000002"/>
    <n v="308.91500000000002"/>
    <x v="1"/>
    <s v="2220"/>
    <s v="000"/>
    <x v="7"/>
    <x v="1"/>
  </r>
  <r>
    <d v="2012-05-26T00:00:00"/>
    <s v="017-2230-000"/>
    <s v="Wine Sales"/>
    <n v="21.868000000000002"/>
    <n v="0"/>
    <s v="Daily Sales Import"/>
    <n v="-21.868000000000002"/>
    <n v="21.868000000000002"/>
    <x v="1"/>
    <s v="2230"/>
    <s v="000"/>
    <x v="7"/>
    <x v="1"/>
  </r>
  <r>
    <d v="2012-05-27T00:00:00"/>
    <s v="017-2100-000"/>
    <s v="Food Sales"/>
    <n v="4947.8130000000001"/>
    <n v="0"/>
    <s v="Daily Sales Import"/>
    <n v="-4947.8130000000001"/>
    <n v="4947.8130000000001"/>
    <x v="1"/>
    <s v="2100"/>
    <s v="000"/>
    <x v="7"/>
    <x v="1"/>
  </r>
  <r>
    <d v="2012-05-27T00:00:00"/>
    <s v="017-2210-000"/>
    <s v="Liquor Sales"/>
    <n v="1208.1469999999999"/>
    <n v="0"/>
    <s v="Daily Sales Import"/>
    <n v="-1208.1469999999999"/>
    <n v="1208.1469999999999"/>
    <x v="1"/>
    <s v="2210"/>
    <s v="000"/>
    <x v="7"/>
    <x v="1"/>
  </r>
  <r>
    <d v="2012-05-27T00:00:00"/>
    <s v="017-2220-000"/>
    <s v="Beer Sales"/>
    <n v="265.95"/>
    <n v="0"/>
    <s v="Daily Sales Import"/>
    <n v="-265.95"/>
    <n v="265.95"/>
    <x v="1"/>
    <s v="2220"/>
    <s v="000"/>
    <x v="7"/>
    <x v="1"/>
  </r>
  <r>
    <d v="2012-05-27T00:00:00"/>
    <s v="017-2230-000"/>
    <s v="Wine Sales"/>
    <n v="73.14"/>
    <n v="0"/>
    <s v="Daily Sales Import"/>
    <n v="-73.14"/>
    <n v="73.14"/>
    <x v="1"/>
    <s v="2230"/>
    <s v="000"/>
    <x v="7"/>
    <x v="1"/>
  </r>
  <r>
    <d v="2012-05-21T00:00:00"/>
    <s v="018-2100-000"/>
    <s v="Food Sales"/>
    <n v="2651.2605000000003"/>
    <n v="0"/>
    <s v="Daily Sales Import"/>
    <n v="-2651.2605000000003"/>
    <n v="2651.2605000000003"/>
    <x v="2"/>
    <s v="2100"/>
    <s v="000"/>
    <x v="7"/>
    <x v="1"/>
  </r>
  <r>
    <d v="2012-05-21T00:00:00"/>
    <s v="018-2210-000"/>
    <s v="Liquor Sales"/>
    <n v="334.87999999999994"/>
    <n v="0"/>
    <s v="Daily Sales Import"/>
    <n v="-334.87999999999994"/>
    <n v="334.87999999999994"/>
    <x v="2"/>
    <s v="2210"/>
    <s v="000"/>
    <x v="7"/>
    <x v="1"/>
  </r>
  <r>
    <d v="2012-05-21T00:00:00"/>
    <s v="018-2220-000"/>
    <s v="Beer Sales"/>
    <n v="112.867"/>
    <n v="0"/>
    <s v="Daily Sales Import"/>
    <n v="-112.867"/>
    <n v="112.867"/>
    <x v="2"/>
    <s v="2220"/>
    <s v="000"/>
    <x v="7"/>
    <x v="1"/>
  </r>
  <r>
    <d v="2012-05-21T00:00:00"/>
    <s v="018-2230-000"/>
    <s v="Wine Sales"/>
    <n v="25.239000000000001"/>
    <n v="0"/>
    <s v="Daily Sales Import"/>
    <n v="-25.239000000000001"/>
    <n v="25.239000000000001"/>
    <x v="2"/>
    <s v="2230"/>
    <s v="000"/>
    <x v="7"/>
    <x v="1"/>
  </r>
  <r>
    <d v="2012-05-22T00:00:00"/>
    <s v="018-2100-000"/>
    <s v="Food Sales"/>
    <n v="3540.1309999999999"/>
    <n v="0"/>
    <s v="Daily Sales Import"/>
    <n v="-3540.1309999999999"/>
    <n v="3540.1309999999999"/>
    <x v="2"/>
    <s v="2100"/>
    <s v="000"/>
    <x v="7"/>
    <x v="1"/>
  </r>
  <r>
    <d v="2012-05-22T00:00:00"/>
    <s v="018-2210-000"/>
    <s v="Liquor Sales"/>
    <n v="597.58400000000006"/>
    <n v="0"/>
    <s v="Daily Sales Import"/>
    <n v="-597.58400000000006"/>
    <n v="597.58400000000006"/>
    <x v="2"/>
    <s v="2210"/>
    <s v="000"/>
    <x v="7"/>
    <x v="1"/>
  </r>
  <r>
    <d v="2012-05-22T00:00:00"/>
    <s v="018-2220-000"/>
    <s v="Beer Sales"/>
    <n v="192.654"/>
    <n v="0"/>
    <s v="Daily Sales Import"/>
    <n v="-192.654"/>
    <n v="192.654"/>
    <x v="2"/>
    <s v="2220"/>
    <s v="000"/>
    <x v="7"/>
    <x v="1"/>
  </r>
  <r>
    <d v="2012-05-22T00:00:00"/>
    <s v="018-2230-000"/>
    <s v="Wine Sales"/>
    <n v="46.410000000000004"/>
    <n v="0"/>
    <s v="Daily Sales Import"/>
    <n v="-46.410000000000004"/>
    <n v="46.410000000000004"/>
    <x v="2"/>
    <s v="2230"/>
    <s v="000"/>
    <x v="7"/>
    <x v="1"/>
  </r>
  <r>
    <d v="2012-05-23T00:00:00"/>
    <s v="018-2100-000"/>
    <s v="Food Sales"/>
    <n v="4302.165"/>
    <n v="0"/>
    <s v="Daily Sales Import"/>
    <n v="-4302.165"/>
    <n v="4302.165"/>
    <x v="2"/>
    <s v="2100"/>
    <s v="000"/>
    <x v="7"/>
    <x v="1"/>
  </r>
  <r>
    <d v="2012-05-23T00:00:00"/>
    <s v="018-2210-000"/>
    <s v="Liquor Sales"/>
    <n v="698.90750000000003"/>
    <n v="0"/>
    <s v="Daily Sales Import"/>
    <n v="-698.90750000000003"/>
    <n v="698.90750000000003"/>
    <x v="2"/>
    <s v="2210"/>
    <s v="000"/>
    <x v="7"/>
    <x v="1"/>
  </r>
  <r>
    <d v="2012-05-23T00:00:00"/>
    <s v="018-2220-000"/>
    <s v="Beer Sales"/>
    <n v="226.30500000000001"/>
    <n v="0"/>
    <s v="Daily Sales Import"/>
    <n v="-226.30500000000001"/>
    <n v="226.30500000000001"/>
    <x v="2"/>
    <s v="2220"/>
    <s v="000"/>
    <x v="7"/>
    <x v="1"/>
  </r>
  <r>
    <d v="2012-05-23T00:00:00"/>
    <s v="018-2230-000"/>
    <s v="Wine Sales"/>
    <n v="97.992500000000007"/>
    <n v="0"/>
    <s v="Daily Sales Import"/>
    <n v="-97.992500000000007"/>
    <n v="97.992500000000007"/>
    <x v="2"/>
    <s v="2230"/>
    <s v="000"/>
    <x v="7"/>
    <x v="1"/>
  </r>
  <r>
    <d v="2012-05-24T00:00:00"/>
    <s v="018-2100-000"/>
    <s v="Food Sales"/>
    <n v="3605.1610000000001"/>
    <n v="0"/>
    <s v="Daily Sales Import"/>
    <n v="-3605.1610000000001"/>
    <n v="3605.1610000000001"/>
    <x v="2"/>
    <s v="2100"/>
    <s v="000"/>
    <x v="7"/>
    <x v="1"/>
  </r>
  <r>
    <d v="2012-05-24T00:00:00"/>
    <s v="018-2210-000"/>
    <s v="Liquor Sales"/>
    <n v="1361.0174999999999"/>
    <n v="0"/>
    <s v="Daily Sales Import"/>
    <n v="-1361.0174999999999"/>
    <n v="1361.0174999999999"/>
    <x v="2"/>
    <s v="2210"/>
    <s v="000"/>
    <x v="7"/>
    <x v="1"/>
  </r>
  <r>
    <d v="2012-05-24T00:00:00"/>
    <s v="018-2220-000"/>
    <s v="Beer Sales"/>
    <n v="144.536"/>
    <n v="0"/>
    <s v="Daily Sales Import"/>
    <n v="-144.536"/>
    <n v="144.536"/>
    <x v="2"/>
    <s v="2220"/>
    <s v="000"/>
    <x v="7"/>
    <x v="1"/>
  </r>
  <r>
    <d v="2012-05-24T00:00:00"/>
    <s v="018-2230-000"/>
    <s v="Wine Sales"/>
    <n v="41.923999999999999"/>
    <n v="0"/>
    <s v="Daily Sales Import"/>
    <n v="-41.923999999999999"/>
    <n v="41.923999999999999"/>
    <x v="2"/>
    <s v="2230"/>
    <s v="000"/>
    <x v="7"/>
    <x v="1"/>
  </r>
  <r>
    <d v="2012-05-25T00:00:00"/>
    <s v="018-2100-000"/>
    <s v="Food Sales"/>
    <n v="8403.0505000000012"/>
    <n v="0"/>
    <s v="Daily Sales Import"/>
    <n v="-8403.0505000000012"/>
    <n v="8403.0505000000012"/>
    <x v="2"/>
    <s v="2100"/>
    <s v="000"/>
    <x v="7"/>
    <x v="1"/>
  </r>
  <r>
    <d v="2012-05-25T00:00:00"/>
    <s v="018-2210-000"/>
    <s v="Liquor Sales"/>
    <n v="2684.4479999999999"/>
    <n v="0"/>
    <s v="Daily Sales Import"/>
    <n v="-2684.4479999999999"/>
    <n v="2684.4479999999999"/>
    <x v="2"/>
    <s v="2210"/>
    <s v="000"/>
    <x v="7"/>
    <x v="1"/>
  </r>
  <r>
    <d v="2012-05-25T00:00:00"/>
    <s v="018-2220-000"/>
    <s v="Beer Sales"/>
    <n v="632.24699999999996"/>
    <n v="0"/>
    <s v="Daily Sales Import"/>
    <n v="-632.24699999999996"/>
    <n v="632.24699999999996"/>
    <x v="2"/>
    <s v="2220"/>
    <s v="000"/>
    <x v="7"/>
    <x v="1"/>
  </r>
  <r>
    <d v="2012-05-25T00:00:00"/>
    <s v="018-2230-000"/>
    <s v="Wine Sales"/>
    <n v="98.664999999999992"/>
    <n v="0"/>
    <s v="Daily Sales Import"/>
    <n v="-98.664999999999992"/>
    <n v="98.664999999999992"/>
    <x v="2"/>
    <s v="2230"/>
    <s v="000"/>
    <x v="7"/>
    <x v="1"/>
  </r>
  <r>
    <d v="2012-05-26T00:00:00"/>
    <s v="018-2100-000"/>
    <s v="Food Sales"/>
    <n v="11868.773999999999"/>
    <n v="0"/>
    <s v="Daily Sales Import"/>
    <n v="-11868.773999999999"/>
    <n v="11868.773999999999"/>
    <x v="2"/>
    <s v="2100"/>
    <s v="000"/>
    <x v="7"/>
    <x v="1"/>
  </r>
  <r>
    <d v="2012-05-26T00:00:00"/>
    <s v="018-2210-000"/>
    <s v="Liquor Sales"/>
    <n v="2839.7649999999999"/>
    <n v="0"/>
    <s v="Daily Sales Import"/>
    <n v="-2839.7649999999999"/>
    <n v="2839.7649999999999"/>
    <x v="2"/>
    <s v="2210"/>
    <s v="000"/>
    <x v="7"/>
    <x v="1"/>
  </r>
  <r>
    <d v="2012-05-26T00:00:00"/>
    <s v="018-2220-000"/>
    <s v="Beer Sales"/>
    <n v="393.49799999999999"/>
    <n v="0"/>
    <s v="Daily Sales Import"/>
    <n v="-393.49799999999999"/>
    <n v="393.49799999999999"/>
    <x v="2"/>
    <s v="2220"/>
    <s v="000"/>
    <x v="7"/>
    <x v="1"/>
  </r>
  <r>
    <d v="2012-05-26T00:00:00"/>
    <s v="018-2230-000"/>
    <s v="Wine Sales"/>
    <n v="50.162999999999997"/>
    <n v="0"/>
    <s v="Daily Sales Import"/>
    <n v="-50.162999999999997"/>
    <n v="50.162999999999997"/>
    <x v="2"/>
    <s v="2230"/>
    <s v="000"/>
    <x v="7"/>
    <x v="1"/>
  </r>
  <r>
    <d v="2012-05-27T00:00:00"/>
    <s v="018-2100-000"/>
    <s v="Food Sales"/>
    <n v="9163.7820000000011"/>
    <n v="0"/>
    <s v="Daily Sales Import"/>
    <n v="-9163.7820000000011"/>
    <n v="9163.7820000000011"/>
    <x v="2"/>
    <s v="2100"/>
    <s v="000"/>
    <x v="7"/>
    <x v="1"/>
  </r>
  <r>
    <d v="2012-05-27T00:00:00"/>
    <s v="018-2210-000"/>
    <s v="Liquor Sales"/>
    <n v="1076.0475000000001"/>
    <n v="0"/>
    <s v="Daily Sales Import"/>
    <n v="-1076.0475000000001"/>
    <n v="1076.0475000000001"/>
    <x v="2"/>
    <s v="2210"/>
    <s v="000"/>
    <x v="7"/>
    <x v="1"/>
  </r>
  <r>
    <d v="2012-05-27T00:00:00"/>
    <s v="018-2220-000"/>
    <s v="Beer Sales"/>
    <n v="460.6875"/>
    <n v="0"/>
    <s v="Daily Sales Import"/>
    <n v="-460.6875"/>
    <n v="460.6875"/>
    <x v="2"/>
    <s v="2220"/>
    <s v="000"/>
    <x v="7"/>
    <x v="1"/>
  </r>
  <r>
    <d v="2012-05-27T00:00:00"/>
    <s v="018-2230-000"/>
    <s v="Wine Sales"/>
    <n v="87.488"/>
    <n v="0"/>
    <s v="Daily Sales Import"/>
    <n v="-87.488"/>
    <n v="87.488"/>
    <x v="2"/>
    <s v="2230"/>
    <s v="000"/>
    <x v="7"/>
    <x v="1"/>
  </r>
  <r>
    <d v="2012-05-28T00:00:00"/>
    <s v="016-2100-000"/>
    <s v="Food Sales"/>
    <n v="5499.5733999999993"/>
    <n v="0"/>
    <s v="Daily Sales Import"/>
    <n v="-5499.5733999999993"/>
    <n v="5499.5733999999993"/>
    <x v="0"/>
    <s v="2100"/>
    <s v="000"/>
    <x v="7"/>
    <x v="1"/>
  </r>
  <r>
    <d v="2012-05-28T00:00:00"/>
    <s v="016-2210-000"/>
    <s v="Liquor Sales"/>
    <n v="1246.0150000000001"/>
    <n v="0"/>
    <s v="Daily Sales Import"/>
    <n v="-1246.0150000000001"/>
    <n v="1246.0150000000001"/>
    <x v="0"/>
    <s v="2210"/>
    <s v="000"/>
    <x v="7"/>
    <x v="1"/>
  </r>
  <r>
    <d v="2012-05-28T00:00:00"/>
    <s v="016-2220-000"/>
    <s v="Beer Sales"/>
    <n v="149.60000000000002"/>
    <n v="0"/>
    <s v="Daily Sales Import"/>
    <n v="-149.60000000000002"/>
    <n v="149.60000000000002"/>
    <x v="0"/>
    <s v="2220"/>
    <s v="000"/>
    <x v="7"/>
    <x v="1"/>
  </r>
  <r>
    <d v="2012-05-28T00:00:00"/>
    <s v="016-2230-000"/>
    <s v="Wine Sales"/>
    <n v="116.23399999999999"/>
    <n v="0"/>
    <s v="Daily Sales Import"/>
    <n v="-116.23399999999999"/>
    <n v="116.23399999999999"/>
    <x v="0"/>
    <s v="2230"/>
    <s v="000"/>
    <x v="7"/>
    <x v="1"/>
  </r>
  <r>
    <d v="2012-05-29T00:00:00"/>
    <s v="016-2100-000"/>
    <s v="Food Sales"/>
    <n v="3503.5083999999997"/>
    <n v="0"/>
    <s v="Daily Sales Import"/>
    <n v="-3503.5083999999997"/>
    <n v="3503.5083999999997"/>
    <x v="0"/>
    <s v="2100"/>
    <s v="000"/>
    <x v="7"/>
    <x v="1"/>
  </r>
  <r>
    <d v="2012-05-29T00:00:00"/>
    <s v="016-2210-000"/>
    <s v="Liquor Sales"/>
    <n v="1048.4921999999999"/>
    <n v="0"/>
    <s v="Daily Sales Import"/>
    <n v="-1048.4921999999999"/>
    <n v="1048.4921999999999"/>
    <x v="0"/>
    <s v="2210"/>
    <s v="000"/>
    <x v="7"/>
    <x v="1"/>
  </r>
  <r>
    <d v="2012-05-29T00:00:00"/>
    <s v="016-2220-000"/>
    <s v="Beer Sales"/>
    <n v="477.23799999999994"/>
    <n v="0"/>
    <s v="Daily Sales Import"/>
    <n v="-477.23799999999994"/>
    <n v="477.23799999999994"/>
    <x v="0"/>
    <s v="2220"/>
    <s v="000"/>
    <x v="7"/>
    <x v="1"/>
  </r>
  <r>
    <d v="2012-05-29T00:00:00"/>
    <s v="016-2230-000"/>
    <s v="Wine Sales"/>
    <n v="140.5615"/>
    <n v="0"/>
    <s v="Daily Sales Import"/>
    <n v="-140.5615"/>
    <n v="140.5615"/>
    <x v="0"/>
    <s v="2230"/>
    <s v="000"/>
    <x v="7"/>
    <x v="1"/>
  </r>
  <r>
    <d v="2012-05-30T00:00:00"/>
    <s v="016-2100-000"/>
    <s v="Food Sales"/>
    <n v="2335.3188"/>
    <n v="0"/>
    <s v="Daily Sales Import"/>
    <n v="-2335.3188"/>
    <n v="2335.3188"/>
    <x v="0"/>
    <s v="2100"/>
    <s v="000"/>
    <x v="7"/>
    <x v="1"/>
  </r>
  <r>
    <d v="2012-05-30T00:00:00"/>
    <s v="016-2210-000"/>
    <s v="Liquor Sales"/>
    <n v="792.21"/>
    <n v="0"/>
    <s v="Daily Sales Import"/>
    <n v="-792.21"/>
    <n v="792.21"/>
    <x v="0"/>
    <s v="2210"/>
    <s v="000"/>
    <x v="7"/>
    <x v="1"/>
  </r>
  <r>
    <d v="2012-05-30T00:00:00"/>
    <s v="016-2220-000"/>
    <s v="Beer Sales"/>
    <n v="156.64000000000001"/>
    <n v="0"/>
    <s v="Daily Sales Import"/>
    <n v="-156.64000000000001"/>
    <n v="156.64000000000001"/>
    <x v="0"/>
    <s v="2220"/>
    <s v="000"/>
    <x v="7"/>
    <x v="1"/>
  </r>
  <r>
    <d v="2012-05-30T00:00:00"/>
    <s v="016-2230-000"/>
    <s v="Wine Sales"/>
    <n v="116.69350000000001"/>
    <n v="0"/>
    <s v="Daily Sales Import"/>
    <n v="-116.69350000000001"/>
    <n v="116.69350000000001"/>
    <x v="0"/>
    <s v="2230"/>
    <s v="000"/>
    <x v="7"/>
    <x v="1"/>
  </r>
  <r>
    <d v="2012-05-31T00:00:00"/>
    <s v="016-2100-000"/>
    <s v="Food Sales"/>
    <n v="3844.1890000000003"/>
    <n v="0"/>
    <s v="Daily Sales Import"/>
    <n v="-3844.1890000000003"/>
    <n v="3844.1890000000003"/>
    <x v="0"/>
    <s v="2100"/>
    <s v="000"/>
    <x v="7"/>
    <x v="1"/>
  </r>
  <r>
    <d v="2012-05-31T00:00:00"/>
    <s v="016-2210-000"/>
    <s v="Liquor Sales"/>
    <n v="811.72699999999998"/>
    <n v="0"/>
    <s v="Daily Sales Import"/>
    <n v="-811.72699999999998"/>
    <n v="811.72699999999998"/>
    <x v="0"/>
    <s v="2210"/>
    <s v="000"/>
    <x v="7"/>
    <x v="1"/>
  </r>
  <r>
    <d v="2012-05-31T00:00:00"/>
    <s v="016-2220-000"/>
    <s v="Beer Sales"/>
    <n v="199.96250000000001"/>
    <n v="0"/>
    <s v="Daily Sales Import"/>
    <n v="-199.96250000000001"/>
    <n v="199.96250000000001"/>
    <x v="0"/>
    <s v="2220"/>
    <s v="000"/>
    <x v="7"/>
    <x v="1"/>
  </r>
  <r>
    <d v="2012-05-31T00:00:00"/>
    <s v="016-2230-000"/>
    <s v="Wine Sales"/>
    <n v="93.8125"/>
    <n v="0"/>
    <s v="Daily Sales Import"/>
    <n v="-93.8125"/>
    <n v="93.8125"/>
    <x v="0"/>
    <s v="2230"/>
    <s v="000"/>
    <x v="7"/>
    <x v="1"/>
  </r>
  <r>
    <d v="2012-06-01T00:00:00"/>
    <s v="016-2100-000"/>
    <s v="Food Sales"/>
    <n v="6069.7350000000006"/>
    <n v="0"/>
    <s v="Daily Sales Import"/>
    <n v="-6069.7350000000006"/>
    <n v="6069.7350000000006"/>
    <x v="0"/>
    <s v="2100"/>
    <s v="000"/>
    <x v="8"/>
    <x v="1"/>
  </r>
  <r>
    <d v="2012-06-01T00:00:00"/>
    <s v="016-2210-000"/>
    <s v="Liquor Sales"/>
    <n v="1515.87"/>
    <n v="0"/>
    <s v="Daily Sales Import"/>
    <n v="-1515.87"/>
    <n v="1515.87"/>
    <x v="0"/>
    <s v="2210"/>
    <s v="000"/>
    <x v="8"/>
    <x v="1"/>
  </r>
  <r>
    <d v="2012-06-01T00:00:00"/>
    <s v="016-2220-000"/>
    <s v="Beer Sales"/>
    <n v="402.81300000000005"/>
    <n v="0"/>
    <s v="Daily Sales Import"/>
    <n v="-402.81300000000005"/>
    <n v="402.81300000000005"/>
    <x v="0"/>
    <s v="2220"/>
    <s v="000"/>
    <x v="8"/>
    <x v="1"/>
  </r>
  <r>
    <d v="2012-06-01T00:00:00"/>
    <s v="016-2230-000"/>
    <s v="Wine Sales"/>
    <n v="250.785"/>
    <n v="0"/>
    <s v="Daily Sales Import"/>
    <n v="-250.785"/>
    <n v="250.785"/>
    <x v="0"/>
    <s v="2230"/>
    <s v="000"/>
    <x v="8"/>
    <x v="1"/>
  </r>
  <r>
    <d v="2012-06-02T00:00:00"/>
    <s v="016-2100-000"/>
    <s v="Food Sales"/>
    <n v="5222.8982999999998"/>
    <n v="0"/>
    <s v="Daily Sales Import"/>
    <n v="-5222.8982999999998"/>
    <n v="5222.8982999999998"/>
    <x v="0"/>
    <s v="2100"/>
    <s v="000"/>
    <x v="8"/>
    <x v="1"/>
  </r>
  <r>
    <d v="2012-06-02T00:00:00"/>
    <s v="016-2210-000"/>
    <s v="Liquor Sales"/>
    <n v="1986.8994999999998"/>
    <n v="0"/>
    <s v="Daily Sales Import"/>
    <n v="-1986.8994999999998"/>
    <n v="1986.8994999999998"/>
    <x v="0"/>
    <s v="2210"/>
    <s v="000"/>
    <x v="8"/>
    <x v="1"/>
  </r>
  <r>
    <d v="2012-06-02T00:00:00"/>
    <s v="016-2220-000"/>
    <s v="Beer Sales"/>
    <n v="310.47000000000003"/>
    <n v="0"/>
    <s v="Daily Sales Import"/>
    <n v="-310.47000000000003"/>
    <n v="310.47000000000003"/>
    <x v="0"/>
    <s v="2220"/>
    <s v="000"/>
    <x v="8"/>
    <x v="1"/>
  </r>
  <r>
    <d v="2012-06-02T00:00:00"/>
    <s v="016-2230-000"/>
    <s v="Wine Sales"/>
    <n v="136.14400000000001"/>
    <n v="0"/>
    <s v="Daily Sales Import"/>
    <n v="-136.14400000000001"/>
    <n v="136.14400000000001"/>
    <x v="0"/>
    <s v="2230"/>
    <s v="000"/>
    <x v="8"/>
    <x v="1"/>
  </r>
  <r>
    <d v="2012-06-03T00:00:00"/>
    <s v="016-2100-000"/>
    <s v="Food Sales"/>
    <n v="3682.89"/>
    <n v="0"/>
    <s v="Daily Sales Import"/>
    <n v="-3682.89"/>
    <n v="3682.89"/>
    <x v="0"/>
    <s v="2100"/>
    <s v="000"/>
    <x v="8"/>
    <x v="1"/>
  </r>
  <r>
    <d v="2012-06-03T00:00:00"/>
    <s v="016-2210-000"/>
    <s v="Liquor Sales"/>
    <n v="1480.0228"/>
    <n v="0"/>
    <s v="Daily Sales Import"/>
    <n v="-1480.0228"/>
    <n v="1480.0228"/>
    <x v="0"/>
    <s v="2210"/>
    <s v="000"/>
    <x v="8"/>
    <x v="1"/>
  </r>
  <r>
    <d v="2012-06-03T00:00:00"/>
    <s v="016-2220-000"/>
    <s v="Beer Sales"/>
    <n v="227.94300000000001"/>
    <n v="0"/>
    <s v="Daily Sales Import"/>
    <n v="-227.94300000000001"/>
    <n v="227.94300000000001"/>
    <x v="0"/>
    <s v="2220"/>
    <s v="000"/>
    <x v="8"/>
    <x v="1"/>
  </r>
  <r>
    <d v="2012-06-03T00:00:00"/>
    <s v="016-2230-000"/>
    <s v="Wine Sales"/>
    <n v="36.996499999999997"/>
    <n v="0"/>
    <s v="Daily Sales Import"/>
    <n v="-36.996499999999997"/>
    <n v="36.996499999999997"/>
    <x v="0"/>
    <s v="2230"/>
    <s v="000"/>
    <x v="8"/>
    <x v="1"/>
  </r>
  <r>
    <d v="2012-05-28T00:00:00"/>
    <s v="017-2100-000"/>
    <s v="Food Sales"/>
    <n v="2731.7766999999999"/>
    <n v="0"/>
    <s v="Daily Sales Import"/>
    <n v="-2731.7766999999999"/>
    <n v="2731.7766999999999"/>
    <x v="1"/>
    <s v="2100"/>
    <s v="000"/>
    <x v="7"/>
    <x v="1"/>
  </r>
  <r>
    <d v="2012-05-28T00:00:00"/>
    <s v="017-2210-000"/>
    <s v="Liquor Sales"/>
    <n v="1022.1630000000001"/>
    <n v="0"/>
    <s v="Daily Sales Import"/>
    <n v="-1022.1630000000001"/>
    <n v="1022.1630000000001"/>
    <x v="1"/>
    <s v="2210"/>
    <s v="000"/>
    <x v="7"/>
    <x v="1"/>
  </r>
  <r>
    <d v="2012-05-28T00:00:00"/>
    <s v="017-2220-000"/>
    <s v="Beer Sales"/>
    <n v="147.32499999999999"/>
    <n v="0"/>
    <s v="Daily Sales Import"/>
    <n v="-147.32499999999999"/>
    <n v="147.32499999999999"/>
    <x v="1"/>
    <s v="2220"/>
    <s v="000"/>
    <x v="7"/>
    <x v="1"/>
  </r>
  <r>
    <d v="2012-05-28T00:00:00"/>
    <s v="017-2230-000"/>
    <s v="Wine Sales"/>
    <n v="47.547500000000007"/>
    <n v="0"/>
    <s v="Daily Sales Import"/>
    <n v="-47.547500000000007"/>
    <n v="47.547500000000007"/>
    <x v="1"/>
    <s v="2230"/>
    <s v="000"/>
    <x v="7"/>
    <x v="1"/>
  </r>
  <r>
    <d v="2012-05-29T00:00:00"/>
    <s v="017-2100-000"/>
    <s v="Food Sales"/>
    <n v="5426.1647999999996"/>
    <n v="0"/>
    <s v="Daily Sales Import"/>
    <n v="-5426.1647999999996"/>
    <n v="5426.1647999999996"/>
    <x v="1"/>
    <s v="2100"/>
    <s v="000"/>
    <x v="7"/>
    <x v="1"/>
  </r>
  <r>
    <d v="2012-05-29T00:00:00"/>
    <s v="017-2210-000"/>
    <s v="Liquor Sales"/>
    <n v="1079.58"/>
    <n v="0"/>
    <s v="Daily Sales Import"/>
    <n v="-1079.58"/>
    <n v="1079.58"/>
    <x v="1"/>
    <s v="2210"/>
    <s v="000"/>
    <x v="7"/>
    <x v="1"/>
  </r>
  <r>
    <d v="2012-05-29T00:00:00"/>
    <s v="017-2220-000"/>
    <s v="Beer Sales"/>
    <n v="276.5675"/>
    <n v="0"/>
    <s v="Daily Sales Import"/>
    <n v="-276.5675"/>
    <n v="276.5675"/>
    <x v="1"/>
    <s v="2220"/>
    <s v="000"/>
    <x v="7"/>
    <x v="1"/>
  </r>
  <r>
    <d v="2012-05-29T00:00:00"/>
    <s v="017-2230-000"/>
    <s v="Wine Sales"/>
    <n v="60.448499999999996"/>
    <n v="0"/>
    <s v="Daily Sales Import"/>
    <n v="-60.448499999999996"/>
    <n v="60.448499999999996"/>
    <x v="1"/>
    <s v="2230"/>
    <s v="000"/>
    <x v="7"/>
    <x v="1"/>
  </r>
  <r>
    <d v="2012-05-30T00:00:00"/>
    <s v="017-2100-000"/>
    <s v="Food Sales"/>
    <n v="5580.4646999999995"/>
    <n v="0"/>
    <s v="Daily Sales Import"/>
    <n v="-5580.4646999999995"/>
    <n v="5580.4646999999995"/>
    <x v="1"/>
    <s v="2100"/>
    <s v="000"/>
    <x v="7"/>
    <x v="1"/>
  </r>
  <r>
    <d v="2012-05-30T00:00:00"/>
    <s v="017-2210-000"/>
    <s v="Liquor Sales"/>
    <n v="1067.9234999999999"/>
    <n v="0"/>
    <s v="Daily Sales Import"/>
    <n v="-1067.9234999999999"/>
    <n v="1067.9234999999999"/>
    <x v="1"/>
    <s v="2210"/>
    <s v="000"/>
    <x v="7"/>
    <x v="1"/>
  </r>
  <r>
    <d v="2012-05-30T00:00:00"/>
    <s v="017-2220-000"/>
    <s v="Beer Sales"/>
    <n v="330.33"/>
    <n v="0"/>
    <s v="Daily Sales Import"/>
    <n v="-330.33"/>
    <n v="330.33"/>
    <x v="1"/>
    <s v="2220"/>
    <s v="000"/>
    <x v="7"/>
    <x v="1"/>
  </r>
  <r>
    <d v="2012-05-30T00:00:00"/>
    <s v="017-2230-000"/>
    <s v="Wine Sales"/>
    <n v="111.852"/>
    <n v="0"/>
    <s v="Daily Sales Import"/>
    <n v="-111.852"/>
    <n v="111.852"/>
    <x v="1"/>
    <s v="2230"/>
    <s v="000"/>
    <x v="7"/>
    <x v="1"/>
  </r>
  <r>
    <d v="2012-05-31T00:00:00"/>
    <s v="017-2100-000"/>
    <s v="Food Sales"/>
    <n v="5916.2999999999993"/>
    <n v="0"/>
    <s v="Daily Sales Import"/>
    <n v="-5916.2999999999993"/>
    <n v="5916.2999999999993"/>
    <x v="1"/>
    <s v="2100"/>
    <s v="000"/>
    <x v="7"/>
    <x v="1"/>
  </r>
  <r>
    <d v="2012-05-31T00:00:00"/>
    <s v="017-2210-000"/>
    <s v="Liquor Sales"/>
    <n v="1748.2725"/>
    <n v="0"/>
    <s v="Daily Sales Import"/>
    <n v="-1748.2725"/>
    <n v="1748.2725"/>
    <x v="1"/>
    <s v="2210"/>
    <s v="000"/>
    <x v="7"/>
    <x v="1"/>
  </r>
  <r>
    <d v="2012-05-31T00:00:00"/>
    <s v="017-2220-000"/>
    <s v="Beer Sales"/>
    <n v="348.88000000000005"/>
    <n v="0"/>
    <s v="Daily Sales Import"/>
    <n v="-348.88000000000005"/>
    <n v="348.88000000000005"/>
    <x v="1"/>
    <s v="2220"/>
    <s v="000"/>
    <x v="7"/>
    <x v="1"/>
  </r>
  <r>
    <d v="2012-05-31T00:00:00"/>
    <s v="017-2230-000"/>
    <s v="Wine Sales"/>
    <n v="85.528999999999996"/>
    <n v="0"/>
    <s v="Daily Sales Import"/>
    <n v="-85.528999999999996"/>
    <n v="85.528999999999996"/>
    <x v="1"/>
    <s v="2230"/>
    <s v="000"/>
    <x v="7"/>
    <x v="1"/>
  </r>
  <r>
    <d v="2012-06-01T00:00:00"/>
    <s v="017-2100-000"/>
    <s v="Food Sales"/>
    <n v="8601.9395000000004"/>
    <n v="0"/>
    <s v="Daily Sales Import"/>
    <n v="-8601.9395000000004"/>
    <n v="8601.9395000000004"/>
    <x v="1"/>
    <s v="2100"/>
    <s v="000"/>
    <x v="8"/>
    <x v="1"/>
  </r>
  <r>
    <d v="2012-06-01T00:00:00"/>
    <s v="017-2210-000"/>
    <s v="Liquor Sales"/>
    <n v="3270.7840000000001"/>
    <n v="0"/>
    <s v="Daily Sales Import"/>
    <n v="-3270.7840000000001"/>
    <n v="3270.7840000000001"/>
    <x v="1"/>
    <s v="2210"/>
    <s v="000"/>
    <x v="8"/>
    <x v="1"/>
  </r>
  <r>
    <d v="2012-06-01T00:00:00"/>
    <s v="017-2220-000"/>
    <s v="Beer Sales"/>
    <n v="350.86499999999995"/>
    <n v="0"/>
    <s v="Daily Sales Import"/>
    <n v="-350.86499999999995"/>
    <n v="350.86499999999995"/>
    <x v="1"/>
    <s v="2220"/>
    <s v="000"/>
    <x v="8"/>
    <x v="1"/>
  </r>
  <r>
    <d v="2012-06-01T00:00:00"/>
    <s v="017-2230-000"/>
    <s v="Wine Sales"/>
    <n v="158.84799999999998"/>
    <n v="0"/>
    <s v="Daily Sales Import"/>
    <n v="-158.84799999999998"/>
    <n v="158.84799999999998"/>
    <x v="1"/>
    <s v="2230"/>
    <s v="000"/>
    <x v="8"/>
    <x v="1"/>
  </r>
  <r>
    <d v="2012-06-02T00:00:00"/>
    <s v="017-2100-000"/>
    <s v="Food Sales"/>
    <n v="5540.81"/>
    <n v="0"/>
    <s v="Daily Sales Import"/>
    <n v="-5540.81"/>
    <n v="5540.81"/>
    <x v="1"/>
    <s v="2100"/>
    <s v="000"/>
    <x v="8"/>
    <x v="1"/>
  </r>
  <r>
    <d v="2012-06-02T00:00:00"/>
    <s v="017-2210-000"/>
    <s v="Liquor Sales"/>
    <n v="1587.3330000000001"/>
    <n v="0"/>
    <s v="Daily Sales Import"/>
    <n v="-1587.3330000000001"/>
    <n v="1587.3330000000001"/>
    <x v="1"/>
    <s v="2210"/>
    <s v="000"/>
    <x v="8"/>
    <x v="1"/>
  </r>
  <r>
    <d v="2012-06-02T00:00:00"/>
    <s v="017-2220-000"/>
    <s v="Beer Sales"/>
    <n v="533.21499999999992"/>
    <n v="0"/>
    <s v="Daily Sales Import"/>
    <n v="-533.21499999999992"/>
    <n v="533.21499999999992"/>
    <x v="1"/>
    <s v="2220"/>
    <s v="000"/>
    <x v="8"/>
    <x v="1"/>
  </r>
  <r>
    <d v="2012-06-02T00:00:00"/>
    <s v="017-2230-000"/>
    <s v="Wine Sales"/>
    <n v="64.307999999999993"/>
    <n v="0"/>
    <s v="Daily Sales Import"/>
    <n v="-64.307999999999993"/>
    <n v="64.307999999999993"/>
    <x v="1"/>
    <s v="2230"/>
    <s v="000"/>
    <x v="8"/>
    <x v="1"/>
  </r>
  <r>
    <d v="2012-06-03T00:00:00"/>
    <s v="017-2100-000"/>
    <s v="Food Sales"/>
    <n v="4218.1155000000008"/>
    <n v="0"/>
    <s v="Daily Sales Import"/>
    <n v="-4218.1155000000008"/>
    <n v="4218.1155000000008"/>
    <x v="1"/>
    <s v="2100"/>
    <s v="000"/>
    <x v="8"/>
    <x v="1"/>
  </r>
  <r>
    <d v="2012-06-03T00:00:00"/>
    <s v="017-2210-000"/>
    <s v="Liquor Sales"/>
    <n v="1072.1565000000001"/>
    <n v="0"/>
    <s v="Daily Sales Import"/>
    <n v="-1072.1565000000001"/>
    <n v="1072.1565000000001"/>
    <x v="1"/>
    <s v="2210"/>
    <s v="000"/>
    <x v="8"/>
    <x v="1"/>
  </r>
  <r>
    <d v="2012-06-03T00:00:00"/>
    <s v="017-2220-000"/>
    <s v="Beer Sales"/>
    <n v="187.935"/>
    <n v="0"/>
    <s v="Daily Sales Import"/>
    <n v="-187.935"/>
    <n v="187.935"/>
    <x v="1"/>
    <s v="2220"/>
    <s v="000"/>
    <x v="8"/>
    <x v="1"/>
  </r>
  <r>
    <d v="2012-06-03T00:00:00"/>
    <s v="017-2230-000"/>
    <s v="Wine Sales"/>
    <n v="67.996000000000009"/>
    <n v="0"/>
    <s v="Daily Sales Import"/>
    <n v="-67.996000000000009"/>
    <n v="67.996000000000009"/>
    <x v="1"/>
    <s v="2230"/>
    <s v="000"/>
    <x v="8"/>
    <x v="1"/>
  </r>
  <r>
    <d v="2012-05-28T00:00:00"/>
    <s v="018-2100-000"/>
    <s v="Food Sales"/>
    <n v="5266.7449999999999"/>
    <n v="0"/>
    <s v="Daily Sales Import"/>
    <n v="-5266.7449999999999"/>
    <n v="5266.7449999999999"/>
    <x v="2"/>
    <s v="2100"/>
    <s v="000"/>
    <x v="7"/>
    <x v="1"/>
  </r>
  <r>
    <d v="2012-05-28T00:00:00"/>
    <s v="018-2210-000"/>
    <s v="Liquor Sales"/>
    <n v="1348.0955000000001"/>
    <n v="0"/>
    <s v="Daily Sales Import"/>
    <n v="-1348.0955000000001"/>
    <n v="1348.0955000000001"/>
    <x v="2"/>
    <s v="2210"/>
    <s v="000"/>
    <x v="7"/>
    <x v="1"/>
  </r>
  <r>
    <d v="2012-05-28T00:00:00"/>
    <s v="018-2220-000"/>
    <s v="Beer Sales"/>
    <n v="185.28"/>
    <n v="0"/>
    <s v="Daily Sales Import"/>
    <n v="-185.28"/>
    <n v="185.28"/>
    <x v="2"/>
    <s v="2220"/>
    <s v="000"/>
    <x v="7"/>
    <x v="1"/>
  </r>
  <r>
    <d v="2012-05-28T00:00:00"/>
    <s v="018-2230-000"/>
    <s v="Wine Sales"/>
    <n v="32.476500000000001"/>
    <n v="0"/>
    <s v="Daily Sales Import"/>
    <n v="-32.476500000000001"/>
    <n v="32.476500000000001"/>
    <x v="2"/>
    <s v="2230"/>
    <s v="000"/>
    <x v="7"/>
    <x v="1"/>
  </r>
  <r>
    <d v="2012-05-29T00:00:00"/>
    <s v="018-2100-000"/>
    <s v="Food Sales"/>
    <n v="4321.9980000000005"/>
    <n v="0"/>
    <s v="Daily Sales Import"/>
    <n v="-4321.9980000000005"/>
    <n v="4321.9980000000005"/>
    <x v="2"/>
    <s v="2100"/>
    <s v="000"/>
    <x v="7"/>
    <x v="1"/>
  </r>
  <r>
    <d v="2012-05-29T00:00:00"/>
    <s v="018-2210-000"/>
    <s v="Liquor Sales"/>
    <n v="787.81499999999994"/>
    <n v="0"/>
    <s v="Daily Sales Import"/>
    <n v="-787.81499999999994"/>
    <n v="787.81499999999994"/>
    <x v="2"/>
    <s v="2210"/>
    <s v="000"/>
    <x v="7"/>
    <x v="1"/>
  </r>
  <r>
    <d v="2012-05-29T00:00:00"/>
    <s v="018-2220-000"/>
    <s v="Beer Sales"/>
    <n v="173.69800000000001"/>
    <n v="0"/>
    <s v="Daily Sales Import"/>
    <n v="-173.69800000000001"/>
    <n v="173.69800000000001"/>
    <x v="2"/>
    <s v="2220"/>
    <s v="000"/>
    <x v="7"/>
    <x v="1"/>
  </r>
  <r>
    <d v="2012-05-29T00:00:00"/>
    <s v="018-2230-000"/>
    <s v="Wine Sales"/>
    <n v="86.86399999999999"/>
    <n v="0"/>
    <s v="Daily Sales Import"/>
    <n v="-86.86399999999999"/>
    <n v="86.86399999999999"/>
    <x v="2"/>
    <s v="2230"/>
    <s v="000"/>
    <x v="7"/>
    <x v="1"/>
  </r>
  <r>
    <d v="2012-05-30T00:00:00"/>
    <s v="018-2100-000"/>
    <s v="Food Sales"/>
    <n v="5029.8131999999996"/>
    <n v="0"/>
    <s v="Daily Sales Import"/>
    <n v="-5029.8131999999996"/>
    <n v="5029.8131999999996"/>
    <x v="2"/>
    <s v="2100"/>
    <s v="000"/>
    <x v="7"/>
    <x v="1"/>
  </r>
  <r>
    <d v="2012-05-30T00:00:00"/>
    <s v="018-2210-000"/>
    <s v="Liquor Sales"/>
    <n v="479.21600000000001"/>
    <n v="0"/>
    <s v="Daily Sales Import"/>
    <n v="-479.21600000000001"/>
    <n v="479.21600000000001"/>
    <x v="2"/>
    <s v="2210"/>
    <s v="000"/>
    <x v="7"/>
    <x v="1"/>
  </r>
  <r>
    <d v="2012-05-30T00:00:00"/>
    <s v="018-2220-000"/>
    <s v="Beer Sales"/>
    <n v="204.14449999999997"/>
    <n v="0"/>
    <s v="Daily Sales Import"/>
    <n v="-204.14449999999997"/>
    <n v="204.14449999999997"/>
    <x v="2"/>
    <s v="2220"/>
    <s v="000"/>
    <x v="7"/>
    <x v="1"/>
  </r>
  <r>
    <d v="2012-05-30T00:00:00"/>
    <s v="018-2230-000"/>
    <s v="Wine Sales"/>
    <n v="67.150000000000006"/>
    <n v="0"/>
    <s v="Daily Sales Import"/>
    <n v="-67.150000000000006"/>
    <n v="67.150000000000006"/>
    <x v="2"/>
    <s v="2230"/>
    <s v="000"/>
    <x v="7"/>
    <x v="1"/>
  </r>
  <r>
    <d v="2012-05-31T00:00:00"/>
    <s v="018-2100-000"/>
    <s v="Food Sales"/>
    <n v="7119.5208000000002"/>
    <n v="0"/>
    <s v="Daily Sales Import"/>
    <n v="-7119.5208000000002"/>
    <n v="7119.5208000000002"/>
    <x v="2"/>
    <s v="2100"/>
    <s v="000"/>
    <x v="7"/>
    <x v="1"/>
  </r>
  <r>
    <d v="2012-05-31T00:00:00"/>
    <s v="018-2210-000"/>
    <s v="Liquor Sales"/>
    <n v="1370.7540000000001"/>
    <n v="0"/>
    <s v="Daily Sales Import"/>
    <n v="-1370.7540000000001"/>
    <n v="1370.7540000000001"/>
    <x v="2"/>
    <s v="2210"/>
    <s v="000"/>
    <x v="7"/>
    <x v="1"/>
  </r>
  <r>
    <d v="2012-05-31T00:00:00"/>
    <s v="018-2220-000"/>
    <s v="Beer Sales"/>
    <n v="205.76999999999998"/>
    <n v="0"/>
    <s v="Daily Sales Import"/>
    <n v="-205.76999999999998"/>
    <n v="205.76999999999998"/>
    <x v="2"/>
    <s v="2220"/>
    <s v="000"/>
    <x v="7"/>
    <x v="1"/>
  </r>
  <r>
    <d v="2012-05-31T00:00:00"/>
    <s v="018-2230-000"/>
    <s v="Wine Sales"/>
    <n v="161.62300000000002"/>
    <n v="0"/>
    <s v="Daily Sales Import"/>
    <n v="-161.62300000000002"/>
    <n v="161.62300000000002"/>
    <x v="2"/>
    <s v="2230"/>
    <s v="000"/>
    <x v="7"/>
    <x v="1"/>
  </r>
  <r>
    <d v="2012-06-01T00:00:00"/>
    <s v="018-2100-000"/>
    <s v="Food Sales"/>
    <n v="6551.7259999999997"/>
    <n v="0"/>
    <s v="Daily Sales Import"/>
    <n v="-6551.7259999999997"/>
    <n v="6551.7259999999997"/>
    <x v="2"/>
    <s v="2100"/>
    <s v="000"/>
    <x v="8"/>
    <x v="1"/>
  </r>
  <r>
    <d v="2012-06-01T00:00:00"/>
    <s v="018-2210-000"/>
    <s v="Liquor Sales"/>
    <n v="1443.4110000000001"/>
    <n v="0"/>
    <s v="Daily Sales Import"/>
    <n v="-1443.4110000000001"/>
    <n v="1443.4110000000001"/>
    <x v="2"/>
    <s v="2210"/>
    <s v="000"/>
    <x v="8"/>
    <x v="1"/>
  </r>
  <r>
    <d v="2012-06-01T00:00:00"/>
    <s v="018-2220-000"/>
    <s v="Beer Sales"/>
    <n v="503.56799999999998"/>
    <n v="0"/>
    <s v="Daily Sales Import"/>
    <n v="-503.56799999999998"/>
    <n v="503.56799999999998"/>
    <x v="2"/>
    <s v="2220"/>
    <s v="000"/>
    <x v="8"/>
    <x v="1"/>
  </r>
  <r>
    <d v="2012-06-01T00:00:00"/>
    <s v="018-2230-000"/>
    <s v="Wine Sales"/>
    <n v="157.32599999999999"/>
    <n v="0"/>
    <s v="Daily Sales Import"/>
    <n v="-157.32599999999999"/>
    <n v="157.32599999999999"/>
    <x v="2"/>
    <s v="2230"/>
    <s v="000"/>
    <x v="8"/>
    <x v="1"/>
  </r>
  <r>
    <d v="2012-06-02T00:00:00"/>
    <s v="018-2100-000"/>
    <s v="Food Sales"/>
    <n v="11902.672999999999"/>
    <n v="0"/>
    <s v="Daily Sales Import"/>
    <n v="-11902.672999999999"/>
    <n v="11902.672999999999"/>
    <x v="2"/>
    <s v="2100"/>
    <s v="000"/>
    <x v="8"/>
    <x v="1"/>
  </r>
  <r>
    <d v="2012-06-02T00:00:00"/>
    <s v="018-2210-000"/>
    <s v="Liquor Sales"/>
    <n v="2473.3439999999996"/>
    <n v="0"/>
    <s v="Daily Sales Import"/>
    <n v="-2473.3439999999996"/>
    <n v="2473.3439999999996"/>
    <x v="2"/>
    <s v="2210"/>
    <s v="000"/>
    <x v="8"/>
    <x v="1"/>
  </r>
  <r>
    <d v="2012-06-02T00:00:00"/>
    <s v="018-2220-000"/>
    <s v="Beer Sales"/>
    <n v="747.26099999999997"/>
    <n v="0"/>
    <s v="Daily Sales Import"/>
    <n v="-747.26099999999997"/>
    <n v="747.26099999999997"/>
    <x v="2"/>
    <s v="2220"/>
    <s v="000"/>
    <x v="8"/>
    <x v="1"/>
  </r>
  <r>
    <d v="2012-06-02T00:00:00"/>
    <s v="018-2230-000"/>
    <s v="Wine Sales"/>
    <n v="54.842000000000006"/>
    <n v="0"/>
    <s v="Daily Sales Import"/>
    <n v="-54.842000000000006"/>
    <n v="54.842000000000006"/>
    <x v="2"/>
    <s v="2230"/>
    <s v="000"/>
    <x v="8"/>
    <x v="1"/>
  </r>
  <r>
    <d v="2012-06-03T00:00:00"/>
    <s v="018-2100-000"/>
    <s v="Food Sales"/>
    <n v="9034.9326000000001"/>
    <n v="0"/>
    <s v="Daily Sales Import"/>
    <n v="-9034.9326000000001"/>
    <n v="9034.9326000000001"/>
    <x v="2"/>
    <s v="2100"/>
    <s v="000"/>
    <x v="8"/>
    <x v="1"/>
  </r>
  <r>
    <d v="2012-06-03T00:00:00"/>
    <s v="018-2210-000"/>
    <s v="Liquor Sales"/>
    <n v="1333.4460000000001"/>
    <n v="0"/>
    <s v="Daily Sales Import"/>
    <n v="-1333.4460000000001"/>
    <n v="1333.4460000000001"/>
    <x v="2"/>
    <s v="2210"/>
    <s v="000"/>
    <x v="8"/>
    <x v="1"/>
  </r>
  <r>
    <d v="2012-06-03T00:00:00"/>
    <s v="018-2220-000"/>
    <s v="Beer Sales"/>
    <n v="376.74899999999997"/>
    <n v="0"/>
    <s v="Daily Sales Import"/>
    <n v="-376.74899999999997"/>
    <n v="376.74899999999997"/>
    <x v="2"/>
    <s v="2220"/>
    <s v="000"/>
    <x v="8"/>
    <x v="1"/>
  </r>
  <r>
    <d v="2012-06-03T00:00:00"/>
    <s v="018-2230-000"/>
    <s v="Wine Sales"/>
    <n v="32.549999999999997"/>
    <n v="0"/>
    <s v="Daily Sales Import"/>
    <n v="-32.549999999999997"/>
    <n v="32.549999999999997"/>
    <x v="2"/>
    <s v="2230"/>
    <s v="000"/>
    <x v="8"/>
    <x v="1"/>
  </r>
  <r>
    <d v="2012-06-04T00:00:00"/>
    <s v="016-2100-000"/>
    <s v="Food Sales"/>
    <n v="2218.5425"/>
    <n v="0"/>
    <s v="Daily Sales Import"/>
    <n v="-2218.5425"/>
    <n v="2218.5425"/>
    <x v="0"/>
    <s v="2100"/>
    <s v="000"/>
    <x v="8"/>
    <x v="1"/>
  </r>
  <r>
    <d v="2012-06-04T00:00:00"/>
    <s v="016-2210-000"/>
    <s v="Liquor Sales"/>
    <n v="491.35450000000003"/>
    <n v="0"/>
    <s v="Daily Sales Import"/>
    <n v="-491.35450000000003"/>
    <n v="491.35450000000003"/>
    <x v="0"/>
    <s v="2210"/>
    <s v="000"/>
    <x v="8"/>
    <x v="1"/>
  </r>
  <r>
    <d v="2012-06-04T00:00:00"/>
    <s v="016-2220-000"/>
    <s v="Beer Sales"/>
    <n v="106.64999999999999"/>
    <n v="0"/>
    <s v="Daily Sales Import"/>
    <n v="-106.64999999999999"/>
    <n v="106.64999999999999"/>
    <x v="0"/>
    <s v="2220"/>
    <s v="000"/>
    <x v="8"/>
    <x v="1"/>
  </r>
  <r>
    <d v="2012-06-04T00:00:00"/>
    <s v="016-2230-000"/>
    <s v="Wine Sales"/>
    <n v="109.49699999999999"/>
    <n v="0"/>
    <s v="Daily Sales Import"/>
    <n v="-109.49699999999999"/>
    <n v="109.49699999999999"/>
    <x v="0"/>
    <s v="2230"/>
    <s v="000"/>
    <x v="8"/>
    <x v="1"/>
  </r>
  <r>
    <d v="2012-06-05T00:00:00"/>
    <s v="016-2100-000"/>
    <s v="Food Sales"/>
    <n v="3655.2870000000003"/>
    <n v="0"/>
    <s v="Daily Sales Import"/>
    <n v="-3655.2870000000003"/>
    <n v="3655.2870000000003"/>
    <x v="0"/>
    <s v="2100"/>
    <s v="000"/>
    <x v="8"/>
    <x v="1"/>
  </r>
  <r>
    <d v="2012-06-05T00:00:00"/>
    <s v="016-2210-000"/>
    <s v="Liquor Sales"/>
    <n v="1422.4350000000002"/>
    <n v="0"/>
    <s v="Daily Sales Import"/>
    <n v="-1422.4350000000002"/>
    <n v="1422.4350000000002"/>
    <x v="0"/>
    <s v="2210"/>
    <s v="000"/>
    <x v="8"/>
    <x v="1"/>
  </r>
  <r>
    <d v="2012-06-05T00:00:00"/>
    <s v="016-2220-000"/>
    <s v="Beer Sales"/>
    <n v="336.10550000000001"/>
    <n v="0"/>
    <s v="Daily Sales Import"/>
    <n v="-336.10550000000001"/>
    <n v="336.10550000000001"/>
    <x v="0"/>
    <s v="2220"/>
    <s v="000"/>
    <x v="8"/>
    <x v="1"/>
  </r>
  <r>
    <d v="2012-06-05T00:00:00"/>
    <s v="016-2230-000"/>
    <s v="Wine Sales"/>
    <n v="123.12849999999999"/>
    <n v="0"/>
    <s v="Daily Sales Import"/>
    <n v="-123.12849999999999"/>
    <n v="123.12849999999999"/>
    <x v="0"/>
    <s v="2230"/>
    <s v="000"/>
    <x v="8"/>
    <x v="1"/>
  </r>
  <r>
    <d v="2012-06-06T00:00:00"/>
    <s v="016-2100-000"/>
    <s v="Food Sales"/>
    <n v="3789.6659999999997"/>
    <n v="0"/>
    <s v="Daily Sales Import"/>
    <n v="-3789.6659999999997"/>
    <n v="3789.6659999999997"/>
    <x v="0"/>
    <s v="2100"/>
    <s v="000"/>
    <x v="8"/>
    <x v="1"/>
  </r>
  <r>
    <d v="2012-06-06T00:00:00"/>
    <s v="016-2210-000"/>
    <s v="Liquor Sales"/>
    <n v="1000.0665000000001"/>
    <n v="0"/>
    <s v="Daily Sales Import"/>
    <n v="-1000.0665000000001"/>
    <n v="1000.0665000000001"/>
    <x v="0"/>
    <s v="2210"/>
    <s v="000"/>
    <x v="8"/>
    <x v="1"/>
  </r>
  <r>
    <d v="2012-06-06T00:00:00"/>
    <s v="016-2220-000"/>
    <s v="Beer Sales"/>
    <n v="214.50869999999998"/>
    <n v="0"/>
    <s v="Daily Sales Import"/>
    <n v="-214.50869999999998"/>
    <n v="214.50869999999998"/>
    <x v="0"/>
    <s v="2220"/>
    <s v="000"/>
    <x v="8"/>
    <x v="1"/>
  </r>
  <r>
    <d v="2012-06-06T00:00:00"/>
    <s v="016-2230-000"/>
    <s v="Wine Sales"/>
    <n v="67.744499999999988"/>
    <n v="0"/>
    <s v="Daily Sales Import"/>
    <n v="-67.744499999999988"/>
    <n v="67.744499999999988"/>
    <x v="0"/>
    <s v="2230"/>
    <s v="000"/>
    <x v="8"/>
    <x v="1"/>
  </r>
  <r>
    <d v="2012-06-07T00:00:00"/>
    <s v="016-2100-000"/>
    <s v="Food Sales"/>
    <n v="2873.4488999999999"/>
    <n v="0"/>
    <s v="Daily Sales Import"/>
    <n v="-2873.4488999999999"/>
    <n v="2873.4488999999999"/>
    <x v="0"/>
    <s v="2100"/>
    <s v="000"/>
    <x v="8"/>
    <x v="1"/>
  </r>
  <r>
    <d v="2012-06-07T00:00:00"/>
    <s v="016-2210-000"/>
    <s v="Liquor Sales"/>
    <n v="1274.9829999999999"/>
    <n v="0"/>
    <s v="Daily Sales Import"/>
    <n v="-1274.9829999999999"/>
    <n v="1274.9829999999999"/>
    <x v="0"/>
    <s v="2210"/>
    <s v="000"/>
    <x v="8"/>
    <x v="1"/>
  </r>
  <r>
    <d v="2012-06-07T00:00:00"/>
    <s v="016-2220-000"/>
    <s v="Beer Sales"/>
    <n v="335.85300000000001"/>
    <n v="0"/>
    <s v="Daily Sales Import"/>
    <n v="-335.85300000000001"/>
    <n v="335.85300000000001"/>
    <x v="0"/>
    <s v="2220"/>
    <s v="000"/>
    <x v="8"/>
    <x v="1"/>
  </r>
  <r>
    <d v="2012-06-07T00:00:00"/>
    <s v="016-2230-000"/>
    <s v="Wine Sales"/>
    <n v="133.285"/>
    <n v="0"/>
    <s v="Daily Sales Import"/>
    <n v="-133.285"/>
    <n v="133.285"/>
    <x v="0"/>
    <s v="2230"/>
    <s v="000"/>
    <x v="8"/>
    <x v="1"/>
  </r>
  <r>
    <d v="2012-06-08T00:00:00"/>
    <s v="016-2100-000"/>
    <s v="Food Sales"/>
    <n v="7550.9946"/>
    <n v="0"/>
    <s v="Daily Sales Import"/>
    <n v="-7550.9946"/>
    <n v="7550.9946"/>
    <x v="0"/>
    <s v="2100"/>
    <s v="000"/>
    <x v="8"/>
    <x v="1"/>
  </r>
  <r>
    <d v="2012-06-08T00:00:00"/>
    <s v="016-2210-000"/>
    <s v="Liquor Sales"/>
    <n v="1896.9119999999998"/>
    <n v="0"/>
    <s v="Daily Sales Import"/>
    <n v="-1896.9119999999998"/>
    <n v="1896.9119999999998"/>
    <x v="0"/>
    <s v="2210"/>
    <s v="000"/>
    <x v="8"/>
    <x v="1"/>
  </r>
  <r>
    <d v="2012-06-08T00:00:00"/>
    <s v="016-2220-000"/>
    <s v="Beer Sales"/>
    <n v="390.60900000000004"/>
    <n v="0"/>
    <s v="Daily Sales Import"/>
    <n v="-390.60900000000004"/>
    <n v="390.60900000000004"/>
    <x v="0"/>
    <s v="2220"/>
    <s v="000"/>
    <x v="8"/>
    <x v="1"/>
  </r>
  <r>
    <d v="2012-06-08T00:00:00"/>
    <s v="016-2230-000"/>
    <s v="Wine Sales"/>
    <n v="157.54500000000002"/>
    <n v="0"/>
    <s v="Daily Sales Import"/>
    <n v="-157.54500000000002"/>
    <n v="157.54500000000002"/>
    <x v="0"/>
    <s v="2230"/>
    <s v="000"/>
    <x v="8"/>
    <x v="1"/>
  </r>
  <r>
    <d v="2012-06-09T00:00:00"/>
    <s v="016-2100-000"/>
    <s v="Food Sales"/>
    <n v="5209.1200000000008"/>
    <n v="0"/>
    <s v="Daily Sales Import"/>
    <n v="-5209.1200000000008"/>
    <n v="5209.1200000000008"/>
    <x v="0"/>
    <s v="2100"/>
    <s v="000"/>
    <x v="8"/>
    <x v="1"/>
  </r>
  <r>
    <d v="2012-06-09T00:00:00"/>
    <s v="016-2210-000"/>
    <s v="Liquor Sales"/>
    <n v="2052.6000000000004"/>
    <n v="0"/>
    <s v="Daily Sales Import"/>
    <n v="-2052.6000000000004"/>
    <n v="2052.6000000000004"/>
    <x v="0"/>
    <s v="2210"/>
    <s v="000"/>
    <x v="8"/>
    <x v="1"/>
  </r>
  <r>
    <d v="2012-06-09T00:00:00"/>
    <s v="016-2220-000"/>
    <s v="Beer Sales"/>
    <n v="516.51600000000008"/>
    <n v="0"/>
    <s v="Daily Sales Import"/>
    <n v="-516.51600000000008"/>
    <n v="516.51600000000008"/>
    <x v="0"/>
    <s v="2220"/>
    <s v="000"/>
    <x v="8"/>
    <x v="1"/>
  </r>
  <r>
    <d v="2012-06-09T00:00:00"/>
    <s v="016-2230-000"/>
    <s v="Wine Sales"/>
    <n v="101.00250000000001"/>
    <n v="0"/>
    <s v="Daily Sales Import"/>
    <n v="-101.00250000000001"/>
    <n v="101.00250000000001"/>
    <x v="0"/>
    <s v="2230"/>
    <s v="000"/>
    <x v="8"/>
    <x v="1"/>
  </r>
  <r>
    <d v="2012-06-10T00:00:00"/>
    <s v="016-2100-000"/>
    <s v="Food Sales"/>
    <n v="5634.4167999999991"/>
    <n v="0"/>
    <s v="Daily Sales Import"/>
    <n v="-5634.4167999999991"/>
    <n v="5634.4167999999991"/>
    <x v="0"/>
    <s v="2100"/>
    <s v="000"/>
    <x v="8"/>
    <x v="1"/>
  </r>
  <r>
    <d v="2012-06-10T00:00:00"/>
    <s v="016-2210-000"/>
    <s v="Liquor Sales"/>
    <n v="1592.0709999999999"/>
    <n v="0"/>
    <s v="Daily Sales Import"/>
    <n v="-1592.0709999999999"/>
    <n v="1592.0709999999999"/>
    <x v="0"/>
    <s v="2210"/>
    <s v="000"/>
    <x v="8"/>
    <x v="1"/>
  </r>
  <r>
    <d v="2012-06-10T00:00:00"/>
    <s v="016-2220-000"/>
    <s v="Beer Sales"/>
    <n v="138.85649999999998"/>
    <n v="0"/>
    <s v="Daily Sales Import"/>
    <n v="-138.85649999999998"/>
    <n v="138.85649999999998"/>
    <x v="0"/>
    <s v="2220"/>
    <s v="000"/>
    <x v="8"/>
    <x v="1"/>
  </r>
  <r>
    <d v="2012-06-10T00:00:00"/>
    <s v="016-2230-000"/>
    <s v="Wine Sales"/>
    <n v="36.363"/>
    <n v="0"/>
    <s v="Daily Sales Import"/>
    <n v="-36.363"/>
    <n v="36.363"/>
    <x v="0"/>
    <s v="2230"/>
    <s v="000"/>
    <x v="8"/>
    <x v="1"/>
  </r>
  <r>
    <d v="2012-06-04T00:00:00"/>
    <s v="017-2100-000"/>
    <s v="Food Sales"/>
    <n v="3612.7174999999997"/>
    <n v="0"/>
    <s v="Daily Sales Import"/>
    <n v="-3612.7174999999997"/>
    <n v="3612.7174999999997"/>
    <x v="1"/>
    <s v="2100"/>
    <s v="000"/>
    <x v="8"/>
    <x v="1"/>
  </r>
  <r>
    <d v="2012-06-04T00:00:00"/>
    <s v="017-2210-000"/>
    <s v="Liquor Sales"/>
    <n v="908.19650000000001"/>
    <n v="0"/>
    <s v="Daily Sales Import"/>
    <n v="-908.19650000000001"/>
    <n v="908.19650000000001"/>
    <x v="1"/>
    <s v="2210"/>
    <s v="000"/>
    <x v="8"/>
    <x v="1"/>
  </r>
  <r>
    <d v="2012-06-04T00:00:00"/>
    <s v="017-2220-000"/>
    <s v="Beer Sales"/>
    <n v="330.32749999999999"/>
    <n v="0"/>
    <s v="Daily Sales Import"/>
    <n v="-330.32749999999999"/>
    <n v="330.32749999999999"/>
    <x v="1"/>
    <s v="2220"/>
    <s v="000"/>
    <x v="8"/>
    <x v="1"/>
  </r>
  <r>
    <d v="2012-06-04T00:00:00"/>
    <s v="017-2230-000"/>
    <s v="Wine Sales"/>
    <n v="52.092500000000001"/>
    <n v="0"/>
    <s v="Daily Sales Import"/>
    <n v="-52.092500000000001"/>
    <n v="52.092500000000001"/>
    <x v="1"/>
    <s v="2230"/>
    <s v="000"/>
    <x v="8"/>
    <x v="1"/>
  </r>
  <r>
    <d v="2012-06-05T00:00:00"/>
    <s v="017-2100-000"/>
    <s v="Food Sales"/>
    <n v="6324.0501000000004"/>
    <n v="0"/>
    <s v="Daily Sales Import"/>
    <n v="-6324.0501000000004"/>
    <n v="6324.0501000000004"/>
    <x v="1"/>
    <s v="2100"/>
    <s v="000"/>
    <x v="8"/>
    <x v="1"/>
  </r>
  <r>
    <d v="2012-06-05T00:00:00"/>
    <s v="017-2210-000"/>
    <s v="Liquor Sales"/>
    <n v="1437.54"/>
    <n v="0"/>
    <s v="Daily Sales Import"/>
    <n v="-1437.54"/>
    <n v="1437.54"/>
    <x v="1"/>
    <s v="2210"/>
    <s v="000"/>
    <x v="8"/>
    <x v="1"/>
  </r>
  <r>
    <d v="2012-06-05T00:00:00"/>
    <s v="017-2220-000"/>
    <s v="Beer Sales"/>
    <n v="641.70000000000005"/>
    <n v="0"/>
    <s v="Daily Sales Import"/>
    <n v="-641.70000000000005"/>
    <n v="641.70000000000005"/>
    <x v="1"/>
    <s v="2220"/>
    <s v="000"/>
    <x v="8"/>
    <x v="1"/>
  </r>
  <r>
    <d v="2012-06-05T00:00:00"/>
    <s v="017-2230-000"/>
    <s v="Wine Sales"/>
    <n v="166.18799999999999"/>
    <n v="0"/>
    <s v="Daily Sales Import"/>
    <n v="-166.18799999999999"/>
    <n v="166.18799999999999"/>
    <x v="1"/>
    <s v="2230"/>
    <s v="000"/>
    <x v="8"/>
    <x v="1"/>
  </r>
  <r>
    <d v="2012-06-06T00:00:00"/>
    <s v="017-2100-000"/>
    <s v="Food Sales"/>
    <n v="6710.5249999999996"/>
    <n v="0"/>
    <s v="Daily Sales Import"/>
    <n v="-6710.5249999999996"/>
    <n v="6710.5249999999996"/>
    <x v="1"/>
    <s v="2100"/>
    <s v="000"/>
    <x v="8"/>
    <x v="1"/>
  </r>
  <r>
    <d v="2012-06-06T00:00:00"/>
    <s v="017-2210-000"/>
    <s v="Liquor Sales"/>
    <n v="2707.92"/>
    <n v="0"/>
    <s v="Daily Sales Import"/>
    <n v="-2707.92"/>
    <n v="2707.92"/>
    <x v="1"/>
    <s v="2210"/>
    <s v="000"/>
    <x v="8"/>
    <x v="1"/>
  </r>
  <r>
    <d v="2012-06-06T00:00:00"/>
    <s v="017-2220-000"/>
    <s v="Beer Sales"/>
    <n v="592.11"/>
    <n v="0"/>
    <s v="Daily Sales Import"/>
    <n v="-592.11"/>
    <n v="592.11"/>
    <x v="1"/>
    <s v="2220"/>
    <s v="000"/>
    <x v="8"/>
    <x v="1"/>
  </r>
  <r>
    <d v="2012-06-06T00:00:00"/>
    <s v="017-2230-000"/>
    <s v="Wine Sales"/>
    <n v="210.78749999999999"/>
    <n v="0"/>
    <s v="Daily Sales Import"/>
    <n v="-210.78749999999999"/>
    <n v="210.78749999999999"/>
    <x v="1"/>
    <s v="2230"/>
    <s v="000"/>
    <x v="8"/>
    <x v="1"/>
  </r>
  <r>
    <d v="2012-06-07T00:00:00"/>
    <s v="017-2100-000"/>
    <s v="Food Sales"/>
    <n v="5500.9679999999998"/>
    <n v="0"/>
    <s v="Daily Sales Import"/>
    <n v="-5500.9679999999998"/>
    <n v="5500.9679999999998"/>
    <x v="1"/>
    <s v="2100"/>
    <s v="000"/>
    <x v="8"/>
    <x v="1"/>
  </r>
  <r>
    <d v="2012-06-07T00:00:00"/>
    <s v="017-2210-000"/>
    <s v="Liquor Sales"/>
    <n v="1474.2750000000001"/>
    <n v="0"/>
    <s v="Daily Sales Import"/>
    <n v="-1474.2750000000001"/>
    <n v="1474.2750000000001"/>
    <x v="1"/>
    <s v="2210"/>
    <s v="000"/>
    <x v="8"/>
    <x v="1"/>
  </r>
  <r>
    <d v="2012-06-07T00:00:00"/>
    <s v="017-2220-000"/>
    <s v="Beer Sales"/>
    <n v="487.39000000000004"/>
    <n v="0"/>
    <s v="Daily Sales Import"/>
    <n v="-487.39000000000004"/>
    <n v="487.39000000000004"/>
    <x v="1"/>
    <s v="2220"/>
    <s v="000"/>
    <x v="8"/>
    <x v="1"/>
  </r>
  <r>
    <d v="2012-06-07T00:00:00"/>
    <s v="017-2230-000"/>
    <s v="Wine Sales"/>
    <n v="115.88500000000001"/>
    <n v="0"/>
    <s v="Daily Sales Import"/>
    <n v="-115.88500000000001"/>
    <n v="115.88500000000001"/>
    <x v="1"/>
    <s v="2230"/>
    <s v="000"/>
    <x v="8"/>
    <x v="1"/>
  </r>
  <r>
    <d v="2012-06-08T00:00:00"/>
    <s v="017-2100-000"/>
    <s v="Food Sales"/>
    <n v="7650.0227999999997"/>
    <n v="0"/>
    <s v="Daily Sales Import"/>
    <n v="-7650.0227999999997"/>
    <n v="7650.0227999999997"/>
    <x v="1"/>
    <s v="2100"/>
    <s v="000"/>
    <x v="8"/>
    <x v="1"/>
  </r>
  <r>
    <d v="2012-06-08T00:00:00"/>
    <s v="017-2210-000"/>
    <s v="Liquor Sales"/>
    <n v="2952.5625"/>
    <n v="0"/>
    <s v="Daily Sales Import"/>
    <n v="-2952.5625"/>
    <n v="2952.5625"/>
    <x v="1"/>
    <s v="2210"/>
    <s v="000"/>
    <x v="8"/>
    <x v="1"/>
  </r>
  <r>
    <d v="2012-06-08T00:00:00"/>
    <s v="017-2220-000"/>
    <s v="Beer Sales"/>
    <n v="485.93249999999995"/>
    <n v="0"/>
    <s v="Daily Sales Import"/>
    <n v="-485.93249999999995"/>
    <n v="485.93249999999995"/>
    <x v="1"/>
    <s v="2220"/>
    <s v="000"/>
    <x v="8"/>
    <x v="1"/>
  </r>
  <r>
    <d v="2012-06-08T00:00:00"/>
    <s v="017-2230-000"/>
    <s v="Wine Sales"/>
    <n v="144.018"/>
    <n v="0"/>
    <s v="Daily Sales Import"/>
    <n v="-144.018"/>
    <n v="144.018"/>
    <x v="1"/>
    <s v="2230"/>
    <s v="000"/>
    <x v="8"/>
    <x v="1"/>
  </r>
  <r>
    <d v="2012-06-09T00:00:00"/>
    <s v="017-2100-000"/>
    <s v="Food Sales"/>
    <n v="6949.6960000000008"/>
    <n v="0"/>
    <s v="Daily Sales Import"/>
    <n v="-6949.6960000000008"/>
    <n v="6949.6960000000008"/>
    <x v="1"/>
    <s v="2100"/>
    <s v="000"/>
    <x v="8"/>
    <x v="1"/>
  </r>
  <r>
    <d v="2012-06-09T00:00:00"/>
    <s v="017-2210-000"/>
    <s v="Liquor Sales"/>
    <n v="2188.1369999999997"/>
    <n v="0"/>
    <s v="Daily Sales Import"/>
    <n v="-2188.1369999999997"/>
    <n v="2188.1369999999997"/>
    <x v="1"/>
    <s v="2210"/>
    <s v="000"/>
    <x v="8"/>
    <x v="1"/>
  </r>
  <r>
    <d v="2012-06-09T00:00:00"/>
    <s v="017-2220-000"/>
    <s v="Beer Sales"/>
    <n v="286.3075"/>
    <n v="0"/>
    <s v="Daily Sales Import"/>
    <n v="-286.3075"/>
    <n v="286.3075"/>
    <x v="1"/>
    <s v="2220"/>
    <s v="000"/>
    <x v="8"/>
    <x v="1"/>
  </r>
  <r>
    <d v="2012-06-09T00:00:00"/>
    <s v="017-2230-000"/>
    <s v="Wine Sales"/>
    <n v="114.66000000000001"/>
    <n v="0"/>
    <s v="Daily Sales Import"/>
    <n v="-114.66000000000001"/>
    <n v="114.66000000000001"/>
    <x v="1"/>
    <s v="2230"/>
    <s v="000"/>
    <x v="8"/>
    <x v="1"/>
  </r>
  <r>
    <d v="2012-06-10T00:00:00"/>
    <s v="017-2100-000"/>
    <s v="Food Sales"/>
    <n v="3952.2599999999998"/>
    <n v="0"/>
    <s v="Daily Sales Import"/>
    <n v="-3952.2599999999998"/>
    <n v="3952.2599999999998"/>
    <x v="1"/>
    <s v="2100"/>
    <s v="000"/>
    <x v="8"/>
    <x v="1"/>
  </r>
  <r>
    <d v="2012-06-10T00:00:00"/>
    <s v="017-2210-000"/>
    <s v="Liquor Sales"/>
    <n v="1074.2850000000001"/>
    <n v="0"/>
    <s v="Daily Sales Import"/>
    <n v="-1074.2850000000001"/>
    <n v="1074.2850000000001"/>
    <x v="1"/>
    <s v="2210"/>
    <s v="000"/>
    <x v="8"/>
    <x v="1"/>
  </r>
  <r>
    <d v="2012-06-10T00:00:00"/>
    <s v="017-2220-000"/>
    <s v="Beer Sales"/>
    <n v="153.1875"/>
    <n v="0"/>
    <s v="Daily Sales Import"/>
    <n v="-153.1875"/>
    <n v="153.1875"/>
    <x v="1"/>
    <s v="2220"/>
    <s v="000"/>
    <x v="8"/>
    <x v="1"/>
  </r>
  <r>
    <d v="2012-06-10T00:00:00"/>
    <s v="017-2230-000"/>
    <s v="Wine Sales"/>
    <n v="48.762499999999996"/>
    <n v="0"/>
    <s v="Daily Sales Import"/>
    <n v="-48.762499999999996"/>
    <n v="48.762499999999996"/>
    <x v="1"/>
    <s v="2230"/>
    <s v="000"/>
    <x v="8"/>
    <x v="1"/>
  </r>
  <r>
    <d v="2012-06-04T00:00:00"/>
    <s v="018-2100-000"/>
    <s v="Food Sales"/>
    <n v="3868.6986000000002"/>
    <n v="0"/>
    <s v="Daily Sales Import"/>
    <n v="-3868.6986000000002"/>
    <n v="3868.6986000000002"/>
    <x v="2"/>
    <s v="2100"/>
    <s v="000"/>
    <x v="8"/>
    <x v="1"/>
  </r>
  <r>
    <d v="2012-06-04T00:00:00"/>
    <s v="018-2210-000"/>
    <s v="Liquor Sales"/>
    <n v="607.62099999999998"/>
    <n v="0"/>
    <s v="Daily Sales Import"/>
    <n v="-607.62099999999998"/>
    <n v="607.62099999999998"/>
    <x v="2"/>
    <s v="2210"/>
    <s v="000"/>
    <x v="8"/>
    <x v="1"/>
  </r>
  <r>
    <d v="2012-06-04T00:00:00"/>
    <s v="018-2220-000"/>
    <s v="Beer Sales"/>
    <n v="174.4015"/>
    <n v="0"/>
    <s v="Daily Sales Import"/>
    <n v="-174.4015"/>
    <n v="174.4015"/>
    <x v="2"/>
    <s v="2220"/>
    <s v="000"/>
    <x v="8"/>
    <x v="1"/>
  </r>
  <r>
    <d v="2012-06-04T00:00:00"/>
    <s v="018-2230-000"/>
    <s v="Wine Sales"/>
    <n v="45.18"/>
    <n v="0"/>
    <s v="Daily Sales Import"/>
    <n v="-45.18"/>
    <n v="45.18"/>
    <x v="2"/>
    <s v="2230"/>
    <s v="000"/>
    <x v="8"/>
    <x v="1"/>
  </r>
  <r>
    <d v="2012-06-05T00:00:00"/>
    <s v="018-2100-000"/>
    <s v="Food Sales"/>
    <n v="4067.2846999999997"/>
    <n v="0"/>
    <s v="Daily Sales Import"/>
    <n v="-4067.2846999999997"/>
    <n v="4067.2846999999997"/>
    <x v="2"/>
    <s v="2100"/>
    <s v="000"/>
    <x v="8"/>
    <x v="1"/>
  </r>
  <r>
    <d v="2012-06-05T00:00:00"/>
    <s v="018-2210-000"/>
    <s v="Liquor Sales"/>
    <n v="575.31200000000001"/>
    <n v="0"/>
    <s v="Daily Sales Import"/>
    <n v="-575.31200000000001"/>
    <n v="575.31200000000001"/>
    <x v="2"/>
    <s v="2210"/>
    <s v="000"/>
    <x v="8"/>
    <x v="1"/>
  </r>
  <r>
    <d v="2012-06-05T00:00:00"/>
    <s v="018-2220-000"/>
    <s v="Beer Sales"/>
    <n v="113.456"/>
    <n v="0"/>
    <s v="Daily Sales Import"/>
    <n v="-113.456"/>
    <n v="113.456"/>
    <x v="2"/>
    <s v="2220"/>
    <s v="000"/>
    <x v="8"/>
    <x v="1"/>
  </r>
  <r>
    <d v="2012-06-05T00:00:00"/>
    <s v="018-2230-000"/>
    <s v="Wine Sales"/>
    <n v="63.861999999999995"/>
    <n v="0"/>
    <s v="Daily Sales Import"/>
    <n v="-63.861999999999995"/>
    <n v="63.861999999999995"/>
    <x v="2"/>
    <s v="2230"/>
    <s v="000"/>
    <x v="8"/>
    <x v="1"/>
  </r>
  <r>
    <d v="2012-06-06T00:00:00"/>
    <s v="018-2100-000"/>
    <s v="Food Sales"/>
    <n v="4505.7012000000004"/>
    <n v="0"/>
    <s v="Daily Sales Import"/>
    <n v="-4505.7012000000004"/>
    <n v="4505.7012000000004"/>
    <x v="2"/>
    <s v="2100"/>
    <s v="000"/>
    <x v="8"/>
    <x v="1"/>
  </r>
  <r>
    <d v="2012-06-06T00:00:00"/>
    <s v="018-2210-000"/>
    <s v="Liquor Sales"/>
    <n v="894.06400000000008"/>
    <n v="0"/>
    <s v="Daily Sales Import"/>
    <n v="-894.06400000000008"/>
    <n v="894.06400000000008"/>
    <x v="2"/>
    <s v="2210"/>
    <s v="000"/>
    <x v="8"/>
    <x v="1"/>
  </r>
  <r>
    <d v="2012-06-06T00:00:00"/>
    <s v="018-2220-000"/>
    <s v="Beer Sales"/>
    <n v="174.59399999999999"/>
    <n v="0"/>
    <s v="Daily Sales Import"/>
    <n v="-174.59399999999999"/>
    <n v="174.59399999999999"/>
    <x v="2"/>
    <s v="2220"/>
    <s v="000"/>
    <x v="8"/>
    <x v="1"/>
  </r>
  <r>
    <d v="2012-06-06T00:00:00"/>
    <s v="018-2230-000"/>
    <s v="Wine Sales"/>
    <n v="28.909999999999997"/>
    <n v="0"/>
    <s v="Daily Sales Import"/>
    <n v="-28.909999999999997"/>
    <n v="28.909999999999997"/>
    <x v="2"/>
    <s v="2230"/>
    <s v="000"/>
    <x v="8"/>
    <x v="1"/>
  </r>
  <r>
    <d v="2012-06-07T00:00:00"/>
    <s v="018-2100-000"/>
    <s v="Food Sales"/>
    <n v="5074.6876000000002"/>
    <n v="0"/>
    <s v="Daily Sales Import"/>
    <n v="-5074.6876000000002"/>
    <n v="5074.6876000000002"/>
    <x v="2"/>
    <s v="2100"/>
    <s v="000"/>
    <x v="8"/>
    <x v="1"/>
  </r>
  <r>
    <d v="2012-06-07T00:00:00"/>
    <s v="018-2210-000"/>
    <s v="Liquor Sales"/>
    <n v="993.06900000000007"/>
    <n v="0"/>
    <s v="Daily Sales Import"/>
    <n v="-993.06900000000007"/>
    <n v="993.06900000000007"/>
    <x v="2"/>
    <s v="2210"/>
    <s v="000"/>
    <x v="8"/>
    <x v="1"/>
  </r>
  <r>
    <d v="2012-06-07T00:00:00"/>
    <s v="018-2220-000"/>
    <s v="Beer Sales"/>
    <n v="314.56350000000003"/>
    <n v="0"/>
    <s v="Daily Sales Import"/>
    <n v="-314.56350000000003"/>
    <n v="314.56350000000003"/>
    <x v="2"/>
    <s v="2220"/>
    <s v="000"/>
    <x v="8"/>
    <x v="1"/>
  </r>
  <r>
    <d v="2012-06-07T00:00:00"/>
    <s v="018-2230-000"/>
    <s v="Wine Sales"/>
    <n v="78.622"/>
    <n v="0"/>
    <s v="Daily Sales Import"/>
    <n v="-78.622"/>
    <n v="78.622"/>
    <x v="2"/>
    <s v="2230"/>
    <s v="000"/>
    <x v="8"/>
    <x v="1"/>
  </r>
  <r>
    <d v="2012-06-08T00:00:00"/>
    <s v="018-2100-000"/>
    <s v="Food Sales"/>
    <n v="11598.175499999999"/>
    <n v="0"/>
    <s v="Daily Sales Import"/>
    <n v="-11598.175499999999"/>
    <n v="11598.175499999999"/>
    <x v="2"/>
    <s v="2100"/>
    <s v="000"/>
    <x v="8"/>
    <x v="1"/>
  </r>
  <r>
    <d v="2012-06-08T00:00:00"/>
    <s v="018-2210-000"/>
    <s v="Liquor Sales"/>
    <n v="3442.7289999999998"/>
    <n v="0"/>
    <s v="Daily Sales Import"/>
    <n v="-3442.7289999999998"/>
    <n v="3442.7289999999998"/>
    <x v="2"/>
    <s v="2210"/>
    <s v="000"/>
    <x v="8"/>
    <x v="1"/>
  </r>
  <r>
    <d v="2012-06-08T00:00:00"/>
    <s v="018-2220-000"/>
    <s v="Beer Sales"/>
    <n v="780.62"/>
    <n v="0"/>
    <s v="Daily Sales Import"/>
    <n v="-780.62"/>
    <n v="780.62"/>
    <x v="2"/>
    <s v="2220"/>
    <s v="000"/>
    <x v="8"/>
    <x v="1"/>
  </r>
  <r>
    <d v="2012-06-08T00:00:00"/>
    <s v="018-2230-000"/>
    <s v="Wine Sales"/>
    <n v="147.48749999999998"/>
    <n v="0"/>
    <s v="Daily Sales Import"/>
    <n v="-147.48749999999998"/>
    <n v="147.48749999999998"/>
    <x v="2"/>
    <s v="2230"/>
    <s v="000"/>
    <x v="8"/>
    <x v="1"/>
  </r>
  <r>
    <d v="2012-06-09T00:00:00"/>
    <s v="018-2100-000"/>
    <s v="Food Sales"/>
    <n v="12452.050500000001"/>
    <n v="0"/>
    <s v="Daily Sales Import"/>
    <n v="-12452.050500000001"/>
    <n v="12452.050500000001"/>
    <x v="2"/>
    <s v="2100"/>
    <s v="000"/>
    <x v="8"/>
    <x v="1"/>
  </r>
  <r>
    <d v="2012-06-09T00:00:00"/>
    <s v="018-2210-000"/>
    <s v="Liquor Sales"/>
    <n v="1960.9365"/>
    <n v="0"/>
    <s v="Daily Sales Import"/>
    <n v="-1960.9365"/>
    <n v="1960.9365"/>
    <x v="2"/>
    <s v="2210"/>
    <s v="000"/>
    <x v="8"/>
    <x v="1"/>
  </r>
  <r>
    <d v="2012-06-09T00:00:00"/>
    <s v="018-2220-000"/>
    <s v="Beer Sales"/>
    <n v="727.98"/>
    <n v="0"/>
    <s v="Daily Sales Import"/>
    <n v="-727.98"/>
    <n v="727.98"/>
    <x v="2"/>
    <s v="2220"/>
    <s v="000"/>
    <x v="8"/>
    <x v="1"/>
  </r>
  <r>
    <d v="2012-06-09T00:00:00"/>
    <s v="018-2230-000"/>
    <s v="Wine Sales"/>
    <n v="54.925000000000004"/>
    <n v="0"/>
    <s v="Daily Sales Import"/>
    <n v="-54.925000000000004"/>
    <n v="54.925000000000004"/>
    <x v="2"/>
    <s v="2230"/>
    <s v="000"/>
    <x v="8"/>
    <x v="1"/>
  </r>
  <r>
    <d v="2012-06-10T00:00:00"/>
    <s v="018-2100-000"/>
    <s v="Food Sales"/>
    <n v="10008.759"/>
    <n v="0"/>
    <s v="Daily Sales Import"/>
    <n v="-10008.759"/>
    <n v="10008.759"/>
    <x v="2"/>
    <s v="2100"/>
    <s v="000"/>
    <x v="8"/>
    <x v="1"/>
  </r>
  <r>
    <d v="2012-06-10T00:00:00"/>
    <s v="018-2210-000"/>
    <s v="Liquor Sales"/>
    <n v="1902.1970000000001"/>
    <n v="0"/>
    <s v="Daily Sales Import"/>
    <n v="-1902.1970000000001"/>
    <n v="1902.1970000000001"/>
    <x v="2"/>
    <s v="2210"/>
    <s v="000"/>
    <x v="8"/>
    <x v="1"/>
  </r>
  <r>
    <d v="2012-06-10T00:00:00"/>
    <s v="018-2220-000"/>
    <s v="Beer Sales"/>
    <n v="244.2825"/>
    <n v="0"/>
    <s v="Daily Sales Import"/>
    <n v="-244.2825"/>
    <n v="244.2825"/>
    <x v="2"/>
    <s v="2220"/>
    <s v="000"/>
    <x v="8"/>
    <x v="1"/>
  </r>
  <r>
    <d v="2012-06-10T00:00:00"/>
    <s v="018-2230-000"/>
    <s v="Wine Sales"/>
    <n v="54.432000000000009"/>
    <n v="0"/>
    <s v="Daily Sales Import"/>
    <n v="-54.432000000000009"/>
    <n v="54.432000000000009"/>
    <x v="2"/>
    <s v="2230"/>
    <s v="000"/>
    <x v="8"/>
    <x v="1"/>
  </r>
  <r>
    <d v="2012-06-11T00:00:00"/>
    <s v="016-2100-000"/>
    <s v="Food Sales"/>
    <n v="2497.393"/>
    <n v="0"/>
    <s v="Daily Sales Import"/>
    <n v="-2497.393"/>
    <n v="2497.393"/>
    <x v="0"/>
    <s v="2100"/>
    <s v="000"/>
    <x v="8"/>
    <x v="1"/>
  </r>
  <r>
    <d v="2012-06-11T00:00:00"/>
    <s v="016-2210-000"/>
    <s v="Liquor Sales"/>
    <n v="550.90719999999999"/>
    <n v="0"/>
    <s v="Daily Sales Import"/>
    <n v="-550.90719999999999"/>
    <n v="550.90719999999999"/>
    <x v="0"/>
    <s v="2210"/>
    <s v="000"/>
    <x v="8"/>
    <x v="1"/>
  </r>
  <r>
    <d v="2012-06-11T00:00:00"/>
    <s v="016-2220-000"/>
    <s v="Beer Sales"/>
    <n v="145.60679999999999"/>
    <n v="0"/>
    <s v="Daily Sales Import"/>
    <n v="-145.60679999999999"/>
    <n v="145.60679999999999"/>
    <x v="0"/>
    <s v="2220"/>
    <s v="000"/>
    <x v="8"/>
    <x v="1"/>
  </r>
  <r>
    <d v="2012-06-11T00:00:00"/>
    <s v="016-2230-000"/>
    <s v="Wine Sales"/>
    <n v="54.872999999999998"/>
    <n v="0"/>
    <s v="Daily Sales Import"/>
    <n v="-54.872999999999998"/>
    <n v="54.872999999999998"/>
    <x v="0"/>
    <s v="2230"/>
    <s v="000"/>
    <x v="8"/>
    <x v="1"/>
  </r>
  <r>
    <d v="2012-06-12T00:00:00"/>
    <s v="016-2100-000"/>
    <s v="Food Sales"/>
    <n v="3029.5719999999997"/>
    <n v="0"/>
    <s v="Daily Sales Import"/>
    <n v="-3029.5719999999997"/>
    <n v="3029.5719999999997"/>
    <x v="0"/>
    <s v="2100"/>
    <s v="000"/>
    <x v="8"/>
    <x v="1"/>
  </r>
  <r>
    <d v="2012-06-12T00:00:00"/>
    <s v="016-2210-000"/>
    <s v="Liquor Sales"/>
    <n v="1713.0645000000002"/>
    <n v="0"/>
    <s v="Daily Sales Import"/>
    <n v="-1713.0645000000002"/>
    <n v="1713.0645000000002"/>
    <x v="0"/>
    <s v="2210"/>
    <s v="000"/>
    <x v="8"/>
    <x v="1"/>
  </r>
  <r>
    <d v="2012-06-12T00:00:00"/>
    <s v="016-2220-000"/>
    <s v="Beer Sales"/>
    <n v="583.1099999999999"/>
    <n v="0"/>
    <s v="Daily Sales Import"/>
    <n v="-583.1099999999999"/>
    <n v="583.1099999999999"/>
    <x v="0"/>
    <s v="2220"/>
    <s v="000"/>
    <x v="8"/>
    <x v="1"/>
  </r>
  <r>
    <d v="2012-06-12T00:00:00"/>
    <s v="016-2230-000"/>
    <s v="Wine Sales"/>
    <n v="112.26600000000001"/>
    <n v="0"/>
    <s v="Daily Sales Import"/>
    <n v="-112.26600000000001"/>
    <n v="112.26600000000001"/>
    <x v="0"/>
    <s v="2230"/>
    <s v="000"/>
    <x v="8"/>
    <x v="1"/>
  </r>
  <r>
    <d v="2012-06-13T00:00:00"/>
    <s v="016-2100-000"/>
    <s v="Food Sales"/>
    <n v="2600.2673"/>
    <n v="0"/>
    <s v="Daily Sales Import"/>
    <n v="-2600.2673"/>
    <n v="2600.2673"/>
    <x v="0"/>
    <s v="2100"/>
    <s v="000"/>
    <x v="8"/>
    <x v="1"/>
  </r>
  <r>
    <d v="2012-06-13T00:00:00"/>
    <s v="016-2210-000"/>
    <s v="Liquor Sales"/>
    <n v="712.23649999999998"/>
    <n v="0"/>
    <s v="Daily Sales Import"/>
    <n v="-712.23649999999998"/>
    <n v="712.23649999999998"/>
    <x v="0"/>
    <s v="2210"/>
    <s v="000"/>
    <x v="8"/>
    <x v="1"/>
  </r>
  <r>
    <d v="2012-06-13T00:00:00"/>
    <s v="016-2220-000"/>
    <s v="Beer Sales"/>
    <n v="72.503999999999991"/>
    <n v="0"/>
    <s v="Daily Sales Import"/>
    <n v="-72.503999999999991"/>
    <n v="72.503999999999991"/>
    <x v="0"/>
    <s v="2220"/>
    <s v="000"/>
    <x v="8"/>
    <x v="1"/>
  </r>
  <r>
    <d v="2012-06-13T00:00:00"/>
    <s v="016-2230-000"/>
    <s v="Wine Sales"/>
    <n v="26.112000000000002"/>
    <n v="0"/>
    <s v="Daily Sales Import"/>
    <n v="-26.112000000000002"/>
    <n v="26.112000000000002"/>
    <x v="0"/>
    <s v="2230"/>
    <s v="000"/>
    <x v="8"/>
    <x v="1"/>
  </r>
  <r>
    <d v="2012-06-14T00:00:00"/>
    <s v="016-2100-000"/>
    <s v="Food Sales"/>
    <n v="3226.4778000000001"/>
    <n v="0"/>
    <s v="Daily Sales Import"/>
    <n v="-3226.4778000000001"/>
    <n v="3226.4778000000001"/>
    <x v="0"/>
    <s v="2100"/>
    <s v="000"/>
    <x v="8"/>
    <x v="1"/>
  </r>
  <r>
    <d v="2012-06-14T00:00:00"/>
    <s v="016-2210-000"/>
    <s v="Liquor Sales"/>
    <n v="1012.7026"/>
    <n v="0"/>
    <s v="Daily Sales Import"/>
    <n v="-1012.7026"/>
    <n v="1012.7026"/>
    <x v="0"/>
    <s v="2210"/>
    <s v="000"/>
    <x v="8"/>
    <x v="1"/>
  </r>
  <r>
    <d v="2012-06-14T00:00:00"/>
    <s v="016-2220-000"/>
    <s v="Beer Sales"/>
    <n v="208.6695"/>
    <n v="0"/>
    <s v="Daily Sales Import"/>
    <n v="-208.6695"/>
    <n v="208.6695"/>
    <x v="0"/>
    <s v="2220"/>
    <s v="000"/>
    <x v="8"/>
    <x v="1"/>
  </r>
  <r>
    <d v="2012-06-14T00:00:00"/>
    <s v="016-2230-000"/>
    <s v="Wine Sales"/>
    <n v="68.875"/>
    <n v="0"/>
    <s v="Daily Sales Import"/>
    <n v="-68.875"/>
    <n v="68.875"/>
    <x v="0"/>
    <s v="2230"/>
    <s v="000"/>
    <x v="8"/>
    <x v="1"/>
  </r>
  <r>
    <d v="2012-06-15T00:00:00"/>
    <s v="016-2100-000"/>
    <s v="Food Sales"/>
    <n v="7358.1989999999987"/>
    <n v="0"/>
    <s v="Daily Sales Import"/>
    <n v="-7358.1989999999987"/>
    <n v="7358.1989999999987"/>
    <x v="0"/>
    <s v="2100"/>
    <s v="000"/>
    <x v="8"/>
    <x v="1"/>
  </r>
  <r>
    <d v="2012-06-15T00:00:00"/>
    <s v="016-2210-000"/>
    <s v="Liquor Sales"/>
    <n v="1563.4840000000002"/>
    <n v="0"/>
    <s v="Daily Sales Import"/>
    <n v="-1563.4840000000002"/>
    <n v="1563.4840000000002"/>
    <x v="0"/>
    <s v="2210"/>
    <s v="000"/>
    <x v="8"/>
    <x v="1"/>
  </r>
  <r>
    <d v="2012-06-15T00:00:00"/>
    <s v="016-2220-000"/>
    <s v="Beer Sales"/>
    <n v="288.59849999999994"/>
    <n v="0"/>
    <s v="Daily Sales Import"/>
    <n v="-288.59849999999994"/>
    <n v="288.59849999999994"/>
    <x v="0"/>
    <s v="2220"/>
    <s v="000"/>
    <x v="8"/>
    <x v="1"/>
  </r>
  <r>
    <d v="2012-06-15T00:00:00"/>
    <s v="016-2230-000"/>
    <s v="Wine Sales"/>
    <n v="52.873000000000005"/>
    <n v="0"/>
    <s v="Daily Sales Import"/>
    <n v="-52.873000000000005"/>
    <n v="52.873000000000005"/>
    <x v="0"/>
    <s v="2230"/>
    <s v="000"/>
    <x v="8"/>
    <x v="1"/>
  </r>
  <r>
    <d v="2012-06-16T00:00:00"/>
    <s v="016-2100-000"/>
    <s v="Food Sales"/>
    <n v="9867.2163"/>
    <n v="0"/>
    <s v="Daily Sales Import"/>
    <n v="-9867.2163"/>
    <n v="9867.2163"/>
    <x v="0"/>
    <s v="2100"/>
    <s v="000"/>
    <x v="8"/>
    <x v="1"/>
  </r>
  <r>
    <d v="2012-06-16T00:00:00"/>
    <s v="016-2210-000"/>
    <s v="Liquor Sales"/>
    <n v="1979.0562000000002"/>
    <n v="0"/>
    <s v="Daily Sales Import"/>
    <n v="-1979.0562000000002"/>
    <n v="1979.0562000000002"/>
    <x v="0"/>
    <s v="2210"/>
    <s v="000"/>
    <x v="8"/>
    <x v="1"/>
  </r>
  <r>
    <d v="2012-06-16T00:00:00"/>
    <s v="016-2220-000"/>
    <s v="Beer Sales"/>
    <n v="368.49329999999998"/>
    <n v="0"/>
    <s v="Daily Sales Import"/>
    <n v="-368.49329999999998"/>
    <n v="368.49329999999998"/>
    <x v="0"/>
    <s v="2220"/>
    <s v="000"/>
    <x v="8"/>
    <x v="1"/>
  </r>
  <r>
    <d v="2012-06-16T00:00:00"/>
    <s v="016-2230-000"/>
    <s v="Wine Sales"/>
    <n v="121.53899999999999"/>
    <n v="0"/>
    <s v="Daily Sales Import"/>
    <n v="-121.53899999999999"/>
    <n v="121.53899999999999"/>
    <x v="0"/>
    <s v="2230"/>
    <s v="000"/>
    <x v="8"/>
    <x v="1"/>
  </r>
  <r>
    <d v="2012-06-17T00:00:00"/>
    <s v="016-2100-000"/>
    <s v="Food Sales"/>
    <n v="6583.5798999999997"/>
    <n v="0"/>
    <s v="Daily Sales Import"/>
    <n v="-6583.5798999999997"/>
    <n v="6583.5798999999997"/>
    <x v="0"/>
    <s v="2100"/>
    <s v="000"/>
    <x v="8"/>
    <x v="1"/>
  </r>
  <r>
    <d v="2012-06-17T00:00:00"/>
    <s v="016-2210-000"/>
    <s v="Liquor Sales"/>
    <n v="1666.8267999999998"/>
    <n v="0"/>
    <s v="Daily Sales Import"/>
    <n v="-1666.8267999999998"/>
    <n v="1666.8267999999998"/>
    <x v="0"/>
    <s v="2210"/>
    <s v="000"/>
    <x v="8"/>
    <x v="1"/>
  </r>
  <r>
    <d v="2012-06-17T00:00:00"/>
    <s v="016-2220-000"/>
    <s v="Beer Sales"/>
    <n v="518.36399999999992"/>
    <n v="0"/>
    <s v="Daily Sales Import"/>
    <n v="-518.36399999999992"/>
    <n v="518.36399999999992"/>
    <x v="0"/>
    <s v="2220"/>
    <s v="000"/>
    <x v="8"/>
    <x v="1"/>
  </r>
  <r>
    <d v="2012-06-17T00:00:00"/>
    <s v="016-2230-000"/>
    <s v="Wine Sales"/>
    <n v="122.976"/>
    <n v="0"/>
    <s v="Daily Sales Import"/>
    <n v="-122.976"/>
    <n v="122.976"/>
    <x v="0"/>
    <s v="2230"/>
    <s v="000"/>
    <x v="8"/>
    <x v="1"/>
  </r>
  <r>
    <d v="2012-06-11T00:00:00"/>
    <s v="017-2100-000"/>
    <s v="Food Sales"/>
    <n v="3950.3424"/>
    <n v="0"/>
    <s v="Daily Sales Import"/>
    <n v="-3950.3424"/>
    <n v="3950.3424"/>
    <x v="1"/>
    <s v="2100"/>
    <s v="000"/>
    <x v="8"/>
    <x v="1"/>
  </r>
  <r>
    <d v="2012-06-11T00:00:00"/>
    <s v="017-2210-000"/>
    <s v="Liquor Sales"/>
    <n v="979.08750000000009"/>
    <n v="0"/>
    <s v="Daily Sales Import"/>
    <n v="-979.08750000000009"/>
    <n v="979.08750000000009"/>
    <x v="1"/>
    <s v="2210"/>
    <s v="000"/>
    <x v="8"/>
    <x v="1"/>
  </r>
  <r>
    <d v="2012-06-11T00:00:00"/>
    <s v="017-2220-000"/>
    <s v="Beer Sales"/>
    <n v="324.11500000000001"/>
    <n v="0"/>
    <s v="Daily Sales Import"/>
    <n v="-324.11500000000001"/>
    <n v="324.11500000000001"/>
    <x v="1"/>
    <s v="2220"/>
    <s v="000"/>
    <x v="8"/>
    <x v="1"/>
  </r>
  <r>
    <d v="2012-06-11T00:00:00"/>
    <s v="017-2230-000"/>
    <s v="Wine Sales"/>
    <n v="56.317999999999991"/>
    <n v="0"/>
    <s v="Daily Sales Import"/>
    <n v="-56.317999999999991"/>
    <n v="56.317999999999991"/>
    <x v="1"/>
    <s v="2230"/>
    <s v="000"/>
    <x v="8"/>
    <x v="1"/>
  </r>
  <r>
    <d v="2012-06-12T00:00:00"/>
    <s v="017-2100-000"/>
    <s v="Food Sales"/>
    <n v="5242.440599999999"/>
    <n v="0"/>
    <s v="Daily Sales Import"/>
    <n v="-5242.440599999999"/>
    <n v="5242.440599999999"/>
    <x v="1"/>
    <s v="2100"/>
    <s v="000"/>
    <x v="8"/>
    <x v="1"/>
  </r>
  <r>
    <d v="2012-06-12T00:00:00"/>
    <s v="017-2210-000"/>
    <s v="Liquor Sales"/>
    <n v="1191.8320000000001"/>
    <n v="0"/>
    <s v="Daily Sales Import"/>
    <n v="-1191.8320000000001"/>
    <n v="1191.8320000000001"/>
    <x v="1"/>
    <s v="2210"/>
    <s v="000"/>
    <x v="8"/>
    <x v="1"/>
  </r>
  <r>
    <d v="2012-06-12T00:00:00"/>
    <s v="017-2220-000"/>
    <s v="Beer Sales"/>
    <n v="395.77"/>
    <n v="0"/>
    <s v="Daily Sales Import"/>
    <n v="-395.77"/>
    <n v="395.77"/>
    <x v="1"/>
    <s v="2220"/>
    <s v="000"/>
    <x v="8"/>
    <x v="1"/>
  </r>
  <r>
    <d v="2012-06-12T00:00:00"/>
    <s v="017-2230-000"/>
    <s v="Wine Sales"/>
    <n v="109.836"/>
    <n v="0"/>
    <s v="Daily Sales Import"/>
    <n v="-109.836"/>
    <n v="109.836"/>
    <x v="1"/>
    <s v="2230"/>
    <s v="000"/>
    <x v="8"/>
    <x v="1"/>
  </r>
  <r>
    <d v="2012-06-13T00:00:00"/>
    <s v="017-2100-000"/>
    <s v="Food Sales"/>
    <n v="9710.660100000001"/>
    <n v="0"/>
    <s v="Daily Sales Import"/>
    <n v="-9710.660100000001"/>
    <n v="9710.660100000001"/>
    <x v="1"/>
    <s v="2100"/>
    <s v="000"/>
    <x v="8"/>
    <x v="1"/>
  </r>
  <r>
    <d v="2012-06-13T00:00:00"/>
    <s v="017-2210-000"/>
    <s v="Liquor Sales"/>
    <n v="2175.6959999999999"/>
    <n v="0"/>
    <s v="Daily Sales Import"/>
    <n v="-2175.6959999999999"/>
    <n v="2175.6959999999999"/>
    <x v="1"/>
    <s v="2210"/>
    <s v="000"/>
    <x v="8"/>
    <x v="1"/>
  </r>
  <r>
    <d v="2012-06-13T00:00:00"/>
    <s v="017-2220-000"/>
    <s v="Beer Sales"/>
    <n v="682.84999999999991"/>
    <n v="0"/>
    <s v="Daily Sales Import"/>
    <n v="-682.84999999999991"/>
    <n v="682.84999999999991"/>
    <x v="1"/>
    <s v="2220"/>
    <s v="000"/>
    <x v="8"/>
    <x v="1"/>
  </r>
  <r>
    <d v="2012-06-13T00:00:00"/>
    <s v="017-2230-000"/>
    <s v="Wine Sales"/>
    <n v="96.41500000000002"/>
    <n v="0"/>
    <s v="Daily Sales Import"/>
    <n v="-96.41500000000002"/>
    <n v="96.41500000000002"/>
    <x v="1"/>
    <s v="2230"/>
    <s v="000"/>
    <x v="8"/>
    <x v="1"/>
  </r>
  <r>
    <d v="2012-06-14T00:00:00"/>
    <s v="017-2100-000"/>
    <s v="Food Sales"/>
    <n v="5471.7780000000012"/>
    <n v="0"/>
    <s v="Daily Sales Import"/>
    <n v="-5471.7780000000012"/>
    <n v="5471.7780000000012"/>
    <x v="1"/>
    <s v="2100"/>
    <s v="000"/>
    <x v="8"/>
    <x v="1"/>
  </r>
  <r>
    <d v="2012-06-14T00:00:00"/>
    <s v="017-2210-000"/>
    <s v="Liquor Sales"/>
    <n v="1619.2890000000002"/>
    <n v="0"/>
    <s v="Daily Sales Import"/>
    <n v="-1619.2890000000002"/>
    <n v="1619.2890000000002"/>
    <x v="1"/>
    <s v="2210"/>
    <s v="000"/>
    <x v="8"/>
    <x v="1"/>
  </r>
  <r>
    <d v="2012-06-14T00:00:00"/>
    <s v="017-2220-000"/>
    <s v="Beer Sales"/>
    <n v="613.80000000000007"/>
    <n v="0"/>
    <s v="Daily Sales Import"/>
    <n v="-613.80000000000007"/>
    <n v="613.80000000000007"/>
    <x v="1"/>
    <s v="2220"/>
    <s v="000"/>
    <x v="8"/>
    <x v="1"/>
  </r>
  <r>
    <d v="2012-06-14T00:00:00"/>
    <s v="017-2230-000"/>
    <s v="Wine Sales"/>
    <n v="218.07950000000002"/>
    <n v="0"/>
    <s v="Daily Sales Import"/>
    <n v="-218.07950000000002"/>
    <n v="218.07950000000002"/>
    <x v="1"/>
    <s v="2230"/>
    <s v="000"/>
    <x v="8"/>
    <x v="1"/>
  </r>
  <r>
    <d v="2012-06-15T00:00:00"/>
    <s v="017-2100-000"/>
    <s v="Food Sales"/>
    <n v="6008.3180999999995"/>
    <n v="0"/>
    <s v="Daily Sales Import"/>
    <n v="-6008.3180999999995"/>
    <n v="6008.3180999999995"/>
    <x v="1"/>
    <s v="2100"/>
    <s v="000"/>
    <x v="8"/>
    <x v="1"/>
  </r>
  <r>
    <d v="2012-06-15T00:00:00"/>
    <s v="017-2210-000"/>
    <s v="Liquor Sales"/>
    <n v="2641.6979999999999"/>
    <n v="0"/>
    <s v="Daily Sales Import"/>
    <n v="-2641.6979999999999"/>
    <n v="2641.6979999999999"/>
    <x v="1"/>
    <s v="2210"/>
    <s v="000"/>
    <x v="8"/>
    <x v="1"/>
  </r>
  <r>
    <d v="2012-06-15T00:00:00"/>
    <s v="017-2220-000"/>
    <s v="Beer Sales"/>
    <n v="496.91"/>
    <n v="0"/>
    <s v="Daily Sales Import"/>
    <n v="-496.91"/>
    <n v="496.91"/>
    <x v="1"/>
    <s v="2220"/>
    <s v="000"/>
    <x v="8"/>
    <x v="1"/>
  </r>
  <r>
    <d v="2012-06-15T00:00:00"/>
    <s v="017-2230-000"/>
    <s v="Wine Sales"/>
    <n v="126.23949999999999"/>
    <n v="0"/>
    <s v="Daily Sales Import"/>
    <n v="-126.23949999999999"/>
    <n v="126.23949999999999"/>
    <x v="1"/>
    <s v="2230"/>
    <s v="000"/>
    <x v="8"/>
    <x v="1"/>
  </r>
  <r>
    <d v="2012-06-16T00:00:00"/>
    <s v="017-2100-000"/>
    <s v="Food Sales"/>
    <n v="4803.640800000001"/>
    <n v="0"/>
    <s v="Daily Sales Import"/>
    <n v="-4803.640800000001"/>
    <n v="4803.640800000001"/>
    <x v="1"/>
    <s v="2100"/>
    <s v="000"/>
    <x v="8"/>
    <x v="1"/>
  </r>
  <r>
    <d v="2012-06-16T00:00:00"/>
    <s v="017-2210-000"/>
    <s v="Liquor Sales"/>
    <n v="3189.0909999999999"/>
    <n v="0"/>
    <s v="Daily Sales Import"/>
    <n v="-3189.0909999999999"/>
    <n v="3189.0909999999999"/>
    <x v="1"/>
    <s v="2210"/>
    <s v="000"/>
    <x v="8"/>
    <x v="1"/>
  </r>
  <r>
    <d v="2012-06-16T00:00:00"/>
    <s v="017-2220-000"/>
    <s v="Beer Sales"/>
    <n v="337.755"/>
    <n v="0"/>
    <s v="Daily Sales Import"/>
    <n v="-337.755"/>
    <n v="337.755"/>
    <x v="1"/>
    <s v="2220"/>
    <s v="000"/>
    <x v="8"/>
    <x v="1"/>
  </r>
  <r>
    <d v="2012-06-16T00:00:00"/>
    <s v="017-2230-000"/>
    <s v="Wine Sales"/>
    <n v="89.794000000000011"/>
    <n v="0"/>
    <s v="Daily Sales Import"/>
    <n v="-89.794000000000011"/>
    <n v="89.794000000000011"/>
    <x v="1"/>
    <s v="2230"/>
    <s v="000"/>
    <x v="8"/>
    <x v="1"/>
  </r>
  <r>
    <d v="2012-06-17T00:00:00"/>
    <s v="017-2100-000"/>
    <s v="Food Sales"/>
    <n v="5361.78"/>
    <n v="0"/>
    <s v="Daily Sales Import"/>
    <n v="-5361.78"/>
    <n v="5361.78"/>
    <x v="1"/>
    <s v="2100"/>
    <s v="000"/>
    <x v="8"/>
    <x v="1"/>
  </r>
  <r>
    <d v="2012-06-17T00:00:00"/>
    <s v="017-2210-000"/>
    <s v="Liquor Sales"/>
    <n v="968.65649999999982"/>
    <n v="0"/>
    <s v="Daily Sales Import"/>
    <n v="-968.65649999999982"/>
    <n v="968.65649999999982"/>
    <x v="1"/>
    <s v="2210"/>
    <s v="000"/>
    <x v="8"/>
    <x v="1"/>
  </r>
  <r>
    <d v="2012-06-17T00:00:00"/>
    <s v="017-2220-000"/>
    <s v="Beer Sales"/>
    <n v="278.95999999999998"/>
    <n v="0"/>
    <s v="Daily Sales Import"/>
    <n v="-278.95999999999998"/>
    <n v="278.95999999999998"/>
    <x v="1"/>
    <s v="2220"/>
    <s v="000"/>
    <x v="8"/>
    <x v="1"/>
  </r>
  <r>
    <d v="2012-06-17T00:00:00"/>
    <s v="017-2230-000"/>
    <s v="Wine Sales"/>
    <n v="63.619500000000002"/>
    <n v="0"/>
    <s v="Daily Sales Import"/>
    <n v="-63.619500000000002"/>
    <n v="63.619500000000002"/>
    <x v="1"/>
    <s v="2230"/>
    <s v="000"/>
    <x v="8"/>
    <x v="1"/>
  </r>
  <r>
    <d v="2012-06-11T00:00:00"/>
    <s v="018-2100-000"/>
    <s v="Food Sales"/>
    <n v="4810.9189999999999"/>
    <n v="0"/>
    <s v="Daily Sales Import"/>
    <n v="-4810.9189999999999"/>
    <n v="4810.9189999999999"/>
    <x v="2"/>
    <s v="2100"/>
    <s v="000"/>
    <x v="8"/>
    <x v="1"/>
  </r>
  <r>
    <d v="2012-06-11T00:00:00"/>
    <s v="018-2210-000"/>
    <s v="Liquor Sales"/>
    <n v="946.04399999999998"/>
    <n v="0"/>
    <s v="Daily Sales Import"/>
    <n v="-946.04399999999998"/>
    <n v="946.04399999999998"/>
    <x v="2"/>
    <s v="2210"/>
    <s v="000"/>
    <x v="8"/>
    <x v="1"/>
  </r>
  <r>
    <d v="2012-06-11T00:00:00"/>
    <s v="018-2220-000"/>
    <s v="Beer Sales"/>
    <n v="128.34900000000002"/>
    <n v="0"/>
    <s v="Daily Sales Import"/>
    <n v="-128.34900000000002"/>
    <n v="128.34900000000002"/>
    <x v="2"/>
    <s v="2220"/>
    <s v="000"/>
    <x v="8"/>
    <x v="1"/>
  </r>
  <r>
    <d v="2012-06-11T00:00:00"/>
    <s v="018-2230-000"/>
    <s v="Wine Sales"/>
    <n v="103.83499999999999"/>
    <n v="0"/>
    <s v="Daily Sales Import"/>
    <n v="-103.83499999999999"/>
    <n v="103.83499999999999"/>
    <x v="2"/>
    <s v="2230"/>
    <s v="000"/>
    <x v="8"/>
    <x v="1"/>
  </r>
  <r>
    <d v="2012-06-12T00:00:00"/>
    <s v="018-2100-000"/>
    <s v="Food Sales"/>
    <n v="6331.0127999999995"/>
    <n v="0"/>
    <s v="Daily Sales Import"/>
    <n v="-6331.0127999999995"/>
    <n v="6331.0127999999995"/>
    <x v="2"/>
    <s v="2100"/>
    <s v="000"/>
    <x v="8"/>
    <x v="1"/>
  </r>
  <r>
    <d v="2012-06-12T00:00:00"/>
    <s v="018-2210-000"/>
    <s v="Liquor Sales"/>
    <n v="812.83100000000013"/>
    <n v="0"/>
    <s v="Daily Sales Import"/>
    <n v="-812.83100000000013"/>
    <n v="812.83100000000013"/>
    <x v="2"/>
    <s v="2210"/>
    <s v="000"/>
    <x v="8"/>
    <x v="1"/>
  </r>
  <r>
    <d v="2012-06-12T00:00:00"/>
    <s v="018-2220-000"/>
    <s v="Beer Sales"/>
    <n v="165.2825"/>
    <n v="0"/>
    <s v="Daily Sales Import"/>
    <n v="-165.2825"/>
    <n v="165.2825"/>
    <x v="2"/>
    <s v="2220"/>
    <s v="000"/>
    <x v="8"/>
    <x v="1"/>
  </r>
  <r>
    <d v="2012-06-12T00:00:00"/>
    <s v="018-2230-000"/>
    <s v="Wine Sales"/>
    <n v="97.3245"/>
    <n v="0"/>
    <s v="Daily Sales Import"/>
    <n v="-97.3245"/>
    <n v="97.3245"/>
    <x v="2"/>
    <s v="2230"/>
    <s v="000"/>
    <x v="8"/>
    <x v="1"/>
  </r>
  <r>
    <d v="2012-06-13T00:00:00"/>
    <s v="018-2100-000"/>
    <s v="Food Sales"/>
    <n v="6147.0374999999995"/>
    <n v="0"/>
    <s v="Daily Sales Import"/>
    <n v="-6147.0374999999995"/>
    <n v="6147.0374999999995"/>
    <x v="2"/>
    <s v="2100"/>
    <s v="000"/>
    <x v="8"/>
    <x v="1"/>
  </r>
  <r>
    <d v="2012-06-13T00:00:00"/>
    <s v="018-2210-000"/>
    <s v="Liquor Sales"/>
    <n v="977.52149999999995"/>
    <n v="0"/>
    <s v="Daily Sales Import"/>
    <n v="-977.52149999999995"/>
    <n v="977.52149999999995"/>
    <x v="2"/>
    <s v="2210"/>
    <s v="000"/>
    <x v="8"/>
    <x v="1"/>
  </r>
  <r>
    <d v="2012-06-13T00:00:00"/>
    <s v="018-2220-000"/>
    <s v="Beer Sales"/>
    <n v="179.304"/>
    <n v="0"/>
    <s v="Daily Sales Import"/>
    <n v="-179.304"/>
    <n v="179.304"/>
    <x v="2"/>
    <s v="2220"/>
    <s v="000"/>
    <x v="8"/>
    <x v="1"/>
  </r>
  <r>
    <d v="2012-06-13T00:00:00"/>
    <s v="018-2230-000"/>
    <s v="Wine Sales"/>
    <n v="93.72999999999999"/>
    <n v="0"/>
    <s v="Daily Sales Import"/>
    <n v="-93.72999999999999"/>
    <n v="93.72999999999999"/>
    <x v="2"/>
    <s v="2230"/>
    <s v="000"/>
    <x v="8"/>
    <x v="1"/>
  </r>
  <r>
    <d v="2012-06-14T00:00:00"/>
    <s v="018-2100-000"/>
    <s v="Food Sales"/>
    <n v="9451.6365000000005"/>
    <n v="0"/>
    <s v="Daily Sales Import"/>
    <n v="-9451.6365000000005"/>
    <n v="9451.6365000000005"/>
    <x v="2"/>
    <s v="2100"/>
    <s v="000"/>
    <x v="8"/>
    <x v="1"/>
  </r>
  <r>
    <d v="2012-06-14T00:00:00"/>
    <s v="018-2210-000"/>
    <s v="Liquor Sales"/>
    <n v="1795.2624999999998"/>
    <n v="0"/>
    <s v="Daily Sales Import"/>
    <n v="-1795.2624999999998"/>
    <n v="1795.2624999999998"/>
    <x v="2"/>
    <s v="2210"/>
    <s v="000"/>
    <x v="8"/>
    <x v="1"/>
  </r>
  <r>
    <d v="2012-06-14T00:00:00"/>
    <s v="018-2220-000"/>
    <s v="Beer Sales"/>
    <n v="461.08250000000004"/>
    <n v="0"/>
    <s v="Daily Sales Import"/>
    <n v="-461.08250000000004"/>
    <n v="461.08250000000004"/>
    <x v="2"/>
    <s v="2220"/>
    <s v="000"/>
    <x v="8"/>
    <x v="1"/>
  </r>
  <r>
    <d v="2012-06-14T00:00:00"/>
    <s v="018-2230-000"/>
    <s v="Wine Sales"/>
    <n v="33.198500000000003"/>
    <n v="0"/>
    <s v="Daily Sales Import"/>
    <n v="-33.198500000000003"/>
    <n v="33.198500000000003"/>
    <x v="2"/>
    <s v="2230"/>
    <s v="000"/>
    <x v="8"/>
    <x v="1"/>
  </r>
  <r>
    <d v="2012-06-15T00:00:00"/>
    <s v="018-2100-000"/>
    <s v="Food Sales"/>
    <n v="15617.737800000001"/>
    <n v="0"/>
    <s v="Daily Sales Import"/>
    <n v="-15617.737800000001"/>
    <n v="15617.737800000001"/>
    <x v="2"/>
    <s v="2100"/>
    <s v="000"/>
    <x v="8"/>
    <x v="1"/>
  </r>
  <r>
    <d v="2012-06-15T00:00:00"/>
    <s v="018-2210-000"/>
    <s v="Liquor Sales"/>
    <n v="3705.6779999999999"/>
    <n v="0"/>
    <s v="Daily Sales Import"/>
    <n v="-3705.6779999999999"/>
    <n v="3705.6779999999999"/>
    <x v="2"/>
    <s v="2210"/>
    <s v="000"/>
    <x v="8"/>
    <x v="1"/>
  </r>
  <r>
    <d v="2012-06-15T00:00:00"/>
    <s v="018-2220-000"/>
    <s v="Beer Sales"/>
    <n v="861.82249999999999"/>
    <n v="0"/>
    <s v="Daily Sales Import"/>
    <n v="-861.82249999999999"/>
    <n v="861.82249999999999"/>
    <x v="2"/>
    <s v="2220"/>
    <s v="000"/>
    <x v="8"/>
    <x v="1"/>
  </r>
  <r>
    <d v="2012-06-15T00:00:00"/>
    <s v="018-2230-000"/>
    <s v="Wine Sales"/>
    <n v="190.935"/>
    <n v="0"/>
    <s v="Daily Sales Import"/>
    <n v="-190.935"/>
    <n v="190.935"/>
    <x v="2"/>
    <s v="2230"/>
    <s v="000"/>
    <x v="8"/>
    <x v="1"/>
  </r>
  <r>
    <d v="2012-06-16T00:00:00"/>
    <s v="018-2100-000"/>
    <s v="Food Sales"/>
    <n v="12190.925999999999"/>
    <n v="0"/>
    <s v="Daily Sales Import"/>
    <n v="-12190.925999999999"/>
    <n v="12190.925999999999"/>
    <x v="2"/>
    <s v="2100"/>
    <s v="000"/>
    <x v="8"/>
    <x v="1"/>
  </r>
  <r>
    <d v="2012-06-16T00:00:00"/>
    <s v="018-2210-000"/>
    <s v="Liquor Sales"/>
    <n v="2742.8719999999998"/>
    <n v="0"/>
    <s v="Daily Sales Import"/>
    <n v="-2742.8719999999998"/>
    <n v="2742.8719999999998"/>
    <x v="2"/>
    <s v="2210"/>
    <s v="000"/>
    <x v="8"/>
    <x v="1"/>
  </r>
  <r>
    <d v="2012-06-16T00:00:00"/>
    <s v="018-2220-000"/>
    <s v="Beer Sales"/>
    <n v="512.82000000000005"/>
    <n v="0"/>
    <s v="Daily Sales Import"/>
    <n v="-512.82000000000005"/>
    <n v="512.82000000000005"/>
    <x v="2"/>
    <s v="2220"/>
    <s v="000"/>
    <x v="8"/>
    <x v="1"/>
  </r>
  <r>
    <d v="2012-06-16T00:00:00"/>
    <s v="018-2230-000"/>
    <s v="Wine Sales"/>
    <n v="127.455"/>
    <n v="0"/>
    <s v="Daily Sales Import"/>
    <n v="-127.455"/>
    <n v="127.455"/>
    <x v="2"/>
    <s v="2230"/>
    <s v="000"/>
    <x v="8"/>
    <x v="1"/>
  </r>
  <r>
    <d v="2012-06-17T00:00:00"/>
    <s v="018-2100-000"/>
    <s v="Food Sales"/>
    <n v="17363.392"/>
    <n v="0"/>
    <s v="Daily Sales Import"/>
    <n v="-17363.392"/>
    <n v="17363.392"/>
    <x v="2"/>
    <s v="2100"/>
    <s v="000"/>
    <x v="8"/>
    <x v="1"/>
  </r>
  <r>
    <d v="2012-06-17T00:00:00"/>
    <s v="018-2210-000"/>
    <s v="Liquor Sales"/>
    <n v="2131.41"/>
    <n v="0"/>
    <s v="Daily Sales Import"/>
    <n v="-2131.41"/>
    <n v="2131.41"/>
    <x v="2"/>
    <s v="2210"/>
    <s v="000"/>
    <x v="8"/>
    <x v="1"/>
  </r>
  <r>
    <d v="2012-06-17T00:00:00"/>
    <s v="018-2220-000"/>
    <s v="Beer Sales"/>
    <n v="579.74400000000003"/>
    <n v="0"/>
    <s v="Daily Sales Import"/>
    <n v="-579.74400000000003"/>
    <n v="579.74400000000003"/>
    <x v="2"/>
    <s v="2220"/>
    <s v="000"/>
    <x v="8"/>
    <x v="1"/>
  </r>
  <r>
    <d v="2012-06-17T00:00:00"/>
    <s v="018-2230-000"/>
    <s v="Wine Sales"/>
    <n v="110.22699999999999"/>
    <n v="0"/>
    <s v="Daily Sales Import"/>
    <n v="-110.22699999999999"/>
    <n v="110.22699999999999"/>
    <x v="2"/>
    <s v="2230"/>
    <s v="000"/>
    <x v="8"/>
    <x v="1"/>
  </r>
  <r>
    <d v="2012-06-18T00:00:00"/>
    <s v="016-2100-000"/>
    <s v="Food Sales"/>
    <n v="2416.1592000000001"/>
    <n v="0"/>
    <s v="Daily Sales Import"/>
    <n v="-2416.1592000000001"/>
    <n v="2416.1592000000001"/>
    <x v="0"/>
    <s v="2100"/>
    <s v="000"/>
    <x v="8"/>
    <x v="1"/>
  </r>
  <r>
    <d v="2012-06-18T00:00:00"/>
    <s v="016-2210-000"/>
    <s v="Liquor Sales"/>
    <n v="704.67400000000009"/>
    <n v="0"/>
    <s v="Daily Sales Import"/>
    <n v="-704.67400000000009"/>
    <n v="704.67400000000009"/>
    <x v="0"/>
    <s v="2210"/>
    <s v="000"/>
    <x v="8"/>
    <x v="1"/>
  </r>
  <r>
    <d v="2012-06-18T00:00:00"/>
    <s v="016-2220-000"/>
    <s v="Beer Sales"/>
    <n v="102.255"/>
    <n v="0"/>
    <s v="Daily Sales Import"/>
    <n v="-102.255"/>
    <n v="102.255"/>
    <x v="0"/>
    <s v="2220"/>
    <s v="000"/>
    <x v="8"/>
    <x v="1"/>
  </r>
  <r>
    <d v="2012-06-18T00:00:00"/>
    <s v="016-2230-000"/>
    <s v="Wine Sales"/>
    <n v="49.404999999999994"/>
    <n v="0"/>
    <s v="Daily Sales Import"/>
    <n v="-49.404999999999994"/>
    <n v="49.404999999999994"/>
    <x v="0"/>
    <s v="2230"/>
    <s v="000"/>
    <x v="8"/>
    <x v="1"/>
  </r>
  <r>
    <d v="2012-06-19T00:00:00"/>
    <s v="016-2100-000"/>
    <s v="Food Sales"/>
    <n v="4537.6205"/>
    <n v="0"/>
    <s v="Daily Sales Import"/>
    <n v="-4537.6205"/>
    <n v="4537.6205"/>
    <x v="0"/>
    <s v="2100"/>
    <s v="000"/>
    <x v="8"/>
    <x v="1"/>
  </r>
  <r>
    <d v="2012-06-19T00:00:00"/>
    <s v="016-2210-000"/>
    <s v="Liquor Sales"/>
    <n v="1201.3625999999999"/>
    <n v="0"/>
    <s v="Daily Sales Import"/>
    <n v="-1201.3625999999999"/>
    <n v="1201.3625999999999"/>
    <x v="0"/>
    <s v="2210"/>
    <s v="000"/>
    <x v="8"/>
    <x v="1"/>
  </r>
  <r>
    <d v="2012-06-19T00:00:00"/>
    <s v="016-2220-000"/>
    <s v="Beer Sales"/>
    <n v="520.28549999999996"/>
    <n v="0"/>
    <s v="Daily Sales Import"/>
    <n v="-520.28549999999996"/>
    <n v="520.28549999999996"/>
    <x v="0"/>
    <s v="2220"/>
    <s v="000"/>
    <x v="8"/>
    <x v="1"/>
  </r>
  <r>
    <d v="2012-06-19T00:00:00"/>
    <s v="016-2230-000"/>
    <s v="Wine Sales"/>
    <n v="127.47"/>
    <n v="0"/>
    <s v="Daily Sales Import"/>
    <n v="-127.47"/>
    <n v="127.47"/>
    <x v="0"/>
    <s v="2230"/>
    <s v="000"/>
    <x v="8"/>
    <x v="1"/>
  </r>
  <r>
    <d v="2012-06-20T00:00:00"/>
    <s v="016-2100-000"/>
    <s v="Food Sales"/>
    <n v="2024.9333999999999"/>
    <n v="0"/>
    <s v="Daily Sales Import"/>
    <n v="-2024.9333999999999"/>
    <n v="2024.9333999999999"/>
    <x v="0"/>
    <s v="2100"/>
    <s v="000"/>
    <x v="8"/>
    <x v="1"/>
  </r>
  <r>
    <d v="2012-06-20T00:00:00"/>
    <s v="016-2210-000"/>
    <s v="Liquor Sales"/>
    <n v="464.78879999999998"/>
    <n v="0"/>
    <s v="Daily Sales Import"/>
    <n v="-464.78879999999998"/>
    <n v="464.78879999999998"/>
    <x v="0"/>
    <s v="2210"/>
    <s v="000"/>
    <x v="8"/>
    <x v="1"/>
  </r>
  <r>
    <d v="2012-06-20T00:00:00"/>
    <s v="016-2220-000"/>
    <s v="Beer Sales"/>
    <n v="59.959499999999998"/>
    <n v="0"/>
    <s v="Daily Sales Import"/>
    <n v="-59.959499999999998"/>
    <n v="59.959499999999998"/>
    <x v="0"/>
    <s v="2220"/>
    <s v="000"/>
    <x v="8"/>
    <x v="1"/>
  </r>
  <r>
    <d v="2012-06-20T00:00:00"/>
    <s v="016-2230-000"/>
    <s v="Wine Sales"/>
    <n v="79.314999999999998"/>
    <n v="0"/>
    <s v="Daily Sales Import"/>
    <n v="-79.314999999999998"/>
    <n v="79.314999999999998"/>
    <x v="0"/>
    <s v="2230"/>
    <s v="000"/>
    <x v="8"/>
    <x v="1"/>
  </r>
  <r>
    <d v="2012-06-21T00:00:00"/>
    <s v="016-2100-000"/>
    <s v="Food Sales"/>
    <n v="3140.5565999999999"/>
    <n v="0"/>
    <s v="Daily Sales Import"/>
    <n v="-3140.5565999999999"/>
    <n v="3140.5565999999999"/>
    <x v="0"/>
    <s v="2100"/>
    <s v="000"/>
    <x v="8"/>
    <x v="1"/>
  </r>
  <r>
    <d v="2012-06-21T00:00:00"/>
    <s v="016-2210-000"/>
    <s v="Liquor Sales"/>
    <n v="706.46250000000009"/>
    <n v="0"/>
    <s v="Daily Sales Import"/>
    <n v="-706.46250000000009"/>
    <n v="706.46250000000009"/>
    <x v="0"/>
    <s v="2210"/>
    <s v="000"/>
    <x v="8"/>
    <x v="1"/>
  </r>
  <r>
    <d v="2012-06-21T00:00:00"/>
    <s v="016-2220-000"/>
    <s v="Beer Sales"/>
    <n v="145.43100000000001"/>
    <n v="0"/>
    <s v="Daily Sales Import"/>
    <n v="-145.43100000000001"/>
    <n v="145.43100000000001"/>
    <x v="0"/>
    <s v="2220"/>
    <s v="000"/>
    <x v="8"/>
    <x v="1"/>
  </r>
  <r>
    <d v="2012-06-21T00:00:00"/>
    <s v="016-2230-000"/>
    <s v="Wine Sales"/>
    <n v="91.944999999999993"/>
    <n v="0"/>
    <s v="Daily Sales Import"/>
    <n v="-91.944999999999993"/>
    <n v="91.944999999999993"/>
    <x v="0"/>
    <s v="2230"/>
    <s v="000"/>
    <x v="8"/>
    <x v="1"/>
  </r>
  <r>
    <d v="2012-06-22T00:00:00"/>
    <s v="016-2100-000"/>
    <s v="Food Sales"/>
    <n v="3541.2275999999997"/>
    <n v="0"/>
    <s v="Daily Sales Import"/>
    <n v="-3541.2275999999997"/>
    <n v="3541.2275999999997"/>
    <x v="0"/>
    <s v="2100"/>
    <s v="000"/>
    <x v="8"/>
    <x v="1"/>
  </r>
  <r>
    <d v="2012-06-22T00:00:00"/>
    <s v="016-2210-000"/>
    <s v="Liquor Sales"/>
    <n v="1764.704"/>
    <n v="0"/>
    <s v="Daily Sales Import"/>
    <n v="-1764.704"/>
    <n v="1764.704"/>
    <x v="0"/>
    <s v="2210"/>
    <s v="000"/>
    <x v="8"/>
    <x v="1"/>
  </r>
  <r>
    <d v="2012-06-22T00:00:00"/>
    <s v="016-2220-000"/>
    <s v="Beer Sales"/>
    <n v="389.70899999999995"/>
    <n v="0"/>
    <s v="Daily Sales Import"/>
    <n v="-389.70899999999995"/>
    <n v="389.70899999999995"/>
    <x v="0"/>
    <s v="2220"/>
    <s v="000"/>
    <x v="8"/>
    <x v="1"/>
  </r>
  <r>
    <d v="2012-06-22T00:00:00"/>
    <s v="016-2230-000"/>
    <s v="Wine Sales"/>
    <n v="96.143000000000001"/>
    <n v="0"/>
    <s v="Daily Sales Import"/>
    <n v="-96.143000000000001"/>
    <n v="96.143000000000001"/>
    <x v="0"/>
    <s v="2230"/>
    <s v="000"/>
    <x v="8"/>
    <x v="1"/>
  </r>
  <r>
    <d v="2012-06-23T00:00:00"/>
    <s v="016-2100-000"/>
    <s v="Food Sales"/>
    <n v="5577.9849999999997"/>
    <n v="0"/>
    <s v="Daily Sales Import"/>
    <n v="-5577.9849999999997"/>
    <n v="5577.9849999999997"/>
    <x v="0"/>
    <s v="2100"/>
    <s v="000"/>
    <x v="8"/>
    <x v="1"/>
  </r>
  <r>
    <d v="2012-06-23T00:00:00"/>
    <s v="016-2210-000"/>
    <s v="Liquor Sales"/>
    <n v="2449.0395000000003"/>
    <n v="0"/>
    <s v="Daily Sales Import"/>
    <n v="-2449.0395000000003"/>
    <n v="2449.0395000000003"/>
    <x v="0"/>
    <s v="2210"/>
    <s v="000"/>
    <x v="8"/>
    <x v="1"/>
  </r>
  <r>
    <d v="2012-06-23T00:00:00"/>
    <s v="016-2220-000"/>
    <s v="Beer Sales"/>
    <n v="461.45700000000005"/>
    <n v="0"/>
    <s v="Daily Sales Import"/>
    <n v="-461.45700000000005"/>
    <n v="461.45700000000005"/>
    <x v="0"/>
    <s v="2220"/>
    <s v="000"/>
    <x v="8"/>
    <x v="1"/>
  </r>
  <r>
    <d v="2012-06-23T00:00:00"/>
    <s v="016-2230-000"/>
    <s v="Wine Sales"/>
    <n v="199.95400000000004"/>
    <n v="0"/>
    <s v="Daily Sales Import"/>
    <n v="-199.95400000000004"/>
    <n v="199.95400000000004"/>
    <x v="0"/>
    <s v="2230"/>
    <s v="000"/>
    <x v="8"/>
    <x v="1"/>
  </r>
  <r>
    <d v="2012-06-24T00:00:00"/>
    <s v="016-2100-000"/>
    <s v="Food Sales"/>
    <n v="2274.5393999999997"/>
    <n v="0"/>
    <s v="Daily Sales Import"/>
    <n v="-2274.5393999999997"/>
    <n v="2274.5393999999997"/>
    <x v="0"/>
    <s v="2100"/>
    <s v="000"/>
    <x v="8"/>
    <x v="1"/>
  </r>
  <r>
    <d v="2012-06-24T00:00:00"/>
    <s v="016-2210-000"/>
    <s v="Liquor Sales"/>
    <n v="1073.3034"/>
    <n v="0"/>
    <s v="Daily Sales Import"/>
    <n v="-1073.3034"/>
    <n v="1073.3034"/>
    <x v="0"/>
    <s v="2210"/>
    <s v="000"/>
    <x v="8"/>
    <x v="1"/>
  </r>
  <r>
    <d v="2012-06-24T00:00:00"/>
    <s v="016-2220-000"/>
    <s v="Beer Sales"/>
    <n v="103.05900000000001"/>
    <n v="0"/>
    <s v="Daily Sales Import"/>
    <n v="-103.05900000000001"/>
    <n v="103.05900000000001"/>
    <x v="0"/>
    <s v="2220"/>
    <s v="000"/>
    <x v="8"/>
    <x v="1"/>
  </r>
  <r>
    <d v="2012-06-24T00:00:00"/>
    <s v="016-2230-000"/>
    <s v="Wine Sales"/>
    <n v="76.817999999999998"/>
    <n v="0"/>
    <s v="Daily Sales Import"/>
    <n v="-76.817999999999998"/>
    <n v="76.817999999999998"/>
    <x v="0"/>
    <s v="2230"/>
    <s v="000"/>
    <x v="8"/>
    <x v="1"/>
  </r>
  <r>
    <d v="2012-06-18T00:00:00"/>
    <s v="017-2100-000"/>
    <s v="Food Sales"/>
    <n v="4878.2858000000006"/>
    <n v="0"/>
    <s v="Daily Sales Import"/>
    <n v="-4878.2858000000006"/>
    <n v="4878.2858000000006"/>
    <x v="1"/>
    <s v="2100"/>
    <s v="000"/>
    <x v="8"/>
    <x v="1"/>
  </r>
  <r>
    <d v="2012-06-18T00:00:00"/>
    <s v="017-2210-000"/>
    <s v="Liquor Sales"/>
    <n v="1377.3405"/>
    <n v="0"/>
    <s v="Daily Sales Import"/>
    <n v="-1377.3405"/>
    <n v="1377.3405"/>
    <x v="1"/>
    <s v="2210"/>
    <s v="000"/>
    <x v="8"/>
    <x v="1"/>
  </r>
  <r>
    <d v="2012-06-18T00:00:00"/>
    <s v="017-2220-000"/>
    <s v="Beer Sales"/>
    <n v="439.34"/>
    <n v="0"/>
    <s v="Daily Sales Import"/>
    <n v="-439.34"/>
    <n v="439.34"/>
    <x v="1"/>
    <s v="2220"/>
    <s v="000"/>
    <x v="8"/>
    <x v="1"/>
  </r>
  <r>
    <d v="2012-06-18T00:00:00"/>
    <s v="017-2230-000"/>
    <s v="Wine Sales"/>
    <n v="28.186499999999999"/>
    <n v="0"/>
    <s v="Daily Sales Import"/>
    <n v="-28.186499999999999"/>
    <n v="28.186499999999999"/>
    <x v="1"/>
    <s v="2230"/>
    <s v="000"/>
    <x v="8"/>
    <x v="1"/>
  </r>
  <r>
    <d v="2012-06-19T00:00:00"/>
    <s v="017-2100-000"/>
    <s v="Food Sales"/>
    <n v="4582.6696000000002"/>
    <n v="0"/>
    <s v="Daily Sales Import"/>
    <n v="-4582.6696000000002"/>
    <n v="4582.6696000000002"/>
    <x v="1"/>
    <s v="2100"/>
    <s v="000"/>
    <x v="8"/>
    <x v="1"/>
  </r>
  <r>
    <d v="2012-06-19T00:00:00"/>
    <s v="017-2210-000"/>
    <s v="Liquor Sales"/>
    <n v="1168.7655000000002"/>
    <n v="0"/>
    <s v="Daily Sales Import"/>
    <n v="-1168.7655000000002"/>
    <n v="1168.7655000000002"/>
    <x v="1"/>
    <s v="2210"/>
    <s v="000"/>
    <x v="8"/>
    <x v="1"/>
  </r>
  <r>
    <d v="2012-06-19T00:00:00"/>
    <s v="017-2220-000"/>
    <s v="Beer Sales"/>
    <n v="547.17000000000007"/>
    <n v="0"/>
    <s v="Daily Sales Import"/>
    <n v="-547.17000000000007"/>
    <n v="547.17000000000007"/>
    <x v="1"/>
    <s v="2220"/>
    <s v="000"/>
    <x v="8"/>
    <x v="1"/>
  </r>
  <r>
    <d v="2012-06-19T00:00:00"/>
    <s v="017-2230-000"/>
    <s v="Wine Sales"/>
    <n v="175.46199999999999"/>
    <n v="0"/>
    <s v="Daily Sales Import"/>
    <n v="-175.46199999999999"/>
    <n v="175.46199999999999"/>
    <x v="1"/>
    <s v="2230"/>
    <s v="000"/>
    <x v="8"/>
    <x v="1"/>
  </r>
  <r>
    <d v="2012-06-20T00:00:00"/>
    <s v="017-2100-000"/>
    <s v="Food Sales"/>
    <n v="5174.7773999999999"/>
    <n v="0"/>
    <s v="Daily Sales Import"/>
    <n v="-5174.7773999999999"/>
    <n v="5174.7773999999999"/>
    <x v="1"/>
    <s v="2100"/>
    <s v="000"/>
    <x v="8"/>
    <x v="1"/>
  </r>
  <r>
    <d v="2012-06-20T00:00:00"/>
    <s v="017-2210-000"/>
    <s v="Liquor Sales"/>
    <n v="1966.826"/>
    <n v="0"/>
    <s v="Daily Sales Import"/>
    <n v="-1966.826"/>
    <n v="1966.826"/>
    <x v="1"/>
    <s v="2210"/>
    <s v="000"/>
    <x v="8"/>
    <x v="1"/>
  </r>
  <r>
    <d v="2012-06-20T00:00:00"/>
    <s v="017-2220-000"/>
    <s v="Beer Sales"/>
    <n v="810.6"/>
    <n v="0"/>
    <s v="Daily Sales Import"/>
    <n v="-810.6"/>
    <n v="810.6"/>
    <x v="1"/>
    <s v="2220"/>
    <s v="000"/>
    <x v="8"/>
    <x v="1"/>
  </r>
  <r>
    <d v="2012-06-20T00:00:00"/>
    <s v="017-2230-000"/>
    <s v="Wine Sales"/>
    <n v="85.89"/>
    <n v="0"/>
    <s v="Daily Sales Import"/>
    <n v="-85.89"/>
    <n v="85.89"/>
    <x v="1"/>
    <s v="2230"/>
    <s v="000"/>
    <x v="8"/>
    <x v="1"/>
  </r>
  <r>
    <d v="2012-06-21T00:00:00"/>
    <s v="017-2100-000"/>
    <s v="Food Sales"/>
    <n v="8084.9557999999997"/>
    <n v="0"/>
    <s v="Daily Sales Import"/>
    <n v="-8084.9557999999997"/>
    <n v="8084.9557999999997"/>
    <x v="1"/>
    <s v="2100"/>
    <s v="000"/>
    <x v="8"/>
    <x v="1"/>
  </r>
  <r>
    <d v="2012-06-21T00:00:00"/>
    <s v="017-2210-000"/>
    <s v="Liquor Sales"/>
    <n v="1976.91"/>
    <n v="0"/>
    <s v="Daily Sales Import"/>
    <n v="-1976.91"/>
    <n v="1976.91"/>
    <x v="1"/>
    <s v="2210"/>
    <s v="000"/>
    <x v="8"/>
    <x v="1"/>
  </r>
  <r>
    <d v="2012-06-21T00:00:00"/>
    <s v="017-2220-000"/>
    <s v="Beer Sales"/>
    <n v="531.87750000000005"/>
    <n v="0"/>
    <s v="Daily Sales Import"/>
    <n v="-531.87750000000005"/>
    <n v="531.87750000000005"/>
    <x v="1"/>
    <s v="2220"/>
    <s v="000"/>
    <x v="8"/>
    <x v="1"/>
  </r>
  <r>
    <d v="2012-06-21T00:00:00"/>
    <s v="017-2230-000"/>
    <s v="Wine Sales"/>
    <n v="119.29"/>
    <n v="0"/>
    <s v="Daily Sales Import"/>
    <n v="-119.29"/>
    <n v="119.29"/>
    <x v="1"/>
    <s v="2230"/>
    <s v="000"/>
    <x v="8"/>
    <x v="1"/>
  </r>
  <r>
    <d v="2012-06-22T00:00:00"/>
    <s v="017-2100-000"/>
    <s v="Food Sales"/>
    <n v="7793.7199000000001"/>
    <n v="0"/>
    <s v="Daily Sales Import"/>
    <n v="-7793.7199000000001"/>
    <n v="7793.7199000000001"/>
    <x v="1"/>
    <s v="2100"/>
    <s v="000"/>
    <x v="8"/>
    <x v="1"/>
  </r>
  <r>
    <d v="2012-06-22T00:00:00"/>
    <s v="017-2210-000"/>
    <s v="Liquor Sales"/>
    <n v="1961.3825000000002"/>
    <n v="0"/>
    <s v="Daily Sales Import"/>
    <n v="-1961.3825000000002"/>
    <n v="1961.3825000000002"/>
    <x v="1"/>
    <s v="2210"/>
    <s v="000"/>
    <x v="8"/>
    <x v="1"/>
  </r>
  <r>
    <d v="2012-06-22T00:00:00"/>
    <s v="017-2220-000"/>
    <s v="Beer Sales"/>
    <n v="705.47750000000008"/>
    <n v="0"/>
    <s v="Daily Sales Import"/>
    <n v="-705.47750000000008"/>
    <n v="705.47750000000008"/>
    <x v="1"/>
    <s v="2220"/>
    <s v="000"/>
    <x v="8"/>
    <x v="1"/>
  </r>
  <r>
    <d v="2012-06-22T00:00:00"/>
    <s v="017-2230-000"/>
    <s v="Wine Sales"/>
    <n v="183.10400000000001"/>
    <n v="0"/>
    <s v="Daily Sales Import"/>
    <n v="-183.10400000000001"/>
    <n v="183.10400000000001"/>
    <x v="1"/>
    <s v="2230"/>
    <s v="000"/>
    <x v="8"/>
    <x v="1"/>
  </r>
  <r>
    <d v="2012-06-23T00:00:00"/>
    <s v="017-2100-000"/>
    <s v="Food Sales"/>
    <n v="8830.3411999999989"/>
    <n v="0"/>
    <s v="Daily Sales Import"/>
    <n v="-8830.3411999999989"/>
    <n v="8830.3411999999989"/>
    <x v="1"/>
    <s v="2100"/>
    <s v="000"/>
    <x v="8"/>
    <x v="1"/>
  </r>
  <r>
    <d v="2012-06-23T00:00:00"/>
    <s v="017-2210-000"/>
    <s v="Liquor Sales"/>
    <n v="1604.316"/>
    <n v="0"/>
    <s v="Daily Sales Import"/>
    <n v="-1604.316"/>
    <n v="1604.316"/>
    <x v="1"/>
    <s v="2210"/>
    <s v="000"/>
    <x v="8"/>
    <x v="1"/>
  </r>
  <r>
    <d v="2012-06-23T00:00:00"/>
    <s v="017-2220-000"/>
    <s v="Beer Sales"/>
    <n v="386.77500000000003"/>
    <n v="0"/>
    <s v="Daily Sales Import"/>
    <n v="-386.77500000000003"/>
    <n v="386.77500000000003"/>
    <x v="1"/>
    <s v="2220"/>
    <s v="000"/>
    <x v="8"/>
    <x v="1"/>
  </r>
  <r>
    <d v="2012-06-23T00:00:00"/>
    <s v="017-2230-000"/>
    <s v="Wine Sales"/>
    <n v="124.48050000000001"/>
    <n v="0"/>
    <s v="Daily Sales Import"/>
    <n v="-124.48050000000001"/>
    <n v="124.48050000000001"/>
    <x v="1"/>
    <s v="2230"/>
    <s v="000"/>
    <x v="8"/>
    <x v="1"/>
  </r>
  <r>
    <d v="2012-06-24T00:00:00"/>
    <s v="017-2100-000"/>
    <s v="Food Sales"/>
    <n v="3123.6912000000007"/>
    <n v="0"/>
    <s v="Daily Sales Import"/>
    <n v="-3123.6912000000007"/>
    <n v="3123.6912000000007"/>
    <x v="1"/>
    <s v="2100"/>
    <s v="000"/>
    <x v="8"/>
    <x v="1"/>
  </r>
  <r>
    <d v="2012-06-24T00:00:00"/>
    <s v="017-2210-000"/>
    <s v="Liquor Sales"/>
    <n v="882.35100000000011"/>
    <n v="0"/>
    <s v="Daily Sales Import"/>
    <n v="-882.35100000000011"/>
    <n v="882.35100000000011"/>
    <x v="1"/>
    <s v="2210"/>
    <s v="000"/>
    <x v="8"/>
    <x v="1"/>
  </r>
  <r>
    <d v="2012-06-24T00:00:00"/>
    <s v="017-2220-000"/>
    <s v="Beer Sales"/>
    <n v="293.47500000000002"/>
    <n v="0"/>
    <s v="Daily Sales Import"/>
    <n v="-293.47500000000002"/>
    <n v="293.47500000000002"/>
    <x v="1"/>
    <s v="2220"/>
    <s v="000"/>
    <x v="8"/>
    <x v="1"/>
  </r>
  <r>
    <d v="2012-06-24T00:00:00"/>
    <s v="017-2230-000"/>
    <s v="Wine Sales"/>
    <n v="44.256000000000007"/>
    <n v="0"/>
    <s v="Daily Sales Import"/>
    <n v="-44.256000000000007"/>
    <n v="44.256000000000007"/>
    <x v="1"/>
    <s v="2230"/>
    <s v="000"/>
    <x v="8"/>
    <x v="1"/>
  </r>
  <r>
    <d v="2012-06-18T00:00:00"/>
    <s v="018-2100-000"/>
    <s v="Food Sales"/>
    <n v="3765.8250000000003"/>
    <n v="0"/>
    <s v="Daily Sales Import"/>
    <n v="-3765.8250000000003"/>
    <n v="3765.8250000000003"/>
    <x v="2"/>
    <s v="2100"/>
    <s v="000"/>
    <x v="8"/>
    <x v="1"/>
  </r>
  <r>
    <d v="2012-06-18T00:00:00"/>
    <s v="018-2210-000"/>
    <s v="Liquor Sales"/>
    <n v="610.96350000000007"/>
    <n v="0"/>
    <s v="Daily Sales Import"/>
    <n v="-610.96350000000007"/>
    <n v="610.96350000000007"/>
    <x v="2"/>
    <s v="2210"/>
    <s v="000"/>
    <x v="8"/>
    <x v="1"/>
  </r>
  <r>
    <d v="2012-06-18T00:00:00"/>
    <s v="018-2220-000"/>
    <s v="Beer Sales"/>
    <n v="158.71299999999999"/>
    <n v="0"/>
    <s v="Daily Sales Import"/>
    <n v="-158.71299999999999"/>
    <n v="158.71299999999999"/>
    <x v="2"/>
    <s v="2220"/>
    <s v="000"/>
    <x v="8"/>
    <x v="1"/>
  </r>
  <r>
    <d v="2012-06-18T00:00:00"/>
    <s v="018-2230-000"/>
    <s v="Wine Sales"/>
    <n v="31.569999999999997"/>
    <n v="0"/>
    <s v="Daily Sales Import"/>
    <n v="-31.569999999999997"/>
    <n v="31.569999999999997"/>
    <x v="2"/>
    <s v="2230"/>
    <s v="000"/>
    <x v="8"/>
    <x v="1"/>
  </r>
  <r>
    <d v="2012-06-19T00:00:00"/>
    <s v="018-2100-000"/>
    <s v="Food Sales"/>
    <n v="4391.5264000000006"/>
    <n v="0"/>
    <s v="Daily Sales Import"/>
    <n v="-4391.5264000000006"/>
    <n v="4391.5264000000006"/>
    <x v="2"/>
    <s v="2100"/>
    <s v="000"/>
    <x v="8"/>
    <x v="1"/>
  </r>
  <r>
    <d v="2012-06-19T00:00:00"/>
    <s v="018-2210-000"/>
    <s v="Liquor Sales"/>
    <n v="1042.22"/>
    <n v="0"/>
    <s v="Daily Sales Import"/>
    <n v="-1042.22"/>
    <n v="1042.22"/>
    <x v="2"/>
    <s v="2210"/>
    <s v="000"/>
    <x v="8"/>
    <x v="1"/>
  </r>
  <r>
    <d v="2012-06-19T00:00:00"/>
    <s v="018-2220-000"/>
    <s v="Beer Sales"/>
    <n v="155.73599999999999"/>
    <n v="0"/>
    <s v="Daily Sales Import"/>
    <n v="-155.73599999999999"/>
    <n v="155.73599999999999"/>
    <x v="2"/>
    <s v="2220"/>
    <s v="000"/>
    <x v="8"/>
    <x v="1"/>
  </r>
  <r>
    <d v="2012-06-19T00:00:00"/>
    <s v="018-2230-000"/>
    <s v="Wine Sales"/>
    <n v="61.949999999999996"/>
    <n v="0"/>
    <s v="Daily Sales Import"/>
    <n v="-61.949999999999996"/>
    <n v="61.949999999999996"/>
    <x v="2"/>
    <s v="2230"/>
    <s v="000"/>
    <x v="8"/>
    <x v="1"/>
  </r>
  <r>
    <d v="2012-06-20T00:00:00"/>
    <s v="018-2100-000"/>
    <s v="Food Sales"/>
    <n v="5133.7903999999999"/>
    <n v="0"/>
    <s v="Daily Sales Import"/>
    <n v="-5133.7903999999999"/>
    <n v="5133.7903999999999"/>
    <x v="2"/>
    <s v="2100"/>
    <s v="000"/>
    <x v="8"/>
    <x v="1"/>
  </r>
  <r>
    <d v="2012-06-20T00:00:00"/>
    <s v="018-2210-000"/>
    <s v="Liquor Sales"/>
    <n v="824.66199999999992"/>
    <n v="0"/>
    <s v="Daily Sales Import"/>
    <n v="-824.66199999999992"/>
    <n v="824.66199999999992"/>
    <x v="2"/>
    <s v="2210"/>
    <s v="000"/>
    <x v="8"/>
    <x v="1"/>
  </r>
  <r>
    <d v="2012-06-20T00:00:00"/>
    <s v="018-2220-000"/>
    <s v="Beer Sales"/>
    <n v="160.85899999999998"/>
    <n v="0"/>
    <s v="Daily Sales Import"/>
    <n v="-160.85899999999998"/>
    <n v="160.85899999999998"/>
    <x v="2"/>
    <s v="2220"/>
    <s v="000"/>
    <x v="8"/>
    <x v="1"/>
  </r>
  <r>
    <d v="2012-06-20T00:00:00"/>
    <s v="018-2230-000"/>
    <s v="Wine Sales"/>
    <n v="48.212499999999999"/>
    <n v="0"/>
    <s v="Daily Sales Import"/>
    <n v="-48.212499999999999"/>
    <n v="48.212499999999999"/>
    <x v="2"/>
    <s v="2230"/>
    <s v="000"/>
    <x v="8"/>
    <x v="1"/>
  </r>
  <r>
    <d v="2012-06-21T00:00:00"/>
    <s v="018-2100-000"/>
    <s v="Food Sales"/>
    <n v="3966.1095999999998"/>
    <n v="0"/>
    <s v="Daily Sales Import"/>
    <n v="-3966.1095999999998"/>
    <n v="3966.1095999999998"/>
    <x v="2"/>
    <s v="2100"/>
    <s v="000"/>
    <x v="8"/>
    <x v="1"/>
  </r>
  <r>
    <d v="2012-06-21T00:00:00"/>
    <s v="018-2210-000"/>
    <s v="Liquor Sales"/>
    <n v="795.69"/>
    <n v="0"/>
    <s v="Daily Sales Import"/>
    <n v="-795.69"/>
    <n v="795.69"/>
    <x v="2"/>
    <s v="2210"/>
    <s v="000"/>
    <x v="8"/>
    <x v="1"/>
  </r>
  <r>
    <d v="2012-06-21T00:00:00"/>
    <s v="018-2220-000"/>
    <s v="Beer Sales"/>
    <n v="341.82299999999998"/>
    <n v="0"/>
    <s v="Daily Sales Import"/>
    <n v="-341.82299999999998"/>
    <n v="341.82299999999998"/>
    <x v="2"/>
    <s v="2220"/>
    <s v="000"/>
    <x v="8"/>
    <x v="1"/>
  </r>
  <r>
    <d v="2012-06-21T00:00:00"/>
    <s v="018-2230-000"/>
    <s v="Wine Sales"/>
    <n v="14.0715"/>
    <n v="0"/>
    <s v="Daily Sales Import"/>
    <n v="-14.0715"/>
    <n v="14.0715"/>
    <x v="2"/>
    <s v="2230"/>
    <s v="000"/>
    <x v="8"/>
    <x v="1"/>
  </r>
  <r>
    <d v="2012-06-22T00:00:00"/>
    <s v="018-2100-000"/>
    <s v="Food Sales"/>
    <n v="8123.3949999999995"/>
    <n v="0"/>
    <s v="Daily Sales Import"/>
    <n v="-8123.3949999999995"/>
    <n v="8123.3949999999995"/>
    <x v="2"/>
    <s v="2100"/>
    <s v="000"/>
    <x v="8"/>
    <x v="1"/>
  </r>
  <r>
    <d v="2012-06-22T00:00:00"/>
    <s v="018-2210-000"/>
    <s v="Liquor Sales"/>
    <n v="3105.4214999999999"/>
    <n v="0"/>
    <s v="Daily Sales Import"/>
    <n v="-3105.4214999999999"/>
    <n v="3105.4214999999999"/>
    <x v="2"/>
    <s v="2210"/>
    <s v="000"/>
    <x v="8"/>
    <x v="1"/>
  </r>
  <r>
    <d v="2012-06-22T00:00:00"/>
    <s v="018-2220-000"/>
    <s v="Beer Sales"/>
    <n v="465.24449999999996"/>
    <n v="0"/>
    <s v="Daily Sales Import"/>
    <n v="-465.24449999999996"/>
    <n v="465.24449999999996"/>
    <x v="2"/>
    <s v="2220"/>
    <s v="000"/>
    <x v="8"/>
    <x v="1"/>
  </r>
  <r>
    <d v="2012-06-22T00:00:00"/>
    <s v="018-2230-000"/>
    <s v="Wine Sales"/>
    <n v="141.626"/>
    <n v="0"/>
    <s v="Daily Sales Import"/>
    <n v="-141.626"/>
    <n v="141.626"/>
    <x v="2"/>
    <s v="2230"/>
    <s v="000"/>
    <x v="8"/>
    <x v="1"/>
  </r>
  <r>
    <d v="2012-06-23T00:00:00"/>
    <s v="018-2100-000"/>
    <s v="Food Sales"/>
    <n v="13322.491"/>
    <n v="0"/>
    <s v="Daily Sales Import"/>
    <n v="-13322.491"/>
    <n v="13322.491"/>
    <x v="2"/>
    <s v="2100"/>
    <s v="000"/>
    <x v="8"/>
    <x v="1"/>
  </r>
  <r>
    <d v="2012-06-23T00:00:00"/>
    <s v="018-2210-000"/>
    <s v="Liquor Sales"/>
    <n v="2659.2945"/>
    <n v="0"/>
    <s v="Daily Sales Import"/>
    <n v="-2659.2945"/>
    <n v="2659.2945"/>
    <x v="2"/>
    <s v="2210"/>
    <s v="000"/>
    <x v="8"/>
    <x v="1"/>
  </r>
  <r>
    <d v="2012-06-23T00:00:00"/>
    <s v="018-2220-000"/>
    <s v="Beer Sales"/>
    <n v="809.61299999999994"/>
    <n v="0"/>
    <s v="Daily Sales Import"/>
    <n v="-809.61299999999994"/>
    <n v="809.61299999999994"/>
    <x v="2"/>
    <s v="2220"/>
    <s v="000"/>
    <x v="8"/>
    <x v="1"/>
  </r>
  <r>
    <d v="2012-06-23T00:00:00"/>
    <s v="018-2230-000"/>
    <s v="Wine Sales"/>
    <n v="73.275000000000006"/>
    <n v="0"/>
    <s v="Daily Sales Import"/>
    <n v="-73.275000000000006"/>
    <n v="73.275000000000006"/>
    <x v="2"/>
    <s v="2230"/>
    <s v="000"/>
    <x v="8"/>
    <x v="1"/>
  </r>
  <r>
    <d v="2012-06-24T00:00:00"/>
    <s v="018-2100-000"/>
    <s v="Food Sales"/>
    <n v="9755.0145000000011"/>
    <n v="0"/>
    <s v="Daily Sales Import"/>
    <n v="-9755.0145000000011"/>
    <n v="9755.0145000000011"/>
    <x v="2"/>
    <s v="2100"/>
    <s v="000"/>
    <x v="8"/>
    <x v="1"/>
  </r>
  <r>
    <d v="2012-06-24T00:00:00"/>
    <s v="018-2210-000"/>
    <s v="Liquor Sales"/>
    <n v="1884.0779999999997"/>
    <n v="0"/>
    <s v="Daily Sales Import"/>
    <n v="-1884.0779999999997"/>
    <n v="1884.0779999999997"/>
    <x v="2"/>
    <s v="2210"/>
    <s v="000"/>
    <x v="8"/>
    <x v="1"/>
  </r>
  <r>
    <d v="2012-06-24T00:00:00"/>
    <s v="018-2220-000"/>
    <s v="Beer Sales"/>
    <n v="462.91500000000002"/>
    <n v="0"/>
    <s v="Daily Sales Import"/>
    <n v="-462.91500000000002"/>
    <n v="462.91500000000002"/>
    <x v="2"/>
    <s v="2220"/>
    <s v="000"/>
    <x v="8"/>
    <x v="1"/>
  </r>
  <r>
    <d v="2012-06-24T00:00:00"/>
    <s v="018-2230-000"/>
    <s v="Wine Sales"/>
    <n v="37.324000000000005"/>
    <n v="0"/>
    <s v="Daily Sales Import"/>
    <n v="-37.324000000000005"/>
    <n v="37.324000000000005"/>
    <x v="2"/>
    <s v="2230"/>
    <s v="000"/>
    <x v="8"/>
    <x v="1"/>
  </r>
  <r>
    <d v="2012-06-25T00:00:00"/>
    <s v="016-2100-000"/>
    <s v="Food Sales"/>
    <n v="3003.4213999999997"/>
    <n v="0"/>
    <s v="Daily Sales Import"/>
    <n v="-3003.4213999999997"/>
    <n v="3003.4213999999997"/>
    <x v="0"/>
    <s v="2100"/>
    <s v="000"/>
    <x v="8"/>
    <x v="1"/>
  </r>
  <r>
    <d v="2012-06-25T00:00:00"/>
    <s v="016-2210-000"/>
    <s v="Liquor Sales"/>
    <n v="725.3900000000001"/>
    <n v="0"/>
    <s v="Daily Sales Import"/>
    <n v="-725.3900000000001"/>
    <n v="725.3900000000001"/>
    <x v="0"/>
    <s v="2210"/>
    <s v="000"/>
    <x v="8"/>
    <x v="1"/>
  </r>
  <r>
    <d v="2012-06-25T00:00:00"/>
    <s v="016-2220-000"/>
    <s v="Beer Sales"/>
    <n v="122.01600000000001"/>
    <n v="0"/>
    <s v="Daily Sales Import"/>
    <n v="-122.01600000000001"/>
    <n v="122.01600000000001"/>
    <x v="0"/>
    <s v="2220"/>
    <s v="000"/>
    <x v="8"/>
    <x v="1"/>
  </r>
  <r>
    <d v="2012-06-25T00:00:00"/>
    <s v="016-2230-000"/>
    <s v="Wine Sales"/>
    <n v="130.364"/>
    <n v="0"/>
    <s v="Daily Sales Import"/>
    <n v="-130.364"/>
    <n v="130.364"/>
    <x v="0"/>
    <s v="2230"/>
    <s v="000"/>
    <x v="8"/>
    <x v="1"/>
  </r>
  <r>
    <d v="2012-06-26T00:00:00"/>
    <s v="016-2100-000"/>
    <s v="Food Sales"/>
    <n v="5683.6490999999996"/>
    <n v="0"/>
    <s v="Daily Sales Import"/>
    <n v="-5683.6490999999996"/>
    <n v="5683.6490999999996"/>
    <x v="0"/>
    <s v="2100"/>
    <s v="000"/>
    <x v="8"/>
    <x v="1"/>
  </r>
  <r>
    <d v="2012-06-26T00:00:00"/>
    <s v="016-2210-000"/>
    <s v="Liquor Sales"/>
    <n v="1919.346"/>
    <n v="0"/>
    <s v="Daily Sales Import"/>
    <n v="-1919.346"/>
    <n v="1919.346"/>
    <x v="0"/>
    <s v="2210"/>
    <s v="000"/>
    <x v="8"/>
    <x v="1"/>
  </r>
  <r>
    <d v="2012-06-26T00:00:00"/>
    <s v="016-2220-000"/>
    <s v="Beer Sales"/>
    <n v="564.34349999999995"/>
    <n v="0"/>
    <s v="Daily Sales Import"/>
    <n v="-564.34349999999995"/>
    <n v="564.34349999999995"/>
    <x v="0"/>
    <s v="2220"/>
    <s v="000"/>
    <x v="8"/>
    <x v="1"/>
  </r>
  <r>
    <d v="2012-06-26T00:00:00"/>
    <s v="016-2230-000"/>
    <s v="Wine Sales"/>
    <n v="149.85650000000001"/>
    <n v="0"/>
    <s v="Daily Sales Import"/>
    <n v="-149.85650000000001"/>
    <n v="149.85650000000001"/>
    <x v="0"/>
    <s v="2230"/>
    <s v="000"/>
    <x v="8"/>
    <x v="1"/>
  </r>
  <r>
    <d v="2012-06-27T00:00:00"/>
    <s v="016-2100-000"/>
    <s v="Food Sales"/>
    <n v="3055.1512999999995"/>
    <n v="0"/>
    <s v="Daily Sales Import"/>
    <n v="-3055.1512999999995"/>
    <n v="3055.1512999999995"/>
    <x v="0"/>
    <s v="2100"/>
    <s v="000"/>
    <x v="8"/>
    <x v="1"/>
  </r>
  <r>
    <d v="2012-06-27T00:00:00"/>
    <s v="016-2210-000"/>
    <s v="Liquor Sales"/>
    <n v="779.15050000000008"/>
    <n v="0"/>
    <s v="Daily Sales Import"/>
    <n v="-779.15050000000008"/>
    <n v="779.15050000000008"/>
    <x v="0"/>
    <s v="2210"/>
    <s v="000"/>
    <x v="8"/>
    <x v="1"/>
  </r>
  <r>
    <d v="2012-06-27T00:00:00"/>
    <s v="016-2220-000"/>
    <s v="Beer Sales"/>
    <n v="187.06950000000001"/>
    <n v="0"/>
    <s v="Daily Sales Import"/>
    <n v="-187.06950000000001"/>
    <n v="187.06950000000001"/>
    <x v="0"/>
    <s v="2220"/>
    <s v="000"/>
    <x v="8"/>
    <x v="1"/>
  </r>
  <r>
    <d v="2012-06-27T00:00:00"/>
    <s v="016-2230-000"/>
    <s v="Wine Sales"/>
    <n v="118.12800000000001"/>
    <n v="0"/>
    <s v="Daily Sales Import"/>
    <n v="-118.12800000000001"/>
    <n v="118.12800000000001"/>
    <x v="0"/>
    <s v="2230"/>
    <s v="000"/>
    <x v="8"/>
    <x v="1"/>
  </r>
  <r>
    <d v="2012-06-28T00:00:00"/>
    <s v="016-2100-000"/>
    <s v="Food Sales"/>
    <n v="4266.2190000000001"/>
    <n v="0"/>
    <s v="Daily Sales Import"/>
    <n v="-4266.2190000000001"/>
    <n v="4266.2190000000001"/>
    <x v="0"/>
    <s v="2100"/>
    <s v="000"/>
    <x v="8"/>
    <x v="1"/>
  </r>
  <r>
    <d v="2012-06-28T00:00:00"/>
    <s v="016-2210-000"/>
    <s v="Liquor Sales"/>
    <n v="1118.04"/>
    <n v="0"/>
    <s v="Daily Sales Import"/>
    <n v="-1118.04"/>
    <n v="1118.04"/>
    <x v="0"/>
    <s v="2210"/>
    <s v="000"/>
    <x v="8"/>
    <x v="1"/>
  </r>
  <r>
    <d v="2012-06-28T00:00:00"/>
    <s v="016-2220-000"/>
    <s v="Beer Sales"/>
    <n v="223.14599999999999"/>
    <n v="0"/>
    <s v="Daily Sales Import"/>
    <n v="-223.14599999999999"/>
    <n v="223.14599999999999"/>
    <x v="0"/>
    <s v="2220"/>
    <s v="000"/>
    <x v="8"/>
    <x v="1"/>
  </r>
  <r>
    <d v="2012-06-28T00:00:00"/>
    <s v="016-2230-000"/>
    <s v="Wine Sales"/>
    <n v="40.954499999999996"/>
    <n v="0"/>
    <s v="Daily Sales Import"/>
    <n v="-40.954499999999996"/>
    <n v="40.954499999999996"/>
    <x v="0"/>
    <s v="2230"/>
    <s v="000"/>
    <x v="8"/>
    <x v="1"/>
  </r>
  <r>
    <d v="2012-06-29T00:00:00"/>
    <s v="016-2100-000"/>
    <s v="Food Sales"/>
    <n v="6528.8973999999989"/>
    <n v="0"/>
    <s v="Daily Sales Import"/>
    <n v="-6528.8973999999989"/>
    <n v="6528.8973999999989"/>
    <x v="0"/>
    <s v="2100"/>
    <s v="000"/>
    <x v="8"/>
    <x v="1"/>
  </r>
  <r>
    <d v="2012-06-29T00:00:00"/>
    <s v="016-2210-000"/>
    <s v="Liquor Sales"/>
    <n v="1772.6424"/>
    <n v="0"/>
    <s v="Daily Sales Import"/>
    <n v="-1772.6424"/>
    <n v="1772.6424"/>
    <x v="0"/>
    <s v="2210"/>
    <s v="000"/>
    <x v="8"/>
    <x v="1"/>
  </r>
  <r>
    <d v="2012-06-29T00:00:00"/>
    <s v="016-2220-000"/>
    <s v="Beer Sales"/>
    <n v="498.411"/>
    <n v="0"/>
    <s v="Daily Sales Import"/>
    <n v="-498.411"/>
    <n v="498.411"/>
    <x v="0"/>
    <s v="2220"/>
    <s v="000"/>
    <x v="8"/>
    <x v="1"/>
  </r>
  <r>
    <d v="2012-06-29T00:00:00"/>
    <s v="016-2230-000"/>
    <s v="Wine Sales"/>
    <n v="94.402000000000001"/>
    <n v="0"/>
    <s v="Daily Sales Import"/>
    <n v="-94.402000000000001"/>
    <n v="94.402000000000001"/>
    <x v="0"/>
    <s v="2230"/>
    <s v="000"/>
    <x v="8"/>
    <x v="1"/>
  </r>
  <r>
    <d v="2012-06-30T00:00:00"/>
    <s v="016-2100-000"/>
    <s v="Food Sales"/>
    <n v="8551.4583000000002"/>
    <n v="0"/>
    <s v="Daily Sales Import"/>
    <n v="-8551.4583000000002"/>
    <n v="8551.4583000000002"/>
    <x v="0"/>
    <s v="2100"/>
    <s v="000"/>
    <x v="8"/>
    <x v="1"/>
  </r>
  <r>
    <d v="2012-06-30T00:00:00"/>
    <s v="016-2210-000"/>
    <s v="Liquor Sales"/>
    <n v="3635.875"/>
    <n v="0"/>
    <s v="Daily Sales Import"/>
    <n v="-3635.875"/>
    <n v="3635.875"/>
    <x v="0"/>
    <s v="2210"/>
    <s v="000"/>
    <x v="8"/>
    <x v="1"/>
  </r>
  <r>
    <d v="2012-06-30T00:00:00"/>
    <s v="016-2220-000"/>
    <s v="Beer Sales"/>
    <n v="556.12800000000004"/>
    <n v="0"/>
    <s v="Daily Sales Import"/>
    <n v="-556.12800000000004"/>
    <n v="556.12800000000004"/>
    <x v="0"/>
    <s v="2220"/>
    <s v="000"/>
    <x v="8"/>
    <x v="1"/>
  </r>
  <r>
    <d v="2012-06-30T00:00:00"/>
    <s v="016-2230-000"/>
    <s v="Wine Sales"/>
    <n v="204.96549999999999"/>
    <n v="0"/>
    <s v="Daily Sales Import"/>
    <n v="-204.96549999999999"/>
    <n v="204.96549999999999"/>
    <x v="0"/>
    <s v="2230"/>
    <s v="000"/>
    <x v="8"/>
    <x v="1"/>
  </r>
  <r>
    <d v="2012-07-01T00:00:00"/>
    <s v="016-2100-000"/>
    <s v="Food Sales"/>
    <n v="5075.8600000000006"/>
    <n v="0"/>
    <s v="Daily Sales Import"/>
    <n v="-5075.8600000000006"/>
    <n v="5075.8600000000006"/>
    <x v="0"/>
    <s v="2100"/>
    <s v="000"/>
    <x v="9"/>
    <x v="1"/>
  </r>
  <r>
    <d v="2012-07-01T00:00:00"/>
    <s v="016-2210-000"/>
    <s v="Liquor Sales"/>
    <n v="839.29099999999994"/>
    <n v="0"/>
    <s v="Daily Sales Import"/>
    <n v="-839.29099999999994"/>
    <n v="839.29099999999994"/>
    <x v="0"/>
    <s v="2210"/>
    <s v="000"/>
    <x v="9"/>
    <x v="1"/>
  </r>
  <r>
    <d v="2012-07-01T00:00:00"/>
    <s v="016-2220-000"/>
    <s v="Beer Sales"/>
    <n v="246.006"/>
    <n v="0"/>
    <s v="Daily Sales Import"/>
    <n v="-246.006"/>
    <n v="246.006"/>
    <x v="0"/>
    <s v="2220"/>
    <s v="000"/>
    <x v="9"/>
    <x v="1"/>
  </r>
  <r>
    <d v="2012-07-01T00:00:00"/>
    <s v="016-2230-000"/>
    <s v="Wine Sales"/>
    <n v="48.348000000000006"/>
    <n v="0"/>
    <s v="Daily Sales Import"/>
    <n v="-48.348000000000006"/>
    <n v="48.348000000000006"/>
    <x v="0"/>
    <s v="2230"/>
    <s v="000"/>
    <x v="9"/>
    <x v="1"/>
  </r>
  <r>
    <d v="2012-06-25T00:00:00"/>
    <s v="017-2100-000"/>
    <s v="Food Sales"/>
    <n v="6138.8873000000003"/>
    <n v="0"/>
    <s v="Daily Sales Import"/>
    <n v="-6138.8873000000003"/>
    <n v="6138.8873000000003"/>
    <x v="1"/>
    <s v="2100"/>
    <s v="000"/>
    <x v="8"/>
    <x v="1"/>
  </r>
  <r>
    <d v="2012-06-25T00:00:00"/>
    <s v="017-2210-000"/>
    <s v="Liquor Sales"/>
    <n v="1284.4124999999999"/>
    <n v="0"/>
    <s v="Daily Sales Import"/>
    <n v="-1284.4124999999999"/>
    <n v="1284.4124999999999"/>
    <x v="1"/>
    <s v="2210"/>
    <s v="000"/>
    <x v="8"/>
    <x v="1"/>
  </r>
  <r>
    <d v="2012-06-25T00:00:00"/>
    <s v="017-2220-000"/>
    <s v="Beer Sales"/>
    <n v="448.78250000000003"/>
    <n v="0"/>
    <s v="Daily Sales Import"/>
    <n v="-448.78250000000003"/>
    <n v="448.78250000000003"/>
    <x v="1"/>
    <s v="2220"/>
    <s v="000"/>
    <x v="8"/>
    <x v="1"/>
  </r>
  <r>
    <d v="2012-06-25T00:00:00"/>
    <s v="017-2230-000"/>
    <s v="Wine Sales"/>
    <n v="41.690000000000005"/>
    <n v="0"/>
    <s v="Daily Sales Import"/>
    <n v="-41.690000000000005"/>
    <n v="41.690000000000005"/>
    <x v="1"/>
    <s v="2230"/>
    <s v="000"/>
    <x v="8"/>
    <x v="1"/>
  </r>
  <r>
    <d v="2012-06-26T00:00:00"/>
    <s v="017-2100-000"/>
    <s v="Food Sales"/>
    <n v="6145.0635999999995"/>
    <n v="0"/>
    <s v="Daily Sales Import"/>
    <n v="-6145.0635999999995"/>
    <n v="6145.0635999999995"/>
    <x v="1"/>
    <s v="2100"/>
    <s v="000"/>
    <x v="8"/>
    <x v="1"/>
  </r>
  <r>
    <d v="2012-06-26T00:00:00"/>
    <s v="017-2210-000"/>
    <s v="Liquor Sales"/>
    <n v="2411.4640000000004"/>
    <n v="0"/>
    <s v="Daily Sales Import"/>
    <n v="-2411.4640000000004"/>
    <n v="2411.4640000000004"/>
    <x v="1"/>
    <s v="2210"/>
    <s v="000"/>
    <x v="8"/>
    <x v="1"/>
  </r>
  <r>
    <d v="2012-06-26T00:00:00"/>
    <s v="017-2220-000"/>
    <s v="Beer Sales"/>
    <n v="448.63000000000005"/>
    <n v="0"/>
    <s v="Daily Sales Import"/>
    <n v="-448.63000000000005"/>
    <n v="448.63000000000005"/>
    <x v="1"/>
    <s v="2220"/>
    <s v="000"/>
    <x v="8"/>
    <x v="1"/>
  </r>
  <r>
    <d v="2012-06-26T00:00:00"/>
    <s v="017-2230-000"/>
    <s v="Wine Sales"/>
    <n v="258.84000000000003"/>
    <n v="0"/>
    <s v="Daily Sales Import"/>
    <n v="-258.84000000000003"/>
    <n v="258.84000000000003"/>
    <x v="1"/>
    <s v="2230"/>
    <s v="000"/>
    <x v="8"/>
    <x v="1"/>
  </r>
  <r>
    <d v="2012-06-27T00:00:00"/>
    <s v="017-2100-000"/>
    <s v="Food Sales"/>
    <n v="7751.8987000000006"/>
    <n v="0"/>
    <s v="Daily Sales Import"/>
    <n v="-7751.8987000000006"/>
    <n v="7751.8987000000006"/>
    <x v="1"/>
    <s v="2100"/>
    <s v="000"/>
    <x v="8"/>
    <x v="1"/>
  </r>
  <r>
    <d v="2012-06-27T00:00:00"/>
    <s v="017-2210-000"/>
    <s v="Liquor Sales"/>
    <n v="2010.1319999999998"/>
    <n v="0"/>
    <s v="Daily Sales Import"/>
    <n v="-2010.1319999999998"/>
    <n v="2010.1319999999998"/>
    <x v="1"/>
    <s v="2210"/>
    <s v="000"/>
    <x v="8"/>
    <x v="1"/>
  </r>
  <r>
    <d v="2012-06-27T00:00:00"/>
    <s v="017-2220-000"/>
    <s v="Beer Sales"/>
    <n v="584.58749999999998"/>
    <n v="0"/>
    <s v="Daily Sales Import"/>
    <n v="-584.58749999999998"/>
    <n v="584.58749999999998"/>
    <x v="1"/>
    <s v="2220"/>
    <s v="000"/>
    <x v="8"/>
    <x v="1"/>
  </r>
  <r>
    <d v="2012-06-27T00:00:00"/>
    <s v="017-2230-000"/>
    <s v="Wine Sales"/>
    <n v="71.19"/>
    <n v="0"/>
    <s v="Daily Sales Import"/>
    <n v="-71.19"/>
    <n v="71.19"/>
    <x v="1"/>
    <s v="2230"/>
    <s v="000"/>
    <x v="8"/>
    <x v="1"/>
  </r>
  <r>
    <d v="2012-06-28T00:00:00"/>
    <s v="017-2100-000"/>
    <s v="Food Sales"/>
    <n v="8263.8629999999994"/>
    <n v="0"/>
    <s v="Daily Sales Import"/>
    <n v="-8263.8629999999994"/>
    <n v="8263.8629999999994"/>
    <x v="1"/>
    <s v="2100"/>
    <s v="000"/>
    <x v="8"/>
    <x v="1"/>
  </r>
  <r>
    <d v="2012-06-28T00:00:00"/>
    <s v="017-2210-000"/>
    <s v="Liquor Sales"/>
    <n v="3392.7245000000003"/>
    <n v="0"/>
    <s v="Daily Sales Import"/>
    <n v="-3392.7245000000003"/>
    <n v="3392.7245000000003"/>
    <x v="1"/>
    <s v="2210"/>
    <s v="000"/>
    <x v="8"/>
    <x v="1"/>
  </r>
  <r>
    <d v="2012-06-28T00:00:00"/>
    <s v="017-2220-000"/>
    <s v="Beer Sales"/>
    <n v="794.86"/>
    <n v="0"/>
    <s v="Daily Sales Import"/>
    <n v="-794.86"/>
    <n v="794.86"/>
    <x v="1"/>
    <s v="2220"/>
    <s v="000"/>
    <x v="8"/>
    <x v="1"/>
  </r>
  <r>
    <d v="2012-06-28T00:00:00"/>
    <s v="017-2230-000"/>
    <s v="Wine Sales"/>
    <n v="145.53750000000002"/>
    <n v="0"/>
    <s v="Daily Sales Import"/>
    <n v="-145.53750000000002"/>
    <n v="145.53750000000002"/>
    <x v="1"/>
    <s v="2230"/>
    <s v="000"/>
    <x v="8"/>
    <x v="1"/>
  </r>
  <r>
    <d v="2012-06-29T00:00:00"/>
    <s v="017-2100-000"/>
    <s v="Food Sales"/>
    <n v="10730.468499999999"/>
    <n v="0"/>
    <s v="Daily Sales Import"/>
    <n v="-10730.468499999999"/>
    <n v="10730.468499999999"/>
    <x v="1"/>
    <s v="2100"/>
    <s v="000"/>
    <x v="8"/>
    <x v="1"/>
  </r>
  <r>
    <d v="2012-06-29T00:00:00"/>
    <s v="017-2210-000"/>
    <s v="Liquor Sales"/>
    <n v="2847.6309999999999"/>
    <n v="0"/>
    <s v="Daily Sales Import"/>
    <n v="-2847.6309999999999"/>
    <n v="2847.6309999999999"/>
    <x v="1"/>
    <s v="2210"/>
    <s v="000"/>
    <x v="8"/>
    <x v="1"/>
  </r>
  <r>
    <d v="2012-06-29T00:00:00"/>
    <s v="017-2220-000"/>
    <s v="Beer Sales"/>
    <n v="506.34"/>
    <n v="0"/>
    <s v="Daily Sales Import"/>
    <n v="-506.34"/>
    <n v="506.34"/>
    <x v="1"/>
    <s v="2220"/>
    <s v="000"/>
    <x v="8"/>
    <x v="1"/>
  </r>
  <r>
    <d v="2012-06-29T00:00:00"/>
    <s v="017-2230-000"/>
    <s v="Wine Sales"/>
    <n v="122.54399999999998"/>
    <n v="0"/>
    <s v="Daily Sales Import"/>
    <n v="-122.54399999999998"/>
    <n v="122.54399999999998"/>
    <x v="1"/>
    <s v="2230"/>
    <s v="000"/>
    <x v="8"/>
    <x v="1"/>
  </r>
  <r>
    <d v="2012-06-30T00:00:00"/>
    <s v="017-2100-000"/>
    <s v="Food Sales"/>
    <n v="5437.5697999999993"/>
    <n v="0"/>
    <s v="Daily Sales Import"/>
    <n v="-5437.5697999999993"/>
    <n v="5437.5697999999993"/>
    <x v="1"/>
    <s v="2100"/>
    <s v="000"/>
    <x v="8"/>
    <x v="1"/>
  </r>
  <r>
    <d v="2012-06-30T00:00:00"/>
    <s v="017-2210-000"/>
    <s v="Liquor Sales"/>
    <n v="1759.4525000000001"/>
    <n v="0"/>
    <s v="Daily Sales Import"/>
    <n v="-1759.4525000000001"/>
    <n v="1759.4525000000001"/>
    <x v="1"/>
    <s v="2210"/>
    <s v="000"/>
    <x v="8"/>
    <x v="1"/>
  </r>
  <r>
    <d v="2012-06-30T00:00:00"/>
    <s v="017-2220-000"/>
    <s v="Beer Sales"/>
    <n v="471.92500000000001"/>
    <n v="0"/>
    <s v="Daily Sales Import"/>
    <n v="-471.92500000000001"/>
    <n v="471.92500000000001"/>
    <x v="1"/>
    <s v="2220"/>
    <s v="000"/>
    <x v="8"/>
    <x v="1"/>
  </r>
  <r>
    <d v="2012-06-30T00:00:00"/>
    <s v="017-2230-000"/>
    <s v="Wine Sales"/>
    <n v="105.556"/>
    <n v="0"/>
    <s v="Daily Sales Import"/>
    <n v="-105.556"/>
    <n v="105.556"/>
    <x v="1"/>
    <s v="2230"/>
    <s v="000"/>
    <x v="8"/>
    <x v="1"/>
  </r>
  <r>
    <d v="2012-07-01T00:00:00"/>
    <s v="017-2100-000"/>
    <s v="Food Sales"/>
    <n v="4813.3487999999998"/>
    <n v="0"/>
    <s v="Daily Sales Import"/>
    <n v="-4813.3487999999998"/>
    <n v="4813.3487999999998"/>
    <x v="1"/>
    <s v="2100"/>
    <s v="000"/>
    <x v="9"/>
    <x v="1"/>
  </r>
  <r>
    <d v="2012-07-01T00:00:00"/>
    <s v="017-2210-000"/>
    <s v="Liquor Sales"/>
    <n v="1081.3319999999999"/>
    <n v="0"/>
    <s v="Daily Sales Import"/>
    <n v="-1081.3319999999999"/>
    <n v="1081.3319999999999"/>
    <x v="1"/>
    <s v="2210"/>
    <s v="000"/>
    <x v="9"/>
    <x v="1"/>
  </r>
  <r>
    <d v="2012-07-01T00:00:00"/>
    <s v="017-2220-000"/>
    <s v="Beer Sales"/>
    <n v="155.1875"/>
    <n v="0"/>
    <s v="Daily Sales Import"/>
    <n v="-155.1875"/>
    <n v="155.1875"/>
    <x v="1"/>
    <s v="2220"/>
    <s v="000"/>
    <x v="9"/>
    <x v="1"/>
  </r>
  <r>
    <d v="2012-07-01T00:00:00"/>
    <s v="017-2230-000"/>
    <s v="Wine Sales"/>
    <n v="38.258000000000003"/>
    <n v="0"/>
    <s v="Daily Sales Import"/>
    <n v="-38.258000000000003"/>
    <n v="38.258000000000003"/>
    <x v="1"/>
    <s v="2230"/>
    <s v="000"/>
    <x v="9"/>
    <x v="1"/>
  </r>
  <r>
    <d v="2012-06-25T00:00:00"/>
    <s v="018-2100-000"/>
    <s v="Food Sales"/>
    <n v="4545.8920000000007"/>
    <n v="0"/>
    <s v="Daily Sales Import"/>
    <n v="-4545.8920000000007"/>
    <n v="4545.8920000000007"/>
    <x v="2"/>
    <s v="2100"/>
    <s v="000"/>
    <x v="8"/>
    <x v="1"/>
  </r>
  <r>
    <d v="2012-06-25T00:00:00"/>
    <s v="018-2210-000"/>
    <s v="Liquor Sales"/>
    <n v="1121.9285"/>
    <n v="0"/>
    <s v="Daily Sales Import"/>
    <n v="-1121.9285"/>
    <n v="1121.9285"/>
    <x v="2"/>
    <s v="2210"/>
    <s v="000"/>
    <x v="8"/>
    <x v="1"/>
  </r>
  <r>
    <d v="2012-06-25T00:00:00"/>
    <s v="018-2220-000"/>
    <s v="Beer Sales"/>
    <n v="146.40400000000002"/>
    <n v="0"/>
    <s v="Daily Sales Import"/>
    <n v="-146.40400000000002"/>
    <n v="146.40400000000002"/>
    <x v="2"/>
    <s v="2220"/>
    <s v="000"/>
    <x v="8"/>
    <x v="1"/>
  </r>
  <r>
    <d v="2012-06-25T00:00:00"/>
    <s v="018-2230-000"/>
    <s v="Wine Sales"/>
    <n v="126.36000000000001"/>
    <n v="0"/>
    <s v="Daily Sales Import"/>
    <n v="-126.36000000000001"/>
    <n v="126.36000000000001"/>
    <x v="2"/>
    <s v="2230"/>
    <s v="000"/>
    <x v="8"/>
    <x v="1"/>
  </r>
  <r>
    <d v="2012-06-26T00:00:00"/>
    <s v="018-2100-000"/>
    <s v="Food Sales"/>
    <n v="5196.8388000000004"/>
    <n v="0"/>
    <s v="Daily Sales Import"/>
    <n v="-5196.8388000000004"/>
    <n v="5196.8388000000004"/>
    <x v="2"/>
    <s v="2100"/>
    <s v="000"/>
    <x v="8"/>
    <x v="1"/>
  </r>
  <r>
    <d v="2012-06-26T00:00:00"/>
    <s v="018-2210-000"/>
    <s v="Liquor Sales"/>
    <n v="1375.2525000000001"/>
    <n v="0"/>
    <s v="Daily Sales Import"/>
    <n v="-1375.2525000000001"/>
    <n v="1375.2525000000001"/>
    <x v="2"/>
    <s v="2210"/>
    <s v="000"/>
    <x v="8"/>
    <x v="1"/>
  </r>
  <r>
    <d v="2012-06-26T00:00:00"/>
    <s v="018-2220-000"/>
    <s v="Beer Sales"/>
    <n v="273.90999999999997"/>
    <n v="0"/>
    <s v="Daily Sales Import"/>
    <n v="-273.90999999999997"/>
    <n v="273.90999999999997"/>
    <x v="2"/>
    <s v="2220"/>
    <s v="000"/>
    <x v="8"/>
    <x v="1"/>
  </r>
  <r>
    <d v="2012-06-26T00:00:00"/>
    <s v="018-2230-000"/>
    <s v="Wine Sales"/>
    <n v="46.575999999999993"/>
    <n v="0"/>
    <s v="Daily Sales Import"/>
    <n v="-46.575999999999993"/>
    <n v="46.575999999999993"/>
    <x v="2"/>
    <s v="2230"/>
    <s v="000"/>
    <x v="8"/>
    <x v="1"/>
  </r>
  <r>
    <d v="2012-06-27T00:00:00"/>
    <s v="018-2100-000"/>
    <s v="Food Sales"/>
    <n v="4736.5004999999992"/>
    <n v="0"/>
    <s v="Daily Sales Import"/>
    <n v="-4736.5004999999992"/>
    <n v="4736.5004999999992"/>
    <x v="2"/>
    <s v="2100"/>
    <s v="000"/>
    <x v="8"/>
    <x v="1"/>
  </r>
  <r>
    <d v="2012-06-27T00:00:00"/>
    <s v="018-2210-000"/>
    <s v="Liquor Sales"/>
    <n v="1043.971"/>
    <n v="0"/>
    <s v="Daily Sales Import"/>
    <n v="-1043.971"/>
    <n v="1043.971"/>
    <x v="2"/>
    <s v="2210"/>
    <s v="000"/>
    <x v="8"/>
    <x v="1"/>
  </r>
  <r>
    <d v="2012-06-27T00:00:00"/>
    <s v="018-2220-000"/>
    <s v="Beer Sales"/>
    <n v="208.12600000000003"/>
    <n v="0"/>
    <s v="Daily Sales Import"/>
    <n v="-208.12600000000003"/>
    <n v="208.12600000000003"/>
    <x v="2"/>
    <s v="2220"/>
    <s v="000"/>
    <x v="8"/>
    <x v="1"/>
  </r>
  <r>
    <d v="2012-06-27T00:00:00"/>
    <s v="018-2230-000"/>
    <s v="Wine Sales"/>
    <n v="30.684999999999999"/>
    <n v="0"/>
    <s v="Daily Sales Import"/>
    <n v="-30.684999999999999"/>
    <n v="30.684999999999999"/>
    <x v="2"/>
    <s v="2230"/>
    <s v="000"/>
    <x v="8"/>
    <x v="1"/>
  </r>
  <r>
    <d v="2012-06-28T00:00:00"/>
    <s v="018-2100-000"/>
    <s v="Food Sales"/>
    <n v="8532.5390000000007"/>
    <n v="0"/>
    <s v="Daily Sales Import"/>
    <n v="-8532.5390000000007"/>
    <n v="8532.5390000000007"/>
    <x v="2"/>
    <s v="2100"/>
    <s v="000"/>
    <x v="8"/>
    <x v="1"/>
  </r>
  <r>
    <d v="2012-06-28T00:00:00"/>
    <s v="018-2210-000"/>
    <s v="Liquor Sales"/>
    <n v="1898.48"/>
    <n v="0"/>
    <s v="Daily Sales Import"/>
    <n v="-1898.48"/>
    <n v="1898.48"/>
    <x v="2"/>
    <s v="2210"/>
    <s v="000"/>
    <x v="8"/>
    <x v="1"/>
  </r>
  <r>
    <d v="2012-06-28T00:00:00"/>
    <s v="018-2220-000"/>
    <s v="Beer Sales"/>
    <n v="248.98999999999998"/>
    <n v="0"/>
    <s v="Daily Sales Import"/>
    <n v="-248.98999999999998"/>
    <n v="248.98999999999998"/>
    <x v="2"/>
    <s v="2220"/>
    <s v="000"/>
    <x v="8"/>
    <x v="1"/>
  </r>
  <r>
    <d v="2012-06-28T00:00:00"/>
    <s v="018-2230-000"/>
    <s v="Wine Sales"/>
    <n v="35.429499999999997"/>
    <n v="0"/>
    <s v="Daily Sales Import"/>
    <n v="-35.429499999999997"/>
    <n v="35.429499999999997"/>
    <x v="2"/>
    <s v="2230"/>
    <s v="000"/>
    <x v="8"/>
    <x v="1"/>
  </r>
  <r>
    <d v="2012-06-29T00:00:00"/>
    <s v="018-2100-000"/>
    <s v="Food Sales"/>
    <n v="10622.156999999999"/>
    <n v="0"/>
    <s v="Daily Sales Import"/>
    <n v="-10622.156999999999"/>
    <n v="10622.156999999999"/>
    <x v="2"/>
    <s v="2100"/>
    <s v="000"/>
    <x v="8"/>
    <x v="1"/>
  </r>
  <r>
    <d v="2012-06-29T00:00:00"/>
    <s v="018-2210-000"/>
    <s v="Liquor Sales"/>
    <n v="2985.71"/>
    <n v="0"/>
    <s v="Daily Sales Import"/>
    <n v="-2985.71"/>
    <n v="2985.71"/>
    <x v="2"/>
    <s v="2210"/>
    <s v="000"/>
    <x v="8"/>
    <x v="1"/>
  </r>
  <r>
    <d v="2012-06-29T00:00:00"/>
    <s v="018-2220-000"/>
    <s v="Beer Sales"/>
    <n v="712.47600000000011"/>
    <n v="0"/>
    <s v="Daily Sales Import"/>
    <n v="-712.47600000000011"/>
    <n v="712.47600000000011"/>
    <x v="2"/>
    <s v="2220"/>
    <s v="000"/>
    <x v="8"/>
    <x v="1"/>
  </r>
  <r>
    <d v="2012-06-29T00:00:00"/>
    <s v="018-2230-000"/>
    <s v="Wine Sales"/>
    <n v="161.4015"/>
    <n v="0"/>
    <s v="Daily Sales Import"/>
    <n v="-161.4015"/>
    <n v="161.4015"/>
    <x v="2"/>
    <s v="2230"/>
    <s v="000"/>
    <x v="8"/>
    <x v="1"/>
  </r>
  <r>
    <d v="2012-06-30T00:00:00"/>
    <s v="018-2100-000"/>
    <s v="Food Sales"/>
    <n v="17154.204999999998"/>
    <n v="0"/>
    <s v="Daily Sales Import"/>
    <n v="-17154.204999999998"/>
    <n v="17154.204999999998"/>
    <x v="2"/>
    <s v="2100"/>
    <s v="000"/>
    <x v="8"/>
    <x v="1"/>
  </r>
  <r>
    <d v="2012-06-30T00:00:00"/>
    <s v="018-2210-000"/>
    <s v="Liquor Sales"/>
    <n v="3959.8"/>
    <n v="0"/>
    <s v="Daily Sales Import"/>
    <n v="-3959.8"/>
    <n v="3959.8"/>
    <x v="2"/>
    <s v="2210"/>
    <s v="000"/>
    <x v="8"/>
    <x v="1"/>
  </r>
  <r>
    <d v="2012-06-30T00:00:00"/>
    <s v="018-2220-000"/>
    <s v="Beer Sales"/>
    <n v="940.46399999999994"/>
    <n v="0"/>
    <s v="Daily Sales Import"/>
    <n v="-940.46399999999994"/>
    <n v="940.46399999999994"/>
    <x v="2"/>
    <s v="2220"/>
    <s v="000"/>
    <x v="8"/>
    <x v="1"/>
  </r>
  <r>
    <d v="2012-06-30T00:00:00"/>
    <s v="018-2230-000"/>
    <s v="Wine Sales"/>
    <n v="25.113999999999997"/>
    <n v="0"/>
    <s v="Daily Sales Import"/>
    <n v="-25.113999999999997"/>
    <n v="25.113999999999997"/>
    <x v="2"/>
    <s v="2230"/>
    <s v="000"/>
    <x v="8"/>
    <x v="1"/>
  </r>
  <r>
    <d v="2012-07-01T00:00:00"/>
    <s v="018-2100-000"/>
    <s v="Food Sales"/>
    <n v="14969.1428"/>
    <n v="0"/>
    <s v="Daily Sales Import"/>
    <n v="-14969.1428"/>
    <n v="14969.1428"/>
    <x v="2"/>
    <s v="2100"/>
    <s v="000"/>
    <x v="9"/>
    <x v="1"/>
  </r>
  <r>
    <d v="2012-07-01T00:00:00"/>
    <s v="018-2210-000"/>
    <s v="Liquor Sales"/>
    <n v="1744.316"/>
    <n v="0"/>
    <s v="Daily Sales Import"/>
    <n v="-1744.316"/>
    <n v="1744.316"/>
    <x v="2"/>
    <s v="2210"/>
    <s v="000"/>
    <x v="9"/>
    <x v="1"/>
  </r>
  <r>
    <d v="2012-07-01T00:00:00"/>
    <s v="018-2220-000"/>
    <s v="Beer Sales"/>
    <n v="332.37"/>
    <n v="0"/>
    <s v="Daily Sales Import"/>
    <n v="-332.37"/>
    <n v="332.37"/>
    <x v="2"/>
    <s v="2220"/>
    <s v="000"/>
    <x v="9"/>
    <x v="1"/>
  </r>
  <r>
    <d v="2012-07-01T00:00:00"/>
    <s v="018-2230-000"/>
    <s v="Wine Sales"/>
    <n v="104.37350000000001"/>
    <n v="0"/>
    <s v="Daily Sales Import"/>
    <n v="-104.37350000000001"/>
    <n v="104.37350000000001"/>
    <x v="2"/>
    <s v="2230"/>
    <s v="000"/>
    <x v="9"/>
    <x v="1"/>
  </r>
  <r>
    <d v="2012-07-02T00:00:00"/>
    <s v="016-2100-000"/>
    <s v="Food Sales"/>
    <n v="3431.357"/>
    <n v="0"/>
    <s v="Daily Sales Import"/>
    <n v="-3431.357"/>
    <n v="3431.357"/>
    <x v="0"/>
    <s v="2100"/>
    <s v="000"/>
    <x v="9"/>
    <x v="1"/>
  </r>
  <r>
    <d v="2012-07-02T00:00:00"/>
    <s v="016-2210-000"/>
    <s v="Liquor Sales"/>
    <n v="715.68"/>
    <n v="0"/>
    <s v="Daily Sales Import"/>
    <n v="-715.68"/>
    <n v="715.68"/>
    <x v="0"/>
    <s v="2210"/>
    <s v="000"/>
    <x v="9"/>
    <x v="1"/>
  </r>
  <r>
    <d v="2012-07-02T00:00:00"/>
    <s v="016-2220-000"/>
    <s v="Beer Sales"/>
    <n v="103.54049999999999"/>
    <n v="0"/>
    <s v="Daily Sales Import"/>
    <n v="-103.54049999999999"/>
    <n v="103.54049999999999"/>
    <x v="0"/>
    <s v="2220"/>
    <s v="000"/>
    <x v="9"/>
    <x v="1"/>
  </r>
  <r>
    <d v="2012-07-02T00:00:00"/>
    <s v="016-2230-000"/>
    <s v="Wine Sales"/>
    <n v="40.020000000000003"/>
    <n v="0"/>
    <s v="Daily Sales Import"/>
    <n v="-40.020000000000003"/>
    <n v="40.020000000000003"/>
    <x v="0"/>
    <s v="2230"/>
    <s v="000"/>
    <x v="9"/>
    <x v="1"/>
  </r>
  <r>
    <d v="2012-07-03T00:00:00"/>
    <s v="016-2100-000"/>
    <s v="Food Sales"/>
    <n v="5693.1909999999998"/>
    <n v="0"/>
    <s v="Daily Sales Import"/>
    <n v="-5693.1909999999998"/>
    <n v="5693.1909999999998"/>
    <x v="0"/>
    <s v="2100"/>
    <s v="000"/>
    <x v="9"/>
    <x v="1"/>
  </r>
  <r>
    <d v="2012-07-03T00:00:00"/>
    <s v="016-2210-000"/>
    <s v="Liquor Sales"/>
    <n v="2359.5796"/>
    <n v="0"/>
    <s v="Daily Sales Import"/>
    <n v="-2359.5796"/>
    <n v="2359.5796"/>
    <x v="0"/>
    <s v="2210"/>
    <s v="000"/>
    <x v="9"/>
    <x v="1"/>
  </r>
  <r>
    <d v="2012-07-03T00:00:00"/>
    <s v="016-2220-000"/>
    <s v="Beer Sales"/>
    <n v="789.63300000000004"/>
    <n v="0"/>
    <s v="Daily Sales Import"/>
    <n v="-789.63300000000004"/>
    <n v="789.63300000000004"/>
    <x v="0"/>
    <s v="2220"/>
    <s v="000"/>
    <x v="9"/>
    <x v="1"/>
  </r>
  <r>
    <d v="2012-07-03T00:00:00"/>
    <s v="016-2230-000"/>
    <s v="Wine Sales"/>
    <n v="127.64400000000001"/>
    <n v="0"/>
    <s v="Daily Sales Import"/>
    <n v="-127.64400000000001"/>
    <n v="127.64400000000001"/>
    <x v="0"/>
    <s v="2230"/>
    <s v="000"/>
    <x v="9"/>
    <x v="1"/>
  </r>
  <r>
    <d v="2012-07-04T00:00:00"/>
    <s v="016-2100-000"/>
    <s v="Food Sales"/>
    <n v="4743.2658000000001"/>
    <n v="0"/>
    <s v="Daily Sales Import"/>
    <n v="-4743.2658000000001"/>
    <n v="4743.2658000000001"/>
    <x v="0"/>
    <s v="2100"/>
    <s v="000"/>
    <x v="9"/>
    <x v="1"/>
  </r>
  <r>
    <d v="2012-07-04T00:00:00"/>
    <s v="016-2210-000"/>
    <s v="Liquor Sales"/>
    <n v="1056.0550000000001"/>
    <n v="0"/>
    <s v="Daily Sales Import"/>
    <n v="-1056.0550000000001"/>
    <n v="1056.0550000000001"/>
    <x v="0"/>
    <s v="2210"/>
    <s v="000"/>
    <x v="9"/>
    <x v="1"/>
  </r>
  <r>
    <d v="2012-07-04T00:00:00"/>
    <s v="016-2220-000"/>
    <s v="Beer Sales"/>
    <n v="135.11099999999999"/>
    <n v="0"/>
    <s v="Daily Sales Import"/>
    <n v="-135.11099999999999"/>
    <n v="135.11099999999999"/>
    <x v="0"/>
    <s v="2220"/>
    <s v="000"/>
    <x v="9"/>
    <x v="1"/>
  </r>
  <r>
    <d v="2012-07-04T00:00:00"/>
    <s v="016-2230-000"/>
    <s v="Wine Sales"/>
    <n v="67.112499999999997"/>
    <n v="0"/>
    <s v="Daily Sales Import"/>
    <n v="-67.112499999999997"/>
    <n v="67.112499999999997"/>
    <x v="0"/>
    <s v="2230"/>
    <s v="000"/>
    <x v="9"/>
    <x v="1"/>
  </r>
  <r>
    <d v="2012-07-05T00:00:00"/>
    <s v="016-2100-000"/>
    <s v="Food Sales"/>
    <n v="3575.9349999999999"/>
    <n v="0"/>
    <s v="Daily Sales Import"/>
    <n v="-3575.9349999999999"/>
    <n v="3575.9349999999999"/>
    <x v="0"/>
    <s v="2100"/>
    <s v="000"/>
    <x v="9"/>
    <x v="1"/>
  </r>
  <r>
    <d v="2012-07-05T00:00:00"/>
    <s v="016-2210-000"/>
    <s v="Liquor Sales"/>
    <n v="1069.8575000000001"/>
    <n v="0"/>
    <s v="Daily Sales Import"/>
    <n v="-1069.8575000000001"/>
    <n v="1069.8575000000001"/>
    <x v="0"/>
    <s v="2210"/>
    <s v="000"/>
    <x v="9"/>
    <x v="1"/>
  </r>
  <r>
    <d v="2012-07-05T00:00:00"/>
    <s v="016-2220-000"/>
    <s v="Beer Sales"/>
    <n v="153.60000000000002"/>
    <n v="0"/>
    <s v="Daily Sales Import"/>
    <n v="-153.60000000000002"/>
    <n v="153.60000000000002"/>
    <x v="0"/>
    <s v="2220"/>
    <s v="000"/>
    <x v="9"/>
    <x v="1"/>
  </r>
  <r>
    <d v="2012-07-05T00:00:00"/>
    <s v="016-2230-000"/>
    <s v="Wine Sales"/>
    <n v="25.55"/>
    <n v="0"/>
    <s v="Daily Sales Import"/>
    <n v="-25.55"/>
    <n v="25.55"/>
    <x v="0"/>
    <s v="2230"/>
    <s v="000"/>
    <x v="9"/>
    <x v="1"/>
  </r>
  <r>
    <d v="2012-07-06T00:00:00"/>
    <s v="016-2100-000"/>
    <s v="Food Sales"/>
    <n v="5377.1537999999991"/>
    <n v="0"/>
    <s v="Daily Sales Import"/>
    <n v="-5377.1537999999991"/>
    <n v="5377.1537999999991"/>
    <x v="0"/>
    <s v="2100"/>
    <s v="000"/>
    <x v="9"/>
    <x v="1"/>
  </r>
  <r>
    <d v="2012-07-06T00:00:00"/>
    <s v="016-2210-000"/>
    <s v="Liquor Sales"/>
    <n v="2247.7080000000001"/>
    <n v="0"/>
    <s v="Daily Sales Import"/>
    <n v="-2247.7080000000001"/>
    <n v="2247.7080000000001"/>
    <x v="0"/>
    <s v="2210"/>
    <s v="000"/>
    <x v="9"/>
    <x v="1"/>
  </r>
  <r>
    <d v="2012-07-06T00:00:00"/>
    <s v="016-2220-000"/>
    <s v="Beer Sales"/>
    <n v="345.25349999999997"/>
    <n v="0"/>
    <s v="Daily Sales Import"/>
    <n v="-345.25349999999997"/>
    <n v="345.25349999999997"/>
    <x v="0"/>
    <s v="2220"/>
    <s v="000"/>
    <x v="9"/>
    <x v="1"/>
  </r>
  <r>
    <d v="2012-07-06T00:00:00"/>
    <s v="016-2230-000"/>
    <s v="Wine Sales"/>
    <n v="109.88250000000001"/>
    <n v="0"/>
    <s v="Daily Sales Import"/>
    <n v="-109.88250000000001"/>
    <n v="109.88250000000001"/>
    <x v="0"/>
    <s v="2230"/>
    <s v="000"/>
    <x v="9"/>
    <x v="1"/>
  </r>
  <r>
    <d v="2012-07-07T00:00:00"/>
    <s v="016-2100-000"/>
    <s v="Food Sales"/>
    <n v="6136.3632000000007"/>
    <n v="0"/>
    <s v="Daily Sales Import"/>
    <n v="-6136.3632000000007"/>
    <n v="6136.3632000000007"/>
    <x v="0"/>
    <s v="2100"/>
    <s v="000"/>
    <x v="9"/>
    <x v="1"/>
  </r>
  <r>
    <d v="2012-07-07T00:00:00"/>
    <s v="016-2210-000"/>
    <s v="Liquor Sales"/>
    <n v="2422.3319999999999"/>
    <n v="0"/>
    <s v="Daily Sales Import"/>
    <n v="-2422.3319999999999"/>
    <n v="2422.3319999999999"/>
    <x v="0"/>
    <s v="2210"/>
    <s v="000"/>
    <x v="9"/>
    <x v="1"/>
  </r>
  <r>
    <d v="2012-07-07T00:00:00"/>
    <s v="016-2220-000"/>
    <s v="Beer Sales"/>
    <n v="399.05"/>
    <n v="0"/>
    <s v="Daily Sales Import"/>
    <n v="-399.05"/>
    <n v="399.05"/>
    <x v="0"/>
    <s v="2220"/>
    <s v="000"/>
    <x v="9"/>
    <x v="1"/>
  </r>
  <r>
    <d v="2012-07-07T00:00:00"/>
    <s v="016-2230-000"/>
    <s v="Wine Sales"/>
    <n v="138.38400000000001"/>
    <n v="0"/>
    <s v="Daily Sales Import"/>
    <n v="-138.38400000000001"/>
    <n v="138.38400000000001"/>
    <x v="0"/>
    <s v="2230"/>
    <s v="000"/>
    <x v="9"/>
    <x v="1"/>
  </r>
  <r>
    <d v="2012-07-08T00:00:00"/>
    <s v="016-2100-000"/>
    <s v="Food Sales"/>
    <n v="5180.5907999999999"/>
    <n v="0"/>
    <s v="Daily Sales Import"/>
    <n v="-5180.5907999999999"/>
    <n v="5180.5907999999999"/>
    <x v="0"/>
    <s v="2100"/>
    <s v="000"/>
    <x v="9"/>
    <x v="1"/>
  </r>
  <r>
    <d v="2012-07-08T00:00:00"/>
    <s v="016-2210-000"/>
    <s v="Liquor Sales"/>
    <n v="898.20749999999998"/>
    <n v="0"/>
    <s v="Daily Sales Import"/>
    <n v="-898.20749999999998"/>
    <n v="898.20749999999998"/>
    <x v="0"/>
    <s v="2210"/>
    <s v="000"/>
    <x v="9"/>
    <x v="1"/>
  </r>
  <r>
    <d v="2012-07-08T00:00:00"/>
    <s v="016-2220-000"/>
    <s v="Beer Sales"/>
    <n v="163.51829999999998"/>
    <n v="0"/>
    <s v="Daily Sales Import"/>
    <n v="-163.51829999999998"/>
    <n v="163.51829999999998"/>
    <x v="0"/>
    <s v="2220"/>
    <s v="000"/>
    <x v="9"/>
    <x v="1"/>
  </r>
  <r>
    <d v="2012-07-08T00:00:00"/>
    <s v="016-2230-000"/>
    <s v="Wine Sales"/>
    <n v="104.51700000000001"/>
    <n v="0"/>
    <s v="Daily Sales Import"/>
    <n v="-104.51700000000001"/>
    <n v="104.51700000000001"/>
    <x v="0"/>
    <s v="2230"/>
    <s v="000"/>
    <x v="9"/>
    <x v="1"/>
  </r>
  <r>
    <d v="2012-07-02T00:00:00"/>
    <s v="017-2100-000"/>
    <s v="Food Sales"/>
    <n v="4303.6776"/>
    <n v="0"/>
    <s v="Daily Sales Import"/>
    <n v="-4303.6776"/>
    <n v="4303.6776"/>
    <x v="1"/>
    <s v="2100"/>
    <s v="000"/>
    <x v="9"/>
    <x v="1"/>
  </r>
  <r>
    <d v="2012-07-02T00:00:00"/>
    <s v="017-2210-000"/>
    <s v="Liquor Sales"/>
    <n v="918.43550000000005"/>
    <n v="0"/>
    <s v="Daily Sales Import"/>
    <n v="-918.43550000000005"/>
    <n v="918.43550000000005"/>
    <x v="1"/>
    <s v="2210"/>
    <s v="000"/>
    <x v="9"/>
    <x v="1"/>
  </r>
  <r>
    <d v="2012-07-02T00:00:00"/>
    <s v="017-2220-000"/>
    <s v="Beer Sales"/>
    <n v="203.09"/>
    <n v="0"/>
    <s v="Daily Sales Import"/>
    <n v="-203.09"/>
    <n v="203.09"/>
    <x v="1"/>
    <s v="2220"/>
    <s v="000"/>
    <x v="9"/>
    <x v="1"/>
  </r>
  <r>
    <d v="2012-07-02T00:00:00"/>
    <s v="017-2230-000"/>
    <s v="Wine Sales"/>
    <n v="97.802499999999995"/>
    <n v="0"/>
    <s v="Daily Sales Import"/>
    <n v="-97.802499999999995"/>
    <n v="97.802499999999995"/>
    <x v="1"/>
    <s v="2230"/>
    <s v="000"/>
    <x v="9"/>
    <x v="1"/>
  </r>
  <r>
    <d v="2012-07-03T00:00:00"/>
    <s v="017-2100-000"/>
    <s v="Food Sales"/>
    <n v="5611.3764000000001"/>
    <n v="0"/>
    <s v="Daily Sales Import"/>
    <n v="-5611.3764000000001"/>
    <n v="5611.3764000000001"/>
    <x v="1"/>
    <s v="2100"/>
    <s v="000"/>
    <x v="9"/>
    <x v="1"/>
  </r>
  <r>
    <d v="2012-07-03T00:00:00"/>
    <s v="017-2210-000"/>
    <s v="Liquor Sales"/>
    <n v="1199.52"/>
    <n v="0"/>
    <s v="Daily Sales Import"/>
    <n v="-1199.52"/>
    <n v="1199.52"/>
    <x v="1"/>
    <s v="2210"/>
    <s v="000"/>
    <x v="9"/>
    <x v="1"/>
  </r>
  <r>
    <d v="2012-07-03T00:00:00"/>
    <s v="017-2220-000"/>
    <s v="Beer Sales"/>
    <n v="357.5"/>
    <n v="0"/>
    <s v="Daily Sales Import"/>
    <n v="-357.5"/>
    <n v="357.5"/>
    <x v="1"/>
    <s v="2220"/>
    <s v="000"/>
    <x v="9"/>
    <x v="1"/>
  </r>
  <r>
    <d v="2012-07-03T00:00:00"/>
    <s v="017-2230-000"/>
    <s v="Wine Sales"/>
    <n v="105.78249999999998"/>
    <n v="0"/>
    <s v="Daily Sales Import"/>
    <n v="-105.78249999999998"/>
    <n v="105.78249999999998"/>
    <x v="1"/>
    <s v="2230"/>
    <s v="000"/>
    <x v="9"/>
    <x v="1"/>
  </r>
  <r>
    <d v="2012-07-04T00:00:00"/>
    <s v="017-2100-000"/>
    <s v="Food Sales"/>
    <n v="2863.1898000000001"/>
    <n v="0"/>
    <s v="Daily Sales Import"/>
    <n v="-2863.1898000000001"/>
    <n v="2863.1898000000001"/>
    <x v="1"/>
    <s v="2100"/>
    <s v="000"/>
    <x v="9"/>
    <x v="1"/>
  </r>
  <r>
    <d v="2012-07-04T00:00:00"/>
    <s v="017-2210-000"/>
    <s v="Liquor Sales"/>
    <n v="825.87099999999998"/>
    <n v="0"/>
    <s v="Daily Sales Import"/>
    <n v="-825.87099999999998"/>
    <n v="825.87099999999998"/>
    <x v="1"/>
    <s v="2210"/>
    <s v="000"/>
    <x v="9"/>
    <x v="1"/>
  </r>
  <r>
    <d v="2012-07-04T00:00:00"/>
    <s v="017-2220-000"/>
    <s v="Beer Sales"/>
    <n v="244.75"/>
    <n v="0"/>
    <s v="Daily Sales Import"/>
    <n v="-244.75"/>
    <n v="244.75"/>
    <x v="1"/>
    <s v="2220"/>
    <s v="000"/>
    <x v="9"/>
    <x v="1"/>
  </r>
  <r>
    <d v="2012-07-04T00:00:00"/>
    <s v="017-2230-000"/>
    <s v="Wine Sales"/>
    <n v="63.891000000000005"/>
    <n v="0"/>
    <s v="Daily Sales Import"/>
    <n v="-63.891000000000005"/>
    <n v="63.891000000000005"/>
    <x v="1"/>
    <s v="2230"/>
    <s v="000"/>
    <x v="9"/>
    <x v="1"/>
  </r>
  <r>
    <d v="2012-07-05T00:00:00"/>
    <s v="017-2100-000"/>
    <s v="Food Sales"/>
    <n v="5208.6823999999997"/>
    <n v="0"/>
    <s v="Daily Sales Import"/>
    <n v="-5208.6823999999997"/>
    <n v="5208.6823999999997"/>
    <x v="1"/>
    <s v="2100"/>
    <s v="000"/>
    <x v="9"/>
    <x v="1"/>
  </r>
  <r>
    <d v="2012-07-05T00:00:00"/>
    <s v="017-2210-000"/>
    <s v="Liquor Sales"/>
    <n v="1006.33"/>
    <n v="0"/>
    <s v="Daily Sales Import"/>
    <n v="-1006.33"/>
    <n v="1006.33"/>
    <x v="1"/>
    <s v="2210"/>
    <s v="000"/>
    <x v="9"/>
    <x v="1"/>
  </r>
  <r>
    <d v="2012-07-05T00:00:00"/>
    <s v="017-2220-000"/>
    <s v="Beer Sales"/>
    <n v="176.715"/>
    <n v="0"/>
    <s v="Daily Sales Import"/>
    <n v="-176.715"/>
    <n v="176.715"/>
    <x v="1"/>
    <s v="2220"/>
    <s v="000"/>
    <x v="9"/>
    <x v="1"/>
  </r>
  <r>
    <d v="2012-07-05T00:00:00"/>
    <s v="017-2230-000"/>
    <s v="Wine Sales"/>
    <n v="45.636499999999991"/>
    <n v="0"/>
    <s v="Daily Sales Import"/>
    <n v="-45.636499999999991"/>
    <n v="45.636499999999991"/>
    <x v="1"/>
    <s v="2230"/>
    <s v="000"/>
    <x v="9"/>
    <x v="1"/>
  </r>
  <r>
    <d v="2012-07-06T00:00:00"/>
    <s v="017-2100-000"/>
    <s v="Food Sales"/>
    <n v="6683.3927999999996"/>
    <n v="0"/>
    <s v="Daily Sales Import"/>
    <n v="-6683.3927999999996"/>
    <n v="6683.3927999999996"/>
    <x v="1"/>
    <s v="2100"/>
    <s v="000"/>
    <x v="9"/>
    <x v="1"/>
  </r>
  <r>
    <d v="2012-07-06T00:00:00"/>
    <s v="017-2210-000"/>
    <s v="Liquor Sales"/>
    <n v="2496.69"/>
    <n v="0"/>
    <s v="Daily Sales Import"/>
    <n v="-2496.69"/>
    <n v="2496.69"/>
    <x v="1"/>
    <s v="2210"/>
    <s v="000"/>
    <x v="9"/>
    <x v="1"/>
  </r>
  <r>
    <d v="2012-07-06T00:00:00"/>
    <s v="017-2220-000"/>
    <s v="Beer Sales"/>
    <n v="249.47749999999999"/>
    <n v="0"/>
    <s v="Daily Sales Import"/>
    <n v="-249.47749999999999"/>
    <n v="249.47749999999999"/>
    <x v="1"/>
    <s v="2220"/>
    <s v="000"/>
    <x v="9"/>
    <x v="1"/>
  </r>
  <r>
    <d v="2012-07-06T00:00:00"/>
    <s v="017-2230-000"/>
    <s v="Wine Sales"/>
    <n v="97.02"/>
    <n v="0"/>
    <s v="Daily Sales Import"/>
    <n v="-97.02"/>
    <n v="97.02"/>
    <x v="1"/>
    <s v="2230"/>
    <s v="000"/>
    <x v="9"/>
    <x v="1"/>
  </r>
  <r>
    <d v="2012-07-07T00:00:00"/>
    <s v="017-2100-000"/>
    <s v="Food Sales"/>
    <n v="7002.2480000000005"/>
    <n v="0"/>
    <s v="Daily Sales Import"/>
    <n v="-7002.2480000000005"/>
    <n v="7002.2480000000005"/>
    <x v="1"/>
    <s v="2100"/>
    <s v="000"/>
    <x v="9"/>
    <x v="1"/>
  </r>
  <r>
    <d v="2012-07-07T00:00:00"/>
    <s v="017-2210-000"/>
    <s v="Liquor Sales"/>
    <n v="1713.2445"/>
    <n v="0"/>
    <s v="Daily Sales Import"/>
    <n v="-1713.2445"/>
    <n v="1713.2445"/>
    <x v="1"/>
    <s v="2210"/>
    <s v="000"/>
    <x v="9"/>
    <x v="1"/>
  </r>
  <r>
    <d v="2012-07-07T00:00:00"/>
    <s v="017-2220-000"/>
    <s v="Beer Sales"/>
    <n v="273.15000000000003"/>
    <n v="0"/>
    <s v="Daily Sales Import"/>
    <n v="-273.15000000000003"/>
    <n v="273.15000000000003"/>
    <x v="1"/>
    <s v="2220"/>
    <s v="000"/>
    <x v="9"/>
    <x v="1"/>
  </r>
  <r>
    <d v="2012-07-07T00:00:00"/>
    <s v="017-2230-000"/>
    <s v="Wine Sales"/>
    <n v="47.008999999999993"/>
    <n v="0"/>
    <s v="Daily Sales Import"/>
    <n v="-47.008999999999993"/>
    <n v="47.008999999999993"/>
    <x v="1"/>
    <s v="2230"/>
    <s v="000"/>
    <x v="9"/>
    <x v="1"/>
  </r>
  <r>
    <d v="2012-07-08T00:00:00"/>
    <s v="017-2100-000"/>
    <s v="Food Sales"/>
    <n v="3933.8441999999995"/>
    <n v="0"/>
    <s v="Daily Sales Import"/>
    <n v="-3933.8441999999995"/>
    <n v="3933.8441999999995"/>
    <x v="1"/>
    <s v="2100"/>
    <s v="000"/>
    <x v="9"/>
    <x v="1"/>
  </r>
  <r>
    <d v="2012-07-08T00:00:00"/>
    <s v="017-2210-000"/>
    <s v="Liquor Sales"/>
    <n v="839.35599999999999"/>
    <n v="0"/>
    <s v="Daily Sales Import"/>
    <n v="-839.35599999999999"/>
    <n v="839.35599999999999"/>
    <x v="1"/>
    <s v="2210"/>
    <s v="000"/>
    <x v="9"/>
    <x v="1"/>
  </r>
  <r>
    <d v="2012-07-08T00:00:00"/>
    <s v="017-2220-000"/>
    <s v="Beer Sales"/>
    <n v="200.02499999999998"/>
    <n v="0"/>
    <s v="Daily Sales Import"/>
    <n v="-200.02499999999998"/>
    <n v="200.02499999999998"/>
    <x v="1"/>
    <s v="2220"/>
    <s v="000"/>
    <x v="9"/>
    <x v="1"/>
  </r>
  <r>
    <d v="2012-07-08T00:00:00"/>
    <s v="017-2230-000"/>
    <s v="Wine Sales"/>
    <n v="194.86199999999999"/>
    <n v="0"/>
    <s v="Daily Sales Import"/>
    <n v="-194.86199999999999"/>
    <n v="194.86199999999999"/>
    <x v="1"/>
    <s v="2230"/>
    <s v="000"/>
    <x v="9"/>
    <x v="1"/>
  </r>
  <r>
    <d v="2012-07-02T00:00:00"/>
    <s v="018-2100-000"/>
    <s v="Food Sales"/>
    <n v="5748.2479999999996"/>
    <n v="0"/>
    <s v="Daily Sales Import"/>
    <n v="-5748.2479999999996"/>
    <n v="5748.2479999999996"/>
    <x v="2"/>
    <s v="2100"/>
    <s v="000"/>
    <x v="9"/>
    <x v="1"/>
  </r>
  <r>
    <d v="2012-07-02T00:00:00"/>
    <s v="018-2210-000"/>
    <s v="Liquor Sales"/>
    <n v="849.45249999999999"/>
    <n v="0"/>
    <s v="Daily Sales Import"/>
    <n v="-849.45249999999999"/>
    <n v="849.45249999999999"/>
    <x v="2"/>
    <s v="2210"/>
    <s v="000"/>
    <x v="9"/>
    <x v="1"/>
  </r>
  <r>
    <d v="2012-07-02T00:00:00"/>
    <s v="018-2220-000"/>
    <s v="Beer Sales"/>
    <n v="260.61"/>
    <n v="0"/>
    <s v="Daily Sales Import"/>
    <n v="-260.61"/>
    <n v="260.61"/>
    <x v="2"/>
    <s v="2220"/>
    <s v="000"/>
    <x v="9"/>
    <x v="1"/>
  </r>
  <r>
    <d v="2012-07-02T00:00:00"/>
    <s v="018-2230-000"/>
    <s v="Wine Sales"/>
    <n v="93.527500000000003"/>
    <n v="0"/>
    <s v="Daily Sales Import"/>
    <n v="-93.527500000000003"/>
    <n v="93.527500000000003"/>
    <x v="2"/>
    <s v="2230"/>
    <s v="000"/>
    <x v="9"/>
    <x v="1"/>
  </r>
  <r>
    <d v="2012-07-03T00:00:00"/>
    <s v="018-2100-000"/>
    <s v="Food Sales"/>
    <n v="7362.3329999999996"/>
    <n v="0"/>
    <s v="Daily Sales Import"/>
    <n v="-7362.3329999999996"/>
    <n v="7362.3329999999996"/>
    <x v="2"/>
    <s v="2100"/>
    <s v="000"/>
    <x v="9"/>
    <x v="1"/>
  </r>
  <r>
    <d v="2012-07-03T00:00:00"/>
    <s v="018-2210-000"/>
    <s v="Liquor Sales"/>
    <n v="1844.8149999999998"/>
    <n v="0"/>
    <s v="Daily Sales Import"/>
    <n v="-1844.8149999999998"/>
    <n v="1844.8149999999998"/>
    <x v="2"/>
    <s v="2210"/>
    <s v="000"/>
    <x v="9"/>
    <x v="1"/>
  </r>
  <r>
    <d v="2012-07-03T00:00:00"/>
    <s v="018-2220-000"/>
    <s v="Beer Sales"/>
    <n v="340.7525"/>
    <n v="0"/>
    <s v="Daily Sales Import"/>
    <n v="-340.7525"/>
    <n v="340.7525"/>
    <x v="2"/>
    <s v="2220"/>
    <s v="000"/>
    <x v="9"/>
    <x v="1"/>
  </r>
  <r>
    <d v="2012-07-03T00:00:00"/>
    <s v="018-2230-000"/>
    <s v="Wine Sales"/>
    <n v="135.113"/>
    <n v="0"/>
    <s v="Daily Sales Import"/>
    <n v="-135.113"/>
    <n v="135.113"/>
    <x v="2"/>
    <s v="2230"/>
    <s v="000"/>
    <x v="9"/>
    <x v="1"/>
  </r>
  <r>
    <d v="2012-07-04T00:00:00"/>
    <s v="018-2100-000"/>
    <s v="Food Sales"/>
    <n v="4229.6100000000006"/>
    <n v="0"/>
    <s v="Daily Sales Import"/>
    <n v="-4229.6100000000006"/>
    <n v="4229.6100000000006"/>
    <x v="2"/>
    <s v="2100"/>
    <s v="000"/>
    <x v="9"/>
    <x v="1"/>
  </r>
  <r>
    <d v="2012-07-04T00:00:00"/>
    <s v="018-2210-000"/>
    <s v="Liquor Sales"/>
    <n v="1011.275"/>
    <n v="0"/>
    <s v="Daily Sales Import"/>
    <n v="-1011.275"/>
    <n v="1011.275"/>
    <x v="2"/>
    <s v="2210"/>
    <s v="000"/>
    <x v="9"/>
    <x v="1"/>
  </r>
  <r>
    <d v="2012-07-04T00:00:00"/>
    <s v="018-2220-000"/>
    <s v="Beer Sales"/>
    <n v="151.36000000000001"/>
    <n v="0"/>
    <s v="Daily Sales Import"/>
    <n v="-151.36000000000001"/>
    <n v="151.36000000000001"/>
    <x v="2"/>
    <s v="2220"/>
    <s v="000"/>
    <x v="9"/>
    <x v="1"/>
  </r>
  <r>
    <d v="2012-07-04T00:00:00"/>
    <s v="018-2230-000"/>
    <s v="Wine Sales"/>
    <n v="17.655000000000001"/>
    <n v="0"/>
    <s v="Daily Sales Import"/>
    <n v="-17.655000000000001"/>
    <n v="17.655000000000001"/>
    <x v="2"/>
    <s v="2230"/>
    <s v="000"/>
    <x v="9"/>
    <x v="1"/>
  </r>
  <r>
    <d v="2012-07-05T00:00:00"/>
    <s v="018-2100-000"/>
    <s v="Food Sales"/>
    <n v="4667.8099999999995"/>
    <n v="0"/>
    <s v="Daily Sales Import"/>
    <n v="-4667.8099999999995"/>
    <n v="4667.8099999999995"/>
    <x v="2"/>
    <s v="2100"/>
    <s v="000"/>
    <x v="9"/>
    <x v="1"/>
  </r>
  <r>
    <d v="2012-07-05T00:00:00"/>
    <s v="018-2210-000"/>
    <s v="Liquor Sales"/>
    <n v="705.28150000000005"/>
    <n v="0"/>
    <s v="Daily Sales Import"/>
    <n v="-705.28150000000005"/>
    <n v="705.28150000000005"/>
    <x v="2"/>
    <s v="2210"/>
    <s v="000"/>
    <x v="9"/>
    <x v="1"/>
  </r>
  <r>
    <d v="2012-07-05T00:00:00"/>
    <s v="018-2220-000"/>
    <s v="Beer Sales"/>
    <n v="154.55049999999997"/>
    <n v="0"/>
    <s v="Daily Sales Import"/>
    <n v="-154.55049999999997"/>
    <n v="154.55049999999997"/>
    <x v="2"/>
    <s v="2220"/>
    <s v="000"/>
    <x v="9"/>
    <x v="1"/>
  </r>
  <r>
    <d v="2012-07-06T00:00:00"/>
    <s v="018-2100-000"/>
    <s v="Food Sales"/>
    <n v="8288.7844000000005"/>
    <n v="0"/>
    <s v="Daily Sales Import"/>
    <n v="-8288.7844000000005"/>
    <n v="8288.7844000000005"/>
    <x v="2"/>
    <s v="2100"/>
    <s v="000"/>
    <x v="9"/>
    <x v="1"/>
  </r>
  <r>
    <d v="2012-07-06T00:00:00"/>
    <s v="018-2210-000"/>
    <s v="Liquor Sales"/>
    <n v="3214.8479999999995"/>
    <n v="0"/>
    <s v="Daily Sales Import"/>
    <n v="-3214.8479999999995"/>
    <n v="3214.8479999999995"/>
    <x v="2"/>
    <s v="2210"/>
    <s v="000"/>
    <x v="9"/>
    <x v="1"/>
  </r>
  <r>
    <d v="2012-07-06T00:00:00"/>
    <s v="018-2220-000"/>
    <s v="Beer Sales"/>
    <n v="362.94300000000004"/>
    <n v="0"/>
    <s v="Daily Sales Import"/>
    <n v="-362.94300000000004"/>
    <n v="362.94300000000004"/>
    <x v="2"/>
    <s v="2220"/>
    <s v="000"/>
    <x v="9"/>
    <x v="1"/>
  </r>
  <r>
    <d v="2012-07-06T00:00:00"/>
    <s v="018-2230-000"/>
    <s v="Wine Sales"/>
    <n v="83.167500000000004"/>
    <n v="0"/>
    <s v="Daily Sales Import"/>
    <n v="-83.167500000000004"/>
    <n v="83.167500000000004"/>
    <x v="2"/>
    <s v="2230"/>
    <s v="000"/>
    <x v="9"/>
    <x v="1"/>
  </r>
  <r>
    <d v="2012-07-07T00:00:00"/>
    <s v="018-2100-000"/>
    <s v="Food Sales"/>
    <n v="10675.445000000002"/>
    <n v="0"/>
    <s v="Daily Sales Import"/>
    <n v="-10675.445000000002"/>
    <n v="10675.445000000002"/>
    <x v="2"/>
    <s v="2100"/>
    <s v="000"/>
    <x v="9"/>
    <x v="1"/>
  </r>
  <r>
    <d v="2012-07-07T00:00:00"/>
    <s v="018-2210-000"/>
    <s v="Liquor Sales"/>
    <n v="2505.5279999999998"/>
    <n v="0"/>
    <s v="Daily Sales Import"/>
    <n v="-2505.5279999999998"/>
    <n v="2505.5279999999998"/>
    <x v="2"/>
    <s v="2210"/>
    <s v="000"/>
    <x v="9"/>
    <x v="1"/>
  </r>
  <r>
    <d v="2012-07-07T00:00:00"/>
    <s v="018-2220-000"/>
    <s v="Beer Sales"/>
    <n v="776.25"/>
    <n v="0"/>
    <s v="Daily Sales Import"/>
    <n v="-776.25"/>
    <n v="776.25"/>
    <x v="2"/>
    <s v="2220"/>
    <s v="000"/>
    <x v="9"/>
    <x v="1"/>
  </r>
  <r>
    <d v="2012-07-07T00:00:00"/>
    <s v="018-2230-000"/>
    <s v="Wine Sales"/>
    <n v="44.633499999999998"/>
    <n v="0"/>
    <s v="Daily Sales Import"/>
    <n v="-44.633499999999998"/>
    <n v="44.633499999999998"/>
    <x v="2"/>
    <s v="2230"/>
    <s v="000"/>
    <x v="9"/>
    <x v="1"/>
  </r>
  <r>
    <d v="2012-07-08T00:00:00"/>
    <s v="018-2100-000"/>
    <s v="Food Sales"/>
    <n v="6312.4324999999999"/>
    <n v="0"/>
    <s v="Daily Sales Import"/>
    <n v="-6312.4324999999999"/>
    <n v="6312.4324999999999"/>
    <x v="2"/>
    <s v="2100"/>
    <s v="000"/>
    <x v="9"/>
    <x v="1"/>
  </r>
  <r>
    <d v="2012-07-08T00:00:00"/>
    <s v="018-2210-000"/>
    <s v="Liquor Sales"/>
    <n v="1295.136"/>
    <n v="0"/>
    <s v="Daily Sales Import"/>
    <n v="-1295.136"/>
    <n v="1295.136"/>
    <x v="2"/>
    <s v="2210"/>
    <s v="000"/>
    <x v="9"/>
    <x v="1"/>
  </r>
  <r>
    <d v="2012-07-08T00:00:00"/>
    <s v="018-2220-000"/>
    <s v="Beer Sales"/>
    <n v="207.71200000000002"/>
    <n v="0"/>
    <s v="Daily Sales Import"/>
    <n v="-207.71200000000002"/>
    <n v="207.71200000000002"/>
    <x v="2"/>
    <s v="2220"/>
    <s v="000"/>
    <x v="9"/>
    <x v="1"/>
  </r>
  <r>
    <d v="2012-07-08T00:00:00"/>
    <s v="018-2230-000"/>
    <s v="Wine Sales"/>
    <n v="52.038000000000004"/>
    <n v="0"/>
    <s v="Daily Sales Import"/>
    <n v="-52.038000000000004"/>
    <n v="52.038000000000004"/>
    <x v="2"/>
    <s v="2230"/>
    <s v="000"/>
    <x v="9"/>
    <x v="1"/>
  </r>
  <r>
    <d v="2012-07-09T00:00:00"/>
    <s v="016-2100-000"/>
    <s v="Food Sales"/>
    <n v="2299.6947"/>
    <n v="0"/>
    <s v="Daily Sales Import"/>
    <n v="-2299.6947"/>
    <n v="2299.6947"/>
    <x v="0"/>
    <s v="2100"/>
    <s v="000"/>
    <x v="9"/>
    <x v="1"/>
  </r>
  <r>
    <d v="2012-07-09T00:00:00"/>
    <s v="016-2210-000"/>
    <s v="Liquor Sales"/>
    <n v="608.61"/>
    <n v="0"/>
    <s v="Daily Sales Import"/>
    <n v="-608.61"/>
    <n v="608.61"/>
    <x v="0"/>
    <s v="2210"/>
    <s v="000"/>
    <x v="9"/>
    <x v="1"/>
  </r>
  <r>
    <d v="2012-07-09T00:00:00"/>
    <s v="016-2220-000"/>
    <s v="Beer Sales"/>
    <n v="65.28"/>
    <n v="0"/>
    <s v="Daily Sales Import"/>
    <n v="-65.28"/>
    <n v="65.28"/>
    <x v="0"/>
    <s v="2220"/>
    <s v="000"/>
    <x v="9"/>
    <x v="1"/>
  </r>
  <r>
    <d v="2012-07-09T00:00:00"/>
    <s v="016-2230-000"/>
    <s v="Wine Sales"/>
    <n v="40.204999999999998"/>
    <n v="0"/>
    <s v="Daily Sales Import"/>
    <n v="-40.204999999999998"/>
    <n v="40.204999999999998"/>
    <x v="0"/>
    <s v="2230"/>
    <s v="000"/>
    <x v="9"/>
    <x v="1"/>
  </r>
  <r>
    <d v="2012-07-10T00:00:00"/>
    <s v="016-2100-000"/>
    <s v="Food Sales"/>
    <n v="6381.7865000000002"/>
    <n v="0"/>
    <s v="Daily Sales Import"/>
    <n v="-6381.7865000000002"/>
    <n v="6381.7865000000002"/>
    <x v="0"/>
    <s v="2100"/>
    <s v="000"/>
    <x v="9"/>
    <x v="1"/>
  </r>
  <r>
    <d v="2012-07-10T00:00:00"/>
    <s v="016-2210-000"/>
    <s v="Liquor Sales"/>
    <n v="2293.2126000000003"/>
    <n v="0"/>
    <s v="Daily Sales Import"/>
    <n v="-2293.2126000000003"/>
    <n v="2293.2126000000003"/>
    <x v="0"/>
    <s v="2210"/>
    <s v="000"/>
    <x v="9"/>
    <x v="1"/>
  </r>
  <r>
    <d v="2012-07-10T00:00:00"/>
    <s v="016-2220-000"/>
    <s v="Beer Sales"/>
    <n v="429.27750000000003"/>
    <n v="0"/>
    <s v="Daily Sales Import"/>
    <n v="-429.27750000000003"/>
    <n v="429.27750000000003"/>
    <x v="0"/>
    <s v="2220"/>
    <s v="000"/>
    <x v="9"/>
    <x v="1"/>
  </r>
  <r>
    <d v="2012-07-10T00:00:00"/>
    <s v="016-2230-000"/>
    <s v="Wine Sales"/>
    <n v="184.22400000000002"/>
    <n v="0"/>
    <s v="Daily Sales Import"/>
    <n v="-184.22400000000002"/>
    <n v="184.22400000000002"/>
    <x v="0"/>
    <s v="2230"/>
    <s v="000"/>
    <x v="9"/>
    <x v="1"/>
  </r>
  <r>
    <d v="2012-07-11T00:00:00"/>
    <s v="016-2100-000"/>
    <s v="Food Sales"/>
    <n v="3159.5829999999996"/>
    <n v="0"/>
    <s v="Daily Sales Import"/>
    <n v="-3159.5829999999996"/>
    <n v="3159.5829999999996"/>
    <x v="0"/>
    <s v="2100"/>
    <s v="000"/>
    <x v="9"/>
    <x v="1"/>
  </r>
  <r>
    <d v="2012-07-11T00:00:00"/>
    <s v="016-2210-000"/>
    <s v="Liquor Sales"/>
    <n v="775.38749999999993"/>
    <n v="0"/>
    <s v="Daily Sales Import"/>
    <n v="-775.38749999999993"/>
    <n v="775.38749999999993"/>
    <x v="0"/>
    <s v="2210"/>
    <s v="000"/>
    <x v="9"/>
    <x v="1"/>
  </r>
  <r>
    <d v="2012-07-11T00:00:00"/>
    <s v="016-2220-000"/>
    <s v="Beer Sales"/>
    <n v="154.64250000000001"/>
    <n v="0"/>
    <s v="Daily Sales Import"/>
    <n v="-154.64250000000001"/>
    <n v="154.64250000000001"/>
    <x v="0"/>
    <s v="2220"/>
    <s v="000"/>
    <x v="9"/>
    <x v="1"/>
  </r>
  <r>
    <d v="2012-07-11T00:00:00"/>
    <s v="016-2230-000"/>
    <s v="Wine Sales"/>
    <n v="100.91999999999999"/>
    <n v="0"/>
    <s v="Daily Sales Import"/>
    <n v="-100.91999999999999"/>
    <n v="100.91999999999999"/>
    <x v="0"/>
    <s v="2230"/>
    <s v="000"/>
    <x v="9"/>
    <x v="1"/>
  </r>
  <r>
    <d v="2012-07-12T00:00:00"/>
    <s v="016-2100-000"/>
    <s v="Food Sales"/>
    <n v="2851.8685"/>
    <n v="0"/>
    <s v="Daily Sales Import"/>
    <n v="-2851.8685"/>
    <n v="2851.8685"/>
    <x v="0"/>
    <s v="2100"/>
    <s v="000"/>
    <x v="9"/>
    <x v="1"/>
  </r>
  <r>
    <d v="2012-07-12T00:00:00"/>
    <s v="016-2210-000"/>
    <s v="Liquor Sales"/>
    <n v="1333.9234999999999"/>
    <n v="0"/>
    <s v="Daily Sales Import"/>
    <n v="-1333.9234999999999"/>
    <n v="1333.9234999999999"/>
    <x v="0"/>
    <s v="2210"/>
    <s v="000"/>
    <x v="9"/>
    <x v="1"/>
  </r>
  <r>
    <d v="2012-07-12T00:00:00"/>
    <s v="016-2220-000"/>
    <s v="Beer Sales"/>
    <n v="170.27250000000001"/>
    <n v="0"/>
    <s v="Daily Sales Import"/>
    <n v="-170.27250000000001"/>
    <n v="170.27250000000001"/>
    <x v="0"/>
    <s v="2220"/>
    <s v="000"/>
    <x v="9"/>
    <x v="1"/>
  </r>
  <r>
    <d v="2012-07-12T00:00:00"/>
    <s v="016-2230-000"/>
    <s v="Wine Sales"/>
    <n v="127.491"/>
    <n v="0"/>
    <s v="Daily Sales Import"/>
    <n v="-127.491"/>
    <n v="127.491"/>
    <x v="0"/>
    <s v="2230"/>
    <s v="000"/>
    <x v="9"/>
    <x v="1"/>
  </r>
  <r>
    <d v="2012-07-13T00:00:00"/>
    <s v="016-2100-000"/>
    <s v="Food Sales"/>
    <n v="8026.5362000000005"/>
    <n v="0"/>
    <s v="Daily Sales Import"/>
    <n v="-8026.5362000000005"/>
    <n v="8026.5362000000005"/>
    <x v="0"/>
    <s v="2100"/>
    <s v="000"/>
    <x v="9"/>
    <x v="1"/>
  </r>
  <r>
    <d v="2012-07-13T00:00:00"/>
    <s v="016-2210-000"/>
    <s v="Liquor Sales"/>
    <n v="2250.297"/>
    <n v="0"/>
    <s v="Daily Sales Import"/>
    <n v="-2250.297"/>
    <n v="2250.297"/>
    <x v="0"/>
    <s v="2210"/>
    <s v="000"/>
    <x v="9"/>
    <x v="1"/>
  </r>
  <r>
    <d v="2012-07-13T00:00:00"/>
    <s v="016-2220-000"/>
    <s v="Beer Sales"/>
    <n v="418.72499999999997"/>
    <n v="0"/>
    <s v="Daily Sales Import"/>
    <n v="-418.72499999999997"/>
    <n v="418.72499999999997"/>
    <x v="0"/>
    <s v="2220"/>
    <s v="000"/>
    <x v="9"/>
    <x v="1"/>
  </r>
  <r>
    <d v="2012-07-13T00:00:00"/>
    <s v="016-2230-000"/>
    <s v="Wine Sales"/>
    <n v="157.852"/>
    <n v="0"/>
    <s v="Daily Sales Import"/>
    <n v="-157.852"/>
    <n v="157.852"/>
    <x v="0"/>
    <s v="2230"/>
    <s v="000"/>
    <x v="9"/>
    <x v="1"/>
  </r>
  <r>
    <d v="2012-07-14T00:00:00"/>
    <s v="016-2100-000"/>
    <s v="Food Sales"/>
    <n v="6489.5680000000002"/>
    <n v="0"/>
    <s v="Daily Sales Import"/>
    <n v="-6489.5680000000002"/>
    <n v="6489.5680000000002"/>
    <x v="0"/>
    <s v="2100"/>
    <s v="000"/>
    <x v="9"/>
    <x v="1"/>
  </r>
  <r>
    <d v="2012-07-14T00:00:00"/>
    <s v="016-2210-000"/>
    <s v="Liquor Sales"/>
    <n v="2055.5535"/>
    <n v="0"/>
    <s v="Daily Sales Import"/>
    <n v="-2055.5535"/>
    <n v="2055.5535"/>
    <x v="0"/>
    <s v="2210"/>
    <s v="000"/>
    <x v="9"/>
    <x v="1"/>
  </r>
  <r>
    <d v="2012-07-14T00:00:00"/>
    <s v="016-2220-000"/>
    <s v="Beer Sales"/>
    <n v="614.42200000000003"/>
    <n v="0"/>
    <s v="Daily Sales Import"/>
    <n v="-614.42200000000003"/>
    <n v="614.42200000000003"/>
    <x v="0"/>
    <s v="2220"/>
    <s v="000"/>
    <x v="9"/>
    <x v="1"/>
  </r>
  <r>
    <d v="2012-07-14T00:00:00"/>
    <s v="016-2230-000"/>
    <s v="Wine Sales"/>
    <n v="133.446"/>
    <n v="0"/>
    <s v="Daily Sales Import"/>
    <n v="-133.446"/>
    <n v="133.446"/>
    <x v="0"/>
    <s v="2230"/>
    <s v="000"/>
    <x v="9"/>
    <x v="1"/>
  </r>
  <r>
    <d v="2012-07-15T00:00:00"/>
    <s v="016-2100-000"/>
    <s v="Food Sales"/>
    <n v="4686.66"/>
    <n v="0"/>
    <s v="Daily Sales Import"/>
    <n v="-4686.66"/>
    <n v="4686.66"/>
    <x v="0"/>
    <s v="2100"/>
    <s v="000"/>
    <x v="9"/>
    <x v="1"/>
  </r>
  <r>
    <d v="2012-07-15T00:00:00"/>
    <s v="016-2210-000"/>
    <s v="Liquor Sales"/>
    <n v="1329.2539999999999"/>
    <n v="0"/>
    <s v="Daily Sales Import"/>
    <n v="-1329.2539999999999"/>
    <n v="1329.2539999999999"/>
    <x v="0"/>
    <s v="2210"/>
    <s v="000"/>
    <x v="9"/>
    <x v="1"/>
  </r>
  <r>
    <d v="2012-07-15T00:00:00"/>
    <s v="016-2220-000"/>
    <s v="Beer Sales"/>
    <n v="133.91999999999999"/>
    <n v="0"/>
    <s v="Daily Sales Import"/>
    <n v="-133.91999999999999"/>
    <n v="133.91999999999999"/>
    <x v="0"/>
    <s v="2220"/>
    <s v="000"/>
    <x v="9"/>
    <x v="1"/>
  </r>
  <r>
    <d v="2012-07-15T00:00:00"/>
    <s v="016-2230-000"/>
    <s v="Wine Sales"/>
    <n v="139.50300000000001"/>
    <n v="0"/>
    <s v="Daily Sales Import"/>
    <n v="-139.50300000000001"/>
    <n v="139.50300000000001"/>
    <x v="0"/>
    <s v="2230"/>
    <s v="000"/>
    <x v="9"/>
    <x v="1"/>
  </r>
  <r>
    <d v="2012-07-09T00:00:00"/>
    <s v="017-2100-000"/>
    <s v="Food Sales"/>
    <n v="6110.3175000000001"/>
    <n v="0"/>
    <s v="Daily Sales Import"/>
    <n v="-6110.3175000000001"/>
    <n v="6110.3175000000001"/>
    <x v="1"/>
    <s v="2100"/>
    <s v="000"/>
    <x v="9"/>
    <x v="1"/>
  </r>
  <r>
    <d v="2012-07-09T00:00:00"/>
    <s v="017-2210-000"/>
    <s v="Liquor Sales"/>
    <n v="1543.4550000000002"/>
    <n v="0"/>
    <s v="Daily Sales Import"/>
    <n v="-1543.4550000000002"/>
    <n v="1543.4550000000002"/>
    <x v="1"/>
    <s v="2210"/>
    <s v="000"/>
    <x v="9"/>
    <x v="1"/>
  </r>
  <r>
    <d v="2012-07-09T00:00:00"/>
    <s v="017-2220-000"/>
    <s v="Beer Sales"/>
    <n v="459.59999999999997"/>
    <n v="0"/>
    <s v="Daily Sales Import"/>
    <n v="-459.59999999999997"/>
    <n v="459.59999999999997"/>
    <x v="1"/>
    <s v="2220"/>
    <s v="000"/>
    <x v="9"/>
    <x v="1"/>
  </r>
  <r>
    <d v="2012-07-09T00:00:00"/>
    <s v="017-2230-000"/>
    <s v="Wine Sales"/>
    <n v="100.73"/>
    <n v="0"/>
    <s v="Daily Sales Import"/>
    <n v="-100.73"/>
    <n v="100.73"/>
    <x v="1"/>
    <s v="2230"/>
    <s v="000"/>
    <x v="9"/>
    <x v="1"/>
  </r>
  <r>
    <d v="2012-07-10T00:00:00"/>
    <s v="017-2100-000"/>
    <s v="Food Sales"/>
    <n v="6691.7774000000009"/>
    <n v="0"/>
    <s v="Daily Sales Import"/>
    <n v="-6691.7774000000009"/>
    <n v="6691.7774000000009"/>
    <x v="1"/>
    <s v="2100"/>
    <s v="000"/>
    <x v="9"/>
    <x v="1"/>
  </r>
  <r>
    <d v="2012-07-10T00:00:00"/>
    <s v="017-2210-000"/>
    <s v="Liquor Sales"/>
    <n v="1230.624"/>
    <n v="0"/>
    <s v="Daily Sales Import"/>
    <n v="-1230.624"/>
    <n v="1230.624"/>
    <x v="1"/>
    <s v="2210"/>
    <s v="000"/>
    <x v="9"/>
    <x v="1"/>
  </r>
  <r>
    <d v="2012-07-10T00:00:00"/>
    <s v="017-2220-000"/>
    <s v="Beer Sales"/>
    <n v="500.41249999999997"/>
    <n v="0"/>
    <s v="Daily Sales Import"/>
    <n v="-500.41249999999997"/>
    <n v="500.41249999999997"/>
    <x v="1"/>
    <s v="2220"/>
    <s v="000"/>
    <x v="9"/>
    <x v="1"/>
  </r>
  <r>
    <d v="2012-07-10T00:00:00"/>
    <s v="017-2230-000"/>
    <s v="Wine Sales"/>
    <n v="60.536000000000001"/>
    <n v="0"/>
    <s v="Daily Sales Import"/>
    <n v="-60.536000000000001"/>
    <n v="60.536000000000001"/>
    <x v="1"/>
    <s v="2230"/>
    <s v="000"/>
    <x v="9"/>
    <x v="1"/>
  </r>
  <r>
    <d v="2012-07-11T00:00:00"/>
    <s v="017-2100-000"/>
    <s v="Food Sales"/>
    <n v="6293.5635999999995"/>
    <n v="0"/>
    <s v="Daily Sales Import"/>
    <n v="-6293.5635999999995"/>
    <n v="6293.5635999999995"/>
    <x v="1"/>
    <s v="2100"/>
    <s v="000"/>
    <x v="9"/>
    <x v="1"/>
  </r>
  <r>
    <d v="2012-07-11T00:00:00"/>
    <s v="017-2210-000"/>
    <s v="Liquor Sales"/>
    <n v="1188.5775000000001"/>
    <n v="0"/>
    <s v="Daily Sales Import"/>
    <n v="-1188.5775000000001"/>
    <n v="1188.5775000000001"/>
    <x v="1"/>
    <s v="2210"/>
    <s v="000"/>
    <x v="9"/>
    <x v="1"/>
  </r>
  <r>
    <d v="2012-07-11T00:00:00"/>
    <s v="017-2220-000"/>
    <s v="Beer Sales"/>
    <n v="325.875"/>
    <n v="0"/>
    <s v="Daily Sales Import"/>
    <n v="-325.875"/>
    <n v="325.875"/>
    <x v="1"/>
    <s v="2220"/>
    <s v="000"/>
    <x v="9"/>
    <x v="1"/>
  </r>
  <r>
    <d v="2012-07-11T00:00:00"/>
    <s v="017-2230-000"/>
    <s v="Wine Sales"/>
    <n v="76.4315"/>
    <n v="0"/>
    <s v="Daily Sales Import"/>
    <n v="-76.4315"/>
    <n v="76.4315"/>
    <x v="1"/>
    <s v="2230"/>
    <s v="000"/>
    <x v="9"/>
    <x v="1"/>
  </r>
  <r>
    <d v="2012-07-12T00:00:00"/>
    <s v="017-2100-000"/>
    <s v="Food Sales"/>
    <n v="8213.5388999999996"/>
    <n v="0"/>
    <s v="Daily Sales Import"/>
    <n v="-8213.5388999999996"/>
    <n v="8213.5388999999996"/>
    <x v="1"/>
    <s v="2100"/>
    <s v="000"/>
    <x v="9"/>
    <x v="1"/>
  </r>
  <r>
    <d v="2012-07-12T00:00:00"/>
    <s v="017-2210-000"/>
    <s v="Liquor Sales"/>
    <n v="2677.9189999999999"/>
    <n v="0"/>
    <s v="Daily Sales Import"/>
    <n v="-2677.9189999999999"/>
    <n v="2677.9189999999999"/>
    <x v="1"/>
    <s v="2210"/>
    <s v="000"/>
    <x v="9"/>
    <x v="1"/>
  </r>
  <r>
    <d v="2012-07-12T00:00:00"/>
    <s v="017-2220-000"/>
    <s v="Beer Sales"/>
    <n v="459.68"/>
    <n v="0"/>
    <s v="Daily Sales Import"/>
    <n v="-459.68"/>
    <n v="459.68"/>
    <x v="1"/>
    <s v="2220"/>
    <s v="000"/>
    <x v="9"/>
    <x v="1"/>
  </r>
  <r>
    <d v="2012-07-12T00:00:00"/>
    <s v="017-2230-000"/>
    <s v="Wine Sales"/>
    <n v="147.90600000000001"/>
    <n v="0"/>
    <s v="Daily Sales Import"/>
    <n v="-147.90600000000001"/>
    <n v="147.90600000000001"/>
    <x v="1"/>
    <s v="2230"/>
    <s v="000"/>
    <x v="9"/>
    <x v="1"/>
  </r>
  <r>
    <d v="2012-07-13T00:00:00"/>
    <s v="017-2100-000"/>
    <s v="Food Sales"/>
    <n v="9080.3274000000001"/>
    <n v="0"/>
    <s v="Daily Sales Import"/>
    <n v="-9080.3274000000001"/>
    <n v="9080.3274000000001"/>
    <x v="1"/>
    <s v="2100"/>
    <s v="000"/>
    <x v="9"/>
    <x v="1"/>
  </r>
  <r>
    <d v="2012-07-13T00:00:00"/>
    <s v="017-2210-000"/>
    <s v="Liquor Sales"/>
    <n v="1878.2720000000002"/>
    <n v="0"/>
    <s v="Daily Sales Import"/>
    <n v="-1878.2720000000002"/>
    <n v="1878.2720000000002"/>
    <x v="1"/>
    <s v="2210"/>
    <s v="000"/>
    <x v="9"/>
    <x v="1"/>
  </r>
  <r>
    <d v="2012-07-13T00:00:00"/>
    <s v="017-2220-000"/>
    <s v="Beer Sales"/>
    <n v="492.03000000000003"/>
    <n v="0"/>
    <s v="Daily Sales Import"/>
    <n v="-492.03000000000003"/>
    <n v="492.03000000000003"/>
    <x v="1"/>
    <s v="2220"/>
    <s v="000"/>
    <x v="9"/>
    <x v="1"/>
  </r>
  <r>
    <d v="2012-07-13T00:00:00"/>
    <s v="017-2230-000"/>
    <s v="Wine Sales"/>
    <n v="164.196"/>
    <n v="0"/>
    <s v="Daily Sales Import"/>
    <n v="-164.196"/>
    <n v="164.196"/>
    <x v="1"/>
    <s v="2230"/>
    <s v="000"/>
    <x v="9"/>
    <x v="1"/>
  </r>
  <r>
    <d v="2012-07-14T00:00:00"/>
    <s v="017-2100-000"/>
    <s v="Food Sales"/>
    <n v="7659.8829999999998"/>
    <n v="0"/>
    <s v="Daily Sales Import"/>
    <n v="-7659.8829999999998"/>
    <n v="7659.8829999999998"/>
    <x v="1"/>
    <s v="2100"/>
    <s v="000"/>
    <x v="9"/>
    <x v="1"/>
  </r>
  <r>
    <d v="2012-07-14T00:00:00"/>
    <s v="017-2210-000"/>
    <s v="Liquor Sales"/>
    <n v="2426.9410000000003"/>
    <n v="0"/>
    <s v="Daily Sales Import"/>
    <n v="-2426.9410000000003"/>
    <n v="2426.9410000000003"/>
    <x v="1"/>
    <s v="2210"/>
    <s v="000"/>
    <x v="9"/>
    <x v="1"/>
  </r>
  <r>
    <d v="2012-07-14T00:00:00"/>
    <s v="017-2220-000"/>
    <s v="Beer Sales"/>
    <n v="355.78249999999997"/>
    <n v="0"/>
    <s v="Daily Sales Import"/>
    <n v="-355.78249999999997"/>
    <n v="355.78249999999997"/>
    <x v="1"/>
    <s v="2220"/>
    <s v="000"/>
    <x v="9"/>
    <x v="1"/>
  </r>
  <r>
    <d v="2012-07-14T00:00:00"/>
    <s v="017-2230-000"/>
    <s v="Wine Sales"/>
    <n v="81.509999999999991"/>
    <n v="0"/>
    <s v="Daily Sales Import"/>
    <n v="-81.509999999999991"/>
    <n v="81.509999999999991"/>
    <x v="1"/>
    <s v="2230"/>
    <s v="000"/>
    <x v="9"/>
    <x v="1"/>
  </r>
  <r>
    <d v="2012-07-15T00:00:00"/>
    <s v="017-2100-000"/>
    <s v="Food Sales"/>
    <n v="4996.5312000000004"/>
    <n v="0"/>
    <s v="Daily Sales Import"/>
    <n v="-4996.5312000000004"/>
    <n v="4996.5312000000004"/>
    <x v="1"/>
    <s v="2100"/>
    <s v="000"/>
    <x v="9"/>
    <x v="1"/>
  </r>
  <r>
    <d v="2012-07-15T00:00:00"/>
    <s v="017-2210-000"/>
    <s v="Liquor Sales"/>
    <n v="697.90000000000009"/>
    <n v="0"/>
    <s v="Daily Sales Import"/>
    <n v="-697.90000000000009"/>
    <n v="697.90000000000009"/>
    <x v="1"/>
    <s v="2210"/>
    <s v="000"/>
    <x v="9"/>
    <x v="1"/>
  </r>
  <r>
    <d v="2012-07-15T00:00:00"/>
    <s v="017-2220-000"/>
    <s v="Beer Sales"/>
    <n v="321.315"/>
    <n v="0"/>
    <s v="Daily Sales Import"/>
    <n v="-321.315"/>
    <n v="321.315"/>
    <x v="1"/>
    <s v="2220"/>
    <s v="000"/>
    <x v="9"/>
    <x v="1"/>
  </r>
  <r>
    <d v="2012-07-15T00:00:00"/>
    <s v="017-2230-000"/>
    <s v="Wine Sales"/>
    <n v="41.819000000000003"/>
    <n v="0"/>
    <s v="Daily Sales Import"/>
    <n v="-41.819000000000003"/>
    <n v="41.819000000000003"/>
    <x v="1"/>
    <s v="2230"/>
    <s v="000"/>
    <x v="9"/>
    <x v="1"/>
  </r>
  <r>
    <d v="2012-07-09T00:00:00"/>
    <s v="018-2100-000"/>
    <s v="Food Sales"/>
    <n v="3348.4288000000001"/>
    <n v="0"/>
    <s v="Daily Sales Import"/>
    <n v="-3348.4288000000001"/>
    <n v="3348.4288000000001"/>
    <x v="2"/>
    <s v="2100"/>
    <s v="000"/>
    <x v="9"/>
    <x v="1"/>
  </r>
  <r>
    <d v="2012-07-09T00:00:00"/>
    <s v="018-2210-000"/>
    <s v="Liquor Sales"/>
    <n v="619.32150000000001"/>
    <n v="0"/>
    <s v="Daily Sales Import"/>
    <n v="-619.32150000000001"/>
    <n v="619.32150000000001"/>
    <x v="2"/>
    <s v="2210"/>
    <s v="000"/>
    <x v="9"/>
    <x v="1"/>
  </r>
  <r>
    <d v="2012-07-09T00:00:00"/>
    <s v="018-2220-000"/>
    <s v="Beer Sales"/>
    <n v="133.26949999999999"/>
    <n v="0"/>
    <s v="Daily Sales Import"/>
    <n v="-133.26949999999999"/>
    <n v="133.26949999999999"/>
    <x v="2"/>
    <s v="2220"/>
    <s v="000"/>
    <x v="9"/>
    <x v="1"/>
  </r>
  <r>
    <d v="2012-07-09T00:00:00"/>
    <s v="018-2230-000"/>
    <s v="Wine Sales"/>
    <n v="29.939999999999998"/>
    <n v="0"/>
    <s v="Daily Sales Import"/>
    <n v="-29.939999999999998"/>
    <n v="29.939999999999998"/>
    <x v="2"/>
    <s v="2230"/>
    <s v="000"/>
    <x v="9"/>
    <x v="1"/>
  </r>
  <r>
    <d v="2012-07-10T00:00:00"/>
    <s v="018-2100-000"/>
    <s v="Food Sales"/>
    <n v="3965.0679999999998"/>
    <n v="0"/>
    <s v="Daily Sales Import"/>
    <n v="-3965.0679999999998"/>
    <n v="3965.0679999999998"/>
    <x v="2"/>
    <s v="2100"/>
    <s v="000"/>
    <x v="9"/>
    <x v="1"/>
  </r>
  <r>
    <d v="2012-07-10T00:00:00"/>
    <s v="018-2210-000"/>
    <s v="Liquor Sales"/>
    <n v="1094.3620000000001"/>
    <n v="0"/>
    <s v="Daily Sales Import"/>
    <n v="-1094.3620000000001"/>
    <n v="1094.3620000000001"/>
    <x v="2"/>
    <s v="2210"/>
    <s v="000"/>
    <x v="9"/>
    <x v="1"/>
  </r>
  <r>
    <d v="2012-07-10T00:00:00"/>
    <s v="018-2220-000"/>
    <s v="Beer Sales"/>
    <n v="183.05500000000001"/>
    <n v="0"/>
    <s v="Daily Sales Import"/>
    <n v="-183.05500000000001"/>
    <n v="183.05500000000001"/>
    <x v="2"/>
    <s v="2220"/>
    <s v="000"/>
    <x v="9"/>
    <x v="1"/>
  </r>
  <r>
    <d v="2012-07-10T00:00:00"/>
    <s v="018-2230-000"/>
    <s v="Wine Sales"/>
    <n v="20.340000000000003"/>
    <n v="0"/>
    <s v="Daily Sales Import"/>
    <n v="-20.340000000000003"/>
    <n v="20.340000000000003"/>
    <x v="2"/>
    <s v="2230"/>
    <s v="000"/>
    <x v="9"/>
    <x v="1"/>
  </r>
  <r>
    <d v="2012-07-11T00:00:00"/>
    <s v="018-2100-000"/>
    <s v="Food Sales"/>
    <n v="4862.8059999999996"/>
    <n v="0"/>
    <s v="Daily Sales Import"/>
    <n v="-4862.8059999999996"/>
    <n v="4862.8059999999996"/>
    <x v="2"/>
    <s v="2100"/>
    <s v="000"/>
    <x v="9"/>
    <x v="1"/>
  </r>
  <r>
    <d v="2012-07-11T00:00:00"/>
    <s v="018-2210-000"/>
    <s v="Liquor Sales"/>
    <n v="1390.8150000000001"/>
    <n v="0"/>
    <s v="Daily Sales Import"/>
    <n v="-1390.8150000000001"/>
    <n v="1390.8150000000001"/>
    <x v="2"/>
    <s v="2210"/>
    <s v="000"/>
    <x v="9"/>
    <x v="1"/>
  </r>
  <r>
    <d v="2012-07-11T00:00:00"/>
    <s v="018-2220-000"/>
    <s v="Beer Sales"/>
    <n v="181.90200000000002"/>
    <n v="0"/>
    <s v="Daily Sales Import"/>
    <n v="-181.90200000000002"/>
    <n v="181.90200000000002"/>
    <x v="2"/>
    <s v="2220"/>
    <s v="000"/>
    <x v="9"/>
    <x v="1"/>
  </r>
  <r>
    <d v="2012-07-11T00:00:00"/>
    <s v="018-2230-000"/>
    <s v="Wine Sales"/>
    <n v="43.228499999999997"/>
    <n v="0"/>
    <s v="Daily Sales Import"/>
    <n v="-43.228499999999997"/>
    <n v="43.228499999999997"/>
    <x v="2"/>
    <s v="2230"/>
    <s v="000"/>
    <x v="9"/>
    <x v="1"/>
  </r>
  <r>
    <d v="2012-07-12T00:00:00"/>
    <s v="018-2100-000"/>
    <s v="Food Sales"/>
    <n v="6882.6230000000005"/>
    <n v="0"/>
    <s v="Daily Sales Import"/>
    <n v="-6882.6230000000005"/>
    <n v="6882.6230000000005"/>
    <x v="2"/>
    <s v="2100"/>
    <s v="000"/>
    <x v="9"/>
    <x v="1"/>
  </r>
  <r>
    <d v="2012-07-12T00:00:00"/>
    <s v="018-2210-000"/>
    <s v="Liquor Sales"/>
    <n v="1049.5965000000001"/>
    <n v="0"/>
    <s v="Daily Sales Import"/>
    <n v="-1049.5965000000001"/>
    <n v="1049.5965000000001"/>
    <x v="2"/>
    <s v="2210"/>
    <s v="000"/>
    <x v="9"/>
    <x v="1"/>
  </r>
  <r>
    <d v="2012-07-12T00:00:00"/>
    <s v="018-2220-000"/>
    <s v="Beer Sales"/>
    <n v="309.49599999999998"/>
    <n v="0"/>
    <s v="Daily Sales Import"/>
    <n v="-309.49599999999998"/>
    <n v="309.49599999999998"/>
    <x v="2"/>
    <s v="2220"/>
    <s v="000"/>
    <x v="9"/>
    <x v="1"/>
  </r>
  <r>
    <d v="2012-07-12T00:00:00"/>
    <s v="018-2230-000"/>
    <s v="Wine Sales"/>
    <n v="55.215000000000003"/>
    <n v="0"/>
    <s v="Daily Sales Import"/>
    <n v="-55.215000000000003"/>
    <n v="55.215000000000003"/>
    <x v="2"/>
    <s v="2230"/>
    <s v="000"/>
    <x v="9"/>
    <x v="1"/>
  </r>
  <r>
    <d v="2012-07-13T00:00:00"/>
    <s v="018-2100-000"/>
    <s v="Food Sales"/>
    <n v="12884.137499999999"/>
    <n v="0"/>
    <s v="Daily Sales Import"/>
    <n v="-12884.137499999999"/>
    <n v="12884.137499999999"/>
    <x v="2"/>
    <s v="2100"/>
    <s v="000"/>
    <x v="9"/>
    <x v="1"/>
  </r>
  <r>
    <d v="2012-07-13T00:00:00"/>
    <s v="018-2210-000"/>
    <s v="Liquor Sales"/>
    <n v="2632.991"/>
    <n v="0"/>
    <s v="Daily Sales Import"/>
    <n v="-2632.991"/>
    <n v="2632.991"/>
    <x v="2"/>
    <s v="2210"/>
    <s v="000"/>
    <x v="9"/>
    <x v="1"/>
  </r>
  <r>
    <d v="2012-07-13T00:00:00"/>
    <s v="018-2220-000"/>
    <s v="Beer Sales"/>
    <n v="702.3549999999999"/>
    <n v="0"/>
    <s v="Daily Sales Import"/>
    <n v="-702.3549999999999"/>
    <n v="702.3549999999999"/>
    <x v="2"/>
    <s v="2220"/>
    <s v="000"/>
    <x v="9"/>
    <x v="1"/>
  </r>
  <r>
    <d v="2012-07-13T00:00:00"/>
    <s v="018-2230-000"/>
    <s v="Wine Sales"/>
    <n v="77.120999999999995"/>
    <n v="0"/>
    <s v="Daily Sales Import"/>
    <n v="-77.120999999999995"/>
    <n v="77.120999999999995"/>
    <x v="2"/>
    <s v="2230"/>
    <s v="000"/>
    <x v="9"/>
    <x v="1"/>
  </r>
  <r>
    <d v="2012-07-14T00:00:00"/>
    <s v="018-2100-000"/>
    <s v="Food Sales"/>
    <n v="14168.602499999999"/>
    <n v="0"/>
    <s v="Daily Sales Import"/>
    <n v="-14168.602499999999"/>
    <n v="14168.602499999999"/>
    <x v="2"/>
    <s v="2100"/>
    <s v="000"/>
    <x v="9"/>
    <x v="1"/>
  </r>
  <r>
    <d v="2012-07-14T00:00:00"/>
    <s v="018-2210-000"/>
    <s v="Liquor Sales"/>
    <n v="2984.3924999999999"/>
    <n v="0"/>
    <s v="Daily Sales Import"/>
    <n v="-2984.3924999999999"/>
    <n v="2984.3924999999999"/>
    <x v="2"/>
    <s v="2210"/>
    <s v="000"/>
    <x v="9"/>
    <x v="1"/>
  </r>
  <r>
    <d v="2012-07-14T00:00:00"/>
    <s v="018-2220-000"/>
    <s v="Beer Sales"/>
    <n v="568.94749999999999"/>
    <n v="0"/>
    <s v="Daily Sales Import"/>
    <n v="-568.94749999999999"/>
    <n v="568.94749999999999"/>
    <x v="2"/>
    <s v="2220"/>
    <s v="000"/>
    <x v="9"/>
    <x v="1"/>
  </r>
  <r>
    <d v="2012-07-14T00:00:00"/>
    <s v="018-2230-000"/>
    <s v="Wine Sales"/>
    <n v="128.43600000000001"/>
    <n v="0"/>
    <s v="Daily Sales Import"/>
    <n v="-128.43600000000001"/>
    <n v="128.43600000000001"/>
    <x v="2"/>
    <s v="2230"/>
    <s v="000"/>
    <x v="9"/>
    <x v="1"/>
  </r>
  <r>
    <d v="2012-07-15T00:00:00"/>
    <s v="018-2100-000"/>
    <s v="Food Sales"/>
    <n v="6262.4759999999987"/>
    <n v="0"/>
    <s v="Daily Sales Import"/>
    <n v="-6262.4759999999987"/>
    <n v="6262.4759999999987"/>
    <x v="2"/>
    <s v="2100"/>
    <s v="000"/>
    <x v="9"/>
    <x v="1"/>
  </r>
  <r>
    <d v="2012-07-15T00:00:00"/>
    <s v="018-2210-000"/>
    <s v="Liquor Sales"/>
    <n v="1594.125"/>
    <n v="0"/>
    <s v="Daily Sales Import"/>
    <n v="-1594.125"/>
    <n v="1594.125"/>
    <x v="2"/>
    <s v="2210"/>
    <s v="000"/>
    <x v="9"/>
    <x v="1"/>
  </r>
  <r>
    <d v="2012-07-15T00:00:00"/>
    <s v="018-2220-000"/>
    <s v="Beer Sales"/>
    <n v="333.36"/>
    <n v="0"/>
    <s v="Daily Sales Import"/>
    <n v="-333.36"/>
    <n v="333.36"/>
    <x v="2"/>
    <s v="2220"/>
    <s v="000"/>
    <x v="9"/>
    <x v="1"/>
  </r>
  <r>
    <d v="2012-07-15T00:00:00"/>
    <s v="018-2230-000"/>
    <s v="Wine Sales"/>
    <n v="53.328000000000003"/>
    <n v="0"/>
    <s v="Daily Sales Import"/>
    <n v="-53.328000000000003"/>
    <n v="53.328000000000003"/>
    <x v="2"/>
    <s v="2230"/>
    <s v="000"/>
    <x v="9"/>
    <x v="1"/>
  </r>
  <r>
    <d v="2012-07-16T00:00:00"/>
    <s v="016-2100-000"/>
    <s v="Food Sales"/>
    <n v="1970.6938999999998"/>
    <n v="0"/>
    <s v="Daily Sales Import"/>
    <n v="-1970.6938999999998"/>
    <n v="1970.6938999999998"/>
    <x v="0"/>
    <s v="2100"/>
    <s v="000"/>
    <x v="9"/>
    <x v="1"/>
  </r>
  <r>
    <d v="2012-07-16T00:00:00"/>
    <s v="016-2210-000"/>
    <s v="Liquor Sales"/>
    <n v="580.04100000000005"/>
    <n v="0"/>
    <s v="Daily Sales Import"/>
    <n v="-580.04100000000005"/>
    <n v="580.04100000000005"/>
    <x v="0"/>
    <s v="2210"/>
    <s v="000"/>
    <x v="9"/>
    <x v="1"/>
  </r>
  <r>
    <d v="2012-07-16T00:00:00"/>
    <s v="016-2220-000"/>
    <s v="Beer Sales"/>
    <n v="143.09100000000001"/>
    <n v="0"/>
    <s v="Daily Sales Import"/>
    <n v="-143.09100000000001"/>
    <n v="143.09100000000001"/>
    <x v="0"/>
    <s v="2220"/>
    <s v="000"/>
    <x v="9"/>
    <x v="1"/>
  </r>
  <r>
    <d v="2012-07-16T00:00:00"/>
    <s v="016-2230-000"/>
    <s v="Wine Sales"/>
    <n v="34.555500000000002"/>
    <n v="0"/>
    <s v="Daily Sales Import"/>
    <n v="-34.555500000000002"/>
    <n v="34.555500000000002"/>
    <x v="0"/>
    <s v="2230"/>
    <s v="000"/>
    <x v="9"/>
    <x v="1"/>
  </r>
  <r>
    <d v="2012-07-17T00:00:00"/>
    <s v="016-2100-000"/>
    <s v="Food Sales"/>
    <n v="4745.8356000000003"/>
    <n v="0"/>
    <s v="Daily Sales Import"/>
    <n v="-4745.8356000000003"/>
    <n v="4745.8356000000003"/>
    <x v="0"/>
    <s v="2100"/>
    <s v="000"/>
    <x v="9"/>
    <x v="1"/>
  </r>
  <r>
    <d v="2012-07-17T00:00:00"/>
    <s v="016-2210-000"/>
    <s v="Liquor Sales"/>
    <n v="1951.2639999999999"/>
    <n v="0"/>
    <s v="Daily Sales Import"/>
    <n v="-1951.2639999999999"/>
    <n v="1951.2639999999999"/>
    <x v="0"/>
    <s v="2210"/>
    <s v="000"/>
    <x v="9"/>
    <x v="1"/>
  </r>
  <r>
    <d v="2012-07-17T00:00:00"/>
    <s v="016-2220-000"/>
    <s v="Beer Sales"/>
    <n v="497.11799999999999"/>
    <n v="0"/>
    <s v="Daily Sales Import"/>
    <n v="-497.11799999999999"/>
    <n v="497.11799999999999"/>
    <x v="0"/>
    <s v="2220"/>
    <s v="000"/>
    <x v="9"/>
    <x v="1"/>
  </r>
  <r>
    <d v="2012-07-17T00:00:00"/>
    <s v="016-2230-000"/>
    <s v="Wine Sales"/>
    <n v="145.43550000000002"/>
    <n v="0"/>
    <s v="Daily Sales Import"/>
    <n v="-145.43550000000002"/>
    <n v="145.43550000000002"/>
    <x v="0"/>
    <s v="2230"/>
    <s v="000"/>
    <x v="9"/>
    <x v="1"/>
  </r>
  <r>
    <d v="2012-07-18T00:00:00"/>
    <s v="016-2100-000"/>
    <s v="Food Sales"/>
    <n v="3520.9098000000004"/>
    <n v="0"/>
    <s v="Daily Sales Import"/>
    <n v="-3520.9098000000004"/>
    <n v="3520.9098000000004"/>
    <x v="0"/>
    <s v="2100"/>
    <s v="000"/>
    <x v="9"/>
    <x v="1"/>
  </r>
  <r>
    <d v="2012-07-18T00:00:00"/>
    <s v="016-2210-000"/>
    <s v="Liquor Sales"/>
    <n v="848.99700000000007"/>
    <n v="0"/>
    <s v="Daily Sales Import"/>
    <n v="-848.99700000000007"/>
    <n v="848.99700000000007"/>
    <x v="0"/>
    <s v="2210"/>
    <s v="000"/>
    <x v="9"/>
    <x v="1"/>
  </r>
  <r>
    <d v="2012-07-18T00:00:00"/>
    <s v="016-2220-000"/>
    <s v="Beer Sales"/>
    <n v="158.286"/>
    <n v="0"/>
    <s v="Daily Sales Import"/>
    <n v="-158.286"/>
    <n v="158.286"/>
    <x v="0"/>
    <s v="2220"/>
    <s v="000"/>
    <x v="9"/>
    <x v="1"/>
  </r>
  <r>
    <d v="2012-07-18T00:00:00"/>
    <s v="016-2230-000"/>
    <s v="Wine Sales"/>
    <n v="37.219000000000001"/>
    <n v="0"/>
    <s v="Daily Sales Import"/>
    <n v="-37.219000000000001"/>
    <n v="37.219000000000001"/>
    <x v="0"/>
    <s v="2230"/>
    <s v="000"/>
    <x v="9"/>
    <x v="1"/>
  </r>
  <r>
    <d v="2012-07-19T00:00:00"/>
    <s v="016-2100-000"/>
    <s v="Food Sales"/>
    <n v="3785.3274000000001"/>
    <n v="0"/>
    <s v="Daily Sales Import"/>
    <n v="-3785.3274000000001"/>
    <n v="3785.3274000000001"/>
    <x v="0"/>
    <s v="2100"/>
    <s v="000"/>
    <x v="9"/>
    <x v="1"/>
  </r>
  <r>
    <d v="2012-07-19T00:00:00"/>
    <s v="016-2210-000"/>
    <s v="Liquor Sales"/>
    <n v="1148.3995"/>
    <n v="0"/>
    <s v="Daily Sales Import"/>
    <n v="-1148.3995"/>
    <n v="1148.3995"/>
    <x v="0"/>
    <s v="2210"/>
    <s v="000"/>
    <x v="9"/>
    <x v="1"/>
  </r>
  <r>
    <d v="2012-07-19T00:00:00"/>
    <s v="016-2220-000"/>
    <s v="Beer Sales"/>
    <n v="214.60560000000001"/>
    <n v="0"/>
    <s v="Daily Sales Import"/>
    <n v="-214.60560000000001"/>
    <n v="214.60560000000001"/>
    <x v="0"/>
    <s v="2220"/>
    <s v="000"/>
    <x v="9"/>
    <x v="1"/>
  </r>
  <r>
    <d v="2012-07-19T00:00:00"/>
    <s v="016-2230-000"/>
    <s v="Wine Sales"/>
    <n v="66.12"/>
    <n v="0"/>
    <s v="Daily Sales Import"/>
    <n v="-66.12"/>
    <n v="66.12"/>
    <x v="0"/>
    <s v="2230"/>
    <s v="000"/>
    <x v="9"/>
    <x v="1"/>
  </r>
  <r>
    <d v="2012-07-20T00:00:00"/>
    <s v="016-2100-000"/>
    <s v="Food Sales"/>
    <n v="5896.6566000000003"/>
    <n v="0"/>
    <s v="Daily Sales Import"/>
    <n v="-5896.6566000000003"/>
    <n v="5896.6566000000003"/>
    <x v="0"/>
    <s v="2100"/>
    <s v="000"/>
    <x v="9"/>
    <x v="1"/>
  </r>
  <r>
    <d v="2012-07-20T00:00:00"/>
    <s v="016-2210-000"/>
    <s v="Liquor Sales"/>
    <n v="2347.8200000000002"/>
    <n v="0"/>
    <s v="Daily Sales Import"/>
    <n v="-2347.8200000000002"/>
    <n v="2347.8200000000002"/>
    <x v="0"/>
    <s v="2210"/>
    <s v="000"/>
    <x v="9"/>
    <x v="1"/>
  </r>
  <r>
    <d v="2012-07-20T00:00:00"/>
    <s v="016-2220-000"/>
    <s v="Beer Sales"/>
    <n v="345.31199999999995"/>
    <n v="0"/>
    <s v="Daily Sales Import"/>
    <n v="-345.31199999999995"/>
    <n v="345.31199999999995"/>
    <x v="0"/>
    <s v="2220"/>
    <s v="000"/>
    <x v="9"/>
    <x v="1"/>
  </r>
  <r>
    <d v="2012-07-20T00:00:00"/>
    <s v="016-2230-000"/>
    <s v="Wine Sales"/>
    <n v="86.570000000000007"/>
    <n v="0"/>
    <s v="Daily Sales Import"/>
    <n v="-86.570000000000007"/>
    <n v="86.570000000000007"/>
    <x v="0"/>
    <s v="2230"/>
    <s v="000"/>
    <x v="9"/>
    <x v="1"/>
  </r>
  <r>
    <d v="2012-07-21T00:00:00"/>
    <s v="016-2100-000"/>
    <s v="Food Sales"/>
    <n v="9787.9336000000003"/>
    <n v="0"/>
    <s v="Daily Sales Import"/>
    <n v="-9787.9336000000003"/>
    <n v="9787.9336000000003"/>
    <x v="0"/>
    <s v="2100"/>
    <s v="000"/>
    <x v="9"/>
    <x v="1"/>
  </r>
  <r>
    <d v="2012-07-21T00:00:00"/>
    <s v="016-2210-000"/>
    <s v="Liquor Sales"/>
    <n v="2734.6501999999996"/>
    <n v="0"/>
    <s v="Daily Sales Import"/>
    <n v="-2734.6501999999996"/>
    <n v="2734.6501999999996"/>
    <x v="0"/>
    <s v="2210"/>
    <s v="000"/>
    <x v="9"/>
    <x v="1"/>
  </r>
  <r>
    <d v="2012-07-21T00:00:00"/>
    <s v="016-2220-000"/>
    <s v="Beer Sales"/>
    <n v="398.51550000000003"/>
    <n v="0"/>
    <s v="Daily Sales Import"/>
    <n v="-398.51550000000003"/>
    <n v="398.51550000000003"/>
    <x v="0"/>
    <s v="2220"/>
    <s v="000"/>
    <x v="9"/>
    <x v="1"/>
  </r>
  <r>
    <d v="2012-07-21T00:00:00"/>
    <s v="016-2230-000"/>
    <s v="Wine Sales"/>
    <n v="232.01499999999999"/>
    <n v="0"/>
    <s v="Daily Sales Import"/>
    <n v="-232.01499999999999"/>
    <n v="232.01499999999999"/>
    <x v="0"/>
    <s v="2230"/>
    <s v="000"/>
    <x v="9"/>
    <x v="1"/>
  </r>
  <r>
    <d v="2012-07-22T00:00:00"/>
    <s v="016-2100-000"/>
    <s v="Food Sales"/>
    <n v="4574.3098999999993"/>
    <n v="0"/>
    <s v="Daily Sales Import"/>
    <n v="-4574.3098999999993"/>
    <n v="4574.3098999999993"/>
    <x v="0"/>
    <s v="2100"/>
    <s v="000"/>
    <x v="9"/>
    <x v="1"/>
  </r>
  <r>
    <d v="2012-07-22T00:00:00"/>
    <s v="016-2210-000"/>
    <s v="Liquor Sales"/>
    <n v="967.24200000000008"/>
    <n v="0"/>
    <s v="Daily Sales Import"/>
    <n v="-967.24200000000008"/>
    <n v="967.24200000000008"/>
    <x v="0"/>
    <s v="2210"/>
    <s v="000"/>
    <x v="9"/>
    <x v="1"/>
  </r>
  <r>
    <d v="2012-07-22T00:00:00"/>
    <s v="016-2220-000"/>
    <s v="Beer Sales"/>
    <n v="139.04999999999998"/>
    <n v="0"/>
    <s v="Daily Sales Import"/>
    <n v="-139.04999999999998"/>
    <n v="139.04999999999998"/>
    <x v="0"/>
    <s v="2220"/>
    <s v="000"/>
    <x v="9"/>
    <x v="1"/>
  </r>
  <r>
    <d v="2012-07-22T00:00:00"/>
    <s v="016-2230-000"/>
    <s v="Wine Sales"/>
    <n v="25.296000000000003"/>
    <n v="0"/>
    <s v="Daily Sales Import"/>
    <n v="-25.296000000000003"/>
    <n v="25.296000000000003"/>
    <x v="0"/>
    <s v="2230"/>
    <s v="000"/>
    <x v="9"/>
    <x v="1"/>
  </r>
  <r>
    <d v="2012-07-16T00:00:00"/>
    <s v="017-2100-000"/>
    <s v="Food Sales"/>
    <n v="4053.0839999999998"/>
    <n v="0"/>
    <s v="Daily Sales Import"/>
    <n v="-4053.0839999999998"/>
    <n v="4053.0839999999998"/>
    <x v="1"/>
    <s v="2100"/>
    <s v="000"/>
    <x v="9"/>
    <x v="1"/>
  </r>
  <r>
    <d v="2012-07-16T00:00:00"/>
    <s v="017-2210-000"/>
    <s v="Liquor Sales"/>
    <n v="1368.2375"/>
    <n v="0"/>
    <s v="Daily Sales Import"/>
    <n v="-1368.2375"/>
    <n v="1368.2375"/>
    <x v="1"/>
    <s v="2210"/>
    <s v="000"/>
    <x v="9"/>
    <x v="1"/>
  </r>
  <r>
    <d v="2012-07-16T00:00:00"/>
    <s v="017-2220-000"/>
    <s v="Beer Sales"/>
    <n v="276.64"/>
    <n v="0"/>
    <s v="Daily Sales Import"/>
    <n v="-276.64"/>
    <n v="276.64"/>
    <x v="1"/>
    <s v="2220"/>
    <s v="000"/>
    <x v="9"/>
    <x v="1"/>
  </r>
  <r>
    <d v="2012-07-16T00:00:00"/>
    <s v="017-2230-000"/>
    <s v="Wine Sales"/>
    <n v="111.07949999999998"/>
    <n v="0"/>
    <s v="Daily Sales Import"/>
    <n v="-111.07949999999998"/>
    <n v="111.07949999999998"/>
    <x v="1"/>
    <s v="2230"/>
    <s v="000"/>
    <x v="9"/>
    <x v="1"/>
  </r>
  <r>
    <d v="2012-07-17T00:00:00"/>
    <s v="017-2100-000"/>
    <s v="Food Sales"/>
    <n v="7341.5409999999993"/>
    <n v="0"/>
    <s v="Daily Sales Import"/>
    <n v="-7341.5409999999993"/>
    <n v="7341.5409999999993"/>
    <x v="1"/>
    <s v="2100"/>
    <s v="000"/>
    <x v="9"/>
    <x v="1"/>
  </r>
  <r>
    <d v="2012-07-17T00:00:00"/>
    <s v="017-2210-000"/>
    <s v="Liquor Sales"/>
    <n v="1593.9970000000001"/>
    <n v="0"/>
    <s v="Daily Sales Import"/>
    <n v="-1593.9970000000001"/>
    <n v="1593.9970000000001"/>
    <x v="1"/>
    <s v="2210"/>
    <s v="000"/>
    <x v="9"/>
    <x v="1"/>
  </r>
  <r>
    <d v="2012-07-17T00:00:00"/>
    <s v="017-2220-000"/>
    <s v="Beer Sales"/>
    <n v="608.16"/>
    <n v="0"/>
    <s v="Daily Sales Import"/>
    <n v="-608.16"/>
    <n v="608.16"/>
    <x v="1"/>
    <s v="2220"/>
    <s v="000"/>
    <x v="9"/>
    <x v="1"/>
  </r>
  <r>
    <d v="2012-07-17T00:00:00"/>
    <s v="017-2230-000"/>
    <s v="Wine Sales"/>
    <n v="223.81350000000003"/>
    <n v="0"/>
    <s v="Daily Sales Import"/>
    <n v="-223.81350000000003"/>
    <n v="223.81350000000003"/>
    <x v="1"/>
    <s v="2230"/>
    <s v="000"/>
    <x v="9"/>
    <x v="1"/>
  </r>
  <r>
    <d v="2012-07-18T00:00:00"/>
    <s v="017-2100-000"/>
    <s v="Food Sales"/>
    <n v="5640.9607999999998"/>
    <n v="0"/>
    <s v="Daily Sales Import"/>
    <n v="-5640.9607999999998"/>
    <n v="5640.9607999999998"/>
    <x v="1"/>
    <s v="2100"/>
    <s v="000"/>
    <x v="9"/>
    <x v="1"/>
  </r>
  <r>
    <d v="2012-07-18T00:00:00"/>
    <s v="017-2210-000"/>
    <s v="Liquor Sales"/>
    <n v="1588.704"/>
    <n v="0"/>
    <s v="Daily Sales Import"/>
    <n v="-1588.704"/>
    <n v="1588.704"/>
    <x v="1"/>
    <s v="2210"/>
    <s v="000"/>
    <x v="9"/>
    <x v="1"/>
  </r>
  <r>
    <d v="2012-07-18T00:00:00"/>
    <s v="017-2220-000"/>
    <s v="Beer Sales"/>
    <n v="421.75"/>
    <n v="0"/>
    <s v="Daily Sales Import"/>
    <n v="-421.75"/>
    <n v="421.75"/>
    <x v="1"/>
    <s v="2220"/>
    <s v="000"/>
    <x v="9"/>
    <x v="1"/>
  </r>
  <r>
    <d v="2012-07-18T00:00:00"/>
    <s v="017-2230-000"/>
    <s v="Wine Sales"/>
    <n v="113.03599999999999"/>
    <n v="0"/>
    <s v="Daily Sales Import"/>
    <n v="-113.03599999999999"/>
    <n v="113.03599999999999"/>
    <x v="1"/>
    <s v="2230"/>
    <s v="000"/>
    <x v="9"/>
    <x v="1"/>
  </r>
  <r>
    <d v="2012-07-19T00:00:00"/>
    <s v="017-2100-000"/>
    <s v="Food Sales"/>
    <n v="4500.0074999999997"/>
    <n v="0"/>
    <s v="Daily Sales Import"/>
    <n v="-4500.0074999999997"/>
    <n v="4500.0074999999997"/>
    <x v="1"/>
    <s v="2100"/>
    <s v="000"/>
    <x v="9"/>
    <x v="1"/>
  </r>
  <r>
    <d v="2012-07-19T00:00:00"/>
    <s v="017-2210-000"/>
    <s v="Liquor Sales"/>
    <n v="1196.2874999999999"/>
    <n v="0"/>
    <s v="Daily Sales Import"/>
    <n v="-1196.2874999999999"/>
    <n v="1196.2874999999999"/>
    <x v="1"/>
    <s v="2210"/>
    <s v="000"/>
    <x v="9"/>
    <x v="1"/>
  </r>
  <r>
    <d v="2012-07-19T00:00:00"/>
    <s v="017-2220-000"/>
    <s v="Beer Sales"/>
    <n v="466.65249999999997"/>
    <n v="0"/>
    <s v="Daily Sales Import"/>
    <n v="-466.65249999999997"/>
    <n v="466.65249999999997"/>
    <x v="1"/>
    <s v="2220"/>
    <s v="000"/>
    <x v="9"/>
    <x v="1"/>
  </r>
  <r>
    <d v="2012-07-19T00:00:00"/>
    <s v="017-2230-000"/>
    <s v="Wine Sales"/>
    <n v="123.11999999999999"/>
    <n v="0"/>
    <s v="Daily Sales Import"/>
    <n v="-123.11999999999999"/>
    <n v="123.11999999999999"/>
    <x v="1"/>
    <s v="2230"/>
    <s v="000"/>
    <x v="9"/>
    <x v="1"/>
  </r>
  <r>
    <d v="2012-07-20T00:00:00"/>
    <s v="017-2100-000"/>
    <s v="Food Sales"/>
    <n v="10647.201399999998"/>
    <n v="0"/>
    <s v="Daily Sales Import"/>
    <n v="-10647.201399999998"/>
    <n v="10647.201399999998"/>
    <x v="1"/>
    <s v="2100"/>
    <s v="000"/>
    <x v="9"/>
    <x v="1"/>
  </r>
  <r>
    <d v="2012-07-20T00:00:00"/>
    <s v="017-2210-000"/>
    <s v="Liquor Sales"/>
    <n v="2658.7"/>
    <n v="0"/>
    <s v="Daily Sales Import"/>
    <n v="-2658.7"/>
    <n v="2658.7"/>
    <x v="1"/>
    <s v="2210"/>
    <s v="000"/>
    <x v="9"/>
    <x v="1"/>
  </r>
  <r>
    <d v="2012-07-20T00:00:00"/>
    <s v="017-2220-000"/>
    <s v="Beer Sales"/>
    <n v="331.42"/>
    <n v="0"/>
    <s v="Daily Sales Import"/>
    <n v="-331.42"/>
    <n v="331.42"/>
    <x v="1"/>
    <s v="2220"/>
    <s v="000"/>
    <x v="9"/>
    <x v="1"/>
  </r>
  <r>
    <d v="2012-07-20T00:00:00"/>
    <s v="017-2230-000"/>
    <s v="Wine Sales"/>
    <n v="18.299999999999997"/>
    <n v="0"/>
    <s v="Daily Sales Import"/>
    <n v="-18.299999999999997"/>
    <n v="18.299999999999997"/>
    <x v="1"/>
    <s v="2230"/>
    <s v="000"/>
    <x v="9"/>
    <x v="1"/>
  </r>
  <r>
    <d v="2012-07-21T00:00:00"/>
    <s v="017-2100-000"/>
    <s v="Food Sales"/>
    <n v="7104.6287999999995"/>
    <n v="0"/>
    <s v="Daily Sales Import"/>
    <n v="-7104.6287999999995"/>
    <n v="7104.6287999999995"/>
    <x v="1"/>
    <s v="2100"/>
    <s v="000"/>
    <x v="9"/>
    <x v="1"/>
  </r>
  <r>
    <d v="2012-07-21T00:00:00"/>
    <s v="017-2210-000"/>
    <s v="Liquor Sales"/>
    <n v="1883.826"/>
    <n v="0"/>
    <s v="Daily Sales Import"/>
    <n v="-1883.826"/>
    <n v="1883.826"/>
    <x v="1"/>
    <s v="2210"/>
    <s v="000"/>
    <x v="9"/>
    <x v="1"/>
  </r>
  <r>
    <d v="2012-07-21T00:00:00"/>
    <s v="017-2220-000"/>
    <s v="Beer Sales"/>
    <n v="332.08500000000004"/>
    <n v="0"/>
    <s v="Daily Sales Import"/>
    <n v="-332.08500000000004"/>
    <n v="332.08500000000004"/>
    <x v="1"/>
    <s v="2220"/>
    <s v="000"/>
    <x v="9"/>
    <x v="1"/>
  </r>
  <r>
    <d v="2012-07-21T00:00:00"/>
    <s v="017-2230-000"/>
    <s v="Wine Sales"/>
    <n v="77.291999999999987"/>
    <n v="0"/>
    <s v="Daily Sales Import"/>
    <n v="-77.291999999999987"/>
    <n v="77.291999999999987"/>
    <x v="1"/>
    <s v="2230"/>
    <s v="000"/>
    <x v="9"/>
    <x v="1"/>
  </r>
  <r>
    <d v="2012-07-22T00:00:00"/>
    <s v="017-2100-000"/>
    <s v="Food Sales"/>
    <n v="5540.2098999999998"/>
    <n v="0"/>
    <s v="Daily Sales Import"/>
    <n v="-5540.2098999999998"/>
    <n v="5540.2098999999998"/>
    <x v="1"/>
    <s v="2100"/>
    <s v="000"/>
    <x v="9"/>
    <x v="1"/>
  </r>
  <r>
    <d v="2012-07-22T00:00:00"/>
    <s v="017-2210-000"/>
    <s v="Liquor Sales"/>
    <n v="1027.1200000000001"/>
    <n v="0"/>
    <s v="Daily Sales Import"/>
    <n v="-1027.1200000000001"/>
    <n v="1027.1200000000001"/>
    <x v="1"/>
    <s v="2210"/>
    <s v="000"/>
    <x v="9"/>
    <x v="1"/>
  </r>
  <r>
    <d v="2012-07-22T00:00:00"/>
    <s v="017-2220-000"/>
    <s v="Beer Sales"/>
    <n v="142.86250000000001"/>
    <n v="0"/>
    <s v="Daily Sales Import"/>
    <n v="-142.86250000000001"/>
    <n v="142.86250000000001"/>
    <x v="1"/>
    <s v="2220"/>
    <s v="000"/>
    <x v="9"/>
    <x v="1"/>
  </r>
  <r>
    <d v="2012-07-22T00:00:00"/>
    <s v="017-2230-000"/>
    <s v="Wine Sales"/>
    <n v="66.994499999999988"/>
    <n v="0"/>
    <s v="Daily Sales Import"/>
    <n v="-66.994499999999988"/>
    <n v="66.994499999999988"/>
    <x v="1"/>
    <s v="2230"/>
    <s v="000"/>
    <x v="9"/>
    <x v="1"/>
  </r>
  <r>
    <d v="2012-07-16T00:00:00"/>
    <s v="018-2100-000"/>
    <s v="Food Sales"/>
    <n v="4272.1139999999996"/>
    <n v="0"/>
    <s v="Daily Sales Import"/>
    <n v="-4272.1139999999996"/>
    <n v="4272.1139999999996"/>
    <x v="2"/>
    <s v="2100"/>
    <s v="000"/>
    <x v="9"/>
    <x v="1"/>
  </r>
  <r>
    <d v="2012-07-16T00:00:00"/>
    <s v="018-2210-000"/>
    <s v="Liquor Sales"/>
    <n v="506.57999999999993"/>
    <n v="0"/>
    <s v="Daily Sales Import"/>
    <n v="-506.57999999999993"/>
    <n v="506.57999999999993"/>
    <x v="2"/>
    <s v="2210"/>
    <s v="000"/>
    <x v="9"/>
    <x v="1"/>
  </r>
  <r>
    <d v="2012-07-16T00:00:00"/>
    <s v="018-2220-000"/>
    <s v="Beer Sales"/>
    <n v="188.08199999999999"/>
    <n v="0"/>
    <s v="Daily Sales Import"/>
    <n v="-188.08199999999999"/>
    <n v="188.08199999999999"/>
    <x v="2"/>
    <s v="2220"/>
    <s v="000"/>
    <x v="9"/>
    <x v="1"/>
  </r>
  <r>
    <d v="2012-07-16T00:00:00"/>
    <s v="018-2230-000"/>
    <s v="Wine Sales"/>
    <n v="39.835000000000001"/>
    <n v="0"/>
    <s v="Daily Sales Import"/>
    <n v="-39.835000000000001"/>
    <n v="39.835000000000001"/>
    <x v="2"/>
    <s v="2230"/>
    <s v="000"/>
    <x v="9"/>
    <x v="1"/>
  </r>
  <r>
    <d v="2012-07-17T00:00:00"/>
    <s v="018-2100-000"/>
    <s v="Food Sales"/>
    <n v="4873.8620000000001"/>
    <n v="0"/>
    <s v="Daily Sales Import"/>
    <n v="-4873.8620000000001"/>
    <n v="4873.8620000000001"/>
    <x v="2"/>
    <s v="2100"/>
    <s v="000"/>
    <x v="9"/>
    <x v="1"/>
  </r>
  <r>
    <d v="2012-07-17T00:00:00"/>
    <s v="018-2210-000"/>
    <s v="Liquor Sales"/>
    <n v="690.31600000000003"/>
    <n v="0"/>
    <s v="Daily Sales Import"/>
    <n v="-690.31600000000003"/>
    <n v="690.31600000000003"/>
    <x v="2"/>
    <s v="2210"/>
    <s v="000"/>
    <x v="9"/>
    <x v="1"/>
  </r>
  <r>
    <d v="2012-07-17T00:00:00"/>
    <s v="018-2220-000"/>
    <s v="Beer Sales"/>
    <n v="115.25649999999999"/>
    <n v="0"/>
    <s v="Daily Sales Import"/>
    <n v="-115.25649999999999"/>
    <n v="115.25649999999999"/>
    <x v="2"/>
    <s v="2220"/>
    <s v="000"/>
    <x v="9"/>
    <x v="1"/>
  </r>
  <r>
    <d v="2012-07-17T00:00:00"/>
    <s v="018-2230-000"/>
    <s v="Wine Sales"/>
    <n v="15.437999999999999"/>
    <n v="0"/>
    <s v="Daily Sales Import"/>
    <n v="-15.437999999999999"/>
    <n v="15.437999999999999"/>
    <x v="2"/>
    <s v="2230"/>
    <s v="000"/>
    <x v="9"/>
    <x v="1"/>
  </r>
  <r>
    <d v="2012-07-18T00:00:00"/>
    <s v="018-2100-000"/>
    <s v="Food Sales"/>
    <n v="3720.6122999999998"/>
    <n v="0"/>
    <s v="Daily Sales Import"/>
    <n v="-3720.6122999999998"/>
    <n v="3720.6122999999998"/>
    <x v="2"/>
    <s v="2100"/>
    <s v="000"/>
    <x v="9"/>
    <x v="1"/>
  </r>
  <r>
    <d v="2012-07-18T00:00:00"/>
    <s v="018-2210-000"/>
    <s v="Liquor Sales"/>
    <n v="827.54199999999992"/>
    <n v="0"/>
    <s v="Daily Sales Import"/>
    <n v="-827.54199999999992"/>
    <n v="827.54199999999992"/>
    <x v="2"/>
    <s v="2210"/>
    <s v="000"/>
    <x v="9"/>
    <x v="1"/>
  </r>
  <r>
    <d v="2012-07-18T00:00:00"/>
    <s v="018-2220-000"/>
    <s v="Beer Sales"/>
    <n v="236.89799999999997"/>
    <n v="0"/>
    <s v="Daily Sales Import"/>
    <n v="-236.89799999999997"/>
    <n v="236.89799999999997"/>
    <x v="2"/>
    <s v="2220"/>
    <s v="000"/>
    <x v="9"/>
    <x v="1"/>
  </r>
  <r>
    <d v="2012-07-18T00:00:00"/>
    <s v="018-2230-000"/>
    <s v="Wine Sales"/>
    <n v="55.768999999999998"/>
    <n v="0"/>
    <s v="Daily Sales Import"/>
    <n v="-55.768999999999998"/>
    <n v="55.768999999999998"/>
    <x v="2"/>
    <s v="2230"/>
    <s v="000"/>
    <x v="9"/>
    <x v="1"/>
  </r>
  <r>
    <d v="2012-07-19T00:00:00"/>
    <s v="018-2100-000"/>
    <s v="Food Sales"/>
    <n v="7648.3757999999989"/>
    <n v="0"/>
    <s v="Daily Sales Import"/>
    <n v="-7648.3757999999989"/>
    <n v="7648.3757999999989"/>
    <x v="2"/>
    <s v="2100"/>
    <s v="000"/>
    <x v="9"/>
    <x v="1"/>
  </r>
  <r>
    <d v="2012-07-19T00:00:00"/>
    <s v="018-2210-000"/>
    <s v="Liquor Sales"/>
    <n v="1010.9099999999999"/>
    <n v="0"/>
    <s v="Daily Sales Import"/>
    <n v="-1010.9099999999999"/>
    <n v="1010.9099999999999"/>
    <x v="2"/>
    <s v="2210"/>
    <s v="000"/>
    <x v="9"/>
    <x v="1"/>
  </r>
  <r>
    <d v="2012-07-19T00:00:00"/>
    <s v="018-2220-000"/>
    <s v="Beer Sales"/>
    <n v="262.20799999999997"/>
    <n v="0"/>
    <s v="Daily Sales Import"/>
    <n v="-262.20799999999997"/>
    <n v="262.20799999999997"/>
    <x v="2"/>
    <s v="2220"/>
    <s v="000"/>
    <x v="9"/>
    <x v="1"/>
  </r>
  <r>
    <d v="2012-07-19T00:00:00"/>
    <s v="018-2230-000"/>
    <s v="Wine Sales"/>
    <n v="93.600000000000009"/>
    <n v="0"/>
    <s v="Daily Sales Import"/>
    <n v="-93.600000000000009"/>
    <n v="93.600000000000009"/>
    <x v="2"/>
    <s v="2230"/>
    <s v="000"/>
    <x v="9"/>
    <x v="1"/>
  </r>
  <r>
    <d v="2012-07-20T00:00:00"/>
    <s v="018-2100-000"/>
    <s v="Food Sales"/>
    <n v="8034.7302000000009"/>
    <n v="0"/>
    <s v="Daily Sales Import"/>
    <n v="-8034.7302000000009"/>
    <n v="8034.7302000000009"/>
    <x v="2"/>
    <s v="2100"/>
    <s v="000"/>
    <x v="9"/>
    <x v="1"/>
  </r>
  <r>
    <d v="2012-07-20T00:00:00"/>
    <s v="018-2210-000"/>
    <s v="Liquor Sales"/>
    <n v="2064.1039999999998"/>
    <n v="0"/>
    <s v="Daily Sales Import"/>
    <n v="-2064.1039999999998"/>
    <n v="2064.1039999999998"/>
    <x v="2"/>
    <s v="2210"/>
    <s v="000"/>
    <x v="9"/>
    <x v="1"/>
  </r>
  <r>
    <d v="2012-07-20T00:00:00"/>
    <s v="018-2220-000"/>
    <s v="Beer Sales"/>
    <n v="360.29699999999997"/>
    <n v="0"/>
    <s v="Daily Sales Import"/>
    <n v="-360.29699999999997"/>
    <n v="360.29699999999997"/>
    <x v="2"/>
    <s v="2220"/>
    <s v="000"/>
    <x v="9"/>
    <x v="1"/>
  </r>
  <r>
    <d v="2012-07-20T00:00:00"/>
    <s v="018-2230-000"/>
    <s v="Wine Sales"/>
    <n v="75.167999999999992"/>
    <n v="0"/>
    <s v="Daily Sales Import"/>
    <n v="-75.167999999999992"/>
    <n v="75.167999999999992"/>
    <x v="2"/>
    <s v="2230"/>
    <s v="000"/>
    <x v="9"/>
    <x v="1"/>
  </r>
  <r>
    <d v="2012-07-21T00:00:00"/>
    <s v="018-2100-000"/>
    <s v="Food Sales"/>
    <n v="9549.1530000000002"/>
    <n v="0"/>
    <s v="Daily Sales Import"/>
    <n v="-9549.1530000000002"/>
    <n v="9549.1530000000002"/>
    <x v="2"/>
    <s v="2100"/>
    <s v="000"/>
    <x v="9"/>
    <x v="1"/>
  </r>
  <r>
    <d v="2012-07-21T00:00:00"/>
    <s v="018-2210-000"/>
    <s v="Liquor Sales"/>
    <n v="3704.2875000000004"/>
    <n v="0"/>
    <s v="Daily Sales Import"/>
    <n v="-3704.2875000000004"/>
    <n v="3704.2875000000004"/>
    <x v="2"/>
    <s v="2210"/>
    <s v="000"/>
    <x v="9"/>
    <x v="1"/>
  </r>
  <r>
    <d v="2012-07-21T00:00:00"/>
    <s v="018-2220-000"/>
    <s v="Beer Sales"/>
    <n v="974.74950000000001"/>
    <n v="0"/>
    <s v="Daily Sales Import"/>
    <n v="-974.74950000000001"/>
    <n v="974.74950000000001"/>
    <x v="2"/>
    <s v="2220"/>
    <s v="000"/>
    <x v="9"/>
    <x v="1"/>
  </r>
  <r>
    <d v="2012-07-21T00:00:00"/>
    <s v="018-2230-000"/>
    <s v="Wine Sales"/>
    <n v="140.23100000000002"/>
    <n v="0"/>
    <s v="Daily Sales Import"/>
    <n v="-140.23100000000002"/>
    <n v="140.23100000000002"/>
    <x v="2"/>
    <s v="2230"/>
    <s v="000"/>
    <x v="9"/>
    <x v="1"/>
  </r>
  <r>
    <d v="2012-07-22T00:00:00"/>
    <s v="018-2100-000"/>
    <s v="Food Sales"/>
    <n v="8254.6380000000008"/>
    <n v="0"/>
    <s v="Daily Sales Import"/>
    <n v="-8254.6380000000008"/>
    <n v="8254.6380000000008"/>
    <x v="2"/>
    <s v="2100"/>
    <s v="000"/>
    <x v="9"/>
    <x v="1"/>
  </r>
  <r>
    <d v="2012-07-22T00:00:00"/>
    <s v="018-2210-000"/>
    <s v="Liquor Sales"/>
    <n v="1227.1659999999999"/>
    <n v="0"/>
    <s v="Daily Sales Import"/>
    <n v="-1227.1659999999999"/>
    <n v="1227.1659999999999"/>
    <x v="2"/>
    <s v="2210"/>
    <s v="000"/>
    <x v="9"/>
    <x v="1"/>
  </r>
  <r>
    <d v="2012-07-22T00:00:00"/>
    <s v="018-2220-000"/>
    <s v="Beer Sales"/>
    <n v="266.91299999999995"/>
    <n v="0"/>
    <s v="Daily Sales Import"/>
    <n v="-266.91299999999995"/>
    <n v="266.91299999999995"/>
    <x v="2"/>
    <s v="2220"/>
    <s v="000"/>
    <x v="9"/>
    <x v="1"/>
  </r>
  <r>
    <d v="2012-07-22T00:00:00"/>
    <s v="018-2230-000"/>
    <s v="Wine Sales"/>
    <n v="56.101500000000001"/>
    <n v="0"/>
    <s v="Daily Sales Import"/>
    <n v="-56.101500000000001"/>
    <n v="56.101500000000001"/>
    <x v="2"/>
    <s v="2230"/>
    <s v="000"/>
    <x v="9"/>
    <x v="1"/>
  </r>
  <r>
    <d v="2012-07-23T00:00:00"/>
    <s v="016-2100-000"/>
    <s v="Food Sales"/>
    <n v="1288.3308"/>
    <n v="0"/>
    <s v="Daily Sales Import"/>
    <n v="-1288.3308"/>
    <n v="1288.3308"/>
    <x v="0"/>
    <s v="2100"/>
    <s v="000"/>
    <x v="9"/>
    <x v="1"/>
  </r>
  <r>
    <d v="2012-07-23T00:00:00"/>
    <s v="016-2210-000"/>
    <s v="Liquor Sales"/>
    <n v="345.28999999999996"/>
    <n v="0"/>
    <s v="Daily Sales Import"/>
    <n v="-345.28999999999996"/>
    <n v="345.28999999999996"/>
    <x v="0"/>
    <s v="2210"/>
    <s v="000"/>
    <x v="9"/>
    <x v="1"/>
  </r>
  <r>
    <d v="2012-07-23T00:00:00"/>
    <s v="016-2220-000"/>
    <s v="Beer Sales"/>
    <n v="35.04"/>
    <n v="0"/>
    <s v="Daily Sales Import"/>
    <n v="-35.04"/>
    <n v="35.04"/>
    <x v="0"/>
    <s v="2220"/>
    <s v="000"/>
    <x v="9"/>
    <x v="1"/>
  </r>
  <r>
    <d v="2012-07-23T00:00:00"/>
    <s v="016-2230-000"/>
    <s v="Wine Sales"/>
    <n v="25.063500000000001"/>
    <n v="0"/>
    <s v="Daily Sales Import"/>
    <n v="-25.063500000000001"/>
    <n v="25.063500000000001"/>
    <x v="0"/>
    <s v="2230"/>
    <s v="000"/>
    <x v="9"/>
    <x v="1"/>
  </r>
  <r>
    <d v="2012-07-24T00:00:00"/>
    <s v="016-2100-000"/>
    <s v="Food Sales"/>
    <n v="3957.0832000000005"/>
    <n v="0"/>
    <s v="Daily Sales Import"/>
    <n v="-3957.0832000000005"/>
    <n v="3957.0832000000005"/>
    <x v="0"/>
    <s v="2100"/>
    <s v="000"/>
    <x v="9"/>
    <x v="1"/>
  </r>
  <r>
    <d v="2012-07-24T00:00:00"/>
    <s v="016-2210-000"/>
    <s v="Liquor Sales"/>
    <n v="2833.5501000000004"/>
    <n v="0"/>
    <s v="Daily Sales Import"/>
    <n v="-2833.5501000000004"/>
    <n v="2833.5501000000004"/>
    <x v="0"/>
    <s v="2210"/>
    <s v="000"/>
    <x v="9"/>
    <x v="1"/>
  </r>
  <r>
    <d v="2012-07-24T00:00:00"/>
    <s v="016-2220-000"/>
    <s v="Beer Sales"/>
    <n v="558.65940000000012"/>
    <n v="0"/>
    <s v="Daily Sales Import"/>
    <n v="-558.65940000000012"/>
    <n v="558.65940000000012"/>
    <x v="0"/>
    <s v="2220"/>
    <s v="000"/>
    <x v="9"/>
    <x v="1"/>
  </r>
  <r>
    <d v="2012-07-24T00:00:00"/>
    <s v="016-2230-000"/>
    <s v="Wine Sales"/>
    <n v="149.036"/>
    <n v="0"/>
    <s v="Daily Sales Import"/>
    <n v="-149.036"/>
    <n v="149.036"/>
    <x v="0"/>
    <s v="2230"/>
    <s v="000"/>
    <x v="9"/>
    <x v="1"/>
  </r>
  <r>
    <d v="2012-07-25T00:00:00"/>
    <s v="016-2100-000"/>
    <s v="Food Sales"/>
    <n v="2318.5920000000001"/>
    <n v="0"/>
    <s v="Daily Sales Import"/>
    <n v="-2318.5920000000001"/>
    <n v="2318.5920000000001"/>
    <x v="0"/>
    <s v="2100"/>
    <s v="000"/>
    <x v="9"/>
    <x v="1"/>
  </r>
  <r>
    <d v="2012-07-25T00:00:00"/>
    <s v="016-2210-000"/>
    <s v="Liquor Sales"/>
    <n v="1015.7460000000001"/>
    <n v="0"/>
    <s v="Daily Sales Import"/>
    <n v="-1015.7460000000001"/>
    <n v="1015.7460000000001"/>
    <x v="0"/>
    <s v="2210"/>
    <s v="000"/>
    <x v="9"/>
    <x v="1"/>
  </r>
  <r>
    <d v="2012-07-25T00:00:00"/>
    <s v="016-2220-000"/>
    <s v="Beer Sales"/>
    <n v="262.20599999999996"/>
    <n v="0"/>
    <s v="Daily Sales Import"/>
    <n v="-262.20599999999996"/>
    <n v="262.20599999999996"/>
    <x v="0"/>
    <s v="2220"/>
    <s v="000"/>
    <x v="9"/>
    <x v="1"/>
  </r>
  <r>
    <d v="2012-07-25T00:00:00"/>
    <s v="016-2230-000"/>
    <s v="Wine Sales"/>
    <n v="37.417000000000002"/>
    <n v="0"/>
    <s v="Daily Sales Import"/>
    <n v="-37.417000000000002"/>
    <n v="37.417000000000002"/>
    <x v="0"/>
    <s v="2230"/>
    <s v="000"/>
    <x v="9"/>
    <x v="1"/>
  </r>
  <r>
    <d v="2012-07-26T00:00:00"/>
    <s v="016-2100-000"/>
    <s v="Food Sales"/>
    <n v="3946.0230000000001"/>
    <n v="0"/>
    <s v="Daily Sales Import"/>
    <n v="-3946.0230000000001"/>
    <n v="3946.0230000000001"/>
    <x v="0"/>
    <s v="2100"/>
    <s v="000"/>
    <x v="9"/>
    <x v="1"/>
  </r>
  <r>
    <d v="2012-07-26T00:00:00"/>
    <s v="016-2210-000"/>
    <s v="Liquor Sales"/>
    <n v="925.96199999999999"/>
    <n v="0"/>
    <s v="Daily Sales Import"/>
    <n v="-925.96199999999999"/>
    <n v="925.96199999999999"/>
    <x v="0"/>
    <s v="2210"/>
    <s v="000"/>
    <x v="9"/>
    <x v="1"/>
  </r>
  <r>
    <d v="2012-07-26T00:00:00"/>
    <s v="016-2220-000"/>
    <s v="Beer Sales"/>
    <n v="196.977"/>
    <n v="0"/>
    <s v="Daily Sales Import"/>
    <n v="-196.977"/>
    <n v="196.977"/>
    <x v="0"/>
    <s v="2220"/>
    <s v="000"/>
    <x v="9"/>
    <x v="1"/>
  </r>
  <r>
    <d v="2012-07-26T00:00:00"/>
    <s v="016-2230-000"/>
    <s v="Wine Sales"/>
    <n v="35.539500000000004"/>
    <n v="0"/>
    <s v="Daily Sales Import"/>
    <n v="-35.539500000000004"/>
    <n v="35.539500000000004"/>
    <x v="0"/>
    <s v="2230"/>
    <s v="000"/>
    <x v="9"/>
    <x v="1"/>
  </r>
  <r>
    <d v="2012-07-27T00:00:00"/>
    <s v="016-2100-000"/>
    <s v="Food Sales"/>
    <n v="9319.5360000000001"/>
    <n v="0"/>
    <s v="Daily Sales Import"/>
    <n v="-9319.5360000000001"/>
    <n v="9319.5360000000001"/>
    <x v="0"/>
    <s v="2100"/>
    <s v="000"/>
    <x v="9"/>
    <x v="1"/>
  </r>
  <r>
    <d v="2012-07-27T00:00:00"/>
    <s v="016-2210-000"/>
    <s v="Liquor Sales"/>
    <n v="3007.4830000000002"/>
    <n v="0"/>
    <s v="Daily Sales Import"/>
    <n v="-3007.4830000000002"/>
    <n v="3007.4830000000002"/>
    <x v="0"/>
    <s v="2210"/>
    <s v="000"/>
    <x v="9"/>
    <x v="1"/>
  </r>
  <r>
    <d v="2012-07-27T00:00:00"/>
    <s v="016-2220-000"/>
    <s v="Beer Sales"/>
    <n v="890.04449999999997"/>
    <n v="0"/>
    <s v="Daily Sales Import"/>
    <n v="-890.04449999999997"/>
    <n v="890.04449999999997"/>
    <x v="0"/>
    <s v="2220"/>
    <s v="000"/>
    <x v="9"/>
    <x v="1"/>
  </r>
  <r>
    <d v="2012-07-27T00:00:00"/>
    <s v="016-2230-000"/>
    <s v="Wine Sales"/>
    <n v="248.20250000000001"/>
    <n v="0"/>
    <s v="Daily Sales Import"/>
    <n v="-248.20250000000001"/>
    <n v="248.20250000000001"/>
    <x v="0"/>
    <s v="2230"/>
    <s v="000"/>
    <x v="9"/>
    <x v="1"/>
  </r>
  <r>
    <d v="2012-07-28T00:00:00"/>
    <s v="016-2100-000"/>
    <s v="Food Sales"/>
    <n v="6131.0700000000006"/>
    <n v="0"/>
    <s v="Daily Sales Import"/>
    <n v="-6131.0700000000006"/>
    <n v="6131.0700000000006"/>
    <x v="0"/>
    <s v="2100"/>
    <s v="000"/>
    <x v="9"/>
    <x v="1"/>
  </r>
  <r>
    <d v="2012-07-28T00:00:00"/>
    <s v="016-2210-000"/>
    <s v="Liquor Sales"/>
    <n v="2902.4380000000001"/>
    <n v="0"/>
    <s v="Daily Sales Import"/>
    <n v="-2902.4380000000001"/>
    <n v="2902.4380000000001"/>
    <x v="0"/>
    <s v="2210"/>
    <s v="000"/>
    <x v="9"/>
    <x v="1"/>
  </r>
  <r>
    <d v="2012-07-28T00:00:00"/>
    <s v="016-2220-000"/>
    <s v="Beer Sales"/>
    <n v="520.65"/>
    <n v="0"/>
    <s v="Daily Sales Import"/>
    <n v="-520.65"/>
    <n v="520.65"/>
    <x v="0"/>
    <s v="2220"/>
    <s v="000"/>
    <x v="9"/>
    <x v="1"/>
  </r>
  <r>
    <d v="2012-07-28T00:00:00"/>
    <s v="016-2230-000"/>
    <s v="Wine Sales"/>
    <n v="142.00200000000001"/>
    <n v="0"/>
    <s v="Daily Sales Import"/>
    <n v="-142.00200000000001"/>
    <n v="142.00200000000001"/>
    <x v="0"/>
    <s v="2230"/>
    <s v="000"/>
    <x v="9"/>
    <x v="1"/>
  </r>
  <r>
    <d v="2012-07-29T00:00:00"/>
    <s v="016-2100-000"/>
    <s v="Food Sales"/>
    <n v="5426.9182000000001"/>
    <n v="0"/>
    <s v="Daily Sales Import"/>
    <n v="-5426.9182000000001"/>
    <n v="5426.9182000000001"/>
    <x v="0"/>
    <s v="2100"/>
    <s v="000"/>
    <x v="9"/>
    <x v="1"/>
  </r>
  <r>
    <d v="2012-07-29T00:00:00"/>
    <s v="016-2210-000"/>
    <s v="Liquor Sales"/>
    <n v="1459.1999999999998"/>
    <n v="0"/>
    <s v="Daily Sales Import"/>
    <n v="-1459.1999999999998"/>
    <n v="1459.1999999999998"/>
    <x v="0"/>
    <s v="2210"/>
    <s v="000"/>
    <x v="9"/>
    <x v="1"/>
  </r>
  <r>
    <d v="2012-07-29T00:00:00"/>
    <s v="016-2220-000"/>
    <s v="Beer Sales"/>
    <n v="144.44999999999999"/>
    <n v="0"/>
    <s v="Daily Sales Import"/>
    <n v="-144.44999999999999"/>
    <n v="144.44999999999999"/>
    <x v="0"/>
    <s v="2220"/>
    <s v="000"/>
    <x v="9"/>
    <x v="1"/>
  </r>
  <r>
    <d v="2012-07-29T00:00:00"/>
    <s v="016-2230-000"/>
    <s v="Wine Sales"/>
    <n v="115.623"/>
    <n v="0"/>
    <s v="Daily Sales Import"/>
    <n v="-115.623"/>
    <n v="115.623"/>
    <x v="0"/>
    <s v="2230"/>
    <s v="000"/>
    <x v="9"/>
    <x v="1"/>
  </r>
  <r>
    <d v="2012-07-23T00:00:00"/>
    <s v="017-2100-000"/>
    <s v="Food Sales"/>
    <n v="6407.5192999999999"/>
    <n v="0"/>
    <s v="Daily Sales Import"/>
    <n v="-6407.5192999999999"/>
    <n v="6407.5192999999999"/>
    <x v="1"/>
    <s v="2100"/>
    <s v="000"/>
    <x v="9"/>
    <x v="1"/>
  </r>
  <r>
    <d v="2012-07-23T00:00:00"/>
    <s v="017-2210-000"/>
    <s v="Liquor Sales"/>
    <n v="1038.3100000000002"/>
    <n v="0"/>
    <s v="Daily Sales Import"/>
    <n v="-1038.3100000000002"/>
    <n v="1038.3100000000002"/>
    <x v="1"/>
    <s v="2210"/>
    <s v="000"/>
    <x v="9"/>
    <x v="1"/>
  </r>
  <r>
    <d v="2012-07-23T00:00:00"/>
    <s v="017-2220-000"/>
    <s v="Beer Sales"/>
    <n v="372"/>
    <n v="0"/>
    <s v="Daily Sales Import"/>
    <n v="-372"/>
    <n v="372"/>
    <x v="1"/>
    <s v="2220"/>
    <s v="000"/>
    <x v="9"/>
    <x v="1"/>
  </r>
  <r>
    <d v="2012-07-23T00:00:00"/>
    <s v="017-2230-000"/>
    <s v="Wine Sales"/>
    <n v="68.841500000000011"/>
    <n v="0"/>
    <s v="Daily Sales Import"/>
    <n v="-68.841500000000011"/>
    <n v="68.841500000000011"/>
    <x v="1"/>
    <s v="2230"/>
    <s v="000"/>
    <x v="9"/>
    <x v="1"/>
  </r>
  <r>
    <d v="2012-07-24T00:00:00"/>
    <s v="017-2100-000"/>
    <s v="Food Sales"/>
    <n v="10632.0669"/>
    <n v="0"/>
    <s v="Daily Sales Import"/>
    <n v="-10632.0669"/>
    <n v="10632.0669"/>
    <x v="1"/>
    <s v="2100"/>
    <s v="000"/>
    <x v="9"/>
    <x v="1"/>
  </r>
  <r>
    <d v="2012-07-24T00:00:00"/>
    <s v="017-2210-000"/>
    <s v="Liquor Sales"/>
    <n v="3140.0669999999996"/>
    <n v="0"/>
    <s v="Daily Sales Import"/>
    <n v="-3140.0669999999996"/>
    <n v="3140.0669999999996"/>
    <x v="1"/>
    <s v="2210"/>
    <s v="000"/>
    <x v="9"/>
    <x v="1"/>
  </r>
  <r>
    <d v="2012-07-24T00:00:00"/>
    <s v="017-2220-000"/>
    <s v="Beer Sales"/>
    <n v="721.80000000000007"/>
    <n v="0"/>
    <s v="Daily Sales Import"/>
    <n v="-721.80000000000007"/>
    <n v="721.80000000000007"/>
    <x v="1"/>
    <s v="2220"/>
    <s v="000"/>
    <x v="9"/>
    <x v="1"/>
  </r>
  <r>
    <d v="2012-07-24T00:00:00"/>
    <s v="017-2230-000"/>
    <s v="Wine Sales"/>
    <n v="110.6545"/>
    <n v="0"/>
    <s v="Daily Sales Import"/>
    <n v="-110.6545"/>
    <n v="110.6545"/>
    <x v="1"/>
    <s v="2230"/>
    <s v="000"/>
    <x v="9"/>
    <x v="1"/>
  </r>
  <r>
    <d v="2012-07-25T00:00:00"/>
    <s v="017-2100-000"/>
    <s v="Food Sales"/>
    <n v="6049.5383999999995"/>
    <n v="0"/>
    <s v="Daily Sales Import"/>
    <n v="-6049.5383999999995"/>
    <n v="6049.5383999999995"/>
    <x v="1"/>
    <s v="2100"/>
    <s v="000"/>
    <x v="9"/>
    <x v="1"/>
  </r>
  <r>
    <d v="2012-07-25T00:00:00"/>
    <s v="017-2210-000"/>
    <s v="Liquor Sales"/>
    <n v="1584.4360000000001"/>
    <n v="0"/>
    <s v="Daily Sales Import"/>
    <n v="-1584.4360000000001"/>
    <n v="1584.4360000000001"/>
    <x v="1"/>
    <s v="2210"/>
    <s v="000"/>
    <x v="9"/>
    <x v="1"/>
  </r>
  <r>
    <d v="2012-07-25T00:00:00"/>
    <s v="017-2220-000"/>
    <s v="Beer Sales"/>
    <n v="497.75249999999994"/>
    <n v="0"/>
    <s v="Daily Sales Import"/>
    <n v="-497.75249999999994"/>
    <n v="497.75249999999994"/>
    <x v="1"/>
    <s v="2220"/>
    <s v="000"/>
    <x v="9"/>
    <x v="1"/>
  </r>
  <r>
    <d v="2012-07-25T00:00:00"/>
    <s v="017-2230-000"/>
    <s v="Wine Sales"/>
    <n v="121.29"/>
    <n v="0"/>
    <s v="Daily Sales Import"/>
    <n v="-121.29"/>
    <n v="121.29"/>
    <x v="1"/>
    <s v="2230"/>
    <s v="000"/>
    <x v="9"/>
    <x v="1"/>
  </r>
  <r>
    <d v="2012-07-26T00:00:00"/>
    <s v="017-2100-000"/>
    <s v="Food Sales"/>
    <n v="4673.8859999999995"/>
    <n v="0"/>
    <s v="Daily Sales Import"/>
    <n v="-4673.8859999999995"/>
    <n v="4673.8859999999995"/>
    <x v="1"/>
    <s v="2100"/>
    <s v="000"/>
    <x v="9"/>
    <x v="1"/>
  </r>
  <r>
    <d v="2012-07-26T00:00:00"/>
    <s v="017-2210-000"/>
    <s v="Liquor Sales"/>
    <n v="2816.9820000000004"/>
    <n v="0"/>
    <s v="Daily Sales Import"/>
    <n v="-2816.9820000000004"/>
    <n v="2816.9820000000004"/>
    <x v="1"/>
    <s v="2210"/>
    <s v="000"/>
    <x v="9"/>
    <x v="1"/>
  </r>
  <r>
    <d v="2012-07-26T00:00:00"/>
    <s v="017-2220-000"/>
    <s v="Beer Sales"/>
    <n v="587.57499999999993"/>
    <n v="0"/>
    <s v="Daily Sales Import"/>
    <n v="-587.57499999999993"/>
    <n v="587.57499999999993"/>
    <x v="1"/>
    <s v="2220"/>
    <s v="000"/>
    <x v="9"/>
    <x v="1"/>
  </r>
  <r>
    <d v="2012-07-26T00:00:00"/>
    <s v="017-2230-000"/>
    <s v="Wine Sales"/>
    <n v="153.30149999999998"/>
    <n v="0"/>
    <s v="Daily Sales Import"/>
    <n v="-153.30149999999998"/>
    <n v="153.30149999999998"/>
    <x v="1"/>
    <s v="2230"/>
    <s v="000"/>
    <x v="9"/>
    <x v="1"/>
  </r>
  <r>
    <d v="2012-07-27T00:00:00"/>
    <s v="017-2100-000"/>
    <s v="Food Sales"/>
    <n v="9358.9721000000009"/>
    <n v="0"/>
    <s v="Daily Sales Import"/>
    <n v="-9358.9721000000009"/>
    <n v="9358.9721000000009"/>
    <x v="1"/>
    <s v="2100"/>
    <s v="000"/>
    <x v="9"/>
    <x v="1"/>
  </r>
  <r>
    <d v="2012-07-27T00:00:00"/>
    <s v="017-2210-000"/>
    <s v="Liquor Sales"/>
    <n v="1443.31"/>
    <n v="0"/>
    <s v="Daily Sales Import"/>
    <n v="-1443.31"/>
    <n v="1443.31"/>
    <x v="1"/>
    <s v="2210"/>
    <s v="000"/>
    <x v="9"/>
    <x v="1"/>
  </r>
  <r>
    <d v="2012-07-27T00:00:00"/>
    <s v="017-2220-000"/>
    <s v="Beer Sales"/>
    <n v="358.78500000000003"/>
    <n v="0"/>
    <s v="Daily Sales Import"/>
    <n v="-358.78500000000003"/>
    <n v="358.78500000000003"/>
    <x v="1"/>
    <s v="2220"/>
    <s v="000"/>
    <x v="9"/>
    <x v="1"/>
  </r>
  <r>
    <d v="2012-07-27T00:00:00"/>
    <s v="017-2230-000"/>
    <s v="Wine Sales"/>
    <n v="82.237500000000011"/>
    <n v="0"/>
    <s v="Daily Sales Import"/>
    <n v="-82.237500000000011"/>
    <n v="82.237500000000011"/>
    <x v="1"/>
    <s v="2230"/>
    <s v="000"/>
    <x v="9"/>
    <x v="1"/>
  </r>
  <r>
    <d v="2012-07-28T00:00:00"/>
    <s v="017-2100-000"/>
    <s v="Food Sales"/>
    <n v="6582.7876000000006"/>
    <n v="0"/>
    <s v="Daily Sales Import"/>
    <n v="-6582.7876000000006"/>
    <n v="6582.7876000000006"/>
    <x v="1"/>
    <s v="2100"/>
    <s v="000"/>
    <x v="9"/>
    <x v="1"/>
  </r>
  <r>
    <d v="2012-07-28T00:00:00"/>
    <s v="017-2210-000"/>
    <s v="Liquor Sales"/>
    <n v="2124.36"/>
    <n v="0"/>
    <s v="Daily Sales Import"/>
    <n v="-2124.36"/>
    <n v="2124.36"/>
    <x v="1"/>
    <s v="2210"/>
    <s v="000"/>
    <x v="9"/>
    <x v="1"/>
  </r>
  <r>
    <d v="2012-07-28T00:00:00"/>
    <s v="017-2220-000"/>
    <s v="Beer Sales"/>
    <n v="319.90000000000003"/>
    <n v="0"/>
    <s v="Daily Sales Import"/>
    <n v="-319.90000000000003"/>
    <n v="319.90000000000003"/>
    <x v="1"/>
    <s v="2220"/>
    <s v="000"/>
    <x v="9"/>
    <x v="1"/>
  </r>
  <r>
    <d v="2012-07-28T00:00:00"/>
    <s v="017-2230-000"/>
    <s v="Wine Sales"/>
    <n v="95.175000000000011"/>
    <n v="0"/>
    <s v="Daily Sales Import"/>
    <n v="-95.175000000000011"/>
    <n v="95.175000000000011"/>
    <x v="1"/>
    <s v="2230"/>
    <s v="000"/>
    <x v="9"/>
    <x v="1"/>
  </r>
  <r>
    <d v="2012-07-29T00:00:00"/>
    <s v="017-2100-000"/>
    <s v="Food Sales"/>
    <n v="6103.6830000000009"/>
    <n v="0"/>
    <s v="Daily Sales Import"/>
    <n v="-6103.6830000000009"/>
    <n v="6103.6830000000009"/>
    <x v="1"/>
    <s v="2100"/>
    <s v="000"/>
    <x v="9"/>
    <x v="1"/>
  </r>
  <r>
    <d v="2012-07-29T00:00:00"/>
    <s v="017-2210-000"/>
    <s v="Liquor Sales"/>
    <n v="817.54200000000003"/>
    <n v="0"/>
    <s v="Daily Sales Import"/>
    <n v="-817.54200000000003"/>
    <n v="817.54200000000003"/>
    <x v="1"/>
    <s v="2210"/>
    <s v="000"/>
    <x v="9"/>
    <x v="1"/>
  </r>
  <r>
    <d v="2012-07-29T00:00:00"/>
    <s v="017-2220-000"/>
    <s v="Beer Sales"/>
    <n v="129.375"/>
    <n v="0"/>
    <s v="Daily Sales Import"/>
    <n v="-129.375"/>
    <n v="129.375"/>
    <x v="1"/>
    <s v="2220"/>
    <s v="000"/>
    <x v="9"/>
    <x v="1"/>
  </r>
  <r>
    <d v="2012-07-29T00:00:00"/>
    <s v="017-2230-000"/>
    <s v="Wine Sales"/>
    <n v="91.085999999999999"/>
    <n v="0"/>
    <s v="Daily Sales Import"/>
    <n v="-91.085999999999999"/>
    <n v="91.085999999999999"/>
    <x v="1"/>
    <s v="2230"/>
    <s v="000"/>
    <x v="9"/>
    <x v="1"/>
  </r>
  <r>
    <d v="2012-07-23T00:00:00"/>
    <s v="018-2100-000"/>
    <s v="Food Sales"/>
    <n v="4700.3149999999996"/>
    <n v="0"/>
    <s v="Daily Sales Import"/>
    <n v="-4700.3149999999996"/>
    <n v="4700.3149999999996"/>
    <x v="2"/>
    <s v="2100"/>
    <s v="000"/>
    <x v="9"/>
    <x v="1"/>
  </r>
  <r>
    <d v="2012-07-23T00:00:00"/>
    <s v="018-2210-000"/>
    <s v="Liquor Sales"/>
    <n v="809.48099999999988"/>
    <n v="0"/>
    <s v="Daily Sales Import"/>
    <n v="-809.48099999999988"/>
    <n v="809.48099999999988"/>
    <x v="2"/>
    <s v="2210"/>
    <s v="000"/>
    <x v="9"/>
    <x v="1"/>
  </r>
  <r>
    <d v="2012-07-23T00:00:00"/>
    <s v="018-2220-000"/>
    <s v="Beer Sales"/>
    <n v="263.50399999999996"/>
    <n v="0"/>
    <s v="Daily Sales Import"/>
    <n v="-263.50399999999996"/>
    <n v="263.50399999999996"/>
    <x v="2"/>
    <s v="2220"/>
    <s v="000"/>
    <x v="9"/>
    <x v="1"/>
  </r>
  <r>
    <d v="2012-07-23T00:00:00"/>
    <s v="018-2230-000"/>
    <s v="Wine Sales"/>
    <n v="42.77"/>
    <n v="0"/>
    <s v="Daily Sales Import"/>
    <n v="-42.77"/>
    <n v="42.77"/>
    <x v="2"/>
    <s v="2230"/>
    <s v="000"/>
    <x v="9"/>
    <x v="1"/>
  </r>
  <r>
    <d v="2012-07-24T00:00:00"/>
    <s v="018-2100-000"/>
    <s v="Food Sales"/>
    <n v="5357.1419999999998"/>
    <n v="0"/>
    <s v="Daily Sales Import"/>
    <n v="-5357.1419999999998"/>
    <n v="5357.1419999999998"/>
    <x v="2"/>
    <s v="2100"/>
    <s v="000"/>
    <x v="9"/>
    <x v="1"/>
  </r>
  <r>
    <d v="2012-07-24T00:00:00"/>
    <s v="018-2210-000"/>
    <s v="Liquor Sales"/>
    <n v="503.65199999999999"/>
    <n v="0"/>
    <s v="Daily Sales Import"/>
    <n v="-503.65199999999999"/>
    <n v="503.65199999999999"/>
    <x v="2"/>
    <s v="2210"/>
    <s v="000"/>
    <x v="9"/>
    <x v="1"/>
  </r>
  <r>
    <d v="2012-07-24T00:00:00"/>
    <s v="018-2220-000"/>
    <s v="Beer Sales"/>
    <n v="173.21249999999998"/>
    <n v="0"/>
    <s v="Daily Sales Import"/>
    <n v="-173.21249999999998"/>
    <n v="173.21249999999998"/>
    <x v="2"/>
    <s v="2220"/>
    <s v="000"/>
    <x v="9"/>
    <x v="1"/>
  </r>
  <r>
    <d v="2012-07-24T00:00:00"/>
    <s v="018-2230-000"/>
    <s v="Wine Sales"/>
    <n v="76.760000000000005"/>
    <n v="0"/>
    <s v="Daily Sales Import"/>
    <n v="-76.760000000000005"/>
    <n v="76.760000000000005"/>
    <x v="2"/>
    <s v="2230"/>
    <s v="000"/>
    <x v="9"/>
    <x v="1"/>
  </r>
  <r>
    <d v="2012-07-25T00:00:00"/>
    <s v="018-2100-000"/>
    <s v="Food Sales"/>
    <n v="5319.0619999999999"/>
    <n v="0"/>
    <s v="Daily Sales Import"/>
    <n v="-5319.0619999999999"/>
    <n v="5319.0619999999999"/>
    <x v="2"/>
    <s v="2100"/>
    <s v="000"/>
    <x v="9"/>
    <x v="1"/>
  </r>
  <r>
    <d v="2012-07-25T00:00:00"/>
    <s v="018-2210-000"/>
    <s v="Liquor Sales"/>
    <n v="1061.0720000000001"/>
    <n v="0"/>
    <s v="Daily Sales Import"/>
    <n v="-1061.0720000000001"/>
    <n v="1061.0720000000001"/>
    <x v="2"/>
    <s v="2210"/>
    <s v="000"/>
    <x v="9"/>
    <x v="1"/>
  </r>
  <r>
    <d v="2012-07-25T00:00:00"/>
    <s v="018-2220-000"/>
    <s v="Beer Sales"/>
    <n v="140.89600000000002"/>
    <n v="0"/>
    <s v="Daily Sales Import"/>
    <n v="-140.89600000000002"/>
    <n v="140.89600000000002"/>
    <x v="2"/>
    <s v="2220"/>
    <s v="000"/>
    <x v="9"/>
    <x v="1"/>
  </r>
  <r>
    <d v="2012-07-25T00:00:00"/>
    <s v="018-2230-000"/>
    <s v="Wine Sales"/>
    <n v="29.23"/>
    <n v="0"/>
    <s v="Daily Sales Import"/>
    <n v="-29.23"/>
    <n v="29.23"/>
    <x v="2"/>
    <s v="2230"/>
    <s v="000"/>
    <x v="9"/>
    <x v="1"/>
  </r>
  <r>
    <d v="2012-07-26T00:00:00"/>
    <s v="018-2100-000"/>
    <s v="Food Sales"/>
    <n v="3843.5650000000005"/>
    <n v="0"/>
    <s v="Daily Sales Import"/>
    <n v="-3843.5650000000005"/>
    <n v="3843.5650000000005"/>
    <x v="2"/>
    <s v="2100"/>
    <s v="000"/>
    <x v="9"/>
    <x v="1"/>
  </r>
  <r>
    <d v="2012-07-26T00:00:00"/>
    <s v="018-2210-000"/>
    <s v="Liquor Sales"/>
    <n v="1619.8105"/>
    <n v="0"/>
    <s v="Daily Sales Import"/>
    <n v="-1619.8105"/>
    <n v="1619.8105"/>
    <x v="2"/>
    <s v="2210"/>
    <s v="000"/>
    <x v="9"/>
    <x v="1"/>
  </r>
  <r>
    <d v="2012-07-26T00:00:00"/>
    <s v="018-2220-000"/>
    <s v="Beer Sales"/>
    <n v="448.30650000000003"/>
    <n v="0"/>
    <s v="Daily Sales Import"/>
    <n v="-448.30650000000003"/>
    <n v="448.30650000000003"/>
    <x v="2"/>
    <s v="2220"/>
    <s v="000"/>
    <x v="9"/>
    <x v="1"/>
  </r>
  <r>
    <d v="2012-07-26T00:00:00"/>
    <s v="018-2230-000"/>
    <s v="Wine Sales"/>
    <n v="38.625500000000002"/>
    <n v="0"/>
    <s v="Daily Sales Import"/>
    <n v="-38.625500000000002"/>
    <n v="38.625500000000002"/>
    <x v="2"/>
    <s v="2230"/>
    <s v="000"/>
    <x v="9"/>
    <x v="1"/>
  </r>
  <r>
    <d v="2012-07-27T00:00:00"/>
    <s v="018-2100-000"/>
    <s v="Food Sales"/>
    <n v="10551.325199999999"/>
    <n v="0"/>
    <s v="Daily Sales Import"/>
    <n v="-10551.325199999999"/>
    <n v="10551.325199999999"/>
    <x v="2"/>
    <s v="2100"/>
    <s v="000"/>
    <x v="9"/>
    <x v="1"/>
  </r>
  <r>
    <d v="2012-07-27T00:00:00"/>
    <s v="018-2210-000"/>
    <s v="Liquor Sales"/>
    <n v="1807.5215000000001"/>
    <n v="0"/>
    <s v="Daily Sales Import"/>
    <n v="-1807.5215000000001"/>
    <n v="1807.5215000000001"/>
    <x v="2"/>
    <s v="2210"/>
    <s v="000"/>
    <x v="9"/>
    <x v="1"/>
  </r>
  <r>
    <d v="2012-07-27T00:00:00"/>
    <s v="018-2220-000"/>
    <s v="Beer Sales"/>
    <n v="821.04"/>
    <n v="0"/>
    <s v="Daily Sales Import"/>
    <n v="-821.04"/>
    <n v="821.04"/>
    <x v="2"/>
    <s v="2220"/>
    <s v="000"/>
    <x v="9"/>
    <x v="1"/>
  </r>
  <r>
    <d v="2012-07-27T00:00:00"/>
    <s v="018-2230-000"/>
    <s v="Wine Sales"/>
    <n v="95.004000000000019"/>
    <n v="0"/>
    <s v="Daily Sales Import"/>
    <n v="-95.004000000000019"/>
    <n v="95.004000000000019"/>
    <x v="2"/>
    <s v="2230"/>
    <s v="000"/>
    <x v="9"/>
    <x v="1"/>
  </r>
  <r>
    <d v="2012-07-28T00:00:00"/>
    <s v="018-2100-000"/>
    <s v="Food Sales"/>
    <n v="13903.279999999999"/>
    <n v="0"/>
    <s v="Daily Sales Import"/>
    <n v="-13903.279999999999"/>
    <n v="13903.279999999999"/>
    <x v="2"/>
    <s v="2100"/>
    <s v="000"/>
    <x v="9"/>
    <x v="1"/>
  </r>
  <r>
    <d v="2012-07-28T00:00:00"/>
    <s v="018-2210-000"/>
    <s v="Liquor Sales"/>
    <n v="2685.8799999999997"/>
    <n v="0"/>
    <s v="Daily Sales Import"/>
    <n v="-2685.8799999999997"/>
    <n v="2685.8799999999997"/>
    <x v="2"/>
    <s v="2210"/>
    <s v="000"/>
    <x v="9"/>
    <x v="1"/>
  </r>
  <r>
    <d v="2012-07-28T00:00:00"/>
    <s v="018-2220-000"/>
    <s v="Beer Sales"/>
    <n v="385.315"/>
    <n v="0"/>
    <s v="Daily Sales Import"/>
    <n v="-385.315"/>
    <n v="385.315"/>
    <x v="2"/>
    <s v="2220"/>
    <s v="000"/>
    <x v="9"/>
    <x v="1"/>
  </r>
  <r>
    <d v="2012-07-28T00:00:00"/>
    <s v="018-2230-000"/>
    <s v="Wine Sales"/>
    <n v="75.890999999999991"/>
    <n v="0"/>
    <s v="Daily Sales Import"/>
    <n v="-75.890999999999991"/>
    <n v="75.890999999999991"/>
    <x v="2"/>
    <s v="2230"/>
    <s v="000"/>
    <x v="9"/>
    <x v="1"/>
  </r>
  <r>
    <d v="2012-07-29T00:00:00"/>
    <s v="018-2100-000"/>
    <s v="Food Sales"/>
    <n v="7422.8220000000001"/>
    <n v="0"/>
    <s v="Daily Sales Import"/>
    <n v="-7422.8220000000001"/>
    <n v="7422.8220000000001"/>
    <x v="2"/>
    <s v="2100"/>
    <s v="000"/>
    <x v="9"/>
    <x v="1"/>
  </r>
  <r>
    <d v="2012-07-29T00:00:00"/>
    <s v="018-2210-000"/>
    <s v="Liquor Sales"/>
    <n v="1083.7450000000001"/>
    <n v="0"/>
    <s v="Daily Sales Import"/>
    <n v="-1083.7450000000001"/>
    <n v="1083.7450000000001"/>
    <x v="2"/>
    <s v="2210"/>
    <s v="000"/>
    <x v="9"/>
    <x v="1"/>
  </r>
  <r>
    <d v="2012-07-29T00:00:00"/>
    <s v="018-2220-000"/>
    <s v="Beer Sales"/>
    <n v="367.49700000000001"/>
    <n v="0"/>
    <s v="Daily Sales Import"/>
    <n v="-367.49700000000001"/>
    <n v="367.49700000000001"/>
    <x v="2"/>
    <s v="2220"/>
    <s v="000"/>
    <x v="9"/>
    <x v="1"/>
  </r>
  <r>
    <d v="2012-07-29T00:00:00"/>
    <s v="018-2230-000"/>
    <s v="Wine Sales"/>
    <n v="51.611000000000004"/>
    <n v="0"/>
    <s v="Daily Sales Import"/>
    <n v="-51.611000000000004"/>
    <n v="51.611000000000004"/>
    <x v="2"/>
    <s v="2230"/>
    <s v="000"/>
    <x v="9"/>
    <x v="1"/>
  </r>
  <r>
    <d v="2012-07-30T00:00:00"/>
    <s v="016-2100-000"/>
    <s v="Food Sales"/>
    <n v="3370.0211999999997"/>
    <n v="0"/>
    <s v="Daily Sales Import"/>
    <n v="-3370.0211999999997"/>
    <n v="3370.0211999999997"/>
    <x v="0"/>
    <s v="2100"/>
    <s v="000"/>
    <x v="9"/>
    <x v="1"/>
  </r>
  <r>
    <d v="2012-07-30T00:00:00"/>
    <s v="016-2210-000"/>
    <s v="Liquor Sales"/>
    <n v="553.11300000000006"/>
    <n v="0"/>
    <s v="Daily Sales Import"/>
    <n v="-553.11300000000006"/>
    <n v="553.11300000000006"/>
    <x v="0"/>
    <s v="2210"/>
    <s v="000"/>
    <x v="9"/>
    <x v="1"/>
  </r>
  <r>
    <d v="2012-07-30T00:00:00"/>
    <s v="016-2220-000"/>
    <s v="Beer Sales"/>
    <n v="175.98749999999998"/>
    <n v="0"/>
    <s v="Daily Sales Import"/>
    <n v="-175.98749999999998"/>
    <n v="175.98749999999998"/>
    <x v="0"/>
    <s v="2220"/>
    <s v="000"/>
    <x v="9"/>
    <x v="1"/>
  </r>
  <r>
    <d v="2012-07-30T00:00:00"/>
    <s v="016-2230-000"/>
    <s v="Wine Sales"/>
    <n v="140.55599999999998"/>
    <n v="0"/>
    <s v="Daily Sales Import"/>
    <n v="-140.55599999999998"/>
    <n v="140.55599999999998"/>
    <x v="0"/>
    <s v="2230"/>
    <s v="000"/>
    <x v="9"/>
    <x v="1"/>
  </r>
  <r>
    <d v="2012-07-31T00:00:00"/>
    <s v="016-2100-000"/>
    <s v="Food Sales"/>
    <n v="4577.4560000000001"/>
    <n v="0"/>
    <s v="Daily Sales Import"/>
    <n v="-4577.4560000000001"/>
    <n v="4577.4560000000001"/>
    <x v="0"/>
    <s v="2100"/>
    <s v="000"/>
    <x v="9"/>
    <x v="1"/>
  </r>
  <r>
    <d v="2012-07-31T00:00:00"/>
    <s v="016-2210-000"/>
    <s v="Liquor Sales"/>
    <n v="2534.6000000000004"/>
    <n v="0"/>
    <s v="Daily Sales Import"/>
    <n v="-2534.6000000000004"/>
    <n v="2534.6000000000004"/>
    <x v="0"/>
    <s v="2210"/>
    <s v="000"/>
    <x v="9"/>
    <x v="1"/>
  </r>
  <r>
    <d v="2012-07-31T00:00:00"/>
    <s v="016-2220-000"/>
    <s v="Beer Sales"/>
    <n v="494.17860000000007"/>
    <n v="0"/>
    <s v="Daily Sales Import"/>
    <n v="-494.17860000000007"/>
    <n v="494.17860000000007"/>
    <x v="0"/>
    <s v="2220"/>
    <s v="000"/>
    <x v="9"/>
    <x v="1"/>
  </r>
  <r>
    <d v="2012-07-31T00:00:00"/>
    <s v="016-2230-000"/>
    <s v="Wine Sales"/>
    <n v="142.10350000000003"/>
    <n v="0"/>
    <s v="Daily Sales Import"/>
    <n v="-142.10350000000003"/>
    <n v="142.10350000000003"/>
    <x v="0"/>
    <s v="2230"/>
    <s v="000"/>
    <x v="9"/>
    <x v="1"/>
  </r>
  <r>
    <d v="2012-08-01T00:00:00"/>
    <s v="016-2100-000"/>
    <s v="Food Sales"/>
    <n v="3260.9265000000005"/>
    <n v="0"/>
    <s v="Daily Sales Import"/>
    <n v="-3260.9265000000005"/>
    <n v="3260.9265000000005"/>
    <x v="0"/>
    <s v="2100"/>
    <s v="000"/>
    <x v="10"/>
    <x v="1"/>
  </r>
  <r>
    <d v="2012-08-01T00:00:00"/>
    <s v="016-2210-000"/>
    <s v="Liquor Sales"/>
    <n v="1054.0620000000001"/>
    <n v="0"/>
    <s v="Daily Sales Import"/>
    <n v="-1054.0620000000001"/>
    <n v="1054.0620000000001"/>
    <x v="0"/>
    <s v="2210"/>
    <s v="000"/>
    <x v="10"/>
    <x v="1"/>
  </r>
  <r>
    <d v="2012-08-01T00:00:00"/>
    <s v="016-2220-000"/>
    <s v="Beer Sales"/>
    <n v="174.804"/>
    <n v="0"/>
    <s v="Daily Sales Import"/>
    <n v="-174.804"/>
    <n v="174.804"/>
    <x v="0"/>
    <s v="2220"/>
    <s v="000"/>
    <x v="10"/>
    <x v="1"/>
  </r>
  <r>
    <d v="2012-08-01T00:00:00"/>
    <s v="016-2230-000"/>
    <s v="Wine Sales"/>
    <n v="79.264799999999994"/>
    <n v="0"/>
    <s v="Daily Sales Import"/>
    <n v="-79.264799999999994"/>
    <n v="79.264799999999994"/>
    <x v="0"/>
    <s v="2230"/>
    <s v="000"/>
    <x v="10"/>
    <x v="1"/>
  </r>
  <r>
    <d v="2012-08-02T00:00:00"/>
    <s v="016-2100-000"/>
    <s v="Food Sales"/>
    <n v="2467.413"/>
    <n v="0"/>
    <s v="Daily Sales Import"/>
    <n v="-2467.413"/>
    <n v="2467.413"/>
    <x v="0"/>
    <s v="2100"/>
    <s v="000"/>
    <x v="10"/>
    <x v="1"/>
  </r>
  <r>
    <d v="2012-08-02T00:00:00"/>
    <s v="016-2210-000"/>
    <s v="Liquor Sales"/>
    <n v="846.28449999999998"/>
    <n v="0"/>
    <s v="Daily Sales Import"/>
    <n v="-846.28449999999998"/>
    <n v="846.28449999999998"/>
    <x v="0"/>
    <s v="2210"/>
    <s v="000"/>
    <x v="10"/>
    <x v="1"/>
  </r>
  <r>
    <d v="2012-08-02T00:00:00"/>
    <s v="016-2220-000"/>
    <s v="Beer Sales"/>
    <n v="56.595000000000006"/>
    <n v="0"/>
    <s v="Daily Sales Import"/>
    <n v="-56.595000000000006"/>
    <n v="56.595000000000006"/>
    <x v="0"/>
    <s v="2220"/>
    <s v="000"/>
    <x v="10"/>
    <x v="1"/>
  </r>
  <r>
    <d v="2012-08-02T00:00:00"/>
    <s v="016-2230-000"/>
    <s v="Wine Sales"/>
    <n v="18.154499999999999"/>
    <n v="0"/>
    <s v="Daily Sales Import"/>
    <n v="-18.154499999999999"/>
    <n v="18.154499999999999"/>
    <x v="0"/>
    <s v="2230"/>
    <s v="000"/>
    <x v="10"/>
    <x v="1"/>
  </r>
  <r>
    <d v="2012-08-03T00:00:00"/>
    <s v="016-2100-000"/>
    <s v="Food Sales"/>
    <n v="5487.9632999999994"/>
    <n v="0"/>
    <s v="Daily Sales Import"/>
    <n v="-5487.9632999999994"/>
    <n v="5487.9632999999994"/>
    <x v="0"/>
    <s v="2100"/>
    <s v="000"/>
    <x v="10"/>
    <x v="1"/>
  </r>
  <r>
    <d v="2012-08-03T00:00:00"/>
    <s v="016-2210-000"/>
    <s v="Liquor Sales"/>
    <n v="1794.8519999999999"/>
    <n v="0"/>
    <s v="Daily Sales Import"/>
    <n v="-1794.8519999999999"/>
    <n v="1794.8519999999999"/>
    <x v="0"/>
    <s v="2210"/>
    <s v="000"/>
    <x v="10"/>
    <x v="1"/>
  </r>
  <r>
    <d v="2012-08-03T00:00:00"/>
    <s v="016-2220-000"/>
    <s v="Beer Sales"/>
    <n v="591.18150000000003"/>
    <n v="0"/>
    <s v="Daily Sales Import"/>
    <n v="-591.18150000000003"/>
    <n v="591.18150000000003"/>
    <x v="0"/>
    <s v="2220"/>
    <s v="000"/>
    <x v="10"/>
    <x v="1"/>
  </r>
  <r>
    <d v="2012-08-03T00:00:00"/>
    <s v="016-2230-000"/>
    <s v="Wine Sales"/>
    <n v="204.732"/>
    <n v="0"/>
    <s v="Daily Sales Import"/>
    <n v="-204.732"/>
    <n v="204.732"/>
    <x v="0"/>
    <s v="2230"/>
    <s v="000"/>
    <x v="10"/>
    <x v="1"/>
  </r>
  <r>
    <d v="2012-08-04T00:00:00"/>
    <s v="016-2100-000"/>
    <s v="Food Sales"/>
    <n v="6579.3500999999997"/>
    <n v="0"/>
    <s v="Daily Sales Import"/>
    <n v="-6579.3500999999997"/>
    <n v="6579.3500999999997"/>
    <x v="0"/>
    <s v="2100"/>
    <s v="000"/>
    <x v="10"/>
    <x v="1"/>
  </r>
  <r>
    <d v="2012-08-04T00:00:00"/>
    <s v="016-2210-000"/>
    <s v="Liquor Sales"/>
    <n v="1986.6869999999999"/>
    <n v="0"/>
    <s v="Daily Sales Import"/>
    <n v="-1986.6869999999999"/>
    <n v="1986.6869999999999"/>
    <x v="0"/>
    <s v="2210"/>
    <s v="000"/>
    <x v="10"/>
    <x v="1"/>
  </r>
  <r>
    <d v="2012-08-04T00:00:00"/>
    <s v="016-2220-000"/>
    <s v="Beer Sales"/>
    <n v="523.85969999999998"/>
    <n v="0"/>
    <s v="Daily Sales Import"/>
    <n v="-523.85969999999998"/>
    <n v="523.85969999999998"/>
    <x v="0"/>
    <s v="2220"/>
    <s v="000"/>
    <x v="10"/>
    <x v="1"/>
  </r>
  <r>
    <d v="2012-08-04T00:00:00"/>
    <s v="016-2230-000"/>
    <s v="Wine Sales"/>
    <n v="155.88199999999998"/>
    <n v="0"/>
    <s v="Daily Sales Import"/>
    <n v="-155.88199999999998"/>
    <n v="155.88199999999998"/>
    <x v="0"/>
    <s v="2230"/>
    <s v="000"/>
    <x v="10"/>
    <x v="1"/>
  </r>
  <r>
    <d v="2012-08-05T00:00:00"/>
    <s v="016-2100-000"/>
    <s v="Food Sales"/>
    <n v="4223.9356000000007"/>
    <n v="0"/>
    <s v="Daily Sales Import"/>
    <n v="-4223.9356000000007"/>
    <n v="4223.9356000000007"/>
    <x v="0"/>
    <s v="2100"/>
    <s v="000"/>
    <x v="10"/>
    <x v="1"/>
  </r>
  <r>
    <d v="2012-08-05T00:00:00"/>
    <s v="016-2210-000"/>
    <s v="Liquor Sales"/>
    <n v="1324.0559999999998"/>
    <n v="0"/>
    <s v="Daily Sales Import"/>
    <n v="-1324.0559999999998"/>
    <n v="1324.0559999999998"/>
    <x v="0"/>
    <s v="2210"/>
    <s v="000"/>
    <x v="10"/>
    <x v="1"/>
  </r>
  <r>
    <d v="2012-08-05T00:00:00"/>
    <s v="016-2220-000"/>
    <s v="Beer Sales"/>
    <n v="153.21600000000004"/>
    <n v="0"/>
    <s v="Daily Sales Import"/>
    <n v="-153.21600000000004"/>
    <n v="153.21600000000004"/>
    <x v="0"/>
    <s v="2220"/>
    <s v="000"/>
    <x v="10"/>
    <x v="1"/>
  </r>
  <r>
    <d v="2012-08-05T00:00:00"/>
    <s v="016-2230-000"/>
    <s v="Wine Sales"/>
    <n v="23.997999999999998"/>
    <n v="0"/>
    <s v="Daily Sales Import"/>
    <n v="-23.997999999999998"/>
    <n v="23.997999999999998"/>
    <x v="0"/>
    <s v="2230"/>
    <s v="000"/>
    <x v="10"/>
    <x v="1"/>
  </r>
  <r>
    <d v="2012-07-30T00:00:00"/>
    <s v="017-2100-000"/>
    <s v="Food Sales"/>
    <n v="3639.5226000000002"/>
    <n v="0"/>
    <s v="Daily Sales Import"/>
    <n v="-3639.5226000000002"/>
    <n v="3639.5226000000002"/>
    <x v="1"/>
    <s v="2100"/>
    <s v="000"/>
    <x v="9"/>
    <x v="1"/>
  </r>
  <r>
    <d v="2012-07-30T00:00:00"/>
    <s v="017-2210-000"/>
    <s v="Liquor Sales"/>
    <n v="905.25000000000011"/>
    <n v="0"/>
    <s v="Daily Sales Import"/>
    <n v="-905.25000000000011"/>
    <n v="905.25000000000011"/>
    <x v="1"/>
    <s v="2210"/>
    <s v="000"/>
    <x v="9"/>
    <x v="1"/>
  </r>
  <r>
    <d v="2012-07-30T00:00:00"/>
    <s v="017-2220-000"/>
    <s v="Beer Sales"/>
    <n v="227.01"/>
    <n v="0"/>
    <s v="Daily Sales Import"/>
    <n v="-227.01"/>
    <n v="227.01"/>
    <x v="1"/>
    <s v="2220"/>
    <s v="000"/>
    <x v="9"/>
    <x v="1"/>
  </r>
  <r>
    <d v="2012-07-30T00:00:00"/>
    <s v="017-2230-000"/>
    <s v="Wine Sales"/>
    <n v="58.025999999999996"/>
    <n v="0"/>
    <s v="Daily Sales Import"/>
    <n v="-58.025999999999996"/>
    <n v="58.025999999999996"/>
    <x v="1"/>
    <s v="2230"/>
    <s v="000"/>
    <x v="9"/>
    <x v="1"/>
  </r>
  <r>
    <d v="2012-07-31T00:00:00"/>
    <s v="017-2100-000"/>
    <s v="Food Sales"/>
    <n v="5580.4800999999998"/>
    <n v="0"/>
    <s v="Daily Sales Import"/>
    <n v="-5580.4800999999998"/>
    <n v="5580.4800999999998"/>
    <x v="1"/>
    <s v="2100"/>
    <s v="000"/>
    <x v="9"/>
    <x v="1"/>
  </r>
  <r>
    <d v="2012-07-31T00:00:00"/>
    <s v="017-2210-000"/>
    <s v="Liquor Sales"/>
    <n v="1145.1445000000001"/>
    <n v="0"/>
    <s v="Daily Sales Import"/>
    <n v="-1145.1445000000001"/>
    <n v="1145.1445000000001"/>
    <x v="1"/>
    <s v="2210"/>
    <s v="000"/>
    <x v="9"/>
    <x v="1"/>
  </r>
  <r>
    <d v="2012-07-31T00:00:00"/>
    <s v="017-2220-000"/>
    <s v="Beer Sales"/>
    <n v="223.3"/>
    <n v="0"/>
    <s v="Daily Sales Import"/>
    <n v="-223.3"/>
    <n v="223.3"/>
    <x v="1"/>
    <s v="2220"/>
    <s v="000"/>
    <x v="9"/>
    <x v="1"/>
  </r>
  <r>
    <d v="2012-07-31T00:00:00"/>
    <s v="017-2230-000"/>
    <s v="Wine Sales"/>
    <n v="72.189000000000007"/>
    <n v="0"/>
    <s v="Daily Sales Import"/>
    <n v="-72.189000000000007"/>
    <n v="72.189000000000007"/>
    <x v="1"/>
    <s v="2230"/>
    <s v="000"/>
    <x v="9"/>
    <x v="1"/>
  </r>
  <r>
    <d v="2012-08-01T00:00:00"/>
    <s v="017-2100-000"/>
    <s v="Food Sales"/>
    <n v="7644.2168000000001"/>
    <n v="0"/>
    <s v="Daily Sales Import"/>
    <n v="-7644.2168000000001"/>
    <n v="7644.2168000000001"/>
    <x v="1"/>
    <s v="2100"/>
    <s v="000"/>
    <x v="10"/>
    <x v="1"/>
  </r>
  <r>
    <d v="2012-08-01T00:00:00"/>
    <s v="017-2210-000"/>
    <s v="Liquor Sales"/>
    <n v="1782.9519999999998"/>
    <n v="0"/>
    <s v="Daily Sales Import"/>
    <n v="-1782.9519999999998"/>
    <n v="1782.9519999999998"/>
    <x v="1"/>
    <s v="2210"/>
    <s v="000"/>
    <x v="10"/>
    <x v="1"/>
  </r>
  <r>
    <d v="2012-08-01T00:00:00"/>
    <s v="017-2220-000"/>
    <s v="Beer Sales"/>
    <n v="581.59"/>
    <n v="0"/>
    <s v="Daily Sales Import"/>
    <n v="-581.59"/>
    <n v="581.59"/>
    <x v="1"/>
    <s v="2220"/>
    <s v="000"/>
    <x v="10"/>
    <x v="1"/>
  </r>
  <r>
    <d v="2012-08-01T00:00:00"/>
    <s v="017-2230-000"/>
    <s v="Wine Sales"/>
    <n v="79.952999999999989"/>
    <n v="0"/>
    <s v="Daily Sales Import"/>
    <n v="-79.952999999999989"/>
    <n v="79.952999999999989"/>
    <x v="1"/>
    <s v="2230"/>
    <s v="000"/>
    <x v="10"/>
    <x v="1"/>
  </r>
  <r>
    <d v="2012-08-02T00:00:00"/>
    <s v="017-2100-000"/>
    <s v="Food Sales"/>
    <n v="5065.7046"/>
    <n v="0"/>
    <s v="Daily Sales Import"/>
    <n v="-5065.7046"/>
    <n v="5065.7046"/>
    <x v="1"/>
    <s v="2100"/>
    <s v="000"/>
    <x v="10"/>
    <x v="1"/>
  </r>
  <r>
    <d v="2012-08-02T00:00:00"/>
    <s v="017-2210-000"/>
    <s v="Liquor Sales"/>
    <n v="1590.4449999999999"/>
    <n v="0"/>
    <s v="Daily Sales Import"/>
    <n v="-1590.4449999999999"/>
    <n v="1590.4449999999999"/>
    <x v="1"/>
    <s v="2210"/>
    <s v="000"/>
    <x v="10"/>
    <x v="1"/>
  </r>
  <r>
    <d v="2012-08-02T00:00:00"/>
    <s v="017-2220-000"/>
    <s v="Beer Sales"/>
    <n v="399.73500000000001"/>
    <n v="0"/>
    <s v="Daily Sales Import"/>
    <n v="-399.73500000000001"/>
    <n v="399.73500000000001"/>
    <x v="1"/>
    <s v="2220"/>
    <s v="000"/>
    <x v="10"/>
    <x v="1"/>
  </r>
  <r>
    <d v="2012-08-02T00:00:00"/>
    <s v="017-2230-000"/>
    <s v="Wine Sales"/>
    <n v="189.99900000000002"/>
    <n v="0"/>
    <s v="Daily Sales Import"/>
    <n v="-189.99900000000002"/>
    <n v="189.99900000000002"/>
    <x v="1"/>
    <s v="2230"/>
    <s v="000"/>
    <x v="10"/>
    <x v="1"/>
  </r>
  <r>
    <d v="2012-08-03T00:00:00"/>
    <s v="017-2100-000"/>
    <s v="Food Sales"/>
    <n v="5978.442"/>
    <n v="0"/>
    <s v="Daily Sales Import"/>
    <n v="-5978.442"/>
    <n v="5978.442"/>
    <x v="1"/>
    <s v="2100"/>
    <s v="000"/>
    <x v="10"/>
    <x v="1"/>
  </r>
  <r>
    <d v="2012-08-03T00:00:00"/>
    <s v="017-2210-000"/>
    <s v="Liquor Sales"/>
    <n v="2803.7745"/>
    <n v="0"/>
    <s v="Daily Sales Import"/>
    <n v="-2803.7745"/>
    <n v="2803.7745"/>
    <x v="1"/>
    <s v="2210"/>
    <s v="000"/>
    <x v="10"/>
    <x v="1"/>
  </r>
  <r>
    <d v="2012-08-03T00:00:00"/>
    <s v="017-2220-000"/>
    <s v="Beer Sales"/>
    <n v="275.5"/>
    <n v="0"/>
    <s v="Daily Sales Import"/>
    <n v="-275.5"/>
    <n v="275.5"/>
    <x v="1"/>
    <s v="2220"/>
    <s v="000"/>
    <x v="10"/>
    <x v="1"/>
  </r>
  <r>
    <d v="2012-08-03T00:00:00"/>
    <s v="017-2230-000"/>
    <s v="Wine Sales"/>
    <n v="135.93799999999999"/>
    <n v="0"/>
    <s v="Daily Sales Import"/>
    <n v="-135.93799999999999"/>
    <n v="135.93799999999999"/>
    <x v="1"/>
    <s v="2230"/>
    <s v="000"/>
    <x v="10"/>
    <x v="1"/>
  </r>
  <r>
    <d v="2012-08-04T00:00:00"/>
    <s v="017-2100-000"/>
    <s v="Food Sales"/>
    <n v="6283.9348999999993"/>
    <n v="0"/>
    <s v="Daily Sales Import"/>
    <n v="-6283.9348999999993"/>
    <n v="6283.9348999999993"/>
    <x v="1"/>
    <s v="2100"/>
    <s v="000"/>
    <x v="10"/>
    <x v="1"/>
  </r>
  <r>
    <d v="2012-08-04T00:00:00"/>
    <s v="017-2210-000"/>
    <s v="Liquor Sales"/>
    <n v="1355.3095000000001"/>
    <n v="0"/>
    <s v="Daily Sales Import"/>
    <n v="-1355.3095000000001"/>
    <n v="1355.3095000000001"/>
    <x v="1"/>
    <s v="2210"/>
    <s v="000"/>
    <x v="10"/>
    <x v="1"/>
  </r>
  <r>
    <d v="2012-08-04T00:00:00"/>
    <s v="017-2220-000"/>
    <s v="Beer Sales"/>
    <n v="391.565"/>
    <n v="0"/>
    <s v="Daily Sales Import"/>
    <n v="-391.565"/>
    <n v="391.565"/>
    <x v="1"/>
    <s v="2220"/>
    <s v="000"/>
    <x v="10"/>
    <x v="1"/>
  </r>
  <r>
    <d v="2012-08-04T00:00:00"/>
    <s v="017-2230-000"/>
    <s v="Wine Sales"/>
    <n v="63.755999999999993"/>
    <n v="0"/>
    <s v="Daily Sales Import"/>
    <n v="-63.755999999999993"/>
    <n v="63.755999999999993"/>
    <x v="1"/>
    <s v="2230"/>
    <s v="000"/>
    <x v="10"/>
    <x v="1"/>
  </r>
  <r>
    <d v="2012-08-05T00:00:00"/>
    <s v="017-2100-000"/>
    <s v="Food Sales"/>
    <n v="3570.6440000000002"/>
    <n v="0"/>
    <s v="Daily Sales Import"/>
    <n v="-3570.6440000000002"/>
    <n v="3570.6440000000002"/>
    <x v="1"/>
    <s v="2100"/>
    <s v="000"/>
    <x v="10"/>
    <x v="1"/>
  </r>
  <r>
    <d v="2012-08-05T00:00:00"/>
    <s v="017-2210-000"/>
    <s v="Liquor Sales"/>
    <n v="762.32299999999987"/>
    <n v="0"/>
    <s v="Daily Sales Import"/>
    <n v="-762.32299999999987"/>
    <n v="762.32299999999987"/>
    <x v="1"/>
    <s v="2210"/>
    <s v="000"/>
    <x v="10"/>
    <x v="1"/>
  </r>
  <r>
    <d v="2012-08-05T00:00:00"/>
    <s v="017-2220-000"/>
    <s v="Beer Sales"/>
    <n v="239.70000000000002"/>
    <n v="0"/>
    <s v="Daily Sales Import"/>
    <n v="-239.70000000000002"/>
    <n v="239.70000000000002"/>
    <x v="1"/>
    <s v="2220"/>
    <s v="000"/>
    <x v="10"/>
    <x v="1"/>
  </r>
  <r>
    <d v="2012-08-05T00:00:00"/>
    <s v="017-2230-000"/>
    <s v="Wine Sales"/>
    <n v="50.75"/>
    <n v="0"/>
    <s v="Daily Sales Import"/>
    <n v="-50.75"/>
    <n v="50.75"/>
    <x v="1"/>
    <s v="2230"/>
    <s v="000"/>
    <x v="10"/>
    <x v="1"/>
  </r>
  <r>
    <d v="2012-07-30T00:00:00"/>
    <s v="018-2100-000"/>
    <s v="Food Sales"/>
    <n v="3520.4560000000001"/>
    <n v="0"/>
    <s v="Daily Sales Import"/>
    <n v="-3520.4560000000001"/>
    <n v="3520.4560000000001"/>
    <x v="2"/>
    <s v="2100"/>
    <s v="000"/>
    <x v="9"/>
    <x v="1"/>
  </r>
  <r>
    <d v="2012-07-30T00:00:00"/>
    <s v="018-2210-000"/>
    <s v="Liquor Sales"/>
    <n v="574.82650000000001"/>
    <n v="0"/>
    <s v="Daily Sales Import"/>
    <n v="-574.82650000000001"/>
    <n v="574.82650000000001"/>
    <x v="2"/>
    <s v="2210"/>
    <s v="000"/>
    <x v="9"/>
    <x v="1"/>
  </r>
  <r>
    <d v="2012-07-30T00:00:00"/>
    <s v="018-2220-000"/>
    <s v="Beer Sales"/>
    <n v="174.62449999999998"/>
    <n v="0"/>
    <s v="Daily Sales Import"/>
    <n v="-174.62449999999998"/>
    <n v="174.62449999999998"/>
    <x v="2"/>
    <s v="2220"/>
    <s v="000"/>
    <x v="9"/>
    <x v="1"/>
  </r>
  <r>
    <d v="2012-07-30T00:00:00"/>
    <s v="018-2230-000"/>
    <s v="Wine Sales"/>
    <n v="47.400000000000006"/>
    <n v="0"/>
    <s v="Daily Sales Import"/>
    <n v="-47.400000000000006"/>
    <n v="47.400000000000006"/>
    <x v="2"/>
    <s v="2230"/>
    <s v="000"/>
    <x v="9"/>
    <x v="1"/>
  </r>
  <r>
    <d v="2012-07-31T00:00:00"/>
    <s v="018-2100-000"/>
    <s v="Food Sales"/>
    <n v="4105.4080000000004"/>
    <n v="0"/>
    <s v="Daily Sales Import"/>
    <n v="-4105.4080000000004"/>
    <n v="4105.4080000000004"/>
    <x v="2"/>
    <s v="2100"/>
    <s v="000"/>
    <x v="9"/>
    <x v="1"/>
  </r>
  <r>
    <d v="2012-07-31T00:00:00"/>
    <s v="018-2210-000"/>
    <s v="Liquor Sales"/>
    <n v="1320.8010000000002"/>
    <n v="0"/>
    <s v="Daily Sales Import"/>
    <n v="-1320.8010000000002"/>
    <n v="1320.8010000000002"/>
    <x v="2"/>
    <s v="2210"/>
    <s v="000"/>
    <x v="9"/>
    <x v="1"/>
  </r>
  <r>
    <d v="2012-07-31T00:00:00"/>
    <s v="018-2220-000"/>
    <s v="Beer Sales"/>
    <n v="189.92600000000002"/>
    <n v="0"/>
    <s v="Daily Sales Import"/>
    <n v="-189.92600000000002"/>
    <n v="189.92600000000002"/>
    <x v="2"/>
    <s v="2220"/>
    <s v="000"/>
    <x v="9"/>
    <x v="1"/>
  </r>
  <r>
    <d v="2012-07-31T00:00:00"/>
    <s v="018-2230-000"/>
    <s v="Wine Sales"/>
    <n v="28.924000000000003"/>
    <n v="0"/>
    <s v="Daily Sales Import"/>
    <n v="-28.924000000000003"/>
    <n v="28.924000000000003"/>
    <x v="2"/>
    <s v="2230"/>
    <s v="000"/>
    <x v="9"/>
    <x v="1"/>
  </r>
  <r>
    <d v="2012-08-01T00:00:00"/>
    <s v="018-2100-000"/>
    <s v="Food Sales"/>
    <n v="5899.8938000000007"/>
    <n v="0"/>
    <s v="Daily Sales Import"/>
    <n v="-5899.8938000000007"/>
    <n v="5899.8938000000007"/>
    <x v="2"/>
    <s v="2100"/>
    <s v="000"/>
    <x v="10"/>
    <x v="1"/>
  </r>
  <r>
    <d v="2012-08-01T00:00:00"/>
    <s v="018-2210-000"/>
    <s v="Liquor Sales"/>
    <n v="633.42500000000007"/>
    <n v="0"/>
    <s v="Daily Sales Import"/>
    <n v="-633.42500000000007"/>
    <n v="633.42500000000007"/>
    <x v="2"/>
    <s v="2210"/>
    <s v="000"/>
    <x v="10"/>
    <x v="1"/>
  </r>
  <r>
    <d v="2012-08-01T00:00:00"/>
    <s v="018-2220-000"/>
    <s v="Beer Sales"/>
    <n v="222.71200000000002"/>
    <n v="0"/>
    <s v="Daily Sales Import"/>
    <n v="-222.71200000000002"/>
    <n v="222.71200000000002"/>
    <x v="2"/>
    <s v="2220"/>
    <s v="000"/>
    <x v="10"/>
    <x v="1"/>
  </r>
  <r>
    <d v="2012-08-01T00:00:00"/>
    <s v="018-2230-000"/>
    <s v="Wine Sales"/>
    <n v="41.754999999999995"/>
    <n v="0"/>
    <s v="Daily Sales Import"/>
    <n v="-41.754999999999995"/>
    <n v="41.754999999999995"/>
    <x v="2"/>
    <s v="2230"/>
    <s v="000"/>
    <x v="10"/>
    <x v="1"/>
  </r>
  <r>
    <d v="2012-08-02T00:00:00"/>
    <s v="018-2100-000"/>
    <s v="Food Sales"/>
    <n v="5428.6100000000006"/>
    <n v="0"/>
    <s v="Daily Sales Import"/>
    <n v="-5428.6100000000006"/>
    <n v="5428.6100000000006"/>
    <x v="2"/>
    <s v="2100"/>
    <s v="000"/>
    <x v="10"/>
    <x v="1"/>
  </r>
  <r>
    <d v="2012-08-02T00:00:00"/>
    <s v="018-2210-000"/>
    <s v="Liquor Sales"/>
    <n v="831.65600000000006"/>
    <n v="0"/>
    <s v="Daily Sales Import"/>
    <n v="-831.65600000000006"/>
    <n v="831.65600000000006"/>
    <x v="2"/>
    <s v="2210"/>
    <s v="000"/>
    <x v="10"/>
    <x v="1"/>
  </r>
  <r>
    <d v="2012-08-02T00:00:00"/>
    <s v="018-2220-000"/>
    <s v="Beer Sales"/>
    <n v="331.12799999999999"/>
    <n v="0"/>
    <s v="Daily Sales Import"/>
    <n v="-331.12799999999999"/>
    <n v="331.12799999999999"/>
    <x v="2"/>
    <s v="2220"/>
    <s v="000"/>
    <x v="10"/>
    <x v="1"/>
  </r>
  <r>
    <d v="2012-08-02T00:00:00"/>
    <s v="018-2230-000"/>
    <s v="Wine Sales"/>
    <n v="11.4245"/>
    <n v="0"/>
    <s v="Daily Sales Import"/>
    <n v="-11.4245"/>
    <n v="11.4245"/>
    <x v="2"/>
    <s v="2230"/>
    <s v="000"/>
    <x v="10"/>
    <x v="1"/>
  </r>
  <r>
    <d v="2012-08-03T00:00:00"/>
    <s v="018-2100-000"/>
    <s v="Food Sales"/>
    <n v="12184.0695"/>
    <n v="0"/>
    <s v="Daily Sales Import"/>
    <n v="-12184.0695"/>
    <n v="12184.0695"/>
    <x v="2"/>
    <s v="2100"/>
    <s v="000"/>
    <x v="10"/>
    <x v="1"/>
  </r>
  <r>
    <d v="2012-08-03T00:00:00"/>
    <s v="018-2210-000"/>
    <s v="Liquor Sales"/>
    <n v="2242.1439999999998"/>
    <n v="0"/>
    <s v="Daily Sales Import"/>
    <n v="-2242.1439999999998"/>
    <n v="2242.1439999999998"/>
    <x v="2"/>
    <s v="2210"/>
    <s v="000"/>
    <x v="10"/>
    <x v="1"/>
  </r>
  <r>
    <d v="2012-08-03T00:00:00"/>
    <s v="018-2220-000"/>
    <s v="Beer Sales"/>
    <n v="510.69599999999997"/>
    <n v="0"/>
    <s v="Daily Sales Import"/>
    <n v="-510.69599999999997"/>
    <n v="510.69599999999997"/>
    <x v="2"/>
    <s v="2220"/>
    <s v="000"/>
    <x v="10"/>
    <x v="1"/>
  </r>
  <r>
    <d v="2012-08-03T00:00:00"/>
    <s v="018-2230-000"/>
    <s v="Wine Sales"/>
    <n v="81.244"/>
    <n v="0"/>
    <s v="Daily Sales Import"/>
    <n v="-81.244"/>
    <n v="81.244"/>
    <x v="2"/>
    <s v="2230"/>
    <s v="000"/>
    <x v="10"/>
    <x v="1"/>
  </r>
  <r>
    <d v="2012-08-04T00:00:00"/>
    <s v="018-2100-000"/>
    <s v="Food Sales"/>
    <n v="10685.949500000001"/>
    <n v="0"/>
    <s v="Daily Sales Import"/>
    <n v="-10685.949500000001"/>
    <n v="10685.949500000001"/>
    <x v="2"/>
    <s v="2100"/>
    <s v="000"/>
    <x v="10"/>
    <x v="1"/>
  </r>
  <r>
    <d v="2012-08-04T00:00:00"/>
    <s v="018-2210-000"/>
    <s v="Liquor Sales"/>
    <n v="3475.9215000000004"/>
    <n v="0"/>
    <s v="Daily Sales Import"/>
    <n v="-3475.9215000000004"/>
    <n v="3475.9215000000004"/>
    <x v="2"/>
    <s v="2210"/>
    <s v="000"/>
    <x v="10"/>
    <x v="1"/>
  </r>
  <r>
    <d v="2012-08-04T00:00:00"/>
    <s v="018-2220-000"/>
    <s v="Beer Sales"/>
    <n v="825.55199999999991"/>
    <n v="0"/>
    <s v="Daily Sales Import"/>
    <n v="-825.55199999999991"/>
    <n v="825.55199999999991"/>
    <x v="2"/>
    <s v="2220"/>
    <s v="000"/>
    <x v="10"/>
    <x v="1"/>
  </r>
  <r>
    <d v="2012-08-04T00:00:00"/>
    <s v="018-2230-000"/>
    <s v="Wine Sales"/>
    <n v="88.44"/>
    <n v="0"/>
    <s v="Daily Sales Import"/>
    <n v="-88.44"/>
    <n v="88.44"/>
    <x v="2"/>
    <s v="2230"/>
    <s v="000"/>
    <x v="10"/>
    <x v="1"/>
  </r>
  <r>
    <d v="2012-08-05T00:00:00"/>
    <s v="018-2100-000"/>
    <s v="Food Sales"/>
    <n v="7021.3450000000003"/>
    <n v="0"/>
    <s v="Daily Sales Import"/>
    <n v="-7021.3450000000003"/>
    <n v="7021.3450000000003"/>
    <x v="2"/>
    <s v="2100"/>
    <s v="000"/>
    <x v="10"/>
    <x v="1"/>
  </r>
  <r>
    <d v="2012-08-05T00:00:00"/>
    <s v="018-2210-000"/>
    <s v="Liquor Sales"/>
    <n v="1395.6670000000001"/>
    <n v="0"/>
    <s v="Daily Sales Import"/>
    <n v="-1395.6670000000001"/>
    <n v="1395.6670000000001"/>
    <x v="2"/>
    <s v="2210"/>
    <s v="000"/>
    <x v="10"/>
    <x v="1"/>
  </r>
  <r>
    <d v="2012-08-05T00:00:00"/>
    <s v="018-2220-000"/>
    <s v="Beer Sales"/>
    <n v="315.68400000000003"/>
    <n v="0"/>
    <s v="Daily Sales Import"/>
    <n v="-315.68400000000003"/>
    <n v="315.68400000000003"/>
    <x v="2"/>
    <s v="2220"/>
    <s v="000"/>
    <x v="10"/>
    <x v="1"/>
  </r>
  <r>
    <d v="2012-08-05T00:00:00"/>
    <s v="018-2230-000"/>
    <s v="Wine Sales"/>
    <n v="44.075000000000003"/>
    <n v="0"/>
    <s v="Daily Sales Import"/>
    <n v="-44.075000000000003"/>
    <n v="44.075000000000003"/>
    <x v="2"/>
    <s v="2230"/>
    <s v="000"/>
    <x v="10"/>
    <x v="1"/>
  </r>
  <r>
    <d v="2012-08-06T00:00:00"/>
    <s v="016-2100-000"/>
    <s v="Food Sales"/>
    <n v="2851.8217"/>
    <n v="0"/>
    <s v="Daily Sales Import"/>
    <n v="-2851.8217"/>
    <n v="2851.8217"/>
    <x v="0"/>
    <s v="2100"/>
    <s v="000"/>
    <x v="10"/>
    <x v="1"/>
  </r>
  <r>
    <d v="2012-08-06T00:00:00"/>
    <s v="016-2210-000"/>
    <s v="Liquor Sales"/>
    <n v="661.47900000000004"/>
    <n v="0"/>
    <s v="Daily Sales Import"/>
    <n v="-661.47900000000004"/>
    <n v="661.47900000000004"/>
    <x v="0"/>
    <s v="2210"/>
    <s v="000"/>
    <x v="10"/>
    <x v="1"/>
  </r>
  <r>
    <d v="2012-08-06T00:00:00"/>
    <s v="016-2220-000"/>
    <s v="Beer Sales"/>
    <n v="61.236000000000004"/>
    <n v="0"/>
    <s v="Daily Sales Import"/>
    <n v="-61.236000000000004"/>
    <n v="61.236000000000004"/>
    <x v="0"/>
    <s v="2220"/>
    <s v="000"/>
    <x v="10"/>
    <x v="1"/>
  </r>
  <r>
    <d v="2012-08-06T00:00:00"/>
    <s v="016-2230-000"/>
    <s v="Wine Sales"/>
    <n v="42.808500000000002"/>
    <n v="0"/>
    <s v="Daily Sales Import"/>
    <n v="-42.808500000000002"/>
    <n v="42.808500000000002"/>
    <x v="0"/>
    <s v="2230"/>
    <s v="000"/>
    <x v="10"/>
    <x v="1"/>
  </r>
  <r>
    <d v="2012-08-07T00:00:00"/>
    <s v="016-2100-000"/>
    <s v="Food Sales"/>
    <n v="4157.9364999999998"/>
    <n v="0"/>
    <s v="Daily Sales Import"/>
    <n v="-4157.9364999999998"/>
    <n v="4157.9364999999998"/>
    <x v="0"/>
    <s v="2100"/>
    <s v="000"/>
    <x v="10"/>
    <x v="1"/>
  </r>
  <r>
    <d v="2012-08-07T00:00:00"/>
    <s v="016-2210-000"/>
    <s v="Liquor Sales"/>
    <n v="1852.48"/>
    <n v="0"/>
    <s v="Daily Sales Import"/>
    <n v="-1852.48"/>
    <n v="1852.48"/>
    <x v="0"/>
    <s v="2210"/>
    <s v="000"/>
    <x v="10"/>
    <x v="1"/>
  </r>
  <r>
    <d v="2012-08-07T00:00:00"/>
    <s v="016-2220-000"/>
    <s v="Beer Sales"/>
    <n v="618.51599999999996"/>
    <n v="0"/>
    <s v="Daily Sales Import"/>
    <n v="-618.51599999999996"/>
    <n v="618.51599999999996"/>
    <x v="0"/>
    <s v="2220"/>
    <s v="000"/>
    <x v="10"/>
    <x v="1"/>
  </r>
  <r>
    <d v="2012-08-07T00:00:00"/>
    <s v="016-2230-000"/>
    <s v="Wine Sales"/>
    <n v="119.59499999999998"/>
    <n v="0"/>
    <s v="Daily Sales Import"/>
    <n v="-119.59499999999998"/>
    <n v="119.59499999999998"/>
    <x v="0"/>
    <s v="2230"/>
    <s v="000"/>
    <x v="10"/>
    <x v="1"/>
  </r>
  <r>
    <d v="2012-08-08T00:00:00"/>
    <s v="016-2100-000"/>
    <s v="Food Sales"/>
    <n v="4385.7773999999999"/>
    <n v="0"/>
    <s v="Daily Sales Import"/>
    <n v="-4385.7773999999999"/>
    <n v="4385.7773999999999"/>
    <x v="0"/>
    <s v="2100"/>
    <s v="000"/>
    <x v="10"/>
    <x v="1"/>
  </r>
  <r>
    <d v="2012-08-08T00:00:00"/>
    <s v="016-2210-000"/>
    <s v="Liquor Sales"/>
    <n v="1256.4974999999999"/>
    <n v="0"/>
    <s v="Daily Sales Import"/>
    <n v="-1256.4974999999999"/>
    <n v="1256.4974999999999"/>
    <x v="0"/>
    <s v="2210"/>
    <s v="000"/>
    <x v="10"/>
    <x v="1"/>
  </r>
  <r>
    <d v="2012-08-08T00:00:00"/>
    <s v="016-2220-000"/>
    <s v="Beer Sales"/>
    <n v="206.33759999999998"/>
    <n v="0"/>
    <s v="Daily Sales Import"/>
    <n v="-206.33759999999998"/>
    <n v="206.33759999999998"/>
    <x v="0"/>
    <s v="2220"/>
    <s v="000"/>
    <x v="10"/>
    <x v="1"/>
  </r>
  <r>
    <d v="2012-08-08T00:00:00"/>
    <s v="016-2230-000"/>
    <s v="Wine Sales"/>
    <n v="122.11199999999999"/>
    <n v="0"/>
    <s v="Daily Sales Import"/>
    <n v="-122.11199999999999"/>
    <n v="122.11199999999999"/>
    <x v="0"/>
    <s v="2230"/>
    <s v="000"/>
    <x v="10"/>
    <x v="1"/>
  </r>
  <r>
    <d v="2012-08-09T00:00:00"/>
    <s v="016-2100-000"/>
    <s v="Food Sales"/>
    <n v="4156.7927999999993"/>
    <n v="0"/>
    <s v="Daily Sales Import"/>
    <n v="-4156.7927999999993"/>
    <n v="4156.7927999999993"/>
    <x v="0"/>
    <s v="2100"/>
    <s v="000"/>
    <x v="10"/>
    <x v="1"/>
  </r>
  <r>
    <d v="2012-08-09T00:00:00"/>
    <s v="016-2210-000"/>
    <s v="Liquor Sales"/>
    <n v="1011.7549999999999"/>
    <n v="0"/>
    <s v="Daily Sales Import"/>
    <n v="-1011.7549999999999"/>
    <n v="1011.7549999999999"/>
    <x v="0"/>
    <s v="2210"/>
    <s v="000"/>
    <x v="10"/>
    <x v="1"/>
  </r>
  <r>
    <d v="2012-08-09T00:00:00"/>
    <s v="016-2220-000"/>
    <s v="Beer Sales"/>
    <n v="157.74749999999997"/>
    <n v="0"/>
    <s v="Daily Sales Import"/>
    <n v="-157.74749999999997"/>
    <n v="157.74749999999997"/>
    <x v="0"/>
    <s v="2220"/>
    <s v="000"/>
    <x v="10"/>
    <x v="1"/>
  </r>
  <r>
    <d v="2012-08-09T00:00:00"/>
    <s v="016-2230-000"/>
    <s v="Wine Sales"/>
    <n v="22.33"/>
    <n v="0"/>
    <s v="Daily Sales Import"/>
    <n v="-22.33"/>
    <n v="22.33"/>
    <x v="0"/>
    <s v="2230"/>
    <s v="000"/>
    <x v="10"/>
    <x v="1"/>
  </r>
  <r>
    <d v="2012-08-10T00:00:00"/>
    <s v="016-2100-000"/>
    <s v="Food Sales"/>
    <n v="5086.4519999999993"/>
    <n v="0"/>
    <s v="Daily Sales Import"/>
    <n v="-5086.4519999999993"/>
    <n v="5086.4519999999993"/>
    <x v="0"/>
    <s v="2100"/>
    <s v="000"/>
    <x v="10"/>
    <x v="1"/>
  </r>
  <r>
    <d v="2012-08-10T00:00:00"/>
    <s v="016-2210-000"/>
    <s v="Liquor Sales"/>
    <n v="2502.11"/>
    <n v="0"/>
    <s v="Daily Sales Import"/>
    <n v="-2502.11"/>
    <n v="2502.11"/>
    <x v="0"/>
    <s v="2210"/>
    <s v="000"/>
    <x v="10"/>
    <x v="1"/>
  </r>
  <r>
    <d v="2012-08-10T00:00:00"/>
    <s v="016-2220-000"/>
    <s v="Beer Sales"/>
    <n v="307.69200000000001"/>
    <n v="0"/>
    <s v="Daily Sales Import"/>
    <n v="-307.69200000000001"/>
    <n v="307.69200000000001"/>
    <x v="0"/>
    <s v="2220"/>
    <s v="000"/>
    <x v="10"/>
    <x v="1"/>
  </r>
  <r>
    <d v="2012-08-10T00:00:00"/>
    <s v="016-2230-000"/>
    <s v="Wine Sales"/>
    <n v="181.46299999999999"/>
    <n v="0"/>
    <s v="Daily Sales Import"/>
    <n v="-181.46299999999999"/>
    <n v="181.46299999999999"/>
    <x v="0"/>
    <s v="2230"/>
    <s v="000"/>
    <x v="10"/>
    <x v="1"/>
  </r>
  <r>
    <d v="2012-08-11T00:00:00"/>
    <s v="016-2100-000"/>
    <s v="Food Sales"/>
    <n v="5095.3971000000001"/>
    <n v="0"/>
    <s v="Daily Sales Import"/>
    <n v="-5095.3971000000001"/>
    <n v="5095.3971000000001"/>
    <x v="0"/>
    <s v="2100"/>
    <s v="000"/>
    <x v="10"/>
    <x v="1"/>
  </r>
  <r>
    <d v="2012-08-11T00:00:00"/>
    <s v="016-2210-000"/>
    <s v="Liquor Sales"/>
    <n v="2618.4674"/>
    <n v="0"/>
    <s v="Daily Sales Import"/>
    <n v="-2618.4674"/>
    <n v="2618.4674"/>
    <x v="0"/>
    <s v="2210"/>
    <s v="000"/>
    <x v="10"/>
    <x v="1"/>
  </r>
  <r>
    <d v="2012-08-11T00:00:00"/>
    <s v="016-2220-000"/>
    <s v="Beer Sales"/>
    <n v="284.54400000000004"/>
    <n v="0"/>
    <s v="Daily Sales Import"/>
    <n v="-284.54400000000004"/>
    <n v="284.54400000000004"/>
    <x v="0"/>
    <s v="2220"/>
    <s v="000"/>
    <x v="10"/>
    <x v="1"/>
  </r>
  <r>
    <d v="2012-08-11T00:00:00"/>
    <s v="016-2230-000"/>
    <s v="Wine Sales"/>
    <n v="160.97899999999998"/>
    <n v="0"/>
    <s v="Daily Sales Import"/>
    <n v="-160.97899999999998"/>
    <n v="160.97899999999998"/>
    <x v="0"/>
    <s v="2230"/>
    <s v="000"/>
    <x v="10"/>
    <x v="1"/>
  </r>
  <r>
    <d v="2012-08-12T00:00:00"/>
    <s v="016-2100-000"/>
    <s v="Food Sales"/>
    <n v="2882.6134999999999"/>
    <n v="0"/>
    <s v="Daily Sales Import"/>
    <n v="-2882.6134999999999"/>
    <n v="2882.6134999999999"/>
    <x v="0"/>
    <s v="2100"/>
    <s v="000"/>
    <x v="10"/>
    <x v="1"/>
  </r>
  <r>
    <d v="2012-08-12T00:00:00"/>
    <s v="016-2210-000"/>
    <s v="Liquor Sales"/>
    <n v="453.58199999999999"/>
    <n v="0"/>
    <s v="Daily Sales Import"/>
    <n v="-453.58199999999999"/>
    <n v="453.58199999999999"/>
    <x v="0"/>
    <s v="2210"/>
    <s v="000"/>
    <x v="10"/>
    <x v="1"/>
  </r>
  <r>
    <d v="2012-08-12T00:00:00"/>
    <s v="016-2220-000"/>
    <s v="Beer Sales"/>
    <n v="95.50800000000001"/>
    <n v="0"/>
    <s v="Daily Sales Import"/>
    <n v="-95.50800000000001"/>
    <n v="95.50800000000001"/>
    <x v="0"/>
    <s v="2220"/>
    <s v="000"/>
    <x v="10"/>
    <x v="1"/>
  </r>
  <r>
    <d v="2012-08-12T00:00:00"/>
    <s v="016-2230-000"/>
    <s v="Wine Sales"/>
    <n v="41.800000000000004"/>
    <n v="0"/>
    <s v="Daily Sales Import"/>
    <n v="-41.800000000000004"/>
    <n v="41.800000000000004"/>
    <x v="0"/>
    <s v="2230"/>
    <s v="000"/>
    <x v="10"/>
    <x v="1"/>
  </r>
  <r>
    <d v="2012-08-06T00:00:00"/>
    <s v="017-2100-000"/>
    <s v="Food Sales"/>
    <n v="3574.1238000000003"/>
    <n v="0"/>
    <s v="Daily Sales Import"/>
    <n v="-3574.1238000000003"/>
    <n v="3574.1238000000003"/>
    <x v="1"/>
    <s v="2100"/>
    <s v="000"/>
    <x v="10"/>
    <x v="1"/>
  </r>
  <r>
    <d v="2012-08-06T00:00:00"/>
    <s v="017-2210-000"/>
    <s v="Liquor Sales"/>
    <n v="552.53800000000001"/>
    <n v="0"/>
    <s v="Daily Sales Import"/>
    <n v="-552.53800000000001"/>
    <n v="552.53800000000001"/>
    <x v="1"/>
    <s v="2210"/>
    <s v="000"/>
    <x v="10"/>
    <x v="1"/>
  </r>
  <r>
    <d v="2012-08-06T00:00:00"/>
    <s v="017-2220-000"/>
    <s v="Beer Sales"/>
    <n v="206.90999999999997"/>
    <n v="0"/>
    <s v="Daily Sales Import"/>
    <n v="-206.90999999999997"/>
    <n v="206.90999999999997"/>
    <x v="1"/>
    <s v="2220"/>
    <s v="000"/>
    <x v="10"/>
    <x v="1"/>
  </r>
  <r>
    <d v="2012-08-06T00:00:00"/>
    <s v="017-2230-000"/>
    <s v="Wine Sales"/>
    <n v="191.0085"/>
    <n v="0"/>
    <s v="Daily Sales Import"/>
    <n v="-191.0085"/>
    <n v="191.0085"/>
    <x v="1"/>
    <s v="2230"/>
    <s v="000"/>
    <x v="10"/>
    <x v="1"/>
  </r>
  <r>
    <d v="2012-08-07T00:00:00"/>
    <s v="017-2100-000"/>
    <s v="Food Sales"/>
    <n v="4924.6361999999999"/>
    <n v="0"/>
    <s v="Daily Sales Import"/>
    <n v="-4924.6361999999999"/>
    <n v="4924.6361999999999"/>
    <x v="1"/>
    <s v="2100"/>
    <s v="000"/>
    <x v="10"/>
    <x v="1"/>
  </r>
  <r>
    <d v="2012-08-07T00:00:00"/>
    <s v="017-2210-000"/>
    <s v="Liquor Sales"/>
    <n v="1574.415"/>
    <n v="0"/>
    <s v="Daily Sales Import"/>
    <n v="-1574.415"/>
    <n v="1574.415"/>
    <x v="1"/>
    <s v="2210"/>
    <s v="000"/>
    <x v="10"/>
    <x v="1"/>
  </r>
  <r>
    <d v="2012-08-07T00:00:00"/>
    <s v="017-2220-000"/>
    <s v="Beer Sales"/>
    <n v="312.46000000000004"/>
    <n v="0"/>
    <s v="Daily Sales Import"/>
    <n v="-312.46000000000004"/>
    <n v="312.46000000000004"/>
    <x v="1"/>
    <s v="2220"/>
    <s v="000"/>
    <x v="10"/>
    <x v="1"/>
  </r>
  <r>
    <d v="2012-08-07T00:00:00"/>
    <s v="017-2230-000"/>
    <s v="Wine Sales"/>
    <n v="97.209000000000003"/>
    <n v="0"/>
    <s v="Daily Sales Import"/>
    <n v="-97.209000000000003"/>
    <n v="97.209000000000003"/>
    <x v="1"/>
    <s v="2230"/>
    <s v="000"/>
    <x v="10"/>
    <x v="1"/>
  </r>
  <r>
    <d v="2012-08-08T00:00:00"/>
    <s v="017-2100-000"/>
    <s v="Food Sales"/>
    <n v="6326.5754999999999"/>
    <n v="0"/>
    <s v="Daily Sales Import"/>
    <n v="-6326.5754999999999"/>
    <n v="6326.5754999999999"/>
    <x v="1"/>
    <s v="2100"/>
    <s v="000"/>
    <x v="10"/>
    <x v="1"/>
  </r>
  <r>
    <d v="2012-08-08T00:00:00"/>
    <s v="017-2210-000"/>
    <s v="Liquor Sales"/>
    <n v="1862.4775"/>
    <n v="0"/>
    <s v="Daily Sales Import"/>
    <n v="-1862.4775"/>
    <n v="1862.4775"/>
    <x v="1"/>
    <s v="2210"/>
    <s v="000"/>
    <x v="10"/>
    <x v="1"/>
  </r>
  <r>
    <d v="2012-08-08T00:00:00"/>
    <s v="017-2220-000"/>
    <s v="Beer Sales"/>
    <n v="397.44"/>
    <n v="0"/>
    <s v="Daily Sales Import"/>
    <n v="-397.44"/>
    <n v="397.44"/>
    <x v="1"/>
    <s v="2220"/>
    <s v="000"/>
    <x v="10"/>
    <x v="1"/>
  </r>
  <r>
    <d v="2012-08-08T00:00:00"/>
    <s v="017-2230-000"/>
    <s v="Wine Sales"/>
    <n v="82.842500000000001"/>
    <n v="0"/>
    <s v="Daily Sales Import"/>
    <n v="-82.842500000000001"/>
    <n v="82.842500000000001"/>
    <x v="1"/>
    <s v="2230"/>
    <s v="000"/>
    <x v="10"/>
    <x v="1"/>
  </r>
  <r>
    <d v="2012-08-09T00:00:00"/>
    <s v="017-2100-000"/>
    <s v="Food Sales"/>
    <n v="5263.8651"/>
    <n v="0"/>
    <s v="Daily Sales Import"/>
    <n v="-5263.8651"/>
    <n v="5263.8651"/>
    <x v="1"/>
    <s v="2100"/>
    <s v="000"/>
    <x v="10"/>
    <x v="1"/>
  </r>
  <r>
    <d v="2012-08-09T00:00:00"/>
    <s v="017-2210-000"/>
    <s v="Liquor Sales"/>
    <n v="1403.3534999999999"/>
    <n v="0"/>
    <s v="Daily Sales Import"/>
    <n v="-1403.3534999999999"/>
    <n v="1403.3534999999999"/>
    <x v="1"/>
    <s v="2210"/>
    <s v="000"/>
    <x v="10"/>
    <x v="1"/>
  </r>
  <r>
    <d v="2012-08-09T00:00:00"/>
    <s v="017-2220-000"/>
    <s v="Beer Sales"/>
    <n v="474.59250000000003"/>
    <n v="0"/>
    <s v="Daily Sales Import"/>
    <n v="-474.59250000000003"/>
    <n v="474.59250000000003"/>
    <x v="1"/>
    <s v="2220"/>
    <s v="000"/>
    <x v="10"/>
    <x v="1"/>
  </r>
  <r>
    <d v="2012-08-09T00:00:00"/>
    <s v="017-2230-000"/>
    <s v="Wine Sales"/>
    <n v="69.055499999999995"/>
    <n v="0"/>
    <s v="Daily Sales Import"/>
    <n v="-69.055499999999995"/>
    <n v="69.055499999999995"/>
    <x v="1"/>
    <s v="2230"/>
    <s v="000"/>
    <x v="10"/>
    <x v="1"/>
  </r>
  <r>
    <d v="2012-08-10T00:00:00"/>
    <s v="017-2100-000"/>
    <s v="Food Sales"/>
    <n v="7057.7474000000002"/>
    <n v="0"/>
    <s v="Daily Sales Import"/>
    <n v="-7057.7474000000002"/>
    <n v="7057.7474000000002"/>
    <x v="1"/>
    <s v="2100"/>
    <s v="000"/>
    <x v="10"/>
    <x v="1"/>
  </r>
  <r>
    <d v="2012-08-10T00:00:00"/>
    <s v="017-2210-000"/>
    <s v="Liquor Sales"/>
    <n v="2749.0994999999998"/>
    <n v="0"/>
    <s v="Daily Sales Import"/>
    <n v="-2749.0994999999998"/>
    <n v="2749.0994999999998"/>
    <x v="1"/>
    <s v="2210"/>
    <s v="000"/>
    <x v="10"/>
    <x v="1"/>
  </r>
  <r>
    <d v="2012-08-10T00:00:00"/>
    <s v="017-2220-000"/>
    <s v="Beer Sales"/>
    <n v="771.66750000000002"/>
    <n v="0"/>
    <s v="Daily Sales Import"/>
    <n v="-771.66750000000002"/>
    <n v="771.66750000000002"/>
    <x v="1"/>
    <s v="2220"/>
    <s v="000"/>
    <x v="10"/>
    <x v="1"/>
  </r>
  <r>
    <d v="2012-08-10T00:00:00"/>
    <s v="017-2230-000"/>
    <s v="Wine Sales"/>
    <n v="107.1"/>
    <n v="0"/>
    <s v="Daily Sales Import"/>
    <n v="-107.1"/>
    <n v="107.1"/>
    <x v="1"/>
    <s v="2230"/>
    <s v="000"/>
    <x v="10"/>
    <x v="1"/>
  </r>
  <r>
    <d v="2012-08-11T00:00:00"/>
    <s v="017-2100-000"/>
    <s v="Food Sales"/>
    <n v="9082.1040000000012"/>
    <n v="0"/>
    <s v="Daily Sales Import"/>
    <n v="-9082.1040000000012"/>
    <n v="9082.1040000000012"/>
    <x v="1"/>
    <s v="2100"/>
    <s v="000"/>
    <x v="10"/>
    <x v="1"/>
  </r>
  <r>
    <d v="2012-08-11T00:00:00"/>
    <s v="017-2210-000"/>
    <s v="Liquor Sales"/>
    <n v="2791.8319999999999"/>
    <n v="0"/>
    <s v="Daily Sales Import"/>
    <n v="-2791.8319999999999"/>
    <n v="2791.8319999999999"/>
    <x v="1"/>
    <s v="2210"/>
    <s v="000"/>
    <x v="10"/>
    <x v="1"/>
  </r>
  <r>
    <d v="2012-08-11T00:00:00"/>
    <s v="017-2220-000"/>
    <s v="Beer Sales"/>
    <n v="574.86"/>
    <n v="0"/>
    <s v="Daily Sales Import"/>
    <n v="-574.86"/>
    <n v="574.86"/>
    <x v="1"/>
    <s v="2220"/>
    <s v="000"/>
    <x v="10"/>
    <x v="1"/>
  </r>
  <r>
    <d v="2012-08-11T00:00:00"/>
    <s v="017-2230-000"/>
    <s v="Wine Sales"/>
    <n v="240.51300000000001"/>
    <n v="0"/>
    <s v="Daily Sales Import"/>
    <n v="-240.51300000000001"/>
    <n v="240.51300000000001"/>
    <x v="1"/>
    <s v="2230"/>
    <s v="000"/>
    <x v="10"/>
    <x v="1"/>
  </r>
  <r>
    <d v="2012-08-12T00:00:00"/>
    <s v="017-2100-000"/>
    <s v="Food Sales"/>
    <n v="5544.8951999999999"/>
    <n v="0"/>
    <s v="Daily Sales Import"/>
    <n v="-5544.8951999999999"/>
    <n v="5544.8951999999999"/>
    <x v="1"/>
    <s v="2100"/>
    <s v="000"/>
    <x v="10"/>
    <x v="1"/>
  </r>
  <r>
    <d v="2012-08-12T00:00:00"/>
    <s v="017-2210-000"/>
    <s v="Liquor Sales"/>
    <n v="1342.442"/>
    <n v="0"/>
    <s v="Daily Sales Import"/>
    <n v="-1342.442"/>
    <n v="1342.442"/>
    <x v="1"/>
    <s v="2210"/>
    <s v="000"/>
    <x v="10"/>
    <x v="1"/>
  </r>
  <r>
    <d v="2012-08-12T00:00:00"/>
    <s v="017-2220-000"/>
    <s v="Beer Sales"/>
    <n v="146.4675"/>
    <n v="0"/>
    <s v="Daily Sales Import"/>
    <n v="-146.4675"/>
    <n v="146.4675"/>
    <x v="1"/>
    <s v="2220"/>
    <s v="000"/>
    <x v="10"/>
    <x v="1"/>
  </r>
  <r>
    <d v="2012-08-12T00:00:00"/>
    <s v="017-2230-000"/>
    <s v="Wine Sales"/>
    <n v="30.849"/>
    <n v="0"/>
    <s v="Daily Sales Import"/>
    <n v="-30.849"/>
    <n v="30.849"/>
    <x v="1"/>
    <s v="2230"/>
    <s v="000"/>
    <x v="10"/>
    <x v="1"/>
  </r>
  <r>
    <d v="2012-08-06T00:00:00"/>
    <s v="018-2100-000"/>
    <s v="Food Sales"/>
    <n v="3411.1672000000003"/>
    <n v="0"/>
    <s v="Daily Sales Import"/>
    <n v="-3411.1672000000003"/>
    <n v="3411.1672000000003"/>
    <x v="2"/>
    <s v="2100"/>
    <s v="000"/>
    <x v="10"/>
    <x v="1"/>
  </r>
  <r>
    <d v="2012-08-06T00:00:00"/>
    <s v="018-2210-000"/>
    <s v="Liquor Sales"/>
    <n v="744.04899999999986"/>
    <n v="0"/>
    <s v="Daily Sales Import"/>
    <n v="-744.04899999999986"/>
    <n v="744.04899999999986"/>
    <x v="2"/>
    <s v="2210"/>
    <s v="000"/>
    <x v="10"/>
    <x v="1"/>
  </r>
  <r>
    <d v="2012-08-06T00:00:00"/>
    <s v="018-2220-000"/>
    <s v="Beer Sales"/>
    <n v="239.74199999999999"/>
    <n v="0"/>
    <s v="Daily Sales Import"/>
    <n v="-239.74199999999999"/>
    <n v="239.74199999999999"/>
    <x v="2"/>
    <s v="2220"/>
    <s v="000"/>
    <x v="10"/>
    <x v="1"/>
  </r>
  <r>
    <d v="2012-08-06T00:00:00"/>
    <s v="018-2230-000"/>
    <s v="Wine Sales"/>
    <n v="53.465999999999994"/>
    <n v="0"/>
    <s v="Daily Sales Import"/>
    <n v="-53.465999999999994"/>
    <n v="53.465999999999994"/>
    <x v="2"/>
    <s v="2230"/>
    <s v="000"/>
    <x v="10"/>
    <x v="1"/>
  </r>
  <r>
    <d v="2012-08-07T00:00:00"/>
    <s v="018-2100-000"/>
    <s v="Food Sales"/>
    <n v="4496.3599999999997"/>
    <n v="0"/>
    <s v="Daily Sales Import"/>
    <n v="-4496.3599999999997"/>
    <n v="4496.3599999999997"/>
    <x v="2"/>
    <s v="2100"/>
    <s v="000"/>
    <x v="10"/>
    <x v="1"/>
  </r>
  <r>
    <d v="2012-08-07T00:00:00"/>
    <s v="018-2210-000"/>
    <s v="Liquor Sales"/>
    <n v="661.22699999999986"/>
    <n v="0"/>
    <s v="Daily Sales Import"/>
    <n v="-661.22699999999986"/>
    <n v="661.22699999999986"/>
    <x v="2"/>
    <s v="2210"/>
    <s v="000"/>
    <x v="10"/>
    <x v="1"/>
  </r>
  <r>
    <d v="2012-08-07T00:00:00"/>
    <s v="018-2220-000"/>
    <s v="Beer Sales"/>
    <n v="124.63749999999999"/>
    <n v="0"/>
    <s v="Daily Sales Import"/>
    <n v="-124.63749999999999"/>
    <n v="124.63749999999999"/>
    <x v="2"/>
    <s v="2220"/>
    <s v="000"/>
    <x v="10"/>
    <x v="1"/>
  </r>
  <r>
    <d v="2012-08-07T00:00:00"/>
    <s v="018-2230-000"/>
    <s v="Wine Sales"/>
    <n v="43.418000000000006"/>
    <n v="0"/>
    <s v="Daily Sales Import"/>
    <n v="-43.418000000000006"/>
    <n v="43.418000000000006"/>
    <x v="2"/>
    <s v="2230"/>
    <s v="000"/>
    <x v="10"/>
    <x v="1"/>
  </r>
  <r>
    <d v="2012-08-08T00:00:00"/>
    <s v="018-2100-000"/>
    <s v="Food Sales"/>
    <n v="3825.3319999999994"/>
    <n v="0"/>
    <s v="Daily Sales Import"/>
    <n v="-3825.3319999999994"/>
    <n v="3825.3319999999994"/>
    <x v="2"/>
    <s v="2100"/>
    <s v="000"/>
    <x v="10"/>
    <x v="1"/>
  </r>
  <r>
    <d v="2012-08-08T00:00:00"/>
    <s v="018-2210-000"/>
    <s v="Liquor Sales"/>
    <n v="1091.306"/>
    <n v="0"/>
    <s v="Daily Sales Import"/>
    <n v="-1091.306"/>
    <n v="1091.306"/>
    <x v="2"/>
    <s v="2210"/>
    <s v="000"/>
    <x v="10"/>
    <x v="1"/>
  </r>
  <r>
    <d v="2012-08-08T00:00:00"/>
    <s v="018-2220-000"/>
    <s v="Beer Sales"/>
    <n v="195.61399999999998"/>
    <n v="0"/>
    <s v="Daily Sales Import"/>
    <n v="-195.61399999999998"/>
    <n v="195.61399999999998"/>
    <x v="2"/>
    <s v="2220"/>
    <s v="000"/>
    <x v="10"/>
    <x v="1"/>
  </r>
  <r>
    <d v="2012-08-08T00:00:00"/>
    <s v="018-2230-000"/>
    <s v="Wine Sales"/>
    <n v="63.595000000000006"/>
    <n v="0"/>
    <s v="Daily Sales Import"/>
    <n v="-63.595000000000006"/>
    <n v="63.595000000000006"/>
    <x v="2"/>
    <s v="2230"/>
    <s v="000"/>
    <x v="10"/>
    <x v="1"/>
  </r>
  <r>
    <d v="2012-08-09T00:00:00"/>
    <s v="018-2100-000"/>
    <s v="Food Sales"/>
    <n v="4532.9759999999997"/>
    <n v="0"/>
    <s v="Daily Sales Import"/>
    <n v="-4532.9759999999997"/>
    <n v="4532.9759999999997"/>
    <x v="2"/>
    <s v="2100"/>
    <s v="000"/>
    <x v="10"/>
    <x v="1"/>
  </r>
  <r>
    <d v="2012-08-09T00:00:00"/>
    <s v="018-2210-000"/>
    <s v="Liquor Sales"/>
    <n v="1089.9679999999998"/>
    <n v="0"/>
    <s v="Daily Sales Import"/>
    <n v="-1089.9679999999998"/>
    <n v="1089.9679999999998"/>
    <x v="2"/>
    <s v="2210"/>
    <s v="000"/>
    <x v="10"/>
    <x v="1"/>
  </r>
  <r>
    <d v="2012-08-09T00:00:00"/>
    <s v="018-2220-000"/>
    <s v="Beer Sales"/>
    <n v="162.86949999999999"/>
    <n v="0"/>
    <s v="Daily Sales Import"/>
    <n v="-162.86949999999999"/>
    <n v="162.86949999999999"/>
    <x v="2"/>
    <s v="2220"/>
    <s v="000"/>
    <x v="10"/>
    <x v="1"/>
  </r>
  <r>
    <d v="2012-08-09T00:00:00"/>
    <s v="018-2230-000"/>
    <s v="Wine Sales"/>
    <n v="40.947500000000005"/>
    <n v="0"/>
    <s v="Daily Sales Import"/>
    <n v="-40.947500000000005"/>
    <n v="40.947500000000005"/>
    <x v="2"/>
    <s v="2230"/>
    <s v="000"/>
    <x v="10"/>
    <x v="1"/>
  </r>
  <r>
    <d v="2012-08-10T00:00:00"/>
    <s v="018-2100-000"/>
    <s v="Food Sales"/>
    <n v="12332.205000000002"/>
    <n v="0"/>
    <s v="Daily Sales Import"/>
    <n v="-12332.205000000002"/>
    <n v="12332.205000000002"/>
    <x v="2"/>
    <s v="2100"/>
    <s v="000"/>
    <x v="10"/>
    <x v="1"/>
  </r>
  <r>
    <d v="2012-08-10T00:00:00"/>
    <s v="018-2210-000"/>
    <s v="Liquor Sales"/>
    <n v="3622.4874999999997"/>
    <n v="0"/>
    <s v="Daily Sales Import"/>
    <n v="-3622.4874999999997"/>
    <n v="3622.4874999999997"/>
    <x v="2"/>
    <s v="2210"/>
    <s v="000"/>
    <x v="10"/>
    <x v="1"/>
  </r>
  <r>
    <d v="2012-08-10T00:00:00"/>
    <s v="018-2220-000"/>
    <s v="Beer Sales"/>
    <n v="526.79"/>
    <n v="0"/>
    <s v="Daily Sales Import"/>
    <n v="-526.79"/>
    <n v="526.79"/>
    <x v="2"/>
    <s v="2220"/>
    <s v="000"/>
    <x v="10"/>
    <x v="1"/>
  </r>
  <r>
    <d v="2012-08-10T00:00:00"/>
    <s v="018-2230-000"/>
    <s v="Wine Sales"/>
    <n v="70.55"/>
    <n v="0"/>
    <s v="Daily Sales Import"/>
    <n v="-70.55"/>
    <n v="70.55"/>
    <x v="2"/>
    <s v="2230"/>
    <s v="000"/>
    <x v="10"/>
    <x v="1"/>
  </r>
  <r>
    <d v="2012-08-11T00:00:00"/>
    <s v="018-2100-000"/>
    <s v="Food Sales"/>
    <n v="11139.36"/>
    <n v="0"/>
    <s v="Daily Sales Import"/>
    <n v="-11139.36"/>
    <n v="11139.36"/>
    <x v="2"/>
    <s v="2100"/>
    <s v="000"/>
    <x v="10"/>
    <x v="1"/>
  </r>
  <r>
    <d v="2012-08-11T00:00:00"/>
    <s v="018-2210-000"/>
    <s v="Liquor Sales"/>
    <n v="2035.6460000000002"/>
    <n v="0"/>
    <s v="Daily Sales Import"/>
    <n v="-2035.6460000000002"/>
    <n v="2035.6460000000002"/>
    <x v="2"/>
    <s v="2210"/>
    <s v="000"/>
    <x v="10"/>
    <x v="1"/>
  </r>
  <r>
    <d v="2012-08-11T00:00:00"/>
    <s v="018-2220-000"/>
    <s v="Beer Sales"/>
    <n v="663.6869999999999"/>
    <n v="0"/>
    <s v="Daily Sales Import"/>
    <n v="-663.6869999999999"/>
    <n v="663.6869999999999"/>
    <x v="2"/>
    <s v="2220"/>
    <s v="000"/>
    <x v="10"/>
    <x v="1"/>
  </r>
  <r>
    <d v="2012-08-11T00:00:00"/>
    <s v="018-2230-000"/>
    <s v="Wine Sales"/>
    <n v="99.151499999999984"/>
    <n v="0"/>
    <s v="Daily Sales Import"/>
    <n v="-99.151499999999984"/>
    <n v="99.151499999999984"/>
    <x v="2"/>
    <s v="2230"/>
    <s v="000"/>
    <x v="10"/>
    <x v="1"/>
  </r>
  <r>
    <d v="2012-08-12T00:00:00"/>
    <s v="018-2100-000"/>
    <s v="Food Sales"/>
    <n v="8815.3742000000002"/>
    <n v="0"/>
    <s v="Daily Sales Import"/>
    <n v="-8815.3742000000002"/>
    <n v="8815.3742000000002"/>
    <x v="2"/>
    <s v="2100"/>
    <s v="000"/>
    <x v="10"/>
    <x v="1"/>
  </r>
  <r>
    <d v="2012-08-12T00:00:00"/>
    <s v="018-2210-000"/>
    <s v="Liquor Sales"/>
    <n v="1319.8020000000001"/>
    <n v="0"/>
    <s v="Daily Sales Import"/>
    <n v="-1319.8020000000001"/>
    <n v="1319.8020000000001"/>
    <x v="2"/>
    <s v="2210"/>
    <s v="000"/>
    <x v="10"/>
    <x v="1"/>
  </r>
  <r>
    <d v="2012-08-12T00:00:00"/>
    <s v="018-2220-000"/>
    <s v="Beer Sales"/>
    <n v="288.23099999999999"/>
    <n v="0"/>
    <s v="Daily Sales Import"/>
    <n v="-288.23099999999999"/>
    <n v="288.23099999999999"/>
    <x v="2"/>
    <s v="2220"/>
    <s v="000"/>
    <x v="10"/>
    <x v="1"/>
  </r>
  <r>
    <d v="2012-08-12T00:00:00"/>
    <s v="018-2230-000"/>
    <s v="Wine Sales"/>
    <n v="110.52799999999999"/>
    <n v="0"/>
    <s v="Daily Sales Import"/>
    <n v="-110.52799999999999"/>
    <n v="110.52799999999999"/>
    <x v="2"/>
    <s v="2230"/>
    <s v="000"/>
    <x v="10"/>
    <x v="1"/>
  </r>
  <r>
    <d v="2012-08-13T00:00:00"/>
    <s v="016-2100-000"/>
    <s v="Food Sales"/>
    <n v="2757.2532000000001"/>
    <n v="0"/>
    <s v="Daily Sales Import"/>
    <n v="-2757.2532000000001"/>
    <n v="2757.2532000000001"/>
    <x v="0"/>
    <s v="2100"/>
    <s v="000"/>
    <x v="10"/>
    <x v="1"/>
  </r>
  <r>
    <d v="2012-08-13T00:00:00"/>
    <s v="016-2210-000"/>
    <s v="Liquor Sales"/>
    <n v="561.17880000000002"/>
    <n v="0"/>
    <s v="Daily Sales Import"/>
    <n v="-561.17880000000002"/>
    <n v="561.17880000000002"/>
    <x v="0"/>
    <s v="2210"/>
    <s v="000"/>
    <x v="10"/>
    <x v="1"/>
  </r>
  <r>
    <d v="2012-08-13T00:00:00"/>
    <s v="016-2220-000"/>
    <s v="Beer Sales"/>
    <n v="126.67500000000001"/>
    <n v="0"/>
    <s v="Daily Sales Import"/>
    <n v="-126.67500000000001"/>
    <n v="126.67500000000001"/>
    <x v="0"/>
    <s v="2220"/>
    <s v="000"/>
    <x v="10"/>
    <x v="1"/>
  </r>
  <r>
    <d v="2012-08-13T00:00:00"/>
    <s v="016-2230-000"/>
    <s v="Wine Sales"/>
    <n v="16.218000000000004"/>
    <n v="0"/>
    <s v="Daily Sales Import"/>
    <n v="-16.218000000000004"/>
    <n v="16.218000000000004"/>
    <x v="0"/>
    <s v="2230"/>
    <s v="000"/>
    <x v="10"/>
    <x v="1"/>
  </r>
  <r>
    <d v="2012-08-14T00:00:00"/>
    <s v="016-2100-000"/>
    <s v="Food Sales"/>
    <n v="5783.2709999999997"/>
    <n v="0"/>
    <s v="Daily Sales Import"/>
    <n v="-5783.2709999999997"/>
    <n v="5783.2709999999997"/>
    <x v="0"/>
    <s v="2100"/>
    <s v="000"/>
    <x v="10"/>
    <x v="1"/>
  </r>
  <r>
    <d v="2012-08-14T00:00:00"/>
    <s v="016-2210-000"/>
    <s v="Liquor Sales"/>
    <n v="1661.1645000000001"/>
    <n v="0"/>
    <s v="Daily Sales Import"/>
    <n v="-1661.1645000000001"/>
    <n v="1661.1645000000001"/>
    <x v="0"/>
    <s v="2210"/>
    <s v="000"/>
    <x v="10"/>
    <x v="1"/>
  </r>
  <r>
    <d v="2012-08-14T00:00:00"/>
    <s v="016-2220-000"/>
    <s v="Beer Sales"/>
    <n v="588.39300000000003"/>
    <n v="0"/>
    <s v="Daily Sales Import"/>
    <n v="-588.39300000000003"/>
    <n v="588.39300000000003"/>
    <x v="0"/>
    <s v="2220"/>
    <s v="000"/>
    <x v="10"/>
    <x v="1"/>
  </r>
  <r>
    <d v="2012-08-14T00:00:00"/>
    <s v="016-2230-000"/>
    <s v="Wine Sales"/>
    <n v="197.73599999999999"/>
    <n v="0"/>
    <s v="Daily Sales Import"/>
    <n v="-197.73599999999999"/>
    <n v="197.73599999999999"/>
    <x v="0"/>
    <s v="2230"/>
    <s v="000"/>
    <x v="10"/>
    <x v="1"/>
  </r>
  <r>
    <d v="2012-08-15T00:00:00"/>
    <s v="016-2100-000"/>
    <s v="Food Sales"/>
    <n v="4406.1284000000005"/>
    <n v="0"/>
    <s v="Daily Sales Import"/>
    <n v="-4406.1284000000005"/>
    <n v="4406.1284000000005"/>
    <x v="0"/>
    <s v="2100"/>
    <s v="000"/>
    <x v="10"/>
    <x v="1"/>
  </r>
  <r>
    <d v="2012-08-15T00:00:00"/>
    <s v="016-2210-000"/>
    <s v="Liquor Sales"/>
    <n v="929.99400000000003"/>
    <n v="0"/>
    <s v="Daily Sales Import"/>
    <n v="-929.99400000000003"/>
    <n v="929.99400000000003"/>
    <x v="0"/>
    <s v="2210"/>
    <s v="000"/>
    <x v="10"/>
    <x v="1"/>
  </r>
  <r>
    <d v="2012-08-15T00:00:00"/>
    <s v="016-2220-000"/>
    <s v="Beer Sales"/>
    <n v="124.52399999999999"/>
    <n v="0"/>
    <s v="Daily Sales Import"/>
    <n v="-124.52399999999999"/>
    <n v="124.52399999999999"/>
    <x v="0"/>
    <s v="2220"/>
    <s v="000"/>
    <x v="10"/>
    <x v="1"/>
  </r>
  <r>
    <d v="2012-08-15T00:00:00"/>
    <s v="016-2230-000"/>
    <s v="Wine Sales"/>
    <n v="75.037499999999994"/>
    <n v="0"/>
    <s v="Daily Sales Import"/>
    <n v="-75.037499999999994"/>
    <n v="75.037499999999994"/>
    <x v="0"/>
    <s v="2230"/>
    <s v="000"/>
    <x v="10"/>
    <x v="1"/>
  </r>
  <r>
    <d v="2012-08-16T00:00:00"/>
    <s v="016-2100-000"/>
    <s v="Food Sales"/>
    <n v="4602.0990000000002"/>
    <n v="0"/>
    <s v="Daily Sales Import"/>
    <n v="-4602.0990000000002"/>
    <n v="4602.0990000000002"/>
    <x v="0"/>
    <s v="2100"/>
    <s v="000"/>
    <x v="10"/>
    <x v="1"/>
  </r>
  <r>
    <d v="2012-08-16T00:00:00"/>
    <s v="016-2210-000"/>
    <s v="Liquor Sales"/>
    <n v="1738.8150000000001"/>
    <n v="0"/>
    <s v="Daily Sales Import"/>
    <n v="-1738.8150000000001"/>
    <n v="1738.8150000000001"/>
    <x v="0"/>
    <s v="2210"/>
    <s v="000"/>
    <x v="10"/>
    <x v="1"/>
  </r>
  <r>
    <d v="2012-08-16T00:00:00"/>
    <s v="016-2220-000"/>
    <s v="Beer Sales"/>
    <n v="246.57599999999999"/>
    <n v="0"/>
    <s v="Daily Sales Import"/>
    <n v="-246.57599999999999"/>
    <n v="246.57599999999999"/>
    <x v="0"/>
    <s v="2220"/>
    <s v="000"/>
    <x v="10"/>
    <x v="1"/>
  </r>
  <r>
    <d v="2012-08-16T00:00:00"/>
    <s v="016-2230-000"/>
    <s v="Wine Sales"/>
    <n v="103.791"/>
    <n v="0"/>
    <s v="Daily Sales Import"/>
    <n v="-103.791"/>
    <n v="103.791"/>
    <x v="0"/>
    <s v="2230"/>
    <s v="000"/>
    <x v="10"/>
    <x v="1"/>
  </r>
  <r>
    <d v="2012-08-17T00:00:00"/>
    <s v="016-2100-000"/>
    <s v="Food Sales"/>
    <n v="6646.6781999999994"/>
    <n v="0"/>
    <s v="Daily Sales Import"/>
    <n v="-6646.6781999999994"/>
    <n v="6646.6781999999994"/>
    <x v="0"/>
    <s v="2100"/>
    <s v="000"/>
    <x v="10"/>
    <x v="1"/>
  </r>
  <r>
    <d v="2012-08-17T00:00:00"/>
    <s v="016-2210-000"/>
    <s v="Liquor Sales"/>
    <n v="2007.48"/>
    <n v="0"/>
    <s v="Daily Sales Import"/>
    <n v="-2007.48"/>
    <n v="2007.48"/>
    <x v="0"/>
    <s v="2210"/>
    <s v="000"/>
    <x v="10"/>
    <x v="1"/>
  </r>
  <r>
    <d v="2012-08-17T00:00:00"/>
    <s v="016-2220-000"/>
    <s v="Beer Sales"/>
    <n v="276.13799999999998"/>
    <n v="0"/>
    <s v="Daily Sales Import"/>
    <n v="-276.13799999999998"/>
    <n v="276.13799999999998"/>
    <x v="0"/>
    <s v="2220"/>
    <s v="000"/>
    <x v="10"/>
    <x v="1"/>
  </r>
  <r>
    <d v="2012-08-17T00:00:00"/>
    <s v="016-2230-000"/>
    <s v="Wine Sales"/>
    <n v="89.662499999999994"/>
    <n v="0"/>
    <s v="Daily Sales Import"/>
    <n v="-89.662499999999994"/>
    <n v="89.662499999999994"/>
    <x v="0"/>
    <s v="2230"/>
    <s v="000"/>
    <x v="10"/>
    <x v="1"/>
  </r>
  <r>
    <d v="2012-08-18T00:00:00"/>
    <s v="016-2100-000"/>
    <s v="Food Sales"/>
    <n v="5853.2025000000003"/>
    <n v="0"/>
    <s v="Daily Sales Import"/>
    <n v="-5853.2025000000003"/>
    <n v="5853.2025000000003"/>
    <x v="0"/>
    <s v="2100"/>
    <s v="000"/>
    <x v="10"/>
    <x v="1"/>
  </r>
  <r>
    <d v="2012-08-18T00:00:00"/>
    <s v="016-2210-000"/>
    <s v="Liquor Sales"/>
    <n v="1669.068"/>
    <n v="0"/>
    <s v="Daily Sales Import"/>
    <n v="-1669.068"/>
    <n v="1669.068"/>
    <x v="0"/>
    <s v="2210"/>
    <s v="000"/>
    <x v="10"/>
    <x v="1"/>
  </r>
  <r>
    <d v="2012-08-18T00:00:00"/>
    <s v="016-2220-000"/>
    <s v="Beer Sales"/>
    <n v="210.33"/>
    <n v="0"/>
    <s v="Daily Sales Import"/>
    <n v="-210.33"/>
    <n v="210.33"/>
    <x v="0"/>
    <s v="2220"/>
    <s v="000"/>
    <x v="10"/>
    <x v="1"/>
  </r>
  <r>
    <d v="2012-08-18T00:00:00"/>
    <s v="016-2230-000"/>
    <s v="Wine Sales"/>
    <n v="69.45"/>
    <n v="0"/>
    <s v="Daily Sales Import"/>
    <n v="-69.45"/>
    <n v="69.45"/>
    <x v="0"/>
    <s v="2230"/>
    <s v="000"/>
    <x v="10"/>
    <x v="1"/>
  </r>
  <r>
    <d v="2012-08-19T00:00:00"/>
    <s v="016-2100-000"/>
    <s v="Food Sales"/>
    <n v="5909.6400999999996"/>
    <n v="0"/>
    <s v="Daily Sales Import"/>
    <n v="-5909.6400999999996"/>
    <n v="5909.6400999999996"/>
    <x v="0"/>
    <s v="2100"/>
    <s v="000"/>
    <x v="10"/>
    <x v="1"/>
  </r>
  <r>
    <d v="2012-08-19T00:00:00"/>
    <s v="016-2210-000"/>
    <s v="Liquor Sales"/>
    <n v="1150.7650000000001"/>
    <n v="0"/>
    <s v="Daily Sales Import"/>
    <n v="-1150.7650000000001"/>
    <n v="1150.7650000000001"/>
    <x v="0"/>
    <s v="2210"/>
    <s v="000"/>
    <x v="10"/>
    <x v="1"/>
  </r>
  <r>
    <d v="2012-08-19T00:00:00"/>
    <s v="016-2220-000"/>
    <s v="Beer Sales"/>
    <n v="258.78149999999999"/>
    <n v="0"/>
    <s v="Daily Sales Import"/>
    <n v="-258.78149999999999"/>
    <n v="258.78149999999999"/>
    <x v="0"/>
    <s v="2220"/>
    <s v="000"/>
    <x v="10"/>
    <x v="1"/>
  </r>
  <r>
    <d v="2012-08-19T00:00:00"/>
    <s v="016-2230-000"/>
    <s v="Wine Sales"/>
    <n v="38.556000000000004"/>
    <n v="0"/>
    <s v="Daily Sales Import"/>
    <n v="-38.556000000000004"/>
    <n v="38.556000000000004"/>
    <x v="0"/>
    <s v="2230"/>
    <s v="000"/>
    <x v="10"/>
    <x v="1"/>
  </r>
  <r>
    <d v="2012-08-13T00:00:00"/>
    <s v="017-2100-000"/>
    <s v="Food Sales"/>
    <n v="3159.4626000000003"/>
    <n v="0"/>
    <s v="Daily Sales Import"/>
    <n v="-3159.4626000000003"/>
    <n v="3159.4626000000003"/>
    <x v="1"/>
    <s v="2100"/>
    <s v="000"/>
    <x v="10"/>
    <x v="1"/>
  </r>
  <r>
    <d v="2012-08-13T00:00:00"/>
    <s v="017-2210-000"/>
    <s v="Liquor Sales"/>
    <n v="749.67200000000003"/>
    <n v="0"/>
    <s v="Daily Sales Import"/>
    <n v="-749.67200000000003"/>
    <n v="749.67200000000003"/>
    <x v="1"/>
    <s v="2210"/>
    <s v="000"/>
    <x v="10"/>
    <x v="1"/>
  </r>
  <r>
    <d v="2012-08-13T00:00:00"/>
    <s v="017-2220-000"/>
    <s v="Beer Sales"/>
    <n v="209.02"/>
    <n v="0"/>
    <s v="Daily Sales Import"/>
    <n v="-209.02"/>
    <n v="209.02"/>
    <x v="1"/>
    <s v="2220"/>
    <s v="000"/>
    <x v="10"/>
    <x v="1"/>
  </r>
  <r>
    <d v="2012-08-13T00:00:00"/>
    <s v="017-2230-000"/>
    <s v="Wine Sales"/>
    <n v="34.125"/>
    <n v="0"/>
    <s v="Daily Sales Import"/>
    <n v="-34.125"/>
    <n v="34.125"/>
    <x v="1"/>
    <s v="2230"/>
    <s v="000"/>
    <x v="10"/>
    <x v="1"/>
  </r>
  <r>
    <d v="2012-08-14T00:00:00"/>
    <s v="017-2100-000"/>
    <s v="Food Sales"/>
    <n v="5734.085"/>
    <n v="0"/>
    <s v="Daily Sales Import"/>
    <n v="-5734.085"/>
    <n v="5734.085"/>
    <x v="1"/>
    <s v="2100"/>
    <s v="000"/>
    <x v="10"/>
    <x v="1"/>
  </r>
  <r>
    <d v="2012-08-14T00:00:00"/>
    <s v="017-2210-000"/>
    <s v="Liquor Sales"/>
    <n v="2144.6999999999998"/>
    <n v="0"/>
    <s v="Daily Sales Import"/>
    <n v="-2144.6999999999998"/>
    <n v="2144.6999999999998"/>
    <x v="1"/>
    <s v="2210"/>
    <s v="000"/>
    <x v="10"/>
    <x v="1"/>
  </r>
  <r>
    <d v="2012-08-14T00:00:00"/>
    <s v="017-2220-000"/>
    <s v="Beer Sales"/>
    <n v="625.6"/>
    <n v="0"/>
    <s v="Daily Sales Import"/>
    <n v="-625.6"/>
    <n v="625.6"/>
    <x v="1"/>
    <s v="2220"/>
    <s v="000"/>
    <x v="10"/>
    <x v="1"/>
  </r>
  <r>
    <d v="2012-08-14T00:00:00"/>
    <s v="017-2230-000"/>
    <s v="Wine Sales"/>
    <n v="374.09850000000006"/>
    <n v="0"/>
    <s v="Daily Sales Import"/>
    <n v="-374.09850000000006"/>
    <n v="374.09850000000006"/>
    <x v="1"/>
    <s v="2230"/>
    <s v="000"/>
    <x v="10"/>
    <x v="1"/>
  </r>
  <r>
    <d v="2012-08-15T00:00:00"/>
    <s v="017-2100-000"/>
    <s v="Food Sales"/>
    <n v="6525.0612000000001"/>
    <n v="0"/>
    <s v="Daily Sales Import"/>
    <n v="-6525.0612000000001"/>
    <n v="6525.0612000000001"/>
    <x v="1"/>
    <s v="2100"/>
    <s v="000"/>
    <x v="10"/>
    <x v="1"/>
  </r>
  <r>
    <d v="2012-08-15T00:00:00"/>
    <s v="017-2210-000"/>
    <s v="Liquor Sales"/>
    <n v="2069.6879999999996"/>
    <n v="0"/>
    <s v="Daily Sales Import"/>
    <n v="-2069.6879999999996"/>
    <n v="2069.6879999999996"/>
    <x v="1"/>
    <s v="2210"/>
    <s v="000"/>
    <x v="10"/>
    <x v="1"/>
  </r>
  <r>
    <d v="2012-08-15T00:00:00"/>
    <s v="017-2220-000"/>
    <s v="Beer Sales"/>
    <n v="436.38000000000005"/>
    <n v="0"/>
    <s v="Daily Sales Import"/>
    <n v="-436.38000000000005"/>
    <n v="436.38000000000005"/>
    <x v="1"/>
    <s v="2220"/>
    <s v="000"/>
    <x v="10"/>
    <x v="1"/>
  </r>
  <r>
    <d v="2012-08-15T00:00:00"/>
    <s v="017-2230-000"/>
    <s v="Wine Sales"/>
    <n v="180.726"/>
    <n v="0"/>
    <s v="Daily Sales Import"/>
    <n v="-180.726"/>
    <n v="180.726"/>
    <x v="1"/>
    <s v="2230"/>
    <s v="000"/>
    <x v="10"/>
    <x v="1"/>
  </r>
  <r>
    <d v="2012-08-16T00:00:00"/>
    <s v="017-2100-000"/>
    <s v="Food Sales"/>
    <n v="5008.25"/>
    <n v="0"/>
    <s v="Daily Sales Import"/>
    <n v="-5008.25"/>
    <n v="5008.25"/>
    <x v="1"/>
    <s v="2100"/>
    <s v="000"/>
    <x v="10"/>
    <x v="1"/>
  </r>
  <r>
    <d v="2012-08-16T00:00:00"/>
    <s v="017-2210-000"/>
    <s v="Liquor Sales"/>
    <n v="1656.18"/>
    <n v="0"/>
    <s v="Daily Sales Import"/>
    <n v="-1656.18"/>
    <n v="1656.18"/>
    <x v="1"/>
    <s v="2210"/>
    <s v="000"/>
    <x v="10"/>
    <x v="1"/>
  </r>
  <r>
    <d v="2012-08-16T00:00:00"/>
    <s v="017-2220-000"/>
    <s v="Beer Sales"/>
    <n v="420.53749999999997"/>
    <n v="0"/>
    <s v="Daily Sales Import"/>
    <n v="-420.53749999999997"/>
    <n v="420.53749999999997"/>
    <x v="1"/>
    <s v="2220"/>
    <s v="000"/>
    <x v="10"/>
    <x v="1"/>
  </r>
  <r>
    <d v="2012-08-16T00:00:00"/>
    <s v="017-2230-000"/>
    <s v="Wine Sales"/>
    <n v="45.827999999999996"/>
    <n v="0"/>
    <s v="Daily Sales Import"/>
    <n v="-45.827999999999996"/>
    <n v="45.827999999999996"/>
    <x v="1"/>
    <s v="2230"/>
    <s v="000"/>
    <x v="10"/>
    <x v="1"/>
  </r>
  <r>
    <d v="2012-08-17T00:00:00"/>
    <s v="017-2100-000"/>
    <s v="Food Sales"/>
    <n v="6012.2535000000007"/>
    <n v="0"/>
    <s v="Daily Sales Import"/>
    <n v="-6012.2535000000007"/>
    <n v="6012.2535000000007"/>
    <x v="1"/>
    <s v="2100"/>
    <s v="000"/>
    <x v="10"/>
    <x v="1"/>
  </r>
  <r>
    <d v="2012-08-17T00:00:00"/>
    <s v="017-2210-000"/>
    <s v="Liquor Sales"/>
    <n v="1906.2720000000002"/>
    <n v="0"/>
    <s v="Daily Sales Import"/>
    <n v="-1906.2720000000002"/>
    <n v="1906.2720000000002"/>
    <x v="1"/>
    <s v="2210"/>
    <s v="000"/>
    <x v="10"/>
    <x v="1"/>
  </r>
  <r>
    <d v="2012-08-17T00:00:00"/>
    <s v="017-2220-000"/>
    <s v="Beer Sales"/>
    <n v="478.55500000000001"/>
    <n v="0"/>
    <s v="Daily Sales Import"/>
    <n v="-478.55500000000001"/>
    <n v="478.55500000000001"/>
    <x v="1"/>
    <s v="2220"/>
    <s v="000"/>
    <x v="10"/>
    <x v="1"/>
  </r>
  <r>
    <d v="2012-08-17T00:00:00"/>
    <s v="017-2230-000"/>
    <s v="Wine Sales"/>
    <n v="109.34000000000002"/>
    <n v="0"/>
    <s v="Daily Sales Import"/>
    <n v="-109.34000000000002"/>
    <n v="109.34000000000002"/>
    <x v="1"/>
    <s v="2230"/>
    <s v="000"/>
    <x v="10"/>
    <x v="1"/>
  </r>
  <r>
    <d v="2012-08-18T00:00:00"/>
    <s v="017-2100-000"/>
    <s v="Food Sales"/>
    <n v="5159.1819999999998"/>
    <n v="0"/>
    <s v="Daily Sales Import"/>
    <n v="-5159.1819999999998"/>
    <n v="5159.1819999999998"/>
    <x v="1"/>
    <s v="2100"/>
    <s v="000"/>
    <x v="10"/>
    <x v="1"/>
  </r>
  <r>
    <d v="2012-08-18T00:00:00"/>
    <s v="017-2210-000"/>
    <s v="Liquor Sales"/>
    <n v="1206.576"/>
    <n v="0"/>
    <s v="Daily Sales Import"/>
    <n v="-1206.576"/>
    <n v="1206.576"/>
    <x v="1"/>
    <s v="2210"/>
    <s v="000"/>
    <x v="10"/>
    <x v="1"/>
  </r>
  <r>
    <d v="2012-08-18T00:00:00"/>
    <s v="017-2220-000"/>
    <s v="Beer Sales"/>
    <n v="205.05749999999998"/>
    <n v="0"/>
    <s v="Daily Sales Import"/>
    <n v="-205.05749999999998"/>
    <n v="205.05749999999998"/>
    <x v="1"/>
    <s v="2220"/>
    <s v="000"/>
    <x v="10"/>
    <x v="1"/>
  </r>
  <r>
    <d v="2012-08-18T00:00:00"/>
    <s v="017-2230-000"/>
    <s v="Wine Sales"/>
    <n v="54.904499999999999"/>
    <n v="0"/>
    <s v="Daily Sales Import"/>
    <n v="-54.904499999999999"/>
    <n v="54.904499999999999"/>
    <x v="1"/>
    <s v="2230"/>
    <s v="000"/>
    <x v="10"/>
    <x v="1"/>
  </r>
  <r>
    <d v="2012-08-19T00:00:00"/>
    <s v="017-2100-000"/>
    <s v="Food Sales"/>
    <n v="3726.2040000000002"/>
    <n v="0"/>
    <s v="Daily Sales Import"/>
    <n v="-3726.2040000000002"/>
    <n v="3726.2040000000002"/>
    <x v="1"/>
    <s v="2100"/>
    <s v="000"/>
    <x v="10"/>
    <x v="1"/>
  </r>
  <r>
    <d v="2012-08-19T00:00:00"/>
    <s v="017-2210-000"/>
    <s v="Liquor Sales"/>
    <n v="930.85199999999986"/>
    <n v="0"/>
    <s v="Daily Sales Import"/>
    <n v="-930.85199999999986"/>
    <n v="930.85199999999986"/>
    <x v="1"/>
    <s v="2210"/>
    <s v="000"/>
    <x v="10"/>
    <x v="1"/>
  </r>
  <r>
    <d v="2012-08-19T00:00:00"/>
    <s v="017-2220-000"/>
    <s v="Beer Sales"/>
    <n v="260.97499999999997"/>
    <n v="0"/>
    <s v="Daily Sales Import"/>
    <n v="-260.97499999999997"/>
    <n v="260.97499999999997"/>
    <x v="1"/>
    <s v="2220"/>
    <s v="000"/>
    <x v="10"/>
    <x v="1"/>
  </r>
  <r>
    <d v="2012-08-19T00:00:00"/>
    <s v="017-2230-000"/>
    <s v="Wine Sales"/>
    <n v="62.648000000000003"/>
    <n v="0"/>
    <s v="Daily Sales Import"/>
    <n v="-62.648000000000003"/>
    <n v="62.648000000000003"/>
    <x v="1"/>
    <s v="2230"/>
    <s v="000"/>
    <x v="10"/>
    <x v="1"/>
  </r>
  <r>
    <d v="2012-08-13T00:00:00"/>
    <s v="018-2100-000"/>
    <s v="Food Sales"/>
    <n v="4509.0583999999999"/>
    <n v="0"/>
    <s v="Daily Sales Import"/>
    <n v="-4509.0583999999999"/>
    <n v="4509.0583999999999"/>
    <x v="2"/>
    <s v="2100"/>
    <s v="000"/>
    <x v="10"/>
    <x v="1"/>
  </r>
  <r>
    <d v="2012-08-13T00:00:00"/>
    <s v="018-2210-000"/>
    <s v="Liquor Sales"/>
    <n v="705.91500000000008"/>
    <n v="0"/>
    <s v="Daily Sales Import"/>
    <n v="-705.91500000000008"/>
    <n v="705.91500000000008"/>
    <x v="2"/>
    <s v="2210"/>
    <s v="000"/>
    <x v="10"/>
    <x v="1"/>
  </r>
  <r>
    <d v="2012-08-13T00:00:00"/>
    <s v="018-2220-000"/>
    <s v="Beer Sales"/>
    <n v="113.664"/>
    <n v="0"/>
    <s v="Daily Sales Import"/>
    <n v="-113.664"/>
    <n v="113.664"/>
    <x v="2"/>
    <s v="2220"/>
    <s v="000"/>
    <x v="10"/>
    <x v="1"/>
  </r>
  <r>
    <d v="2012-08-13T00:00:00"/>
    <s v="018-2230-000"/>
    <s v="Wine Sales"/>
    <n v="36.887999999999998"/>
    <n v="0"/>
    <s v="Daily Sales Import"/>
    <n v="-36.887999999999998"/>
    <n v="36.887999999999998"/>
    <x v="2"/>
    <s v="2230"/>
    <s v="000"/>
    <x v="10"/>
    <x v="1"/>
  </r>
  <r>
    <d v="2012-08-14T00:00:00"/>
    <s v="018-2100-000"/>
    <s v="Food Sales"/>
    <n v="5592.3174999999992"/>
    <n v="0"/>
    <s v="Daily Sales Import"/>
    <n v="-5592.3174999999992"/>
    <n v="5592.3174999999992"/>
    <x v="2"/>
    <s v="2100"/>
    <s v="000"/>
    <x v="10"/>
    <x v="1"/>
  </r>
  <r>
    <d v="2012-08-14T00:00:00"/>
    <s v="018-2210-000"/>
    <s v="Liquor Sales"/>
    <n v="1104.7590000000002"/>
    <n v="0"/>
    <s v="Daily Sales Import"/>
    <n v="-1104.7590000000002"/>
    <n v="1104.7590000000002"/>
    <x v="2"/>
    <s v="2210"/>
    <s v="000"/>
    <x v="10"/>
    <x v="1"/>
  </r>
  <r>
    <d v="2012-08-14T00:00:00"/>
    <s v="018-2220-000"/>
    <s v="Beer Sales"/>
    <n v="147.71549999999999"/>
    <n v="0"/>
    <s v="Daily Sales Import"/>
    <n v="-147.71549999999999"/>
    <n v="147.71549999999999"/>
    <x v="2"/>
    <s v="2220"/>
    <s v="000"/>
    <x v="10"/>
    <x v="1"/>
  </r>
  <r>
    <d v="2012-08-14T00:00:00"/>
    <s v="018-2230-000"/>
    <s v="Wine Sales"/>
    <n v="65.454999999999998"/>
    <n v="0"/>
    <s v="Daily Sales Import"/>
    <n v="-65.454999999999998"/>
    <n v="65.454999999999998"/>
    <x v="2"/>
    <s v="2230"/>
    <s v="000"/>
    <x v="10"/>
    <x v="1"/>
  </r>
  <r>
    <d v="2012-08-15T00:00:00"/>
    <s v="018-2100-000"/>
    <s v="Food Sales"/>
    <n v="4389.7246999999998"/>
    <n v="0"/>
    <s v="Daily Sales Import"/>
    <n v="-4389.7246999999998"/>
    <n v="4389.7246999999998"/>
    <x v="2"/>
    <s v="2100"/>
    <s v="000"/>
    <x v="10"/>
    <x v="1"/>
  </r>
  <r>
    <d v="2012-08-15T00:00:00"/>
    <s v="018-2210-000"/>
    <s v="Liquor Sales"/>
    <n v="2001.0435000000002"/>
    <n v="0"/>
    <s v="Daily Sales Import"/>
    <n v="-2001.0435000000002"/>
    <n v="2001.0435000000002"/>
    <x v="2"/>
    <s v="2210"/>
    <s v="000"/>
    <x v="10"/>
    <x v="1"/>
  </r>
  <r>
    <d v="2012-08-15T00:00:00"/>
    <s v="018-2220-000"/>
    <s v="Beer Sales"/>
    <n v="387.65999999999997"/>
    <n v="0"/>
    <s v="Daily Sales Import"/>
    <n v="-387.65999999999997"/>
    <n v="387.65999999999997"/>
    <x v="2"/>
    <s v="2220"/>
    <s v="000"/>
    <x v="10"/>
    <x v="1"/>
  </r>
  <r>
    <d v="2012-08-15T00:00:00"/>
    <s v="018-2230-000"/>
    <s v="Wine Sales"/>
    <n v="44.900500000000001"/>
    <n v="0"/>
    <s v="Daily Sales Import"/>
    <n v="-44.900500000000001"/>
    <n v="44.900500000000001"/>
    <x v="2"/>
    <s v="2230"/>
    <s v="000"/>
    <x v="10"/>
    <x v="1"/>
  </r>
  <r>
    <d v="2012-08-16T00:00:00"/>
    <s v="018-2100-000"/>
    <s v="Food Sales"/>
    <n v="5592.96"/>
    <n v="0"/>
    <s v="Daily Sales Import"/>
    <n v="-5592.96"/>
    <n v="5592.96"/>
    <x v="2"/>
    <s v="2100"/>
    <s v="000"/>
    <x v="10"/>
    <x v="1"/>
  </r>
  <r>
    <d v="2012-08-16T00:00:00"/>
    <s v="018-2210-000"/>
    <s v="Liquor Sales"/>
    <n v="1185.182"/>
    <n v="0"/>
    <s v="Daily Sales Import"/>
    <n v="-1185.182"/>
    <n v="1185.182"/>
    <x v="2"/>
    <s v="2210"/>
    <s v="000"/>
    <x v="10"/>
    <x v="1"/>
  </r>
  <r>
    <d v="2012-08-16T00:00:00"/>
    <s v="018-2220-000"/>
    <s v="Beer Sales"/>
    <n v="313.02600000000001"/>
    <n v="0"/>
    <s v="Daily Sales Import"/>
    <n v="-313.02600000000001"/>
    <n v="313.02600000000001"/>
    <x v="2"/>
    <s v="2220"/>
    <s v="000"/>
    <x v="10"/>
    <x v="1"/>
  </r>
  <r>
    <d v="2012-08-16T00:00:00"/>
    <s v="018-2230-000"/>
    <s v="Wine Sales"/>
    <n v="59.364000000000004"/>
    <n v="0"/>
    <s v="Daily Sales Import"/>
    <n v="-59.364000000000004"/>
    <n v="59.364000000000004"/>
    <x v="2"/>
    <s v="2230"/>
    <s v="000"/>
    <x v="10"/>
    <x v="1"/>
  </r>
  <r>
    <d v="2012-08-17T00:00:00"/>
    <s v="018-2100-000"/>
    <s v="Food Sales"/>
    <n v="12479.657500000001"/>
    <n v="0"/>
    <s v="Daily Sales Import"/>
    <n v="-12479.657500000001"/>
    <n v="12479.657500000001"/>
    <x v="2"/>
    <s v="2100"/>
    <s v="000"/>
    <x v="10"/>
    <x v="1"/>
  </r>
  <r>
    <d v="2012-08-17T00:00:00"/>
    <s v="018-2210-000"/>
    <s v="Liquor Sales"/>
    <n v="1827.36"/>
    <n v="0"/>
    <s v="Daily Sales Import"/>
    <n v="-1827.36"/>
    <n v="1827.36"/>
    <x v="2"/>
    <s v="2210"/>
    <s v="000"/>
    <x v="10"/>
    <x v="1"/>
  </r>
  <r>
    <d v="2012-08-17T00:00:00"/>
    <s v="018-2220-000"/>
    <s v="Beer Sales"/>
    <n v="705.83400000000006"/>
    <n v="0"/>
    <s v="Daily Sales Import"/>
    <n v="-705.83400000000006"/>
    <n v="705.83400000000006"/>
    <x v="2"/>
    <s v="2220"/>
    <s v="000"/>
    <x v="10"/>
    <x v="1"/>
  </r>
  <r>
    <d v="2012-08-17T00:00:00"/>
    <s v="018-2230-000"/>
    <s v="Wine Sales"/>
    <n v="140.31"/>
    <n v="0"/>
    <s v="Daily Sales Import"/>
    <n v="-140.31"/>
    <n v="140.31"/>
    <x v="2"/>
    <s v="2230"/>
    <s v="000"/>
    <x v="10"/>
    <x v="1"/>
  </r>
  <r>
    <d v="2012-08-18T00:00:00"/>
    <s v="018-2100-000"/>
    <s v="Food Sales"/>
    <n v="13647.647999999999"/>
    <n v="0"/>
    <s v="Daily Sales Import"/>
    <n v="-13647.647999999999"/>
    <n v="13647.647999999999"/>
    <x v="2"/>
    <s v="2100"/>
    <s v="000"/>
    <x v="10"/>
    <x v="1"/>
  </r>
  <r>
    <d v="2012-08-18T00:00:00"/>
    <s v="018-2210-000"/>
    <s v="Liquor Sales"/>
    <n v="2451.8074999999999"/>
    <n v="0"/>
    <s v="Daily Sales Import"/>
    <n v="-2451.8074999999999"/>
    <n v="2451.8074999999999"/>
    <x v="2"/>
    <s v="2210"/>
    <s v="000"/>
    <x v="10"/>
    <x v="1"/>
  </r>
  <r>
    <d v="2012-08-18T00:00:00"/>
    <s v="018-2220-000"/>
    <s v="Beer Sales"/>
    <n v="576.67949999999996"/>
    <n v="0"/>
    <s v="Daily Sales Import"/>
    <n v="-576.67949999999996"/>
    <n v="576.67949999999996"/>
    <x v="2"/>
    <s v="2220"/>
    <s v="000"/>
    <x v="10"/>
    <x v="1"/>
  </r>
  <r>
    <d v="2012-08-18T00:00:00"/>
    <s v="018-2230-000"/>
    <s v="Wine Sales"/>
    <n v="134.93700000000001"/>
    <n v="0"/>
    <s v="Daily Sales Import"/>
    <n v="-134.93700000000001"/>
    <n v="134.93700000000001"/>
    <x v="2"/>
    <s v="2230"/>
    <s v="000"/>
    <x v="10"/>
    <x v="1"/>
  </r>
  <r>
    <d v="2012-08-19T00:00:00"/>
    <s v="018-2100-000"/>
    <s v="Food Sales"/>
    <n v="6815.474400000001"/>
    <n v="0"/>
    <s v="Daily Sales Import"/>
    <n v="-6815.474400000001"/>
    <n v="6815.474400000001"/>
    <x v="2"/>
    <s v="2100"/>
    <s v="000"/>
    <x v="10"/>
    <x v="1"/>
  </r>
  <r>
    <d v="2012-08-19T00:00:00"/>
    <s v="018-2210-000"/>
    <s v="Liquor Sales"/>
    <n v="1127.6400000000001"/>
    <n v="0"/>
    <s v="Daily Sales Import"/>
    <n v="-1127.6400000000001"/>
    <n v="1127.6400000000001"/>
    <x v="2"/>
    <s v="2210"/>
    <s v="000"/>
    <x v="10"/>
    <x v="1"/>
  </r>
  <r>
    <d v="2012-08-19T00:00:00"/>
    <s v="018-2220-000"/>
    <s v="Beer Sales"/>
    <n v="310.5"/>
    <n v="0"/>
    <s v="Daily Sales Import"/>
    <n v="-310.5"/>
    <n v="310.5"/>
    <x v="2"/>
    <s v="2220"/>
    <s v="000"/>
    <x v="10"/>
    <x v="1"/>
  </r>
  <r>
    <d v="2012-08-19T00:00:00"/>
    <s v="018-2230-000"/>
    <s v="Wine Sales"/>
    <n v="82.45"/>
    <n v="0"/>
    <s v="Daily Sales Import"/>
    <n v="-82.45"/>
    <n v="82.45"/>
    <x v="2"/>
    <s v="2230"/>
    <s v="000"/>
    <x v="10"/>
    <x v="1"/>
  </r>
  <r>
    <d v="2012-08-20T00:00:00"/>
    <s v="016-2100-000"/>
    <s v="Food Sales"/>
    <n v="1604.2880000000002"/>
    <n v="0"/>
    <s v="Daily Sales Import"/>
    <n v="-1604.2880000000002"/>
    <n v="1604.2880000000002"/>
    <x v="0"/>
    <s v="2100"/>
    <s v="000"/>
    <x v="10"/>
    <x v="1"/>
  </r>
  <r>
    <d v="2012-08-20T00:00:00"/>
    <s v="016-2210-000"/>
    <s v="Liquor Sales"/>
    <n v="466.70499999999998"/>
    <n v="0"/>
    <s v="Daily Sales Import"/>
    <n v="-466.70499999999998"/>
    <n v="466.70499999999998"/>
    <x v="0"/>
    <s v="2210"/>
    <s v="000"/>
    <x v="10"/>
    <x v="1"/>
  </r>
  <r>
    <d v="2012-08-20T00:00:00"/>
    <s v="016-2220-000"/>
    <s v="Beer Sales"/>
    <n v="61.792500000000004"/>
    <n v="0"/>
    <s v="Daily Sales Import"/>
    <n v="-61.792500000000004"/>
    <n v="61.792500000000004"/>
    <x v="0"/>
    <s v="2220"/>
    <s v="000"/>
    <x v="10"/>
    <x v="1"/>
  </r>
  <r>
    <d v="2012-08-20T00:00:00"/>
    <s v="016-2230-000"/>
    <s v="Wine Sales"/>
    <n v="120.33"/>
    <n v="0"/>
    <s v="Daily Sales Import"/>
    <n v="-120.33"/>
    <n v="120.33"/>
    <x v="0"/>
    <s v="2230"/>
    <s v="000"/>
    <x v="10"/>
    <x v="1"/>
  </r>
  <r>
    <d v="2012-08-21T00:00:00"/>
    <s v="016-2100-000"/>
    <s v="Food Sales"/>
    <n v="4874.5917000000009"/>
    <n v="0"/>
    <s v="Daily Sales Import"/>
    <n v="-4874.5917000000009"/>
    <n v="4874.5917000000009"/>
    <x v="0"/>
    <s v="2100"/>
    <s v="000"/>
    <x v="10"/>
    <x v="1"/>
  </r>
  <r>
    <d v="2012-08-21T00:00:00"/>
    <s v="016-2210-000"/>
    <s v="Liquor Sales"/>
    <n v="1571.9459999999999"/>
    <n v="0"/>
    <s v="Daily Sales Import"/>
    <n v="-1571.9459999999999"/>
    <n v="1571.9459999999999"/>
    <x v="0"/>
    <s v="2210"/>
    <s v="000"/>
    <x v="10"/>
    <x v="1"/>
  </r>
  <r>
    <d v="2012-08-21T00:00:00"/>
    <s v="016-2220-000"/>
    <s v="Beer Sales"/>
    <n v="704.72609999999997"/>
    <n v="0"/>
    <s v="Daily Sales Import"/>
    <n v="-704.72609999999997"/>
    <n v="704.72609999999997"/>
    <x v="0"/>
    <s v="2220"/>
    <s v="000"/>
    <x v="10"/>
    <x v="1"/>
  </r>
  <r>
    <d v="2012-08-21T00:00:00"/>
    <s v="016-2230-000"/>
    <s v="Wine Sales"/>
    <n v="129.92899999999997"/>
    <n v="0"/>
    <s v="Daily Sales Import"/>
    <n v="-129.92899999999997"/>
    <n v="129.92899999999997"/>
    <x v="0"/>
    <s v="2230"/>
    <s v="000"/>
    <x v="10"/>
    <x v="1"/>
  </r>
  <r>
    <d v="2012-08-22T00:00:00"/>
    <s v="016-2100-000"/>
    <s v="Food Sales"/>
    <n v="2341.5728999999997"/>
    <n v="0"/>
    <s v="Daily Sales Import"/>
    <n v="-2341.5728999999997"/>
    <n v="2341.5728999999997"/>
    <x v="0"/>
    <s v="2100"/>
    <s v="000"/>
    <x v="10"/>
    <x v="1"/>
  </r>
  <r>
    <d v="2012-08-22T00:00:00"/>
    <s v="016-2210-000"/>
    <s v="Liquor Sales"/>
    <n v="1000.9090000000001"/>
    <n v="0"/>
    <s v="Daily Sales Import"/>
    <n v="-1000.9090000000001"/>
    <n v="1000.9090000000001"/>
    <x v="0"/>
    <s v="2210"/>
    <s v="000"/>
    <x v="10"/>
    <x v="1"/>
  </r>
  <r>
    <d v="2012-08-22T00:00:00"/>
    <s v="016-2220-000"/>
    <s v="Beer Sales"/>
    <n v="68.72699999999999"/>
    <n v="0"/>
    <s v="Daily Sales Import"/>
    <n v="-68.72699999999999"/>
    <n v="68.72699999999999"/>
    <x v="0"/>
    <s v="2220"/>
    <s v="000"/>
    <x v="10"/>
    <x v="1"/>
  </r>
  <r>
    <d v="2012-08-22T00:00:00"/>
    <s v="016-2230-000"/>
    <s v="Wine Sales"/>
    <n v="32.064999999999998"/>
    <n v="0"/>
    <s v="Daily Sales Import"/>
    <n v="-32.064999999999998"/>
    <n v="32.064999999999998"/>
    <x v="0"/>
    <s v="2230"/>
    <s v="000"/>
    <x v="10"/>
    <x v="1"/>
  </r>
  <r>
    <d v="2012-08-23T00:00:00"/>
    <s v="016-2100-000"/>
    <s v="Food Sales"/>
    <n v="3203.0567999999994"/>
    <n v="0"/>
    <s v="Daily Sales Import"/>
    <n v="-3203.0567999999994"/>
    <n v="3203.0567999999994"/>
    <x v="0"/>
    <s v="2100"/>
    <s v="000"/>
    <x v="10"/>
    <x v="1"/>
  </r>
  <r>
    <d v="2012-08-23T00:00:00"/>
    <s v="016-2210-000"/>
    <s v="Liquor Sales"/>
    <n v="837.68"/>
    <n v="0"/>
    <s v="Daily Sales Import"/>
    <n v="-837.68"/>
    <n v="837.68"/>
    <x v="0"/>
    <s v="2210"/>
    <s v="000"/>
    <x v="10"/>
    <x v="1"/>
  </r>
  <r>
    <d v="2012-08-23T00:00:00"/>
    <s v="016-2220-000"/>
    <s v="Beer Sales"/>
    <n v="173.988"/>
    <n v="0"/>
    <s v="Daily Sales Import"/>
    <n v="-173.988"/>
    <n v="173.988"/>
    <x v="0"/>
    <s v="2220"/>
    <s v="000"/>
    <x v="10"/>
    <x v="1"/>
  </r>
  <r>
    <d v="2012-08-23T00:00:00"/>
    <s v="016-2230-000"/>
    <s v="Wine Sales"/>
    <n v="125.96999999999998"/>
    <n v="0"/>
    <s v="Daily Sales Import"/>
    <n v="-125.96999999999998"/>
    <n v="125.96999999999998"/>
    <x v="0"/>
    <s v="2230"/>
    <s v="000"/>
    <x v="10"/>
    <x v="1"/>
  </r>
  <r>
    <d v="2012-08-24T00:00:00"/>
    <s v="016-2100-000"/>
    <s v="Food Sales"/>
    <n v="6012.1838999999991"/>
    <n v="0"/>
    <s v="Daily Sales Import"/>
    <n v="-6012.1838999999991"/>
    <n v="6012.1838999999991"/>
    <x v="0"/>
    <s v="2100"/>
    <s v="000"/>
    <x v="10"/>
    <x v="1"/>
  </r>
  <r>
    <d v="2012-08-24T00:00:00"/>
    <s v="016-2210-000"/>
    <s v="Liquor Sales"/>
    <n v="2372.6559999999999"/>
    <n v="0"/>
    <s v="Daily Sales Import"/>
    <n v="-2372.6559999999999"/>
    <n v="2372.6559999999999"/>
    <x v="0"/>
    <s v="2210"/>
    <s v="000"/>
    <x v="10"/>
    <x v="1"/>
  </r>
  <r>
    <d v="2012-08-24T00:00:00"/>
    <s v="016-2220-000"/>
    <s v="Beer Sales"/>
    <n v="559.59749999999997"/>
    <n v="0"/>
    <s v="Daily Sales Import"/>
    <n v="-559.59749999999997"/>
    <n v="559.59749999999997"/>
    <x v="0"/>
    <s v="2220"/>
    <s v="000"/>
    <x v="10"/>
    <x v="1"/>
  </r>
  <r>
    <d v="2012-08-24T00:00:00"/>
    <s v="016-2230-000"/>
    <s v="Wine Sales"/>
    <n v="168.14999999999998"/>
    <n v="0"/>
    <s v="Daily Sales Import"/>
    <n v="-168.14999999999998"/>
    <n v="168.14999999999998"/>
    <x v="0"/>
    <s v="2230"/>
    <s v="000"/>
    <x v="10"/>
    <x v="1"/>
  </r>
  <r>
    <d v="2012-08-25T00:00:00"/>
    <s v="016-2100-000"/>
    <s v="Food Sales"/>
    <n v="7198.7697000000007"/>
    <n v="0"/>
    <s v="Daily Sales Import"/>
    <n v="-7198.7697000000007"/>
    <n v="7198.7697000000007"/>
    <x v="0"/>
    <s v="2100"/>
    <s v="000"/>
    <x v="10"/>
    <x v="1"/>
  </r>
  <r>
    <d v="2012-08-25T00:00:00"/>
    <s v="016-2210-000"/>
    <s v="Liquor Sales"/>
    <n v="2747.6849999999999"/>
    <n v="0"/>
    <s v="Daily Sales Import"/>
    <n v="-2747.6849999999999"/>
    <n v="2747.6849999999999"/>
    <x v="0"/>
    <s v="2210"/>
    <s v="000"/>
    <x v="10"/>
    <x v="1"/>
  </r>
  <r>
    <d v="2012-08-25T00:00:00"/>
    <s v="016-2220-000"/>
    <s v="Beer Sales"/>
    <n v="302.49599999999998"/>
    <n v="0"/>
    <s v="Daily Sales Import"/>
    <n v="-302.49599999999998"/>
    <n v="302.49599999999998"/>
    <x v="0"/>
    <s v="2220"/>
    <s v="000"/>
    <x v="10"/>
    <x v="1"/>
  </r>
  <r>
    <d v="2012-08-25T00:00:00"/>
    <s v="016-2230-000"/>
    <s v="Wine Sales"/>
    <n v="90.847999999999999"/>
    <n v="0"/>
    <s v="Daily Sales Import"/>
    <n v="-90.847999999999999"/>
    <n v="90.847999999999999"/>
    <x v="0"/>
    <s v="2230"/>
    <s v="000"/>
    <x v="10"/>
    <x v="1"/>
  </r>
  <r>
    <d v="2012-08-26T00:00:00"/>
    <s v="016-2100-000"/>
    <s v="Food Sales"/>
    <n v="1118.2649999999999"/>
    <n v="0"/>
    <s v="Daily Sales Import"/>
    <n v="-1118.2649999999999"/>
    <n v="1118.2649999999999"/>
    <x v="0"/>
    <s v="2100"/>
    <s v="000"/>
    <x v="10"/>
    <x v="1"/>
  </r>
  <r>
    <d v="2012-08-26T00:00:00"/>
    <s v="016-2210-000"/>
    <s v="Liquor Sales"/>
    <n v="248.24799999999999"/>
    <n v="0"/>
    <s v="Daily Sales Import"/>
    <n v="-248.24799999999999"/>
    <n v="248.24799999999999"/>
    <x v="0"/>
    <s v="2210"/>
    <s v="000"/>
    <x v="10"/>
    <x v="1"/>
  </r>
  <r>
    <d v="2012-08-26T00:00:00"/>
    <s v="016-2220-000"/>
    <s v="Beer Sales"/>
    <n v="43.375499999999995"/>
    <n v="0"/>
    <s v="Daily Sales Import"/>
    <n v="-43.375499999999995"/>
    <n v="43.375499999999995"/>
    <x v="0"/>
    <s v="2220"/>
    <s v="000"/>
    <x v="10"/>
    <x v="1"/>
  </r>
  <r>
    <d v="2012-08-26T00:00:00"/>
    <s v="016-2230-000"/>
    <s v="Wine Sales"/>
    <n v="21.975999999999999"/>
    <n v="0"/>
    <s v="Daily Sales Import"/>
    <n v="-21.975999999999999"/>
    <n v="21.975999999999999"/>
    <x v="0"/>
    <s v="2230"/>
    <s v="000"/>
    <x v="10"/>
    <x v="1"/>
  </r>
  <r>
    <d v="2012-08-20T00:00:00"/>
    <s v="017-2100-000"/>
    <s v="Food Sales"/>
    <n v="3340.81"/>
    <n v="0"/>
    <s v="Daily Sales Import"/>
    <n v="-3340.81"/>
    <n v="3340.81"/>
    <x v="1"/>
    <s v="2100"/>
    <s v="000"/>
    <x v="10"/>
    <x v="1"/>
  </r>
  <r>
    <d v="2012-08-20T00:00:00"/>
    <s v="017-2210-000"/>
    <s v="Liquor Sales"/>
    <n v="951.048"/>
    <n v="0"/>
    <s v="Daily Sales Import"/>
    <n v="-951.048"/>
    <n v="951.048"/>
    <x v="1"/>
    <s v="2210"/>
    <s v="000"/>
    <x v="10"/>
    <x v="1"/>
  </r>
  <r>
    <d v="2012-08-20T00:00:00"/>
    <s v="017-2220-000"/>
    <s v="Beer Sales"/>
    <n v="229.79999999999998"/>
    <n v="0"/>
    <s v="Daily Sales Import"/>
    <n v="-229.79999999999998"/>
    <n v="229.79999999999998"/>
    <x v="1"/>
    <s v="2220"/>
    <s v="000"/>
    <x v="10"/>
    <x v="1"/>
  </r>
  <r>
    <d v="2012-08-20T00:00:00"/>
    <s v="017-2230-000"/>
    <s v="Wine Sales"/>
    <n v="39.855999999999995"/>
    <n v="0"/>
    <s v="Daily Sales Import"/>
    <n v="-39.855999999999995"/>
    <n v="39.855999999999995"/>
    <x v="1"/>
    <s v="2230"/>
    <s v="000"/>
    <x v="10"/>
    <x v="1"/>
  </r>
  <r>
    <d v="2012-08-21T00:00:00"/>
    <s v="017-2100-000"/>
    <s v="Food Sales"/>
    <n v="6530.0824999999995"/>
    <n v="0"/>
    <s v="Daily Sales Import"/>
    <n v="-6530.0824999999995"/>
    <n v="6530.0824999999995"/>
    <x v="1"/>
    <s v="2100"/>
    <s v="000"/>
    <x v="10"/>
    <x v="1"/>
  </r>
  <r>
    <d v="2012-08-21T00:00:00"/>
    <s v="017-2210-000"/>
    <s v="Liquor Sales"/>
    <n v="2507.9249999999997"/>
    <n v="0"/>
    <s v="Daily Sales Import"/>
    <n v="-2507.9249999999997"/>
    <n v="2507.9249999999997"/>
    <x v="1"/>
    <s v="2210"/>
    <s v="000"/>
    <x v="10"/>
    <x v="1"/>
  </r>
  <r>
    <d v="2012-08-21T00:00:00"/>
    <s v="017-2220-000"/>
    <s v="Beer Sales"/>
    <n v="445.76"/>
    <n v="0"/>
    <s v="Daily Sales Import"/>
    <n v="-445.76"/>
    <n v="445.76"/>
    <x v="1"/>
    <s v="2220"/>
    <s v="000"/>
    <x v="10"/>
    <x v="1"/>
  </r>
  <r>
    <d v="2012-08-21T00:00:00"/>
    <s v="017-2230-000"/>
    <s v="Wine Sales"/>
    <n v="99.179000000000002"/>
    <n v="0"/>
    <s v="Daily Sales Import"/>
    <n v="-99.179000000000002"/>
    <n v="99.179000000000002"/>
    <x v="1"/>
    <s v="2230"/>
    <s v="000"/>
    <x v="10"/>
    <x v="1"/>
  </r>
  <r>
    <d v="2012-08-22T00:00:00"/>
    <s v="017-2100-000"/>
    <s v="Food Sales"/>
    <n v="8595.2551000000003"/>
    <n v="0"/>
    <s v="Daily Sales Import"/>
    <n v="-8595.2551000000003"/>
    <n v="8595.2551000000003"/>
    <x v="1"/>
    <s v="2100"/>
    <s v="000"/>
    <x v="10"/>
    <x v="1"/>
  </r>
  <r>
    <d v="2012-08-22T00:00:00"/>
    <s v="017-2210-000"/>
    <s v="Liquor Sales"/>
    <n v="1628.8219999999999"/>
    <n v="0"/>
    <s v="Daily Sales Import"/>
    <n v="-1628.8219999999999"/>
    <n v="1628.8219999999999"/>
    <x v="1"/>
    <s v="2210"/>
    <s v="000"/>
    <x v="10"/>
    <x v="1"/>
  </r>
  <r>
    <d v="2012-08-22T00:00:00"/>
    <s v="017-2220-000"/>
    <s v="Beer Sales"/>
    <n v="465.79500000000002"/>
    <n v="0"/>
    <s v="Daily Sales Import"/>
    <n v="-465.79500000000002"/>
    <n v="465.79500000000002"/>
    <x v="1"/>
    <s v="2220"/>
    <s v="000"/>
    <x v="10"/>
    <x v="1"/>
  </r>
  <r>
    <d v="2012-08-22T00:00:00"/>
    <s v="017-2230-000"/>
    <s v="Wine Sales"/>
    <n v="73.871999999999986"/>
    <n v="0"/>
    <s v="Daily Sales Import"/>
    <n v="-73.871999999999986"/>
    <n v="73.871999999999986"/>
    <x v="1"/>
    <s v="2230"/>
    <s v="000"/>
    <x v="10"/>
    <x v="1"/>
  </r>
  <r>
    <d v="2012-08-23T00:00:00"/>
    <s v="017-2100-000"/>
    <s v="Food Sales"/>
    <n v="4142.1819999999998"/>
    <n v="0"/>
    <s v="Daily Sales Import"/>
    <n v="-4142.1819999999998"/>
    <n v="4142.1819999999998"/>
    <x v="1"/>
    <s v="2100"/>
    <s v="000"/>
    <x v="10"/>
    <x v="1"/>
  </r>
  <r>
    <d v="2012-08-23T00:00:00"/>
    <s v="017-2210-000"/>
    <s v="Liquor Sales"/>
    <n v="1246.4404999999999"/>
    <n v="0"/>
    <s v="Daily Sales Import"/>
    <n v="-1246.4404999999999"/>
    <n v="1246.4404999999999"/>
    <x v="1"/>
    <s v="2210"/>
    <s v="000"/>
    <x v="10"/>
    <x v="1"/>
  </r>
  <r>
    <d v="2012-08-23T00:00:00"/>
    <s v="017-2220-000"/>
    <s v="Beer Sales"/>
    <n v="559.54999999999995"/>
    <n v="0"/>
    <s v="Daily Sales Import"/>
    <n v="-559.54999999999995"/>
    <n v="559.54999999999995"/>
    <x v="1"/>
    <s v="2220"/>
    <s v="000"/>
    <x v="10"/>
    <x v="1"/>
  </r>
  <r>
    <d v="2012-08-23T00:00:00"/>
    <s v="017-2230-000"/>
    <s v="Wine Sales"/>
    <n v="80.037499999999994"/>
    <n v="0"/>
    <s v="Daily Sales Import"/>
    <n v="-80.037499999999994"/>
    <n v="80.037499999999994"/>
    <x v="1"/>
    <s v="2230"/>
    <s v="000"/>
    <x v="10"/>
    <x v="1"/>
  </r>
  <r>
    <d v="2012-08-24T00:00:00"/>
    <s v="017-2100-000"/>
    <s v="Food Sales"/>
    <n v="6594.1707999999999"/>
    <n v="0"/>
    <s v="Daily Sales Import"/>
    <n v="-6594.1707999999999"/>
    <n v="6594.1707999999999"/>
    <x v="1"/>
    <s v="2100"/>
    <s v="000"/>
    <x v="10"/>
    <x v="1"/>
  </r>
  <r>
    <d v="2012-08-24T00:00:00"/>
    <s v="017-2210-000"/>
    <s v="Liquor Sales"/>
    <n v="2449.48"/>
    <n v="0"/>
    <s v="Daily Sales Import"/>
    <n v="-2449.48"/>
    <n v="2449.48"/>
    <x v="1"/>
    <s v="2210"/>
    <s v="000"/>
    <x v="10"/>
    <x v="1"/>
  </r>
  <r>
    <d v="2012-08-24T00:00:00"/>
    <s v="017-2220-000"/>
    <s v="Beer Sales"/>
    <n v="521.85"/>
    <n v="0"/>
    <s v="Daily Sales Import"/>
    <n v="-521.85"/>
    <n v="521.85"/>
    <x v="1"/>
    <s v="2220"/>
    <s v="000"/>
    <x v="10"/>
    <x v="1"/>
  </r>
  <r>
    <d v="2012-08-24T00:00:00"/>
    <s v="017-2230-000"/>
    <s v="Wine Sales"/>
    <n v="117.40649999999999"/>
    <n v="0"/>
    <s v="Daily Sales Import"/>
    <n v="-117.40649999999999"/>
    <n v="117.40649999999999"/>
    <x v="1"/>
    <s v="2230"/>
    <s v="000"/>
    <x v="10"/>
    <x v="1"/>
  </r>
  <r>
    <d v="2012-08-25T00:00:00"/>
    <s v="017-2100-000"/>
    <s v="Food Sales"/>
    <n v="6845.4126000000006"/>
    <n v="0"/>
    <s v="Daily Sales Import"/>
    <n v="-6845.4126000000006"/>
    <n v="6845.4126000000006"/>
    <x v="1"/>
    <s v="2100"/>
    <s v="000"/>
    <x v="10"/>
    <x v="1"/>
  </r>
  <r>
    <d v="2012-08-25T00:00:00"/>
    <s v="017-2210-000"/>
    <s v="Liquor Sales"/>
    <n v="1441.221"/>
    <n v="0"/>
    <s v="Daily Sales Import"/>
    <n v="-1441.221"/>
    <n v="1441.221"/>
    <x v="1"/>
    <s v="2210"/>
    <s v="000"/>
    <x v="10"/>
    <x v="1"/>
  </r>
  <r>
    <d v="2012-08-25T00:00:00"/>
    <s v="017-2220-000"/>
    <s v="Beer Sales"/>
    <n v="554.32499999999993"/>
    <n v="0"/>
    <s v="Daily Sales Import"/>
    <n v="-554.32499999999993"/>
    <n v="554.32499999999993"/>
    <x v="1"/>
    <s v="2220"/>
    <s v="000"/>
    <x v="10"/>
    <x v="1"/>
  </r>
  <r>
    <d v="2012-08-25T00:00:00"/>
    <s v="017-2230-000"/>
    <s v="Wine Sales"/>
    <n v="111.49199999999999"/>
    <n v="0"/>
    <s v="Daily Sales Import"/>
    <n v="-111.49199999999999"/>
    <n v="111.49199999999999"/>
    <x v="1"/>
    <s v="2230"/>
    <s v="000"/>
    <x v="10"/>
    <x v="1"/>
  </r>
  <r>
    <d v="2012-08-26T00:00:00"/>
    <s v="017-2100-000"/>
    <s v="Food Sales"/>
    <n v="5692.3923999999997"/>
    <n v="0"/>
    <s v="Daily Sales Import"/>
    <n v="-5692.3923999999997"/>
    <n v="5692.3923999999997"/>
    <x v="1"/>
    <s v="2100"/>
    <s v="000"/>
    <x v="10"/>
    <x v="1"/>
  </r>
  <r>
    <d v="2012-08-26T00:00:00"/>
    <s v="017-2210-000"/>
    <s v="Liquor Sales"/>
    <n v="1172.1099999999999"/>
    <n v="0"/>
    <s v="Daily Sales Import"/>
    <n v="-1172.1099999999999"/>
    <n v="1172.1099999999999"/>
    <x v="1"/>
    <s v="2210"/>
    <s v="000"/>
    <x v="10"/>
    <x v="1"/>
  </r>
  <r>
    <d v="2012-08-26T00:00:00"/>
    <s v="017-2220-000"/>
    <s v="Beer Sales"/>
    <n v="144.84"/>
    <n v="0"/>
    <s v="Daily Sales Import"/>
    <n v="-144.84"/>
    <n v="144.84"/>
    <x v="1"/>
    <s v="2220"/>
    <s v="000"/>
    <x v="10"/>
    <x v="1"/>
  </r>
  <r>
    <d v="2012-08-26T00:00:00"/>
    <s v="017-2230-000"/>
    <s v="Wine Sales"/>
    <n v="71.72"/>
    <n v="0"/>
    <s v="Daily Sales Import"/>
    <n v="-71.72"/>
    <n v="71.72"/>
    <x v="1"/>
    <s v="2230"/>
    <s v="000"/>
    <x v="10"/>
    <x v="1"/>
  </r>
  <r>
    <d v="2012-08-20T00:00:00"/>
    <s v="018-2100-000"/>
    <s v="Food Sales"/>
    <n v="4722.2865999999995"/>
    <n v="0"/>
    <s v="Daily Sales Import"/>
    <n v="-4722.2865999999995"/>
    <n v="4722.2865999999995"/>
    <x v="2"/>
    <s v="2100"/>
    <s v="000"/>
    <x v="10"/>
    <x v="1"/>
  </r>
  <r>
    <d v="2012-08-20T00:00:00"/>
    <s v="018-2210-000"/>
    <s v="Liquor Sales"/>
    <n v="751.63199999999995"/>
    <n v="0"/>
    <s v="Daily Sales Import"/>
    <n v="-751.63199999999995"/>
    <n v="751.63199999999995"/>
    <x v="2"/>
    <s v="2210"/>
    <s v="000"/>
    <x v="10"/>
    <x v="1"/>
  </r>
  <r>
    <d v="2012-08-20T00:00:00"/>
    <s v="018-2220-000"/>
    <s v="Beer Sales"/>
    <n v="173.41649999999998"/>
    <n v="0"/>
    <s v="Daily Sales Import"/>
    <n v="-173.41649999999998"/>
    <n v="173.41649999999998"/>
    <x v="2"/>
    <s v="2220"/>
    <s v="000"/>
    <x v="10"/>
    <x v="1"/>
  </r>
  <r>
    <d v="2012-08-20T00:00:00"/>
    <s v="018-2230-000"/>
    <s v="Wine Sales"/>
    <n v="26.076000000000001"/>
    <n v="0"/>
    <s v="Daily Sales Import"/>
    <n v="-26.076000000000001"/>
    <n v="26.076000000000001"/>
    <x v="2"/>
    <s v="2230"/>
    <s v="000"/>
    <x v="10"/>
    <x v="1"/>
  </r>
  <r>
    <d v="2012-08-21T00:00:00"/>
    <s v="018-2100-000"/>
    <s v="Food Sales"/>
    <n v="4643.8404"/>
    <n v="0"/>
    <s v="Daily Sales Import"/>
    <n v="-4643.8404"/>
    <n v="4643.8404"/>
    <x v="2"/>
    <s v="2100"/>
    <s v="000"/>
    <x v="10"/>
    <x v="1"/>
  </r>
  <r>
    <d v="2012-08-21T00:00:00"/>
    <s v="018-2210-000"/>
    <s v="Liquor Sales"/>
    <n v="1109.2279999999998"/>
    <n v="0"/>
    <s v="Daily Sales Import"/>
    <n v="-1109.2279999999998"/>
    <n v="1109.2279999999998"/>
    <x v="2"/>
    <s v="2210"/>
    <s v="000"/>
    <x v="10"/>
    <x v="1"/>
  </r>
  <r>
    <d v="2012-08-21T00:00:00"/>
    <s v="018-2220-000"/>
    <s v="Beer Sales"/>
    <n v="135.72999999999999"/>
    <n v="0"/>
    <s v="Daily Sales Import"/>
    <n v="-135.72999999999999"/>
    <n v="135.72999999999999"/>
    <x v="2"/>
    <s v="2220"/>
    <s v="000"/>
    <x v="10"/>
    <x v="1"/>
  </r>
  <r>
    <d v="2012-08-21T00:00:00"/>
    <s v="018-2230-000"/>
    <s v="Wine Sales"/>
    <n v="49.149000000000001"/>
    <n v="0"/>
    <s v="Daily Sales Import"/>
    <n v="-49.149000000000001"/>
    <n v="49.149000000000001"/>
    <x v="2"/>
    <s v="2230"/>
    <s v="000"/>
    <x v="10"/>
    <x v="1"/>
  </r>
  <r>
    <d v="2012-08-22T00:00:00"/>
    <s v="018-2100-000"/>
    <s v="Food Sales"/>
    <n v="5580.7887999999994"/>
    <n v="0"/>
    <s v="Daily Sales Import"/>
    <n v="-5580.7887999999994"/>
    <n v="5580.7887999999994"/>
    <x v="2"/>
    <s v="2100"/>
    <s v="000"/>
    <x v="10"/>
    <x v="1"/>
  </r>
  <r>
    <d v="2012-08-22T00:00:00"/>
    <s v="018-2210-000"/>
    <s v="Liquor Sales"/>
    <n v="673.93999999999994"/>
    <n v="0"/>
    <s v="Daily Sales Import"/>
    <n v="-673.93999999999994"/>
    <n v="673.93999999999994"/>
    <x v="2"/>
    <s v="2210"/>
    <s v="000"/>
    <x v="10"/>
    <x v="1"/>
  </r>
  <r>
    <d v="2012-08-22T00:00:00"/>
    <s v="018-2220-000"/>
    <s v="Beer Sales"/>
    <n v="165.42000000000002"/>
    <n v="0"/>
    <s v="Daily Sales Import"/>
    <n v="-165.42000000000002"/>
    <n v="165.42000000000002"/>
    <x v="2"/>
    <s v="2220"/>
    <s v="000"/>
    <x v="10"/>
    <x v="1"/>
  </r>
  <r>
    <d v="2012-08-22T00:00:00"/>
    <s v="018-2230-000"/>
    <s v="Wine Sales"/>
    <n v="84.64500000000001"/>
    <n v="0"/>
    <s v="Daily Sales Import"/>
    <n v="-84.64500000000001"/>
    <n v="84.64500000000001"/>
    <x v="2"/>
    <s v="2230"/>
    <s v="000"/>
    <x v="10"/>
    <x v="1"/>
  </r>
  <r>
    <d v="2012-08-23T00:00:00"/>
    <s v="018-2100-000"/>
    <s v="Food Sales"/>
    <n v="5921.2001"/>
    <n v="0"/>
    <s v="Daily Sales Import"/>
    <n v="-5921.2001"/>
    <n v="5921.2001"/>
    <x v="2"/>
    <s v="2100"/>
    <s v="000"/>
    <x v="10"/>
    <x v="1"/>
  </r>
  <r>
    <d v="2012-08-23T00:00:00"/>
    <s v="018-2210-000"/>
    <s v="Liquor Sales"/>
    <n v="1056.9805000000001"/>
    <n v="0"/>
    <s v="Daily Sales Import"/>
    <n v="-1056.9805000000001"/>
    <n v="1056.9805000000001"/>
    <x v="2"/>
    <s v="2210"/>
    <s v="000"/>
    <x v="10"/>
    <x v="1"/>
  </r>
  <r>
    <d v="2012-08-23T00:00:00"/>
    <s v="018-2220-000"/>
    <s v="Beer Sales"/>
    <n v="193.8425"/>
    <n v="0"/>
    <s v="Daily Sales Import"/>
    <n v="-193.8425"/>
    <n v="193.8425"/>
    <x v="2"/>
    <s v="2220"/>
    <s v="000"/>
    <x v="10"/>
    <x v="1"/>
  </r>
  <r>
    <d v="2012-08-23T00:00:00"/>
    <s v="018-2230-000"/>
    <s v="Wine Sales"/>
    <n v="21.713999999999999"/>
    <n v="0"/>
    <s v="Daily Sales Import"/>
    <n v="-21.713999999999999"/>
    <n v="21.713999999999999"/>
    <x v="2"/>
    <s v="2230"/>
    <s v="000"/>
    <x v="10"/>
    <x v="1"/>
  </r>
  <r>
    <d v="2012-08-24T00:00:00"/>
    <s v="018-2100-000"/>
    <s v="Food Sales"/>
    <n v="10066.039999999999"/>
    <n v="0"/>
    <s v="Daily Sales Import"/>
    <n v="-10066.039999999999"/>
    <n v="10066.039999999999"/>
    <x v="2"/>
    <s v="2100"/>
    <s v="000"/>
    <x v="10"/>
    <x v="1"/>
  </r>
  <r>
    <d v="2012-08-24T00:00:00"/>
    <s v="018-2210-000"/>
    <s v="Liquor Sales"/>
    <n v="2254.8015"/>
    <n v="0"/>
    <s v="Daily Sales Import"/>
    <n v="-2254.8015"/>
    <n v="2254.8015"/>
    <x v="2"/>
    <s v="2210"/>
    <s v="000"/>
    <x v="10"/>
    <x v="1"/>
  </r>
  <r>
    <d v="2012-08-24T00:00:00"/>
    <s v="018-2220-000"/>
    <s v="Beer Sales"/>
    <n v="446.66249999999997"/>
    <n v="0"/>
    <s v="Daily Sales Import"/>
    <n v="-446.66249999999997"/>
    <n v="446.66249999999997"/>
    <x v="2"/>
    <s v="2220"/>
    <s v="000"/>
    <x v="10"/>
    <x v="1"/>
  </r>
  <r>
    <d v="2012-08-24T00:00:00"/>
    <s v="018-2230-000"/>
    <s v="Wine Sales"/>
    <n v="47.908000000000001"/>
    <n v="0"/>
    <s v="Daily Sales Import"/>
    <n v="-47.908000000000001"/>
    <n v="47.908000000000001"/>
    <x v="2"/>
    <s v="2230"/>
    <s v="000"/>
    <x v="10"/>
    <x v="1"/>
  </r>
  <r>
    <d v="2012-08-25T00:00:00"/>
    <s v="018-2100-000"/>
    <s v="Food Sales"/>
    <n v="8671.1827999999987"/>
    <n v="0"/>
    <s v="Daily Sales Import"/>
    <n v="-8671.1827999999987"/>
    <n v="8671.1827999999987"/>
    <x v="2"/>
    <s v="2100"/>
    <s v="000"/>
    <x v="10"/>
    <x v="1"/>
  </r>
  <r>
    <d v="2012-08-25T00:00:00"/>
    <s v="018-2210-000"/>
    <s v="Liquor Sales"/>
    <n v="1716.825"/>
    <n v="0"/>
    <s v="Daily Sales Import"/>
    <n v="-1716.825"/>
    <n v="1716.825"/>
    <x v="2"/>
    <s v="2210"/>
    <s v="000"/>
    <x v="10"/>
    <x v="1"/>
  </r>
  <r>
    <d v="2012-08-25T00:00:00"/>
    <s v="018-2220-000"/>
    <s v="Beer Sales"/>
    <n v="468.57600000000002"/>
    <n v="0"/>
    <s v="Daily Sales Import"/>
    <n v="-468.57600000000002"/>
    <n v="468.57600000000002"/>
    <x v="2"/>
    <s v="2220"/>
    <s v="000"/>
    <x v="10"/>
    <x v="1"/>
  </r>
  <r>
    <d v="2012-08-25T00:00:00"/>
    <s v="018-2230-000"/>
    <s v="Wine Sales"/>
    <n v="87.233999999999995"/>
    <n v="0"/>
    <s v="Daily Sales Import"/>
    <n v="-87.233999999999995"/>
    <n v="87.233999999999995"/>
    <x v="2"/>
    <s v="2230"/>
    <s v="000"/>
    <x v="10"/>
    <x v="1"/>
  </r>
  <r>
    <d v="2012-08-26T00:00:00"/>
    <s v="018-2100-000"/>
    <s v="Food Sales"/>
    <n v="8453.0392000000011"/>
    <n v="0"/>
    <s v="Daily Sales Import"/>
    <n v="-8453.0392000000011"/>
    <n v="8453.0392000000011"/>
    <x v="2"/>
    <s v="2100"/>
    <s v="000"/>
    <x v="10"/>
    <x v="1"/>
  </r>
  <r>
    <d v="2012-08-26T00:00:00"/>
    <s v="018-2210-000"/>
    <s v="Liquor Sales"/>
    <n v="1419.5214999999998"/>
    <n v="0"/>
    <s v="Daily Sales Import"/>
    <n v="-1419.5214999999998"/>
    <n v="1419.5214999999998"/>
    <x v="2"/>
    <s v="2210"/>
    <s v="000"/>
    <x v="10"/>
    <x v="1"/>
  </r>
  <r>
    <d v="2012-08-26T00:00:00"/>
    <s v="018-2220-000"/>
    <s v="Beer Sales"/>
    <n v="246.56199999999998"/>
    <n v="0"/>
    <s v="Daily Sales Import"/>
    <n v="-246.56199999999998"/>
    <n v="246.56199999999998"/>
    <x v="2"/>
    <s v="2220"/>
    <s v="000"/>
    <x v="10"/>
    <x v="1"/>
  </r>
  <r>
    <d v="2012-08-26T00:00:00"/>
    <s v="018-2230-000"/>
    <s v="Wine Sales"/>
    <n v="33.515999999999998"/>
    <n v="0"/>
    <s v="Daily Sales Import"/>
    <n v="-33.515999999999998"/>
    <n v="33.515999999999998"/>
    <x v="2"/>
    <s v="2230"/>
    <s v="000"/>
    <x v="10"/>
    <x v="1"/>
  </r>
  <r>
    <d v="2012-08-27T00:00:00"/>
    <s v="016-2100-000"/>
    <s v="Food Sales"/>
    <n v="2255.7369999999996"/>
    <n v="0"/>
    <s v="Daily Sales Import"/>
    <n v="-2255.7369999999996"/>
    <n v="2255.7369999999996"/>
    <x v="0"/>
    <s v="2100"/>
    <s v="000"/>
    <x v="10"/>
    <x v="1"/>
  </r>
  <r>
    <d v="2012-08-27T00:00:00"/>
    <s v="016-2210-000"/>
    <s v="Liquor Sales"/>
    <n v="559.72299999999996"/>
    <n v="0"/>
    <s v="Daily Sales Import"/>
    <n v="-559.72299999999996"/>
    <n v="559.72299999999996"/>
    <x v="0"/>
    <s v="2210"/>
    <s v="000"/>
    <x v="10"/>
    <x v="1"/>
  </r>
  <r>
    <d v="2012-08-27T00:00:00"/>
    <s v="016-2220-000"/>
    <s v="Beer Sales"/>
    <n v="105.651"/>
    <n v="0"/>
    <s v="Daily Sales Import"/>
    <n v="-105.651"/>
    <n v="105.651"/>
    <x v="0"/>
    <s v="2220"/>
    <s v="000"/>
    <x v="10"/>
    <x v="1"/>
  </r>
  <r>
    <d v="2012-08-27T00:00:00"/>
    <s v="016-2230-000"/>
    <s v="Wine Sales"/>
    <n v="21.58"/>
    <n v="0"/>
    <s v="Daily Sales Import"/>
    <n v="-21.58"/>
    <n v="21.58"/>
    <x v="0"/>
    <s v="2230"/>
    <s v="000"/>
    <x v="10"/>
    <x v="1"/>
  </r>
  <r>
    <d v="2012-08-28T00:00:00"/>
    <s v="016-2100-000"/>
    <s v="Food Sales"/>
    <n v="6101.4096"/>
    <n v="0"/>
    <s v="Daily Sales Import"/>
    <n v="-6101.4096"/>
    <n v="6101.4096"/>
    <x v="0"/>
    <s v="2100"/>
    <s v="000"/>
    <x v="10"/>
    <x v="1"/>
  </r>
  <r>
    <d v="2012-08-28T00:00:00"/>
    <s v="016-2210-000"/>
    <s v="Liquor Sales"/>
    <n v="1374.9766"/>
    <n v="0"/>
    <s v="Daily Sales Import"/>
    <n v="-1374.9766"/>
    <n v="1374.9766"/>
    <x v="0"/>
    <s v="2210"/>
    <s v="000"/>
    <x v="10"/>
    <x v="1"/>
  </r>
  <r>
    <d v="2012-08-28T00:00:00"/>
    <s v="016-2220-000"/>
    <s v="Beer Sales"/>
    <n v="535.76909999999998"/>
    <n v="0"/>
    <s v="Daily Sales Import"/>
    <n v="-535.76909999999998"/>
    <n v="535.76909999999998"/>
    <x v="0"/>
    <s v="2220"/>
    <s v="000"/>
    <x v="10"/>
    <x v="1"/>
  </r>
  <r>
    <d v="2012-08-28T00:00:00"/>
    <s v="016-2230-000"/>
    <s v="Wine Sales"/>
    <n v="202.08899999999997"/>
    <n v="0"/>
    <s v="Daily Sales Import"/>
    <n v="-202.08899999999997"/>
    <n v="202.08899999999997"/>
    <x v="0"/>
    <s v="2230"/>
    <s v="000"/>
    <x v="10"/>
    <x v="1"/>
  </r>
  <r>
    <d v="2012-08-29T00:00:00"/>
    <s v="016-2100-000"/>
    <s v="Food Sales"/>
    <n v="2717.8180000000002"/>
    <n v="0"/>
    <s v="Daily Sales Import"/>
    <n v="-2717.8180000000002"/>
    <n v="2717.8180000000002"/>
    <x v="0"/>
    <s v="2100"/>
    <s v="000"/>
    <x v="10"/>
    <x v="1"/>
  </r>
  <r>
    <d v="2012-08-29T00:00:00"/>
    <s v="016-2210-000"/>
    <s v="Liquor Sales"/>
    <n v="507.92999999999995"/>
    <n v="0"/>
    <s v="Daily Sales Import"/>
    <n v="-507.92999999999995"/>
    <n v="507.92999999999995"/>
    <x v="0"/>
    <s v="2210"/>
    <s v="000"/>
    <x v="10"/>
    <x v="1"/>
  </r>
  <r>
    <d v="2012-08-29T00:00:00"/>
    <s v="016-2220-000"/>
    <s v="Beer Sales"/>
    <n v="126.477"/>
    <n v="0"/>
    <s v="Daily Sales Import"/>
    <n v="-126.477"/>
    <n v="126.477"/>
    <x v="0"/>
    <s v="2220"/>
    <s v="000"/>
    <x v="10"/>
    <x v="1"/>
  </r>
  <r>
    <d v="2012-08-29T00:00:00"/>
    <s v="016-2230-000"/>
    <s v="Wine Sales"/>
    <n v="63.637999999999998"/>
    <n v="0"/>
    <s v="Daily Sales Import"/>
    <n v="-63.637999999999998"/>
    <n v="63.637999999999998"/>
    <x v="0"/>
    <s v="2230"/>
    <s v="000"/>
    <x v="10"/>
    <x v="1"/>
  </r>
  <r>
    <d v="2012-08-30T00:00:00"/>
    <s v="016-2100-000"/>
    <s v="Food Sales"/>
    <n v="2605.1974"/>
    <n v="0"/>
    <s v="Daily Sales Import"/>
    <n v="-2605.1974"/>
    <n v="2605.1974"/>
    <x v="0"/>
    <s v="2100"/>
    <s v="000"/>
    <x v="10"/>
    <x v="1"/>
  </r>
  <r>
    <d v="2012-08-30T00:00:00"/>
    <s v="016-2210-000"/>
    <s v="Liquor Sales"/>
    <n v="671.32799999999997"/>
    <n v="0"/>
    <s v="Daily Sales Import"/>
    <n v="-671.32799999999997"/>
    <n v="671.32799999999997"/>
    <x v="0"/>
    <s v="2210"/>
    <s v="000"/>
    <x v="10"/>
    <x v="1"/>
  </r>
  <r>
    <d v="2012-08-30T00:00:00"/>
    <s v="016-2220-000"/>
    <s v="Beer Sales"/>
    <n v="90.349500000000006"/>
    <n v="0"/>
    <s v="Daily Sales Import"/>
    <n v="-90.349500000000006"/>
    <n v="90.349500000000006"/>
    <x v="0"/>
    <s v="2220"/>
    <s v="000"/>
    <x v="10"/>
    <x v="1"/>
  </r>
  <r>
    <d v="2012-08-30T00:00:00"/>
    <s v="016-2230-000"/>
    <s v="Wine Sales"/>
    <n v="40.235999999999997"/>
    <n v="0"/>
    <s v="Daily Sales Import"/>
    <n v="-40.235999999999997"/>
    <n v="40.235999999999997"/>
    <x v="0"/>
    <s v="2230"/>
    <s v="000"/>
    <x v="10"/>
    <x v="1"/>
  </r>
  <r>
    <d v="2012-08-31T00:00:00"/>
    <s v="016-2100-000"/>
    <s v="Food Sales"/>
    <n v="4576.1201000000001"/>
    <n v="0"/>
    <s v="Daily Sales Import"/>
    <n v="-4576.1201000000001"/>
    <n v="4576.1201000000001"/>
    <x v="0"/>
    <s v="2100"/>
    <s v="000"/>
    <x v="10"/>
    <x v="1"/>
  </r>
  <r>
    <d v="2012-08-31T00:00:00"/>
    <s v="016-2210-000"/>
    <s v="Liquor Sales"/>
    <n v="1848.4892999999997"/>
    <n v="0"/>
    <s v="Daily Sales Import"/>
    <n v="-1848.4892999999997"/>
    <n v="1848.4892999999997"/>
    <x v="0"/>
    <s v="2210"/>
    <s v="000"/>
    <x v="10"/>
    <x v="1"/>
  </r>
  <r>
    <d v="2012-08-31T00:00:00"/>
    <s v="016-2220-000"/>
    <s v="Beer Sales"/>
    <n v="398.57400000000001"/>
    <n v="0"/>
    <s v="Daily Sales Import"/>
    <n v="-398.57400000000001"/>
    <n v="398.57400000000001"/>
    <x v="0"/>
    <s v="2220"/>
    <s v="000"/>
    <x v="10"/>
    <x v="1"/>
  </r>
  <r>
    <d v="2012-08-31T00:00:00"/>
    <s v="016-2230-000"/>
    <s v="Wine Sales"/>
    <n v="141.33799999999999"/>
    <n v="0"/>
    <s v="Daily Sales Import"/>
    <n v="-141.33799999999999"/>
    <n v="141.33799999999999"/>
    <x v="0"/>
    <s v="2230"/>
    <s v="000"/>
    <x v="10"/>
    <x v="1"/>
  </r>
  <r>
    <d v="2012-09-01T00:00:00"/>
    <s v="016-2100-000"/>
    <s v="Food Sales"/>
    <n v="8144.7678000000005"/>
    <n v="0"/>
    <s v="Daily Sales Import"/>
    <n v="-8144.7678000000005"/>
    <n v="8144.7678000000005"/>
    <x v="0"/>
    <s v="2100"/>
    <s v="000"/>
    <x v="11"/>
    <x v="1"/>
  </r>
  <r>
    <d v="2012-09-01T00:00:00"/>
    <s v="016-2210-000"/>
    <s v="Liquor Sales"/>
    <n v="1692.6524999999999"/>
    <n v="0"/>
    <s v="Daily Sales Import"/>
    <n v="-1692.6524999999999"/>
    <n v="1692.6524999999999"/>
    <x v="0"/>
    <s v="2210"/>
    <s v="000"/>
    <x v="11"/>
    <x v="1"/>
  </r>
  <r>
    <d v="2012-09-01T00:00:00"/>
    <s v="016-2220-000"/>
    <s v="Beer Sales"/>
    <n v="393.32370000000003"/>
    <n v="0"/>
    <s v="Daily Sales Import"/>
    <n v="-393.32370000000003"/>
    <n v="393.32370000000003"/>
    <x v="0"/>
    <s v="2220"/>
    <s v="000"/>
    <x v="11"/>
    <x v="1"/>
  </r>
  <r>
    <d v="2012-09-01T00:00:00"/>
    <s v="016-2230-000"/>
    <s v="Wine Sales"/>
    <n v="100.28699999999999"/>
    <n v="0"/>
    <s v="Daily Sales Import"/>
    <n v="-100.28699999999999"/>
    <n v="100.28699999999999"/>
    <x v="0"/>
    <s v="2230"/>
    <s v="000"/>
    <x v="11"/>
    <x v="1"/>
  </r>
  <r>
    <d v="2012-09-02T00:00:00"/>
    <s v="016-2100-000"/>
    <s v="Food Sales"/>
    <n v="5231.7251999999999"/>
    <n v="0"/>
    <s v="Daily Sales Import"/>
    <n v="-5231.7251999999999"/>
    <n v="5231.7251999999999"/>
    <x v="0"/>
    <s v="2100"/>
    <s v="000"/>
    <x v="11"/>
    <x v="1"/>
  </r>
  <r>
    <d v="2012-09-02T00:00:00"/>
    <s v="016-2210-000"/>
    <s v="Liquor Sales"/>
    <n v="1006.226"/>
    <n v="0"/>
    <s v="Daily Sales Import"/>
    <n v="-1006.226"/>
    <n v="1006.226"/>
    <x v="0"/>
    <s v="2210"/>
    <s v="000"/>
    <x v="11"/>
    <x v="1"/>
  </r>
  <r>
    <d v="2012-09-02T00:00:00"/>
    <s v="016-2220-000"/>
    <s v="Beer Sales"/>
    <n v="171.477"/>
    <n v="0"/>
    <s v="Daily Sales Import"/>
    <n v="-171.477"/>
    <n v="171.477"/>
    <x v="0"/>
    <s v="2220"/>
    <s v="000"/>
    <x v="11"/>
    <x v="1"/>
  </r>
  <r>
    <d v="2012-09-02T00:00:00"/>
    <s v="016-2230-000"/>
    <s v="Wine Sales"/>
    <n v="156.97500000000002"/>
    <n v="0"/>
    <s v="Daily Sales Import"/>
    <n v="-156.97500000000002"/>
    <n v="156.97500000000002"/>
    <x v="0"/>
    <s v="2230"/>
    <s v="000"/>
    <x v="11"/>
    <x v="1"/>
  </r>
  <r>
    <d v="2012-08-27T00:00:00"/>
    <s v="017-2100-000"/>
    <s v="Food Sales"/>
    <n v="4116.6383999999998"/>
    <n v="0"/>
    <s v="Daily Sales Import"/>
    <n v="-4116.6383999999998"/>
    <n v="4116.6383999999998"/>
    <x v="1"/>
    <s v="2100"/>
    <s v="000"/>
    <x v="10"/>
    <x v="1"/>
  </r>
  <r>
    <d v="2012-08-27T00:00:00"/>
    <s v="017-2210-000"/>
    <s v="Liquor Sales"/>
    <n v="1081.6715000000002"/>
    <n v="0"/>
    <s v="Daily Sales Import"/>
    <n v="-1081.6715000000002"/>
    <n v="1081.6715000000002"/>
    <x v="1"/>
    <s v="2210"/>
    <s v="000"/>
    <x v="10"/>
    <x v="1"/>
  </r>
  <r>
    <d v="2012-08-27T00:00:00"/>
    <s v="017-2220-000"/>
    <s v="Beer Sales"/>
    <n v="254.54250000000002"/>
    <n v="0"/>
    <s v="Daily Sales Import"/>
    <n v="-254.54250000000002"/>
    <n v="254.54250000000002"/>
    <x v="1"/>
    <s v="2220"/>
    <s v="000"/>
    <x v="10"/>
    <x v="1"/>
  </r>
  <r>
    <d v="2012-08-27T00:00:00"/>
    <s v="017-2230-000"/>
    <s v="Wine Sales"/>
    <n v="24.586000000000002"/>
    <n v="0"/>
    <s v="Daily Sales Import"/>
    <n v="-24.586000000000002"/>
    <n v="24.586000000000002"/>
    <x v="1"/>
    <s v="2230"/>
    <s v="000"/>
    <x v="10"/>
    <x v="1"/>
  </r>
  <r>
    <d v="2012-08-28T00:00:00"/>
    <s v="017-2100-000"/>
    <s v="Food Sales"/>
    <n v="4617.7349999999997"/>
    <n v="0"/>
    <s v="Daily Sales Import"/>
    <n v="-4617.7349999999997"/>
    <n v="4617.7349999999997"/>
    <x v="1"/>
    <s v="2100"/>
    <s v="000"/>
    <x v="10"/>
    <x v="1"/>
  </r>
  <r>
    <d v="2012-08-28T00:00:00"/>
    <s v="017-2210-000"/>
    <s v="Liquor Sales"/>
    <n v="1273.92"/>
    <n v="0"/>
    <s v="Daily Sales Import"/>
    <n v="-1273.92"/>
    <n v="1273.92"/>
    <x v="1"/>
    <s v="2210"/>
    <s v="000"/>
    <x v="10"/>
    <x v="1"/>
  </r>
  <r>
    <d v="2012-08-28T00:00:00"/>
    <s v="017-2220-000"/>
    <s v="Beer Sales"/>
    <n v="262.69749999999999"/>
    <n v="0"/>
    <s v="Daily Sales Import"/>
    <n v="-262.69749999999999"/>
    <n v="262.69749999999999"/>
    <x v="1"/>
    <s v="2220"/>
    <s v="000"/>
    <x v="10"/>
    <x v="1"/>
  </r>
  <r>
    <d v="2012-08-28T00:00:00"/>
    <s v="017-2230-000"/>
    <s v="Wine Sales"/>
    <n v="126.11250000000001"/>
    <n v="0"/>
    <s v="Daily Sales Import"/>
    <n v="-126.11250000000001"/>
    <n v="126.11250000000001"/>
    <x v="1"/>
    <s v="2230"/>
    <s v="000"/>
    <x v="10"/>
    <x v="1"/>
  </r>
  <r>
    <d v="2012-08-29T00:00:00"/>
    <s v="017-2100-000"/>
    <s v="Food Sales"/>
    <n v="8025.1968000000015"/>
    <n v="0"/>
    <s v="Daily Sales Import"/>
    <n v="-8025.1968000000015"/>
    <n v="8025.1968000000015"/>
    <x v="1"/>
    <s v="2100"/>
    <s v="000"/>
    <x v="10"/>
    <x v="1"/>
  </r>
  <r>
    <d v="2012-08-29T00:00:00"/>
    <s v="017-2210-000"/>
    <s v="Liquor Sales"/>
    <n v="1783.7674999999999"/>
    <n v="0"/>
    <s v="Daily Sales Import"/>
    <n v="-1783.7674999999999"/>
    <n v="1783.7674999999999"/>
    <x v="1"/>
    <s v="2210"/>
    <s v="000"/>
    <x v="10"/>
    <x v="1"/>
  </r>
  <r>
    <d v="2012-08-29T00:00:00"/>
    <s v="017-2220-000"/>
    <s v="Beer Sales"/>
    <n v="557.09500000000003"/>
    <n v="0"/>
    <s v="Daily Sales Import"/>
    <n v="-557.09500000000003"/>
    <n v="557.09500000000003"/>
    <x v="1"/>
    <s v="2220"/>
    <s v="000"/>
    <x v="10"/>
    <x v="1"/>
  </r>
  <r>
    <d v="2012-08-29T00:00:00"/>
    <s v="017-2230-000"/>
    <s v="Wine Sales"/>
    <n v="79.18950000000001"/>
    <n v="0"/>
    <s v="Daily Sales Import"/>
    <n v="-79.18950000000001"/>
    <n v="79.18950000000001"/>
    <x v="1"/>
    <s v="2230"/>
    <s v="000"/>
    <x v="10"/>
    <x v="1"/>
  </r>
  <r>
    <d v="2012-08-30T00:00:00"/>
    <s v="017-2100-000"/>
    <s v="Food Sales"/>
    <n v="4835.1397000000006"/>
    <n v="0"/>
    <s v="Daily Sales Import"/>
    <n v="-4835.1397000000006"/>
    <n v="4835.1397000000006"/>
    <x v="1"/>
    <s v="2100"/>
    <s v="000"/>
    <x v="10"/>
    <x v="1"/>
  </r>
  <r>
    <d v="2012-08-30T00:00:00"/>
    <s v="017-2210-000"/>
    <s v="Liquor Sales"/>
    <n v="1474.308"/>
    <n v="0"/>
    <s v="Daily Sales Import"/>
    <n v="-1474.308"/>
    <n v="1474.308"/>
    <x v="1"/>
    <s v="2210"/>
    <s v="000"/>
    <x v="10"/>
    <x v="1"/>
  </r>
  <r>
    <d v="2012-08-30T00:00:00"/>
    <s v="017-2220-000"/>
    <s v="Beer Sales"/>
    <n v="386.82"/>
    <n v="0"/>
    <s v="Daily Sales Import"/>
    <n v="-386.82"/>
    <n v="386.82"/>
    <x v="1"/>
    <s v="2220"/>
    <s v="000"/>
    <x v="10"/>
    <x v="1"/>
  </r>
  <r>
    <d v="2012-08-30T00:00:00"/>
    <s v="017-2230-000"/>
    <s v="Wine Sales"/>
    <n v="88.366500000000002"/>
    <n v="0"/>
    <s v="Daily Sales Import"/>
    <n v="-88.366500000000002"/>
    <n v="88.366500000000002"/>
    <x v="1"/>
    <s v="2230"/>
    <s v="000"/>
    <x v="10"/>
    <x v="1"/>
  </r>
  <r>
    <d v="2012-08-31T00:00:00"/>
    <s v="017-2100-000"/>
    <s v="Food Sales"/>
    <n v="8633.5580999999984"/>
    <n v="0"/>
    <s v="Daily Sales Import"/>
    <n v="-8633.5580999999984"/>
    <n v="8633.5580999999984"/>
    <x v="1"/>
    <s v="2100"/>
    <s v="000"/>
    <x v="10"/>
    <x v="1"/>
  </r>
  <r>
    <d v="2012-08-31T00:00:00"/>
    <s v="017-2210-000"/>
    <s v="Liquor Sales"/>
    <n v="2057.1680000000001"/>
    <n v="0"/>
    <s v="Daily Sales Import"/>
    <n v="-2057.1680000000001"/>
    <n v="2057.1680000000001"/>
    <x v="1"/>
    <s v="2210"/>
    <s v="000"/>
    <x v="10"/>
    <x v="1"/>
  </r>
  <r>
    <d v="2012-08-31T00:00:00"/>
    <s v="017-2220-000"/>
    <s v="Beer Sales"/>
    <n v="563.59249999999997"/>
    <n v="0"/>
    <s v="Daily Sales Import"/>
    <n v="-563.59249999999997"/>
    <n v="563.59249999999997"/>
    <x v="1"/>
    <s v="2220"/>
    <s v="000"/>
    <x v="10"/>
    <x v="1"/>
  </r>
  <r>
    <d v="2012-08-31T00:00:00"/>
    <s v="017-2230-000"/>
    <s v="Wine Sales"/>
    <n v="83.954499999999996"/>
    <n v="0"/>
    <s v="Daily Sales Import"/>
    <n v="-83.954499999999996"/>
    <n v="83.954499999999996"/>
    <x v="1"/>
    <s v="2230"/>
    <s v="000"/>
    <x v="10"/>
    <x v="1"/>
  </r>
  <r>
    <d v="2012-09-01T00:00:00"/>
    <s v="017-2100-000"/>
    <s v="Food Sales"/>
    <n v="7577.1112000000012"/>
    <n v="0"/>
    <s v="Daily Sales Import"/>
    <n v="-7577.1112000000012"/>
    <n v="7577.1112000000012"/>
    <x v="1"/>
    <s v="2100"/>
    <s v="000"/>
    <x v="11"/>
    <x v="1"/>
  </r>
  <r>
    <d v="2012-09-01T00:00:00"/>
    <s v="017-2210-000"/>
    <s v="Liquor Sales"/>
    <n v="2197.6259999999997"/>
    <n v="0"/>
    <s v="Daily Sales Import"/>
    <n v="-2197.6259999999997"/>
    <n v="2197.6259999999997"/>
    <x v="1"/>
    <s v="2210"/>
    <s v="000"/>
    <x v="11"/>
    <x v="1"/>
  </r>
  <r>
    <d v="2012-09-01T00:00:00"/>
    <s v="017-2220-000"/>
    <s v="Beer Sales"/>
    <n v="425.24250000000001"/>
    <n v="0"/>
    <s v="Daily Sales Import"/>
    <n v="-425.24250000000001"/>
    <n v="425.24250000000001"/>
    <x v="1"/>
    <s v="2220"/>
    <s v="000"/>
    <x v="11"/>
    <x v="1"/>
  </r>
  <r>
    <d v="2012-09-01T00:00:00"/>
    <s v="017-2230-000"/>
    <s v="Wine Sales"/>
    <n v="45.941999999999993"/>
    <n v="0"/>
    <s v="Daily Sales Import"/>
    <n v="-45.941999999999993"/>
    <n v="45.941999999999993"/>
    <x v="1"/>
    <s v="2230"/>
    <s v="000"/>
    <x v="11"/>
    <x v="1"/>
  </r>
  <r>
    <d v="2012-09-02T00:00:00"/>
    <s v="017-2100-000"/>
    <s v="Food Sales"/>
    <n v="5031.5640000000003"/>
    <n v="0"/>
    <s v="Daily Sales Import"/>
    <n v="-5031.5640000000003"/>
    <n v="5031.5640000000003"/>
    <x v="1"/>
    <s v="2100"/>
    <s v="000"/>
    <x v="11"/>
    <x v="1"/>
  </r>
  <r>
    <d v="2012-09-02T00:00:00"/>
    <s v="017-2210-000"/>
    <s v="Liquor Sales"/>
    <n v="1275.211"/>
    <n v="0"/>
    <s v="Daily Sales Import"/>
    <n v="-1275.211"/>
    <n v="1275.211"/>
    <x v="1"/>
    <s v="2210"/>
    <s v="000"/>
    <x v="11"/>
    <x v="1"/>
  </r>
  <r>
    <d v="2012-09-02T00:00:00"/>
    <s v="017-2220-000"/>
    <s v="Beer Sales"/>
    <n v="192.76749999999998"/>
    <n v="0"/>
    <s v="Daily Sales Import"/>
    <n v="-192.76749999999998"/>
    <n v="192.76749999999998"/>
    <x v="1"/>
    <s v="2220"/>
    <s v="000"/>
    <x v="11"/>
    <x v="1"/>
  </r>
  <r>
    <d v="2012-09-02T00:00:00"/>
    <s v="017-2230-000"/>
    <s v="Wine Sales"/>
    <n v="12.843999999999999"/>
    <n v="0"/>
    <s v="Daily Sales Import"/>
    <n v="-12.843999999999999"/>
    <n v="12.843999999999999"/>
    <x v="1"/>
    <s v="2230"/>
    <s v="000"/>
    <x v="11"/>
    <x v="1"/>
  </r>
  <r>
    <d v="2012-08-27T00:00:00"/>
    <s v="018-2100-000"/>
    <s v="Food Sales"/>
    <n v="3878.4960000000001"/>
    <n v="0"/>
    <s v="Daily Sales Import"/>
    <n v="-3878.4960000000001"/>
    <n v="3878.4960000000001"/>
    <x v="2"/>
    <s v="2100"/>
    <s v="000"/>
    <x v="10"/>
    <x v="1"/>
  </r>
  <r>
    <d v="2012-08-27T00:00:00"/>
    <s v="018-2210-000"/>
    <s v="Liquor Sales"/>
    <n v="861.678"/>
    <n v="0"/>
    <s v="Daily Sales Import"/>
    <n v="-861.678"/>
    <n v="861.678"/>
    <x v="2"/>
    <s v="2210"/>
    <s v="000"/>
    <x v="10"/>
    <x v="1"/>
  </r>
  <r>
    <d v="2012-08-27T00:00:00"/>
    <s v="018-2220-000"/>
    <s v="Beer Sales"/>
    <n v="184.77550000000002"/>
    <n v="0"/>
    <s v="Daily Sales Import"/>
    <n v="-184.77550000000002"/>
    <n v="184.77550000000002"/>
    <x v="2"/>
    <s v="2220"/>
    <s v="000"/>
    <x v="10"/>
    <x v="1"/>
  </r>
  <r>
    <d v="2012-08-27T00:00:00"/>
    <s v="018-2230-000"/>
    <s v="Wine Sales"/>
    <n v="10.6945"/>
    <n v="0"/>
    <s v="Daily Sales Import"/>
    <n v="-10.6945"/>
    <n v="10.6945"/>
    <x v="2"/>
    <s v="2230"/>
    <s v="000"/>
    <x v="10"/>
    <x v="1"/>
  </r>
  <r>
    <d v="2012-08-28T00:00:00"/>
    <s v="018-2100-000"/>
    <s v="Food Sales"/>
    <n v="4450.0069999999996"/>
    <n v="0"/>
    <s v="Daily Sales Import"/>
    <n v="-4450.0069999999996"/>
    <n v="4450.0069999999996"/>
    <x v="2"/>
    <s v="2100"/>
    <s v="000"/>
    <x v="10"/>
    <x v="1"/>
  </r>
  <r>
    <d v="2012-08-28T00:00:00"/>
    <s v="018-2210-000"/>
    <s v="Liquor Sales"/>
    <n v="1145.4065000000001"/>
    <n v="0"/>
    <s v="Daily Sales Import"/>
    <n v="-1145.4065000000001"/>
    <n v="1145.4065000000001"/>
    <x v="2"/>
    <s v="2210"/>
    <s v="000"/>
    <x v="10"/>
    <x v="1"/>
  </r>
  <r>
    <d v="2012-08-28T00:00:00"/>
    <s v="018-2220-000"/>
    <s v="Beer Sales"/>
    <n v="300.52"/>
    <n v="0"/>
    <s v="Daily Sales Import"/>
    <n v="-300.52"/>
    <n v="300.52"/>
    <x v="2"/>
    <s v="2220"/>
    <s v="000"/>
    <x v="10"/>
    <x v="1"/>
  </r>
  <r>
    <d v="2012-08-28T00:00:00"/>
    <s v="018-2230-000"/>
    <s v="Wine Sales"/>
    <n v="70.644000000000005"/>
    <n v="0"/>
    <s v="Daily Sales Import"/>
    <n v="-70.644000000000005"/>
    <n v="70.644000000000005"/>
    <x v="2"/>
    <s v="2230"/>
    <s v="000"/>
    <x v="10"/>
    <x v="1"/>
  </r>
  <r>
    <d v="2012-08-29T00:00:00"/>
    <s v="018-2100-000"/>
    <s v="Food Sales"/>
    <n v="4529.8440000000001"/>
    <n v="0"/>
    <s v="Daily Sales Import"/>
    <n v="-4529.8440000000001"/>
    <n v="4529.8440000000001"/>
    <x v="2"/>
    <s v="2100"/>
    <s v="000"/>
    <x v="10"/>
    <x v="1"/>
  </r>
  <r>
    <d v="2012-08-29T00:00:00"/>
    <s v="018-2210-000"/>
    <s v="Liquor Sales"/>
    <n v="741.08550000000002"/>
    <n v="0"/>
    <s v="Daily Sales Import"/>
    <n v="-741.08550000000002"/>
    <n v="741.08550000000002"/>
    <x v="2"/>
    <s v="2210"/>
    <s v="000"/>
    <x v="10"/>
    <x v="1"/>
  </r>
  <r>
    <d v="2012-08-29T00:00:00"/>
    <s v="018-2220-000"/>
    <s v="Beer Sales"/>
    <n v="299.80799999999999"/>
    <n v="0"/>
    <s v="Daily Sales Import"/>
    <n v="-299.80799999999999"/>
    <n v="299.80799999999999"/>
    <x v="2"/>
    <s v="2220"/>
    <s v="000"/>
    <x v="10"/>
    <x v="1"/>
  </r>
  <r>
    <d v="2012-08-29T00:00:00"/>
    <s v="018-2230-000"/>
    <s v="Wine Sales"/>
    <n v="43.1145"/>
    <n v="0"/>
    <s v="Daily Sales Import"/>
    <n v="-43.1145"/>
    <n v="43.1145"/>
    <x v="2"/>
    <s v="2230"/>
    <s v="000"/>
    <x v="10"/>
    <x v="1"/>
  </r>
  <r>
    <d v="2012-08-30T00:00:00"/>
    <s v="018-2100-000"/>
    <s v="Food Sales"/>
    <n v="5217.1350000000002"/>
    <n v="0"/>
    <s v="Daily Sales Import"/>
    <n v="-5217.1350000000002"/>
    <n v="5217.1350000000002"/>
    <x v="2"/>
    <s v="2100"/>
    <s v="000"/>
    <x v="10"/>
    <x v="1"/>
  </r>
  <r>
    <d v="2012-08-30T00:00:00"/>
    <s v="018-2210-000"/>
    <s v="Liquor Sales"/>
    <n v="988.04549999999995"/>
    <n v="0"/>
    <s v="Daily Sales Import"/>
    <n v="-988.04549999999995"/>
    <n v="988.04549999999995"/>
    <x v="2"/>
    <s v="2210"/>
    <s v="000"/>
    <x v="10"/>
    <x v="1"/>
  </r>
  <r>
    <d v="2012-08-30T00:00:00"/>
    <s v="018-2220-000"/>
    <s v="Beer Sales"/>
    <n v="240.471"/>
    <n v="0"/>
    <s v="Daily Sales Import"/>
    <n v="-240.471"/>
    <n v="240.471"/>
    <x v="2"/>
    <s v="2220"/>
    <s v="000"/>
    <x v="10"/>
    <x v="1"/>
  </r>
  <r>
    <d v="2012-08-30T00:00:00"/>
    <s v="018-2230-000"/>
    <s v="Wine Sales"/>
    <n v="32.740499999999997"/>
    <n v="0"/>
    <s v="Daily Sales Import"/>
    <n v="-32.740499999999997"/>
    <n v="32.740499999999997"/>
    <x v="2"/>
    <s v="2230"/>
    <s v="000"/>
    <x v="10"/>
    <x v="1"/>
  </r>
  <r>
    <d v="2012-08-31T00:00:00"/>
    <s v="018-2100-000"/>
    <s v="Food Sales"/>
    <n v="13176.855000000001"/>
    <n v="0"/>
    <s v="Daily Sales Import"/>
    <n v="-13176.855000000001"/>
    <n v="13176.855000000001"/>
    <x v="2"/>
    <s v="2100"/>
    <s v="000"/>
    <x v="10"/>
    <x v="1"/>
  </r>
  <r>
    <d v="2012-08-31T00:00:00"/>
    <s v="018-2210-000"/>
    <s v="Liquor Sales"/>
    <n v="2950.5060000000003"/>
    <n v="0"/>
    <s v="Daily Sales Import"/>
    <n v="-2950.5060000000003"/>
    <n v="2950.5060000000003"/>
    <x v="2"/>
    <s v="2210"/>
    <s v="000"/>
    <x v="10"/>
    <x v="1"/>
  </r>
  <r>
    <d v="2012-08-31T00:00:00"/>
    <s v="018-2220-000"/>
    <s v="Beer Sales"/>
    <n v="856.56600000000003"/>
    <n v="0"/>
    <s v="Daily Sales Import"/>
    <n v="-856.56600000000003"/>
    <n v="856.56600000000003"/>
    <x v="2"/>
    <s v="2220"/>
    <s v="000"/>
    <x v="10"/>
    <x v="1"/>
  </r>
  <r>
    <d v="2012-08-31T00:00:00"/>
    <s v="018-2230-000"/>
    <s v="Wine Sales"/>
    <n v="86.35199999999999"/>
    <n v="0"/>
    <s v="Daily Sales Import"/>
    <n v="-86.35199999999999"/>
    <n v="86.35199999999999"/>
    <x v="2"/>
    <s v="2230"/>
    <s v="000"/>
    <x v="10"/>
    <x v="1"/>
  </r>
  <r>
    <d v="2012-09-01T00:00:00"/>
    <s v="018-2100-000"/>
    <s v="Food Sales"/>
    <n v="13303.522000000001"/>
    <n v="0"/>
    <s v="Daily Sales Import"/>
    <n v="-13303.522000000001"/>
    <n v="13303.522000000001"/>
    <x v="2"/>
    <s v="2100"/>
    <s v="000"/>
    <x v="11"/>
    <x v="1"/>
  </r>
  <r>
    <d v="2012-09-01T00:00:00"/>
    <s v="018-2210-000"/>
    <s v="Liquor Sales"/>
    <n v="2638.7679999999996"/>
    <n v="0"/>
    <s v="Daily Sales Import"/>
    <n v="-2638.7679999999996"/>
    <n v="2638.7679999999996"/>
    <x v="2"/>
    <s v="2210"/>
    <s v="000"/>
    <x v="11"/>
    <x v="1"/>
  </r>
  <r>
    <d v="2012-09-01T00:00:00"/>
    <s v="018-2220-000"/>
    <s v="Beer Sales"/>
    <n v="563.61149999999998"/>
    <n v="0"/>
    <s v="Daily Sales Import"/>
    <n v="-563.61149999999998"/>
    <n v="563.61149999999998"/>
    <x v="2"/>
    <s v="2220"/>
    <s v="000"/>
    <x v="11"/>
    <x v="1"/>
  </r>
  <r>
    <d v="2012-09-01T00:00:00"/>
    <s v="018-2230-000"/>
    <s v="Wine Sales"/>
    <n v="91.02"/>
    <n v="0"/>
    <s v="Daily Sales Import"/>
    <n v="-91.02"/>
    <n v="91.02"/>
    <x v="2"/>
    <s v="2230"/>
    <s v="000"/>
    <x v="11"/>
    <x v="1"/>
  </r>
  <r>
    <d v="2012-09-02T00:00:00"/>
    <s v="018-2100-000"/>
    <s v="Food Sales"/>
    <n v="10379.292000000001"/>
    <n v="0"/>
    <s v="Daily Sales Import"/>
    <n v="-10379.292000000001"/>
    <n v="10379.292000000001"/>
    <x v="2"/>
    <s v="2100"/>
    <s v="000"/>
    <x v="11"/>
    <x v="1"/>
  </r>
  <r>
    <d v="2012-09-02T00:00:00"/>
    <s v="018-2210-000"/>
    <s v="Liquor Sales"/>
    <n v="1860.4949999999999"/>
    <n v="0"/>
    <s v="Daily Sales Import"/>
    <n v="-1860.4949999999999"/>
    <n v="1860.4949999999999"/>
    <x v="2"/>
    <s v="2210"/>
    <s v="000"/>
    <x v="11"/>
    <x v="1"/>
  </r>
  <r>
    <d v="2012-09-02T00:00:00"/>
    <s v="018-2220-000"/>
    <s v="Beer Sales"/>
    <n v="482.89349999999996"/>
    <n v="0"/>
    <s v="Daily Sales Import"/>
    <n v="-482.89349999999996"/>
    <n v="482.89349999999996"/>
    <x v="2"/>
    <s v="2220"/>
    <s v="000"/>
    <x v="11"/>
    <x v="1"/>
  </r>
  <r>
    <d v="2012-09-02T00:00:00"/>
    <s v="018-2230-000"/>
    <s v="Wine Sales"/>
    <n v="65.701999999999998"/>
    <n v="0"/>
    <s v="Daily Sales Import"/>
    <n v="-65.701999999999998"/>
    <n v="65.701999999999998"/>
    <x v="2"/>
    <s v="2230"/>
    <s v="000"/>
    <x v="11"/>
    <x v="1"/>
  </r>
  <r>
    <d v="2012-09-03T00:00:00"/>
    <s v="016-2100-000"/>
    <s v="Food Sales"/>
    <n v="3788.3019999999997"/>
    <n v="0"/>
    <s v="Daily Sales Import"/>
    <n v="-3788.3019999999997"/>
    <n v="3788.3019999999997"/>
    <x v="0"/>
    <s v="2100"/>
    <s v="000"/>
    <x v="11"/>
    <x v="1"/>
  </r>
  <r>
    <d v="2012-09-03T00:00:00"/>
    <s v="016-2210-000"/>
    <s v="Liquor Sales"/>
    <n v="988.84500000000003"/>
    <n v="0"/>
    <s v="Daily Sales Import"/>
    <n v="-988.84500000000003"/>
    <n v="988.84500000000003"/>
    <x v="0"/>
    <s v="2210"/>
    <s v="000"/>
    <x v="11"/>
    <x v="1"/>
  </r>
  <r>
    <d v="2012-09-03T00:00:00"/>
    <s v="016-2220-000"/>
    <s v="Beer Sales"/>
    <n v="270.91800000000001"/>
    <n v="0"/>
    <s v="Daily Sales Import"/>
    <n v="-270.91800000000001"/>
    <n v="270.91800000000001"/>
    <x v="0"/>
    <s v="2220"/>
    <s v="000"/>
    <x v="11"/>
    <x v="1"/>
  </r>
  <r>
    <d v="2012-09-03T00:00:00"/>
    <s v="016-2230-000"/>
    <s v="Wine Sales"/>
    <n v="92.644000000000005"/>
    <n v="0"/>
    <s v="Daily Sales Import"/>
    <n v="-92.644000000000005"/>
    <n v="92.644000000000005"/>
    <x v="0"/>
    <s v="2230"/>
    <s v="000"/>
    <x v="11"/>
    <x v="1"/>
  </r>
  <r>
    <d v="2012-09-04T00:00:00"/>
    <s v="016-2100-000"/>
    <s v="Food Sales"/>
    <n v="3129.6354999999999"/>
    <n v="0"/>
    <s v="Daily Sales Import"/>
    <n v="-3129.6354999999999"/>
    <n v="3129.6354999999999"/>
    <x v="0"/>
    <s v="2100"/>
    <s v="000"/>
    <x v="11"/>
    <x v="1"/>
  </r>
  <r>
    <d v="2012-09-04T00:00:00"/>
    <s v="016-2210-000"/>
    <s v="Liquor Sales"/>
    <n v="938.7639999999999"/>
    <n v="0"/>
    <s v="Daily Sales Import"/>
    <n v="-938.7639999999999"/>
    <n v="938.7639999999999"/>
    <x v="0"/>
    <s v="2210"/>
    <s v="000"/>
    <x v="11"/>
    <x v="1"/>
  </r>
  <r>
    <d v="2012-09-04T00:00:00"/>
    <s v="016-2220-000"/>
    <s v="Beer Sales"/>
    <n v="263.50500000000005"/>
    <n v="0"/>
    <s v="Daily Sales Import"/>
    <n v="-263.50500000000005"/>
    <n v="263.50500000000005"/>
    <x v="0"/>
    <s v="2220"/>
    <s v="000"/>
    <x v="11"/>
    <x v="1"/>
  </r>
  <r>
    <d v="2012-09-04T00:00:00"/>
    <s v="016-2230-000"/>
    <s v="Wine Sales"/>
    <n v="93.86"/>
    <n v="0"/>
    <s v="Daily Sales Import"/>
    <n v="-93.86"/>
    <n v="93.86"/>
    <x v="0"/>
    <s v="2230"/>
    <s v="000"/>
    <x v="11"/>
    <x v="1"/>
  </r>
  <r>
    <d v="2012-09-05T00:00:00"/>
    <s v="016-2100-000"/>
    <s v="Food Sales"/>
    <n v="5912.9135000000006"/>
    <n v="0"/>
    <s v="Daily Sales Import"/>
    <n v="-5912.9135000000006"/>
    <n v="5912.9135000000006"/>
    <x v="0"/>
    <s v="2100"/>
    <s v="000"/>
    <x v="11"/>
    <x v="1"/>
  </r>
  <r>
    <d v="2012-09-05T00:00:00"/>
    <s v="016-2210-000"/>
    <s v="Liquor Sales"/>
    <n v="3760.9740000000002"/>
    <n v="0"/>
    <s v="Daily Sales Import"/>
    <n v="-3760.9740000000002"/>
    <n v="3760.9740000000002"/>
    <x v="0"/>
    <s v="2210"/>
    <s v="000"/>
    <x v="11"/>
    <x v="1"/>
  </r>
  <r>
    <d v="2012-09-05T00:00:00"/>
    <s v="016-2220-000"/>
    <s v="Beer Sales"/>
    <n v="1122.1210000000001"/>
    <n v="0"/>
    <s v="Daily Sales Import"/>
    <n v="-1122.1210000000001"/>
    <n v="1122.1210000000001"/>
    <x v="0"/>
    <s v="2220"/>
    <s v="000"/>
    <x v="11"/>
    <x v="1"/>
  </r>
  <r>
    <d v="2012-09-05T00:00:00"/>
    <s v="016-2230-000"/>
    <s v="Wine Sales"/>
    <n v="310.75"/>
    <n v="0"/>
    <s v="Daily Sales Import"/>
    <n v="-310.75"/>
    <n v="310.75"/>
    <x v="0"/>
    <s v="2230"/>
    <s v="000"/>
    <x v="11"/>
    <x v="1"/>
  </r>
  <r>
    <d v="2012-09-06T00:00:00"/>
    <s v="016-2100-000"/>
    <s v="Food Sales"/>
    <n v="1802.2593999999999"/>
    <n v="0"/>
    <s v="Daily Sales Import"/>
    <n v="-1802.2593999999999"/>
    <n v="1802.2593999999999"/>
    <x v="0"/>
    <s v="2100"/>
    <s v="000"/>
    <x v="11"/>
    <x v="1"/>
  </r>
  <r>
    <d v="2012-09-06T00:00:00"/>
    <s v="016-2210-000"/>
    <s v="Liquor Sales"/>
    <n v="483.44399999999996"/>
    <n v="0"/>
    <s v="Daily Sales Import"/>
    <n v="-483.44399999999996"/>
    <n v="483.44399999999996"/>
    <x v="0"/>
    <s v="2210"/>
    <s v="000"/>
    <x v="11"/>
    <x v="1"/>
  </r>
  <r>
    <d v="2012-09-06T00:00:00"/>
    <s v="016-2220-000"/>
    <s v="Beer Sales"/>
    <n v="163.56"/>
    <n v="0"/>
    <s v="Daily Sales Import"/>
    <n v="-163.56"/>
    <n v="163.56"/>
    <x v="0"/>
    <s v="2220"/>
    <s v="000"/>
    <x v="11"/>
    <x v="1"/>
  </r>
  <r>
    <d v="2012-09-06T00:00:00"/>
    <s v="016-2230-000"/>
    <s v="Wine Sales"/>
    <n v="45.353000000000002"/>
    <n v="0"/>
    <s v="Daily Sales Import"/>
    <n v="-45.353000000000002"/>
    <n v="45.353000000000002"/>
    <x v="0"/>
    <s v="2230"/>
    <s v="000"/>
    <x v="11"/>
    <x v="1"/>
  </r>
  <r>
    <d v="2012-09-07T00:00:00"/>
    <s v="016-2100-000"/>
    <s v="Food Sales"/>
    <n v="5034.1668000000009"/>
    <n v="0"/>
    <s v="Daily Sales Import"/>
    <n v="-5034.1668000000009"/>
    <n v="5034.1668000000009"/>
    <x v="0"/>
    <s v="2100"/>
    <s v="000"/>
    <x v="11"/>
    <x v="1"/>
  </r>
  <r>
    <d v="2012-09-07T00:00:00"/>
    <s v="016-2210-000"/>
    <s v="Liquor Sales"/>
    <n v="1593.7697000000001"/>
    <n v="0"/>
    <s v="Daily Sales Import"/>
    <n v="-1593.7697000000001"/>
    <n v="1593.7697000000001"/>
    <x v="0"/>
    <s v="2210"/>
    <s v="000"/>
    <x v="11"/>
    <x v="1"/>
  </r>
  <r>
    <d v="2012-09-07T00:00:00"/>
    <s v="016-2220-000"/>
    <s v="Beer Sales"/>
    <n v="276.2688"/>
    <n v="0"/>
    <s v="Daily Sales Import"/>
    <n v="-276.2688"/>
    <n v="276.2688"/>
    <x v="0"/>
    <s v="2220"/>
    <s v="000"/>
    <x v="11"/>
    <x v="1"/>
  </r>
  <r>
    <d v="2012-09-07T00:00:00"/>
    <s v="016-2230-000"/>
    <s v="Wine Sales"/>
    <n v="145.30500000000001"/>
    <n v="0"/>
    <s v="Daily Sales Import"/>
    <n v="-145.30500000000001"/>
    <n v="145.30500000000001"/>
    <x v="0"/>
    <s v="2230"/>
    <s v="000"/>
    <x v="11"/>
    <x v="1"/>
  </r>
  <r>
    <d v="2012-09-08T00:00:00"/>
    <s v="016-2100-000"/>
    <s v="Food Sales"/>
    <n v="7183.1269999999995"/>
    <n v="0"/>
    <s v="Daily Sales Import"/>
    <n v="-7183.1269999999995"/>
    <n v="7183.1269999999995"/>
    <x v="0"/>
    <s v="2100"/>
    <s v="000"/>
    <x v="11"/>
    <x v="1"/>
  </r>
  <r>
    <d v="2012-09-08T00:00:00"/>
    <s v="016-2210-000"/>
    <s v="Liquor Sales"/>
    <n v="1748.704"/>
    <n v="0"/>
    <s v="Daily Sales Import"/>
    <n v="-1748.704"/>
    <n v="1748.704"/>
    <x v="0"/>
    <s v="2210"/>
    <s v="000"/>
    <x v="11"/>
    <x v="1"/>
  </r>
  <r>
    <d v="2012-09-08T00:00:00"/>
    <s v="016-2220-000"/>
    <s v="Beer Sales"/>
    <n v="341.86049999999994"/>
    <n v="0"/>
    <s v="Daily Sales Import"/>
    <n v="-341.86049999999994"/>
    <n v="341.86049999999994"/>
    <x v="0"/>
    <s v="2220"/>
    <s v="000"/>
    <x v="11"/>
    <x v="1"/>
  </r>
  <r>
    <d v="2012-09-08T00:00:00"/>
    <s v="016-2230-000"/>
    <s v="Wine Sales"/>
    <n v="183.32999999999998"/>
    <n v="0"/>
    <s v="Daily Sales Import"/>
    <n v="-183.32999999999998"/>
    <n v="183.32999999999998"/>
    <x v="0"/>
    <s v="2230"/>
    <s v="000"/>
    <x v="11"/>
    <x v="1"/>
  </r>
  <r>
    <d v="2012-09-09T00:00:00"/>
    <s v="016-2100-000"/>
    <s v="Food Sales"/>
    <n v="3521.3667"/>
    <n v="0"/>
    <s v="Daily Sales Import"/>
    <n v="-3521.3667"/>
    <n v="3521.3667"/>
    <x v="0"/>
    <s v="2100"/>
    <s v="000"/>
    <x v="11"/>
    <x v="1"/>
  </r>
  <r>
    <d v="2012-09-09T00:00:00"/>
    <s v="016-2210-000"/>
    <s v="Liquor Sales"/>
    <n v="662.45540000000005"/>
    <n v="0"/>
    <s v="Daily Sales Import"/>
    <n v="-662.45540000000005"/>
    <n v="662.45540000000005"/>
    <x v="0"/>
    <s v="2210"/>
    <s v="000"/>
    <x v="11"/>
    <x v="1"/>
  </r>
  <r>
    <d v="2012-09-09T00:00:00"/>
    <s v="016-2220-000"/>
    <s v="Beer Sales"/>
    <n v="169.9425"/>
    <n v="0"/>
    <s v="Daily Sales Import"/>
    <n v="-169.9425"/>
    <n v="169.9425"/>
    <x v="0"/>
    <s v="2220"/>
    <s v="000"/>
    <x v="11"/>
    <x v="1"/>
  </r>
  <r>
    <d v="2012-09-09T00:00:00"/>
    <s v="016-2230-000"/>
    <s v="Wine Sales"/>
    <n v="58.14"/>
    <n v="0"/>
    <s v="Daily Sales Import"/>
    <n v="-58.14"/>
    <n v="58.14"/>
    <x v="0"/>
    <s v="2230"/>
    <s v="000"/>
    <x v="11"/>
    <x v="1"/>
  </r>
  <r>
    <d v="2012-09-03T00:00:00"/>
    <s v="017-2100-000"/>
    <s v="Food Sales"/>
    <n v="3563.712"/>
    <n v="0"/>
    <s v="Daily Sales Import"/>
    <n v="-3563.712"/>
    <n v="3563.712"/>
    <x v="1"/>
    <s v="2100"/>
    <s v="000"/>
    <x v="11"/>
    <x v="1"/>
  </r>
  <r>
    <d v="2012-09-03T00:00:00"/>
    <s v="017-2210-000"/>
    <s v="Liquor Sales"/>
    <n v="817.42750000000001"/>
    <n v="0"/>
    <s v="Daily Sales Import"/>
    <n v="-817.42750000000001"/>
    <n v="817.42750000000001"/>
    <x v="1"/>
    <s v="2210"/>
    <s v="000"/>
    <x v="11"/>
    <x v="1"/>
  </r>
  <r>
    <d v="2012-09-03T00:00:00"/>
    <s v="017-2220-000"/>
    <s v="Beer Sales"/>
    <n v="154.36499999999998"/>
    <n v="0"/>
    <s v="Daily Sales Import"/>
    <n v="-154.36499999999998"/>
    <n v="154.36499999999998"/>
    <x v="1"/>
    <s v="2220"/>
    <s v="000"/>
    <x v="11"/>
    <x v="1"/>
  </r>
  <r>
    <d v="2012-09-03T00:00:00"/>
    <s v="017-2230-000"/>
    <s v="Wine Sales"/>
    <n v="39.367999999999995"/>
    <n v="0"/>
    <s v="Daily Sales Import"/>
    <n v="-39.367999999999995"/>
    <n v="39.367999999999995"/>
    <x v="1"/>
    <s v="2230"/>
    <s v="000"/>
    <x v="11"/>
    <x v="1"/>
  </r>
  <r>
    <d v="2012-09-04T00:00:00"/>
    <s v="017-2100-000"/>
    <s v="Food Sales"/>
    <n v="3953.1760000000004"/>
    <n v="0"/>
    <s v="Daily Sales Import"/>
    <n v="-3953.1760000000004"/>
    <n v="3953.1760000000004"/>
    <x v="1"/>
    <s v="2100"/>
    <s v="000"/>
    <x v="11"/>
    <x v="1"/>
  </r>
  <r>
    <d v="2012-09-04T00:00:00"/>
    <s v="017-2210-000"/>
    <s v="Liquor Sales"/>
    <n v="423.97600000000006"/>
    <n v="0"/>
    <s v="Daily Sales Import"/>
    <n v="-423.97600000000006"/>
    <n v="423.97600000000006"/>
    <x v="1"/>
    <s v="2210"/>
    <s v="000"/>
    <x v="11"/>
    <x v="1"/>
  </r>
  <r>
    <d v="2012-09-04T00:00:00"/>
    <s v="017-2220-000"/>
    <s v="Beer Sales"/>
    <n v="230.76999999999998"/>
    <n v="0"/>
    <s v="Daily Sales Import"/>
    <n v="-230.76999999999998"/>
    <n v="230.76999999999998"/>
    <x v="1"/>
    <s v="2220"/>
    <s v="000"/>
    <x v="11"/>
    <x v="1"/>
  </r>
  <r>
    <d v="2012-09-04T00:00:00"/>
    <s v="017-2230-000"/>
    <s v="Wine Sales"/>
    <n v="17.578000000000003"/>
    <n v="0"/>
    <s v="Daily Sales Import"/>
    <n v="-17.578000000000003"/>
    <n v="17.578000000000003"/>
    <x v="1"/>
    <s v="2230"/>
    <s v="000"/>
    <x v="11"/>
    <x v="1"/>
  </r>
  <r>
    <d v="2012-09-05T00:00:00"/>
    <s v="017-2100-000"/>
    <s v="Food Sales"/>
    <n v="5884.4663999999993"/>
    <n v="0"/>
    <s v="Daily Sales Import"/>
    <n v="-5884.4663999999993"/>
    <n v="5884.4663999999993"/>
    <x v="1"/>
    <s v="2100"/>
    <s v="000"/>
    <x v="11"/>
    <x v="1"/>
  </r>
  <r>
    <d v="2012-09-05T00:00:00"/>
    <s v="017-2210-000"/>
    <s v="Liquor Sales"/>
    <n v="1156.3364999999999"/>
    <n v="0"/>
    <s v="Daily Sales Import"/>
    <n v="-1156.3364999999999"/>
    <n v="1156.3364999999999"/>
    <x v="1"/>
    <s v="2210"/>
    <s v="000"/>
    <x v="11"/>
    <x v="1"/>
  </r>
  <r>
    <d v="2012-09-05T00:00:00"/>
    <s v="017-2220-000"/>
    <s v="Beer Sales"/>
    <n v="288.95249999999999"/>
    <n v="0"/>
    <s v="Daily Sales Import"/>
    <n v="-288.95249999999999"/>
    <n v="288.95249999999999"/>
    <x v="1"/>
    <s v="2220"/>
    <s v="000"/>
    <x v="11"/>
    <x v="1"/>
  </r>
  <r>
    <d v="2012-09-05T00:00:00"/>
    <s v="017-2230-000"/>
    <s v="Wine Sales"/>
    <n v="38.4375"/>
    <n v="0"/>
    <s v="Daily Sales Import"/>
    <n v="-38.4375"/>
    <n v="38.4375"/>
    <x v="1"/>
    <s v="2230"/>
    <s v="000"/>
    <x v="11"/>
    <x v="1"/>
  </r>
  <r>
    <d v="2012-09-06T00:00:00"/>
    <s v="017-2100-000"/>
    <s v="Food Sales"/>
    <n v="3984.8798999999999"/>
    <n v="0"/>
    <s v="Daily Sales Import"/>
    <n v="-3984.8798999999999"/>
    <n v="3984.8798999999999"/>
    <x v="1"/>
    <s v="2100"/>
    <s v="000"/>
    <x v="11"/>
    <x v="1"/>
  </r>
  <r>
    <d v="2012-09-06T00:00:00"/>
    <s v="017-2210-000"/>
    <s v="Liquor Sales"/>
    <n v="742.83499999999992"/>
    <n v="0"/>
    <s v="Daily Sales Import"/>
    <n v="-742.83499999999992"/>
    <n v="742.83499999999992"/>
    <x v="1"/>
    <s v="2210"/>
    <s v="000"/>
    <x v="11"/>
    <x v="1"/>
  </r>
  <r>
    <d v="2012-09-06T00:00:00"/>
    <s v="017-2220-000"/>
    <s v="Beer Sales"/>
    <n v="437.85"/>
    <n v="0"/>
    <s v="Daily Sales Import"/>
    <n v="-437.85"/>
    <n v="437.85"/>
    <x v="1"/>
    <s v="2220"/>
    <s v="000"/>
    <x v="11"/>
    <x v="1"/>
  </r>
  <r>
    <d v="2012-09-06T00:00:00"/>
    <s v="017-2230-000"/>
    <s v="Wine Sales"/>
    <n v="38.835999999999999"/>
    <n v="0"/>
    <s v="Daily Sales Import"/>
    <n v="-38.835999999999999"/>
    <n v="38.835999999999999"/>
    <x v="1"/>
    <s v="2230"/>
    <s v="000"/>
    <x v="11"/>
    <x v="1"/>
  </r>
  <r>
    <d v="2012-09-07T00:00:00"/>
    <s v="017-2100-000"/>
    <s v="Food Sales"/>
    <n v="7252.8584000000001"/>
    <n v="0"/>
    <s v="Daily Sales Import"/>
    <n v="-7252.8584000000001"/>
    <n v="7252.8584000000001"/>
    <x v="1"/>
    <s v="2100"/>
    <s v="000"/>
    <x v="11"/>
    <x v="1"/>
  </r>
  <r>
    <d v="2012-09-07T00:00:00"/>
    <s v="017-2210-000"/>
    <s v="Liquor Sales"/>
    <n v="2276.8985000000002"/>
    <n v="0"/>
    <s v="Daily Sales Import"/>
    <n v="-2276.8985000000002"/>
    <n v="2276.8985000000002"/>
    <x v="1"/>
    <s v="2210"/>
    <s v="000"/>
    <x v="11"/>
    <x v="1"/>
  </r>
  <r>
    <d v="2012-09-07T00:00:00"/>
    <s v="017-2220-000"/>
    <s v="Beer Sales"/>
    <n v="506.99250000000001"/>
    <n v="0"/>
    <s v="Daily Sales Import"/>
    <n v="-506.99250000000001"/>
    <n v="506.99250000000001"/>
    <x v="1"/>
    <s v="2220"/>
    <s v="000"/>
    <x v="11"/>
    <x v="1"/>
  </r>
  <r>
    <d v="2012-09-07T00:00:00"/>
    <s v="017-2230-000"/>
    <s v="Wine Sales"/>
    <n v="87.836999999999989"/>
    <n v="0"/>
    <s v="Daily Sales Import"/>
    <n v="-87.836999999999989"/>
    <n v="87.836999999999989"/>
    <x v="1"/>
    <s v="2230"/>
    <s v="000"/>
    <x v="11"/>
    <x v="1"/>
  </r>
  <r>
    <d v="2012-09-08T00:00:00"/>
    <s v="017-2100-000"/>
    <s v="Food Sales"/>
    <n v="4544.7929999999997"/>
    <n v="0"/>
    <s v="Daily Sales Import"/>
    <n v="-4544.7929999999997"/>
    <n v="4544.7929999999997"/>
    <x v="1"/>
    <s v="2100"/>
    <s v="000"/>
    <x v="11"/>
    <x v="1"/>
  </r>
  <r>
    <d v="2012-09-08T00:00:00"/>
    <s v="017-2210-000"/>
    <s v="Liquor Sales"/>
    <n v="1196.8110000000001"/>
    <n v="0"/>
    <s v="Daily Sales Import"/>
    <n v="-1196.8110000000001"/>
    <n v="1196.8110000000001"/>
    <x v="1"/>
    <s v="2210"/>
    <s v="000"/>
    <x v="11"/>
    <x v="1"/>
  </r>
  <r>
    <d v="2012-09-08T00:00:00"/>
    <s v="017-2220-000"/>
    <s v="Beer Sales"/>
    <n v="321.54000000000002"/>
    <n v="0"/>
    <s v="Daily Sales Import"/>
    <n v="-321.54000000000002"/>
    <n v="321.54000000000002"/>
    <x v="1"/>
    <s v="2220"/>
    <s v="000"/>
    <x v="11"/>
    <x v="1"/>
  </r>
  <r>
    <d v="2012-09-08T00:00:00"/>
    <s v="017-2230-000"/>
    <s v="Wine Sales"/>
    <n v="98.259999999999991"/>
    <n v="0"/>
    <s v="Daily Sales Import"/>
    <n v="-98.259999999999991"/>
    <n v="98.259999999999991"/>
    <x v="1"/>
    <s v="2230"/>
    <s v="000"/>
    <x v="11"/>
    <x v="1"/>
  </r>
  <r>
    <d v="2012-09-09T00:00:00"/>
    <s v="017-2100-000"/>
    <s v="Food Sales"/>
    <n v="3845.8847999999998"/>
    <n v="0"/>
    <s v="Daily Sales Import"/>
    <n v="-3845.8847999999998"/>
    <n v="3845.8847999999998"/>
    <x v="1"/>
    <s v="2100"/>
    <s v="000"/>
    <x v="11"/>
    <x v="1"/>
  </r>
  <r>
    <d v="2012-09-09T00:00:00"/>
    <s v="017-2210-000"/>
    <s v="Liquor Sales"/>
    <n v="1027.4375"/>
    <n v="0"/>
    <s v="Daily Sales Import"/>
    <n v="-1027.4375"/>
    <n v="1027.4375"/>
    <x v="1"/>
    <s v="2210"/>
    <s v="000"/>
    <x v="11"/>
    <x v="1"/>
  </r>
  <r>
    <d v="2012-09-09T00:00:00"/>
    <s v="017-2220-000"/>
    <s v="Beer Sales"/>
    <n v="222.31"/>
    <n v="0"/>
    <s v="Daily Sales Import"/>
    <n v="-222.31"/>
    <n v="222.31"/>
    <x v="1"/>
    <s v="2220"/>
    <s v="000"/>
    <x v="11"/>
    <x v="1"/>
  </r>
  <r>
    <d v="2012-09-09T00:00:00"/>
    <s v="017-2230-000"/>
    <s v="Wine Sales"/>
    <n v="53.156999999999996"/>
    <n v="0"/>
    <s v="Daily Sales Import"/>
    <n v="-53.156999999999996"/>
    <n v="53.156999999999996"/>
    <x v="1"/>
    <s v="2230"/>
    <s v="000"/>
    <x v="11"/>
    <x v="1"/>
  </r>
  <r>
    <d v="2012-09-03T00:00:00"/>
    <s v="018-2100-000"/>
    <s v="Food Sales"/>
    <n v="8234.1283999999996"/>
    <n v="0"/>
    <s v="Daily Sales Import"/>
    <n v="-8234.1283999999996"/>
    <n v="8234.1283999999996"/>
    <x v="2"/>
    <s v="2100"/>
    <s v="000"/>
    <x v="11"/>
    <x v="1"/>
  </r>
  <r>
    <d v="2012-09-03T00:00:00"/>
    <s v="018-2210-000"/>
    <s v="Liquor Sales"/>
    <n v="1101.789"/>
    <n v="0"/>
    <s v="Daily Sales Import"/>
    <n v="-1101.789"/>
    <n v="1101.789"/>
    <x v="2"/>
    <s v="2210"/>
    <s v="000"/>
    <x v="11"/>
    <x v="1"/>
  </r>
  <r>
    <d v="2012-09-03T00:00:00"/>
    <s v="018-2220-000"/>
    <s v="Beer Sales"/>
    <n v="150.57900000000001"/>
    <n v="0"/>
    <s v="Daily Sales Import"/>
    <n v="-150.57900000000001"/>
    <n v="150.57900000000001"/>
    <x v="2"/>
    <s v="2220"/>
    <s v="000"/>
    <x v="11"/>
    <x v="1"/>
  </r>
  <r>
    <d v="2012-09-03T00:00:00"/>
    <s v="018-2230-000"/>
    <s v="Wine Sales"/>
    <n v="31.979999999999997"/>
    <n v="0"/>
    <s v="Daily Sales Import"/>
    <n v="-31.979999999999997"/>
    <n v="31.979999999999997"/>
    <x v="2"/>
    <s v="2230"/>
    <s v="000"/>
    <x v="11"/>
    <x v="1"/>
  </r>
  <r>
    <d v="2012-09-04T00:00:00"/>
    <s v="018-2100-000"/>
    <s v="Food Sales"/>
    <n v="2507.8289999999997"/>
    <n v="0"/>
    <s v="Daily Sales Import"/>
    <n v="-2507.8289999999997"/>
    <n v="2507.8289999999997"/>
    <x v="2"/>
    <s v="2100"/>
    <s v="000"/>
    <x v="11"/>
    <x v="1"/>
  </r>
  <r>
    <d v="2012-09-04T00:00:00"/>
    <s v="018-2210-000"/>
    <s v="Liquor Sales"/>
    <n v="523.65449999999998"/>
    <n v="0"/>
    <s v="Daily Sales Import"/>
    <n v="-523.65449999999998"/>
    <n v="523.65449999999998"/>
    <x v="2"/>
    <s v="2210"/>
    <s v="000"/>
    <x v="11"/>
    <x v="1"/>
  </r>
  <r>
    <d v="2012-09-04T00:00:00"/>
    <s v="018-2220-000"/>
    <s v="Beer Sales"/>
    <n v="150.07499999999999"/>
    <n v="0"/>
    <s v="Daily Sales Import"/>
    <n v="-150.07499999999999"/>
    <n v="150.07499999999999"/>
    <x v="2"/>
    <s v="2220"/>
    <s v="000"/>
    <x v="11"/>
    <x v="1"/>
  </r>
  <r>
    <d v="2012-09-04T00:00:00"/>
    <s v="018-2230-000"/>
    <s v="Wine Sales"/>
    <n v="33.822499999999998"/>
    <n v="0"/>
    <s v="Daily Sales Import"/>
    <n v="-33.822499999999998"/>
    <n v="33.822499999999998"/>
    <x v="2"/>
    <s v="2230"/>
    <s v="000"/>
    <x v="11"/>
    <x v="1"/>
  </r>
  <r>
    <d v="2012-09-05T00:00:00"/>
    <s v="018-2100-000"/>
    <s v="Food Sales"/>
    <n v="3046.77"/>
    <n v="0"/>
    <s v="Daily Sales Import"/>
    <n v="-3046.77"/>
    <n v="3046.77"/>
    <x v="2"/>
    <s v="2100"/>
    <s v="000"/>
    <x v="11"/>
    <x v="1"/>
  </r>
  <r>
    <d v="2012-09-05T00:00:00"/>
    <s v="018-2210-000"/>
    <s v="Liquor Sales"/>
    <n v="1028.2545"/>
    <n v="0"/>
    <s v="Daily Sales Import"/>
    <n v="-1028.2545"/>
    <n v="1028.2545"/>
    <x v="2"/>
    <s v="2210"/>
    <s v="000"/>
    <x v="11"/>
    <x v="1"/>
  </r>
  <r>
    <d v="2012-09-05T00:00:00"/>
    <s v="018-2220-000"/>
    <s v="Beer Sales"/>
    <n v="337.35"/>
    <n v="0"/>
    <s v="Daily Sales Import"/>
    <n v="-337.35"/>
    <n v="337.35"/>
    <x v="2"/>
    <s v="2220"/>
    <s v="000"/>
    <x v="11"/>
    <x v="1"/>
  </r>
  <r>
    <d v="2012-09-05T00:00:00"/>
    <s v="018-2230-000"/>
    <s v="Wine Sales"/>
    <n v="54.706000000000003"/>
    <n v="0"/>
    <s v="Daily Sales Import"/>
    <n v="-54.706000000000003"/>
    <n v="54.706000000000003"/>
    <x v="2"/>
    <s v="2230"/>
    <s v="000"/>
    <x v="11"/>
    <x v="1"/>
  </r>
  <r>
    <d v="2012-09-06T00:00:00"/>
    <s v="018-2100-000"/>
    <s v="Food Sales"/>
    <n v="4602.1840000000002"/>
    <n v="0"/>
    <s v="Daily Sales Import"/>
    <n v="-4602.1840000000002"/>
    <n v="4602.1840000000002"/>
    <x v="2"/>
    <s v="2100"/>
    <s v="000"/>
    <x v="11"/>
    <x v="1"/>
  </r>
  <r>
    <d v="2012-09-06T00:00:00"/>
    <s v="018-2210-000"/>
    <s v="Liquor Sales"/>
    <n v="1333.7415000000001"/>
    <n v="0"/>
    <s v="Daily Sales Import"/>
    <n v="-1333.7415000000001"/>
    <n v="1333.7415000000001"/>
    <x v="2"/>
    <s v="2210"/>
    <s v="000"/>
    <x v="11"/>
    <x v="1"/>
  </r>
  <r>
    <d v="2012-09-06T00:00:00"/>
    <s v="018-2220-000"/>
    <s v="Beer Sales"/>
    <n v="358.44749999999999"/>
    <n v="0"/>
    <s v="Daily Sales Import"/>
    <n v="-358.44749999999999"/>
    <n v="358.44749999999999"/>
    <x v="2"/>
    <s v="2220"/>
    <s v="000"/>
    <x v="11"/>
    <x v="1"/>
  </r>
  <r>
    <d v="2012-09-06T00:00:00"/>
    <s v="018-2230-000"/>
    <s v="Wine Sales"/>
    <n v="29.224999999999998"/>
    <n v="0"/>
    <s v="Daily Sales Import"/>
    <n v="-29.224999999999998"/>
    <n v="29.224999999999998"/>
    <x v="2"/>
    <s v="2230"/>
    <s v="000"/>
    <x v="11"/>
    <x v="1"/>
  </r>
  <r>
    <d v="2012-09-07T00:00:00"/>
    <s v="018-2100-000"/>
    <s v="Food Sales"/>
    <n v="12387.8325"/>
    <n v="0"/>
    <s v="Daily Sales Import"/>
    <n v="-12387.8325"/>
    <n v="12387.8325"/>
    <x v="2"/>
    <s v="2100"/>
    <s v="000"/>
    <x v="11"/>
    <x v="1"/>
  </r>
  <r>
    <d v="2012-09-07T00:00:00"/>
    <s v="018-2210-000"/>
    <s v="Liquor Sales"/>
    <n v="3762.2700000000004"/>
    <n v="0"/>
    <s v="Daily Sales Import"/>
    <n v="-3762.2700000000004"/>
    <n v="3762.2700000000004"/>
    <x v="2"/>
    <s v="2210"/>
    <s v="000"/>
    <x v="11"/>
    <x v="1"/>
  </r>
  <r>
    <d v="2012-09-07T00:00:00"/>
    <s v="018-2220-000"/>
    <s v="Beer Sales"/>
    <n v="828.97749999999996"/>
    <n v="0"/>
    <s v="Daily Sales Import"/>
    <n v="-828.97749999999996"/>
    <n v="828.97749999999996"/>
    <x v="2"/>
    <s v="2220"/>
    <s v="000"/>
    <x v="11"/>
    <x v="1"/>
  </r>
  <r>
    <d v="2012-09-07T00:00:00"/>
    <s v="018-2230-000"/>
    <s v="Wine Sales"/>
    <n v="105.15200000000002"/>
    <n v="0"/>
    <s v="Daily Sales Import"/>
    <n v="-105.15200000000002"/>
    <n v="105.15200000000002"/>
    <x v="2"/>
    <s v="2230"/>
    <s v="000"/>
    <x v="11"/>
    <x v="1"/>
  </r>
  <r>
    <d v="2012-09-08T00:00:00"/>
    <s v="018-2100-000"/>
    <s v="Food Sales"/>
    <n v="11269.3392"/>
    <n v="0"/>
    <s v="Daily Sales Import"/>
    <n v="-11269.3392"/>
    <n v="11269.3392"/>
    <x v="2"/>
    <s v="2100"/>
    <s v="000"/>
    <x v="11"/>
    <x v="1"/>
  </r>
  <r>
    <d v="2012-09-08T00:00:00"/>
    <s v="018-2210-000"/>
    <s v="Liquor Sales"/>
    <n v="2388.2354999999998"/>
    <n v="0"/>
    <s v="Daily Sales Import"/>
    <n v="-2388.2354999999998"/>
    <n v="2388.2354999999998"/>
    <x v="2"/>
    <s v="2210"/>
    <s v="000"/>
    <x v="11"/>
    <x v="1"/>
  </r>
  <r>
    <d v="2012-09-08T00:00:00"/>
    <s v="018-2220-000"/>
    <s v="Beer Sales"/>
    <n v="618.048"/>
    <n v="0"/>
    <s v="Daily Sales Import"/>
    <n v="-618.048"/>
    <n v="618.048"/>
    <x v="2"/>
    <s v="2220"/>
    <s v="000"/>
    <x v="11"/>
    <x v="1"/>
  </r>
  <r>
    <d v="2012-09-08T00:00:00"/>
    <s v="018-2230-000"/>
    <s v="Wine Sales"/>
    <n v="118.68799999999999"/>
    <n v="0"/>
    <s v="Daily Sales Import"/>
    <n v="-118.68799999999999"/>
    <n v="118.68799999999999"/>
    <x v="2"/>
    <s v="2230"/>
    <s v="000"/>
    <x v="11"/>
    <x v="1"/>
  </r>
  <r>
    <d v="2012-09-09T00:00:00"/>
    <s v="018-2100-000"/>
    <s v="Food Sales"/>
    <n v="8375.9279999999999"/>
    <n v="0"/>
    <s v="Daily Sales Import"/>
    <n v="-8375.9279999999999"/>
    <n v="8375.9279999999999"/>
    <x v="2"/>
    <s v="2100"/>
    <s v="000"/>
    <x v="11"/>
    <x v="1"/>
  </r>
  <r>
    <d v="2012-09-09T00:00:00"/>
    <s v="018-2210-000"/>
    <s v="Liquor Sales"/>
    <n v="1615.24"/>
    <n v="0"/>
    <s v="Daily Sales Import"/>
    <n v="-1615.24"/>
    <n v="1615.24"/>
    <x v="2"/>
    <s v="2210"/>
    <s v="000"/>
    <x v="11"/>
    <x v="1"/>
  </r>
  <r>
    <d v="2012-09-09T00:00:00"/>
    <s v="018-2220-000"/>
    <s v="Beer Sales"/>
    <n v="272.90250000000003"/>
    <n v="0"/>
    <s v="Daily Sales Import"/>
    <n v="-272.90250000000003"/>
    <n v="272.90250000000003"/>
    <x v="2"/>
    <s v="2220"/>
    <s v="000"/>
    <x v="11"/>
    <x v="1"/>
  </r>
  <r>
    <d v="2012-09-09T00:00:00"/>
    <s v="018-2230-000"/>
    <s v="Wine Sales"/>
    <n v="73.881500000000003"/>
    <n v="0"/>
    <s v="Daily Sales Import"/>
    <n v="-73.881500000000003"/>
    <n v="73.881500000000003"/>
    <x v="2"/>
    <s v="2230"/>
    <s v="000"/>
    <x v="11"/>
    <x v="1"/>
  </r>
  <r>
    <d v="2012-09-10T00:00:00"/>
    <s v="016-2100-000"/>
    <s v="Food Sales"/>
    <n v="1450.4723999999999"/>
    <n v="0"/>
    <s v="Daily Sales Import"/>
    <n v="-1450.4723999999999"/>
    <n v="1450.4723999999999"/>
    <x v="0"/>
    <s v="2100"/>
    <s v="000"/>
    <x v="11"/>
    <x v="1"/>
  </r>
  <r>
    <d v="2012-09-10T00:00:00"/>
    <s v="016-2210-000"/>
    <s v="Liquor Sales"/>
    <n v="406.78000000000003"/>
    <n v="0"/>
    <s v="Daily Sales Import"/>
    <n v="-406.78000000000003"/>
    <n v="406.78000000000003"/>
    <x v="0"/>
    <s v="2210"/>
    <s v="000"/>
    <x v="11"/>
    <x v="1"/>
  </r>
  <r>
    <d v="2012-09-10T00:00:00"/>
    <s v="016-2220-000"/>
    <s v="Beer Sales"/>
    <n v="48.994499999999995"/>
    <n v="0"/>
    <s v="Daily Sales Import"/>
    <n v="-48.994499999999995"/>
    <n v="48.994499999999995"/>
    <x v="0"/>
    <s v="2220"/>
    <s v="000"/>
    <x v="11"/>
    <x v="1"/>
  </r>
  <r>
    <d v="2012-09-11T00:00:00"/>
    <s v="016-2100-000"/>
    <s v="Food Sales"/>
    <n v="3420.3267000000001"/>
    <n v="0"/>
    <s v="Daily Sales Import"/>
    <n v="-3420.3267000000001"/>
    <n v="3420.3267000000001"/>
    <x v="0"/>
    <s v="2100"/>
    <s v="000"/>
    <x v="11"/>
    <x v="1"/>
  </r>
  <r>
    <d v="2012-09-11T00:00:00"/>
    <s v="016-2210-000"/>
    <s v="Liquor Sales"/>
    <n v="1779.8340000000001"/>
    <n v="0"/>
    <s v="Daily Sales Import"/>
    <n v="-1779.8340000000001"/>
    <n v="1779.8340000000001"/>
    <x v="0"/>
    <s v="2210"/>
    <s v="000"/>
    <x v="11"/>
    <x v="1"/>
  </r>
  <r>
    <d v="2012-09-11T00:00:00"/>
    <s v="016-2220-000"/>
    <s v="Beer Sales"/>
    <n v="464.44650000000001"/>
    <n v="0"/>
    <s v="Daily Sales Import"/>
    <n v="-464.44650000000001"/>
    <n v="464.44650000000001"/>
    <x v="0"/>
    <s v="2220"/>
    <s v="000"/>
    <x v="11"/>
    <x v="1"/>
  </r>
  <r>
    <d v="2012-09-11T00:00:00"/>
    <s v="016-2230-000"/>
    <s v="Wine Sales"/>
    <n v="115.3425"/>
    <n v="0"/>
    <s v="Daily Sales Import"/>
    <n v="-115.3425"/>
    <n v="115.3425"/>
    <x v="0"/>
    <s v="2230"/>
    <s v="000"/>
    <x v="11"/>
    <x v="1"/>
  </r>
  <r>
    <d v="2012-09-12T00:00:00"/>
    <s v="016-2100-000"/>
    <s v="Food Sales"/>
    <n v="3347.011"/>
    <n v="0"/>
    <s v="Daily Sales Import"/>
    <n v="-3347.011"/>
    <n v="3347.011"/>
    <x v="0"/>
    <s v="2100"/>
    <s v="000"/>
    <x v="11"/>
    <x v="1"/>
  </r>
  <r>
    <d v="2012-09-12T00:00:00"/>
    <s v="016-2210-000"/>
    <s v="Liquor Sales"/>
    <n v="467.85200000000009"/>
    <n v="0"/>
    <s v="Daily Sales Import"/>
    <n v="-467.85200000000009"/>
    <n v="467.85200000000009"/>
    <x v="0"/>
    <s v="2210"/>
    <s v="000"/>
    <x v="11"/>
    <x v="1"/>
  </r>
  <r>
    <d v="2012-09-12T00:00:00"/>
    <s v="016-2220-000"/>
    <s v="Beer Sales"/>
    <n v="84.924000000000007"/>
    <n v="0"/>
    <s v="Daily Sales Import"/>
    <n v="-84.924000000000007"/>
    <n v="84.924000000000007"/>
    <x v="0"/>
    <s v="2220"/>
    <s v="000"/>
    <x v="11"/>
    <x v="1"/>
  </r>
  <r>
    <d v="2012-09-12T00:00:00"/>
    <s v="016-2230-000"/>
    <s v="Wine Sales"/>
    <n v="9.7199999999999989"/>
    <n v="0"/>
    <s v="Daily Sales Import"/>
    <n v="-9.7199999999999989"/>
    <n v="9.7199999999999989"/>
    <x v="0"/>
    <s v="2230"/>
    <s v="000"/>
    <x v="11"/>
    <x v="1"/>
  </r>
  <r>
    <d v="2012-09-13T00:00:00"/>
    <s v="016-2100-000"/>
    <s v="Food Sales"/>
    <n v="2391.7860999999998"/>
    <n v="0"/>
    <s v="Daily Sales Import"/>
    <n v="-2391.7860999999998"/>
    <n v="2391.7860999999998"/>
    <x v="0"/>
    <s v="2100"/>
    <s v="000"/>
    <x v="11"/>
    <x v="1"/>
  </r>
  <r>
    <d v="2012-09-13T00:00:00"/>
    <s v="016-2210-000"/>
    <s v="Liquor Sales"/>
    <n v="563.976"/>
    <n v="0"/>
    <s v="Daily Sales Import"/>
    <n v="-563.976"/>
    <n v="563.976"/>
    <x v="0"/>
    <s v="2210"/>
    <s v="000"/>
    <x v="11"/>
    <x v="1"/>
  </r>
  <r>
    <d v="2012-09-13T00:00:00"/>
    <s v="016-2220-000"/>
    <s v="Beer Sales"/>
    <n v="130.34520000000001"/>
    <n v="0"/>
    <s v="Daily Sales Import"/>
    <n v="-130.34520000000001"/>
    <n v="130.34520000000001"/>
    <x v="0"/>
    <s v="2220"/>
    <s v="000"/>
    <x v="11"/>
    <x v="1"/>
  </r>
  <r>
    <d v="2012-09-13T00:00:00"/>
    <s v="016-2230-000"/>
    <s v="Wine Sales"/>
    <n v="35.31"/>
    <n v="0"/>
    <s v="Daily Sales Import"/>
    <n v="-35.31"/>
    <n v="35.31"/>
    <x v="0"/>
    <s v="2230"/>
    <s v="000"/>
    <x v="11"/>
    <x v="1"/>
  </r>
  <r>
    <d v="2012-09-14T00:00:00"/>
    <s v="016-2100-000"/>
    <s v="Food Sales"/>
    <n v="7059.7764000000006"/>
    <n v="0"/>
    <s v="Daily Sales Import"/>
    <n v="-7059.7764000000006"/>
    <n v="7059.7764000000006"/>
    <x v="0"/>
    <s v="2100"/>
    <s v="000"/>
    <x v="11"/>
    <x v="1"/>
  </r>
  <r>
    <d v="2012-09-14T00:00:00"/>
    <s v="016-2210-000"/>
    <s v="Liquor Sales"/>
    <n v="2003.2079999999996"/>
    <n v="0"/>
    <s v="Daily Sales Import"/>
    <n v="-2003.2079999999996"/>
    <n v="2003.2079999999996"/>
    <x v="0"/>
    <s v="2210"/>
    <s v="000"/>
    <x v="11"/>
    <x v="1"/>
  </r>
  <r>
    <d v="2012-09-14T00:00:00"/>
    <s v="016-2220-000"/>
    <s v="Beer Sales"/>
    <n v="309.99599999999998"/>
    <n v="0"/>
    <s v="Daily Sales Import"/>
    <n v="-309.99599999999998"/>
    <n v="309.99599999999998"/>
    <x v="0"/>
    <s v="2220"/>
    <s v="000"/>
    <x v="11"/>
    <x v="1"/>
  </r>
  <r>
    <d v="2012-09-14T00:00:00"/>
    <s v="016-2230-000"/>
    <s v="Wine Sales"/>
    <n v="90.86"/>
    <n v="0"/>
    <s v="Daily Sales Import"/>
    <n v="-90.86"/>
    <n v="90.86"/>
    <x v="0"/>
    <s v="2230"/>
    <s v="000"/>
    <x v="11"/>
    <x v="1"/>
  </r>
  <r>
    <d v="2012-09-15T00:00:00"/>
    <s v="016-2100-000"/>
    <s v="Food Sales"/>
    <n v="8970.5650000000005"/>
    <n v="0"/>
    <s v="Daily Sales Import"/>
    <n v="-8970.5650000000005"/>
    <n v="8970.5650000000005"/>
    <x v="0"/>
    <s v="2100"/>
    <s v="000"/>
    <x v="11"/>
    <x v="1"/>
  </r>
  <r>
    <d v="2012-09-15T00:00:00"/>
    <s v="016-2210-000"/>
    <s v="Liquor Sales"/>
    <n v="2775.4780000000001"/>
    <n v="0"/>
    <s v="Daily Sales Import"/>
    <n v="-2775.4780000000001"/>
    <n v="2775.4780000000001"/>
    <x v="0"/>
    <s v="2210"/>
    <s v="000"/>
    <x v="11"/>
    <x v="1"/>
  </r>
  <r>
    <d v="2012-09-15T00:00:00"/>
    <s v="016-2220-000"/>
    <s v="Beer Sales"/>
    <n v="539.48699999999997"/>
    <n v="0"/>
    <s v="Daily Sales Import"/>
    <n v="-539.48699999999997"/>
    <n v="539.48699999999997"/>
    <x v="0"/>
    <s v="2220"/>
    <s v="000"/>
    <x v="11"/>
    <x v="1"/>
  </r>
  <r>
    <d v="2012-09-15T00:00:00"/>
    <s v="016-2230-000"/>
    <s v="Wine Sales"/>
    <n v="125.8725"/>
    <n v="0"/>
    <s v="Daily Sales Import"/>
    <n v="-125.8725"/>
    <n v="125.8725"/>
    <x v="0"/>
    <s v="2230"/>
    <s v="000"/>
    <x v="11"/>
    <x v="1"/>
  </r>
  <r>
    <d v="2012-09-16T00:00:00"/>
    <s v="016-2100-000"/>
    <s v="Food Sales"/>
    <n v="2892.4337"/>
    <n v="0"/>
    <s v="Daily Sales Import"/>
    <n v="-2892.4337"/>
    <n v="2892.4337"/>
    <x v="0"/>
    <s v="2100"/>
    <s v="000"/>
    <x v="11"/>
    <x v="1"/>
  </r>
  <r>
    <d v="2012-09-16T00:00:00"/>
    <s v="016-2210-000"/>
    <s v="Liquor Sales"/>
    <n v="642.52979999999991"/>
    <n v="0"/>
    <s v="Daily Sales Import"/>
    <n v="-642.52979999999991"/>
    <n v="642.52979999999991"/>
    <x v="0"/>
    <s v="2210"/>
    <s v="000"/>
    <x v="11"/>
    <x v="1"/>
  </r>
  <r>
    <d v="2012-09-16T00:00:00"/>
    <s v="016-2220-000"/>
    <s v="Beer Sales"/>
    <n v="137.04599999999999"/>
    <n v="0"/>
    <s v="Daily Sales Import"/>
    <n v="-137.04599999999999"/>
    <n v="137.04599999999999"/>
    <x v="0"/>
    <s v="2220"/>
    <s v="000"/>
    <x v="11"/>
    <x v="1"/>
  </r>
  <r>
    <d v="2012-09-16T00:00:00"/>
    <s v="016-2230-000"/>
    <s v="Wine Sales"/>
    <n v="78.688500000000005"/>
    <n v="0"/>
    <s v="Daily Sales Import"/>
    <n v="-78.688500000000005"/>
    <n v="78.688500000000005"/>
    <x v="0"/>
    <s v="2230"/>
    <s v="000"/>
    <x v="11"/>
    <x v="1"/>
  </r>
  <r>
    <d v="2012-09-10T00:00:00"/>
    <s v="017-2100-000"/>
    <s v="Food Sales"/>
    <n v="5198.9400000000005"/>
    <n v="0"/>
    <s v="Daily Sales Import"/>
    <n v="-5198.9400000000005"/>
    <n v="5198.9400000000005"/>
    <x v="1"/>
    <s v="2100"/>
    <s v="000"/>
    <x v="11"/>
    <x v="1"/>
  </r>
  <r>
    <d v="2012-09-10T00:00:00"/>
    <s v="017-2210-000"/>
    <s v="Liquor Sales"/>
    <n v="920.47199999999998"/>
    <n v="0"/>
    <s v="Daily Sales Import"/>
    <n v="-920.47199999999998"/>
    <n v="920.47199999999998"/>
    <x v="1"/>
    <s v="2210"/>
    <s v="000"/>
    <x v="11"/>
    <x v="1"/>
  </r>
  <r>
    <d v="2012-09-10T00:00:00"/>
    <s v="017-2220-000"/>
    <s v="Beer Sales"/>
    <n v="222.11500000000001"/>
    <n v="0"/>
    <s v="Daily Sales Import"/>
    <n v="-222.11500000000001"/>
    <n v="222.11500000000001"/>
    <x v="1"/>
    <s v="2220"/>
    <s v="000"/>
    <x v="11"/>
    <x v="1"/>
  </r>
  <r>
    <d v="2012-09-10T00:00:00"/>
    <s v="017-2230-000"/>
    <s v="Wine Sales"/>
    <n v="74.028000000000006"/>
    <n v="0"/>
    <s v="Daily Sales Import"/>
    <n v="-74.028000000000006"/>
    <n v="74.028000000000006"/>
    <x v="1"/>
    <s v="2230"/>
    <s v="000"/>
    <x v="11"/>
    <x v="1"/>
  </r>
  <r>
    <d v="2012-09-11T00:00:00"/>
    <s v="017-2100-000"/>
    <s v="Food Sales"/>
    <n v="5254.5586000000003"/>
    <n v="0"/>
    <s v="Daily Sales Import"/>
    <n v="-5254.5586000000003"/>
    <n v="5254.5586000000003"/>
    <x v="1"/>
    <s v="2100"/>
    <s v="000"/>
    <x v="11"/>
    <x v="1"/>
  </r>
  <r>
    <d v="2012-09-11T00:00:00"/>
    <s v="017-2210-000"/>
    <s v="Liquor Sales"/>
    <n v="1172.6005"/>
    <n v="0"/>
    <s v="Daily Sales Import"/>
    <n v="-1172.6005"/>
    <n v="1172.6005"/>
    <x v="1"/>
    <s v="2210"/>
    <s v="000"/>
    <x v="11"/>
    <x v="1"/>
  </r>
  <r>
    <d v="2012-09-11T00:00:00"/>
    <s v="017-2220-000"/>
    <s v="Beer Sales"/>
    <n v="439.66"/>
    <n v="0"/>
    <s v="Daily Sales Import"/>
    <n v="-439.66"/>
    <n v="439.66"/>
    <x v="1"/>
    <s v="2220"/>
    <s v="000"/>
    <x v="11"/>
    <x v="1"/>
  </r>
  <r>
    <d v="2012-09-11T00:00:00"/>
    <s v="017-2230-000"/>
    <s v="Wine Sales"/>
    <n v="64.621500000000012"/>
    <n v="0"/>
    <s v="Daily Sales Import"/>
    <n v="-64.621500000000012"/>
    <n v="64.621500000000012"/>
    <x v="1"/>
    <s v="2230"/>
    <s v="000"/>
    <x v="11"/>
    <x v="1"/>
  </r>
  <r>
    <d v="2012-09-12T00:00:00"/>
    <s v="017-2100-000"/>
    <s v="Food Sales"/>
    <n v="7414.4850000000006"/>
    <n v="0"/>
    <s v="Daily Sales Import"/>
    <n v="-7414.4850000000006"/>
    <n v="7414.4850000000006"/>
    <x v="1"/>
    <s v="2100"/>
    <s v="000"/>
    <x v="11"/>
    <x v="1"/>
  </r>
  <r>
    <d v="2012-09-12T00:00:00"/>
    <s v="017-2210-000"/>
    <s v="Liquor Sales"/>
    <n v="2478.0720000000001"/>
    <n v="0"/>
    <s v="Daily Sales Import"/>
    <n v="-2478.0720000000001"/>
    <n v="2478.0720000000001"/>
    <x v="1"/>
    <s v="2210"/>
    <s v="000"/>
    <x v="11"/>
    <x v="1"/>
  </r>
  <r>
    <d v="2012-09-12T00:00:00"/>
    <s v="017-2220-000"/>
    <s v="Beer Sales"/>
    <n v="451.77750000000003"/>
    <n v="0"/>
    <s v="Daily Sales Import"/>
    <n v="-451.77750000000003"/>
    <n v="451.77750000000003"/>
    <x v="1"/>
    <s v="2220"/>
    <s v="000"/>
    <x v="11"/>
    <x v="1"/>
  </r>
  <r>
    <d v="2012-09-12T00:00:00"/>
    <s v="017-2230-000"/>
    <s v="Wine Sales"/>
    <n v="161.70400000000001"/>
    <n v="0"/>
    <s v="Daily Sales Import"/>
    <n v="-161.70400000000001"/>
    <n v="161.70400000000001"/>
    <x v="1"/>
    <s v="2230"/>
    <s v="000"/>
    <x v="11"/>
    <x v="1"/>
  </r>
  <r>
    <d v="2012-09-13T00:00:00"/>
    <s v="017-2100-000"/>
    <s v="Food Sales"/>
    <n v="4484.5433000000003"/>
    <n v="0"/>
    <s v="Daily Sales Import"/>
    <n v="-4484.5433000000003"/>
    <n v="4484.5433000000003"/>
    <x v="1"/>
    <s v="2100"/>
    <s v="000"/>
    <x v="11"/>
    <x v="1"/>
  </r>
  <r>
    <d v="2012-09-13T00:00:00"/>
    <s v="017-2210-000"/>
    <s v="Liquor Sales"/>
    <n v="1166.2355000000002"/>
    <n v="0"/>
    <s v="Daily Sales Import"/>
    <n v="-1166.2355000000002"/>
    <n v="1166.2355000000002"/>
    <x v="1"/>
    <s v="2210"/>
    <s v="000"/>
    <x v="11"/>
    <x v="1"/>
  </r>
  <r>
    <d v="2012-09-13T00:00:00"/>
    <s v="017-2220-000"/>
    <s v="Beer Sales"/>
    <n v="579.82500000000005"/>
    <n v="0"/>
    <s v="Daily Sales Import"/>
    <n v="-579.82500000000005"/>
    <n v="579.82500000000005"/>
    <x v="1"/>
    <s v="2220"/>
    <s v="000"/>
    <x v="11"/>
    <x v="1"/>
  </r>
  <r>
    <d v="2012-09-13T00:00:00"/>
    <s v="017-2230-000"/>
    <s v="Wine Sales"/>
    <n v="74.669999999999987"/>
    <n v="0"/>
    <s v="Daily Sales Import"/>
    <n v="-74.669999999999987"/>
    <n v="74.669999999999987"/>
    <x v="1"/>
    <s v="2230"/>
    <s v="000"/>
    <x v="11"/>
    <x v="1"/>
  </r>
  <r>
    <d v="2012-09-14T00:00:00"/>
    <s v="017-2100-000"/>
    <s v="Food Sales"/>
    <n v="9933.534599999999"/>
    <n v="0"/>
    <s v="Daily Sales Import"/>
    <n v="-9933.534599999999"/>
    <n v="9933.534599999999"/>
    <x v="1"/>
    <s v="2100"/>
    <s v="000"/>
    <x v="11"/>
    <x v="1"/>
  </r>
  <r>
    <d v="2012-09-14T00:00:00"/>
    <s v="017-2210-000"/>
    <s v="Liquor Sales"/>
    <n v="2759.6969999999997"/>
    <n v="0"/>
    <s v="Daily Sales Import"/>
    <n v="-2759.6969999999997"/>
    <n v="2759.6969999999997"/>
    <x v="1"/>
    <s v="2210"/>
    <s v="000"/>
    <x v="11"/>
    <x v="1"/>
  </r>
  <r>
    <d v="2012-09-14T00:00:00"/>
    <s v="017-2220-000"/>
    <s v="Beer Sales"/>
    <n v="640.06499999999994"/>
    <n v="0"/>
    <s v="Daily Sales Import"/>
    <n v="-640.06499999999994"/>
    <n v="640.06499999999994"/>
    <x v="1"/>
    <s v="2220"/>
    <s v="000"/>
    <x v="11"/>
    <x v="1"/>
  </r>
  <r>
    <d v="2012-09-14T00:00:00"/>
    <s v="017-2230-000"/>
    <s v="Wine Sales"/>
    <n v="121.1925"/>
    <n v="0"/>
    <s v="Daily Sales Import"/>
    <n v="-121.1925"/>
    <n v="121.1925"/>
    <x v="1"/>
    <s v="2230"/>
    <s v="000"/>
    <x v="11"/>
    <x v="1"/>
  </r>
  <r>
    <d v="2012-09-15T00:00:00"/>
    <s v="017-2100-000"/>
    <s v="Food Sales"/>
    <n v="6877.9919999999993"/>
    <n v="0"/>
    <s v="Daily Sales Import"/>
    <n v="-6877.9919999999993"/>
    <n v="6877.9919999999993"/>
    <x v="1"/>
    <s v="2100"/>
    <s v="000"/>
    <x v="11"/>
    <x v="1"/>
  </r>
  <r>
    <d v="2012-09-15T00:00:00"/>
    <s v="017-2210-000"/>
    <s v="Liquor Sales"/>
    <n v="1552.9119999999998"/>
    <n v="0"/>
    <s v="Daily Sales Import"/>
    <n v="-1552.9119999999998"/>
    <n v="1552.9119999999998"/>
    <x v="1"/>
    <s v="2210"/>
    <s v="000"/>
    <x v="11"/>
    <x v="1"/>
  </r>
  <r>
    <d v="2012-09-15T00:00:00"/>
    <s v="017-2220-000"/>
    <s v="Beer Sales"/>
    <n v="228.38750000000002"/>
    <n v="0"/>
    <s v="Daily Sales Import"/>
    <n v="-228.38750000000002"/>
    <n v="228.38750000000002"/>
    <x v="1"/>
    <s v="2220"/>
    <s v="000"/>
    <x v="11"/>
    <x v="1"/>
  </r>
  <r>
    <d v="2012-09-15T00:00:00"/>
    <s v="017-2230-000"/>
    <s v="Wine Sales"/>
    <n v="88.44"/>
    <n v="0"/>
    <s v="Daily Sales Import"/>
    <n v="-88.44"/>
    <n v="88.44"/>
    <x v="1"/>
    <s v="2230"/>
    <s v="000"/>
    <x v="11"/>
    <x v="1"/>
  </r>
  <r>
    <d v="2012-09-16T00:00:00"/>
    <s v="017-2100-000"/>
    <s v="Food Sales"/>
    <n v="5691.8231999999998"/>
    <n v="0"/>
    <s v="Daily Sales Import"/>
    <n v="-5691.8231999999998"/>
    <n v="5691.8231999999998"/>
    <x v="1"/>
    <s v="2100"/>
    <s v="000"/>
    <x v="11"/>
    <x v="1"/>
  </r>
  <r>
    <d v="2012-09-16T00:00:00"/>
    <s v="017-2210-000"/>
    <s v="Liquor Sales"/>
    <n v="853.95249999999999"/>
    <n v="0"/>
    <s v="Daily Sales Import"/>
    <n v="-853.95249999999999"/>
    <n v="853.95249999999999"/>
    <x v="1"/>
    <s v="2210"/>
    <s v="000"/>
    <x v="11"/>
    <x v="1"/>
  </r>
  <r>
    <d v="2012-09-16T00:00:00"/>
    <s v="017-2220-000"/>
    <s v="Beer Sales"/>
    <n v="145.08750000000001"/>
    <n v="0"/>
    <s v="Daily Sales Import"/>
    <n v="-145.08750000000001"/>
    <n v="145.08750000000001"/>
    <x v="1"/>
    <s v="2220"/>
    <s v="000"/>
    <x v="11"/>
    <x v="1"/>
  </r>
  <r>
    <d v="2012-09-16T00:00:00"/>
    <s v="017-2230-000"/>
    <s v="Wine Sales"/>
    <n v="74.338999999999999"/>
    <n v="0"/>
    <s v="Daily Sales Import"/>
    <n v="-74.338999999999999"/>
    <n v="74.338999999999999"/>
    <x v="1"/>
    <s v="2230"/>
    <s v="000"/>
    <x v="11"/>
    <x v="1"/>
  </r>
  <r>
    <d v="2012-09-10T00:00:00"/>
    <s v="018-2100-000"/>
    <s v="Food Sales"/>
    <n v="2997.567"/>
    <n v="0"/>
    <s v="Daily Sales Import"/>
    <n v="-2997.567"/>
    <n v="2997.567"/>
    <x v="2"/>
    <s v="2100"/>
    <s v="000"/>
    <x v="11"/>
    <x v="1"/>
  </r>
  <r>
    <d v="2012-09-10T00:00:00"/>
    <s v="018-2210-000"/>
    <s v="Liquor Sales"/>
    <n v="584.39499999999998"/>
    <n v="0"/>
    <s v="Daily Sales Import"/>
    <n v="-584.39499999999998"/>
    <n v="584.39499999999998"/>
    <x v="2"/>
    <s v="2210"/>
    <s v="000"/>
    <x v="11"/>
    <x v="1"/>
  </r>
  <r>
    <d v="2012-09-10T00:00:00"/>
    <s v="018-2220-000"/>
    <s v="Beer Sales"/>
    <n v="94.034500000000008"/>
    <n v="0"/>
    <s v="Daily Sales Import"/>
    <n v="-94.034500000000008"/>
    <n v="94.034500000000008"/>
    <x v="2"/>
    <s v="2220"/>
    <s v="000"/>
    <x v="11"/>
    <x v="1"/>
  </r>
  <r>
    <d v="2012-09-10T00:00:00"/>
    <s v="018-2230-000"/>
    <s v="Wine Sales"/>
    <n v="11.154"/>
    <n v="0"/>
    <s v="Daily Sales Import"/>
    <n v="-11.154"/>
    <n v="11.154"/>
    <x v="2"/>
    <s v="2230"/>
    <s v="000"/>
    <x v="11"/>
    <x v="1"/>
  </r>
  <r>
    <d v="2012-09-11T00:00:00"/>
    <s v="018-2100-000"/>
    <s v="Food Sales"/>
    <n v="4970.8019999999997"/>
    <n v="0"/>
    <s v="Daily Sales Import"/>
    <n v="-4970.8019999999997"/>
    <n v="4970.8019999999997"/>
    <x v="2"/>
    <s v="2100"/>
    <s v="000"/>
    <x v="11"/>
    <x v="1"/>
  </r>
  <r>
    <d v="2012-09-11T00:00:00"/>
    <s v="018-2210-000"/>
    <s v="Liquor Sales"/>
    <n v="1168.2920000000001"/>
    <n v="0"/>
    <s v="Daily Sales Import"/>
    <n v="-1168.2920000000001"/>
    <n v="1168.2920000000001"/>
    <x v="2"/>
    <s v="2210"/>
    <s v="000"/>
    <x v="11"/>
    <x v="1"/>
  </r>
  <r>
    <d v="2012-09-11T00:00:00"/>
    <s v="018-2220-000"/>
    <s v="Beer Sales"/>
    <n v="266.4785"/>
    <n v="0"/>
    <s v="Daily Sales Import"/>
    <n v="-266.4785"/>
    <n v="266.4785"/>
    <x v="2"/>
    <s v="2220"/>
    <s v="000"/>
    <x v="11"/>
    <x v="1"/>
  </r>
  <r>
    <d v="2012-09-11T00:00:00"/>
    <s v="018-2230-000"/>
    <s v="Wine Sales"/>
    <n v="18.175999999999998"/>
    <n v="0"/>
    <s v="Daily Sales Import"/>
    <n v="-18.175999999999998"/>
    <n v="18.175999999999998"/>
    <x v="2"/>
    <s v="2230"/>
    <s v="000"/>
    <x v="11"/>
    <x v="1"/>
  </r>
  <r>
    <d v="2012-09-12T00:00:00"/>
    <s v="018-2100-000"/>
    <s v="Food Sales"/>
    <n v="2955.5460000000003"/>
    <n v="0"/>
    <s v="Daily Sales Import"/>
    <n v="-2955.5460000000003"/>
    <n v="2955.5460000000003"/>
    <x v="2"/>
    <s v="2100"/>
    <s v="000"/>
    <x v="11"/>
    <x v="1"/>
  </r>
  <r>
    <d v="2012-09-12T00:00:00"/>
    <s v="018-2210-000"/>
    <s v="Liquor Sales"/>
    <n v="742.34999999999991"/>
    <n v="0"/>
    <s v="Daily Sales Import"/>
    <n v="-742.34999999999991"/>
    <n v="742.34999999999991"/>
    <x v="2"/>
    <s v="2210"/>
    <s v="000"/>
    <x v="11"/>
    <x v="1"/>
  </r>
  <r>
    <d v="2012-09-12T00:00:00"/>
    <s v="018-2220-000"/>
    <s v="Beer Sales"/>
    <n v="199.95300000000003"/>
    <n v="0"/>
    <s v="Daily Sales Import"/>
    <n v="-199.95300000000003"/>
    <n v="199.95300000000003"/>
    <x v="2"/>
    <s v="2220"/>
    <s v="000"/>
    <x v="11"/>
    <x v="1"/>
  </r>
  <r>
    <d v="2012-09-12T00:00:00"/>
    <s v="018-2230-000"/>
    <s v="Wine Sales"/>
    <n v="82.294000000000011"/>
    <n v="0"/>
    <s v="Daily Sales Import"/>
    <n v="-82.294000000000011"/>
    <n v="82.294000000000011"/>
    <x v="2"/>
    <s v="2230"/>
    <s v="000"/>
    <x v="11"/>
    <x v="1"/>
  </r>
  <r>
    <d v="2012-09-13T00:00:00"/>
    <s v="018-2100-000"/>
    <s v="Food Sales"/>
    <n v="5284.6639999999998"/>
    <n v="0"/>
    <s v="Daily Sales Import"/>
    <n v="-5284.6639999999998"/>
    <n v="5284.6639999999998"/>
    <x v="2"/>
    <s v="2100"/>
    <s v="000"/>
    <x v="11"/>
    <x v="1"/>
  </r>
  <r>
    <d v="2012-09-13T00:00:00"/>
    <s v="018-2210-000"/>
    <s v="Liquor Sales"/>
    <n v="1081.498"/>
    <n v="0"/>
    <s v="Daily Sales Import"/>
    <n v="-1081.498"/>
    <n v="1081.498"/>
    <x v="2"/>
    <s v="2210"/>
    <s v="000"/>
    <x v="11"/>
    <x v="1"/>
  </r>
  <r>
    <d v="2012-09-13T00:00:00"/>
    <s v="018-2220-000"/>
    <s v="Beer Sales"/>
    <n v="268.55799999999999"/>
    <n v="0"/>
    <s v="Daily Sales Import"/>
    <n v="-268.55799999999999"/>
    <n v="268.55799999999999"/>
    <x v="2"/>
    <s v="2220"/>
    <s v="000"/>
    <x v="11"/>
    <x v="1"/>
  </r>
  <r>
    <d v="2012-09-13T00:00:00"/>
    <s v="018-2230-000"/>
    <s v="Wine Sales"/>
    <n v="33.510999999999996"/>
    <n v="0"/>
    <s v="Daily Sales Import"/>
    <n v="-33.510999999999996"/>
    <n v="33.510999999999996"/>
    <x v="2"/>
    <s v="2230"/>
    <s v="000"/>
    <x v="11"/>
    <x v="1"/>
  </r>
  <r>
    <d v="2012-09-14T00:00:00"/>
    <s v="018-2100-000"/>
    <s v="Food Sales"/>
    <n v="12499.010799999998"/>
    <n v="0"/>
    <s v="Daily Sales Import"/>
    <n v="-12499.010799999998"/>
    <n v="12499.010799999998"/>
    <x v="2"/>
    <s v="2100"/>
    <s v="000"/>
    <x v="11"/>
    <x v="1"/>
  </r>
  <r>
    <d v="2012-09-14T00:00:00"/>
    <s v="018-2210-000"/>
    <s v="Liquor Sales"/>
    <n v="2616.11"/>
    <n v="0"/>
    <s v="Daily Sales Import"/>
    <n v="-2616.11"/>
    <n v="2616.11"/>
    <x v="2"/>
    <s v="2210"/>
    <s v="000"/>
    <x v="11"/>
    <x v="1"/>
  </r>
  <r>
    <d v="2012-09-14T00:00:00"/>
    <s v="018-2220-000"/>
    <s v="Beer Sales"/>
    <n v="635.03300000000002"/>
    <n v="0"/>
    <s v="Daily Sales Import"/>
    <n v="-635.03300000000002"/>
    <n v="635.03300000000002"/>
    <x v="2"/>
    <s v="2220"/>
    <s v="000"/>
    <x v="11"/>
    <x v="1"/>
  </r>
  <r>
    <d v="2012-09-14T00:00:00"/>
    <s v="018-2230-000"/>
    <s v="Wine Sales"/>
    <n v="235.7475"/>
    <n v="0"/>
    <s v="Daily Sales Import"/>
    <n v="-235.7475"/>
    <n v="235.7475"/>
    <x v="2"/>
    <s v="2230"/>
    <s v="000"/>
    <x v="11"/>
    <x v="1"/>
  </r>
  <r>
    <d v="2012-09-15T00:00:00"/>
    <s v="018-2100-000"/>
    <s v="Food Sales"/>
    <n v="13256.434999999999"/>
    <n v="0"/>
    <s v="Daily Sales Import"/>
    <n v="-13256.434999999999"/>
    <n v="13256.434999999999"/>
    <x v="2"/>
    <s v="2100"/>
    <s v="000"/>
    <x v="11"/>
    <x v="1"/>
  </r>
  <r>
    <d v="2012-09-15T00:00:00"/>
    <s v="018-2210-000"/>
    <s v="Liquor Sales"/>
    <n v="2771.4160000000002"/>
    <n v="0"/>
    <s v="Daily Sales Import"/>
    <n v="-2771.4160000000002"/>
    <n v="2771.4160000000002"/>
    <x v="2"/>
    <s v="2210"/>
    <s v="000"/>
    <x v="11"/>
    <x v="1"/>
  </r>
  <r>
    <d v="2012-09-15T00:00:00"/>
    <s v="018-2220-000"/>
    <s v="Beer Sales"/>
    <n v="472.98600000000005"/>
    <n v="0"/>
    <s v="Daily Sales Import"/>
    <n v="-472.98600000000005"/>
    <n v="472.98600000000005"/>
    <x v="2"/>
    <s v="2220"/>
    <s v="000"/>
    <x v="11"/>
    <x v="1"/>
  </r>
  <r>
    <d v="2012-09-15T00:00:00"/>
    <s v="018-2230-000"/>
    <s v="Wine Sales"/>
    <n v="213.46499999999997"/>
    <n v="0"/>
    <s v="Daily Sales Import"/>
    <n v="-213.46499999999997"/>
    <n v="213.46499999999997"/>
    <x v="2"/>
    <s v="2230"/>
    <s v="000"/>
    <x v="11"/>
    <x v="1"/>
  </r>
  <r>
    <d v="2012-09-16T00:00:00"/>
    <s v="018-2100-000"/>
    <s v="Food Sales"/>
    <n v="6876.3110000000006"/>
    <n v="0"/>
    <s v="Daily Sales Import"/>
    <n v="-6876.3110000000006"/>
    <n v="6876.3110000000006"/>
    <x v="2"/>
    <s v="2100"/>
    <s v="000"/>
    <x v="11"/>
    <x v="1"/>
  </r>
  <r>
    <d v="2012-09-16T00:00:00"/>
    <s v="018-2210-000"/>
    <s v="Liquor Sales"/>
    <n v="779.18399999999997"/>
    <n v="0"/>
    <s v="Daily Sales Import"/>
    <n v="-779.18399999999997"/>
    <n v="779.18399999999997"/>
    <x v="2"/>
    <s v="2210"/>
    <s v="000"/>
    <x v="11"/>
    <x v="1"/>
  </r>
  <r>
    <d v="2012-09-16T00:00:00"/>
    <s v="018-2220-000"/>
    <s v="Beer Sales"/>
    <n v="348.12900000000002"/>
    <n v="0"/>
    <s v="Daily Sales Import"/>
    <n v="-348.12900000000002"/>
    <n v="348.12900000000002"/>
    <x v="2"/>
    <s v="2220"/>
    <s v="000"/>
    <x v="11"/>
    <x v="1"/>
  </r>
  <r>
    <d v="2012-09-16T00:00:00"/>
    <s v="018-2230-000"/>
    <s v="Wine Sales"/>
    <n v="183.26250000000002"/>
    <n v="0"/>
    <s v="Daily Sales Import"/>
    <n v="-183.26250000000002"/>
    <n v="183.26250000000002"/>
    <x v="2"/>
    <s v="2230"/>
    <s v="000"/>
    <x v="11"/>
    <x v="1"/>
  </r>
  <r>
    <d v="2012-09-17T00:00:00"/>
    <s v="016-2100-000"/>
    <s v="Food Sales"/>
    <n v="2829.57"/>
    <n v="0"/>
    <s v="Daily Sales Import"/>
    <n v="-2829.57"/>
    <n v="2829.57"/>
    <x v="0"/>
    <s v="2100"/>
    <s v="000"/>
    <x v="11"/>
    <x v="1"/>
  </r>
  <r>
    <d v="2012-09-17T00:00:00"/>
    <s v="016-2210-000"/>
    <s v="Liquor Sales"/>
    <n v="432.9975"/>
    <n v="0"/>
    <s v="Daily Sales Import"/>
    <n v="-432.9975"/>
    <n v="432.9975"/>
    <x v="0"/>
    <s v="2210"/>
    <s v="000"/>
    <x v="11"/>
    <x v="1"/>
  </r>
  <r>
    <d v="2012-09-17T00:00:00"/>
    <s v="016-2220-000"/>
    <s v="Beer Sales"/>
    <n v="90.557999999999993"/>
    <n v="0"/>
    <s v="Daily Sales Import"/>
    <n v="-90.557999999999993"/>
    <n v="90.557999999999993"/>
    <x v="0"/>
    <s v="2220"/>
    <s v="000"/>
    <x v="11"/>
    <x v="1"/>
  </r>
  <r>
    <d v="2012-09-17T00:00:00"/>
    <s v="016-2230-000"/>
    <s v="Wine Sales"/>
    <n v="6.08"/>
    <n v="0"/>
    <s v="Daily Sales Import"/>
    <n v="-6.08"/>
    <n v="6.08"/>
    <x v="0"/>
    <s v="2230"/>
    <s v="000"/>
    <x v="11"/>
    <x v="1"/>
  </r>
  <r>
    <d v="2012-09-18T00:00:00"/>
    <s v="016-2100-000"/>
    <s v="Food Sales"/>
    <n v="4310.7479999999996"/>
    <n v="0"/>
    <s v="Daily Sales Import"/>
    <n v="-4310.7479999999996"/>
    <n v="4310.7479999999996"/>
    <x v="0"/>
    <s v="2100"/>
    <s v="000"/>
    <x v="11"/>
    <x v="1"/>
  </r>
  <r>
    <d v="2012-09-18T00:00:00"/>
    <s v="016-2210-000"/>
    <s v="Liquor Sales"/>
    <n v="1585.9899999999998"/>
    <n v="0"/>
    <s v="Daily Sales Import"/>
    <n v="-1585.9899999999998"/>
    <n v="1585.9899999999998"/>
    <x v="0"/>
    <s v="2210"/>
    <s v="000"/>
    <x v="11"/>
    <x v="1"/>
  </r>
  <r>
    <d v="2012-09-18T00:00:00"/>
    <s v="016-2220-000"/>
    <s v="Beer Sales"/>
    <n v="330.447"/>
    <n v="0"/>
    <s v="Daily Sales Import"/>
    <n v="-330.447"/>
    <n v="330.447"/>
    <x v="0"/>
    <s v="2220"/>
    <s v="000"/>
    <x v="11"/>
    <x v="1"/>
  </r>
  <r>
    <d v="2012-09-18T00:00:00"/>
    <s v="016-2230-000"/>
    <s v="Wine Sales"/>
    <n v="106.3635"/>
    <n v="0"/>
    <s v="Daily Sales Import"/>
    <n v="-106.3635"/>
    <n v="106.3635"/>
    <x v="0"/>
    <s v="2230"/>
    <s v="000"/>
    <x v="11"/>
    <x v="1"/>
  </r>
  <r>
    <d v="2012-09-19T00:00:00"/>
    <s v="016-2100-000"/>
    <s v="Food Sales"/>
    <n v="3702.9636"/>
    <n v="0"/>
    <s v="Daily Sales Import"/>
    <n v="-3702.9636"/>
    <n v="3702.9636"/>
    <x v="0"/>
    <s v="2100"/>
    <s v="000"/>
    <x v="11"/>
    <x v="1"/>
  </r>
  <r>
    <d v="2012-09-19T00:00:00"/>
    <s v="016-2210-000"/>
    <s v="Liquor Sales"/>
    <n v="864.16199999999992"/>
    <n v="0"/>
    <s v="Daily Sales Import"/>
    <n v="-864.16199999999992"/>
    <n v="864.16199999999992"/>
    <x v="0"/>
    <s v="2210"/>
    <s v="000"/>
    <x v="11"/>
    <x v="1"/>
  </r>
  <r>
    <d v="2012-09-19T00:00:00"/>
    <s v="016-2220-000"/>
    <s v="Beer Sales"/>
    <n v="147.79799999999997"/>
    <n v="0"/>
    <s v="Daily Sales Import"/>
    <n v="-147.79799999999997"/>
    <n v="147.79799999999997"/>
    <x v="0"/>
    <s v="2220"/>
    <s v="000"/>
    <x v="11"/>
    <x v="1"/>
  </r>
  <r>
    <d v="2012-09-19T00:00:00"/>
    <s v="016-2230-000"/>
    <s v="Wine Sales"/>
    <n v="119.27249999999999"/>
    <n v="0"/>
    <s v="Daily Sales Import"/>
    <n v="-119.27249999999999"/>
    <n v="119.27249999999999"/>
    <x v="0"/>
    <s v="2230"/>
    <s v="000"/>
    <x v="11"/>
    <x v="1"/>
  </r>
  <r>
    <d v="2012-09-20T00:00:00"/>
    <s v="016-2100-000"/>
    <s v="Food Sales"/>
    <n v="2619.9479999999999"/>
    <n v="0"/>
    <s v="Daily Sales Import"/>
    <n v="-2619.9479999999999"/>
    <n v="2619.9479999999999"/>
    <x v="0"/>
    <s v="2100"/>
    <s v="000"/>
    <x v="11"/>
    <x v="1"/>
  </r>
  <r>
    <d v="2012-09-20T00:00:00"/>
    <s v="016-2210-000"/>
    <s v="Liquor Sales"/>
    <n v="548.80899999999997"/>
    <n v="0"/>
    <s v="Daily Sales Import"/>
    <n v="-548.80899999999997"/>
    <n v="548.80899999999997"/>
    <x v="0"/>
    <s v="2210"/>
    <s v="000"/>
    <x v="11"/>
    <x v="1"/>
  </r>
  <r>
    <d v="2012-09-20T00:00:00"/>
    <s v="016-2220-000"/>
    <s v="Beer Sales"/>
    <n v="94.370999999999995"/>
    <n v="0"/>
    <s v="Daily Sales Import"/>
    <n v="-94.370999999999995"/>
    <n v="94.370999999999995"/>
    <x v="0"/>
    <s v="2220"/>
    <s v="000"/>
    <x v="11"/>
    <x v="1"/>
  </r>
  <r>
    <d v="2012-09-20T00:00:00"/>
    <s v="016-2230-000"/>
    <s v="Wine Sales"/>
    <n v="52.92"/>
    <n v="0"/>
    <s v="Daily Sales Import"/>
    <n v="-52.92"/>
    <n v="52.92"/>
    <x v="0"/>
    <s v="2230"/>
    <s v="000"/>
    <x v="11"/>
    <x v="1"/>
  </r>
  <r>
    <d v="2012-09-21T00:00:00"/>
    <s v="016-2100-000"/>
    <s v="Food Sales"/>
    <n v="6047.7329999999993"/>
    <n v="0"/>
    <s v="Daily Sales Import"/>
    <n v="-6047.7329999999993"/>
    <n v="6047.7329999999993"/>
    <x v="0"/>
    <s v="2100"/>
    <s v="000"/>
    <x v="11"/>
    <x v="1"/>
  </r>
  <r>
    <d v="2012-09-21T00:00:00"/>
    <s v="016-2210-000"/>
    <s v="Liquor Sales"/>
    <n v="1464.8448000000001"/>
    <n v="0"/>
    <s v="Daily Sales Import"/>
    <n v="-1464.8448000000001"/>
    <n v="1464.8448000000001"/>
    <x v="0"/>
    <s v="2210"/>
    <s v="000"/>
    <x v="11"/>
    <x v="1"/>
  </r>
  <r>
    <d v="2012-09-21T00:00:00"/>
    <s v="016-2220-000"/>
    <s v="Beer Sales"/>
    <n v="210.9"/>
    <n v="0"/>
    <s v="Daily Sales Import"/>
    <n v="-210.9"/>
    <n v="210.9"/>
    <x v="0"/>
    <s v="2220"/>
    <s v="000"/>
    <x v="11"/>
    <x v="1"/>
  </r>
  <r>
    <d v="2012-09-21T00:00:00"/>
    <s v="016-2230-000"/>
    <s v="Wine Sales"/>
    <n v="101.00750000000001"/>
    <n v="0"/>
    <s v="Daily Sales Import"/>
    <n v="-101.00750000000001"/>
    <n v="101.00750000000001"/>
    <x v="0"/>
    <s v="2230"/>
    <s v="000"/>
    <x v="11"/>
    <x v="1"/>
  </r>
  <r>
    <d v="2012-09-22T00:00:00"/>
    <s v="016-2100-000"/>
    <s v="Food Sales"/>
    <n v="7083.1718000000001"/>
    <n v="0"/>
    <s v="Daily Sales Import"/>
    <n v="-7083.1718000000001"/>
    <n v="7083.1718000000001"/>
    <x v="0"/>
    <s v="2100"/>
    <s v="000"/>
    <x v="11"/>
    <x v="1"/>
  </r>
  <r>
    <d v="2012-09-22T00:00:00"/>
    <s v="016-2210-000"/>
    <s v="Liquor Sales"/>
    <n v="1764.3465000000001"/>
    <n v="0"/>
    <s v="Daily Sales Import"/>
    <n v="-1764.3465000000001"/>
    <n v="1764.3465000000001"/>
    <x v="0"/>
    <s v="2210"/>
    <s v="000"/>
    <x v="11"/>
    <x v="1"/>
  </r>
  <r>
    <d v="2012-09-22T00:00:00"/>
    <s v="016-2220-000"/>
    <s v="Beer Sales"/>
    <n v="398.952"/>
    <n v="0"/>
    <s v="Daily Sales Import"/>
    <n v="-398.952"/>
    <n v="398.952"/>
    <x v="0"/>
    <s v="2220"/>
    <s v="000"/>
    <x v="11"/>
    <x v="1"/>
  </r>
  <r>
    <d v="2012-09-22T00:00:00"/>
    <s v="016-2230-000"/>
    <s v="Wine Sales"/>
    <n v="151.99250000000004"/>
    <n v="0"/>
    <s v="Daily Sales Import"/>
    <n v="-151.99250000000004"/>
    <n v="151.99250000000004"/>
    <x v="0"/>
    <s v="2230"/>
    <s v="000"/>
    <x v="11"/>
    <x v="1"/>
  </r>
  <r>
    <d v="2012-09-17T00:00:00"/>
    <s v="017-2100-000"/>
    <s v="Food Sales"/>
    <n v="2132.9267"/>
    <n v="0"/>
    <s v="Daily Sales Import"/>
    <n v="-2132.9267"/>
    <n v="2132.9267"/>
    <x v="1"/>
    <s v="2100"/>
    <s v="000"/>
    <x v="11"/>
    <x v="1"/>
  </r>
  <r>
    <d v="2012-09-17T00:00:00"/>
    <s v="017-2210-000"/>
    <s v="Liquor Sales"/>
    <n v="373.02749999999997"/>
    <n v="0"/>
    <s v="Daily Sales Import"/>
    <n v="-373.02749999999997"/>
    <n v="373.02749999999997"/>
    <x v="1"/>
    <s v="2210"/>
    <s v="000"/>
    <x v="11"/>
    <x v="1"/>
  </r>
  <r>
    <d v="2012-09-17T00:00:00"/>
    <s v="017-2220-000"/>
    <s v="Beer Sales"/>
    <n v="134.96"/>
    <n v="0"/>
    <s v="Daily Sales Import"/>
    <n v="-134.96"/>
    <n v="134.96"/>
    <x v="1"/>
    <s v="2220"/>
    <s v="000"/>
    <x v="11"/>
    <x v="1"/>
  </r>
  <r>
    <d v="2012-09-17T00:00:00"/>
    <s v="017-2230-000"/>
    <s v="Wine Sales"/>
    <n v="15.912000000000001"/>
    <n v="0"/>
    <s v="Daily Sales Import"/>
    <n v="-15.912000000000001"/>
    <n v="15.912000000000001"/>
    <x v="1"/>
    <s v="2230"/>
    <s v="000"/>
    <x v="11"/>
    <x v="1"/>
  </r>
  <r>
    <d v="2012-09-18T00:00:00"/>
    <s v="017-2100-000"/>
    <s v="Food Sales"/>
    <n v="7897.4287999999997"/>
    <n v="0"/>
    <s v="Daily Sales Import"/>
    <n v="-7897.4287999999997"/>
    <n v="7897.4287999999997"/>
    <x v="1"/>
    <s v="2100"/>
    <s v="000"/>
    <x v="11"/>
    <x v="1"/>
  </r>
  <r>
    <d v="2012-09-18T00:00:00"/>
    <s v="017-2210-000"/>
    <s v="Liquor Sales"/>
    <n v="1314.6840000000002"/>
    <n v="0"/>
    <s v="Daily Sales Import"/>
    <n v="-1314.6840000000002"/>
    <n v="1314.6840000000002"/>
    <x v="1"/>
    <s v="2210"/>
    <s v="000"/>
    <x v="11"/>
    <x v="1"/>
  </r>
  <r>
    <d v="2012-09-18T00:00:00"/>
    <s v="017-2220-000"/>
    <s v="Beer Sales"/>
    <n v="654.07499999999993"/>
    <n v="0"/>
    <s v="Daily Sales Import"/>
    <n v="-654.07499999999993"/>
    <n v="654.07499999999993"/>
    <x v="1"/>
    <s v="2220"/>
    <s v="000"/>
    <x v="11"/>
    <x v="1"/>
  </r>
  <r>
    <d v="2012-09-18T00:00:00"/>
    <s v="017-2230-000"/>
    <s v="Wine Sales"/>
    <n v="77.646499999999989"/>
    <n v="0"/>
    <s v="Daily Sales Import"/>
    <n v="-77.646499999999989"/>
    <n v="77.646499999999989"/>
    <x v="1"/>
    <s v="2230"/>
    <s v="000"/>
    <x v="11"/>
    <x v="1"/>
  </r>
  <r>
    <d v="2012-09-19T00:00:00"/>
    <s v="017-2100-000"/>
    <s v="Food Sales"/>
    <n v="6966.3375000000005"/>
    <n v="0"/>
    <s v="Daily Sales Import"/>
    <n v="-6966.3375000000005"/>
    <n v="6966.3375000000005"/>
    <x v="1"/>
    <s v="2100"/>
    <s v="000"/>
    <x v="11"/>
    <x v="1"/>
  </r>
  <r>
    <d v="2012-09-19T00:00:00"/>
    <s v="017-2210-000"/>
    <s v="Liquor Sales"/>
    <n v="2704.6160000000004"/>
    <n v="0"/>
    <s v="Daily Sales Import"/>
    <n v="-2704.6160000000004"/>
    <n v="2704.6160000000004"/>
    <x v="1"/>
    <s v="2210"/>
    <s v="000"/>
    <x v="11"/>
    <x v="1"/>
  </r>
  <r>
    <d v="2012-09-19T00:00:00"/>
    <s v="017-2220-000"/>
    <s v="Beer Sales"/>
    <n v="332.7"/>
    <n v="0"/>
    <s v="Daily Sales Import"/>
    <n v="-332.7"/>
    <n v="332.7"/>
    <x v="1"/>
    <s v="2220"/>
    <s v="000"/>
    <x v="11"/>
    <x v="1"/>
  </r>
  <r>
    <d v="2012-09-19T00:00:00"/>
    <s v="017-2230-000"/>
    <s v="Wine Sales"/>
    <n v="113.82"/>
    <n v="0"/>
    <s v="Daily Sales Import"/>
    <n v="-113.82"/>
    <n v="113.82"/>
    <x v="1"/>
    <s v="2230"/>
    <s v="000"/>
    <x v="11"/>
    <x v="1"/>
  </r>
  <r>
    <d v="2012-09-20T00:00:00"/>
    <s v="017-2100-000"/>
    <s v="Food Sales"/>
    <n v="6479.3701000000001"/>
    <n v="0"/>
    <s v="Daily Sales Import"/>
    <n v="-6479.3701000000001"/>
    <n v="6479.3701000000001"/>
    <x v="1"/>
    <s v="2100"/>
    <s v="000"/>
    <x v="11"/>
    <x v="1"/>
  </r>
  <r>
    <d v="2012-09-20T00:00:00"/>
    <s v="017-2210-000"/>
    <s v="Liquor Sales"/>
    <n v="1386.2399999999998"/>
    <n v="0"/>
    <s v="Daily Sales Import"/>
    <n v="-1386.2399999999998"/>
    <n v="1386.2399999999998"/>
    <x v="1"/>
    <s v="2210"/>
    <s v="000"/>
    <x v="11"/>
    <x v="1"/>
  </r>
  <r>
    <d v="2012-09-20T00:00:00"/>
    <s v="017-2220-000"/>
    <s v="Beer Sales"/>
    <n v="673.85500000000002"/>
    <n v="0"/>
    <s v="Daily Sales Import"/>
    <n v="-673.85500000000002"/>
    <n v="673.85500000000002"/>
    <x v="1"/>
    <s v="2220"/>
    <s v="000"/>
    <x v="11"/>
    <x v="1"/>
  </r>
  <r>
    <d v="2012-09-20T00:00:00"/>
    <s v="017-2230-000"/>
    <s v="Wine Sales"/>
    <n v="116.69799999999999"/>
    <n v="0"/>
    <s v="Daily Sales Import"/>
    <n v="-116.69799999999999"/>
    <n v="116.69799999999999"/>
    <x v="1"/>
    <s v="2230"/>
    <s v="000"/>
    <x v="11"/>
    <x v="1"/>
  </r>
  <r>
    <d v="2012-09-21T00:00:00"/>
    <s v="017-2100-000"/>
    <s v="Food Sales"/>
    <n v="10097.3727"/>
    <n v="0"/>
    <s v="Daily Sales Import"/>
    <n v="-10097.3727"/>
    <n v="10097.3727"/>
    <x v="1"/>
    <s v="2100"/>
    <s v="000"/>
    <x v="11"/>
    <x v="1"/>
  </r>
  <r>
    <d v="2012-09-21T00:00:00"/>
    <s v="017-2210-000"/>
    <s v="Liquor Sales"/>
    <n v="2463.6150000000002"/>
    <n v="0"/>
    <s v="Daily Sales Import"/>
    <n v="-2463.6150000000002"/>
    <n v="2463.6150000000002"/>
    <x v="1"/>
    <s v="2210"/>
    <s v="000"/>
    <x v="11"/>
    <x v="1"/>
  </r>
  <r>
    <d v="2012-09-21T00:00:00"/>
    <s v="017-2220-000"/>
    <s v="Beer Sales"/>
    <n v="469"/>
    <n v="0"/>
    <s v="Daily Sales Import"/>
    <n v="-469"/>
    <n v="469"/>
    <x v="1"/>
    <s v="2220"/>
    <s v="000"/>
    <x v="11"/>
    <x v="1"/>
  </r>
  <r>
    <d v="2012-09-21T00:00:00"/>
    <s v="017-2230-000"/>
    <s v="Wine Sales"/>
    <n v="189.85950000000003"/>
    <n v="0"/>
    <s v="Daily Sales Import"/>
    <n v="-189.85950000000003"/>
    <n v="189.85950000000003"/>
    <x v="1"/>
    <s v="2230"/>
    <s v="000"/>
    <x v="11"/>
    <x v="1"/>
  </r>
  <r>
    <d v="2012-09-22T00:00:00"/>
    <s v="017-2100-000"/>
    <s v="Food Sales"/>
    <n v="8020.6795999999995"/>
    <n v="0"/>
    <s v="Daily Sales Import"/>
    <n v="-8020.6795999999995"/>
    <n v="8020.6795999999995"/>
    <x v="1"/>
    <s v="2100"/>
    <s v="000"/>
    <x v="11"/>
    <x v="1"/>
  </r>
  <r>
    <d v="2012-09-22T00:00:00"/>
    <s v="017-2210-000"/>
    <s v="Liquor Sales"/>
    <n v="1296.6134999999999"/>
    <n v="0"/>
    <s v="Daily Sales Import"/>
    <n v="-1296.6134999999999"/>
    <n v="1296.6134999999999"/>
    <x v="1"/>
    <s v="2210"/>
    <s v="000"/>
    <x v="11"/>
    <x v="1"/>
  </r>
  <r>
    <d v="2012-09-22T00:00:00"/>
    <s v="017-2220-000"/>
    <s v="Beer Sales"/>
    <n v="398.15999999999997"/>
    <n v="0"/>
    <s v="Daily Sales Import"/>
    <n v="-398.15999999999997"/>
    <n v="398.15999999999997"/>
    <x v="1"/>
    <s v="2220"/>
    <s v="000"/>
    <x v="11"/>
    <x v="1"/>
  </r>
  <r>
    <d v="2012-09-22T00:00:00"/>
    <s v="017-2230-000"/>
    <s v="Wine Sales"/>
    <n v="102.46599999999999"/>
    <n v="0"/>
    <s v="Daily Sales Import"/>
    <n v="-102.46599999999999"/>
    <n v="102.46599999999999"/>
    <x v="1"/>
    <s v="2230"/>
    <s v="000"/>
    <x v="11"/>
    <x v="1"/>
  </r>
  <r>
    <d v="2012-09-17T00:00:00"/>
    <s v="018-2100-000"/>
    <s v="Food Sales"/>
    <n v="2883.4650000000001"/>
    <n v="0"/>
    <s v="Daily Sales Import"/>
    <n v="-2883.4650000000001"/>
    <n v="2883.4650000000001"/>
    <x v="2"/>
    <s v="2100"/>
    <s v="000"/>
    <x v="11"/>
    <x v="1"/>
  </r>
  <r>
    <d v="2012-09-17T00:00:00"/>
    <s v="018-2210-000"/>
    <s v="Liquor Sales"/>
    <n v="468.74650000000003"/>
    <n v="0"/>
    <s v="Daily Sales Import"/>
    <n v="-468.74650000000003"/>
    <n v="468.74650000000003"/>
    <x v="2"/>
    <s v="2210"/>
    <s v="000"/>
    <x v="11"/>
    <x v="1"/>
  </r>
  <r>
    <d v="2012-09-17T00:00:00"/>
    <s v="018-2220-000"/>
    <s v="Beer Sales"/>
    <n v="108.69600000000001"/>
    <n v="0"/>
    <s v="Daily Sales Import"/>
    <n v="-108.69600000000001"/>
    <n v="108.69600000000001"/>
    <x v="2"/>
    <s v="2220"/>
    <s v="000"/>
    <x v="11"/>
    <x v="1"/>
  </r>
  <r>
    <d v="2012-09-17T00:00:00"/>
    <s v="018-2230-000"/>
    <s v="Wine Sales"/>
    <n v="23.759999999999998"/>
    <n v="0"/>
    <s v="Daily Sales Import"/>
    <n v="-23.759999999999998"/>
    <n v="23.759999999999998"/>
    <x v="2"/>
    <s v="2230"/>
    <s v="000"/>
    <x v="11"/>
    <x v="1"/>
  </r>
  <r>
    <d v="2012-09-18T00:00:00"/>
    <s v="018-2100-000"/>
    <s v="Food Sales"/>
    <n v="3791.9094999999998"/>
    <n v="0"/>
    <s v="Daily Sales Import"/>
    <n v="-3791.9094999999998"/>
    <n v="3791.9094999999998"/>
    <x v="2"/>
    <s v="2100"/>
    <s v="000"/>
    <x v="11"/>
    <x v="1"/>
  </r>
  <r>
    <d v="2012-09-18T00:00:00"/>
    <s v="018-2210-000"/>
    <s v="Liquor Sales"/>
    <n v="704.24900000000002"/>
    <n v="0"/>
    <s v="Daily Sales Import"/>
    <n v="-704.24900000000002"/>
    <n v="704.24900000000002"/>
    <x v="2"/>
    <s v="2210"/>
    <s v="000"/>
    <x v="11"/>
    <x v="1"/>
  </r>
  <r>
    <d v="2012-09-18T00:00:00"/>
    <s v="018-2220-000"/>
    <s v="Beer Sales"/>
    <n v="223.18799999999999"/>
    <n v="0"/>
    <s v="Daily Sales Import"/>
    <n v="-223.18799999999999"/>
    <n v="223.18799999999999"/>
    <x v="2"/>
    <s v="2220"/>
    <s v="000"/>
    <x v="11"/>
    <x v="1"/>
  </r>
  <r>
    <d v="2012-09-18T00:00:00"/>
    <s v="018-2230-000"/>
    <s v="Wine Sales"/>
    <n v="15.677"/>
    <n v="0"/>
    <s v="Daily Sales Import"/>
    <n v="-15.677"/>
    <n v="15.677"/>
    <x v="2"/>
    <s v="2230"/>
    <s v="000"/>
    <x v="11"/>
    <x v="1"/>
  </r>
  <r>
    <d v="2012-09-19T00:00:00"/>
    <s v="018-2100-000"/>
    <s v="Food Sales"/>
    <n v="4658.4629999999997"/>
    <n v="0"/>
    <s v="Daily Sales Import"/>
    <n v="-4658.4629999999997"/>
    <n v="4658.4629999999997"/>
    <x v="2"/>
    <s v="2100"/>
    <s v="000"/>
    <x v="11"/>
    <x v="1"/>
  </r>
  <r>
    <d v="2012-09-19T00:00:00"/>
    <s v="018-2210-000"/>
    <s v="Liquor Sales"/>
    <n v="998.26"/>
    <n v="0"/>
    <s v="Daily Sales Import"/>
    <n v="-998.26"/>
    <n v="998.26"/>
    <x v="2"/>
    <s v="2210"/>
    <s v="000"/>
    <x v="11"/>
    <x v="1"/>
  </r>
  <r>
    <d v="2012-09-19T00:00:00"/>
    <s v="018-2220-000"/>
    <s v="Beer Sales"/>
    <n v="230.58750000000001"/>
    <n v="0"/>
    <s v="Daily Sales Import"/>
    <n v="-230.58750000000001"/>
    <n v="230.58750000000001"/>
    <x v="2"/>
    <s v="2220"/>
    <s v="000"/>
    <x v="11"/>
    <x v="1"/>
  </r>
  <r>
    <d v="2012-09-19T00:00:00"/>
    <s v="018-2230-000"/>
    <s v="Wine Sales"/>
    <n v="87.4"/>
    <n v="0"/>
    <s v="Daily Sales Import"/>
    <n v="-87.4"/>
    <n v="87.4"/>
    <x v="2"/>
    <s v="2230"/>
    <s v="000"/>
    <x v="11"/>
    <x v="1"/>
  </r>
  <r>
    <d v="2012-09-20T00:00:00"/>
    <s v="018-2100-000"/>
    <s v="Food Sales"/>
    <n v="6126.0866999999998"/>
    <n v="0"/>
    <s v="Daily Sales Import"/>
    <n v="-6126.0866999999998"/>
    <n v="6126.0866999999998"/>
    <x v="2"/>
    <s v="2100"/>
    <s v="000"/>
    <x v="11"/>
    <x v="1"/>
  </r>
  <r>
    <d v="2012-09-20T00:00:00"/>
    <s v="018-2210-000"/>
    <s v="Liquor Sales"/>
    <n v="1294.3800000000001"/>
    <n v="0"/>
    <s v="Daily Sales Import"/>
    <n v="-1294.3800000000001"/>
    <n v="1294.3800000000001"/>
    <x v="2"/>
    <s v="2210"/>
    <s v="000"/>
    <x v="11"/>
    <x v="1"/>
  </r>
  <r>
    <d v="2012-09-20T00:00:00"/>
    <s v="018-2220-000"/>
    <s v="Beer Sales"/>
    <n v="386.1275"/>
    <n v="0"/>
    <s v="Daily Sales Import"/>
    <n v="-386.1275"/>
    <n v="386.1275"/>
    <x v="2"/>
    <s v="2220"/>
    <s v="000"/>
    <x v="11"/>
    <x v="1"/>
  </r>
  <r>
    <d v="2012-09-20T00:00:00"/>
    <s v="018-2230-000"/>
    <s v="Wine Sales"/>
    <n v="15.773999999999999"/>
    <n v="0"/>
    <s v="Daily Sales Import"/>
    <n v="-15.773999999999999"/>
    <n v="15.773999999999999"/>
    <x v="2"/>
    <s v="2230"/>
    <s v="000"/>
    <x v="11"/>
    <x v="1"/>
  </r>
  <r>
    <d v="2012-09-21T00:00:00"/>
    <s v="018-2100-000"/>
    <s v="Food Sales"/>
    <n v="10260.615"/>
    <n v="0"/>
    <s v="Daily Sales Import"/>
    <n v="-10260.615"/>
    <n v="10260.615"/>
    <x v="2"/>
    <s v="2100"/>
    <s v="000"/>
    <x v="11"/>
    <x v="1"/>
  </r>
  <r>
    <d v="2012-09-21T00:00:00"/>
    <s v="018-2210-000"/>
    <s v="Liquor Sales"/>
    <n v="3259.7879999999996"/>
    <n v="0"/>
    <s v="Daily Sales Import"/>
    <n v="-3259.7879999999996"/>
    <n v="3259.7879999999996"/>
    <x v="2"/>
    <s v="2210"/>
    <s v="000"/>
    <x v="11"/>
    <x v="1"/>
  </r>
  <r>
    <d v="2012-09-21T00:00:00"/>
    <s v="018-2220-000"/>
    <s v="Beer Sales"/>
    <n v="661.89199999999994"/>
    <n v="0"/>
    <s v="Daily Sales Import"/>
    <n v="-661.89199999999994"/>
    <n v="661.89199999999994"/>
    <x v="2"/>
    <s v="2220"/>
    <s v="000"/>
    <x v="11"/>
    <x v="1"/>
  </r>
  <r>
    <d v="2012-09-21T00:00:00"/>
    <s v="018-2230-000"/>
    <s v="Wine Sales"/>
    <n v="148.78049999999999"/>
    <n v="0"/>
    <s v="Daily Sales Import"/>
    <n v="-148.78049999999999"/>
    <n v="148.78049999999999"/>
    <x v="2"/>
    <s v="2230"/>
    <s v="000"/>
    <x v="11"/>
    <x v="1"/>
  </r>
  <r>
    <d v="2012-09-22T00:00:00"/>
    <s v="018-2100-000"/>
    <s v="Food Sales"/>
    <n v="14761.804500000002"/>
    <n v="0"/>
    <s v="Daily Sales Import"/>
    <n v="-14761.804500000002"/>
    <n v="14761.804500000002"/>
    <x v="2"/>
    <s v="2100"/>
    <s v="000"/>
    <x v="11"/>
    <x v="1"/>
  </r>
  <r>
    <d v="2012-09-22T00:00:00"/>
    <s v="018-2210-000"/>
    <s v="Liquor Sales"/>
    <n v="3752.1039999999998"/>
    <n v="0"/>
    <s v="Daily Sales Import"/>
    <n v="-3752.1039999999998"/>
    <n v="3752.1039999999998"/>
    <x v="2"/>
    <s v="2210"/>
    <s v="000"/>
    <x v="11"/>
    <x v="1"/>
  </r>
  <r>
    <d v="2012-09-22T00:00:00"/>
    <s v="018-2220-000"/>
    <s v="Beer Sales"/>
    <n v="810.21600000000001"/>
    <n v="0"/>
    <s v="Daily Sales Import"/>
    <n v="-810.21600000000001"/>
    <n v="810.21600000000001"/>
    <x v="2"/>
    <s v="2220"/>
    <s v="000"/>
    <x v="11"/>
    <x v="1"/>
  </r>
  <r>
    <d v="2012-09-22T00:00:00"/>
    <s v="018-2230-000"/>
    <s v="Wine Sales"/>
    <n v="116.14400000000002"/>
    <n v="0"/>
    <s v="Daily Sales Import"/>
    <n v="-116.14400000000002"/>
    <n v="116.14400000000002"/>
    <x v="2"/>
    <s v="2230"/>
    <s v="000"/>
    <x v="11"/>
    <x v="1"/>
  </r>
  <r>
    <d v="2012-09-23T00:00:00"/>
    <s v="016-2100-000"/>
    <s v="Food Sales"/>
    <n v="4602.5280000000002"/>
    <n v="0"/>
    <s v="Daily Sales Import"/>
    <n v="-4602.5280000000002"/>
    <n v="4602.5280000000002"/>
    <x v="0"/>
    <s v="2100"/>
    <s v="000"/>
    <x v="11"/>
    <x v="1"/>
  </r>
  <r>
    <d v="2012-09-23T00:00:00"/>
    <s v="016-2210-000"/>
    <s v="Liquor Sales"/>
    <n v="623.77"/>
    <n v="0"/>
    <s v="Daily Sales Import"/>
    <n v="-623.77"/>
    <n v="623.77"/>
    <x v="0"/>
    <s v="2210"/>
    <s v="000"/>
    <x v="11"/>
    <x v="1"/>
  </r>
  <r>
    <d v="2012-09-23T00:00:00"/>
    <s v="016-2220-000"/>
    <s v="Beer Sales"/>
    <n v="120.4875"/>
    <n v="0"/>
    <s v="Daily Sales Import"/>
    <n v="-120.4875"/>
    <n v="120.4875"/>
    <x v="0"/>
    <s v="2220"/>
    <s v="000"/>
    <x v="11"/>
    <x v="1"/>
  </r>
  <r>
    <d v="2012-09-23T00:00:00"/>
    <s v="016-2230-000"/>
    <s v="Wine Sales"/>
    <n v="30.7545"/>
    <n v="0"/>
    <s v="Daily Sales Import"/>
    <n v="-30.7545"/>
    <n v="30.7545"/>
    <x v="0"/>
    <s v="2230"/>
    <s v="000"/>
    <x v="11"/>
    <x v="1"/>
  </r>
  <r>
    <d v="2012-09-23T00:00:00"/>
    <s v="017-2100-000"/>
    <s v="Food Sales"/>
    <n v="4896.7946000000002"/>
    <n v="0"/>
    <s v="Daily Sales Import"/>
    <n v="-4896.7946000000002"/>
    <n v="4896.7946000000002"/>
    <x v="1"/>
    <s v="2100"/>
    <s v="000"/>
    <x v="11"/>
    <x v="1"/>
  </r>
  <r>
    <d v="2012-09-23T00:00:00"/>
    <s v="017-2210-000"/>
    <s v="Liquor Sales"/>
    <n v="1049.8399999999999"/>
    <n v="0"/>
    <s v="Daily Sales Import"/>
    <n v="-1049.8399999999999"/>
    <n v="1049.8399999999999"/>
    <x v="1"/>
    <s v="2210"/>
    <s v="000"/>
    <x v="11"/>
    <x v="1"/>
  </r>
  <r>
    <d v="2012-09-23T00:00:00"/>
    <s v="017-2220-000"/>
    <s v="Beer Sales"/>
    <n v="151.69999999999999"/>
    <n v="0"/>
    <s v="Daily Sales Import"/>
    <n v="-151.69999999999999"/>
    <n v="151.69999999999999"/>
    <x v="1"/>
    <s v="2220"/>
    <s v="000"/>
    <x v="11"/>
    <x v="1"/>
  </r>
  <r>
    <d v="2012-09-23T00:00:00"/>
    <s v="017-2230-000"/>
    <s v="Wine Sales"/>
    <n v="58.012499999999996"/>
    <n v="0"/>
    <s v="Daily Sales Import"/>
    <n v="-58.012499999999996"/>
    <n v="58.012499999999996"/>
    <x v="1"/>
    <s v="2230"/>
    <s v="000"/>
    <x v="11"/>
    <x v="1"/>
  </r>
  <r>
    <d v="2012-09-23T00:00:00"/>
    <s v="018-2100-000"/>
    <s v="Food Sales"/>
    <n v="8414.9025000000001"/>
    <n v="0"/>
    <s v="Daily Sales Import"/>
    <n v="-8414.9025000000001"/>
    <n v="8414.9025000000001"/>
    <x v="2"/>
    <s v="2100"/>
    <s v="000"/>
    <x v="11"/>
    <x v="1"/>
  </r>
  <r>
    <d v="2012-09-23T00:00:00"/>
    <s v="018-2210-000"/>
    <s v="Liquor Sales"/>
    <n v="1054.9069999999999"/>
    <n v="0"/>
    <s v="Daily Sales Import"/>
    <n v="-1054.9069999999999"/>
    <n v="1054.9069999999999"/>
    <x v="2"/>
    <s v="2210"/>
    <s v="000"/>
    <x v="11"/>
    <x v="1"/>
  </r>
  <r>
    <d v="2012-09-23T00:00:00"/>
    <s v="018-2220-000"/>
    <s v="Beer Sales"/>
    <n v="148.149"/>
    <n v="0"/>
    <s v="Daily Sales Import"/>
    <n v="-148.149"/>
    <n v="148.149"/>
    <x v="2"/>
    <s v="2220"/>
    <s v="000"/>
    <x v="11"/>
    <x v="1"/>
  </r>
  <r>
    <d v="2012-09-23T00:00:00"/>
    <s v="018-2230-000"/>
    <s v="Wine Sales"/>
    <n v="63.9375"/>
    <n v="0"/>
    <s v="Daily Sales Import"/>
    <n v="-63.9375"/>
    <n v="63.9375"/>
    <x v="2"/>
    <s v="2230"/>
    <s v="000"/>
    <x v="11"/>
    <x v="1"/>
  </r>
  <r>
    <d v="2012-09-24T00:00:00"/>
    <s v="016-2100-000"/>
    <s v="Food Sales"/>
    <n v="1342.74"/>
    <n v="0"/>
    <s v="Daily Sales Import"/>
    <n v="-1342.74"/>
    <n v="1342.74"/>
    <x v="0"/>
    <s v="2100"/>
    <s v="000"/>
    <x v="11"/>
    <x v="1"/>
  </r>
  <r>
    <d v="2012-09-24T00:00:00"/>
    <s v="016-2210-000"/>
    <s v="Liquor Sales"/>
    <n v="344.31700000000001"/>
    <n v="0"/>
    <s v="Daily Sales Import"/>
    <n v="-344.31700000000001"/>
    <n v="344.31700000000001"/>
    <x v="0"/>
    <s v="2210"/>
    <s v="000"/>
    <x v="11"/>
    <x v="1"/>
  </r>
  <r>
    <d v="2012-09-24T00:00:00"/>
    <s v="016-2220-000"/>
    <s v="Beer Sales"/>
    <n v="48.649499999999989"/>
    <n v="0"/>
    <s v="Daily Sales Import"/>
    <n v="-48.649499999999989"/>
    <n v="48.649499999999989"/>
    <x v="0"/>
    <s v="2220"/>
    <s v="000"/>
    <x v="11"/>
    <x v="1"/>
  </r>
  <r>
    <d v="2012-09-24T00:00:00"/>
    <s v="016-2230-000"/>
    <s v="Wine Sales"/>
    <n v="4.62"/>
    <n v="0"/>
    <s v="Daily Sales Import"/>
    <n v="-4.62"/>
    <n v="4.62"/>
    <x v="0"/>
    <s v="2230"/>
    <s v="000"/>
    <x v="11"/>
    <x v="1"/>
  </r>
  <r>
    <d v="2012-09-25T00:00:00"/>
    <s v="016-2100-000"/>
    <s v="Food Sales"/>
    <n v="5420.4595999999992"/>
    <n v="0"/>
    <s v="Daily Sales Import"/>
    <n v="-5420.4595999999992"/>
    <n v="5420.4595999999992"/>
    <x v="0"/>
    <s v="2100"/>
    <s v="000"/>
    <x v="11"/>
    <x v="1"/>
  </r>
  <r>
    <d v="2012-09-25T00:00:00"/>
    <s v="016-2210-000"/>
    <s v="Liquor Sales"/>
    <n v="1327.0752"/>
    <n v="0"/>
    <s v="Daily Sales Import"/>
    <n v="-1327.0752"/>
    <n v="1327.0752"/>
    <x v="0"/>
    <s v="2210"/>
    <s v="000"/>
    <x v="11"/>
    <x v="1"/>
  </r>
  <r>
    <d v="2012-09-25T00:00:00"/>
    <s v="016-2220-000"/>
    <s v="Beer Sales"/>
    <n v="486.21"/>
    <n v="0"/>
    <s v="Daily Sales Import"/>
    <n v="-486.21"/>
    <n v="486.21"/>
    <x v="0"/>
    <s v="2220"/>
    <s v="000"/>
    <x v="11"/>
    <x v="1"/>
  </r>
  <r>
    <d v="2012-09-25T00:00:00"/>
    <s v="016-2230-000"/>
    <s v="Wine Sales"/>
    <n v="117.105"/>
    <n v="0"/>
    <s v="Daily Sales Import"/>
    <n v="-117.105"/>
    <n v="117.105"/>
    <x v="0"/>
    <s v="2230"/>
    <s v="000"/>
    <x v="11"/>
    <x v="1"/>
  </r>
  <r>
    <d v="2012-09-26T00:00:00"/>
    <s v="016-2100-000"/>
    <s v="Food Sales"/>
    <n v="3160.17"/>
    <n v="0"/>
    <s v="Daily Sales Import"/>
    <n v="-3160.17"/>
    <n v="3160.17"/>
    <x v="0"/>
    <s v="2100"/>
    <s v="000"/>
    <x v="11"/>
    <x v="1"/>
  </r>
  <r>
    <d v="2012-09-26T00:00:00"/>
    <s v="016-2210-000"/>
    <s v="Liquor Sales"/>
    <n v="599.12250000000006"/>
    <n v="0"/>
    <s v="Daily Sales Import"/>
    <n v="-599.12250000000006"/>
    <n v="599.12250000000006"/>
    <x v="0"/>
    <s v="2210"/>
    <s v="000"/>
    <x v="11"/>
    <x v="1"/>
  </r>
  <r>
    <d v="2012-09-26T00:00:00"/>
    <s v="016-2220-000"/>
    <s v="Beer Sales"/>
    <n v="142.179"/>
    <n v="0"/>
    <s v="Daily Sales Import"/>
    <n v="-142.179"/>
    <n v="142.179"/>
    <x v="0"/>
    <s v="2220"/>
    <s v="000"/>
    <x v="11"/>
    <x v="1"/>
  </r>
  <r>
    <d v="2012-09-26T00:00:00"/>
    <s v="016-2230-000"/>
    <s v="Wine Sales"/>
    <n v="67.405000000000001"/>
    <n v="0"/>
    <s v="Daily Sales Import"/>
    <n v="-67.405000000000001"/>
    <n v="67.405000000000001"/>
    <x v="0"/>
    <s v="2230"/>
    <s v="000"/>
    <x v="11"/>
    <x v="1"/>
  </r>
  <r>
    <d v="2012-09-27T00:00:00"/>
    <s v="016-2100-000"/>
    <s v="Food Sales"/>
    <n v="1958.04"/>
    <n v="0"/>
    <s v="Daily Sales Import"/>
    <n v="-1958.04"/>
    <n v="1958.04"/>
    <x v="0"/>
    <s v="2100"/>
    <s v="000"/>
    <x v="11"/>
    <x v="1"/>
  </r>
  <r>
    <d v="2012-09-27T00:00:00"/>
    <s v="016-2210-000"/>
    <s v="Liquor Sales"/>
    <n v="430.49249999999995"/>
    <n v="0"/>
    <s v="Daily Sales Import"/>
    <n v="-430.49249999999995"/>
    <n v="430.49249999999995"/>
    <x v="0"/>
    <s v="2210"/>
    <s v="000"/>
    <x v="11"/>
    <x v="1"/>
  </r>
  <r>
    <d v="2012-09-27T00:00:00"/>
    <s v="016-2220-000"/>
    <s v="Beer Sales"/>
    <n v="85.522499999999994"/>
    <n v="0"/>
    <s v="Daily Sales Import"/>
    <n v="-85.522499999999994"/>
    <n v="85.522499999999994"/>
    <x v="0"/>
    <s v="2220"/>
    <s v="000"/>
    <x v="11"/>
    <x v="1"/>
  </r>
  <r>
    <d v="2012-09-27T00:00:00"/>
    <s v="016-2230-000"/>
    <s v="Wine Sales"/>
    <n v="70.122"/>
    <n v="0"/>
    <s v="Daily Sales Import"/>
    <n v="-70.122"/>
    <n v="70.122"/>
    <x v="0"/>
    <s v="2230"/>
    <s v="000"/>
    <x v="11"/>
    <x v="1"/>
  </r>
  <r>
    <d v="2012-09-28T00:00:00"/>
    <s v="016-2100-000"/>
    <s v="Food Sales"/>
    <n v="4182.9480000000003"/>
    <n v="0"/>
    <s v="Daily Sales Import"/>
    <n v="-4182.9480000000003"/>
    <n v="4182.9480000000003"/>
    <x v="0"/>
    <s v="2100"/>
    <s v="000"/>
    <x v="11"/>
    <x v="1"/>
  </r>
  <r>
    <d v="2012-09-28T00:00:00"/>
    <s v="016-2210-000"/>
    <s v="Liquor Sales"/>
    <n v="1183.68"/>
    <n v="0"/>
    <s v="Daily Sales Import"/>
    <n v="-1183.68"/>
    <n v="1183.68"/>
    <x v="0"/>
    <s v="2210"/>
    <s v="000"/>
    <x v="11"/>
    <x v="1"/>
  </r>
  <r>
    <d v="2012-09-28T00:00:00"/>
    <s v="016-2220-000"/>
    <s v="Beer Sales"/>
    <n v="253.66770000000002"/>
    <n v="0"/>
    <s v="Daily Sales Import"/>
    <n v="-253.66770000000002"/>
    <n v="253.66770000000002"/>
    <x v="0"/>
    <s v="2220"/>
    <s v="000"/>
    <x v="11"/>
    <x v="1"/>
  </r>
  <r>
    <d v="2012-09-28T00:00:00"/>
    <s v="016-2230-000"/>
    <s v="Wine Sales"/>
    <n v="136.804"/>
    <n v="0"/>
    <s v="Daily Sales Import"/>
    <n v="-136.804"/>
    <n v="136.804"/>
    <x v="0"/>
    <s v="2230"/>
    <s v="000"/>
    <x v="11"/>
    <x v="1"/>
  </r>
  <r>
    <d v="2012-09-29T00:00:00"/>
    <s v="016-2100-000"/>
    <s v="Food Sales"/>
    <n v="6179.1190999999999"/>
    <n v="0"/>
    <s v="Daily Sales Import"/>
    <n v="-6179.1190999999999"/>
    <n v="6179.1190999999999"/>
    <x v="0"/>
    <s v="2100"/>
    <s v="000"/>
    <x v="11"/>
    <x v="1"/>
  </r>
  <r>
    <d v="2012-09-29T00:00:00"/>
    <s v="016-2210-000"/>
    <s v="Liquor Sales"/>
    <n v="2139.5"/>
    <n v="0"/>
    <s v="Daily Sales Import"/>
    <n v="-2139.5"/>
    <n v="2139.5"/>
    <x v="0"/>
    <s v="2210"/>
    <s v="000"/>
    <x v="11"/>
    <x v="1"/>
  </r>
  <r>
    <d v="2012-09-29T00:00:00"/>
    <s v="016-2220-000"/>
    <s v="Beer Sales"/>
    <n v="466.98300000000006"/>
    <n v="0"/>
    <s v="Daily Sales Import"/>
    <n v="-466.98300000000006"/>
    <n v="466.98300000000006"/>
    <x v="0"/>
    <s v="2220"/>
    <s v="000"/>
    <x v="11"/>
    <x v="1"/>
  </r>
  <r>
    <d v="2012-09-29T00:00:00"/>
    <s v="016-2230-000"/>
    <s v="Wine Sales"/>
    <n v="120.536"/>
    <n v="0"/>
    <s v="Daily Sales Import"/>
    <n v="-120.536"/>
    <n v="120.536"/>
    <x v="0"/>
    <s v="2230"/>
    <s v="000"/>
    <x v="11"/>
    <x v="1"/>
  </r>
  <r>
    <d v="2012-09-24T00:00:00"/>
    <s v="017-2100-000"/>
    <s v="Food Sales"/>
    <n v="4996.6880000000001"/>
    <n v="0"/>
    <s v="Daily Sales Import"/>
    <n v="-4996.6880000000001"/>
    <n v="4996.6880000000001"/>
    <x v="1"/>
    <s v="2100"/>
    <s v="000"/>
    <x v="11"/>
    <x v="1"/>
  </r>
  <r>
    <d v="2012-09-24T00:00:00"/>
    <s v="017-2210-000"/>
    <s v="Liquor Sales"/>
    <n v="648.61649999999997"/>
    <n v="0"/>
    <s v="Daily Sales Import"/>
    <n v="-648.61649999999997"/>
    <n v="648.61649999999997"/>
    <x v="1"/>
    <s v="2210"/>
    <s v="000"/>
    <x v="11"/>
    <x v="1"/>
  </r>
  <r>
    <d v="2012-09-24T00:00:00"/>
    <s v="017-2220-000"/>
    <s v="Beer Sales"/>
    <n v="154.32749999999999"/>
    <n v="0"/>
    <s v="Daily Sales Import"/>
    <n v="-154.32749999999999"/>
    <n v="154.32749999999999"/>
    <x v="1"/>
    <s v="2220"/>
    <s v="000"/>
    <x v="11"/>
    <x v="1"/>
  </r>
  <r>
    <d v="2012-09-24T00:00:00"/>
    <s v="017-2230-000"/>
    <s v="Wine Sales"/>
    <n v="84.73"/>
    <n v="0"/>
    <s v="Daily Sales Import"/>
    <n v="-84.73"/>
    <n v="84.73"/>
    <x v="1"/>
    <s v="2230"/>
    <s v="000"/>
    <x v="11"/>
    <x v="1"/>
  </r>
  <r>
    <d v="2012-09-25T00:00:00"/>
    <s v="017-2100-000"/>
    <s v="Food Sales"/>
    <n v="4927.3934999999992"/>
    <n v="0"/>
    <s v="Daily Sales Import"/>
    <n v="-4927.3934999999992"/>
    <n v="4927.3934999999992"/>
    <x v="1"/>
    <s v="2100"/>
    <s v="000"/>
    <x v="11"/>
    <x v="1"/>
  </r>
  <r>
    <d v="2012-09-25T00:00:00"/>
    <s v="017-2210-000"/>
    <s v="Liquor Sales"/>
    <n v="759.07499999999993"/>
    <n v="0"/>
    <s v="Daily Sales Import"/>
    <n v="-759.07499999999993"/>
    <n v="759.07499999999993"/>
    <x v="1"/>
    <s v="2210"/>
    <s v="000"/>
    <x v="11"/>
    <x v="1"/>
  </r>
  <r>
    <d v="2012-09-25T00:00:00"/>
    <s v="017-2220-000"/>
    <s v="Beer Sales"/>
    <n v="411.0575"/>
    <n v="0"/>
    <s v="Daily Sales Import"/>
    <n v="-411.0575"/>
    <n v="411.0575"/>
    <x v="1"/>
    <s v="2220"/>
    <s v="000"/>
    <x v="11"/>
    <x v="1"/>
  </r>
  <r>
    <d v="2012-09-25T00:00:00"/>
    <s v="017-2230-000"/>
    <s v="Wine Sales"/>
    <n v="111.033"/>
    <n v="0"/>
    <s v="Daily Sales Import"/>
    <n v="-111.033"/>
    <n v="111.033"/>
    <x v="1"/>
    <s v="2230"/>
    <s v="000"/>
    <x v="11"/>
    <x v="1"/>
  </r>
  <r>
    <d v="2012-09-26T00:00:00"/>
    <s v="017-2100-000"/>
    <s v="Food Sales"/>
    <n v="6194.5752000000002"/>
    <n v="0"/>
    <s v="Daily Sales Import"/>
    <n v="-6194.5752000000002"/>
    <n v="6194.5752000000002"/>
    <x v="1"/>
    <s v="2100"/>
    <s v="000"/>
    <x v="11"/>
    <x v="1"/>
  </r>
  <r>
    <d v="2012-09-26T00:00:00"/>
    <s v="017-2210-000"/>
    <s v="Liquor Sales"/>
    <n v="1639.9849999999999"/>
    <n v="0"/>
    <s v="Daily Sales Import"/>
    <n v="-1639.9849999999999"/>
    <n v="1639.9849999999999"/>
    <x v="1"/>
    <s v="2210"/>
    <s v="000"/>
    <x v="11"/>
    <x v="1"/>
  </r>
  <r>
    <d v="2012-09-26T00:00:00"/>
    <s v="017-2220-000"/>
    <s v="Beer Sales"/>
    <n v="311.20000000000005"/>
    <n v="0"/>
    <s v="Daily Sales Import"/>
    <n v="-311.20000000000005"/>
    <n v="311.20000000000005"/>
    <x v="1"/>
    <s v="2220"/>
    <s v="000"/>
    <x v="11"/>
    <x v="1"/>
  </r>
  <r>
    <d v="2012-09-26T00:00:00"/>
    <s v="017-2230-000"/>
    <s v="Wine Sales"/>
    <n v="36.3735"/>
    <n v="0"/>
    <s v="Daily Sales Import"/>
    <n v="-36.3735"/>
    <n v="36.3735"/>
    <x v="1"/>
    <s v="2230"/>
    <s v="000"/>
    <x v="11"/>
    <x v="1"/>
  </r>
  <r>
    <d v="2012-09-27T00:00:00"/>
    <s v="017-2100-000"/>
    <s v="Food Sales"/>
    <n v="6282.7920000000004"/>
    <n v="0"/>
    <s v="Daily Sales Import"/>
    <n v="-6282.7920000000004"/>
    <n v="6282.7920000000004"/>
    <x v="1"/>
    <s v="2100"/>
    <s v="000"/>
    <x v="11"/>
    <x v="1"/>
  </r>
  <r>
    <d v="2012-09-27T00:00:00"/>
    <s v="017-2210-000"/>
    <s v="Liquor Sales"/>
    <n v="1749.0045"/>
    <n v="0"/>
    <s v="Daily Sales Import"/>
    <n v="-1749.0045"/>
    <n v="1749.0045"/>
    <x v="1"/>
    <s v="2210"/>
    <s v="000"/>
    <x v="11"/>
    <x v="1"/>
  </r>
  <r>
    <d v="2012-09-27T00:00:00"/>
    <s v="017-2220-000"/>
    <s v="Beer Sales"/>
    <n v="396.94"/>
    <n v="0"/>
    <s v="Daily Sales Import"/>
    <n v="-396.94"/>
    <n v="396.94"/>
    <x v="1"/>
    <s v="2220"/>
    <s v="000"/>
    <x v="11"/>
    <x v="1"/>
  </r>
  <r>
    <d v="2012-09-27T00:00:00"/>
    <s v="017-2230-000"/>
    <s v="Wine Sales"/>
    <n v="97.289999999999992"/>
    <n v="0"/>
    <s v="Daily Sales Import"/>
    <n v="-97.289999999999992"/>
    <n v="97.289999999999992"/>
    <x v="1"/>
    <s v="2230"/>
    <s v="000"/>
    <x v="11"/>
    <x v="1"/>
  </r>
  <r>
    <d v="2012-09-28T00:00:00"/>
    <s v="017-2100-000"/>
    <s v="Food Sales"/>
    <n v="7687.3636000000006"/>
    <n v="0"/>
    <s v="Daily Sales Import"/>
    <n v="-7687.3636000000006"/>
    <n v="7687.3636000000006"/>
    <x v="1"/>
    <s v="2100"/>
    <s v="000"/>
    <x v="11"/>
    <x v="1"/>
  </r>
  <r>
    <d v="2012-09-28T00:00:00"/>
    <s v="017-2210-000"/>
    <s v="Liquor Sales"/>
    <n v="1708.2449999999999"/>
    <n v="0"/>
    <s v="Daily Sales Import"/>
    <n v="-1708.2449999999999"/>
    <n v="1708.2449999999999"/>
    <x v="1"/>
    <s v="2210"/>
    <s v="000"/>
    <x v="11"/>
    <x v="1"/>
  </r>
  <r>
    <d v="2012-09-28T00:00:00"/>
    <s v="017-2220-000"/>
    <s v="Beer Sales"/>
    <n v="548.1"/>
    <n v="0"/>
    <s v="Daily Sales Import"/>
    <n v="-548.1"/>
    <n v="548.1"/>
    <x v="1"/>
    <s v="2220"/>
    <s v="000"/>
    <x v="11"/>
    <x v="1"/>
  </r>
  <r>
    <d v="2012-09-28T00:00:00"/>
    <s v="017-2230-000"/>
    <s v="Wine Sales"/>
    <n v="62.524000000000008"/>
    <n v="0"/>
    <s v="Daily Sales Import"/>
    <n v="-62.524000000000008"/>
    <n v="62.524000000000008"/>
    <x v="1"/>
    <s v="2230"/>
    <s v="000"/>
    <x v="11"/>
    <x v="1"/>
  </r>
  <r>
    <d v="2012-09-29T00:00:00"/>
    <s v="017-2100-000"/>
    <s v="Food Sales"/>
    <n v="4649.5994999999994"/>
    <n v="0"/>
    <s v="Daily Sales Import"/>
    <n v="-4649.5994999999994"/>
    <n v="4649.5994999999994"/>
    <x v="1"/>
    <s v="2100"/>
    <s v="000"/>
    <x v="11"/>
    <x v="1"/>
  </r>
  <r>
    <d v="2012-09-29T00:00:00"/>
    <s v="017-2210-000"/>
    <s v="Liquor Sales"/>
    <n v="1494.867"/>
    <n v="0"/>
    <s v="Daily Sales Import"/>
    <n v="-1494.867"/>
    <n v="1494.867"/>
    <x v="1"/>
    <s v="2210"/>
    <s v="000"/>
    <x v="11"/>
    <x v="1"/>
  </r>
  <r>
    <d v="2012-09-29T00:00:00"/>
    <s v="017-2220-000"/>
    <s v="Beer Sales"/>
    <n v="272.38750000000005"/>
    <n v="0"/>
    <s v="Daily Sales Import"/>
    <n v="-272.38750000000005"/>
    <n v="272.38750000000005"/>
    <x v="1"/>
    <s v="2220"/>
    <s v="000"/>
    <x v="11"/>
    <x v="1"/>
  </r>
  <r>
    <d v="2012-09-29T00:00:00"/>
    <s v="017-2230-000"/>
    <s v="Wine Sales"/>
    <n v="47.385999999999996"/>
    <n v="0"/>
    <s v="Daily Sales Import"/>
    <n v="-47.385999999999996"/>
    <n v="47.385999999999996"/>
    <x v="1"/>
    <s v="2230"/>
    <s v="000"/>
    <x v="11"/>
    <x v="1"/>
  </r>
  <r>
    <d v="2012-09-24T00:00:00"/>
    <s v="018-2100-000"/>
    <s v="Food Sales"/>
    <n v="4162.9264000000003"/>
    <n v="0"/>
    <s v="Daily Sales Import"/>
    <n v="-4162.9264000000003"/>
    <n v="4162.9264000000003"/>
    <x v="2"/>
    <s v="2100"/>
    <s v="000"/>
    <x v="11"/>
    <x v="1"/>
  </r>
  <r>
    <d v="2012-09-24T00:00:00"/>
    <s v="018-2210-000"/>
    <s v="Liquor Sales"/>
    <n v="382.23249999999996"/>
    <n v="0"/>
    <s v="Daily Sales Import"/>
    <n v="-382.23249999999996"/>
    <n v="382.23249999999996"/>
    <x v="2"/>
    <s v="2210"/>
    <s v="000"/>
    <x v="11"/>
    <x v="1"/>
  </r>
  <r>
    <d v="2012-09-24T00:00:00"/>
    <s v="018-2220-000"/>
    <s v="Beer Sales"/>
    <n v="171.17399999999998"/>
    <n v="0"/>
    <s v="Daily Sales Import"/>
    <n v="-171.17399999999998"/>
    <n v="171.17399999999998"/>
    <x v="2"/>
    <s v="2220"/>
    <s v="000"/>
    <x v="11"/>
    <x v="1"/>
  </r>
  <r>
    <d v="2012-09-24T00:00:00"/>
    <s v="018-2230-000"/>
    <s v="Wine Sales"/>
    <n v="16.802500000000002"/>
    <n v="0"/>
    <s v="Daily Sales Import"/>
    <n v="-16.802500000000002"/>
    <n v="16.802500000000002"/>
    <x v="2"/>
    <s v="2230"/>
    <s v="000"/>
    <x v="11"/>
    <x v="1"/>
  </r>
  <r>
    <d v="2012-09-25T00:00:00"/>
    <s v="018-2100-000"/>
    <s v="Food Sales"/>
    <n v="3899.0259000000001"/>
    <n v="0"/>
    <s v="Daily Sales Import"/>
    <n v="-3899.0259000000001"/>
    <n v="3899.0259000000001"/>
    <x v="2"/>
    <s v="2100"/>
    <s v="000"/>
    <x v="11"/>
    <x v="1"/>
  </r>
  <r>
    <d v="2012-09-25T00:00:00"/>
    <s v="018-2210-000"/>
    <s v="Liquor Sales"/>
    <n v="1099.3724999999999"/>
    <n v="0"/>
    <s v="Daily Sales Import"/>
    <n v="-1099.3724999999999"/>
    <n v="1099.3724999999999"/>
    <x v="2"/>
    <s v="2210"/>
    <s v="000"/>
    <x v="11"/>
    <x v="1"/>
  </r>
  <r>
    <d v="2012-09-25T00:00:00"/>
    <s v="018-2220-000"/>
    <s v="Beer Sales"/>
    <n v="266.18900000000002"/>
    <n v="0"/>
    <s v="Daily Sales Import"/>
    <n v="-266.18900000000002"/>
    <n v="266.18900000000002"/>
    <x v="2"/>
    <s v="2220"/>
    <s v="000"/>
    <x v="11"/>
    <x v="1"/>
  </r>
  <r>
    <d v="2012-09-25T00:00:00"/>
    <s v="018-2230-000"/>
    <s v="Wine Sales"/>
    <n v="76.043000000000006"/>
    <n v="0"/>
    <s v="Daily Sales Import"/>
    <n v="-76.043000000000006"/>
    <n v="76.043000000000006"/>
    <x v="2"/>
    <s v="2230"/>
    <s v="000"/>
    <x v="11"/>
    <x v="1"/>
  </r>
  <r>
    <d v="2012-09-26T00:00:00"/>
    <s v="018-2100-000"/>
    <s v="Food Sales"/>
    <n v="6392.7114999999994"/>
    <n v="0"/>
    <s v="Daily Sales Import"/>
    <n v="-6392.7114999999994"/>
    <n v="6392.7114999999994"/>
    <x v="2"/>
    <s v="2100"/>
    <s v="000"/>
    <x v="11"/>
    <x v="1"/>
  </r>
  <r>
    <d v="2012-09-26T00:00:00"/>
    <s v="018-2210-000"/>
    <s v="Liquor Sales"/>
    <n v="939.01499999999999"/>
    <n v="0"/>
    <s v="Daily Sales Import"/>
    <n v="-939.01499999999999"/>
    <n v="939.01499999999999"/>
    <x v="2"/>
    <s v="2210"/>
    <s v="000"/>
    <x v="11"/>
    <x v="1"/>
  </r>
  <r>
    <d v="2012-09-26T00:00:00"/>
    <s v="018-2220-000"/>
    <s v="Beer Sales"/>
    <n v="146.42099999999999"/>
    <n v="0"/>
    <s v="Daily Sales Import"/>
    <n v="-146.42099999999999"/>
    <n v="146.42099999999999"/>
    <x v="2"/>
    <s v="2220"/>
    <s v="000"/>
    <x v="11"/>
    <x v="1"/>
  </r>
  <r>
    <d v="2012-09-26T00:00:00"/>
    <s v="018-2230-000"/>
    <s v="Wine Sales"/>
    <n v="30.155000000000001"/>
    <n v="0"/>
    <s v="Daily Sales Import"/>
    <n v="-30.155000000000001"/>
    <n v="30.155000000000001"/>
    <x v="2"/>
    <s v="2230"/>
    <s v="000"/>
    <x v="11"/>
    <x v="1"/>
  </r>
  <r>
    <d v="2012-09-27T00:00:00"/>
    <s v="018-2100-000"/>
    <s v="Food Sales"/>
    <n v="5504.058"/>
    <n v="0"/>
    <s v="Daily Sales Import"/>
    <n v="-5504.058"/>
    <n v="5504.058"/>
    <x v="2"/>
    <s v="2100"/>
    <s v="000"/>
    <x v="11"/>
    <x v="1"/>
  </r>
  <r>
    <d v="2012-09-27T00:00:00"/>
    <s v="018-2210-000"/>
    <s v="Liquor Sales"/>
    <n v="1088.7949999999998"/>
    <n v="0"/>
    <s v="Daily Sales Import"/>
    <n v="-1088.7949999999998"/>
    <n v="1088.7949999999998"/>
    <x v="2"/>
    <s v="2210"/>
    <s v="000"/>
    <x v="11"/>
    <x v="1"/>
  </r>
  <r>
    <d v="2012-09-27T00:00:00"/>
    <s v="018-2220-000"/>
    <s v="Beer Sales"/>
    <n v="228.89700000000002"/>
    <n v="0"/>
    <s v="Daily Sales Import"/>
    <n v="-228.89700000000002"/>
    <n v="228.89700000000002"/>
    <x v="2"/>
    <s v="2220"/>
    <s v="000"/>
    <x v="11"/>
    <x v="1"/>
  </r>
  <r>
    <d v="2012-09-27T00:00:00"/>
    <s v="018-2230-000"/>
    <s v="Wine Sales"/>
    <n v="66.960999999999999"/>
    <n v="0"/>
    <s v="Daily Sales Import"/>
    <n v="-66.960999999999999"/>
    <n v="66.960999999999999"/>
    <x v="2"/>
    <s v="2230"/>
    <s v="000"/>
    <x v="11"/>
    <x v="1"/>
  </r>
  <r>
    <d v="2012-09-28T00:00:00"/>
    <s v="018-2100-000"/>
    <s v="Food Sales"/>
    <n v="11901.189999999999"/>
    <n v="0"/>
    <s v="Daily Sales Import"/>
    <n v="-11901.189999999999"/>
    <n v="11901.189999999999"/>
    <x v="2"/>
    <s v="2100"/>
    <s v="000"/>
    <x v="11"/>
    <x v="1"/>
  </r>
  <r>
    <d v="2012-09-28T00:00:00"/>
    <s v="018-2210-000"/>
    <s v="Liquor Sales"/>
    <n v="3237.6880000000001"/>
    <n v="0"/>
    <s v="Daily Sales Import"/>
    <n v="-3237.6880000000001"/>
    <n v="3237.6880000000001"/>
    <x v="2"/>
    <s v="2210"/>
    <s v="000"/>
    <x v="11"/>
    <x v="1"/>
  </r>
  <r>
    <d v="2012-09-28T00:00:00"/>
    <s v="018-2220-000"/>
    <s v="Beer Sales"/>
    <n v="721.798"/>
    <n v="0"/>
    <s v="Daily Sales Import"/>
    <n v="-721.798"/>
    <n v="721.798"/>
    <x v="2"/>
    <s v="2220"/>
    <s v="000"/>
    <x v="11"/>
    <x v="1"/>
  </r>
  <r>
    <d v="2012-09-28T00:00:00"/>
    <s v="018-2230-000"/>
    <s v="Wine Sales"/>
    <n v="72.996000000000009"/>
    <n v="0"/>
    <s v="Daily Sales Import"/>
    <n v="-72.996000000000009"/>
    <n v="72.996000000000009"/>
    <x v="2"/>
    <s v="2230"/>
    <s v="000"/>
    <x v="11"/>
    <x v="1"/>
  </r>
  <r>
    <d v="2012-09-29T00:00:00"/>
    <s v="018-2100-000"/>
    <s v="Food Sales"/>
    <n v="16031.491999999998"/>
    <n v="0"/>
    <s v="Daily Sales Import"/>
    <n v="-16031.491999999998"/>
    <n v="16031.491999999998"/>
    <x v="2"/>
    <s v="2100"/>
    <s v="000"/>
    <x v="11"/>
    <x v="1"/>
  </r>
  <r>
    <d v="2012-09-29T00:00:00"/>
    <s v="018-2210-000"/>
    <s v="Liquor Sales"/>
    <n v="4003.4640000000004"/>
    <n v="0"/>
    <s v="Daily Sales Import"/>
    <n v="-4003.4640000000004"/>
    <n v="4003.4640000000004"/>
    <x v="2"/>
    <s v="2210"/>
    <s v="000"/>
    <x v="11"/>
    <x v="1"/>
  </r>
  <r>
    <d v="2012-09-29T00:00:00"/>
    <s v="018-2220-000"/>
    <s v="Beer Sales"/>
    <n v="1020.681"/>
    <n v="0"/>
    <s v="Daily Sales Import"/>
    <n v="-1020.681"/>
    <n v="1020.681"/>
    <x v="2"/>
    <s v="2220"/>
    <s v="000"/>
    <x v="11"/>
    <x v="1"/>
  </r>
  <r>
    <d v="2012-09-29T00:00:00"/>
    <s v="018-2230-000"/>
    <s v="Wine Sales"/>
    <n v="109.5825"/>
    <n v="0"/>
    <s v="Daily Sales Import"/>
    <n v="-109.5825"/>
    <n v="109.5825"/>
    <x v="2"/>
    <s v="2230"/>
    <s v="000"/>
    <x v="11"/>
    <x v="1"/>
  </r>
  <r>
    <d v="2012-09-30T00:00:00"/>
    <s v="016-2100-000"/>
    <s v="Food Sales"/>
    <n v="2812.6000000000004"/>
    <n v="0"/>
    <s v="Daily Sales Import"/>
    <n v="-2812.6000000000004"/>
    <n v="2812.6000000000004"/>
    <x v="0"/>
    <s v="2100"/>
    <s v="000"/>
    <x v="11"/>
    <x v="1"/>
  </r>
  <r>
    <d v="2012-09-30T00:00:00"/>
    <s v="016-2210-000"/>
    <s v="Liquor Sales"/>
    <n v="758.85040000000004"/>
    <n v="0"/>
    <s v="Daily Sales Import"/>
    <n v="-758.85040000000004"/>
    <n v="758.85040000000004"/>
    <x v="0"/>
    <s v="2210"/>
    <s v="000"/>
    <x v="11"/>
    <x v="1"/>
  </r>
  <r>
    <d v="2012-09-30T00:00:00"/>
    <s v="016-2220-000"/>
    <s v="Beer Sales"/>
    <n v="116.82000000000001"/>
    <n v="0"/>
    <s v="Daily Sales Import"/>
    <n v="-116.82000000000001"/>
    <n v="116.82000000000001"/>
    <x v="0"/>
    <s v="2220"/>
    <s v="000"/>
    <x v="11"/>
    <x v="1"/>
  </r>
  <r>
    <d v="2012-09-30T00:00:00"/>
    <s v="016-2230-000"/>
    <s v="Wine Sales"/>
    <n v="56.313999999999993"/>
    <n v="0"/>
    <s v="Daily Sales Import"/>
    <n v="-56.313999999999993"/>
    <n v="56.313999999999993"/>
    <x v="0"/>
    <s v="2230"/>
    <s v="000"/>
    <x v="11"/>
    <x v="1"/>
  </r>
  <r>
    <d v="2012-09-30T00:00:00"/>
    <s v="017-2100-000"/>
    <s v="Food Sales"/>
    <n v="3368.4659999999994"/>
    <n v="0"/>
    <s v="Daily Sales Import"/>
    <n v="-3368.4659999999994"/>
    <n v="3368.4659999999994"/>
    <x v="1"/>
    <s v="2100"/>
    <s v="000"/>
    <x v="11"/>
    <x v="1"/>
  </r>
  <r>
    <d v="2012-09-30T00:00:00"/>
    <s v="017-2210-000"/>
    <s v="Liquor Sales"/>
    <n v="996.15000000000009"/>
    <n v="0"/>
    <s v="Daily Sales Import"/>
    <n v="-996.15000000000009"/>
    <n v="996.15000000000009"/>
    <x v="1"/>
    <s v="2210"/>
    <s v="000"/>
    <x v="11"/>
    <x v="1"/>
  </r>
  <r>
    <d v="2012-09-30T00:00:00"/>
    <s v="017-2220-000"/>
    <s v="Beer Sales"/>
    <n v="134.30000000000001"/>
    <n v="0"/>
    <s v="Daily Sales Import"/>
    <n v="-134.30000000000001"/>
    <n v="134.30000000000001"/>
    <x v="1"/>
    <s v="2220"/>
    <s v="000"/>
    <x v="11"/>
    <x v="1"/>
  </r>
  <r>
    <d v="2012-09-30T00:00:00"/>
    <s v="017-2230-000"/>
    <s v="Wine Sales"/>
    <n v="44.890999999999998"/>
    <n v="0"/>
    <s v="Daily Sales Import"/>
    <n v="-44.890999999999998"/>
    <n v="44.890999999999998"/>
    <x v="1"/>
    <s v="2230"/>
    <s v="000"/>
    <x v="11"/>
    <x v="1"/>
  </r>
  <r>
    <d v="2012-09-30T00:00:00"/>
    <s v="018-2100-000"/>
    <s v="Food Sales"/>
    <n v="8314.8799999999992"/>
    <n v="0"/>
    <s v="Daily Sales Import"/>
    <n v="-8314.8799999999992"/>
    <n v="8314.8799999999992"/>
    <x v="2"/>
    <s v="2100"/>
    <s v="000"/>
    <x v="11"/>
    <x v="1"/>
  </r>
  <r>
    <d v="2012-09-30T00:00:00"/>
    <s v="018-2210-000"/>
    <s v="Liquor Sales"/>
    <n v="1461.5269999999998"/>
    <n v="0"/>
    <s v="Daily Sales Import"/>
    <n v="-1461.5269999999998"/>
    <n v="1461.5269999999998"/>
    <x v="2"/>
    <s v="2210"/>
    <s v="000"/>
    <x v="11"/>
    <x v="1"/>
  </r>
  <r>
    <d v="2012-09-30T00:00:00"/>
    <s v="018-2220-000"/>
    <s v="Beer Sales"/>
    <n v="326.80799999999999"/>
    <n v="0"/>
    <s v="Daily Sales Import"/>
    <n v="-326.80799999999999"/>
    <n v="326.80799999999999"/>
    <x v="2"/>
    <s v="2220"/>
    <s v="000"/>
    <x v="11"/>
    <x v="1"/>
  </r>
  <r>
    <d v="2012-09-30T00:00:00"/>
    <s v="018-2230-000"/>
    <s v="Wine Sales"/>
    <n v="53.43"/>
    <n v="0"/>
    <s v="Daily Sales Import"/>
    <n v="-53.43"/>
    <n v="53.43"/>
    <x v="2"/>
    <s v="2230"/>
    <s v="000"/>
    <x v="11"/>
    <x v="1"/>
  </r>
  <r>
    <d v="2012-10-01T00:00:00"/>
    <s v="016-2100-000"/>
    <s v="Food Sales"/>
    <n v="1425.8475000000001"/>
    <n v="0"/>
    <s v="Daily Sales Import"/>
    <n v="-1425.8475000000001"/>
    <n v="1425.8475000000001"/>
    <x v="0"/>
    <s v="2100"/>
    <s v="000"/>
    <x v="0"/>
    <x v="1"/>
  </r>
  <r>
    <d v="2012-10-01T00:00:00"/>
    <s v="016-2210-000"/>
    <s v="Liquor Sales"/>
    <n v="181.63200000000001"/>
    <n v="0"/>
    <s v="Daily Sales Import"/>
    <n v="-181.63200000000001"/>
    <n v="181.63200000000001"/>
    <x v="0"/>
    <s v="2210"/>
    <s v="000"/>
    <x v="0"/>
    <x v="1"/>
  </r>
  <r>
    <d v="2012-10-01T00:00:00"/>
    <s v="016-2220-000"/>
    <s v="Beer Sales"/>
    <n v="75.275999999999996"/>
    <n v="0"/>
    <s v="Daily Sales Import"/>
    <n v="-75.275999999999996"/>
    <n v="75.275999999999996"/>
    <x v="0"/>
    <s v="2220"/>
    <s v="000"/>
    <x v="0"/>
    <x v="1"/>
  </r>
  <r>
    <d v="2012-10-01T00:00:00"/>
    <s v="016-2230-000"/>
    <s v="Wine Sales"/>
    <n v="6.2649999999999988"/>
    <n v="0"/>
    <s v="Daily Sales Import"/>
    <n v="-6.2649999999999988"/>
    <n v="6.2649999999999988"/>
    <x v="0"/>
    <s v="2230"/>
    <s v="000"/>
    <x v="0"/>
    <x v="1"/>
  </r>
  <r>
    <d v="2012-10-02T00:00:00"/>
    <s v="016-2100-000"/>
    <s v="Food Sales"/>
    <n v="5124.8393999999998"/>
    <n v="0"/>
    <s v="Daily Sales Import"/>
    <n v="-5124.8393999999998"/>
    <n v="5124.8393999999998"/>
    <x v="0"/>
    <s v="2100"/>
    <s v="000"/>
    <x v="0"/>
    <x v="1"/>
  </r>
  <r>
    <d v="2012-10-02T00:00:00"/>
    <s v="016-2210-000"/>
    <s v="Liquor Sales"/>
    <n v="1666.9364999999998"/>
    <n v="0"/>
    <s v="Daily Sales Import"/>
    <n v="-1666.9364999999998"/>
    <n v="1666.9364999999998"/>
    <x v="0"/>
    <s v="2210"/>
    <s v="000"/>
    <x v="0"/>
    <x v="1"/>
  </r>
  <r>
    <d v="2012-10-02T00:00:00"/>
    <s v="016-2220-000"/>
    <s v="Beer Sales"/>
    <n v="490.34829999999999"/>
    <n v="0"/>
    <s v="Daily Sales Import"/>
    <n v="-490.34829999999999"/>
    <n v="490.34829999999999"/>
    <x v="0"/>
    <s v="2220"/>
    <s v="000"/>
    <x v="0"/>
    <x v="1"/>
  </r>
  <r>
    <d v="2012-10-02T00:00:00"/>
    <s v="016-2230-000"/>
    <s v="Wine Sales"/>
    <n v="66.5595"/>
    <n v="0"/>
    <s v="Daily Sales Import"/>
    <n v="-66.5595"/>
    <n v="66.5595"/>
    <x v="0"/>
    <s v="2230"/>
    <s v="000"/>
    <x v="0"/>
    <x v="1"/>
  </r>
  <r>
    <d v="2012-10-03T00:00:00"/>
    <s v="016-2100-000"/>
    <s v="Food Sales"/>
    <n v="1424.8574999999998"/>
    <n v="0"/>
    <s v="Daily Sales Import"/>
    <n v="-1424.8574999999998"/>
    <n v="1424.8574999999998"/>
    <x v="0"/>
    <s v="2100"/>
    <s v="000"/>
    <x v="0"/>
    <x v="1"/>
  </r>
  <r>
    <d v="2012-10-03T00:00:00"/>
    <s v="016-2210-000"/>
    <s v="Liquor Sales"/>
    <n v="538.60900000000004"/>
    <n v="0"/>
    <s v="Daily Sales Import"/>
    <n v="-538.60900000000004"/>
    <n v="538.60900000000004"/>
    <x v="0"/>
    <s v="2210"/>
    <s v="000"/>
    <x v="0"/>
    <x v="1"/>
  </r>
  <r>
    <d v="2012-10-03T00:00:00"/>
    <s v="016-2220-000"/>
    <s v="Beer Sales"/>
    <n v="79.02"/>
    <n v="0"/>
    <s v="Daily Sales Import"/>
    <n v="-79.02"/>
    <n v="79.02"/>
    <x v="0"/>
    <s v="2220"/>
    <s v="000"/>
    <x v="0"/>
    <x v="1"/>
  </r>
  <r>
    <d v="2012-10-03T00:00:00"/>
    <s v="016-2230-000"/>
    <s v="Wine Sales"/>
    <n v="25.721"/>
    <n v="0"/>
    <s v="Daily Sales Import"/>
    <n v="-25.721"/>
    <n v="25.721"/>
    <x v="0"/>
    <s v="2230"/>
    <s v="000"/>
    <x v="0"/>
    <x v="1"/>
  </r>
  <r>
    <d v="2012-10-04T00:00:00"/>
    <s v="016-2100-000"/>
    <s v="Food Sales"/>
    <n v="3103.4526000000001"/>
    <n v="0"/>
    <s v="Daily Sales Import"/>
    <n v="-3103.4526000000001"/>
    <n v="3103.4526000000001"/>
    <x v="0"/>
    <s v="2100"/>
    <s v="000"/>
    <x v="0"/>
    <x v="1"/>
  </r>
  <r>
    <d v="2012-10-04T00:00:00"/>
    <s v="016-2210-000"/>
    <s v="Liquor Sales"/>
    <n v="913.6305000000001"/>
    <n v="0"/>
    <s v="Daily Sales Import"/>
    <n v="-913.6305000000001"/>
    <n v="913.6305000000001"/>
    <x v="0"/>
    <s v="2210"/>
    <s v="000"/>
    <x v="0"/>
    <x v="1"/>
  </r>
  <r>
    <d v="2012-10-04T00:00:00"/>
    <s v="016-2220-000"/>
    <s v="Beer Sales"/>
    <n v="112.65569999999998"/>
    <n v="0"/>
    <s v="Daily Sales Import"/>
    <n v="-112.65569999999998"/>
    <n v="112.65569999999998"/>
    <x v="0"/>
    <s v="2220"/>
    <s v="000"/>
    <x v="0"/>
    <x v="1"/>
  </r>
  <r>
    <d v="2012-10-04T00:00:00"/>
    <s v="016-2230-000"/>
    <s v="Wine Sales"/>
    <n v="37.757999999999996"/>
    <n v="0"/>
    <s v="Daily Sales Import"/>
    <n v="-37.757999999999996"/>
    <n v="37.757999999999996"/>
    <x v="0"/>
    <s v="2230"/>
    <s v="000"/>
    <x v="0"/>
    <x v="1"/>
  </r>
  <r>
    <d v="2012-10-05T00:00:00"/>
    <s v="016-2100-000"/>
    <s v="Food Sales"/>
    <n v="8117.2273000000005"/>
    <n v="0"/>
    <s v="Daily Sales Import"/>
    <n v="-8117.2273000000005"/>
    <n v="8117.2273000000005"/>
    <x v="0"/>
    <s v="2100"/>
    <s v="000"/>
    <x v="0"/>
    <x v="1"/>
  </r>
  <r>
    <d v="2012-10-05T00:00:00"/>
    <s v="016-2210-000"/>
    <s v="Liquor Sales"/>
    <n v="3270.0659999999998"/>
    <n v="0"/>
    <s v="Daily Sales Import"/>
    <n v="-3270.0659999999998"/>
    <n v="3270.0659999999998"/>
    <x v="0"/>
    <s v="2210"/>
    <s v="000"/>
    <x v="0"/>
    <x v="1"/>
  </r>
  <r>
    <d v="2012-10-05T00:00:00"/>
    <s v="016-2220-000"/>
    <s v="Beer Sales"/>
    <n v="399.72149999999999"/>
    <n v="0"/>
    <s v="Daily Sales Import"/>
    <n v="-399.72149999999999"/>
    <n v="399.72149999999999"/>
    <x v="0"/>
    <s v="2220"/>
    <s v="000"/>
    <x v="0"/>
    <x v="1"/>
  </r>
  <r>
    <d v="2012-10-05T00:00:00"/>
    <s v="016-2230-000"/>
    <s v="Wine Sales"/>
    <n v="358.245"/>
    <n v="0"/>
    <s v="Daily Sales Import"/>
    <n v="-358.245"/>
    <n v="358.245"/>
    <x v="0"/>
    <s v="2230"/>
    <s v="000"/>
    <x v="0"/>
    <x v="1"/>
  </r>
  <r>
    <d v="2012-10-06T00:00:00"/>
    <s v="016-2100-000"/>
    <s v="Food Sales"/>
    <n v="5325.8613999999998"/>
    <n v="0"/>
    <s v="Daily Sales Import"/>
    <n v="-5325.8613999999998"/>
    <n v="5325.8613999999998"/>
    <x v="0"/>
    <s v="2100"/>
    <s v="000"/>
    <x v="0"/>
    <x v="1"/>
  </r>
  <r>
    <d v="2012-10-06T00:00:00"/>
    <s v="016-2210-000"/>
    <s v="Liquor Sales"/>
    <n v="1580.04"/>
    <n v="0"/>
    <s v="Daily Sales Import"/>
    <n v="-1580.04"/>
    <n v="1580.04"/>
    <x v="0"/>
    <s v="2210"/>
    <s v="000"/>
    <x v="0"/>
    <x v="1"/>
  </r>
  <r>
    <d v="2012-10-06T00:00:00"/>
    <s v="016-2220-000"/>
    <s v="Beer Sales"/>
    <n v="350.28449999999998"/>
    <n v="0"/>
    <s v="Daily Sales Import"/>
    <n v="-350.28449999999998"/>
    <n v="350.28449999999998"/>
    <x v="0"/>
    <s v="2220"/>
    <s v="000"/>
    <x v="0"/>
    <x v="1"/>
  </r>
  <r>
    <d v="2012-10-06T00:00:00"/>
    <s v="016-2230-000"/>
    <s v="Wine Sales"/>
    <n v="133.01"/>
    <n v="0"/>
    <s v="Daily Sales Import"/>
    <n v="-133.01"/>
    <n v="133.01"/>
    <x v="0"/>
    <s v="2230"/>
    <s v="000"/>
    <x v="0"/>
    <x v="1"/>
  </r>
  <r>
    <d v="2012-10-07T00:00:00"/>
    <s v="016-2100-000"/>
    <s v="Food Sales"/>
    <n v="2860.3937000000001"/>
    <n v="0"/>
    <s v="Daily Sales Import"/>
    <n v="-2860.3937000000001"/>
    <n v="2860.3937000000001"/>
    <x v="0"/>
    <s v="2100"/>
    <s v="000"/>
    <x v="0"/>
    <x v="1"/>
  </r>
  <r>
    <d v="2012-10-07T00:00:00"/>
    <s v="016-2210-000"/>
    <s v="Liquor Sales"/>
    <n v="1110.5319999999999"/>
    <n v="0"/>
    <s v="Daily Sales Import"/>
    <n v="-1110.5319999999999"/>
    <n v="1110.5319999999999"/>
    <x v="0"/>
    <s v="2210"/>
    <s v="000"/>
    <x v="0"/>
    <x v="1"/>
  </r>
  <r>
    <d v="2012-10-07T00:00:00"/>
    <s v="016-2220-000"/>
    <s v="Beer Sales"/>
    <n v="151.56"/>
    <n v="0"/>
    <s v="Daily Sales Import"/>
    <n v="-151.56"/>
    <n v="151.56"/>
    <x v="0"/>
    <s v="2220"/>
    <s v="000"/>
    <x v="0"/>
    <x v="1"/>
  </r>
  <r>
    <d v="2012-10-07T00:00:00"/>
    <s v="016-2230-000"/>
    <s v="Wine Sales"/>
    <n v="73.358999999999995"/>
    <n v="0"/>
    <s v="Daily Sales Import"/>
    <n v="-73.358999999999995"/>
    <n v="73.358999999999995"/>
    <x v="0"/>
    <s v="2230"/>
    <s v="000"/>
    <x v="0"/>
    <x v="1"/>
  </r>
  <r>
    <d v="2012-10-01T00:00:00"/>
    <s v="017-2100-000"/>
    <s v="Food Sales"/>
    <n v="3697.1592000000001"/>
    <n v="0"/>
    <s v="Daily Sales Import"/>
    <n v="-3697.1592000000001"/>
    <n v="3697.1592000000001"/>
    <x v="1"/>
    <s v="2100"/>
    <s v="000"/>
    <x v="0"/>
    <x v="1"/>
  </r>
  <r>
    <d v="2012-10-01T00:00:00"/>
    <s v="017-2210-000"/>
    <s v="Liquor Sales"/>
    <n v="854.61599999999999"/>
    <n v="0"/>
    <s v="Daily Sales Import"/>
    <n v="-854.61599999999999"/>
    <n v="854.61599999999999"/>
    <x v="1"/>
    <s v="2210"/>
    <s v="000"/>
    <x v="0"/>
    <x v="1"/>
  </r>
  <r>
    <d v="2012-10-01T00:00:00"/>
    <s v="017-2220-000"/>
    <s v="Beer Sales"/>
    <n v="275.02499999999998"/>
    <n v="0"/>
    <s v="Daily Sales Import"/>
    <n v="-275.02499999999998"/>
    <n v="275.02499999999998"/>
    <x v="1"/>
    <s v="2220"/>
    <s v="000"/>
    <x v="0"/>
    <x v="1"/>
  </r>
  <r>
    <d v="2012-10-01T00:00:00"/>
    <s v="017-2230-000"/>
    <s v="Wine Sales"/>
    <n v="97.313999999999993"/>
    <n v="0"/>
    <s v="Daily Sales Import"/>
    <n v="-97.313999999999993"/>
    <n v="97.313999999999993"/>
    <x v="1"/>
    <s v="2230"/>
    <s v="000"/>
    <x v="0"/>
    <x v="1"/>
  </r>
  <r>
    <d v="2012-10-02T00:00:00"/>
    <s v="017-2100-000"/>
    <s v="Food Sales"/>
    <n v="5546.799"/>
    <n v="0"/>
    <s v="Daily Sales Import"/>
    <n v="-5546.799"/>
    <n v="5546.799"/>
    <x v="1"/>
    <s v="2100"/>
    <s v="000"/>
    <x v="0"/>
    <x v="1"/>
  </r>
  <r>
    <d v="2012-10-02T00:00:00"/>
    <s v="017-2210-000"/>
    <s v="Liquor Sales"/>
    <n v="869.10749999999996"/>
    <n v="0"/>
    <s v="Daily Sales Import"/>
    <n v="-869.10749999999996"/>
    <n v="869.10749999999996"/>
    <x v="1"/>
    <s v="2210"/>
    <s v="000"/>
    <x v="0"/>
    <x v="1"/>
  </r>
  <r>
    <d v="2012-10-02T00:00:00"/>
    <s v="017-2220-000"/>
    <s v="Beer Sales"/>
    <n v="329.35500000000002"/>
    <n v="0"/>
    <s v="Daily Sales Import"/>
    <n v="-329.35500000000002"/>
    <n v="329.35500000000002"/>
    <x v="1"/>
    <s v="2220"/>
    <s v="000"/>
    <x v="0"/>
    <x v="1"/>
  </r>
  <r>
    <d v="2012-10-02T00:00:00"/>
    <s v="017-2230-000"/>
    <s v="Wine Sales"/>
    <n v="209.03399999999999"/>
    <n v="0"/>
    <s v="Daily Sales Import"/>
    <n v="-209.03399999999999"/>
    <n v="209.03399999999999"/>
    <x v="1"/>
    <s v="2230"/>
    <s v="000"/>
    <x v="0"/>
    <x v="1"/>
  </r>
  <r>
    <d v="2012-10-03T00:00:00"/>
    <s v="017-2100-000"/>
    <s v="Food Sales"/>
    <n v="8181.4569999999994"/>
    <n v="0"/>
    <s v="Daily Sales Import"/>
    <n v="-8181.4569999999994"/>
    <n v="8181.4569999999994"/>
    <x v="1"/>
    <s v="2100"/>
    <s v="000"/>
    <x v="0"/>
    <x v="1"/>
  </r>
  <r>
    <d v="2012-10-03T00:00:00"/>
    <s v="017-2210-000"/>
    <s v="Liquor Sales"/>
    <n v="2081.3910000000001"/>
    <n v="0"/>
    <s v="Daily Sales Import"/>
    <n v="-2081.3910000000001"/>
    <n v="2081.3910000000001"/>
    <x v="1"/>
    <s v="2210"/>
    <s v="000"/>
    <x v="0"/>
    <x v="1"/>
  </r>
  <r>
    <d v="2012-10-03T00:00:00"/>
    <s v="017-2220-000"/>
    <s v="Beer Sales"/>
    <n v="324.35249999999996"/>
    <n v="0"/>
    <s v="Daily Sales Import"/>
    <n v="-324.35249999999996"/>
    <n v="324.35249999999996"/>
    <x v="1"/>
    <s v="2220"/>
    <s v="000"/>
    <x v="0"/>
    <x v="1"/>
  </r>
  <r>
    <d v="2012-10-03T00:00:00"/>
    <s v="017-2230-000"/>
    <s v="Wine Sales"/>
    <n v="114.899"/>
    <n v="0"/>
    <s v="Daily Sales Import"/>
    <n v="-114.899"/>
    <n v="114.899"/>
    <x v="1"/>
    <s v="2230"/>
    <s v="000"/>
    <x v="0"/>
    <x v="1"/>
  </r>
  <r>
    <d v="2012-10-04T00:00:00"/>
    <s v="017-2100-000"/>
    <s v="Food Sales"/>
    <n v="4040.1639999999998"/>
    <n v="0"/>
    <s v="Daily Sales Import"/>
    <n v="-4040.1639999999998"/>
    <n v="4040.1639999999998"/>
    <x v="1"/>
    <s v="2100"/>
    <s v="000"/>
    <x v="0"/>
    <x v="1"/>
  </r>
  <r>
    <d v="2012-10-04T00:00:00"/>
    <s v="017-2210-000"/>
    <s v="Liquor Sales"/>
    <n v="2343.2220000000002"/>
    <n v="0"/>
    <s v="Daily Sales Import"/>
    <n v="-2343.2220000000002"/>
    <n v="2343.2220000000002"/>
    <x v="1"/>
    <s v="2210"/>
    <s v="000"/>
    <x v="0"/>
    <x v="1"/>
  </r>
  <r>
    <d v="2012-10-04T00:00:00"/>
    <s v="017-2220-000"/>
    <s v="Beer Sales"/>
    <n v="580.58000000000004"/>
    <n v="0"/>
    <s v="Daily Sales Import"/>
    <n v="-580.58000000000004"/>
    <n v="580.58000000000004"/>
    <x v="1"/>
    <s v="2220"/>
    <s v="000"/>
    <x v="0"/>
    <x v="1"/>
  </r>
  <r>
    <d v="2012-10-04T00:00:00"/>
    <s v="017-2230-000"/>
    <s v="Wine Sales"/>
    <n v="83.386499999999984"/>
    <n v="0"/>
    <s v="Daily Sales Import"/>
    <n v="-83.386499999999984"/>
    <n v="83.386499999999984"/>
    <x v="1"/>
    <s v="2230"/>
    <s v="000"/>
    <x v="0"/>
    <x v="1"/>
  </r>
  <r>
    <d v="2012-10-05T00:00:00"/>
    <s v="017-2100-000"/>
    <s v="Food Sales"/>
    <n v="8425.0334999999995"/>
    <n v="0"/>
    <s v="Daily Sales Import"/>
    <n v="-8425.0334999999995"/>
    <n v="8425.0334999999995"/>
    <x v="1"/>
    <s v="2100"/>
    <s v="000"/>
    <x v="0"/>
    <x v="1"/>
  </r>
  <r>
    <d v="2012-10-05T00:00:00"/>
    <s v="017-2210-000"/>
    <s v="Liquor Sales"/>
    <n v="3455.5679999999998"/>
    <n v="0"/>
    <s v="Daily Sales Import"/>
    <n v="-3455.5679999999998"/>
    <n v="3455.5679999999998"/>
    <x v="1"/>
    <s v="2210"/>
    <s v="000"/>
    <x v="0"/>
    <x v="1"/>
  </r>
  <r>
    <d v="2012-10-05T00:00:00"/>
    <s v="017-2220-000"/>
    <s v="Beer Sales"/>
    <n v="438.1"/>
    <n v="0"/>
    <s v="Daily Sales Import"/>
    <n v="-438.1"/>
    <n v="438.1"/>
    <x v="1"/>
    <s v="2220"/>
    <s v="000"/>
    <x v="0"/>
    <x v="1"/>
  </r>
  <r>
    <d v="2012-10-05T00:00:00"/>
    <s v="017-2230-000"/>
    <s v="Wine Sales"/>
    <n v="121.045"/>
    <n v="0"/>
    <s v="Daily Sales Import"/>
    <n v="-121.045"/>
    <n v="121.045"/>
    <x v="1"/>
    <s v="2230"/>
    <s v="000"/>
    <x v="0"/>
    <x v="1"/>
  </r>
  <r>
    <d v="2012-10-06T00:00:00"/>
    <s v="017-2100-000"/>
    <s v="Food Sales"/>
    <n v="4601.7196000000004"/>
    <n v="0"/>
    <s v="Daily Sales Import"/>
    <n v="-4601.7196000000004"/>
    <n v="4601.7196000000004"/>
    <x v="1"/>
    <s v="2100"/>
    <s v="000"/>
    <x v="0"/>
    <x v="1"/>
  </r>
  <r>
    <d v="2012-10-06T00:00:00"/>
    <s v="017-2210-000"/>
    <s v="Liquor Sales"/>
    <n v="1738.8675000000001"/>
    <n v="0"/>
    <s v="Daily Sales Import"/>
    <n v="-1738.8675000000001"/>
    <n v="1738.8675000000001"/>
    <x v="1"/>
    <s v="2210"/>
    <s v="000"/>
    <x v="0"/>
    <x v="1"/>
  </r>
  <r>
    <d v="2012-10-06T00:00:00"/>
    <s v="017-2220-000"/>
    <s v="Beer Sales"/>
    <n v="179.41"/>
    <n v="0"/>
    <s v="Daily Sales Import"/>
    <n v="-179.41"/>
    <n v="179.41"/>
    <x v="1"/>
    <s v="2220"/>
    <s v="000"/>
    <x v="0"/>
    <x v="1"/>
  </r>
  <r>
    <d v="2012-10-06T00:00:00"/>
    <s v="017-2230-000"/>
    <s v="Wine Sales"/>
    <n v="97.350000000000009"/>
    <n v="0"/>
    <s v="Daily Sales Import"/>
    <n v="-97.350000000000009"/>
    <n v="97.350000000000009"/>
    <x v="1"/>
    <s v="2230"/>
    <s v="000"/>
    <x v="0"/>
    <x v="1"/>
  </r>
  <r>
    <d v="2012-10-07T00:00:00"/>
    <s v="017-2100-000"/>
    <s v="Food Sales"/>
    <n v="3448.5619999999999"/>
    <n v="0"/>
    <s v="Daily Sales Import"/>
    <n v="-3448.5619999999999"/>
    <n v="3448.5619999999999"/>
    <x v="1"/>
    <s v="2100"/>
    <s v="000"/>
    <x v="0"/>
    <x v="1"/>
  </r>
  <r>
    <d v="2012-10-07T00:00:00"/>
    <s v="017-2210-000"/>
    <s v="Liquor Sales"/>
    <n v="723.51499999999999"/>
    <n v="0"/>
    <s v="Daily Sales Import"/>
    <n v="-723.51499999999999"/>
    <n v="723.51499999999999"/>
    <x v="1"/>
    <s v="2210"/>
    <s v="000"/>
    <x v="0"/>
    <x v="1"/>
  </r>
  <r>
    <d v="2012-10-07T00:00:00"/>
    <s v="017-2220-000"/>
    <s v="Beer Sales"/>
    <n v="97.625000000000014"/>
    <n v="0"/>
    <s v="Daily Sales Import"/>
    <n v="-97.625000000000014"/>
    <n v="97.625000000000014"/>
    <x v="1"/>
    <s v="2220"/>
    <s v="000"/>
    <x v="0"/>
    <x v="1"/>
  </r>
  <r>
    <d v="2012-10-07T00:00:00"/>
    <s v="017-2230-000"/>
    <s v="Wine Sales"/>
    <n v="52.3215"/>
    <n v="0"/>
    <s v="Daily Sales Import"/>
    <n v="-52.3215"/>
    <n v="52.3215"/>
    <x v="1"/>
    <s v="2230"/>
    <s v="000"/>
    <x v="0"/>
    <x v="1"/>
  </r>
  <r>
    <d v="2012-10-01T00:00:00"/>
    <s v="018-2100-000"/>
    <s v="Food Sales"/>
    <n v="6011.7424999999994"/>
    <n v="0"/>
    <s v="Daily Sales Import"/>
    <n v="-6011.7424999999994"/>
    <n v="6011.7424999999994"/>
    <x v="2"/>
    <s v="2100"/>
    <s v="000"/>
    <x v="0"/>
    <x v="1"/>
  </r>
  <r>
    <d v="2012-10-01T00:00:00"/>
    <s v="018-2210-000"/>
    <s v="Liquor Sales"/>
    <n v="666.88249999999994"/>
    <n v="0"/>
    <s v="Daily Sales Import"/>
    <n v="-666.88249999999994"/>
    <n v="666.88249999999994"/>
    <x v="2"/>
    <s v="2210"/>
    <s v="000"/>
    <x v="0"/>
    <x v="1"/>
  </r>
  <r>
    <d v="2012-10-01T00:00:00"/>
    <s v="018-2220-000"/>
    <s v="Beer Sales"/>
    <n v="191.58999999999997"/>
    <n v="0"/>
    <s v="Daily Sales Import"/>
    <n v="-191.58999999999997"/>
    <n v="191.58999999999997"/>
    <x v="2"/>
    <s v="2220"/>
    <s v="000"/>
    <x v="0"/>
    <x v="1"/>
  </r>
  <r>
    <d v="2012-10-01T00:00:00"/>
    <s v="018-2230-000"/>
    <s v="Wine Sales"/>
    <n v="55.308"/>
    <n v="0"/>
    <s v="Daily Sales Import"/>
    <n v="-55.308"/>
    <n v="55.308"/>
    <x v="2"/>
    <s v="2230"/>
    <s v="000"/>
    <x v="0"/>
    <x v="1"/>
  </r>
  <r>
    <d v="2012-10-02T00:00:00"/>
    <s v="018-2100-000"/>
    <s v="Food Sales"/>
    <n v="5622.67"/>
    <n v="0"/>
    <s v="Daily Sales Import"/>
    <n v="-5622.67"/>
    <n v="5622.67"/>
    <x v="2"/>
    <s v="2100"/>
    <s v="000"/>
    <x v="0"/>
    <x v="1"/>
  </r>
  <r>
    <d v="2012-10-02T00:00:00"/>
    <s v="018-2210-000"/>
    <s v="Liquor Sales"/>
    <n v="747.28599999999994"/>
    <n v="0"/>
    <s v="Daily Sales Import"/>
    <n v="-747.28599999999994"/>
    <n v="747.28599999999994"/>
    <x v="2"/>
    <s v="2210"/>
    <s v="000"/>
    <x v="0"/>
    <x v="1"/>
  </r>
  <r>
    <d v="2012-10-02T00:00:00"/>
    <s v="018-2220-000"/>
    <s v="Beer Sales"/>
    <n v="113.52000000000001"/>
    <n v="0"/>
    <s v="Daily Sales Import"/>
    <n v="-113.52000000000001"/>
    <n v="113.52000000000001"/>
    <x v="2"/>
    <s v="2220"/>
    <s v="000"/>
    <x v="0"/>
    <x v="1"/>
  </r>
  <r>
    <d v="2012-10-02T00:00:00"/>
    <s v="018-2230-000"/>
    <s v="Wine Sales"/>
    <n v="37.088000000000001"/>
    <n v="0"/>
    <s v="Daily Sales Import"/>
    <n v="-37.088000000000001"/>
    <n v="37.088000000000001"/>
    <x v="2"/>
    <s v="2230"/>
    <s v="000"/>
    <x v="0"/>
    <x v="1"/>
  </r>
  <r>
    <d v="2012-10-03T00:00:00"/>
    <s v="018-2100-000"/>
    <s v="Food Sales"/>
    <n v="4561.9803000000002"/>
    <n v="0"/>
    <s v="Daily Sales Import"/>
    <n v="-4561.9803000000002"/>
    <n v="4561.9803000000002"/>
    <x v="2"/>
    <s v="2100"/>
    <s v="000"/>
    <x v="0"/>
    <x v="1"/>
  </r>
  <r>
    <d v="2012-10-03T00:00:00"/>
    <s v="018-2210-000"/>
    <s v="Liquor Sales"/>
    <n v="792.22499999999991"/>
    <n v="0"/>
    <s v="Daily Sales Import"/>
    <n v="-792.22499999999991"/>
    <n v="792.22499999999991"/>
    <x v="2"/>
    <s v="2210"/>
    <s v="000"/>
    <x v="0"/>
    <x v="1"/>
  </r>
  <r>
    <d v="2012-10-03T00:00:00"/>
    <s v="018-2220-000"/>
    <s v="Beer Sales"/>
    <n v="206.26650000000001"/>
    <n v="0"/>
    <s v="Daily Sales Import"/>
    <n v="-206.26650000000001"/>
    <n v="206.26650000000001"/>
    <x v="2"/>
    <s v="2220"/>
    <s v="000"/>
    <x v="0"/>
    <x v="1"/>
  </r>
  <r>
    <d v="2012-10-03T00:00:00"/>
    <s v="018-2230-000"/>
    <s v="Wine Sales"/>
    <n v="57.337500000000006"/>
    <n v="0"/>
    <s v="Daily Sales Import"/>
    <n v="-57.337500000000006"/>
    <n v="57.337500000000006"/>
    <x v="2"/>
    <s v="2230"/>
    <s v="000"/>
    <x v="0"/>
    <x v="1"/>
  </r>
  <r>
    <d v="2012-10-04T00:00:00"/>
    <s v="018-2100-000"/>
    <s v="Food Sales"/>
    <n v="5662.241"/>
    <n v="0"/>
    <s v="Daily Sales Import"/>
    <n v="-5662.241"/>
    <n v="5662.241"/>
    <x v="2"/>
    <s v="2100"/>
    <s v="000"/>
    <x v="0"/>
    <x v="1"/>
  </r>
  <r>
    <d v="2012-10-04T00:00:00"/>
    <s v="018-2210-000"/>
    <s v="Liquor Sales"/>
    <n v="1645.7324999999998"/>
    <n v="0"/>
    <s v="Daily Sales Import"/>
    <n v="-1645.7324999999998"/>
    <n v="1645.7324999999998"/>
    <x v="2"/>
    <s v="2210"/>
    <s v="000"/>
    <x v="0"/>
    <x v="1"/>
  </r>
  <r>
    <d v="2012-10-04T00:00:00"/>
    <s v="018-2220-000"/>
    <s v="Beer Sales"/>
    <n v="266.35550000000001"/>
    <n v="0"/>
    <s v="Daily Sales Import"/>
    <n v="-266.35550000000001"/>
    <n v="266.35550000000001"/>
    <x v="2"/>
    <s v="2220"/>
    <s v="000"/>
    <x v="0"/>
    <x v="1"/>
  </r>
  <r>
    <d v="2012-10-04T00:00:00"/>
    <s v="018-2230-000"/>
    <s v="Wine Sales"/>
    <n v="115.291"/>
    <n v="0"/>
    <s v="Daily Sales Import"/>
    <n v="-115.291"/>
    <n v="115.291"/>
    <x v="2"/>
    <s v="2230"/>
    <s v="000"/>
    <x v="0"/>
    <x v="1"/>
  </r>
  <r>
    <d v="2012-10-05T00:00:00"/>
    <s v="018-2100-000"/>
    <s v="Food Sales"/>
    <n v="17573.907499999998"/>
    <n v="0"/>
    <s v="Daily Sales Import"/>
    <n v="-17573.907499999998"/>
    <n v="17573.907499999998"/>
    <x v="2"/>
    <s v="2100"/>
    <s v="000"/>
    <x v="0"/>
    <x v="1"/>
  </r>
  <r>
    <d v="2012-10-05T00:00:00"/>
    <s v="018-2210-000"/>
    <s v="Liquor Sales"/>
    <n v="3983.3359999999998"/>
    <n v="0"/>
    <s v="Daily Sales Import"/>
    <n v="-3983.3359999999998"/>
    <n v="3983.3359999999998"/>
    <x v="2"/>
    <s v="2210"/>
    <s v="000"/>
    <x v="0"/>
    <x v="1"/>
  </r>
  <r>
    <d v="2012-10-05T00:00:00"/>
    <s v="018-2220-000"/>
    <s v="Beer Sales"/>
    <n v="905.74"/>
    <n v="0"/>
    <s v="Daily Sales Import"/>
    <n v="-905.74"/>
    <n v="905.74"/>
    <x v="2"/>
    <s v="2220"/>
    <s v="000"/>
    <x v="0"/>
    <x v="1"/>
  </r>
  <r>
    <d v="2012-10-05T00:00:00"/>
    <s v="018-2230-000"/>
    <s v="Wine Sales"/>
    <n v="169.0205"/>
    <n v="0"/>
    <s v="Daily Sales Import"/>
    <n v="-169.0205"/>
    <n v="169.0205"/>
    <x v="2"/>
    <s v="2230"/>
    <s v="000"/>
    <x v="0"/>
    <x v="1"/>
  </r>
  <r>
    <d v="2012-10-06T00:00:00"/>
    <s v="018-2100-000"/>
    <s v="Food Sales"/>
    <n v="16624.012499999997"/>
    <n v="0"/>
    <s v="Daily Sales Import"/>
    <n v="-16624.012499999997"/>
    <n v="16624.012499999997"/>
    <x v="2"/>
    <s v="2100"/>
    <s v="000"/>
    <x v="0"/>
    <x v="1"/>
  </r>
  <r>
    <d v="2012-10-06T00:00:00"/>
    <s v="018-2210-000"/>
    <s v="Liquor Sales"/>
    <n v="3710.9440000000004"/>
    <n v="0"/>
    <s v="Daily Sales Import"/>
    <n v="-3710.9440000000004"/>
    <n v="3710.9440000000004"/>
    <x v="2"/>
    <s v="2210"/>
    <s v="000"/>
    <x v="0"/>
    <x v="1"/>
  </r>
  <r>
    <d v="2012-10-06T00:00:00"/>
    <s v="018-2220-000"/>
    <s v="Beer Sales"/>
    <n v="753.24600000000009"/>
    <n v="0"/>
    <s v="Daily Sales Import"/>
    <n v="-753.24600000000009"/>
    <n v="753.24600000000009"/>
    <x v="2"/>
    <s v="2220"/>
    <s v="000"/>
    <x v="0"/>
    <x v="1"/>
  </r>
  <r>
    <d v="2012-10-06T00:00:00"/>
    <s v="018-2230-000"/>
    <s v="Wine Sales"/>
    <n v="75.451499999999996"/>
    <n v="0"/>
    <s v="Daily Sales Import"/>
    <n v="-75.451499999999996"/>
    <n v="75.451499999999996"/>
    <x v="2"/>
    <s v="2230"/>
    <s v="000"/>
    <x v="0"/>
    <x v="1"/>
  </r>
  <r>
    <d v="2012-10-07T00:00:00"/>
    <s v="018-2100-000"/>
    <s v="Food Sales"/>
    <n v="12814.387499999999"/>
    <n v="0"/>
    <s v="Daily Sales Import"/>
    <n v="-12814.387499999999"/>
    <n v="12814.387499999999"/>
    <x v="2"/>
    <s v="2100"/>
    <s v="000"/>
    <x v="0"/>
    <x v="1"/>
  </r>
  <r>
    <d v="2012-10-07T00:00:00"/>
    <s v="018-2210-000"/>
    <s v="Liquor Sales"/>
    <n v="1751.7954999999999"/>
    <n v="0"/>
    <s v="Daily Sales Import"/>
    <n v="-1751.7954999999999"/>
    <n v="1751.7954999999999"/>
    <x v="2"/>
    <s v="2210"/>
    <s v="000"/>
    <x v="0"/>
    <x v="1"/>
  </r>
  <r>
    <d v="2012-10-07T00:00:00"/>
    <s v="018-2220-000"/>
    <s v="Beer Sales"/>
    <n v="424.61549999999994"/>
    <n v="0"/>
    <s v="Daily Sales Import"/>
    <n v="-424.61549999999994"/>
    <n v="424.61549999999994"/>
    <x v="2"/>
    <s v="2220"/>
    <s v="000"/>
    <x v="0"/>
    <x v="1"/>
  </r>
  <r>
    <d v="2012-10-07T00:00:00"/>
    <s v="018-2230-000"/>
    <s v="Wine Sales"/>
    <n v="71.339500000000001"/>
    <n v="0"/>
    <s v="Daily Sales Import"/>
    <n v="-71.339500000000001"/>
    <n v="71.339500000000001"/>
    <x v="2"/>
    <s v="2230"/>
    <s v="000"/>
    <x v="0"/>
    <x v="1"/>
  </r>
  <r>
    <d v="2012-10-08T00:00:00"/>
    <s v="016-2100-000"/>
    <s v="Food Sales"/>
    <n v="2444.9328"/>
    <n v="0"/>
    <s v="Daily Sales Import"/>
    <n v="-2444.9328"/>
    <n v="2444.9328"/>
    <x v="0"/>
    <s v="2100"/>
    <s v="000"/>
    <x v="0"/>
    <x v="1"/>
  </r>
  <r>
    <d v="2012-10-08T00:00:00"/>
    <s v="016-2210-000"/>
    <s v="Liquor Sales"/>
    <n v="434.25599999999997"/>
    <n v="0"/>
    <s v="Daily Sales Import"/>
    <n v="-434.25599999999997"/>
    <n v="434.25599999999997"/>
    <x v="0"/>
    <s v="2210"/>
    <s v="000"/>
    <x v="0"/>
    <x v="1"/>
  </r>
  <r>
    <d v="2012-10-08T00:00:00"/>
    <s v="016-2220-000"/>
    <s v="Beer Sales"/>
    <n v="94.275000000000006"/>
    <n v="0"/>
    <s v="Daily Sales Import"/>
    <n v="-94.275000000000006"/>
    <n v="94.275000000000006"/>
    <x v="0"/>
    <s v="2220"/>
    <s v="000"/>
    <x v="0"/>
    <x v="1"/>
  </r>
  <r>
    <d v="2012-10-08T00:00:00"/>
    <s v="016-2230-000"/>
    <s v="Wine Sales"/>
    <n v="12.65"/>
    <n v="0"/>
    <s v="Daily Sales Import"/>
    <n v="-12.65"/>
    <n v="12.65"/>
    <x v="0"/>
    <s v="2230"/>
    <s v="000"/>
    <x v="0"/>
    <x v="1"/>
  </r>
  <r>
    <d v="2012-10-09T00:00:00"/>
    <s v="016-2100-000"/>
    <s v="Food Sales"/>
    <n v="4916.0748000000003"/>
    <n v="0"/>
    <s v="Daily Sales Import"/>
    <n v="-4916.0748000000003"/>
    <n v="4916.0748000000003"/>
    <x v="0"/>
    <s v="2100"/>
    <s v="000"/>
    <x v="0"/>
    <x v="1"/>
  </r>
  <r>
    <d v="2012-10-09T00:00:00"/>
    <s v="016-2210-000"/>
    <s v="Liquor Sales"/>
    <n v="1910.1270000000002"/>
    <n v="0"/>
    <s v="Daily Sales Import"/>
    <n v="-1910.1270000000002"/>
    <n v="1910.1270000000002"/>
    <x v="0"/>
    <s v="2210"/>
    <s v="000"/>
    <x v="0"/>
    <x v="1"/>
  </r>
  <r>
    <d v="2012-10-09T00:00:00"/>
    <s v="016-2220-000"/>
    <s v="Beer Sales"/>
    <n v="758.44799999999998"/>
    <n v="0"/>
    <s v="Daily Sales Import"/>
    <n v="-758.44799999999998"/>
    <n v="758.44799999999998"/>
    <x v="0"/>
    <s v="2220"/>
    <s v="000"/>
    <x v="0"/>
    <x v="1"/>
  </r>
  <r>
    <d v="2012-10-09T00:00:00"/>
    <s v="016-2230-000"/>
    <s v="Wine Sales"/>
    <n v="148.35999999999999"/>
    <n v="0"/>
    <s v="Daily Sales Import"/>
    <n v="-148.35999999999999"/>
    <n v="148.35999999999999"/>
    <x v="0"/>
    <s v="2230"/>
    <s v="000"/>
    <x v="0"/>
    <x v="1"/>
  </r>
  <r>
    <d v="2012-10-10T00:00:00"/>
    <s v="016-2100-000"/>
    <s v="Food Sales"/>
    <n v="1459.89"/>
    <n v="0"/>
    <s v="Daily Sales Import"/>
    <n v="-1459.89"/>
    <n v="1459.89"/>
    <x v="0"/>
    <s v="2100"/>
    <s v="000"/>
    <x v="0"/>
    <x v="1"/>
  </r>
  <r>
    <d v="2012-10-10T00:00:00"/>
    <s v="016-2210-000"/>
    <s v="Liquor Sales"/>
    <n v="407.68000000000006"/>
    <n v="0"/>
    <s v="Daily Sales Import"/>
    <n v="-407.68000000000006"/>
    <n v="407.68000000000006"/>
    <x v="0"/>
    <s v="2210"/>
    <s v="000"/>
    <x v="0"/>
    <x v="1"/>
  </r>
  <r>
    <d v="2012-10-10T00:00:00"/>
    <s v="016-2220-000"/>
    <s v="Beer Sales"/>
    <n v="89.131500000000003"/>
    <n v="0"/>
    <s v="Daily Sales Import"/>
    <n v="-89.131500000000003"/>
    <n v="89.131500000000003"/>
    <x v="0"/>
    <s v="2220"/>
    <s v="000"/>
    <x v="0"/>
    <x v="1"/>
  </r>
  <r>
    <d v="2012-10-10T00:00:00"/>
    <s v="016-2230-000"/>
    <s v="Wine Sales"/>
    <n v="50.274000000000001"/>
    <n v="0"/>
    <s v="Daily Sales Import"/>
    <n v="-50.274000000000001"/>
    <n v="50.274000000000001"/>
    <x v="0"/>
    <s v="2230"/>
    <s v="000"/>
    <x v="0"/>
    <x v="1"/>
  </r>
  <r>
    <d v="2012-10-11T00:00:00"/>
    <s v="016-2100-000"/>
    <s v="Food Sales"/>
    <n v="3727.3049999999998"/>
    <n v="0"/>
    <s v="Daily Sales Import"/>
    <n v="-3727.3049999999998"/>
    <n v="3727.3049999999998"/>
    <x v="0"/>
    <s v="2100"/>
    <s v="000"/>
    <x v="0"/>
    <x v="1"/>
  </r>
  <r>
    <d v="2012-10-11T00:00:00"/>
    <s v="016-2210-000"/>
    <s v="Liquor Sales"/>
    <n v="620.23500000000001"/>
    <n v="0"/>
    <s v="Daily Sales Import"/>
    <n v="-620.23500000000001"/>
    <n v="620.23500000000001"/>
    <x v="0"/>
    <s v="2210"/>
    <s v="000"/>
    <x v="0"/>
    <x v="1"/>
  </r>
  <r>
    <d v="2012-10-11T00:00:00"/>
    <s v="016-2220-000"/>
    <s v="Beer Sales"/>
    <n v="193.67100000000002"/>
    <n v="0"/>
    <s v="Daily Sales Import"/>
    <n v="-193.67100000000002"/>
    <n v="193.67100000000002"/>
    <x v="0"/>
    <s v="2220"/>
    <s v="000"/>
    <x v="0"/>
    <x v="1"/>
  </r>
  <r>
    <d v="2012-10-11T00:00:00"/>
    <s v="016-2230-000"/>
    <s v="Wine Sales"/>
    <n v="76.53"/>
    <n v="0"/>
    <s v="Daily Sales Import"/>
    <n v="-76.53"/>
    <n v="76.53"/>
    <x v="0"/>
    <s v="2230"/>
    <s v="000"/>
    <x v="0"/>
    <x v="1"/>
  </r>
  <r>
    <d v="2012-10-12T00:00:00"/>
    <s v="016-2100-000"/>
    <s v="Food Sales"/>
    <n v="5405.6280999999999"/>
    <n v="0"/>
    <s v="Daily Sales Import"/>
    <n v="-5405.6280999999999"/>
    <n v="5405.6280999999999"/>
    <x v="0"/>
    <s v="2100"/>
    <s v="000"/>
    <x v="0"/>
    <x v="1"/>
  </r>
  <r>
    <d v="2012-10-12T00:00:00"/>
    <s v="016-2210-000"/>
    <s v="Liquor Sales"/>
    <n v="1398.4336000000001"/>
    <n v="0"/>
    <s v="Daily Sales Import"/>
    <n v="-1398.4336000000001"/>
    <n v="1398.4336000000001"/>
    <x v="0"/>
    <s v="2210"/>
    <s v="000"/>
    <x v="0"/>
    <x v="1"/>
  </r>
  <r>
    <d v="2012-10-12T00:00:00"/>
    <s v="016-2220-000"/>
    <s v="Beer Sales"/>
    <n v="223.452"/>
    <n v="0"/>
    <s v="Daily Sales Import"/>
    <n v="-223.452"/>
    <n v="223.452"/>
    <x v="0"/>
    <s v="2220"/>
    <s v="000"/>
    <x v="0"/>
    <x v="1"/>
  </r>
  <r>
    <d v="2012-10-12T00:00:00"/>
    <s v="016-2230-000"/>
    <s v="Wine Sales"/>
    <n v="84.725999999999999"/>
    <n v="0"/>
    <s v="Daily Sales Import"/>
    <n v="-84.725999999999999"/>
    <n v="84.725999999999999"/>
    <x v="0"/>
    <s v="2230"/>
    <s v="000"/>
    <x v="0"/>
    <x v="1"/>
  </r>
  <r>
    <d v="2012-10-13T00:00:00"/>
    <s v="016-2100-000"/>
    <s v="Food Sales"/>
    <n v="7468.7217999999993"/>
    <n v="0"/>
    <s v="Daily Sales Import"/>
    <n v="-7468.7217999999993"/>
    <n v="7468.7217999999993"/>
    <x v="0"/>
    <s v="2100"/>
    <s v="000"/>
    <x v="0"/>
    <x v="1"/>
  </r>
  <r>
    <d v="2012-10-13T00:00:00"/>
    <s v="016-2210-000"/>
    <s v="Liquor Sales"/>
    <n v="2433.527"/>
    <n v="0"/>
    <s v="Daily Sales Import"/>
    <n v="-2433.527"/>
    <n v="2433.527"/>
    <x v="0"/>
    <s v="2210"/>
    <s v="000"/>
    <x v="0"/>
    <x v="1"/>
  </r>
  <r>
    <d v="2012-10-13T00:00:00"/>
    <s v="016-2220-000"/>
    <s v="Beer Sales"/>
    <n v="371.85300000000001"/>
    <n v="0"/>
    <s v="Daily Sales Import"/>
    <n v="-371.85300000000001"/>
    <n v="371.85300000000001"/>
    <x v="0"/>
    <s v="2220"/>
    <s v="000"/>
    <x v="0"/>
    <x v="1"/>
  </r>
  <r>
    <d v="2012-10-13T00:00:00"/>
    <s v="016-2230-000"/>
    <s v="Wine Sales"/>
    <n v="111.315"/>
    <n v="0"/>
    <s v="Daily Sales Import"/>
    <n v="-111.315"/>
    <n v="111.315"/>
    <x v="0"/>
    <s v="2230"/>
    <s v="000"/>
    <x v="0"/>
    <x v="1"/>
  </r>
  <r>
    <d v="2012-10-14T00:00:00"/>
    <s v="016-2100-000"/>
    <s v="Food Sales"/>
    <n v="4212.2025999999996"/>
    <n v="0"/>
    <s v="Daily Sales Import"/>
    <n v="-4212.2025999999996"/>
    <n v="4212.2025999999996"/>
    <x v="0"/>
    <s v="2100"/>
    <s v="000"/>
    <x v="0"/>
    <x v="1"/>
  </r>
  <r>
    <d v="2012-10-14T00:00:00"/>
    <s v="016-2210-000"/>
    <s v="Liquor Sales"/>
    <n v="562.25"/>
    <n v="0"/>
    <s v="Daily Sales Import"/>
    <n v="-562.25"/>
    <n v="562.25"/>
    <x v="0"/>
    <s v="2210"/>
    <s v="000"/>
    <x v="0"/>
    <x v="1"/>
  </r>
  <r>
    <d v="2012-10-14T00:00:00"/>
    <s v="016-2220-000"/>
    <s v="Beer Sales"/>
    <n v="275.18400000000003"/>
    <n v="0"/>
    <s v="Daily Sales Import"/>
    <n v="-275.18400000000003"/>
    <n v="275.18400000000003"/>
    <x v="0"/>
    <s v="2220"/>
    <s v="000"/>
    <x v="0"/>
    <x v="1"/>
  </r>
  <r>
    <d v="2012-10-14T00:00:00"/>
    <s v="016-2230-000"/>
    <s v="Wine Sales"/>
    <n v="87.184999999999988"/>
    <n v="0"/>
    <s v="Daily Sales Import"/>
    <n v="-87.184999999999988"/>
    <n v="87.184999999999988"/>
    <x v="0"/>
    <s v="2230"/>
    <s v="000"/>
    <x v="0"/>
    <x v="1"/>
  </r>
  <r>
    <d v="2012-10-08T00:00:00"/>
    <s v="017-2100-000"/>
    <s v="Food Sales"/>
    <n v="4060.1917999999996"/>
    <n v="0"/>
    <s v="Daily Sales Import"/>
    <n v="-4060.1917999999996"/>
    <n v="4060.1917999999996"/>
    <x v="1"/>
    <s v="2100"/>
    <s v="000"/>
    <x v="0"/>
    <x v="1"/>
  </r>
  <r>
    <d v="2012-10-08T00:00:00"/>
    <s v="017-2210-000"/>
    <s v="Liquor Sales"/>
    <n v="984.84750000000008"/>
    <n v="0"/>
    <s v="Daily Sales Import"/>
    <n v="-984.84750000000008"/>
    <n v="984.84750000000008"/>
    <x v="1"/>
    <s v="2210"/>
    <s v="000"/>
    <x v="0"/>
    <x v="1"/>
  </r>
  <r>
    <d v="2012-10-08T00:00:00"/>
    <s v="017-2220-000"/>
    <s v="Beer Sales"/>
    <n v="282.7"/>
    <n v="0"/>
    <s v="Daily Sales Import"/>
    <n v="-282.7"/>
    <n v="282.7"/>
    <x v="1"/>
    <s v="2220"/>
    <s v="000"/>
    <x v="0"/>
    <x v="1"/>
  </r>
  <r>
    <d v="2012-10-08T00:00:00"/>
    <s v="017-2230-000"/>
    <s v="Wine Sales"/>
    <n v="66.33"/>
    <n v="0"/>
    <s v="Daily Sales Import"/>
    <n v="-66.33"/>
    <n v="66.33"/>
    <x v="1"/>
    <s v="2230"/>
    <s v="000"/>
    <x v="0"/>
    <x v="1"/>
  </r>
  <r>
    <d v="2012-10-09T00:00:00"/>
    <s v="017-2100-000"/>
    <s v="Food Sales"/>
    <n v="5335.0159999999996"/>
    <n v="0"/>
    <s v="Daily Sales Import"/>
    <n v="-5335.0159999999996"/>
    <n v="5335.0159999999996"/>
    <x v="1"/>
    <s v="2100"/>
    <s v="000"/>
    <x v="0"/>
    <x v="1"/>
  </r>
  <r>
    <d v="2012-10-09T00:00:00"/>
    <s v="017-2210-000"/>
    <s v="Liquor Sales"/>
    <n v="1119.79"/>
    <n v="0"/>
    <s v="Daily Sales Import"/>
    <n v="-1119.79"/>
    <n v="1119.79"/>
    <x v="1"/>
    <s v="2210"/>
    <s v="000"/>
    <x v="0"/>
    <x v="1"/>
  </r>
  <r>
    <d v="2012-10-09T00:00:00"/>
    <s v="017-2220-000"/>
    <s v="Beer Sales"/>
    <n v="549.56000000000006"/>
    <n v="0"/>
    <s v="Daily Sales Import"/>
    <n v="-549.56000000000006"/>
    <n v="549.56000000000006"/>
    <x v="1"/>
    <s v="2220"/>
    <s v="000"/>
    <x v="0"/>
    <x v="1"/>
  </r>
  <r>
    <d v="2012-10-09T00:00:00"/>
    <s v="017-2230-000"/>
    <s v="Wine Sales"/>
    <n v="88.124499999999998"/>
    <n v="0"/>
    <s v="Daily Sales Import"/>
    <n v="-88.124499999999998"/>
    <n v="88.124499999999998"/>
    <x v="1"/>
    <s v="2230"/>
    <s v="000"/>
    <x v="0"/>
    <x v="1"/>
  </r>
  <r>
    <d v="2012-10-10T00:00:00"/>
    <s v="017-2100-000"/>
    <s v="Food Sales"/>
    <n v="5368.3874999999998"/>
    <n v="0"/>
    <s v="Daily Sales Import"/>
    <n v="-5368.3874999999998"/>
    <n v="5368.3874999999998"/>
    <x v="1"/>
    <s v="2100"/>
    <s v="000"/>
    <x v="0"/>
    <x v="1"/>
  </r>
  <r>
    <d v="2012-10-10T00:00:00"/>
    <s v="017-2210-000"/>
    <s v="Liquor Sales"/>
    <n v="1455.45"/>
    <n v="0"/>
    <s v="Daily Sales Import"/>
    <n v="-1455.45"/>
    <n v="1455.45"/>
    <x v="1"/>
    <s v="2210"/>
    <s v="000"/>
    <x v="0"/>
    <x v="1"/>
  </r>
  <r>
    <d v="2012-10-10T00:00:00"/>
    <s v="017-2220-000"/>
    <s v="Beer Sales"/>
    <n v="231.03749999999999"/>
    <n v="0"/>
    <s v="Daily Sales Import"/>
    <n v="-231.03749999999999"/>
    <n v="231.03749999999999"/>
    <x v="1"/>
    <s v="2220"/>
    <s v="000"/>
    <x v="0"/>
    <x v="1"/>
  </r>
  <r>
    <d v="2012-10-10T00:00:00"/>
    <s v="017-2230-000"/>
    <s v="Wine Sales"/>
    <n v="107.916"/>
    <n v="0"/>
    <s v="Daily Sales Import"/>
    <n v="-107.916"/>
    <n v="107.916"/>
    <x v="1"/>
    <s v="2230"/>
    <s v="000"/>
    <x v="0"/>
    <x v="1"/>
  </r>
  <r>
    <d v="2012-10-11T00:00:00"/>
    <s v="017-2100-000"/>
    <s v="Food Sales"/>
    <n v="7429.2605999999996"/>
    <n v="0"/>
    <s v="Daily Sales Import"/>
    <n v="-7429.2605999999996"/>
    <n v="7429.2605999999996"/>
    <x v="1"/>
    <s v="2100"/>
    <s v="000"/>
    <x v="0"/>
    <x v="1"/>
  </r>
  <r>
    <d v="2012-10-11T00:00:00"/>
    <s v="017-2210-000"/>
    <s v="Liquor Sales"/>
    <n v="1395.8989999999999"/>
    <n v="0"/>
    <s v="Daily Sales Import"/>
    <n v="-1395.8989999999999"/>
    <n v="1395.8989999999999"/>
    <x v="1"/>
    <s v="2210"/>
    <s v="000"/>
    <x v="0"/>
    <x v="1"/>
  </r>
  <r>
    <d v="2012-10-11T00:00:00"/>
    <s v="017-2220-000"/>
    <s v="Beer Sales"/>
    <n v="556.29"/>
    <n v="0"/>
    <s v="Daily Sales Import"/>
    <n v="-556.29"/>
    <n v="556.29"/>
    <x v="1"/>
    <s v="2220"/>
    <s v="000"/>
    <x v="0"/>
    <x v="1"/>
  </r>
  <r>
    <d v="2012-10-11T00:00:00"/>
    <s v="017-2230-000"/>
    <s v="Wine Sales"/>
    <n v="168.4325"/>
    <n v="0"/>
    <s v="Daily Sales Import"/>
    <n v="-168.4325"/>
    <n v="168.4325"/>
    <x v="1"/>
    <s v="2230"/>
    <s v="000"/>
    <x v="0"/>
    <x v="1"/>
  </r>
  <r>
    <d v="2012-10-12T00:00:00"/>
    <s v="017-2100-000"/>
    <s v="Food Sales"/>
    <n v="10137.665999999999"/>
    <n v="0"/>
    <s v="Daily Sales Import"/>
    <n v="-10137.665999999999"/>
    <n v="10137.665999999999"/>
    <x v="1"/>
    <s v="2100"/>
    <s v="000"/>
    <x v="0"/>
    <x v="1"/>
  </r>
  <r>
    <d v="2012-10-12T00:00:00"/>
    <s v="017-2210-000"/>
    <s v="Liquor Sales"/>
    <n v="3085.29"/>
    <n v="0"/>
    <s v="Daily Sales Import"/>
    <n v="-3085.29"/>
    <n v="3085.29"/>
    <x v="1"/>
    <s v="2210"/>
    <s v="000"/>
    <x v="0"/>
    <x v="1"/>
  </r>
  <r>
    <d v="2012-10-12T00:00:00"/>
    <s v="017-2220-000"/>
    <s v="Beer Sales"/>
    <n v="875.76"/>
    <n v="0"/>
    <s v="Daily Sales Import"/>
    <n v="-875.76"/>
    <n v="875.76"/>
    <x v="1"/>
    <s v="2220"/>
    <s v="000"/>
    <x v="0"/>
    <x v="1"/>
  </r>
  <r>
    <d v="2012-10-12T00:00:00"/>
    <s v="017-2230-000"/>
    <s v="Wine Sales"/>
    <n v="129.05549999999999"/>
    <n v="0"/>
    <s v="Daily Sales Import"/>
    <n v="-129.05549999999999"/>
    <n v="129.05549999999999"/>
    <x v="1"/>
    <s v="2230"/>
    <s v="000"/>
    <x v="0"/>
    <x v="1"/>
  </r>
  <r>
    <d v="2012-10-13T00:00:00"/>
    <s v="017-2100-000"/>
    <s v="Food Sales"/>
    <n v="8260.5779999999995"/>
    <n v="0"/>
    <s v="Daily Sales Import"/>
    <n v="-8260.5779999999995"/>
    <n v="8260.5779999999995"/>
    <x v="1"/>
    <s v="2100"/>
    <s v="000"/>
    <x v="0"/>
    <x v="1"/>
  </r>
  <r>
    <d v="2012-10-13T00:00:00"/>
    <s v="017-2210-000"/>
    <s v="Liquor Sales"/>
    <n v="1924.3125"/>
    <n v="0"/>
    <s v="Daily Sales Import"/>
    <n v="-1924.3125"/>
    <n v="1924.3125"/>
    <x v="1"/>
    <s v="2210"/>
    <s v="000"/>
    <x v="0"/>
    <x v="1"/>
  </r>
  <r>
    <d v="2012-10-13T00:00:00"/>
    <s v="017-2220-000"/>
    <s v="Beer Sales"/>
    <n v="429.97500000000002"/>
    <n v="0"/>
    <s v="Daily Sales Import"/>
    <n v="-429.97500000000002"/>
    <n v="429.97500000000002"/>
    <x v="1"/>
    <s v="2220"/>
    <s v="000"/>
    <x v="0"/>
    <x v="1"/>
  </r>
  <r>
    <d v="2012-10-13T00:00:00"/>
    <s v="017-2230-000"/>
    <s v="Wine Sales"/>
    <n v="74.036999999999992"/>
    <n v="0"/>
    <s v="Daily Sales Import"/>
    <n v="-74.036999999999992"/>
    <n v="74.036999999999992"/>
    <x v="1"/>
    <s v="2230"/>
    <s v="000"/>
    <x v="0"/>
    <x v="1"/>
  </r>
  <r>
    <d v="2012-10-14T00:00:00"/>
    <s v="017-2100-000"/>
    <s v="Food Sales"/>
    <n v="4520.6559999999999"/>
    <n v="0"/>
    <s v="Daily Sales Import"/>
    <n v="-4520.6559999999999"/>
    <n v="4520.6559999999999"/>
    <x v="1"/>
    <s v="2100"/>
    <s v="000"/>
    <x v="0"/>
    <x v="1"/>
  </r>
  <r>
    <d v="2012-10-14T00:00:00"/>
    <s v="017-2210-000"/>
    <s v="Liquor Sales"/>
    <n v="1360.4955"/>
    <n v="0"/>
    <s v="Daily Sales Import"/>
    <n v="-1360.4955"/>
    <n v="1360.4955"/>
    <x v="1"/>
    <s v="2210"/>
    <s v="000"/>
    <x v="0"/>
    <x v="1"/>
  </r>
  <r>
    <d v="2012-10-14T00:00:00"/>
    <s v="017-2220-000"/>
    <s v="Beer Sales"/>
    <n v="229.0275"/>
    <n v="0"/>
    <s v="Daily Sales Import"/>
    <n v="-229.0275"/>
    <n v="229.0275"/>
    <x v="1"/>
    <s v="2220"/>
    <s v="000"/>
    <x v="0"/>
    <x v="1"/>
  </r>
  <r>
    <d v="2012-10-14T00:00:00"/>
    <s v="017-2230-000"/>
    <s v="Wine Sales"/>
    <n v="41.343999999999994"/>
    <n v="0"/>
    <s v="Daily Sales Import"/>
    <n v="-41.343999999999994"/>
    <n v="41.343999999999994"/>
    <x v="1"/>
    <s v="2230"/>
    <s v="000"/>
    <x v="0"/>
    <x v="1"/>
  </r>
  <r>
    <d v="2012-10-08T00:00:00"/>
    <s v="018-2100-000"/>
    <s v="Food Sales"/>
    <n v="8288.0867999999991"/>
    <n v="0"/>
    <s v="Daily Sales Import"/>
    <n v="-8288.0867999999991"/>
    <n v="8288.0867999999991"/>
    <x v="2"/>
    <s v="2100"/>
    <s v="000"/>
    <x v="0"/>
    <x v="1"/>
  </r>
  <r>
    <d v="2012-10-08T00:00:00"/>
    <s v="018-2210-000"/>
    <s v="Liquor Sales"/>
    <n v="869.35750000000007"/>
    <n v="0"/>
    <s v="Daily Sales Import"/>
    <n v="-869.35750000000007"/>
    <n v="869.35750000000007"/>
    <x v="2"/>
    <s v="2210"/>
    <s v="000"/>
    <x v="0"/>
    <x v="1"/>
  </r>
  <r>
    <d v="2012-10-08T00:00:00"/>
    <s v="018-2220-000"/>
    <s v="Beer Sales"/>
    <n v="337.54500000000002"/>
    <n v="0"/>
    <s v="Daily Sales Import"/>
    <n v="-337.54500000000002"/>
    <n v="337.54500000000002"/>
    <x v="2"/>
    <s v="2220"/>
    <s v="000"/>
    <x v="0"/>
    <x v="1"/>
  </r>
  <r>
    <d v="2012-10-08T00:00:00"/>
    <s v="018-2230-000"/>
    <s v="Wine Sales"/>
    <n v="118.66800000000001"/>
    <n v="0"/>
    <s v="Daily Sales Import"/>
    <n v="-118.66800000000001"/>
    <n v="118.66800000000001"/>
    <x v="2"/>
    <s v="2230"/>
    <s v="000"/>
    <x v="0"/>
    <x v="1"/>
  </r>
  <r>
    <d v="2012-10-09T00:00:00"/>
    <s v="018-2100-000"/>
    <s v="Food Sales"/>
    <n v="2689.3845999999999"/>
    <n v="0"/>
    <s v="Daily Sales Import"/>
    <n v="-2689.3845999999999"/>
    <n v="2689.3845999999999"/>
    <x v="2"/>
    <s v="2100"/>
    <s v="000"/>
    <x v="0"/>
    <x v="1"/>
  </r>
  <r>
    <d v="2012-10-09T00:00:00"/>
    <s v="018-2210-000"/>
    <s v="Liquor Sales"/>
    <n v="515.16800000000001"/>
    <n v="0"/>
    <s v="Daily Sales Import"/>
    <n v="-515.16800000000001"/>
    <n v="515.16800000000001"/>
    <x v="2"/>
    <s v="2210"/>
    <s v="000"/>
    <x v="0"/>
    <x v="1"/>
  </r>
  <r>
    <d v="2012-10-09T00:00:00"/>
    <s v="018-2220-000"/>
    <s v="Beer Sales"/>
    <n v="136.36699999999999"/>
    <n v="0"/>
    <s v="Daily Sales Import"/>
    <n v="-136.36699999999999"/>
    <n v="136.36699999999999"/>
    <x v="2"/>
    <s v="2220"/>
    <s v="000"/>
    <x v="0"/>
    <x v="1"/>
  </r>
  <r>
    <d v="2012-10-09T00:00:00"/>
    <s v="018-2230-000"/>
    <s v="Wine Sales"/>
    <n v="70.347499999999997"/>
    <n v="0"/>
    <s v="Daily Sales Import"/>
    <n v="-70.347499999999997"/>
    <n v="70.347499999999997"/>
    <x v="2"/>
    <s v="2230"/>
    <s v="000"/>
    <x v="0"/>
    <x v="1"/>
  </r>
  <r>
    <d v="2012-10-10T00:00:00"/>
    <s v="018-2100-000"/>
    <s v="Food Sales"/>
    <n v="3915.2339999999999"/>
    <n v="0"/>
    <s v="Daily Sales Import"/>
    <n v="-3915.2339999999999"/>
    <n v="3915.2339999999999"/>
    <x v="2"/>
    <s v="2100"/>
    <s v="000"/>
    <x v="0"/>
    <x v="1"/>
  </r>
  <r>
    <d v="2012-10-10T00:00:00"/>
    <s v="018-2210-000"/>
    <s v="Liquor Sales"/>
    <n v="808.95150000000001"/>
    <n v="0"/>
    <s v="Daily Sales Import"/>
    <n v="-808.95150000000001"/>
    <n v="808.95150000000001"/>
    <x v="2"/>
    <s v="2210"/>
    <s v="000"/>
    <x v="0"/>
    <x v="1"/>
  </r>
  <r>
    <d v="2012-10-10T00:00:00"/>
    <s v="018-2220-000"/>
    <s v="Beer Sales"/>
    <n v="378.23099999999999"/>
    <n v="0"/>
    <s v="Daily Sales Import"/>
    <n v="-378.23099999999999"/>
    <n v="378.23099999999999"/>
    <x v="2"/>
    <s v="2220"/>
    <s v="000"/>
    <x v="0"/>
    <x v="1"/>
  </r>
  <r>
    <d v="2012-10-10T00:00:00"/>
    <s v="018-2230-000"/>
    <s v="Wine Sales"/>
    <n v="82.075000000000003"/>
    <n v="0"/>
    <s v="Daily Sales Import"/>
    <n v="-82.075000000000003"/>
    <n v="82.075000000000003"/>
    <x v="2"/>
    <s v="2230"/>
    <s v="000"/>
    <x v="0"/>
    <x v="1"/>
  </r>
  <r>
    <d v="2012-10-11T00:00:00"/>
    <s v="018-2100-000"/>
    <s v="Food Sales"/>
    <n v="4283.3114999999998"/>
    <n v="0"/>
    <s v="Daily Sales Import"/>
    <n v="-4283.3114999999998"/>
    <n v="4283.3114999999998"/>
    <x v="2"/>
    <s v="2100"/>
    <s v="000"/>
    <x v="0"/>
    <x v="1"/>
  </r>
  <r>
    <d v="2012-10-11T00:00:00"/>
    <s v="018-2210-000"/>
    <s v="Liquor Sales"/>
    <n v="1432.8975"/>
    <n v="0"/>
    <s v="Daily Sales Import"/>
    <n v="-1432.8975"/>
    <n v="1432.8975"/>
    <x v="2"/>
    <s v="2210"/>
    <s v="000"/>
    <x v="0"/>
    <x v="1"/>
  </r>
  <r>
    <d v="2012-10-11T00:00:00"/>
    <s v="018-2220-000"/>
    <s v="Beer Sales"/>
    <n v="273.67699999999996"/>
    <n v="0"/>
    <s v="Daily Sales Import"/>
    <n v="-273.67699999999996"/>
    <n v="273.67699999999996"/>
    <x v="2"/>
    <s v="2220"/>
    <s v="000"/>
    <x v="0"/>
    <x v="1"/>
  </r>
  <r>
    <d v="2012-10-11T00:00:00"/>
    <s v="018-2230-000"/>
    <s v="Wine Sales"/>
    <n v="57.052999999999997"/>
    <n v="0"/>
    <s v="Daily Sales Import"/>
    <n v="-57.052999999999997"/>
    <n v="57.052999999999997"/>
    <x v="2"/>
    <s v="2230"/>
    <s v="000"/>
    <x v="0"/>
    <x v="1"/>
  </r>
  <r>
    <d v="2012-10-12T00:00:00"/>
    <s v="018-2100-000"/>
    <s v="Food Sales"/>
    <n v="8486.52"/>
    <n v="0"/>
    <s v="Daily Sales Import"/>
    <n v="-8486.52"/>
    <n v="8486.52"/>
    <x v="2"/>
    <s v="2100"/>
    <s v="000"/>
    <x v="0"/>
    <x v="1"/>
  </r>
  <r>
    <d v="2012-10-12T00:00:00"/>
    <s v="018-2210-000"/>
    <s v="Liquor Sales"/>
    <n v="3509.2309999999998"/>
    <n v="0"/>
    <s v="Daily Sales Import"/>
    <n v="-3509.2309999999998"/>
    <n v="3509.2309999999998"/>
    <x v="2"/>
    <s v="2210"/>
    <s v="000"/>
    <x v="0"/>
    <x v="1"/>
  </r>
  <r>
    <d v="2012-10-12T00:00:00"/>
    <s v="018-2220-000"/>
    <s v="Beer Sales"/>
    <n v="816.72249999999997"/>
    <n v="0"/>
    <s v="Daily Sales Import"/>
    <n v="-816.72249999999997"/>
    <n v="816.72249999999997"/>
    <x v="2"/>
    <s v="2220"/>
    <s v="000"/>
    <x v="0"/>
    <x v="1"/>
  </r>
  <r>
    <d v="2012-10-12T00:00:00"/>
    <s v="018-2230-000"/>
    <s v="Wine Sales"/>
    <n v="224.08600000000001"/>
    <n v="0"/>
    <s v="Daily Sales Import"/>
    <n v="-224.08600000000001"/>
    <n v="224.08600000000001"/>
    <x v="2"/>
    <s v="2230"/>
    <s v="000"/>
    <x v="0"/>
    <x v="1"/>
  </r>
  <r>
    <d v="2012-10-13T00:00:00"/>
    <s v="018-2100-000"/>
    <s v="Food Sales"/>
    <n v="16831.700199999999"/>
    <n v="0"/>
    <s v="Daily Sales Import"/>
    <n v="-16831.700199999999"/>
    <n v="16831.700199999999"/>
    <x v="2"/>
    <s v="2100"/>
    <s v="000"/>
    <x v="0"/>
    <x v="1"/>
  </r>
  <r>
    <d v="2012-10-13T00:00:00"/>
    <s v="018-2210-000"/>
    <s v="Liquor Sales"/>
    <n v="3900.0285000000003"/>
    <n v="0"/>
    <s v="Daily Sales Import"/>
    <n v="-3900.0285000000003"/>
    <n v="3900.0285000000003"/>
    <x v="2"/>
    <s v="2210"/>
    <s v="000"/>
    <x v="0"/>
    <x v="1"/>
  </r>
  <r>
    <d v="2012-10-13T00:00:00"/>
    <s v="018-2220-000"/>
    <s v="Beer Sales"/>
    <n v="900.06399999999996"/>
    <n v="0"/>
    <s v="Daily Sales Import"/>
    <n v="-900.06399999999996"/>
    <n v="900.06399999999996"/>
    <x v="2"/>
    <s v="2220"/>
    <s v="000"/>
    <x v="0"/>
    <x v="1"/>
  </r>
  <r>
    <d v="2012-10-13T00:00:00"/>
    <s v="018-2230-000"/>
    <s v="Wine Sales"/>
    <n v="217.828"/>
    <n v="0"/>
    <s v="Daily Sales Import"/>
    <n v="-217.828"/>
    <n v="217.828"/>
    <x v="2"/>
    <s v="2230"/>
    <s v="000"/>
    <x v="0"/>
    <x v="1"/>
  </r>
  <r>
    <d v="2012-10-14T00:00:00"/>
    <s v="018-2100-000"/>
    <s v="Food Sales"/>
    <n v="8946.7178000000004"/>
    <n v="0"/>
    <s v="Daily Sales Import"/>
    <n v="-8946.7178000000004"/>
    <n v="8946.7178000000004"/>
    <x v="2"/>
    <s v="2100"/>
    <s v="000"/>
    <x v="0"/>
    <x v="1"/>
  </r>
  <r>
    <d v="2012-10-14T00:00:00"/>
    <s v="018-2210-000"/>
    <s v="Liquor Sales"/>
    <n v="1172.9280000000001"/>
    <n v="0"/>
    <s v="Daily Sales Import"/>
    <n v="-1172.9280000000001"/>
    <n v="1172.9280000000001"/>
    <x v="2"/>
    <s v="2210"/>
    <s v="000"/>
    <x v="0"/>
    <x v="1"/>
  </r>
  <r>
    <d v="2012-10-14T00:00:00"/>
    <s v="018-2220-000"/>
    <s v="Beer Sales"/>
    <n v="476.37900000000002"/>
    <n v="0"/>
    <s v="Daily Sales Import"/>
    <n v="-476.37900000000002"/>
    <n v="476.37900000000002"/>
    <x v="2"/>
    <s v="2220"/>
    <s v="000"/>
    <x v="0"/>
    <x v="1"/>
  </r>
  <r>
    <d v="2012-10-14T00:00:00"/>
    <s v="018-2230-000"/>
    <s v="Wine Sales"/>
    <n v="107.157"/>
    <n v="0"/>
    <s v="Daily Sales Import"/>
    <n v="-107.157"/>
    <n v="107.157"/>
    <x v="2"/>
    <s v="2230"/>
    <s v="000"/>
    <x v="0"/>
    <x v="1"/>
  </r>
  <r>
    <d v="2012-10-15T00:00:00"/>
    <s v="016-2100-000"/>
    <s v="Food Sales"/>
    <n v="2683.7975000000001"/>
    <n v="0"/>
    <s v="Daily Sales Import"/>
    <n v="-2683.7975000000001"/>
    <n v="2683.7975000000001"/>
    <x v="0"/>
    <s v="2100"/>
    <s v="000"/>
    <x v="0"/>
    <x v="1"/>
  </r>
  <r>
    <d v="2012-10-15T00:00:00"/>
    <s v="016-2210-000"/>
    <s v="Liquor Sales"/>
    <n v="436.41399999999993"/>
    <n v="0"/>
    <s v="Daily Sales Import"/>
    <n v="-436.41399999999993"/>
    <n v="436.41399999999993"/>
    <x v="0"/>
    <s v="2210"/>
    <s v="000"/>
    <x v="0"/>
    <x v="1"/>
  </r>
  <r>
    <d v="2012-10-15T00:00:00"/>
    <s v="016-2220-000"/>
    <s v="Beer Sales"/>
    <n v="41.616000000000007"/>
    <n v="0"/>
    <s v="Daily Sales Import"/>
    <n v="-41.616000000000007"/>
    <n v="41.616000000000007"/>
    <x v="0"/>
    <s v="2220"/>
    <s v="000"/>
    <x v="0"/>
    <x v="1"/>
  </r>
  <r>
    <d v="2012-10-15T00:00:00"/>
    <s v="016-2230-000"/>
    <s v="Wine Sales"/>
    <n v="20.21"/>
    <n v="0"/>
    <s v="Daily Sales Import"/>
    <n v="-20.21"/>
    <n v="20.21"/>
    <x v="0"/>
    <s v="2230"/>
    <s v="000"/>
    <x v="0"/>
    <x v="1"/>
  </r>
  <r>
    <d v="2012-10-16T00:00:00"/>
    <s v="016-2100-000"/>
    <s v="Food Sales"/>
    <n v="6166.2600999999995"/>
    <n v="0"/>
    <s v="Daily Sales Import"/>
    <n v="-6166.2600999999995"/>
    <n v="6166.2600999999995"/>
    <x v="0"/>
    <s v="2100"/>
    <s v="000"/>
    <x v="0"/>
    <x v="1"/>
  </r>
  <r>
    <d v="2012-10-16T00:00:00"/>
    <s v="016-2210-000"/>
    <s v="Liquor Sales"/>
    <n v="1885.7280000000001"/>
    <n v="0"/>
    <s v="Daily Sales Import"/>
    <n v="-1885.7280000000001"/>
    <n v="1885.7280000000001"/>
    <x v="0"/>
    <s v="2210"/>
    <s v="000"/>
    <x v="0"/>
    <x v="1"/>
  </r>
  <r>
    <d v="2012-10-16T00:00:00"/>
    <s v="016-2220-000"/>
    <s v="Beer Sales"/>
    <n v="725.86800000000005"/>
    <n v="0"/>
    <s v="Daily Sales Import"/>
    <n v="-725.86800000000005"/>
    <n v="725.86800000000005"/>
    <x v="0"/>
    <s v="2220"/>
    <s v="000"/>
    <x v="0"/>
    <x v="1"/>
  </r>
  <r>
    <d v="2012-10-16T00:00:00"/>
    <s v="016-2230-000"/>
    <s v="Wine Sales"/>
    <n v="159.36249999999998"/>
    <n v="0"/>
    <s v="Daily Sales Import"/>
    <n v="-159.36249999999998"/>
    <n v="159.36249999999998"/>
    <x v="0"/>
    <s v="2230"/>
    <s v="000"/>
    <x v="0"/>
    <x v="1"/>
  </r>
  <r>
    <d v="2012-10-17T00:00:00"/>
    <s v="016-2100-000"/>
    <s v="Food Sales"/>
    <n v="2129.3579999999997"/>
    <n v="0"/>
    <s v="Daily Sales Import"/>
    <n v="-2129.3579999999997"/>
    <n v="2129.3579999999997"/>
    <x v="0"/>
    <s v="2100"/>
    <s v="000"/>
    <x v="0"/>
    <x v="1"/>
  </r>
  <r>
    <d v="2012-10-17T00:00:00"/>
    <s v="016-2210-000"/>
    <s v="Liquor Sales"/>
    <n v="661.96199999999999"/>
    <n v="0"/>
    <s v="Daily Sales Import"/>
    <n v="-661.96199999999999"/>
    <n v="661.96199999999999"/>
    <x v="0"/>
    <s v="2210"/>
    <s v="000"/>
    <x v="0"/>
    <x v="1"/>
  </r>
  <r>
    <d v="2012-10-17T00:00:00"/>
    <s v="016-2220-000"/>
    <s v="Beer Sales"/>
    <n v="57.686999999999998"/>
    <n v="0"/>
    <s v="Daily Sales Import"/>
    <n v="-57.686999999999998"/>
    <n v="57.686999999999998"/>
    <x v="0"/>
    <s v="2220"/>
    <s v="000"/>
    <x v="0"/>
    <x v="1"/>
  </r>
  <r>
    <d v="2012-10-17T00:00:00"/>
    <s v="016-2230-000"/>
    <s v="Wine Sales"/>
    <n v="27.545500000000001"/>
    <n v="0"/>
    <s v="Daily Sales Import"/>
    <n v="-27.545500000000001"/>
    <n v="27.545500000000001"/>
    <x v="0"/>
    <s v="2230"/>
    <s v="000"/>
    <x v="0"/>
    <x v="1"/>
  </r>
  <r>
    <d v="2012-10-18T00:00:00"/>
    <s v="016-2100-000"/>
    <s v="Food Sales"/>
    <n v="3024.1323000000002"/>
    <n v="0"/>
    <s v="Daily Sales Import"/>
    <n v="-3024.1323000000002"/>
    <n v="3024.1323000000002"/>
    <x v="0"/>
    <s v="2100"/>
    <s v="000"/>
    <x v="0"/>
    <x v="1"/>
  </r>
  <r>
    <d v="2012-10-18T00:00:00"/>
    <s v="016-2210-000"/>
    <s v="Liquor Sales"/>
    <n v="867.3895"/>
    <n v="0"/>
    <s v="Daily Sales Import"/>
    <n v="-867.3895"/>
    <n v="867.3895"/>
    <x v="0"/>
    <s v="2210"/>
    <s v="000"/>
    <x v="0"/>
    <x v="1"/>
  </r>
  <r>
    <d v="2012-10-18T00:00:00"/>
    <s v="016-2220-000"/>
    <s v="Beer Sales"/>
    <n v="247.68449999999999"/>
    <n v="0"/>
    <s v="Daily Sales Import"/>
    <n v="-247.68449999999999"/>
    <n v="247.68449999999999"/>
    <x v="0"/>
    <s v="2220"/>
    <s v="000"/>
    <x v="0"/>
    <x v="1"/>
  </r>
  <r>
    <d v="2012-10-18T00:00:00"/>
    <s v="016-2230-000"/>
    <s v="Wine Sales"/>
    <n v="104.96550000000001"/>
    <n v="0"/>
    <s v="Daily Sales Import"/>
    <n v="-104.96550000000001"/>
    <n v="104.96550000000001"/>
    <x v="0"/>
    <s v="2230"/>
    <s v="000"/>
    <x v="0"/>
    <x v="1"/>
  </r>
  <r>
    <d v="2012-10-19T00:00:00"/>
    <s v="016-2100-000"/>
    <s v="Food Sales"/>
    <n v="6309.3029999999999"/>
    <n v="0"/>
    <s v="Daily Sales Import"/>
    <n v="-6309.3029999999999"/>
    <n v="6309.3029999999999"/>
    <x v="0"/>
    <s v="2100"/>
    <s v="000"/>
    <x v="0"/>
    <x v="1"/>
  </r>
  <r>
    <d v="2012-10-19T00:00:00"/>
    <s v="016-2210-000"/>
    <s v="Liquor Sales"/>
    <n v="1561.7619999999999"/>
    <n v="0"/>
    <s v="Daily Sales Import"/>
    <n v="-1561.7619999999999"/>
    <n v="1561.7619999999999"/>
    <x v="0"/>
    <s v="2210"/>
    <s v="000"/>
    <x v="0"/>
    <x v="1"/>
  </r>
  <r>
    <d v="2012-10-19T00:00:00"/>
    <s v="016-2220-000"/>
    <s v="Beer Sales"/>
    <n v="246.53400000000002"/>
    <n v="0"/>
    <s v="Daily Sales Import"/>
    <n v="-246.53400000000002"/>
    <n v="246.53400000000002"/>
    <x v="0"/>
    <s v="2220"/>
    <s v="000"/>
    <x v="0"/>
    <x v="1"/>
  </r>
  <r>
    <d v="2012-10-19T00:00:00"/>
    <s v="016-2230-000"/>
    <s v="Wine Sales"/>
    <n v="149.226"/>
    <n v="0"/>
    <s v="Daily Sales Import"/>
    <n v="-149.226"/>
    <n v="149.226"/>
    <x v="0"/>
    <s v="2230"/>
    <s v="000"/>
    <x v="0"/>
    <x v="1"/>
  </r>
  <r>
    <d v="2012-10-20T00:00:00"/>
    <s v="016-2100-000"/>
    <s v="Food Sales"/>
    <n v="6841.2671999999993"/>
    <n v="0"/>
    <s v="Daily Sales Import"/>
    <n v="-6841.2671999999993"/>
    <n v="6841.2671999999993"/>
    <x v="0"/>
    <s v="2100"/>
    <s v="000"/>
    <x v="0"/>
    <x v="1"/>
  </r>
  <r>
    <d v="2012-10-20T00:00:00"/>
    <s v="016-2210-000"/>
    <s v="Liquor Sales"/>
    <n v="2900.1219999999998"/>
    <n v="0"/>
    <s v="Daily Sales Import"/>
    <n v="-2900.1219999999998"/>
    <n v="2900.1219999999998"/>
    <x v="0"/>
    <s v="2210"/>
    <s v="000"/>
    <x v="0"/>
    <x v="1"/>
  </r>
  <r>
    <d v="2012-10-20T00:00:00"/>
    <s v="016-2220-000"/>
    <s v="Beer Sales"/>
    <n v="554.93550000000005"/>
    <n v="0"/>
    <s v="Daily Sales Import"/>
    <n v="-554.93550000000005"/>
    <n v="554.93550000000005"/>
    <x v="0"/>
    <s v="2220"/>
    <s v="000"/>
    <x v="0"/>
    <x v="1"/>
  </r>
  <r>
    <d v="2012-10-20T00:00:00"/>
    <s v="016-2230-000"/>
    <s v="Wine Sales"/>
    <n v="147.68"/>
    <n v="0"/>
    <s v="Daily Sales Import"/>
    <n v="-147.68"/>
    <n v="147.68"/>
    <x v="0"/>
    <s v="2230"/>
    <s v="000"/>
    <x v="0"/>
    <x v="1"/>
  </r>
  <r>
    <d v="2012-10-21T00:00:00"/>
    <s v="016-2100-000"/>
    <s v="Food Sales"/>
    <n v="7020.2179999999998"/>
    <n v="0"/>
    <s v="Daily Sales Import"/>
    <n v="-7020.2179999999998"/>
    <n v="7020.2179999999998"/>
    <x v="0"/>
    <s v="2100"/>
    <s v="000"/>
    <x v="0"/>
    <x v="1"/>
  </r>
  <r>
    <d v="2012-10-21T00:00:00"/>
    <s v="016-2210-000"/>
    <s v="Liquor Sales"/>
    <n v="2295.6660000000002"/>
    <n v="0"/>
    <s v="Daily Sales Import"/>
    <n v="-2295.6660000000002"/>
    <n v="2295.6660000000002"/>
    <x v="0"/>
    <s v="2210"/>
    <s v="000"/>
    <x v="0"/>
    <x v="1"/>
  </r>
  <r>
    <d v="2012-10-21T00:00:00"/>
    <s v="016-2220-000"/>
    <s v="Beer Sales"/>
    <n v="666.52160000000003"/>
    <n v="0"/>
    <s v="Daily Sales Import"/>
    <n v="-666.52160000000003"/>
    <n v="666.52160000000003"/>
    <x v="0"/>
    <s v="2220"/>
    <s v="000"/>
    <x v="0"/>
    <x v="1"/>
  </r>
  <r>
    <d v="2012-10-21T00:00:00"/>
    <s v="016-2230-000"/>
    <s v="Wine Sales"/>
    <n v="347.02949999999998"/>
    <n v="0"/>
    <s v="Daily Sales Import"/>
    <n v="-347.02949999999998"/>
    <n v="347.02949999999998"/>
    <x v="0"/>
    <s v="2230"/>
    <s v="000"/>
    <x v="0"/>
    <x v="1"/>
  </r>
  <r>
    <d v="2012-10-15T00:00:00"/>
    <s v="017-2100-000"/>
    <s v="Food Sales"/>
    <n v="5878.2809000000007"/>
    <n v="0"/>
    <s v="Daily Sales Import"/>
    <n v="-5878.2809000000007"/>
    <n v="5878.2809000000007"/>
    <x v="1"/>
    <s v="2100"/>
    <s v="000"/>
    <x v="0"/>
    <x v="1"/>
  </r>
  <r>
    <d v="2012-10-15T00:00:00"/>
    <s v="017-2210-000"/>
    <s v="Liquor Sales"/>
    <n v="1247.3875"/>
    <n v="0"/>
    <s v="Daily Sales Import"/>
    <n v="-1247.3875"/>
    <n v="1247.3875"/>
    <x v="1"/>
    <s v="2210"/>
    <s v="000"/>
    <x v="0"/>
    <x v="1"/>
  </r>
  <r>
    <d v="2012-10-15T00:00:00"/>
    <s v="017-2220-000"/>
    <s v="Beer Sales"/>
    <n v="261.9375"/>
    <n v="0"/>
    <s v="Daily Sales Import"/>
    <n v="-261.9375"/>
    <n v="261.9375"/>
    <x v="1"/>
    <s v="2220"/>
    <s v="000"/>
    <x v="0"/>
    <x v="1"/>
  </r>
  <r>
    <d v="2012-10-15T00:00:00"/>
    <s v="017-2230-000"/>
    <s v="Wine Sales"/>
    <n v="59.04"/>
    <n v="0"/>
    <s v="Daily Sales Import"/>
    <n v="-59.04"/>
    <n v="59.04"/>
    <x v="1"/>
    <s v="2230"/>
    <s v="000"/>
    <x v="0"/>
    <x v="1"/>
  </r>
  <r>
    <d v="2012-10-16T00:00:00"/>
    <s v="017-2100-000"/>
    <s v="Food Sales"/>
    <n v="6336.4895999999999"/>
    <n v="0"/>
    <s v="Daily Sales Import"/>
    <n v="-6336.4895999999999"/>
    <n v="6336.4895999999999"/>
    <x v="1"/>
    <s v="2100"/>
    <s v="000"/>
    <x v="0"/>
    <x v="1"/>
  </r>
  <r>
    <d v="2012-10-16T00:00:00"/>
    <s v="017-2210-000"/>
    <s v="Liquor Sales"/>
    <n v="1538.454"/>
    <n v="0"/>
    <s v="Daily Sales Import"/>
    <n v="-1538.454"/>
    <n v="1538.454"/>
    <x v="1"/>
    <s v="2210"/>
    <s v="000"/>
    <x v="0"/>
    <x v="1"/>
  </r>
  <r>
    <d v="2012-10-16T00:00:00"/>
    <s v="017-2220-000"/>
    <s v="Beer Sales"/>
    <n v="508.755"/>
    <n v="0"/>
    <s v="Daily Sales Import"/>
    <n v="-508.755"/>
    <n v="508.755"/>
    <x v="1"/>
    <s v="2220"/>
    <s v="000"/>
    <x v="0"/>
    <x v="1"/>
  </r>
  <r>
    <d v="2012-10-16T00:00:00"/>
    <s v="017-2230-000"/>
    <s v="Wine Sales"/>
    <n v="146.23400000000001"/>
    <n v="0"/>
    <s v="Daily Sales Import"/>
    <n v="-146.23400000000001"/>
    <n v="146.23400000000001"/>
    <x v="1"/>
    <s v="2230"/>
    <s v="000"/>
    <x v="0"/>
    <x v="1"/>
  </r>
  <r>
    <d v="2012-10-17T00:00:00"/>
    <s v="017-2100-000"/>
    <s v="Food Sales"/>
    <n v="5186.7288000000008"/>
    <n v="0"/>
    <s v="Daily Sales Import"/>
    <n v="-5186.7288000000008"/>
    <n v="5186.7288000000008"/>
    <x v="1"/>
    <s v="2100"/>
    <s v="000"/>
    <x v="0"/>
    <x v="1"/>
  </r>
  <r>
    <d v="2012-10-17T00:00:00"/>
    <s v="017-2210-000"/>
    <s v="Liquor Sales"/>
    <n v="2111.4690000000001"/>
    <n v="0"/>
    <s v="Daily Sales Import"/>
    <n v="-2111.4690000000001"/>
    <n v="2111.4690000000001"/>
    <x v="1"/>
    <s v="2210"/>
    <s v="000"/>
    <x v="0"/>
    <x v="1"/>
  </r>
  <r>
    <d v="2012-10-17T00:00:00"/>
    <s v="017-2220-000"/>
    <s v="Beer Sales"/>
    <n v="694.47"/>
    <n v="0"/>
    <s v="Daily Sales Import"/>
    <n v="-694.47"/>
    <n v="694.47"/>
    <x v="1"/>
    <s v="2220"/>
    <s v="000"/>
    <x v="0"/>
    <x v="1"/>
  </r>
  <r>
    <d v="2012-10-17T00:00:00"/>
    <s v="017-2230-000"/>
    <s v="Wine Sales"/>
    <n v="98.56"/>
    <n v="0"/>
    <s v="Daily Sales Import"/>
    <n v="-98.56"/>
    <n v="98.56"/>
    <x v="1"/>
    <s v="2230"/>
    <s v="000"/>
    <x v="0"/>
    <x v="1"/>
  </r>
  <r>
    <d v="2012-10-18T00:00:00"/>
    <s v="017-2100-000"/>
    <s v="Food Sales"/>
    <n v="4048.1000999999997"/>
    <n v="0"/>
    <s v="Daily Sales Import"/>
    <n v="-4048.1000999999997"/>
    <n v="4048.1000999999997"/>
    <x v="1"/>
    <s v="2100"/>
    <s v="000"/>
    <x v="0"/>
    <x v="1"/>
  </r>
  <r>
    <d v="2012-10-18T00:00:00"/>
    <s v="017-2210-000"/>
    <s v="Liquor Sales"/>
    <n v="1661.5830000000001"/>
    <n v="0"/>
    <s v="Daily Sales Import"/>
    <n v="-1661.5830000000001"/>
    <n v="1661.5830000000001"/>
    <x v="1"/>
    <s v="2210"/>
    <s v="000"/>
    <x v="0"/>
    <x v="1"/>
  </r>
  <r>
    <d v="2012-10-18T00:00:00"/>
    <s v="017-2220-000"/>
    <s v="Beer Sales"/>
    <n v="536.35500000000002"/>
    <n v="0"/>
    <s v="Daily Sales Import"/>
    <n v="-536.35500000000002"/>
    <n v="536.35500000000002"/>
    <x v="1"/>
    <s v="2220"/>
    <s v="000"/>
    <x v="0"/>
    <x v="1"/>
  </r>
  <r>
    <d v="2012-10-18T00:00:00"/>
    <s v="017-2230-000"/>
    <s v="Wine Sales"/>
    <n v="61.24"/>
    <n v="0"/>
    <s v="Daily Sales Import"/>
    <n v="-61.24"/>
    <n v="61.24"/>
    <x v="1"/>
    <s v="2230"/>
    <s v="000"/>
    <x v="0"/>
    <x v="1"/>
  </r>
  <r>
    <d v="2012-10-19T00:00:00"/>
    <s v="017-2100-000"/>
    <s v="Food Sales"/>
    <n v="6507.2766000000001"/>
    <n v="0"/>
    <s v="Daily Sales Import"/>
    <n v="-6507.2766000000001"/>
    <n v="6507.2766000000001"/>
    <x v="1"/>
    <s v="2100"/>
    <s v="000"/>
    <x v="0"/>
    <x v="1"/>
  </r>
  <r>
    <d v="2012-10-19T00:00:00"/>
    <s v="017-2210-000"/>
    <s v="Liquor Sales"/>
    <n v="2402.846"/>
    <n v="0"/>
    <s v="Daily Sales Import"/>
    <n v="-2402.846"/>
    <n v="2402.846"/>
    <x v="1"/>
    <s v="2210"/>
    <s v="000"/>
    <x v="0"/>
    <x v="1"/>
  </r>
  <r>
    <d v="2012-10-19T00:00:00"/>
    <s v="017-2220-000"/>
    <s v="Beer Sales"/>
    <n v="542.97249999999997"/>
    <n v="0"/>
    <s v="Daily Sales Import"/>
    <n v="-542.97249999999997"/>
    <n v="542.97249999999997"/>
    <x v="1"/>
    <s v="2220"/>
    <s v="000"/>
    <x v="0"/>
    <x v="1"/>
  </r>
  <r>
    <d v="2012-10-19T00:00:00"/>
    <s v="017-2230-000"/>
    <s v="Wine Sales"/>
    <n v="235.85450000000003"/>
    <n v="0"/>
    <s v="Daily Sales Import"/>
    <n v="-235.85450000000003"/>
    <n v="235.85450000000003"/>
    <x v="1"/>
    <s v="2230"/>
    <s v="000"/>
    <x v="0"/>
    <x v="1"/>
  </r>
  <r>
    <d v="2012-10-20T00:00:00"/>
    <s v="017-2100-000"/>
    <s v="Food Sales"/>
    <n v="6208.243199999999"/>
    <n v="0"/>
    <s v="Daily Sales Import"/>
    <n v="-6208.243199999999"/>
    <n v="6208.243199999999"/>
    <x v="1"/>
    <s v="2100"/>
    <s v="000"/>
    <x v="0"/>
    <x v="1"/>
  </r>
  <r>
    <d v="2012-10-20T00:00:00"/>
    <s v="017-2210-000"/>
    <s v="Liquor Sales"/>
    <n v="1504.1730000000002"/>
    <n v="0"/>
    <s v="Daily Sales Import"/>
    <n v="-1504.1730000000002"/>
    <n v="1504.1730000000002"/>
    <x v="1"/>
    <s v="2210"/>
    <s v="000"/>
    <x v="0"/>
    <x v="1"/>
  </r>
  <r>
    <d v="2012-10-20T00:00:00"/>
    <s v="017-2220-000"/>
    <s v="Beer Sales"/>
    <n v="235.84"/>
    <n v="0"/>
    <s v="Daily Sales Import"/>
    <n v="-235.84"/>
    <n v="235.84"/>
    <x v="1"/>
    <s v="2220"/>
    <s v="000"/>
    <x v="0"/>
    <x v="1"/>
  </r>
  <r>
    <d v="2012-10-20T00:00:00"/>
    <s v="017-2230-000"/>
    <s v="Wine Sales"/>
    <n v="133.08300000000003"/>
    <n v="0"/>
    <s v="Daily Sales Import"/>
    <n v="-133.08300000000003"/>
    <n v="133.08300000000003"/>
    <x v="1"/>
    <s v="2230"/>
    <s v="000"/>
    <x v="0"/>
    <x v="1"/>
  </r>
  <r>
    <d v="2012-10-21T00:00:00"/>
    <s v="017-2100-000"/>
    <s v="Food Sales"/>
    <n v="3664.6170000000002"/>
    <n v="0"/>
    <s v="Daily Sales Import"/>
    <n v="-3664.6170000000002"/>
    <n v="3664.6170000000002"/>
    <x v="1"/>
    <s v="2100"/>
    <s v="000"/>
    <x v="0"/>
    <x v="1"/>
  </r>
  <r>
    <d v="2012-10-21T00:00:00"/>
    <s v="017-2210-000"/>
    <s v="Liquor Sales"/>
    <n v="1036.0580000000002"/>
    <n v="0"/>
    <s v="Daily Sales Import"/>
    <n v="-1036.0580000000002"/>
    <n v="1036.0580000000002"/>
    <x v="1"/>
    <s v="2210"/>
    <s v="000"/>
    <x v="0"/>
    <x v="1"/>
  </r>
  <r>
    <d v="2012-10-21T00:00:00"/>
    <s v="017-2220-000"/>
    <s v="Beer Sales"/>
    <n v="74.260000000000005"/>
    <n v="0"/>
    <s v="Daily Sales Import"/>
    <n v="-74.260000000000005"/>
    <n v="74.260000000000005"/>
    <x v="1"/>
    <s v="2220"/>
    <s v="000"/>
    <x v="0"/>
    <x v="1"/>
  </r>
  <r>
    <d v="2012-10-21T00:00:00"/>
    <s v="017-2230-000"/>
    <s v="Wine Sales"/>
    <n v="31.187999999999999"/>
    <n v="0"/>
    <s v="Daily Sales Import"/>
    <n v="-31.187999999999999"/>
    <n v="31.187999999999999"/>
    <x v="1"/>
    <s v="2230"/>
    <s v="000"/>
    <x v="0"/>
    <x v="1"/>
  </r>
  <r>
    <d v="2012-10-15T00:00:00"/>
    <s v="018-2100-000"/>
    <s v="Food Sales"/>
    <n v="4971.3498"/>
    <n v="0"/>
    <s v="Daily Sales Import"/>
    <n v="-4971.3498"/>
    <n v="4971.3498"/>
    <x v="2"/>
    <s v="2100"/>
    <s v="000"/>
    <x v="0"/>
    <x v="1"/>
  </r>
  <r>
    <d v="2012-10-15T00:00:00"/>
    <s v="018-2210-000"/>
    <s v="Liquor Sales"/>
    <n v="687.39799999999991"/>
    <n v="0"/>
    <s v="Daily Sales Import"/>
    <n v="-687.39799999999991"/>
    <n v="687.39799999999991"/>
    <x v="2"/>
    <s v="2210"/>
    <s v="000"/>
    <x v="0"/>
    <x v="1"/>
  </r>
  <r>
    <d v="2012-10-15T00:00:00"/>
    <s v="018-2220-000"/>
    <s v="Beer Sales"/>
    <n v="107.11800000000001"/>
    <n v="0"/>
    <s v="Daily Sales Import"/>
    <n v="-107.11800000000001"/>
    <n v="107.11800000000001"/>
    <x v="2"/>
    <s v="2220"/>
    <s v="000"/>
    <x v="0"/>
    <x v="1"/>
  </r>
  <r>
    <d v="2012-10-15T00:00:00"/>
    <s v="018-2230-000"/>
    <s v="Wine Sales"/>
    <n v="10.322999999999999"/>
    <n v="0"/>
    <s v="Daily Sales Import"/>
    <n v="-10.322999999999999"/>
    <n v="10.322999999999999"/>
    <x v="2"/>
    <s v="2230"/>
    <s v="000"/>
    <x v="0"/>
    <x v="1"/>
  </r>
  <r>
    <d v="2012-10-16T00:00:00"/>
    <s v="018-2100-000"/>
    <s v="Food Sales"/>
    <n v="3164.6114999999995"/>
    <n v="0"/>
    <s v="Daily Sales Import"/>
    <n v="-3164.6114999999995"/>
    <n v="3164.6114999999995"/>
    <x v="2"/>
    <s v="2100"/>
    <s v="000"/>
    <x v="0"/>
    <x v="1"/>
  </r>
  <r>
    <d v="2012-10-16T00:00:00"/>
    <s v="018-2210-000"/>
    <s v="Liquor Sales"/>
    <n v="524.56950000000006"/>
    <n v="0"/>
    <s v="Daily Sales Import"/>
    <n v="-524.56950000000006"/>
    <n v="524.56950000000006"/>
    <x v="2"/>
    <s v="2210"/>
    <s v="000"/>
    <x v="0"/>
    <x v="1"/>
  </r>
  <r>
    <d v="2012-10-16T00:00:00"/>
    <s v="018-2220-000"/>
    <s v="Beer Sales"/>
    <n v="210.37199999999999"/>
    <n v="0"/>
    <s v="Daily Sales Import"/>
    <n v="-210.37199999999999"/>
    <n v="210.37199999999999"/>
    <x v="2"/>
    <s v="2220"/>
    <s v="000"/>
    <x v="0"/>
    <x v="1"/>
  </r>
  <r>
    <d v="2012-10-16T00:00:00"/>
    <s v="018-2230-000"/>
    <s v="Wine Sales"/>
    <n v="65.649000000000001"/>
    <n v="0"/>
    <s v="Daily Sales Import"/>
    <n v="-65.649000000000001"/>
    <n v="65.649000000000001"/>
    <x v="2"/>
    <s v="2230"/>
    <s v="000"/>
    <x v="0"/>
    <x v="1"/>
  </r>
  <r>
    <d v="2012-10-17T00:00:00"/>
    <s v="018-2100-000"/>
    <s v="Food Sales"/>
    <n v="4659.1657999999998"/>
    <n v="0"/>
    <s v="Daily Sales Import"/>
    <n v="-4659.1657999999998"/>
    <n v="4659.1657999999998"/>
    <x v="2"/>
    <s v="2100"/>
    <s v="000"/>
    <x v="0"/>
    <x v="1"/>
  </r>
  <r>
    <d v="2012-10-17T00:00:00"/>
    <s v="018-2210-000"/>
    <s v="Liquor Sales"/>
    <n v="1134.2094999999999"/>
    <n v="0"/>
    <s v="Daily Sales Import"/>
    <n v="-1134.2094999999999"/>
    <n v="1134.2094999999999"/>
    <x v="2"/>
    <s v="2210"/>
    <s v="000"/>
    <x v="0"/>
    <x v="1"/>
  </r>
  <r>
    <d v="2012-10-17T00:00:00"/>
    <s v="018-2220-000"/>
    <s v="Beer Sales"/>
    <n v="330.572"/>
    <n v="0"/>
    <s v="Daily Sales Import"/>
    <n v="-330.572"/>
    <n v="330.572"/>
    <x v="2"/>
    <s v="2220"/>
    <s v="000"/>
    <x v="0"/>
    <x v="1"/>
  </r>
  <r>
    <d v="2012-10-17T00:00:00"/>
    <s v="018-2230-000"/>
    <s v="Wine Sales"/>
    <n v="76.467500000000001"/>
    <n v="0"/>
    <s v="Daily Sales Import"/>
    <n v="-76.467500000000001"/>
    <n v="76.467500000000001"/>
    <x v="2"/>
    <s v="2230"/>
    <s v="000"/>
    <x v="0"/>
    <x v="1"/>
  </r>
  <r>
    <d v="2012-10-18T00:00:00"/>
    <s v="018-2100-000"/>
    <s v="Food Sales"/>
    <n v="4592.1810000000005"/>
    <n v="0"/>
    <s v="Daily Sales Import"/>
    <n v="-4592.1810000000005"/>
    <n v="4592.1810000000005"/>
    <x v="2"/>
    <s v="2100"/>
    <s v="000"/>
    <x v="0"/>
    <x v="1"/>
  </r>
  <r>
    <d v="2012-10-18T00:00:00"/>
    <s v="018-2210-000"/>
    <s v="Liquor Sales"/>
    <n v="1037.9180000000001"/>
    <n v="0"/>
    <s v="Daily Sales Import"/>
    <n v="-1037.9180000000001"/>
    <n v="1037.9180000000001"/>
    <x v="2"/>
    <s v="2210"/>
    <s v="000"/>
    <x v="0"/>
    <x v="1"/>
  </r>
  <r>
    <d v="2012-10-18T00:00:00"/>
    <s v="018-2220-000"/>
    <s v="Beer Sales"/>
    <n v="285.12"/>
    <n v="0"/>
    <s v="Daily Sales Import"/>
    <n v="-285.12"/>
    <n v="285.12"/>
    <x v="2"/>
    <s v="2220"/>
    <s v="000"/>
    <x v="0"/>
    <x v="1"/>
  </r>
  <r>
    <d v="2012-10-18T00:00:00"/>
    <s v="018-2230-000"/>
    <s v="Wine Sales"/>
    <n v="120.39999999999999"/>
    <n v="0"/>
    <s v="Daily Sales Import"/>
    <n v="-120.39999999999999"/>
    <n v="120.39999999999999"/>
    <x v="2"/>
    <s v="2230"/>
    <s v="000"/>
    <x v="0"/>
    <x v="1"/>
  </r>
  <r>
    <d v="2012-10-19T00:00:00"/>
    <s v="018-2100-000"/>
    <s v="Food Sales"/>
    <n v="10413.248000000001"/>
    <n v="0"/>
    <s v="Daily Sales Import"/>
    <n v="-10413.248000000001"/>
    <n v="10413.248000000001"/>
    <x v="2"/>
    <s v="2100"/>
    <s v="000"/>
    <x v="0"/>
    <x v="1"/>
  </r>
  <r>
    <d v="2012-10-19T00:00:00"/>
    <s v="018-2210-000"/>
    <s v="Liquor Sales"/>
    <n v="3384.14"/>
    <n v="0"/>
    <s v="Daily Sales Import"/>
    <n v="-3384.14"/>
    <n v="3384.14"/>
    <x v="2"/>
    <s v="2210"/>
    <s v="000"/>
    <x v="0"/>
    <x v="1"/>
  </r>
  <r>
    <d v="2012-10-19T00:00:00"/>
    <s v="018-2220-000"/>
    <s v="Beer Sales"/>
    <n v="818.59799999999996"/>
    <n v="0"/>
    <s v="Daily Sales Import"/>
    <n v="-818.59799999999996"/>
    <n v="818.59799999999996"/>
    <x v="2"/>
    <s v="2220"/>
    <s v="000"/>
    <x v="0"/>
    <x v="1"/>
  </r>
  <r>
    <d v="2012-10-19T00:00:00"/>
    <s v="018-2230-000"/>
    <s v="Wine Sales"/>
    <n v="96.505999999999986"/>
    <n v="0"/>
    <s v="Daily Sales Import"/>
    <n v="-96.505999999999986"/>
    <n v="96.505999999999986"/>
    <x v="2"/>
    <s v="2230"/>
    <s v="000"/>
    <x v="0"/>
    <x v="1"/>
  </r>
  <r>
    <d v="2012-10-20T00:00:00"/>
    <s v="018-2100-000"/>
    <s v="Food Sales"/>
    <n v="18739.365000000002"/>
    <n v="0"/>
    <s v="Daily Sales Import"/>
    <n v="-18739.365000000002"/>
    <n v="18739.365000000002"/>
    <x v="2"/>
    <s v="2100"/>
    <s v="000"/>
    <x v="0"/>
    <x v="1"/>
  </r>
  <r>
    <d v="2012-10-20T00:00:00"/>
    <s v="018-2210-000"/>
    <s v="Liquor Sales"/>
    <n v="4646.5650000000005"/>
    <n v="0"/>
    <s v="Daily Sales Import"/>
    <n v="-4646.5650000000005"/>
    <n v="4646.5650000000005"/>
    <x v="2"/>
    <s v="2210"/>
    <s v="000"/>
    <x v="0"/>
    <x v="1"/>
  </r>
  <r>
    <d v="2012-10-20T00:00:00"/>
    <s v="018-2220-000"/>
    <s v="Beer Sales"/>
    <n v="802.31399999999996"/>
    <n v="0"/>
    <s v="Daily Sales Import"/>
    <n v="-802.31399999999996"/>
    <n v="802.31399999999996"/>
    <x v="2"/>
    <s v="2220"/>
    <s v="000"/>
    <x v="0"/>
    <x v="1"/>
  </r>
  <r>
    <d v="2012-10-20T00:00:00"/>
    <s v="018-2230-000"/>
    <s v="Wine Sales"/>
    <n v="149.5615"/>
    <n v="0"/>
    <s v="Daily Sales Import"/>
    <n v="-149.5615"/>
    <n v="149.5615"/>
    <x v="2"/>
    <s v="2230"/>
    <s v="000"/>
    <x v="0"/>
    <x v="1"/>
  </r>
  <r>
    <d v="2012-10-21T00:00:00"/>
    <s v="018-2100-000"/>
    <s v="Food Sales"/>
    <n v="11400.773999999999"/>
    <n v="0"/>
    <s v="Daily Sales Import"/>
    <n v="-11400.773999999999"/>
    <n v="11400.773999999999"/>
    <x v="2"/>
    <s v="2100"/>
    <s v="000"/>
    <x v="0"/>
    <x v="1"/>
  </r>
  <r>
    <d v="2012-10-21T00:00:00"/>
    <s v="018-2210-000"/>
    <s v="Liquor Sales"/>
    <n v="1660.89"/>
    <n v="0"/>
    <s v="Daily Sales Import"/>
    <n v="-1660.89"/>
    <n v="1660.89"/>
    <x v="2"/>
    <s v="2210"/>
    <s v="000"/>
    <x v="0"/>
    <x v="1"/>
  </r>
  <r>
    <d v="2012-10-21T00:00:00"/>
    <s v="018-2220-000"/>
    <s v="Beer Sales"/>
    <n v="307.83150000000001"/>
    <n v="0"/>
    <s v="Daily Sales Import"/>
    <n v="-307.83150000000001"/>
    <n v="307.83150000000001"/>
    <x v="2"/>
    <s v="2220"/>
    <s v="000"/>
    <x v="0"/>
    <x v="1"/>
  </r>
  <r>
    <d v="2012-10-21T00:00:00"/>
    <s v="018-2230-000"/>
    <s v="Wine Sales"/>
    <n v="105.74100000000001"/>
    <n v="0"/>
    <s v="Daily Sales Import"/>
    <n v="-105.74100000000001"/>
    <n v="105.74100000000001"/>
    <x v="2"/>
    <s v="2230"/>
    <s v="000"/>
    <x v="0"/>
    <x v="1"/>
  </r>
  <r>
    <d v="2012-10-22T00:00:00"/>
    <s v="016-2100-000"/>
    <s v="Food Sales"/>
    <n v="3404.6739999999995"/>
    <n v="0"/>
    <s v="Daily Sales Import"/>
    <n v="-3404.6739999999995"/>
    <n v="3404.6739999999995"/>
    <x v="0"/>
    <s v="2100"/>
    <s v="000"/>
    <x v="0"/>
    <x v="1"/>
  </r>
  <r>
    <d v="2012-10-22T00:00:00"/>
    <s v="016-2210-000"/>
    <s v="Liquor Sales"/>
    <n v="1571.0725"/>
    <n v="0"/>
    <s v="Daily Sales Import"/>
    <n v="-1571.0725"/>
    <n v="1571.0725"/>
    <x v="0"/>
    <s v="2210"/>
    <s v="000"/>
    <x v="0"/>
    <x v="1"/>
  </r>
  <r>
    <d v="2012-10-22T00:00:00"/>
    <s v="016-2220-000"/>
    <s v="Beer Sales"/>
    <n v="308.06849999999997"/>
    <n v="0"/>
    <s v="Daily Sales Import"/>
    <n v="-308.06849999999997"/>
    <n v="308.06849999999997"/>
    <x v="0"/>
    <s v="2220"/>
    <s v="000"/>
    <x v="0"/>
    <x v="1"/>
  </r>
  <r>
    <d v="2012-10-22T00:00:00"/>
    <s v="016-2230-000"/>
    <s v="Wine Sales"/>
    <n v="134.9015"/>
    <n v="0"/>
    <s v="Daily Sales Import"/>
    <n v="-134.9015"/>
    <n v="134.9015"/>
    <x v="0"/>
    <s v="2230"/>
    <s v="000"/>
    <x v="0"/>
    <x v="1"/>
  </r>
  <r>
    <d v="2012-10-23T00:00:00"/>
    <s v="016-2100-000"/>
    <s v="Food Sales"/>
    <n v="6982.4480000000003"/>
    <n v="0"/>
    <s v="Daily Sales Import"/>
    <n v="-6982.4480000000003"/>
    <n v="6982.4480000000003"/>
    <x v="0"/>
    <s v="2100"/>
    <s v="000"/>
    <x v="0"/>
    <x v="1"/>
  </r>
  <r>
    <d v="2012-10-23T00:00:00"/>
    <s v="016-2210-000"/>
    <s v="Liquor Sales"/>
    <n v="2559.3000000000002"/>
    <n v="0"/>
    <s v="Daily Sales Import"/>
    <n v="-2559.3000000000002"/>
    <n v="2559.3000000000002"/>
    <x v="0"/>
    <s v="2210"/>
    <s v="000"/>
    <x v="0"/>
    <x v="1"/>
  </r>
  <r>
    <d v="2012-10-23T00:00:00"/>
    <s v="016-2220-000"/>
    <s v="Beer Sales"/>
    <n v="622.04700000000003"/>
    <n v="0"/>
    <s v="Daily Sales Import"/>
    <n v="-622.04700000000003"/>
    <n v="622.04700000000003"/>
    <x v="0"/>
    <s v="2220"/>
    <s v="000"/>
    <x v="0"/>
    <x v="1"/>
  </r>
  <r>
    <d v="2012-10-23T00:00:00"/>
    <s v="016-2230-000"/>
    <s v="Wine Sales"/>
    <n v="137.43199999999999"/>
    <n v="0"/>
    <s v="Daily Sales Import"/>
    <n v="-137.43199999999999"/>
    <n v="137.43199999999999"/>
    <x v="0"/>
    <s v="2230"/>
    <s v="000"/>
    <x v="0"/>
    <x v="1"/>
  </r>
  <r>
    <d v="2012-10-24T00:00:00"/>
    <s v="016-2100-000"/>
    <s v="Food Sales"/>
    <n v="1926.0223999999998"/>
    <n v="0"/>
    <s v="Daily Sales Import"/>
    <n v="-1926.0223999999998"/>
    <n v="1926.0223999999998"/>
    <x v="0"/>
    <s v="2100"/>
    <s v="000"/>
    <x v="0"/>
    <x v="1"/>
  </r>
  <r>
    <d v="2012-10-24T00:00:00"/>
    <s v="016-2210-000"/>
    <s v="Liquor Sales"/>
    <n v="1185.8475999999998"/>
    <n v="0"/>
    <s v="Daily Sales Import"/>
    <n v="-1185.8475999999998"/>
    <n v="1185.8475999999998"/>
    <x v="0"/>
    <s v="2210"/>
    <s v="000"/>
    <x v="0"/>
    <x v="1"/>
  </r>
  <r>
    <d v="2012-10-24T00:00:00"/>
    <s v="016-2220-000"/>
    <s v="Beer Sales"/>
    <n v="91.381500000000003"/>
    <n v="0"/>
    <s v="Daily Sales Import"/>
    <n v="-91.381500000000003"/>
    <n v="91.381500000000003"/>
    <x v="0"/>
    <s v="2220"/>
    <s v="000"/>
    <x v="0"/>
    <x v="1"/>
  </r>
  <r>
    <d v="2012-10-24T00:00:00"/>
    <s v="016-2230-000"/>
    <s v="Wine Sales"/>
    <n v="16.285500000000003"/>
    <n v="0"/>
    <s v="Daily Sales Import"/>
    <n v="-16.285500000000003"/>
    <n v="16.285500000000003"/>
    <x v="0"/>
    <s v="2230"/>
    <s v="000"/>
    <x v="0"/>
    <x v="1"/>
  </r>
  <r>
    <d v="2012-10-25T00:00:00"/>
    <s v="016-2100-000"/>
    <s v="Food Sales"/>
    <n v="2715.4140000000002"/>
    <n v="0"/>
    <s v="Daily Sales Import"/>
    <n v="-2715.4140000000002"/>
    <n v="2715.4140000000002"/>
    <x v="0"/>
    <s v="2100"/>
    <s v="000"/>
    <x v="0"/>
    <x v="1"/>
  </r>
  <r>
    <d v="2012-10-25T00:00:00"/>
    <s v="016-2210-000"/>
    <s v="Liquor Sales"/>
    <n v="627.44600000000003"/>
    <n v="0"/>
    <s v="Daily Sales Import"/>
    <n v="-627.44600000000003"/>
    <n v="627.44600000000003"/>
    <x v="0"/>
    <s v="2210"/>
    <s v="000"/>
    <x v="0"/>
    <x v="1"/>
  </r>
  <r>
    <d v="2012-10-25T00:00:00"/>
    <s v="016-2220-000"/>
    <s v="Beer Sales"/>
    <n v="111.9825"/>
    <n v="0"/>
    <s v="Daily Sales Import"/>
    <n v="-111.9825"/>
    <n v="111.9825"/>
    <x v="0"/>
    <s v="2220"/>
    <s v="000"/>
    <x v="0"/>
    <x v="1"/>
  </r>
  <r>
    <d v="2012-10-25T00:00:00"/>
    <s v="016-2230-000"/>
    <s v="Wine Sales"/>
    <n v="70.354500000000016"/>
    <n v="0"/>
    <s v="Daily Sales Import"/>
    <n v="-70.354500000000016"/>
    <n v="70.354500000000016"/>
    <x v="0"/>
    <s v="2230"/>
    <s v="000"/>
    <x v="0"/>
    <x v="1"/>
  </r>
  <r>
    <d v="2012-10-26T00:00:00"/>
    <s v="016-2100-000"/>
    <s v="Food Sales"/>
    <n v="4756.0156999999999"/>
    <n v="0"/>
    <s v="Daily Sales Import"/>
    <n v="-4756.0156999999999"/>
    <n v="4756.0156999999999"/>
    <x v="0"/>
    <s v="2100"/>
    <s v="000"/>
    <x v="0"/>
    <x v="1"/>
  </r>
  <r>
    <d v="2012-10-26T00:00:00"/>
    <s v="016-2210-000"/>
    <s v="Liquor Sales"/>
    <n v="1580.5529999999999"/>
    <n v="0"/>
    <s v="Daily Sales Import"/>
    <n v="-1580.5529999999999"/>
    <n v="1580.5529999999999"/>
    <x v="0"/>
    <s v="2210"/>
    <s v="000"/>
    <x v="0"/>
    <x v="1"/>
  </r>
  <r>
    <d v="2012-10-26T00:00:00"/>
    <s v="016-2220-000"/>
    <s v="Beer Sales"/>
    <n v="463.68000000000006"/>
    <n v="0"/>
    <s v="Daily Sales Import"/>
    <n v="-463.68000000000006"/>
    <n v="463.68000000000006"/>
    <x v="0"/>
    <s v="2220"/>
    <s v="000"/>
    <x v="0"/>
    <x v="1"/>
  </r>
  <r>
    <d v="2012-10-26T00:00:00"/>
    <s v="016-2230-000"/>
    <s v="Wine Sales"/>
    <n v="69.567999999999998"/>
    <n v="0"/>
    <s v="Daily Sales Import"/>
    <n v="-69.567999999999998"/>
    <n v="69.567999999999998"/>
    <x v="0"/>
    <s v="2230"/>
    <s v="000"/>
    <x v="0"/>
    <x v="1"/>
  </r>
  <r>
    <d v="2012-10-27T00:00:00"/>
    <s v="016-2100-000"/>
    <s v="Food Sales"/>
    <n v="9644.4270000000015"/>
    <n v="0"/>
    <s v="Daily Sales Import"/>
    <n v="-9644.4270000000015"/>
    <n v="9644.4270000000015"/>
    <x v="0"/>
    <s v="2100"/>
    <s v="000"/>
    <x v="0"/>
    <x v="1"/>
  </r>
  <r>
    <d v="2012-10-27T00:00:00"/>
    <s v="016-2210-000"/>
    <s v="Liquor Sales"/>
    <n v="3391.2960000000003"/>
    <n v="0"/>
    <s v="Daily Sales Import"/>
    <n v="-3391.2960000000003"/>
    <n v="3391.2960000000003"/>
    <x v="0"/>
    <s v="2210"/>
    <s v="000"/>
    <x v="0"/>
    <x v="1"/>
  </r>
  <r>
    <d v="2012-10-27T00:00:00"/>
    <s v="016-2220-000"/>
    <s v="Beer Sales"/>
    <n v="371.05099999999999"/>
    <n v="0"/>
    <s v="Daily Sales Import"/>
    <n v="-371.05099999999999"/>
    <n v="371.05099999999999"/>
    <x v="0"/>
    <s v="2220"/>
    <s v="000"/>
    <x v="0"/>
    <x v="1"/>
  </r>
  <r>
    <d v="2012-10-27T00:00:00"/>
    <s v="016-2230-000"/>
    <s v="Wine Sales"/>
    <n v="216.33300000000003"/>
    <n v="0"/>
    <s v="Daily Sales Import"/>
    <n v="-216.33300000000003"/>
    <n v="216.33300000000003"/>
    <x v="0"/>
    <s v="2230"/>
    <s v="000"/>
    <x v="0"/>
    <x v="1"/>
  </r>
  <r>
    <d v="2012-10-28T00:00:00"/>
    <s v="016-2100-000"/>
    <s v="Food Sales"/>
    <n v="3643.9619999999995"/>
    <n v="0"/>
    <s v="Daily Sales Import"/>
    <n v="-3643.9619999999995"/>
    <n v="3643.9619999999995"/>
    <x v="0"/>
    <s v="2100"/>
    <s v="000"/>
    <x v="0"/>
    <x v="1"/>
  </r>
  <r>
    <d v="2012-10-28T00:00:00"/>
    <s v="016-2210-000"/>
    <s v="Liquor Sales"/>
    <n v="960.56999999999994"/>
    <n v="0"/>
    <s v="Daily Sales Import"/>
    <n v="-960.56999999999994"/>
    <n v="960.56999999999994"/>
    <x v="0"/>
    <s v="2210"/>
    <s v="000"/>
    <x v="0"/>
    <x v="1"/>
  </r>
  <r>
    <d v="2012-10-28T00:00:00"/>
    <s v="016-2220-000"/>
    <s v="Beer Sales"/>
    <n v="162.81"/>
    <n v="0"/>
    <s v="Daily Sales Import"/>
    <n v="-162.81"/>
    <n v="162.81"/>
    <x v="0"/>
    <s v="2220"/>
    <s v="000"/>
    <x v="0"/>
    <x v="1"/>
  </r>
  <r>
    <d v="2012-10-28T00:00:00"/>
    <s v="016-2230-000"/>
    <s v="Wine Sales"/>
    <n v="156.48750000000001"/>
    <n v="0"/>
    <s v="Daily Sales Import"/>
    <n v="-156.48750000000001"/>
    <n v="156.48750000000001"/>
    <x v="0"/>
    <s v="2230"/>
    <s v="000"/>
    <x v="0"/>
    <x v="1"/>
  </r>
  <r>
    <d v="2012-10-22T00:00:00"/>
    <s v="017-2100-000"/>
    <s v="Food Sales"/>
    <n v="4704.9624000000003"/>
    <n v="0"/>
    <s v="Daily Sales Import"/>
    <n v="-4704.9624000000003"/>
    <n v="4704.9624000000003"/>
    <x v="1"/>
    <s v="2100"/>
    <s v="000"/>
    <x v="0"/>
    <x v="1"/>
  </r>
  <r>
    <d v="2012-10-22T00:00:00"/>
    <s v="017-2210-000"/>
    <s v="Liquor Sales"/>
    <n v="1311.6899999999998"/>
    <n v="0"/>
    <s v="Daily Sales Import"/>
    <n v="-1311.6899999999998"/>
    <n v="1311.6899999999998"/>
    <x v="1"/>
    <s v="2210"/>
    <s v="000"/>
    <x v="0"/>
    <x v="1"/>
  </r>
  <r>
    <d v="2012-10-22T00:00:00"/>
    <s v="017-2220-000"/>
    <s v="Beer Sales"/>
    <n v="365.625"/>
    <n v="0"/>
    <s v="Daily Sales Import"/>
    <n v="-365.625"/>
    <n v="365.625"/>
    <x v="1"/>
    <s v="2220"/>
    <s v="000"/>
    <x v="0"/>
    <x v="1"/>
  </r>
  <r>
    <d v="2012-10-22T00:00:00"/>
    <s v="017-2230-000"/>
    <s v="Wine Sales"/>
    <n v="95.257500000000007"/>
    <n v="0"/>
    <s v="Daily Sales Import"/>
    <n v="-95.257500000000007"/>
    <n v="95.257500000000007"/>
    <x v="1"/>
    <s v="2230"/>
    <s v="000"/>
    <x v="0"/>
    <x v="1"/>
  </r>
  <r>
    <d v="2012-10-23T00:00:00"/>
    <s v="017-2100-000"/>
    <s v="Food Sales"/>
    <n v="4520.9625999999998"/>
    <n v="0"/>
    <s v="Daily Sales Import"/>
    <n v="-4520.9625999999998"/>
    <n v="4520.9625999999998"/>
    <x v="1"/>
    <s v="2100"/>
    <s v="000"/>
    <x v="0"/>
    <x v="1"/>
  </r>
  <r>
    <d v="2012-10-23T00:00:00"/>
    <s v="017-2210-000"/>
    <s v="Liquor Sales"/>
    <n v="1311.57"/>
    <n v="0"/>
    <s v="Daily Sales Import"/>
    <n v="-1311.57"/>
    <n v="1311.57"/>
    <x v="1"/>
    <s v="2210"/>
    <s v="000"/>
    <x v="0"/>
    <x v="1"/>
  </r>
  <r>
    <d v="2012-10-23T00:00:00"/>
    <s v="017-2220-000"/>
    <s v="Beer Sales"/>
    <n v="401.76"/>
    <n v="0"/>
    <s v="Daily Sales Import"/>
    <n v="-401.76"/>
    <n v="401.76"/>
    <x v="1"/>
    <s v="2220"/>
    <s v="000"/>
    <x v="0"/>
    <x v="1"/>
  </r>
  <r>
    <d v="2012-10-23T00:00:00"/>
    <s v="017-2230-000"/>
    <s v="Wine Sales"/>
    <n v="67.076999999999998"/>
    <n v="0"/>
    <s v="Daily Sales Import"/>
    <n v="-67.076999999999998"/>
    <n v="67.076999999999998"/>
    <x v="1"/>
    <s v="2230"/>
    <s v="000"/>
    <x v="0"/>
    <x v="1"/>
  </r>
  <r>
    <d v="2012-10-24T00:00:00"/>
    <s v="017-2100-000"/>
    <s v="Food Sales"/>
    <n v="5435.8722000000007"/>
    <n v="0"/>
    <s v="Daily Sales Import"/>
    <n v="-5435.8722000000007"/>
    <n v="5435.8722000000007"/>
    <x v="1"/>
    <s v="2100"/>
    <s v="000"/>
    <x v="0"/>
    <x v="1"/>
  </r>
  <r>
    <d v="2012-10-24T00:00:00"/>
    <s v="017-2210-000"/>
    <s v="Liquor Sales"/>
    <n v="1642.6899999999998"/>
    <n v="0"/>
    <s v="Daily Sales Import"/>
    <n v="-1642.6899999999998"/>
    <n v="1642.6899999999998"/>
    <x v="1"/>
    <s v="2210"/>
    <s v="000"/>
    <x v="0"/>
    <x v="1"/>
  </r>
  <r>
    <d v="2012-10-24T00:00:00"/>
    <s v="017-2220-000"/>
    <s v="Beer Sales"/>
    <n v="487.11"/>
    <n v="0"/>
    <s v="Daily Sales Import"/>
    <n v="-487.11"/>
    <n v="487.11"/>
    <x v="1"/>
    <s v="2220"/>
    <s v="000"/>
    <x v="0"/>
    <x v="1"/>
  </r>
  <r>
    <d v="2012-10-24T00:00:00"/>
    <s v="017-2230-000"/>
    <s v="Wine Sales"/>
    <n v="50.830000000000005"/>
    <n v="0"/>
    <s v="Daily Sales Import"/>
    <n v="-50.830000000000005"/>
    <n v="50.830000000000005"/>
    <x v="1"/>
    <s v="2230"/>
    <s v="000"/>
    <x v="0"/>
    <x v="1"/>
  </r>
  <r>
    <d v="2012-10-25T00:00:00"/>
    <s v="017-2100-000"/>
    <s v="Food Sales"/>
    <n v="5599.8160000000007"/>
    <n v="0"/>
    <s v="Daily Sales Import"/>
    <n v="-5599.8160000000007"/>
    <n v="5599.8160000000007"/>
    <x v="1"/>
    <s v="2100"/>
    <s v="000"/>
    <x v="0"/>
    <x v="1"/>
  </r>
  <r>
    <d v="2012-10-25T00:00:00"/>
    <s v="017-2210-000"/>
    <s v="Liquor Sales"/>
    <n v="1440.7840000000003"/>
    <n v="0"/>
    <s v="Daily Sales Import"/>
    <n v="-1440.7840000000003"/>
    <n v="1440.7840000000003"/>
    <x v="1"/>
    <s v="2210"/>
    <s v="000"/>
    <x v="0"/>
    <x v="1"/>
  </r>
  <r>
    <d v="2012-10-25T00:00:00"/>
    <s v="017-2220-000"/>
    <s v="Beer Sales"/>
    <n v="402.4425"/>
    <n v="0"/>
    <s v="Daily Sales Import"/>
    <n v="-402.4425"/>
    <n v="402.4425"/>
    <x v="1"/>
    <s v="2220"/>
    <s v="000"/>
    <x v="0"/>
    <x v="1"/>
  </r>
  <r>
    <d v="2012-10-25T00:00:00"/>
    <s v="017-2230-000"/>
    <s v="Wine Sales"/>
    <n v="218.196"/>
    <n v="0"/>
    <s v="Daily Sales Import"/>
    <n v="-218.196"/>
    <n v="218.196"/>
    <x v="1"/>
    <s v="2230"/>
    <s v="000"/>
    <x v="0"/>
    <x v="1"/>
  </r>
  <r>
    <d v="2012-10-26T00:00:00"/>
    <s v="017-2100-000"/>
    <s v="Food Sales"/>
    <n v="6433.3824000000004"/>
    <n v="0"/>
    <s v="Daily Sales Import"/>
    <n v="-6433.3824000000004"/>
    <n v="6433.3824000000004"/>
    <x v="1"/>
    <s v="2100"/>
    <s v="000"/>
    <x v="0"/>
    <x v="1"/>
  </r>
  <r>
    <d v="2012-10-26T00:00:00"/>
    <s v="017-2210-000"/>
    <s v="Liquor Sales"/>
    <n v="1464.856"/>
    <n v="0"/>
    <s v="Daily Sales Import"/>
    <n v="-1464.856"/>
    <n v="1464.856"/>
    <x v="1"/>
    <s v="2210"/>
    <s v="000"/>
    <x v="0"/>
    <x v="1"/>
  </r>
  <r>
    <d v="2012-10-26T00:00:00"/>
    <s v="017-2220-000"/>
    <s v="Beer Sales"/>
    <n v="490.67499999999995"/>
    <n v="0"/>
    <s v="Daily Sales Import"/>
    <n v="-490.67499999999995"/>
    <n v="490.67499999999995"/>
    <x v="1"/>
    <s v="2220"/>
    <s v="000"/>
    <x v="0"/>
    <x v="1"/>
  </r>
  <r>
    <d v="2012-10-26T00:00:00"/>
    <s v="017-2230-000"/>
    <s v="Wine Sales"/>
    <n v="205.755"/>
    <n v="0"/>
    <s v="Daily Sales Import"/>
    <n v="-205.755"/>
    <n v="205.755"/>
    <x v="1"/>
    <s v="2230"/>
    <s v="000"/>
    <x v="0"/>
    <x v="1"/>
  </r>
  <r>
    <d v="2012-10-27T00:00:00"/>
    <s v="017-2100-000"/>
    <s v="Food Sales"/>
    <n v="5646.3163999999997"/>
    <n v="0"/>
    <s v="Daily Sales Import"/>
    <n v="-5646.3163999999997"/>
    <n v="5646.3163999999997"/>
    <x v="1"/>
    <s v="2100"/>
    <s v="000"/>
    <x v="0"/>
    <x v="1"/>
  </r>
  <r>
    <d v="2012-10-27T00:00:00"/>
    <s v="017-2210-000"/>
    <s v="Liquor Sales"/>
    <n v="1177.7659999999998"/>
    <n v="0"/>
    <s v="Daily Sales Import"/>
    <n v="-1177.7659999999998"/>
    <n v="1177.7659999999998"/>
    <x v="1"/>
    <s v="2210"/>
    <s v="000"/>
    <x v="0"/>
    <x v="1"/>
  </r>
  <r>
    <d v="2012-10-27T00:00:00"/>
    <s v="017-2220-000"/>
    <s v="Beer Sales"/>
    <n v="236.67750000000001"/>
    <n v="0"/>
    <s v="Daily Sales Import"/>
    <n v="-236.67750000000001"/>
    <n v="236.67750000000001"/>
    <x v="1"/>
    <s v="2220"/>
    <s v="000"/>
    <x v="0"/>
    <x v="1"/>
  </r>
  <r>
    <d v="2012-10-27T00:00:00"/>
    <s v="017-2230-000"/>
    <s v="Wine Sales"/>
    <n v="56.375999999999998"/>
    <n v="0"/>
    <s v="Daily Sales Import"/>
    <n v="-56.375999999999998"/>
    <n v="56.375999999999998"/>
    <x v="1"/>
    <s v="2230"/>
    <s v="000"/>
    <x v="0"/>
    <x v="1"/>
  </r>
  <r>
    <d v="2012-10-28T00:00:00"/>
    <s v="017-2100-000"/>
    <s v="Food Sales"/>
    <n v="3801.1285000000003"/>
    <n v="0"/>
    <s v="Daily Sales Import"/>
    <n v="-3801.1285000000003"/>
    <n v="3801.1285000000003"/>
    <x v="1"/>
    <s v="2100"/>
    <s v="000"/>
    <x v="0"/>
    <x v="1"/>
  </r>
  <r>
    <d v="2012-10-28T00:00:00"/>
    <s v="017-2210-000"/>
    <s v="Liquor Sales"/>
    <n v="821.61199999999997"/>
    <n v="0"/>
    <s v="Daily Sales Import"/>
    <n v="-821.61199999999997"/>
    <n v="821.61199999999997"/>
    <x v="1"/>
    <s v="2210"/>
    <s v="000"/>
    <x v="0"/>
    <x v="1"/>
  </r>
  <r>
    <d v="2012-10-28T00:00:00"/>
    <s v="017-2220-000"/>
    <s v="Beer Sales"/>
    <n v="110.205"/>
    <n v="0"/>
    <s v="Daily Sales Import"/>
    <n v="-110.205"/>
    <n v="110.205"/>
    <x v="1"/>
    <s v="2220"/>
    <s v="000"/>
    <x v="0"/>
    <x v="1"/>
  </r>
  <r>
    <d v="2012-10-28T00:00:00"/>
    <s v="017-2230-000"/>
    <s v="Wine Sales"/>
    <n v="32.571000000000005"/>
    <n v="0"/>
    <s v="Daily Sales Import"/>
    <n v="-32.571000000000005"/>
    <n v="32.571000000000005"/>
    <x v="1"/>
    <s v="2230"/>
    <s v="000"/>
    <x v="0"/>
    <x v="1"/>
  </r>
  <r>
    <d v="2012-10-22T00:00:00"/>
    <s v="018-2100-000"/>
    <s v="Food Sales"/>
    <n v="3677.3896000000004"/>
    <n v="0"/>
    <s v="Daily Sales Import"/>
    <n v="-3677.3896000000004"/>
    <n v="3677.3896000000004"/>
    <x v="2"/>
    <s v="2100"/>
    <s v="000"/>
    <x v="0"/>
    <x v="1"/>
  </r>
  <r>
    <d v="2012-10-22T00:00:00"/>
    <s v="018-2210-000"/>
    <s v="Liquor Sales"/>
    <n v="474.23699999999991"/>
    <n v="0"/>
    <s v="Daily Sales Import"/>
    <n v="-474.23699999999991"/>
    <n v="474.23699999999991"/>
    <x v="2"/>
    <s v="2210"/>
    <s v="000"/>
    <x v="0"/>
    <x v="1"/>
  </r>
  <r>
    <d v="2012-10-22T00:00:00"/>
    <s v="018-2220-000"/>
    <s v="Beer Sales"/>
    <n v="114.57600000000001"/>
    <n v="0"/>
    <s v="Daily Sales Import"/>
    <n v="-114.57600000000001"/>
    <n v="114.57600000000001"/>
    <x v="2"/>
    <s v="2220"/>
    <s v="000"/>
    <x v="0"/>
    <x v="1"/>
  </r>
  <r>
    <d v="2012-10-22T00:00:00"/>
    <s v="018-2230-000"/>
    <s v="Wine Sales"/>
    <n v="42.679000000000002"/>
    <n v="0"/>
    <s v="Daily Sales Import"/>
    <n v="-42.679000000000002"/>
    <n v="42.679000000000002"/>
    <x v="2"/>
    <s v="2230"/>
    <s v="000"/>
    <x v="0"/>
    <x v="1"/>
  </r>
  <r>
    <d v="2012-10-23T00:00:00"/>
    <s v="018-2100-000"/>
    <s v="Food Sales"/>
    <n v="3647.9624999999996"/>
    <n v="0"/>
    <s v="Daily Sales Import"/>
    <n v="-3647.9624999999996"/>
    <n v="3647.9624999999996"/>
    <x v="2"/>
    <s v="2100"/>
    <s v="000"/>
    <x v="0"/>
    <x v="1"/>
  </r>
  <r>
    <d v="2012-10-23T00:00:00"/>
    <s v="018-2210-000"/>
    <s v="Liquor Sales"/>
    <n v="1061.55"/>
    <n v="0"/>
    <s v="Daily Sales Import"/>
    <n v="-1061.55"/>
    <n v="1061.55"/>
    <x v="2"/>
    <s v="2210"/>
    <s v="000"/>
    <x v="0"/>
    <x v="1"/>
  </r>
  <r>
    <d v="2012-10-23T00:00:00"/>
    <s v="018-2220-000"/>
    <s v="Beer Sales"/>
    <n v="186.12"/>
    <n v="0"/>
    <s v="Daily Sales Import"/>
    <n v="-186.12"/>
    <n v="186.12"/>
    <x v="2"/>
    <s v="2220"/>
    <s v="000"/>
    <x v="0"/>
    <x v="1"/>
  </r>
  <r>
    <d v="2012-10-23T00:00:00"/>
    <s v="018-2230-000"/>
    <s v="Wine Sales"/>
    <n v="39.195"/>
    <n v="0"/>
    <s v="Daily Sales Import"/>
    <n v="-39.195"/>
    <n v="39.195"/>
    <x v="2"/>
    <s v="2230"/>
    <s v="000"/>
    <x v="0"/>
    <x v="1"/>
  </r>
  <r>
    <d v="2012-10-24T00:00:00"/>
    <s v="018-2100-000"/>
    <s v="Food Sales"/>
    <n v="6163.7672000000002"/>
    <n v="0"/>
    <s v="Daily Sales Import"/>
    <n v="-6163.7672000000002"/>
    <n v="6163.7672000000002"/>
    <x v="2"/>
    <s v="2100"/>
    <s v="000"/>
    <x v="0"/>
    <x v="1"/>
  </r>
  <r>
    <d v="2012-10-24T00:00:00"/>
    <s v="018-2210-000"/>
    <s v="Liquor Sales"/>
    <n v="1165.8"/>
    <n v="0"/>
    <s v="Daily Sales Import"/>
    <n v="-1165.8"/>
    <n v="1165.8"/>
    <x v="2"/>
    <s v="2210"/>
    <s v="000"/>
    <x v="0"/>
    <x v="1"/>
  </r>
  <r>
    <d v="2012-10-24T00:00:00"/>
    <s v="018-2220-000"/>
    <s v="Beer Sales"/>
    <n v="257.64000000000004"/>
    <n v="0"/>
    <s v="Daily Sales Import"/>
    <n v="-257.64000000000004"/>
    <n v="257.64000000000004"/>
    <x v="2"/>
    <s v="2220"/>
    <s v="000"/>
    <x v="0"/>
    <x v="1"/>
  </r>
  <r>
    <d v="2012-10-24T00:00:00"/>
    <s v="018-2230-000"/>
    <s v="Wine Sales"/>
    <n v="42.499499999999998"/>
    <n v="0"/>
    <s v="Daily Sales Import"/>
    <n v="-42.499499999999998"/>
    <n v="42.499499999999998"/>
    <x v="2"/>
    <s v="2230"/>
    <s v="000"/>
    <x v="0"/>
    <x v="1"/>
  </r>
  <r>
    <d v="2012-10-25T00:00:00"/>
    <s v="018-2100-000"/>
    <s v="Food Sales"/>
    <n v="4143.2236999999996"/>
    <n v="0"/>
    <s v="Daily Sales Import"/>
    <n v="-4143.2236999999996"/>
    <n v="4143.2236999999996"/>
    <x v="2"/>
    <s v="2100"/>
    <s v="000"/>
    <x v="0"/>
    <x v="1"/>
  </r>
  <r>
    <d v="2012-10-25T00:00:00"/>
    <s v="018-2210-000"/>
    <s v="Liquor Sales"/>
    <n v="913.15350000000001"/>
    <n v="0"/>
    <s v="Daily Sales Import"/>
    <n v="-913.15350000000001"/>
    <n v="913.15350000000001"/>
    <x v="2"/>
    <s v="2210"/>
    <s v="000"/>
    <x v="0"/>
    <x v="1"/>
  </r>
  <r>
    <d v="2012-10-25T00:00:00"/>
    <s v="018-2220-000"/>
    <s v="Beer Sales"/>
    <n v="284.80500000000001"/>
    <n v="0"/>
    <s v="Daily Sales Import"/>
    <n v="-284.80500000000001"/>
    <n v="284.80500000000001"/>
    <x v="2"/>
    <s v="2220"/>
    <s v="000"/>
    <x v="0"/>
    <x v="1"/>
  </r>
  <r>
    <d v="2012-10-25T00:00:00"/>
    <s v="018-2230-000"/>
    <s v="Wine Sales"/>
    <n v="76.679999999999993"/>
    <n v="0"/>
    <s v="Daily Sales Import"/>
    <n v="-76.679999999999993"/>
    <n v="76.679999999999993"/>
    <x v="2"/>
    <s v="2230"/>
    <s v="000"/>
    <x v="0"/>
    <x v="1"/>
  </r>
  <r>
    <d v="2012-10-26T00:00:00"/>
    <s v="018-2100-000"/>
    <s v="Food Sales"/>
    <n v="11394.009"/>
    <n v="0"/>
    <s v="Daily Sales Import"/>
    <n v="-11394.009"/>
    <n v="11394.009"/>
    <x v="2"/>
    <s v="2100"/>
    <s v="000"/>
    <x v="0"/>
    <x v="1"/>
  </r>
  <r>
    <d v="2012-10-26T00:00:00"/>
    <s v="018-2210-000"/>
    <s v="Liquor Sales"/>
    <n v="2193.8560000000002"/>
    <n v="0"/>
    <s v="Daily Sales Import"/>
    <n v="-2193.8560000000002"/>
    <n v="2193.8560000000002"/>
    <x v="2"/>
    <s v="2210"/>
    <s v="000"/>
    <x v="0"/>
    <x v="1"/>
  </r>
  <r>
    <d v="2012-10-26T00:00:00"/>
    <s v="018-2220-000"/>
    <s v="Beer Sales"/>
    <n v="1029.5039999999999"/>
    <n v="0"/>
    <s v="Daily Sales Import"/>
    <n v="-1029.5039999999999"/>
    <n v="1029.5039999999999"/>
    <x v="2"/>
    <s v="2220"/>
    <s v="000"/>
    <x v="0"/>
    <x v="1"/>
  </r>
  <r>
    <d v="2012-10-26T00:00:00"/>
    <s v="018-2230-000"/>
    <s v="Wine Sales"/>
    <n v="117.33450000000001"/>
    <n v="0"/>
    <s v="Daily Sales Import"/>
    <n v="-117.33450000000001"/>
    <n v="117.33450000000001"/>
    <x v="2"/>
    <s v="2230"/>
    <s v="000"/>
    <x v="0"/>
    <x v="1"/>
  </r>
  <r>
    <d v="2012-10-27T00:00:00"/>
    <s v="018-2100-000"/>
    <s v="Food Sales"/>
    <n v="13137.254999999999"/>
    <n v="0"/>
    <s v="Daily Sales Import"/>
    <n v="-13137.254999999999"/>
    <n v="13137.254999999999"/>
    <x v="2"/>
    <s v="2100"/>
    <s v="000"/>
    <x v="0"/>
    <x v="1"/>
  </r>
  <r>
    <d v="2012-10-27T00:00:00"/>
    <s v="018-2210-000"/>
    <s v="Liquor Sales"/>
    <n v="2249.73"/>
    <n v="0"/>
    <s v="Daily Sales Import"/>
    <n v="-2249.73"/>
    <n v="2249.73"/>
    <x v="2"/>
    <s v="2210"/>
    <s v="000"/>
    <x v="0"/>
    <x v="1"/>
  </r>
  <r>
    <d v="2012-10-27T00:00:00"/>
    <s v="018-2220-000"/>
    <s v="Beer Sales"/>
    <n v="582.048"/>
    <n v="0"/>
    <s v="Daily Sales Import"/>
    <n v="-582.048"/>
    <n v="582.048"/>
    <x v="2"/>
    <s v="2220"/>
    <s v="000"/>
    <x v="0"/>
    <x v="1"/>
  </r>
  <r>
    <d v="2012-10-27T00:00:00"/>
    <s v="018-2230-000"/>
    <s v="Wine Sales"/>
    <n v="327.19050000000004"/>
    <n v="0"/>
    <s v="Daily Sales Import"/>
    <n v="-327.19050000000004"/>
    <n v="327.19050000000004"/>
    <x v="2"/>
    <s v="2230"/>
    <s v="000"/>
    <x v="0"/>
    <x v="1"/>
  </r>
  <r>
    <d v="2012-10-28T00:00:00"/>
    <s v="018-2100-000"/>
    <s v="Food Sales"/>
    <n v="8836.7840000000015"/>
    <n v="0"/>
    <s v="Daily Sales Import"/>
    <n v="-8836.7840000000015"/>
    <n v="8836.7840000000015"/>
    <x v="2"/>
    <s v="2100"/>
    <s v="000"/>
    <x v="0"/>
    <x v="1"/>
  </r>
  <r>
    <d v="2012-10-28T00:00:00"/>
    <s v="018-2210-000"/>
    <s v="Liquor Sales"/>
    <n v="854.84800000000007"/>
    <n v="0"/>
    <s v="Daily Sales Import"/>
    <n v="-854.84800000000007"/>
    <n v="854.84800000000007"/>
    <x v="2"/>
    <s v="2210"/>
    <s v="000"/>
    <x v="0"/>
    <x v="1"/>
  </r>
  <r>
    <d v="2012-10-28T00:00:00"/>
    <s v="018-2220-000"/>
    <s v="Beer Sales"/>
    <n v="194.73749999999998"/>
    <n v="0"/>
    <s v="Daily Sales Import"/>
    <n v="-194.73749999999998"/>
    <n v="194.73749999999998"/>
    <x v="2"/>
    <s v="2220"/>
    <s v="000"/>
    <x v="0"/>
    <x v="1"/>
  </r>
  <r>
    <d v="2012-10-28T00:00:00"/>
    <s v="018-2230-000"/>
    <s v="Wine Sales"/>
    <n v="46.294999999999995"/>
    <n v="0"/>
    <s v="Daily Sales Import"/>
    <n v="-46.294999999999995"/>
    <n v="46.294999999999995"/>
    <x v="2"/>
    <s v="2230"/>
    <s v="000"/>
    <x v="0"/>
    <x v="1"/>
  </r>
  <r>
    <d v="2012-10-29T00:00:00"/>
    <s v="016-2100-000"/>
    <s v="Food Sales"/>
    <n v="2039.7498000000001"/>
    <n v="0"/>
    <s v="Daily Sales Import"/>
    <n v="-2039.7498000000001"/>
    <n v="2039.7498000000001"/>
    <x v="0"/>
    <s v="2100"/>
    <s v="000"/>
    <x v="0"/>
    <x v="1"/>
  </r>
  <r>
    <d v="2012-10-29T00:00:00"/>
    <s v="016-2210-000"/>
    <s v="Liquor Sales"/>
    <n v="483.59999999999997"/>
    <n v="0"/>
    <s v="Daily Sales Import"/>
    <n v="-483.59999999999997"/>
    <n v="483.59999999999997"/>
    <x v="0"/>
    <s v="2210"/>
    <s v="000"/>
    <x v="0"/>
    <x v="1"/>
  </r>
  <r>
    <d v="2012-10-29T00:00:00"/>
    <s v="016-2220-000"/>
    <s v="Beer Sales"/>
    <n v="108.73199999999999"/>
    <n v="0"/>
    <s v="Daily Sales Import"/>
    <n v="-108.73199999999999"/>
    <n v="108.73199999999999"/>
    <x v="0"/>
    <s v="2220"/>
    <s v="000"/>
    <x v="0"/>
    <x v="1"/>
  </r>
  <r>
    <d v="2012-10-29T00:00:00"/>
    <s v="016-2230-000"/>
    <s v="Wine Sales"/>
    <n v="50.704499999999996"/>
    <n v="0"/>
    <s v="Daily Sales Import"/>
    <n v="-50.704499999999996"/>
    <n v="50.704499999999996"/>
    <x v="0"/>
    <s v="2230"/>
    <s v="000"/>
    <x v="0"/>
    <x v="1"/>
  </r>
  <r>
    <d v="2012-10-30T00:00:00"/>
    <s v="016-2100-000"/>
    <s v="Food Sales"/>
    <n v="4855.7047000000002"/>
    <n v="0"/>
    <s v="Daily Sales Import"/>
    <n v="-4855.7047000000002"/>
    <n v="4855.7047000000002"/>
    <x v="0"/>
    <s v="2100"/>
    <s v="000"/>
    <x v="0"/>
    <x v="1"/>
  </r>
  <r>
    <d v="2012-10-30T00:00:00"/>
    <s v="016-2210-000"/>
    <s v="Liquor Sales"/>
    <n v="1965.4290000000001"/>
    <n v="0"/>
    <s v="Daily Sales Import"/>
    <n v="-1965.4290000000001"/>
    <n v="1965.4290000000001"/>
    <x v="0"/>
    <s v="2210"/>
    <s v="000"/>
    <x v="0"/>
    <x v="1"/>
  </r>
  <r>
    <d v="2012-10-30T00:00:00"/>
    <s v="016-2220-000"/>
    <s v="Beer Sales"/>
    <n v="701.61839999999995"/>
    <n v="0"/>
    <s v="Daily Sales Import"/>
    <n v="-701.61839999999995"/>
    <n v="701.61839999999995"/>
    <x v="0"/>
    <s v="2220"/>
    <s v="000"/>
    <x v="0"/>
    <x v="1"/>
  </r>
  <r>
    <d v="2012-10-30T00:00:00"/>
    <s v="016-2230-000"/>
    <s v="Wine Sales"/>
    <n v="121.337"/>
    <n v="0"/>
    <s v="Daily Sales Import"/>
    <n v="-121.337"/>
    <n v="121.337"/>
    <x v="0"/>
    <s v="2230"/>
    <s v="000"/>
    <x v="0"/>
    <x v="1"/>
  </r>
  <r>
    <d v="2012-10-31T00:00:00"/>
    <s v="016-2100-000"/>
    <s v="Food Sales"/>
    <n v="2297.0198"/>
    <n v="0"/>
    <s v="Daily Sales Import"/>
    <n v="-2297.0198"/>
    <n v="2297.0198"/>
    <x v="0"/>
    <s v="2100"/>
    <s v="000"/>
    <x v="0"/>
    <x v="1"/>
  </r>
  <r>
    <d v="2012-10-31T00:00:00"/>
    <s v="016-2210-000"/>
    <s v="Liquor Sales"/>
    <n v="690.6825"/>
    <n v="0"/>
    <s v="Daily Sales Import"/>
    <n v="-690.6825"/>
    <n v="690.6825"/>
    <x v="0"/>
    <s v="2210"/>
    <s v="000"/>
    <x v="0"/>
    <x v="1"/>
  </r>
  <r>
    <d v="2012-10-31T00:00:00"/>
    <s v="016-2220-000"/>
    <s v="Beer Sales"/>
    <n v="94.784999999999997"/>
    <n v="0"/>
    <s v="Daily Sales Import"/>
    <n v="-94.784999999999997"/>
    <n v="94.784999999999997"/>
    <x v="0"/>
    <s v="2220"/>
    <s v="000"/>
    <x v="0"/>
    <x v="1"/>
  </r>
  <r>
    <d v="2012-10-31T00:00:00"/>
    <s v="016-2230-000"/>
    <s v="Wine Sales"/>
    <n v="26.476499999999998"/>
    <n v="0"/>
    <s v="Daily Sales Import"/>
    <n v="-26.476499999999998"/>
    <n v="26.476499999999998"/>
    <x v="0"/>
    <s v="2230"/>
    <s v="000"/>
    <x v="0"/>
    <x v="1"/>
  </r>
  <r>
    <d v="2012-11-01T00:00:00"/>
    <s v="016-2100-000"/>
    <s v="Food Sales"/>
    <n v="5128.8839999999991"/>
    <n v="0"/>
    <s v="Daily Sales Import"/>
    <n v="-5128.8839999999991"/>
    <n v="5128.8839999999991"/>
    <x v="0"/>
    <s v="2100"/>
    <s v="000"/>
    <x v="1"/>
    <x v="1"/>
  </r>
  <r>
    <d v="2012-11-01T00:00:00"/>
    <s v="016-2210-000"/>
    <s v="Liquor Sales"/>
    <n v="4608.6066000000001"/>
    <n v="0"/>
    <s v="Daily Sales Import"/>
    <n v="-4608.6066000000001"/>
    <n v="4608.6066000000001"/>
    <x v="0"/>
    <s v="2210"/>
    <s v="000"/>
    <x v="1"/>
    <x v="1"/>
  </r>
  <r>
    <d v="2012-11-01T00:00:00"/>
    <s v="016-2220-000"/>
    <s v="Beer Sales"/>
    <n v="1310.0175000000002"/>
    <n v="0"/>
    <s v="Daily Sales Import"/>
    <n v="-1310.0175000000002"/>
    <n v="1310.0175000000002"/>
    <x v="0"/>
    <s v="2220"/>
    <s v="000"/>
    <x v="1"/>
    <x v="1"/>
  </r>
  <r>
    <d v="2012-11-01T00:00:00"/>
    <s v="016-2230-000"/>
    <s v="Wine Sales"/>
    <n v="306.31500000000005"/>
    <n v="0"/>
    <s v="Daily Sales Import"/>
    <n v="-306.31500000000005"/>
    <n v="306.31500000000005"/>
    <x v="0"/>
    <s v="2230"/>
    <s v="000"/>
    <x v="1"/>
    <x v="1"/>
  </r>
  <r>
    <d v="2012-11-02T00:00:00"/>
    <s v="016-2100-000"/>
    <s v="Food Sales"/>
    <n v="8706.5579999999991"/>
    <n v="0"/>
    <s v="Daily Sales Import"/>
    <n v="-8706.5579999999991"/>
    <n v="8706.5579999999991"/>
    <x v="0"/>
    <s v="2100"/>
    <s v="000"/>
    <x v="1"/>
    <x v="1"/>
  </r>
  <r>
    <d v="2012-11-02T00:00:00"/>
    <s v="016-2210-000"/>
    <s v="Liquor Sales"/>
    <n v="3940.288"/>
    <n v="0"/>
    <s v="Daily Sales Import"/>
    <n v="-3940.288"/>
    <n v="3940.288"/>
    <x v="0"/>
    <s v="2210"/>
    <s v="000"/>
    <x v="1"/>
    <x v="1"/>
  </r>
  <r>
    <d v="2012-11-02T00:00:00"/>
    <s v="016-2220-000"/>
    <s v="Beer Sales"/>
    <n v="943.48800000000006"/>
    <n v="0"/>
    <s v="Daily Sales Import"/>
    <n v="-943.48800000000006"/>
    <n v="943.48800000000006"/>
    <x v="0"/>
    <s v="2220"/>
    <s v="000"/>
    <x v="1"/>
    <x v="1"/>
  </r>
  <r>
    <d v="2012-11-02T00:00:00"/>
    <s v="016-2230-000"/>
    <s v="Wine Sales"/>
    <n v="244.30500000000001"/>
    <n v="0"/>
    <s v="Daily Sales Import"/>
    <n v="-244.30500000000001"/>
    <n v="244.30500000000001"/>
    <x v="0"/>
    <s v="2230"/>
    <s v="000"/>
    <x v="1"/>
    <x v="1"/>
  </r>
  <r>
    <d v="2012-11-03T00:00:00"/>
    <s v="016-2100-000"/>
    <s v="Food Sales"/>
    <n v="6596.9679999999998"/>
    <n v="0"/>
    <s v="Daily Sales Import"/>
    <n v="-6596.9679999999998"/>
    <n v="6596.9679999999998"/>
    <x v="0"/>
    <s v="2100"/>
    <s v="000"/>
    <x v="1"/>
    <x v="1"/>
  </r>
  <r>
    <d v="2012-11-03T00:00:00"/>
    <s v="016-2210-000"/>
    <s v="Liquor Sales"/>
    <n v="1628.5179999999998"/>
    <n v="0"/>
    <s v="Daily Sales Import"/>
    <n v="-1628.5179999999998"/>
    <n v="1628.5179999999998"/>
    <x v="0"/>
    <s v="2210"/>
    <s v="000"/>
    <x v="1"/>
    <x v="1"/>
  </r>
  <r>
    <d v="2012-11-03T00:00:00"/>
    <s v="016-2220-000"/>
    <s v="Beer Sales"/>
    <n v="291.62399999999997"/>
    <n v="0"/>
    <s v="Daily Sales Import"/>
    <n v="-291.62399999999997"/>
    <n v="291.62399999999997"/>
    <x v="0"/>
    <s v="2220"/>
    <s v="000"/>
    <x v="1"/>
    <x v="1"/>
  </r>
  <r>
    <d v="2012-11-03T00:00:00"/>
    <s v="016-2230-000"/>
    <s v="Wine Sales"/>
    <n v="212.70400000000001"/>
    <n v="0"/>
    <s v="Daily Sales Import"/>
    <n v="-212.70400000000001"/>
    <n v="212.70400000000001"/>
    <x v="0"/>
    <s v="2230"/>
    <s v="000"/>
    <x v="1"/>
    <x v="1"/>
  </r>
  <r>
    <d v="2012-11-04T00:00:00"/>
    <s v="016-2100-000"/>
    <s v="Food Sales"/>
    <n v="4856.0257000000001"/>
    <n v="0"/>
    <s v="Daily Sales Import"/>
    <n v="-4856.0257000000001"/>
    <n v="4856.0257000000001"/>
    <x v="0"/>
    <s v="2100"/>
    <s v="000"/>
    <x v="1"/>
    <x v="1"/>
  </r>
  <r>
    <d v="2012-11-04T00:00:00"/>
    <s v="016-2210-000"/>
    <s v="Liquor Sales"/>
    <n v="867.048"/>
    <n v="0"/>
    <s v="Daily Sales Import"/>
    <n v="-867.048"/>
    <n v="867.048"/>
    <x v="0"/>
    <s v="2210"/>
    <s v="000"/>
    <x v="1"/>
    <x v="1"/>
  </r>
  <r>
    <d v="2012-11-04T00:00:00"/>
    <s v="016-2220-000"/>
    <s v="Beer Sales"/>
    <n v="170.74799999999999"/>
    <n v="0"/>
    <s v="Daily Sales Import"/>
    <n v="-170.74799999999999"/>
    <n v="170.74799999999999"/>
    <x v="0"/>
    <s v="2220"/>
    <s v="000"/>
    <x v="1"/>
    <x v="1"/>
  </r>
  <r>
    <d v="2012-11-04T00:00:00"/>
    <s v="016-2230-000"/>
    <s v="Wine Sales"/>
    <n v="230.43699999999998"/>
    <n v="0"/>
    <s v="Daily Sales Import"/>
    <n v="-230.43699999999998"/>
    <n v="230.43699999999998"/>
    <x v="0"/>
    <s v="2230"/>
    <s v="000"/>
    <x v="1"/>
    <x v="1"/>
  </r>
  <r>
    <d v="2012-10-29T00:00:00"/>
    <s v="017-2100-000"/>
    <s v="Food Sales"/>
    <n v="4706.8385000000007"/>
    <n v="0"/>
    <s v="Daily Sales Import"/>
    <n v="-4706.8385000000007"/>
    <n v="4706.8385000000007"/>
    <x v="1"/>
    <s v="2100"/>
    <s v="000"/>
    <x v="0"/>
    <x v="1"/>
  </r>
  <r>
    <d v="2012-10-29T00:00:00"/>
    <s v="017-2210-000"/>
    <s v="Liquor Sales"/>
    <n v="1473.6219999999998"/>
    <n v="0"/>
    <s v="Daily Sales Import"/>
    <n v="-1473.6219999999998"/>
    <n v="1473.6219999999998"/>
    <x v="1"/>
    <s v="2210"/>
    <s v="000"/>
    <x v="0"/>
    <x v="1"/>
  </r>
  <r>
    <d v="2012-10-29T00:00:00"/>
    <s v="017-2220-000"/>
    <s v="Beer Sales"/>
    <n v="261.95"/>
    <n v="0"/>
    <s v="Daily Sales Import"/>
    <n v="-261.95"/>
    <n v="261.95"/>
    <x v="1"/>
    <s v="2220"/>
    <s v="000"/>
    <x v="0"/>
    <x v="1"/>
  </r>
  <r>
    <d v="2012-10-29T00:00:00"/>
    <s v="017-2230-000"/>
    <s v="Wine Sales"/>
    <n v="131.29"/>
    <n v="0"/>
    <s v="Daily Sales Import"/>
    <n v="-131.29"/>
    <n v="131.29"/>
    <x v="1"/>
    <s v="2230"/>
    <s v="000"/>
    <x v="0"/>
    <x v="1"/>
  </r>
  <r>
    <d v="2012-10-30T00:00:00"/>
    <s v="017-2100-000"/>
    <s v="Food Sales"/>
    <n v="5154.6239999999998"/>
    <n v="0"/>
    <s v="Daily Sales Import"/>
    <n v="-5154.6239999999998"/>
    <n v="5154.6239999999998"/>
    <x v="1"/>
    <s v="2100"/>
    <s v="000"/>
    <x v="0"/>
    <x v="1"/>
  </r>
  <r>
    <d v="2012-10-30T00:00:00"/>
    <s v="017-2210-000"/>
    <s v="Liquor Sales"/>
    <n v="1031.556"/>
    <n v="0"/>
    <s v="Daily Sales Import"/>
    <n v="-1031.556"/>
    <n v="1031.556"/>
    <x v="1"/>
    <s v="2210"/>
    <s v="000"/>
    <x v="0"/>
    <x v="1"/>
  </r>
  <r>
    <d v="2012-10-30T00:00:00"/>
    <s v="017-2220-000"/>
    <s v="Beer Sales"/>
    <n v="229.6"/>
    <n v="0"/>
    <s v="Daily Sales Import"/>
    <n v="-229.6"/>
    <n v="229.6"/>
    <x v="1"/>
    <s v="2220"/>
    <s v="000"/>
    <x v="0"/>
    <x v="1"/>
  </r>
  <r>
    <d v="2012-10-30T00:00:00"/>
    <s v="017-2230-000"/>
    <s v="Wine Sales"/>
    <n v="89.212499999999991"/>
    <n v="0"/>
    <s v="Daily Sales Import"/>
    <n v="-89.212499999999991"/>
    <n v="89.212499999999991"/>
    <x v="1"/>
    <s v="2230"/>
    <s v="000"/>
    <x v="0"/>
    <x v="1"/>
  </r>
  <r>
    <d v="2012-10-31T00:00:00"/>
    <s v="017-2100-000"/>
    <s v="Food Sales"/>
    <n v="4985.4480000000003"/>
    <n v="0"/>
    <s v="Daily Sales Import"/>
    <n v="-4985.4480000000003"/>
    <n v="4985.4480000000003"/>
    <x v="1"/>
    <s v="2100"/>
    <s v="000"/>
    <x v="0"/>
    <x v="1"/>
  </r>
  <r>
    <d v="2012-10-31T00:00:00"/>
    <s v="017-2210-000"/>
    <s v="Liquor Sales"/>
    <n v="871.3125"/>
    <n v="0"/>
    <s v="Daily Sales Import"/>
    <n v="-871.3125"/>
    <n v="871.3125"/>
    <x v="1"/>
    <s v="2210"/>
    <s v="000"/>
    <x v="0"/>
    <x v="1"/>
  </r>
  <r>
    <d v="2012-10-31T00:00:00"/>
    <s v="017-2220-000"/>
    <s v="Beer Sales"/>
    <n v="132.97999999999999"/>
    <n v="0"/>
    <s v="Daily Sales Import"/>
    <n v="-132.97999999999999"/>
    <n v="132.97999999999999"/>
    <x v="1"/>
    <s v="2220"/>
    <s v="000"/>
    <x v="0"/>
    <x v="1"/>
  </r>
  <r>
    <d v="2012-10-31T00:00:00"/>
    <s v="017-2230-000"/>
    <s v="Wine Sales"/>
    <n v="58.089000000000006"/>
    <n v="0"/>
    <s v="Daily Sales Import"/>
    <n v="-58.089000000000006"/>
    <n v="58.089000000000006"/>
    <x v="1"/>
    <s v="2230"/>
    <s v="000"/>
    <x v="0"/>
    <x v="1"/>
  </r>
  <r>
    <d v="2012-11-01T00:00:00"/>
    <s v="017-2100-000"/>
    <s v="Food Sales"/>
    <n v="5145.5550000000003"/>
    <n v="0"/>
    <s v="Daily Sales Import"/>
    <n v="-5145.5550000000003"/>
    <n v="5145.5550000000003"/>
    <x v="1"/>
    <s v="2100"/>
    <s v="000"/>
    <x v="1"/>
    <x v="1"/>
  </r>
  <r>
    <d v="2012-11-01T00:00:00"/>
    <s v="017-2210-000"/>
    <s v="Liquor Sales"/>
    <n v="1672.8439999999998"/>
    <n v="0"/>
    <s v="Daily Sales Import"/>
    <n v="-1672.8439999999998"/>
    <n v="1672.8439999999998"/>
    <x v="1"/>
    <s v="2210"/>
    <s v="000"/>
    <x v="1"/>
    <x v="1"/>
  </r>
  <r>
    <d v="2012-11-01T00:00:00"/>
    <s v="017-2220-000"/>
    <s v="Beer Sales"/>
    <n v="515.28250000000003"/>
    <n v="0"/>
    <s v="Daily Sales Import"/>
    <n v="-515.28250000000003"/>
    <n v="515.28250000000003"/>
    <x v="1"/>
    <s v="2220"/>
    <s v="000"/>
    <x v="1"/>
    <x v="1"/>
  </r>
  <r>
    <d v="2012-11-01T00:00:00"/>
    <s v="017-2230-000"/>
    <s v="Wine Sales"/>
    <n v="216.154"/>
    <n v="0"/>
    <s v="Daily Sales Import"/>
    <n v="-216.154"/>
    <n v="216.154"/>
    <x v="1"/>
    <s v="2230"/>
    <s v="000"/>
    <x v="1"/>
    <x v="1"/>
  </r>
  <r>
    <d v="2012-11-02T00:00:00"/>
    <s v="017-2100-000"/>
    <s v="Food Sales"/>
    <n v="7042.8140999999996"/>
    <n v="0"/>
    <s v="Daily Sales Import"/>
    <n v="-7042.8140999999996"/>
    <n v="7042.8140999999996"/>
    <x v="1"/>
    <s v="2100"/>
    <s v="000"/>
    <x v="1"/>
    <x v="1"/>
  </r>
  <r>
    <d v="2012-11-02T00:00:00"/>
    <s v="017-2210-000"/>
    <s v="Liquor Sales"/>
    <n v="2892.8339999999998"/>
    <n v="0"/>
    <s v="Daily Sales Import"/>
    <n v="-2892.8339999999998"/>
    <n v="2892.8339999999998"/>
    <x v="1"/>
    <s v="2210"/>
    <s v="000"/>
    <x v="1"/>
    <x v="1"/>
  </r>
  <r>
    <d v="2012-11-02T00:00:00"/>
    <s v="017-2220-000"/>
    <s v="Beer Sales"/>
    <n v="428.3725"/>
    <n v="0"/>
    <s v="Daily Sales Import"/>
    <n v="-428.3725"/>
    <n v="428.3725"/>
    <x v="1"/>
    <s v="2220"/>
    <s v="000"/>
    <x v="1"/>
    <x v="1"/>
  </r>
  <r>
    <d v="2012-11-02T00:00:00"/>
    <s v="017-2230-000"/>
    <s v="Wine Sales"/>
    <n v="218.31750000000002"/>
    <n v="0"/>
    <s v="Daily Sales Import"/>
    <n v="-218.31750000000002"/>
    <n v="218.31750000000002"/>
    <x v="1"/>
    <s v="2230"/>
    <s v="000"/>
    <x v="1"/>
    <x v="1"/>
  </r>
  <r>
    <d v="2012-11-03T00:00:00"/>
    <s v="017-2100-000"/>
    <s v="Food Sales"/>
    <n v="7001.6817000000001"/>
    <n v="0"/>
    <s v="Daily Sales Import"/>
    <n v="-7001.6817000000001"/>
    <n v="7001.6817000000001"/>
    <x v="1"/>
    <s v="2100"/>
    <s v="000"/>
    <x v="1"/>
    <x v="1"/>
  </r>
  <r>
    <d v="2012-11-03T00:00:00"/>
    <s v="017-2210-000"/>
    <s v="Liquor Sales"/>
    <n v="1865.1974999999998"/>
    <n v="0"/>
    <s v="Daily Sales Import"/>
    <n v="-1865.1974999999998"/>
    <n v="1865.1974999999998"/>
    <x v="1"/>
    <s v="2210"/>
    <s v="000"/>
    <x v="1"/>
    <x v="1"/>
  </r>
  <r>
    <d v="2012-11-03T00:00:00"/>
    <s v="017-2220-000"/>
    <s v="Beer Sales"/>
    <n v="323.01"/>
    <n v="0"/>
    <s v="Daily Sales Import"/>
    <n v="-323.01"/>
    <n v="323.01"/>
    <x v="1"/>
    <s v="2220"/>
    <s v="000"/>
    <x v="1"/>
    <x v="1"/>
  </r>
  <r>
    <d v="2012-11-03T00:00:00"/>
    <s v="017-2230-000"/>
    <s v="Wine Sales"/>
    <n v="104.21400000000001"/>
    <n v="0"/>
    <s v="Daily Sales Import"/>
    <n v="-104.21400000000001"/>
    <n v="104.21400000000001"/>
    <x v="1"/>
    <s v="2230"/>
    <s v="000"/>
    <x v="1"/>
    <x v="1"/>
  </r>
  <r>
    <d v="2012-11-04T00:00:00"/>
    <s v="017-2100-000"/>
    <s v="Food Sales"/>
    <n v="5484.3577999999998"/>
    <n v="0"/>
    <s v="Daily Sales Import"/>
    <n v="-5484.3577999999998"/>
    <n v="5484.3577999999998"/>
    <x v="1"/>
    <s v="2100"/>
    <s v="000"/>
    <x v="1"/>
    <x v="1"/>
  </r>
  <r>
    <d v="2012-11-04T00:00:00"/>
    <s v="017-2210-000"/>
    <s v="Liquor Sales"/>
    <n v="630.20999999999992"/>
    <n v="0"/>
    <s v="Daily Sales Import"/>
    <n v="-630.20999999999992"/>
    <n v="630.20999999999992"/>
    <x v="1"/>
    <s v="2210"/>
    <s v="000"/>
    <x v="1"/>
    <x v="1"/>
  </r>
  <r>
    <d v="2012-11-04T00:00:00"/>
    <s v="017-2220-000"/>
    <s v="Beer Sales"/>
    <n v="101.44"/>
    <n v="0"/>
    <s v="Daily Sales Import"/>
    <n v="-101.44"/>
    <n v="101.44"/>
    <x v="1"/>
    <s v="2220"/>
    <s v="000"/>
    <x v="1"/>
    <x v="1"/>
  </r>
  <r>
    <d v="2012-11-04T00:00:00"/>
    <s v="017-2230-000"/>
    <s v="Wine Sales"/>
    <n v="65.975000000000009"/>
    <n v="0"/>
    <s v="Daily Sales Import"/>
    <n v="-65.975000000000009"/>
    <n v="65.975000000000009"/>
    <x v="1"/>
    <s v="2230"/>
    <s v="000"/>
    <x v="1"/>
    <x v="1"/>
  </r>
  <r>
    <d v="2012-10-29T00:00:00"/>
    <s v="018-2100-000"/>
    <s v="Food Sales"/>
    <n v="791.99119999999994"/>
    <n v="0"/>
    <s v="Daily Sales Import"/>
    <n v="-791.99119999999994"/>
    <n v="791.99119999999994"/>
    <x v="2"/>
    <s v="2100"/>
    <s v="000"/>
    <x v="0"/>
    <x v="1"/>
  </r>
  <r>
    <d v="2012-10-29T00:00:00"/>
    <s v="018-2210-000"/>
    <s v="Liquor Sales"/>
    <n v="179.22450000000001"/>
    <n v="0"/>
    <s v="Daily Sales Import"/>
    <n v="-179.22450000000001"/>
    <n v="179.22450000000001"/>
    <x v="2"/>
    <s v="2210"/>
    <s v="000"/>
    <x v="0"/>
    <x v="1"/>
  </r>
  <r>
    <d v="2012-10-29T00:00:00"/>
    <s v="018-2220-000"/>
    <s v="Beer Sales"/>
    <n v="15.093000000000002"/>
    <n v="0"/>
    <s v="Daily Sales Import"/>
    <n v="-15.093000000000002"/>
    <n v="15.093000000000002"/>
    <x v="2"/>
    <s v="2220"/>
    <s v="000"/>
    <x v="0"/>
    <x v="1"/>
  </r>
  <r>
    <d v="2012-10-30T00:00:00"/>
    <s v="018-2100-000"/>
    <s v="Food Sales"/>
    <n v="10984.773999999999"/>
    <n v="0"/>
    <s v="Daily Sales Import"/>
    <n v="-10984.773999999999"/>
    <n v="10984.773999999999"/>
    <x v="2"/>
    <s v="2100"/>
    <s v="000"/>
    <x v="0"/>
    <x v="1"/>
  </r>
  <r>
    <d v="2012-10-30T00:00:00"/>
    <s v="018-2210-000"/>
    <s v="Liquor Sales"/>
    <n v="1088.4335000000001"/>
    <n v="0"/>
    <s v="Daily Sales Import"/>
    <n v="-1088.4335000000001"/>
    <n v="1088.4335000000001"/>
    <x v="2"/>
    <s v="2210"/>
    <s v="000"/>
    <x v="0"/>
    <x v="1"/>
  </r>
  <r>
    <d v="2012-10-30T00:00:00"/>
    <s v="018-2220-000"/>
    <s v="Beer Sales"/>
    <n v="447.61500000000001"/>
    <n v="0"/>
    <s v="Daily Sales Import"/>
    <n v="-447.61500000000001"/>
    <n v="447.61500000000001"/>
    <x v="2"/>
    <s v="2220"/>
    <s v="000"/>
    <x v="0"/>
    <x v="1"/>
  </r>
  <r>
    <d v="2012-10-30T00:00:00"/>
    <s v="018-2230-000"/>
    <s v="Wine Sales"/>
    <n v="75.905000000000001"/>
    <n v="0"/>
    <s v="Daily Sales Import"/>
    <n v="-75.905000000000001"/>
    <n v="75.905000000000001"/>
    <x v="2"/>
    <s v="2230"/>
    <s v="000"/>
    <x v="0"/>
    <x v="1"/>
  </r>
  <r>
    <d v="2012-10-31T00:00:00"/>
    <s v="018-2100-000"/>
    <s v="Food Sales"/>
    <n v="4004.6526000000003"/>
    <n v="0"/>
    <s v="Daily Sales Import"/>
    <n v="-4004.6526000000003"/>
    <n v="4004.6526000000003"/>
    <x v="2"/>
    <s v="2100"/>
    <s v="000"/>
    <x v="0"/>
    <x v="1"/>
  </r>
  <r>
    <d v="2012-10-31T00:00:00"/>
    <s v="018-2210-000"/>
    <s v="Liquor Sales"/>
    <n v="509.89500000000004"/>
    <n v="0"/>
    <s v="Daily Sales Import"/>
    <n v="-509.89500000000004"/>
    <n v="509.89500000000004"/>
    <x v="2"/>
    <s v="2210"/>
    <s v="000"/>
    <x v="0"/>
    <x v="1"/>
  </r>
  <r>
    <d v="2012-10-31T00:00:00"/>
    <s v="018-2220-000"/>
    <s v="Beer Sales"/>
    <n v="225.88200000000001"/>
    <n v="0"/>
    <s v="Daily Sales Import"/>
    <n v="-225.88200000000001"/>
    <n v="225.88200000000001"/>
    <x v="2"/>
    <s v="2220"/>
    <s v="000"/>
    <x v="0"/>
    <x v="1"/>
  </r>
  <r>
    <d v="2012-10-31T00:00:00"/>
    <s v="018-2230-000"/>
    <s v="Wine Sales"/>
    <n v="70.372"/>
    <n v="0"/>
    <s v="Daily Sales Import"/>
    <n v="-70.372"/>
    <n v="70.372"/>
    <x v="2"/>
    <s v="2230"/>
    <s v="000"/>
    <x v="0"/>
    <x v="1"/>
  </r>
  <r>
    <d v="2012-11-01T00:00:00"/>
    <s v="018-2100-000"/>
    <s v="Food Sales"/>
    <n v="4221.0479999999998"/>
    <n v="0"/>
    <s v="Daily Sales Import"/>
    <n v="-4221.0479999999998"/>
    <n v="4221.0479999999998"/>
    <x v="2"/>
    <s v="2100"/>
    <s v="000"/>
    <x v="1"/>
    <x v="1"/>
  </r>
  <r>
    <d v="2012-11-01T00:00:00"/>
    <s v="018-2210-000"/>
    <s v="Liquor Sales"/>
    <n v="1205.4549999999999"/>
    <n v="0"/>
    <s v="Daily Sales Import"/>
    <n v="-1205.4549999999999"/>
    <n v="1205.4549999999999"/>
    <x v="2"/>
    <s v="2210"/>
    <s v="000"/>
    <x v="1"/>
    <x v="1"/>
  </r>
  <r>
    <d v="2012-11-01T00:00:00"/>
    <s v="018-2220-000"/>
    <s v="Beer Sales"/>
    <n v="235.18799999999999"/>
    <n v="0"/>
    <s v="Daily Sales Import"/>
    <n v="-235.18799999999999"/>
    <n v="235.18799999999999"/>
    <x v="2"/>
    <s v="2220"/>
    <s v="000"/>
    <x v="1"/>
    <x v="1"/>
  </r>
  <r>
    <d v="2012-11-01T00:00:00"/>
    <s v="018-2230-000"/>
    <s v="Wine Sales"/>
    <n v="102.99199999999999"/>
    <n v="0"/>
    <s v="Daily Sales Import"/>
    <n v="-102.99199999999999"/>
    <n v="102.99199999999999"/>
    <x v="2"/>
    <s v="2230"/>
    <s v="000"/>
    <x v="1"/>
    <x v="1"/>
  </r>
  <r>
    <d v="2012-11-02T00:00:00"/>
    <s v="018-2100-000"/>
    <s v="Food Sales"/>
    <n v="11262.498000000001"/>
    <n v="0"/>
    <s v="Daily Sales Import"/>
    <n v="-11262.498000000001"/>
    <n v="11262.498000000001"/>
    <x v="2"/>
    <s v="2100"/>
    <s v="000"/>
    <x v="1"/>
    <x v="1"/>
  </r>
  <r>
    <d v="2012-11-02T00:00:00"/>
    <s v="018-2210-000"/>
    <s v="Liquor Sales"/>
    <n v="1898.5400000000002"/>
    <n v="0"/>
    <s v="Daily Sales Import"/>
    <n v="-1898.5400000000002"/>
    <n v="1898.5400000000002"/>
    <x v="2"/>
    <s v="2210"/>
    <s v="000"/>
    <x v="1"/>
    <x v="1"/>
  </r>
  <r>
    <d v="2012-11-02T00:00:00"/>
    <s v="018-2220-000"/>
    <s v="Beer Sales"/>
    <n v="879.35"/>
    <n v="0"/>
    <s v="Daily Sales Import"/>
    <n v="-879.35"/>
    <n v="879.35"/>
    <x v="2"/>
    <s v="2220"/>
    <s v="000"/>
    <x v="1"/>
    <x v="1"/>
  </r>
  <r>
    <d v="2012-11-02T00:00:00"/>
    <s v="018-2230-000"/>
    <s v="Wine Sales"/>
    <n v="162.70349999999999"/>
    <n v="0"/>
    <s v="Daily Sales Import"/>
    <n v="-162.70349999999999"/>
    <n v="162.70349999999999"/>
    <x v="2"/>
    <s v="2230"/>
    <s v="000"/>
    <x v="1"/>
    <x v="1"/>
  </r>
  <r>
    <d v="2012-11-03T00:00:00"/>
    <s v="018-2100-000"/>
    <s v="Food Sales"/>
    <n v="17824.632000000001"/>
    <n v="0"/>
    <s v="Daily Sales Import"/>
    <n v="-17824.632000000001"/>
    <n v="17824.632000000001"/>
    <x v="2"/>
    <s v="2100"/>
    <s v="000"/>
    <x v="1"/>
    <x v="1"/>
  </r>
  <r>
    <d v="2012-11-03T00:00:00"/>
    <s v="018-2210-000"/>
    <s v="Liquor Sales"/>
    <n v="2607.9899999999998"/>
    <n v="0"/>
    <s v="Daily Sales Import"/>
    <n v="-2607.9899999999998"/>
    <n v="2607.9899999999998"/>
    <x v="2"/>
    <s v="2210"/>
    <s v="000"/>
    <x v="1"/>
    <x v="1"/>
  </r>
  <r>
    <d v="2012-11-03T00:00:00"/>
    <s v="018-2220-000"/>
    <s v="Beer Sales"/>
    <n v="1354.2165000000002"/>
    <n v="0"/>
    <s v="Daily Sales Import"/>
    <n v="-1354.2165000000002"/>
    <n v="1354.2165000000002"/>
    <x v="2"/>
    <s v="2220"/>
    <s v="000"/>
    <x v="1"/>
    <x v="1"/>
  </r>
  <r>
    <d v="2012-11-03T00:00:00"/>
    <s v="018-2230-000"/>
    <s v="Wine Sales"/>
    <n v="166.375"/>
    <n v="0"/>
    <s v="Daily Sales Import"/>
    <n v="-166.375"/>
    <n v="166.375"/>
    <x v="2"/>
    <s v="2230"/>
    <s v="000"/>
    <x v="1"/>
    <x v="1"/>
  </r>
  <r>
    <d v="2012-11-04T00:00:00"/>
    <s v="018-2100-000"/>
    <s v="Food Sales"/>
    <n v="8412.7400000000016"/>
    <n v="0"/>
    <s v="Daily Sales Import"/>
    <n v="-8412.7400000000016"/>
    <n v="8412.7400000000016"/>
    <x v="2"/>
    <s v="2100"/>
    <s v="000"/>
    <x v="1"/>
    <x v="1"/>
  </r>
  <r>
    <d v="2012-11-04T00:00:00"/>
    <s v="018-2210-000"/>
    <s v="Liquor Sales"/>
    <n v="1442.79"/>
    <n v="0"/>
    <s v="Daily Sales Import"/>
    <n v="-1442.79"/>
    <n v="1442.79"/>
    <x v="2"/>
    <s v="2210"/>
    <s v="000"/>
    <x v="1"/>
    <x v="1"/>
  </r>
  <r>
    <d v="2012-11-04T00:00:00"/>
    <s v="018-2220-000"/>
    <s v="Beer Sales"/>
    <n v="340.12800000000004"/>
    <n v="0"/>
    <s v="Daily Sales Import"/>
    <n v="-340.12800000000004"/>
    <n v="340.12800000000004"/>
    <x v="2"/>
    <s v="2220"/>
    <s v="000"/>
    <x v="1"/>
    <x v="1"/>
  </r>
  <r>
    <d v="2012-11-04T00:00:00"/>
    <s v="018-2230-000"/>
    <s v="Wine Sales"/>
    <n v="83.887499999999989"/>
    <n v="0"/>
    <s v="Daily Sales Import"/>
    <n v="-83.887499999999989"/>
    <n v="83.887499999999989"/>
    <x v="2"/>
    <s v="2230"/>
    <s v="000"/>
    <x v="1"/>
    <x v="1"/>
  </r>
  <r>
    <d v="2012-11-05T00:00:00"/>
    <s v="016-2100-000"/>
    <s v="Food Sales"/>
    <n v="2566.0823999999998"/>
    <n v="0"/>
    <s v="Daily Sales Import"/>
    <n v="-2566.0823999999998"/>
    <n v="2566.0823999999998"/>
    <x v="0"/>
    <s v="2100"/>
    <s v="000"/>
    <x v="1"/>
    <x v="1"/>
  </r>
  <r>
    <d v="2012-11-05T00:00:00"/>
    <s v="016-2210-000"/>
    <s v="Liquor Sales"/>
    <n v="381.56800000000004"/>
    <n v="0"/>
    <s v="Daily Sales Import"/>
    <n v="-381.56800000000004"/>
    <n v="381.56800000000004"/>
    <x v="0"/>
    <s v="2210"/>
    <s v="000"/>
    <x v="1"/>
    <x v="1"/>
  </r>
  <r>
    <d v="2012-11-05T00:00:00"/>
    <s v="016-2220-000"/>
    <s v="Beer Sales"/>
    <n v="67.099500000000006"/>
    <n v="0"/>
    <s v="Daily Sales Import"/>
    <n v="-67.099500000000006"/>
    <n v="67.099500000000006"/>
    <x v="0"/>
    <s v="2220"/>
    <s v="000"/>
    <x v="1"/>
    <x v="1"/>
  </r>
  <r>
    <d v="2012-11-05T00:00:00"/>
    <s v="016-2230-000"/>
    <s v="Wine Sales"/>
    <n v="6.9309999999999992"/>
    <n v="0"/>
    <s v="Daily Sales Import"/>
    <n v="-6.9309999999999992"/>
    <n v="6.9309999999999992"/>
    <x v="0"/>
    <s v="2230"/>
    <s v="000"/>
    <x v="1"/>
    <x v="1"/>
  </r>
  <r>
    <d v="2012-11-06T00:00:00"/>
    <s v="016-2100-000"/>
    <s v="Food Sales"/>
    <n v="6083.7420000000002"/>
    <n v="0"/>
    <s v="Daily Sales Import"/>
    <n v="-6083.7420000000002"/>
    <n v="6083.7420000000002"/>
    <x v="0"/>
    <s v="2100"/>
    <s v="000"/>
    <x v="1"/>
    <x v="1"/>
  </r>
  <r>
    <d v="2012-11-06T00:00:00"/>
    <s v="016-2210-000"/>
    <s v="Liquor Sales"/>
    <n v="2209.4304999999999"/>
    <n v="0"/>
    <s v="Daily Sales Import"/>
    <n v="-2209.4304999999999"/>
    <n v="2209.4304999999999"/>
    <x v="0"/>
    <s v="2210"/>
    <s v="000"/>
    <x v="1"/>
    <x v="1"/>
  </r>
  <r>
    <d v="2012-11-06T00:00:00"/>
    <s v="016-2220-000"/>
    <s v="Beer Sales"/>
    <n v="745.55159999999989"/>
    <n v="0"/>
    <s v="Daily Sales Import"/>
    <n v="-745.55159999999989"/>
    <n v="745.55159999999989"/>
    <x v="0"/>
    <s v="2220"/>
    <s v="000"/>
    <x v="1"/>
    <x v="1"/>
  </r>
  <r>
    <d v="2012-11-06T00:00:00"/>
    <s v="016-2230-000"/>
    <s v="Wine Sales"/>
    <n v="174.173"/>
    <n v="0"/>
    <s v="Daily Sales Import"/>
    <n v="-174.173"/>
    <n v="174.173"/>
    <x v="0"/>
    <s v="2230"/>
    <s v="000"/>
    <x v="1"/>
    <x v="1"/>
  </r>
  <r>
    <d v="2012-11-07T00:00:00"/>
    <s v="016-2100-000"/>
    <s v="Food Sales"/>
    <n v="2239.3139999999999"/>
    <n v="0"/>
    <s v="Daily Sales Import"/>
    <n v="-2239.3139999999999"/>
    <n v="2239.3139999999999"/>
    <x v="0"/>
    <s v="2100"/>
    <s v="000"/>
    <x v="1"/>
    <x v="1"/>
  </r>
  <r>
    <d v="2012-11-07T00:00:00"/>
    <s v="016-2210-000"/>
    <s v="Liquor Sales"/>
    <n v="468.6"/>
    <n v="0"/>
    <s v="Daily Sales Import"/>
    <n v="-468.6"/>
    <n v="468.6"/>
    <x v="0"/>
    <s v="2210"/>
    <s v="000"/>
    <x v="1"/>
    <x v="1"/>
  </r>
  <r>
    <d v="2012-11-07T00:00:00"/>
    <s v="016-2220-000"/>
    <s v="Beer Sales"/>
    <n v="193.61249999999998"/>
    <n v="0"/>
    <s v="Daily Sales Import"/>
    <n v="-193.61249999999998"/>
    <n v="193.61249999999998"/>
    <x v="0"/>
    <s v="2220"/>
    <s v="000"/>
    <x v="1"/>
    <x v="1"/>
  </r>
  <r>
    <d v="2012-11-07T00:00:00"/>
    <s v="016-2230-000"/>
    <s v="Wine Sales"/>
    <n v="96.453999999999994"/>
    <n v="0"/>
    <s v="Daily Sales Import"/>
    <n v="-96.453999999999994"/>
    <n v="96.453999999999994"/>
    <x v="0"/>
    <s v="2230"/>
    <s v="000"/>
    <x v="1"/>
    <x v="1"/>
  </r>
  <r>
    <d v="2012-11-08T00:00:00"/>
    <s v="016-2100-000"/>
    <s v="Food Sales"/>
    <n v="2164.5360000000001"/>
    <n v="0"/>
    <s v="Daily Sales Import"/>
    <n v="-2164.5360000000001"/>
    <n v="2164.5360000000001"/>
    <x v="0"/>
    <s v="2100"/>
    <s v="000"/>
    <x v="1"/>
    <x v="1"/>
  </r>
  <r>
    <d v="2012-11-08T00:00:00"/>
    <s v="016-2210-000"/>
    <s v="Liquor Sales"/>
    <n v="870.86650000000009"/>
    <n v="0"/>
    <s v="Daily Sales Import"/>
    <n v="-870.86650000000009"/>
    <n v="870.86650000000009"/>
    <x v="0"/>
    <s v="2210"/>
    <s v="000"/>
    <x v="1"/>
    <x v="1"/>
  </r>
  <r>
    <d v="2012-11-08T00:00:00"/>
    <s v="016-2220-000"/>
    <s v="Beer Sales"/>
    <n v="163.59479999999999"/>
    <n v="0"/>
    <s v="Daily Sales Import"/>
    <n v="-163.59479999999999"/>
    <n v="163.59479999999999"/>
    <x v="0"/>
    <s v="2220"/>
    <s v="000"/>
    <x v="1"/>
    <x v="1"/>
  </r>
  <r>
    <d v="2012-11-08T00:00:00"/>
    <s v="016-2230-000"/>
    <s v="Wine Sales"/>
    <n v="159.3766"/>
    <n v="0"/>
    <s v="Daily Sales Import"/>
    <n v="-159.3766"/>
    <n v="159.3766"/>
    <x v="0"/>
    <s v="2230"/>
    <s v="000"/>
    <x v="1"/>
    <x v="1"/>
  </r>
  <r>
    <d v="2012-11-09T00:00:00"/>
    <s v="016-2100-000"/>
    <s v="Food Sales"/>
    <n v="5582.3472000000002"/>
    <n v="0"/>
    <s v="Daily Sales Import"/>
    <n v="-5582.3472000000002"/>
    <n v="5582.3472000000002"/>
    <x v="0"/>
    <s v="2100"/>
    <s v="000"/>
    <x v="1"/>
    <x v="1"/>
  </r>
  <r>
    <d v="2012-11-09T00:00:00"/>
    <s v="016-2210-000"/>
    <s v="Liquor Sales"/>
    <n v="1857.0603999999998"/>
    <n v="0"/>
    <s v="Daily Sales Import"/>
    <n v="-1857.0603999999998"/>
    <n v="1857.0603999999998"/>
    <x v="0"/>
    <s v="2210"/>
    <s v="000"/>
    <x v="1"/>
    <x v="1"/>
  </r>
  <r>
    <d v="2012-11-09T00:00:00"/>
    <s v="016-2220-000"/>
    <s v="Beer Sales"/>
    <n v="491.83200000000005"/>
    <n v="0"/>
    <s v="Daily Sales Import"/>
    <n v="-491.83200000000005"/>
    <n v="491.83200000000005"/>
    <x v="0"/>
    <s v="2220"/>
    <s v="000"/>
    <x v="1"/>
    <x v="1"/>
  </r>
  <r>
    <d v="2012-11-09T00:00:00"/>
    <s v="016-2230-000"/>
    <s v="Wine Sales"/>
    <n v="126.61799999999998"/>
    <n v="0"/>
    <s v="Daily Sales Import"/>
    <n v="-126.61799999999998"/>
    <n v="126.61799999999998"/>
    <x v="0"/>
    <s v="2230"/>
    <s v="000"/>
    <x v="1"/>
    <x v="1"/>
  </r>
  <r>
    <d v="2012-11-10T00:00:00"/>
    <s v="016-2100-000"/>
    <s v="Food Sales"/>
    <n v="5674.43"/>
    <n v="0"/>
    <s v="Daily Sales Import"/>
    <n v="-5674.43"/>
    <n v="5674.43"/>
    <x v="0"/>
    <s v="2100"/>
    <s v="000"/>
    <x v="1"/>
    <x v="1"/>
  </r>
  <r>
    <d v="2012-11-10T00:00:00"/>
    <s v="016-2210-000"/>
    <s v="Liquor Sales"/>
    <n v="1392.5800000000002"/>
    <n v="0"/>
    <s v="Daily Sales Import"/>
    <n v="-1392.5800000000002"/>
    <n v="1392.5800000000002"/>
    <x v="0"/>
    <s v="2210"/>
    <s v="000"/>
    <x v="1"/>
    <x v="1"/>
  </r>
  <r>
    <d v="2012-11-10T00:00:00"/>
    <s v="016-2220-000"/>
    <s v="Beer Sales"/>
    <n v="275.94"/>
    <n v="0"/>
    <s v="Daily Sales Import"/>
    <n v="-275.94"/>
    <n v="275.94"/>
    <x v="0"/>
    <s v="2220"/>
    <s v="000"/>
    <x v="1"/>
    <x v="1"/>
  </r>
  <r>
    <d v="2012-11-10T00:00:00"/>
    <s v="016-2230-000"/>
    <s v="Wine Sales"/>
    <n v="153.27199999999999"/>
    <n v="0"/>
    <s v="Daily Sales Import"/>
    <n v="-153.27199999999999"/>
    <n v="153.27199999999999"/>
    <x v="0"/>
    <s v="2230"/>
    <s v="000"/>
    <x v="1"/>
    <x v="1"/>
  </r>
  <r>
    <d v="2012-11-11T00:00:00"/>
    <s v="016-2100-000"/>
    <s v="Food Sales"/>
    <n v="4040.3616000000002"/>
    <n v="0"/>
    <s v="Daily Sales Import"/>
    <n v="-4040.3616000000002"/>
    <n v="4040.3616000000002"/>
    <x v="0"/>
    <s v="2100"/>
    <s v="000"/>
    <x v="1"/>
    <x v="1"/>
  </r>
  <r>
    <d v="2012-11-11T00:00:00"/>
    <s v="016-2210-000"/>
    <s v="Liquor Sales"/>
    <n v="785.82799999999997"/>
    <n v="0"/>
    <s v="Daily Sales Import"/>
    <n v="-785.82799999999997"/>
    <n v="785.82799999999997"/>
    <x v="0"/>
    <s v="2210"/>
    <s v="000"/>
    <x v="1"/>
    <x v="1"/>
  </r>
  <r>
    <d v="2012-11-11T00:00:00"/>
    <s v="016-2220-000"/>
    <s v="Beer Sales"/>
    <n v="130.30199999999999"/>
    <n v="0"/>
    <s v="Daily Sales Import"/>
    <n v="-130.30199999999999"/>
    <n v="130.30199999999999"/>
    <x v="0"/>
    <s v="2220"/>
    <s v="000"/>
    <x v="1"/>
    <x v="1"/>
  </r>
  <r>
    <d v="2012-11-11T00:00:00"/>
    <s v="016-2230-000"/>
    <s v="Wine Sales"/>
    <n v="105.96"/>
    <n v="0"/>
    <s v="Daily Sales Import"/>
    <n v="-105.96"/>
    <n v="105.96"/>
    <x v="0"/>
    <s v="2230"/>
    <s v="000"/>
    <x v="1"/>
    <x v="1"/>
  </r>
  <r>
    <d v="2012-11-05T00:00:00"/>
    <s v="017-2100-000"/>
    <s v="Food Sales"/>
    <n v="4720.6579999999994"/>
    <n v="0"/>
    <s v="Daily Sales Import"/>
    <n v="-4720.6579999999994"/>
    <n v="4720.6579999999994"/>
    <x v="1"/>
    <s v="2100"/>
    <s v="000"/>
    <x v="1"/>
    <x v="1"/>
  </r>
  <r>
    <d v="2012-11-05T00:00:00"/>
    <s v="017-2210-000"/>
    <s v="Liquor Sales"/>
    <n v="582.38900000000001"/>
    <n v="0"/>
    <s v="Daily Sales Import"/>
    <n v="-582.38900000000001"/>
    <n v="582.38900000000001"/>
    <x v="1"/>
    <s v="2210"/>
    <s v="000"/>
    <x v="1"/>
    <x v="1"/>
  </r>
  <r>
    <d v="2012-11-05T00:00:00"/>
    <s v="017-2220-000"/>
    <s v="Beer Sales"/>
    <n v="251.76499999999999"/>
    <n v="0"/>
    <s v="Daily Sales Import"/>
    <n v="-251.76499999999999"/>
    <n v="251.76499999999999"/>
    <x v="1"/>
    <s v="2220"/>
    <s v="000"/>
    <x v="1"/>
    <x v="1"/>
  </r>
  <r>
    <d v="2012-11-05T00:00:00"/>
    <s v="017-2230-000"/>
    <s v="Wine Sales"/>
    <n v="48.919500000000006"/>
    <n v="0"/>
    <s v="Daily Sales Import"/>
    <n v="-48.919500000000006"/>
    <n v="48.919500000000006"/>
    <x v="1"/>
    <s v="2230"/>
    <s v="000"/>
    <x v="1"/>
    <x v="1"/>
  </r>
  <r>
    <d v="2012-11-06T00:00:00"/>
    <s v="017-2100-000"/>
    <s v="Food Sales"/>
    <n v="5563.58"/>
    <n v="0"/>
    <s v="Daily Sales Import"/>
    <n v="-5563.58"/>
    <n v="5563.58"/>
    <x v="1"/>
    <s v="2100"/>
    <s v="000"/>
    <x v="1"/>
    <x v="1"/>
  </r>
  <r>
    <d v="2012-11-06T00:00:00"/>
    <s v="017-2210-000"/>
    <s v="Liquor Sales"/>
    <n v="1335.1679999999999"/>
    <n v="0"/>
    <s v="Daily Sales Import"/>
    <n v="-1335.1679999999999"/>
    <n v="1335.1679999999999"/>
    <x v="1"/>
    <s v="2210"/>
    <s v="000"/>
    <x v="1"/>
    <x v="1"/>
  </r>
  <r>
    <d v="2012-11-06T00:00:00"/>
    <s v="017-2220-000"/>
    <s v="Beer Sales"/>
    <n v="483.15"/>
    <n v="0"/>
    <s v="Daily Sales Import"/>
    <n v="-483.15"/>
    <n v="483.15"/>
    <x v="1"/>
    <s v="2220"/>
    <s v="000"/>
    <x v="1"/>
    <x v="1"/>
  </r>
  <r>
    <d v="2012-11-06T00:00:00"/>
    <s v="017-2230-000"/>
    <s v="Wine Sales"/>
    <n v="174.33199999999999"/>
    <n v="0"/>
    <s v="Daily Sales Import"/>
    <n v="-174.33199999999999"/>
    <n v="174.33199999999999"/>
    <x v="1"/>
    <s v="2230"/>
    <s v="000"/>
    <x v="1"/>
    <x v="1"/>
  </r>
  <r>
    <d v="2012-11-07T00:00:00"/>
    <s v="017-2100-000"/>
    <s v="Food Sales"/>
    <n v="9095.2134000000005"/>
    <n v="0"/>
    <s v="Daily Sales Import"/>
    <n v="-9095.2134000000005"/>
    <n v="9095.2134000000005"/>
    <x v="1"/>
    <s v="2100"/>
    <s v="000"/>
    <x v="1"/>
    <x v="1"/>
  </r>
  <r>
    <d v="2012-11-07T00:00:00"/>
    <s v="017-2210-000"/>
    <s v="Liquor Sales"/>
    <n v="2991.15"/>
    <n v="0"/>
    <s v="Daily Sales Import"/>
    <n v="-2991.15"/>
    <n v="2991.15"/>
    <x v="1"/>
    <s v="2210"/>
    <s v="000"/>
    <x v="1"/>
    <x v="1"/>
  </r>
  <r>
    <d v="2012-11-07T00:00:00"/>
    <s v="017-2220-000"/>
    <s v="Beer Sales"/>
    <n v="492.79749999999996"/>
    <n v="0"/>
    <s v="Daily Sales Import"/>
    <n v="-492.79749999999996"/>
    <n v="492.79749999999996"/>
    <x v="1"/>
    <s v="2220"/>
    <s v="000"/>
    <x v="1"/>
    <x v="1"/>
  </r>
  <r>
    <d v="2012-11-07T00:00:00"/>
    <s v="017-2230-000"/>
    <s v="Wine Sales"/>
    <n v="161.994"/>
    <n v="0"/>
    <s v="Daily Sales Import"/>
    <n v="-161.994"/>
    <n v="161.994"/>
    <x v="1"/>
    <s v="2230"/>
    <s v="000"/>
    <x v="1"/>
    <x v="1"/>
  </r>
  <r>
    <d v="2012-11-08T00:00:00"/>
    <s v="017-2100-000"/>
    <s v="Food Sales"/>
    <n v="7153.46"/>
    <n v="0"/>
    <s v="Daily Sales Import"/>
    <n v="-7153.46"/>
    <n v="7153.46"/>
    <x v="1"/>
    <s v="2100"/>
    <s v="000"/>
    <x v="1"/>
    <x v="1"/>
  </r>
  <r>
    <d v="2012-11-08T00:00:00"/>
    <s v="017-2210-000"/>
    <s v="Liquor Sales"/>
    <n v="1571.3899999999999"/>
    <n v="0"/>
    <s v="Daily Sales Import"/>
    <n v="-1571.3899999999999"/>
    <n v="1571.3899999999999"/>
    <x v="1"/>
    <s v="2210"/>
    <s v="000"/>
    <x v="1"/>
    <x v="1"/>
  </r>
  <r>
    <d v="2012-11-08T00:00:00"/>
    <s v="017-2220-000"/>
    <s v="Beer Sales"/>
    <n v="331.65000000000003"/>
    <n v="0"/>
    <s v="Daily Sales Import"/>
    <n v="-331.65000000000003"/>
    <n v="331.65000000000003"/>
    <x v="1"/>
    <s v="2220"/>
    <s v="000"/>
    <x v="1"/>
    <x v="1"/>
  </r>
  <r>
    <d v="2012-11-08T00:00:00"/>
    <s v="017-2230-000"/>
    <s v="Wine Sales"/>
    <n v="173.62199999999999"/>
    <n v="0"/>
    <s v="Daily Sales Import"/>
    <n v="-173.62199999999999"/>
    <n v="173.62199999999999"/>
    <x v="1"/>
    <s v="2230"/>
    <s v="000"/>
    <x v="1"/>
    <x v="1"/>
  </r>
  <r>
    <d v="2012-11-09T00:00:00"/>
    <s v="017-2100-000"/>
    <s v="Food Sales"/>
    <n v="5746.9850999999999"/>
    <n v="0"/>
    <s v="Daily Sales Import"/>
    <n v="-5746.9850999999999"/>
    <n v="5746.9850999999999"/>
    <x v="1"/>
    <s v="2100"/>
    <s v="000"/>
    <x v="1"/>
    <x v="1"/>
  </r>
  <r>
    <d v="2012-11-09T00:00:00"/>
    <s v="017-2210-000"/>
    <s v="Liquor Sales"/>
    <n v="2198.7249999999999"/>
    <n v="0"/>
    <s v="Daily Sales Import"/>
    <n v="-2198.7249999999999"/>
    <n v="2198.7249999999999"/>
    <x v="1"/>
    <s v="2210"/>
    <s v="000"/>
    <x v="1"/>
    <x v="1"/>
  </r>
  <r>
    <d v="2012-11-09T00:00:00"/>
    <s v="017-2220-000"/>
    <s v="Beer Sales"/>
    <n v="359.59999999999997"/>
    <n v="0"/>
    <s v="Daily Sales Import"/>
    <n v="-359.59999999999997"/>
    <n v="359.59999999999997"/>
    <x v="1"/>
    <s v="2220"/>
    <s v="000"/>
    <x v="1"/>
    <x v="1"/>
  </r>
  <r>
    <d v="2012-11-09T00:00:00"/>
    <s v="017-2230-000"/>
    <s v="Wine Sales"/>
    <n v="58.905000000000001"/>
    <n v="0"/>
    <s v="Daily Sales Import"/>
    <n v="-58.905000000000001"/>
    <n v="58.905000000000001"/>
    <x v="1"/>
    <s v="2230"/>
    <s v="000"/>
    <x v="1"/>
    <x v="1"/>
  </r>
  <r>
    <d v="2012-11-10T00:00:00"/>
    <s v="017-2100-000"/>
    <s v="Food Sales"/>
    <n v="6083.8028999999997"/>
    <n v="0"/>
    <s v="Daily Sales Import"/>
    <n v="-6083.8028999999997"/>
    <n v="6083.8028999999997"/>
    <x v="1"/>
    <s v="2100"/>
    <s v="000"/>
    <x v="1"/>
    <x v="1"/>
  </r>
  <r>
    <d v="2012-11-10T00:00:00"/>
    <s v="017-2210-000"/>
    <s v="Liquor Sales"/>
    <n v="1448.6890000000001"/>
    <n v="0"/>
    <s v="Daily Sales Import"/>
    <n v="-1448.6890000000001"/>
    <n v="1448.6890000000001"/>
    <x v="1"/>
    <s v="2210"/>
    <s v="000"/>
    <x v="1"/>
    <x v="1"/>
  </r>
  <r>
    <d v="2012-11-10T00:00:00"/>
    <s v="017-2220-000"/>
    <s v="Beer Sales"/>
    <n v="411.98500000000001"/>
    <n v="0"/>
    <s v="Daily Sales Import"/>
    <n v="-411.98500000000001"/>
    <n v="411.98500000000001"/>
    <x v="1"/>
    <s v="2220"/>
    <s v="000"/>
    <x v="1"/>
    <x v="1"/>
  </r>
  <r>
    <d v="2012-11-10T00:00:00"/>
    <s v="017-2230-000"/>
    <s v="Wine Sales"/>
    <n v="106.413"/>
    <n v="0"/>
    <s v="Daily Sales Import"/>
    <n v="-106.413"/>
    <n v="106.413"/>
    <x v="1"/>
    <s v="2230"/>
    <s v="000"/>
    <x v="1"/>
    <x v="1"/>
  </r>
  <r>
    <d v="2012-11-11T00:00:00"/>
    <s v="017-2100-000"/>
    <s v="Food Sales"/>
    <n v="5545.5036"/>
    <n v="0"/>
    <s v="Daily Sales Import"/>
    <n v="-5545.5036"/>
    <n v="5545.5036"/>
    <x v="1"/>
    <s v="2100"/>
    <s v="000"/>
    <x v="1"/>
    <x v="1"/>
  </r>
  <r>
    <d v="2012-11-11T00:00:00"/>
    <s v="017-2210-000"/>
    <s v="Liquor Sales"/>
    <n v="873.82799999999997"/>
    <n v="0"/>
    <s v="Daily Sales Import"/>
    <n v="-873.82799999999997"/>
    <n v="873.82799999999997"/>
    <x v="1"/>
    <s v="2210"/>
    <s v="000"/>
    <x v="1"/>
    <x v="1"/>
  </r>
  <r>
    <d v="2012-11-11T00:00:00"/>
    <s v="017-2220-000"/>
    <s v="Beer Sales"/>
    <n v="153.12"/>
    <n v="0"/>
    <s v="Daily Sales Import"/>
    <n v="-153.12"/>
    <n v="153.12"/>
    <x v="1"/>
    <s v="2220"/>
    <s v="000"/>
    <x v="1"/>
    <x v="1"/>
  </r>
  <r>
    <d v="2012-11-11T00:00:00"/>
    <s v="017-2230-000"/>
    <s v="Wine Sales"/>
    <n v="56.681999999999995"/>
    <n v="0"/>
    <s v="Daily Sales Import"/>
    <n v="-56.681999999999995"/>
    <n v="56.681999999999995"/>
    <x v="1"/>
    <s v="2230"/>
    <s v="000"/>
    <x v="1"/>
    <x v="1"/>
  </r>
  <r>
    <d v="2012-11-05T00:00:00"/>
    <s v="018-2100-000"/>
    <s v="Food Sales"/>
    <n v="5056.4668000000001"/>
    <n v="0"/>
    <s v="Daily Sales Import"/>
    <n v="-5056.4668000000001"/>
    <n v="5056.4668000000001"/>
    <x v="2"/>
    <s v="2100"/>
    <s v="000"/>
    <x v="1"/>
    <x v="1"/>
  </r>
  <r>
    <d v="2012-11-05T00:00:00"/>
    <s v="018-2210-000"/>
    <s v="Liquor Sales"/>
    <n v="404.45999999999992"/>
    <n v="0"/>
    <s v="Daily Sales Import"/>
    <n v="-404.45999999999992"/>
    <n v="404.45999999999992"/>
    <x v="2"/>
    <s v="2210"/>
    <s v="000"/>
    <x v="1"/>
    <x v="1"/>
  </r>
  <r>
    <d v="2012-11-05T00:00:00"/>
    <s v="018-2220-000"/>
    <s v="Beer Sales"/>
    <n v="156.92099999999999"/>
    <n v="0"/>
    <s v="Daily Sales Import"/>
    <n v="-156.92099999999999"/>
    <n v="156.92099999999999"/>
    <x v="2"/>
    <s v="2220"/>
    <s v="000"/>
    <x v="1"/>
    <x v="1"/>
  </r>
  <r>
    <d v="2012-11-05T00:00:00"/>
    <s v="018-2230-000"/>
    <s v="Wine Sales"/>
    <n v="60.378499999999995"/>
    <n v="0"/>
    <s v="Daily Sales Import"/>
    <n v="-60.378499999999995"/>
    <n v="60.378499999999995"/>
    <x v="2"/>
    <s v="2230"/>
    <s v="000"/>
    <x v="1"/>
    <x v="1"/>
  </r>
  <r>
    <d v="2012-11-06T00:00:00"/>
    <s v="018-2100-000"/>
    <s v="Food Sales"/>
    <n v="4962.9606000000003"/>
    <n v="0"/>
    <s v="Daily Sales Import"/>
    <n v="-4962.9606000000003"/>
    <n v="4962.9606000000003"/>
    <x v="2"/>
    <s v="2100"/>
    <s v="000"/>
    <x v="1"/>
    <x v="1"/>
  </r>
  <r>
    <d v="2012-11-06T00:00:00"/>
    <s v="018-2210-000"/>
    <s v="Liquor Sales"/>
    <n v="662.85450000000003"/>
    <n v="0"/>
    <s v="Daily Sales Import"/>
    <n v="-662.85450000000003"/>
    <n v="662.85450000000003"/>
    <x v="2"/>
    <s v="2210"/>
    <s v="000"/>
    <x v="1"/>
    <x v="1"/>
  </r>
  <r>
    <d v="2012-11-06T00:00:00"/>
    <s v="018-2220-000"/>
    <s v="Beer Sales"/>
    <n v="172.08750000000001"/>
    <n v="0"/>
    <s v="Daily Sales Import"/>
    <n v="-172.08750000000001"/>
    <n v="172.08750000000001"/>
    <x v="2"/>
    <s v="2220"/>
    <s v="000"/>
    <x v="1"/>
    <x v="1"/>
  </r>
  <r>
    <d v="2012-11-06T00:00:00"/>
    <s v="018-2230-000"/>
    <s v="Wine Sales"/>
    <n v="114.89999999999999"/>
    <n v="0"/>
    <s v="Daily Sales Import"/>
    <n v="-114.89999999999999"/>
    <n v="114.89999999999999"/>
    <x v="2"/>
    <s v="2230"/>
    <s v="000"/>
    <x v="1"/>
    <x v="1"/>
  </r>
  <r>
    <d v="2012-11-07T00:00:00"/>
    <s v="018-2100-000"/>
    <s v="Food Sales"/>
    <n v="3633.3229000000001"/>
    <n v="0"/>
    <s v="Daily Sales Import"/>
    <n v="-3633.3229000000001"/>
    <n v="3633.3229000000001"/>
    <x v="2"/>
    <s v="2100"/>
    <s v="000"/>
    <x v="1"/>
    <x v="1"/>
  </r>
  <r>
    <d v="2012-11-07T00:00:00"/>
    <s v="018-2210-000"/>
    <s v="Liquor Sales"/>
    <n v="555.28000000000009"/>
    <n v="0"/>
    <s v="Daily Sales Import"/>
    <n v="-555.28000000000009"/>
    <n v="555.28000000000009"/>
    <x v="2"/>
    <s v="2210"/>
    <s v="000"/>
    <x v="1"/>
    <x v="1"/>
  </r>
  <r>
    <d v="2012-11-07T00:00:00"/>
    <s v="018-2220-000"/>
    <s v="Beer Sales"/>
    <n v="225.41200000000001"/>
    <n v="0"/>
    <s v="Daily Sales Import"/>
    <n v="-225.41200000000001"/>
    <n v="225.41200000000001"/>
    <x v="2"/>
    <s v="2220"/>
    <s v="000"/>
    <x v="1"/>
    <x v="1"/>
  </r>
  <r>
    <d v="2012-11-07T00:00:00"/>
    <s v="018-2230-000"/>
    <s v="Wine Sales"/>
    <n v="31.772499999999997"/>
    <n v="0"/>
    <s v="Daily Sales Import"/>
    <n v="-31.772499999999997"/>
    <n v="31.772499999999997"/>
    <x v="2"/>
    <s v="2230"/>
    <s v="000"/>
    <x v="1"/>
    <x v="1"/>
  </r>
  <r>
    <d v="2012-11-08T00:00:00"/>
    <s v="018-2100-000"/>
    <s v="Food Sales"/>
    <n v="3908.0596999999998"/>
    <n v="0"/>
    <s v="Daily Sales Import"/>
    <n v="-3908.0596999999998"/>
    <n v="3908.0596999999998"/>
    <x v="2"/>
    <s v="2100"/>
    <s v="000"/>
    <x v="1"/>
    <x v="1"/>
  </r>
  <r>
    <d v="2012-11-08T00:00:00"/>
    <s v="018-2210-000"/>
    <s v="Liquor Sales"/>
    <n v="862.57749999999999"/>
    <n v="0"/>
    <s v="Daily Sales Import"/>
    <n v="-862.57749999999999"/>
    <n v="862.57749999999999"/>
    <x v="2"/>
    <s v="2210"/>
    <s v="000"/>
    <x v="1"/>
    <x v="1"/>
  </r>
  <r>
    <d v="2012-11-08T00:00:00"/>
    <s v="018-2220-000"/>
    <s v="Beer Sales"/>
    <n v="160.84200000000001"/>
    <n v="0"/>
    <s v="Daily Sales Import"/>
    <n v="-160.84200000000001"/>
    <n v="160.84200000000001"/>
    <x v="2"/>
    <s v="2220"/>
    <s v="000"/>
    <x v="1"/>
    <x v="1"/>
  </r>
  <r>
    <d v="2012-11-08T00:00:00"/>
    <s v="018-2230-000"/>
    <s v="Wine Sales"/>
    <n v="88.66"/>
    <n v="0"/>
    <s v="Daily Sales Import"/>
    <n v="-88.66"/>
    <n v="88.66"/>
    <x v="2"/>
    <s v="2230"/>
    <s v="000"/>
    <x v="1"/>
    <x v="1"/>
  </r>
  <r>
    <d v="2012-11-09T00:00:00"/>
    <s v="018-2100-000"/>
    <s v="Food Sales"/>
    <n v="8572.452299999999"/>
    <n v="0"/>
    <s v="Daily Sales Import"/>
    <n v="-8572.452299999999"/>
    <n v="8572.452299999999"/>
    <x v="2"/>
    <s v="2100"/>
    <s v="000"/>
    <x v="1"/>
    <x v="1"/>
  </r>
  <r>
    <d v="2012-11-09T00:00:00"/>
    <s v="018-2210-000"/>
    <s v="Liquor Sales"/>
    <n v="2260.06"/>
    <n v="0"/>
    <s v="Daily Sales Import"/>
    <n v="-2260.06"/>
    <n v="2260.06"/>
    <x v="2"/>
    <s v="2210"/>
    <s v="000"/>
    <x v="1"/>
    <x v="1"/>
  </r>
  <r>
    <d v="2012-11-09T00:00:00"/>
    <s v="018-2220-000"/>
    <s v="Beer Sales"/>
    <n v="729.21300000000008"/>
    <n v="0"/>
    <s v="Daily Sales Import"/>
    <n v="-729.21300000000008"/>
    <n v="729.21300000000008"/>
    <x v="2"/>
    <s v="2220"/>
    <s v="000"/>
    <x v="1"/>
    <x v="1"/>
  </r>
  <r>
    <d v="2012-11-09T00:00:00"/>
    <s v="018-2230-000"/>
    <s v="Wine Sales"/>
    <n v="107.976"/>
    <n v="0"/>
    <s v="Daily Sales Import"/>
    <n v="-107.976"/>
    <n v="107.976"/>
    <x v="2"/>
    <s v="2230"/>
    <s v="000"/>
    <x v="1"/>
    <x v="1"/>
  </r>
  <r>
    <d v="2012-11-10T00:00:00"/>
    <s v="018-2100-000"/>
    <s v="Food Sales"/>
    <n v="13174.846500000001"/>
    <n v="0"/>
    <s v="Daily Sales Import"/>
    <n v="-13174.846500000001"/>
    <n v="13174.846500000001"/>
    <x v="2"/>
    <s v="2100"/>
    <s v="000"/>
    <x v="1"/>
    <x v="1"/>
  </r>
  <r>
    <d v="2012-11-10T00:00:00"/>
    <s v="018-2210-000"/>
    <s v="Liquor Sales"/>
    <n v="5427.1720000000005"/>
    <n v="0"/>
    <s v="Daily Sales Import"/>
    <n v="-5427.1720000000005"/>
    <n v="5427.1720000000005"/>
    <x v="2"/>
    <s v="2210"/>
    <s v="000"/>
    <x v="1"/>
    <x v="1"/>
  </r>
  <r>
    <d v="2012-11-10T00:00:00"/>
    <s v="018-2220-000"/>
    <s v="Beer Sales"/>
    <n v="813.88800000000003"/>
    <n v="0"/>
    <s v="Daily Sales Import"/>
    <n v="-813.88800000000003"/>
    <n v="813.88800000000003"/>
    <x v="2"/>
    <s v="2220"/>
    <s v="000"/>
    <x v="1"/>
    <x v="1"/>
  </r>
  <r>
    <d v="2012-11-10T00:00:00"/>
    <s v="018-2230-000"/>
    <s v="Wine Sales"/>
    <n v="73.901499999999999"/>
    <n v="0"/>
    <s v="Daily Sales Import"/>
    <n v="-73.901499999999999"/>
    <n v="73.901499999999999"/>
    <x v="2"/>
    <s v="2230"/>
    <s v="000"/>
    <x v="1"/>
    <x v="1"/>
  </r>
  <r>
    <d v="2012-11-11T00:00:00"/>
    <s v="018-2100-000"/>
    <s v="Food Sales"/>
    <n v="16583.865000000002"/>
    <n v="0"/>
    <s v="Daily Sales Import"/>
    <n v="-16583.865000000002"/>
    <n v="16583.865000000002"/>
    <x v="2"/>
    <s v="2100"/>
    <s v="000"/>
    <x v="1"/>
    <x v="1"/>
  </r>
  <r>
    <d v="2012-11-11T00:00:00"/>
    <s v="018-2210-000"/>
    <s v="Liquor Sales"/>
    <n v="2115.4210000000003"/>
    <n v="0"/>
    <s v="Daily Sales Import"/>
    <n v="-2115.4210000000003"/>
    <n v="2115.4210000000003"/>
    <x v="2"/>
    <s v="2210"/>
    <s v="000"/>
    <x v="1"/>
    <x v="1"/>
  </r>
  <r>
    <d v="2012-11-11T00:00:00"/>
    <s v="018-2220-000"/>
    <s v="Beer Sales"/>
    <n v="469.55700000000007"/>
    <n v="0"/>
    <s v="Daily Sales Import"/>
    <n v="-469.55700000000007"/>
    <n v="469.55700000000007"/>
    <x v="2"/>
    <s v="2220"/>
    <s v="000"/>
    <x v="1"/>
    <x v="1"/>
  </r>
  <r>
    <d v="2012-11-11T00:00:00"/>
    <s v="018-2230-000"/>
    <s v="Wine Sales"/>
    <n v="230.46549999999999"/>
    <n v="0"/>
    <s v="Daily Sales Import"/>
    <n v="-230.46549999999999"/>
    <n v="230.46549999999999"/>
    <x v="2"/>
    <s v="2230"/>
    <s v="000"/>
    <x v="1"/>
    <x v="1"/>
  </r>
  <r>
    <d v="2012-11-12T00:00:00"/>
    <s v="016-2100-000"/>
    <s v="Food Sales"/>
    <n v="2074.7532000000001"/>
    <n v="0"/>
    <s v="Daily Sales Import"/>
    <n v="-2074.7532000000001"/>
    <n v="2074.7532000000001"/>
    <x v="0"/>
    <s v="2100"/>
    <s v="000"/>
    <x v="1"/>
    <x v="1"/>
  </r>
  <r>
    <d v="2012-11-12T00:00:00"/>
    <s v="016-2210-000"/>
    <s v="Liquor Sales"/>
    <n v="315.74400000000003"/>
    <n v="0"/>
    <s v="Daily Sales Import"/>
    <n v="-315.74400000000003"/>
    <n v="315.74400000000003"/>
    <x v="0"/>
    <s v="2210"/>
    <s v="000"/>
    <x v="1"/>
    <x v="1"/>
  </r>
  <r>
    <d v="2012-11-12T00:00:00"/>
    <s v="016-2220-000"/>
    <s v="Beer Sales"/>
    <n v="115.63200000000001"/>
    <n v="0"/>
    <s v="Daily Sales Import"/>
    <n v="-115.63200000000001"/>
    <n v="115.63200000000001"/>
    <x v="0"/>
    <s v="2220"/>
    <s v="000"/>
    <x v="1"/>
    <x v="1"/>
  </r>
  <r>
    <d v="2012-11-12T00:00:00"/>
    <s v="016-2230-000"/>
    <s v="Wine Sales"/>
    <n v="90.824999999999989"/>
    <n v="0"/>
    <s v="Daily Sales Import"/>
    <n v="-90.824999999999989"/>
    <n v="90.824999999999989"/>
    <x v="0"/>
    <s v="2230"/>
    <s v="000"/>
    <x v="1"/>
    <x v="1"/>
  </r>
  <r>
    <d v="2012-11-13T00:00:00"/>
    <s v="016-2100-000"/>
    <s v="Food Sales"/>
    <n v="4271.5468999999994"/>
    <n v="0"/>
    <s v="Daily Sales Import"/>
    <n v="-4271.5468999999994"/>
    <n v="4271.5468999999994"/>
    <x v="0"/>
    <s v="2100"/>
    <s v="000"/>
    <x v="1"/>
    <x v="1"/>
  </r>
  <r>
    <d v="2012-11-13T00:00:00"/>
    <s v="016-2210-000"/>
    <s v="Liquor Sales"/>
    <n v="1825.6679999999999"/>
    <n v="0"/>
    <s v="Daily Sales Import"/>
    <n v="-1825.6679999999999"/>
    <n v="1825.6679999999999"/>
    <x v="0"/>
    <s v="2210"/>
    <s v="000"/>
    <x v="1"/>
    <x v="1"/>
  </r>
  <r>
    <d v="2012-11-13T00:00:00"/>
    <s v="016-2220-000"/>
    <s v="Beer Sales"/>
    <n v="498.5847"/>
    <n v="0"/>
    <s v="Daily Sales Import"/>
    <n v="-498.5847"/>
    <n v="498.5847"/>
    <x v="0"/>
    <s v="2220"/>
    <s v="000"/>
    <x v="1"/>
    <x v="1"/>
  </r>
  <r>
    <d v="2012-11-13T00:00:00"/>
    <s v="016-2230-000"/>
    <s v="Wine Sales"/>
    <n v="171.054"/>
    <n v="0"/>
    <s v="Daily Sales Import"/>
    <n v="-171.054"/>
    <n v="171.054"/>
    <x v="0"/>
    <s v="2230"/>
    <s v="000"/>
    <x v="1"/>
    <x v="1"/>
  </r>
  <r>
    <d v="2012-11-14T00:00:00"/>
    <s v="016-2100-000"/>
    <s v="Food Sales"/>
    <n v="2172.36"/>
    <n v="0"/>
    <s v="Daily Sales Import"/>
    <n v="-2172.36"/>
    <n v="2172.36"/>
    <x v="0"/>
    <s v="2100"/>
    <s v="000"/>
    <x v="1"/>
    <x v="1"/>
  </r>
  <r>
    <d v="2012-11-14T00:00:00"/>
    <s v="016-2210-000"/>
    <s v="Liquor Sales"/>
    <n v="618.23300000000006"/>
    <n v="0"/>
    <s v="Daily Sales Import"/>
    <n v="-618.23300000000006"/>
    <n v="618.23300000000006"/>
    <x v="0"/>
    <s v="2210"/>
    <s v="000"/>
    <x v="1"/>
    <x v="1"/>
  </r>
  <r>
    <d v="2012-11-14T00:00:00"/>
    <s v="016-2220-000"/>
    <s v="Beer Sales"/>
    <n v="128.65049999999999"/>
    <n v="0"/>
    <s v="Daily Sales Import"/>
    <n v="-128.65049999999999"/>
    <n v="128.65049999999999"/>
    <x v="0"/>
    <s v="2220"/>
    <s v="000"/>
    <x v="1"/>
    <x v="1"/>
  </r>
  <r>
    <d v="2012-11-14T00:00:00"/>
    <s v="016-2230-000"/>
    <s v="Wine Sales"/>
    <n v="41.814500000000002"/>
    <n v="0"/>
    <s v="Daily Sales Import"/>
    <n v="-41.814500000000002"/>
    <n v="41.814500000000002"/>
    <x v="0"/>
    <s v="2230"/>
    <s v="000"/>
    <x v="1"/>
    <x v="1"/>
  </r>
  <r>
    <d v="2012-11-15T00:00:00"/>
    <s v="016-2100-000"/>
    <s v="Food Sales"/>
    <n v="3665.3089999999997"/>
    <n v="0"/>
    <s v="Daily Sales Import"/>
    <n v="-3665.3089999999997"/>
    <n v="3665.3089999999997"/>
    <x v="0"/>
    <s v="2100"/>
    <s v="000"/>
    <x v="1"/>
    <x v="1"/>
  </r>
  <r>
    <d v="2012-11-15T00:00:00"/>
    <s v="016-2210-000"/>
    <s v="Liquor Sales"/>
    <n v="769.47"/>
    <n v="0"/>
    <s v="Daily Sales Import"/>
    <n v="-769.47"/>
    <n v="769.47"/>
    <x v="0"/>
    <s v="2210"/>
    <s v="000"/>
    <x v="1"/>
    <x v="1"/>
  </r>
  <r>
    <d v="2012-11-15T00:00:00"/>
    <s v="016-2220-000"/>
    <s v="Beer Sales"/>
    <n v="76.02000000000001"/>
    <n v="0"/>
    <s v="Daily Sales Import"/>
    <n v="-76.02000000000001"/>
    <n v="76.02000000000001"/>
    <x v="0"/>
    <s v="2220"/>
    <s v="000"/>
    <x v="1"/>
    <x v="1"/>
  </r>
  <r>
    <d v="2012-11-15T00:00:00"/>
    <s v="016-2230-000"/>
    <s v="Wine Sales"/>
    <n v="44.85"/>
    <n v="0"/>
    <s v="Daily Sales Import"/>
    <n v="-44.85"/>
    <n v="44.85"/>
    <x v="0"/>
    <s v="2230"/>
    <s v="000"/>
    <x v="1"/>
    <x v="1"/>
  </r>
  <r>
    <d v="2012-11-16T00:00:00"/>
    <s v="016-2100-000"/>
    <s v="Food Sales"/>
    <n v="5700.2686999999996"/>
    <n v="0"/>
    <s v="Daily Sales Import"/>
    <n v="-5700.2686999999996"/>
    <n v="5700.2686999999996"/>
    <x v="0"/>
    <s v="2100"/>
    <s v="000"/>
    <x v="1"/>
    <x v="1"/>
  </r>
  <r>
    <d v="2012-11-16T00:00:00"/>
    <s v="016-2210-000"/>
    <s v="Liquor Sales"/>
    <n v="2387.6194999999998"/>
    <n v="0"/>
    <s v="Daily Sales Import"/>
    <n v="-2387.6194999999998"/>
    <n v="2387.6194999999998"/>
    <x v="0"/>
    <s v="2210"/>
    <s v="000"/>
    <x v="1"/>
    <x v="1"/>
  </r>
  <r>
    <d v="2012-11-16T00:00:00"/>
    <s v="016-2220-000"/>
    <s v="Beer Sales"/>
    <n v="307.11600000000004"/>
    <n v="0"/>
    <s v="Daily Sales Import"/>
    <n v="-307.11600000000004"/>
    <n v="307.11600000000004"/>
    <x v="0"/>
    <s v="2220"/>
    <s v="000"/>
    <x v="1"/>
    <x v="1"/>
  </r>
  <r>
    <d v="2012-11-16T00:00:00"/>
    <s v="016-2230-000"/>
    <s v="Wine Sales"/>
    <n v="109.45200000000001"/>
    <n v="0"/>
    <s v="Daily Sales Import"/>
    <n v="-109.45200000000001"/>
    <n v="109.45200000000001"/>
    <x v="0"/>
    <s v="2230"/>
    <s v="000"/>
    <x v="1"/>
    <x v="1"/>
  </r>
  <r>
    <d v="2012-11-17T00:00:00"/>
    <s v="016-2100-000"/>
    <s v="Food Sales"/>
    <n v="7555.11"/>
    <n v="0"/>
    <s v="Daily Sales Import"/>
    <n v="-7555.11"/>
    <n v="7555.11"/>
    <x v="0"/>
    <s v="2100"/>
    <s v="000"/>
    <x v="1"/>
    <x v="1"/>
  </r>
  <r>
    <d v="2012-11-17T00:00:00"/>
    <s v="016-2210-000"/>
    <s v="Liquor Sales"/>
    <n v="2092.2089999999998"/>
    <n v="0"/>
    <s v="Daily Sales Import"/>
    <n v="-2092.2089999999998"/>
    <n v="2092.2089999999998"/>
    <x v="0"/>
    <s v="2210"/>
    <s v="000"/>
    <x v="1"/>
    <x v="1"/>
  </r>
  <r>
    <d v="2012-11-17T00:00:00"/>
    <s v="016-2220-000"/>
    <s v="Beer Sales"/>
    <n v="518.24699999999996"/>
    <n v="0"/>
    <s v="Daily Sales Import"/>
    <n v="-518.24699999999996"/>
    <n v="518.24699999999996"/>
    <x v="0"/>
    <s v="2220"/>
    <s v="000"/>
    <x v="1"/>
    <x v="1"/>
  </r>
  <r>
    <d v="2012-11-17T00:00:00"/>
    <s v="016-2230-000"/>
    <s v="Wine Sales"/>
    <n v="207.0728"/>
    <n v="0"/>
    <s v="Daily Sales Import"/>
    <n v="-207.0728"/>
    <n v="207.0728"/>
    <x v="0"/>
    <s v="2230"/>
    <s v="000"/>
    <x v="1"/>
    <x v="1"/>
  </r>
  <r>
    <d v="2012-11-18T00:00:00"/>
    <s v="016-2100-000"/>
    <s v="Food Sales"/>
    <n v="3894.848"/>
    <n v="0"/>
    <s v="Daily Sales Import"/>
    <n v="-3894.848"/>
    <n v="3894.848"/>
    <x v="0"/>
    <s v="2100"/>
    <s v="000"/>
    <x v="1"/>
    <x v="1"/>
  </r>
  <r>
    <d v="2012-11-18T00:00:00"/>
    <s v="016-2210-000"/>
    <s v="Liquor Sales"/>
    <n v="1553.0256000000002"/>
    <n v="0"/>
    <s v="Daily Sales Import"/>
    <n v="-1553.0256000000002"/>
    <n v="1553.0256000000002"/>
    <x v="0"/>
    <s v="2210"/>
    <s v="000"/>
    <x v="1"/>
    <x v="1"/>
  </r>
  <r>
    <d v="2012-11-18T00:00:00"/>
    <s v="016-2220-000"/>
    <s v="Beer Sales"/>
    <n v="306.58499999999998"/>
    <n v="0"/>
    <s v="Daily Sales Import"/>
    <n v="-306.58499999999998"/>
    <n v="306.58499999999998"/>
    <x v="0"/>
    <s v="2220"/>
    <s v="000"/>
    <x v="1"/>
    <x v="1"/>
  </r>
  <r>
    <d v="2012-11-18T00:00:00"/>
    <s v="016-2230-000"/>
    <s v="Wine Sales"/>
    <n v="243.64350000000002"/>
    <n v="0"/>
    <s v="Daily Sales Import"/>
    <n v="-243.64350000000002"/>
    <n v="243.64350000000002"/>
    <x v="0"/>
    <s v="2230"/>
    <s v="000"/>
    <x v="1"/>
    <x v="1"/>
  </r>
  <r>
    <d v="2012-11-12T00:00:00"/>
    <s v="017-2100-000"/>
    <s v="Food Sales"/>
    <n v="3019.5550000000003"/>
    <n v="0"/>
    <s v="Daily Sales Import"/>
    <n v="-3019.5550000000003"/>
    <n v="3019.5550000000003"/>
    <x v="1"/>
    <s v="2100"/>
    <s v="000"/>
    <x v="1"/>
    <x v="1"/>
  </r>
  <r>
    <d v="2012-11-12T00:00:00"/>
    <s v="017-2210-000"/>
    <s v="Liquor Sales"/>
    <n v="999.005"/>
    <n v="0"/>
    <s v="Daily Sales Import"/>
    <n v="-999.005"/>
    <n v="999.005"/>
    <x v="1"/>
    <s v="2210"/>
    <s v="000"/>
    <x v="1"/>
    <x v="1"/>
  </r>
  <r>
    <d v="2012-11-12T00:00:00"/>
    <s v="017-2220-000"/>
    <s v="Beer Sales"/>
    <n v="229.50749999999999"/>
    <n v="0"/>
    <s v="Daily Sales Import"/>
    <n v="-229.50749999999999"/>
    <n v="229.50749999999999"/>
    <x v="1"/>
    <s v="2220"/>
    <s v="000"/>
    <x v="1"/>
    <x v="1"/>
  </r>
  <r>
    <d v="2012-11-12T00:00:00"/>
    <s v="017-2230-000"/>
    <s v="Wine Sales"/>
    <n v="45.583999999999996"/>
    <n v="0"/>
    <s v="Daily Sales Import"/>
    <n v="-45.583999999999996"/>
    <n v="45.583999999999996"/>
    <x v="1"/>
    <s v="2230"/>
    <s v="000"/>
    <x v="1"/>
    <x v="1"/>
  </r>
  <r>
    <d v="2012-11-13T00:00:00"/>
    <s v="017-2100-000"/>
    <s v="Food Sales"/>
    <n v="5508.0459000000001"/>
    <n v="0"/>
    <s v="Daily Sales Import"/>
    <n v="-5508.0459000000001"/>
    <n v="5508.0459000000001"/>
    <x v="1"/>
    <s v="2100"/>
    <s v="000"/>
    <x v="1"/>
    <x v="1"/>
  </r>
  <r>
    <d v="2012-11-13T00:00:00"/>
    <s v="017-2210-000"/>
    <s v="Liquor Sales"/>
    <n v="2196.569"/>
    <n v="0"/>
    <s v="Daily Sales Import"/>
    <n v="-2196.569"/>
    <n v="2196.569"/>
    <x v="1"/>
    <s v="2210"/>
    <s v="000"/>
    <x v="1"/>
    <x v="1"/>
  </r>
  <r>
    <d v="2012-11-13T00:00:00"/>
    <s v="017-2220-000"/>
    <s v="Beer Sales"/>
    <n v="491.68"/>
    <n v="0"/>
    <s v="Daily Sales Import"/>
    <n v="-491.68"/>
    <n v="491.68"/>
    <x v="1"/>
    <s v="2220"/>
    <s v="000"/>
    <x v="1"/>
    <x v="1"/>
  </r>
  <r>
    <d v="2012-11-13T00:00:00"/>
    <s v="017-2230-000"/>
    <s v="Wine Sales"/>
    <n v="330.93"/>
    <n v="0"/>
    <s v="Daily Sales Import"/>
    <n v="-330.93"/>
    <n v="330.93"/>
    <x v="1"/>
    <s v="2230"/>
    <s v="000"/>
    <x v="1"/>
    <x v="1"/>
  </r>
  <r>
    <d v="2012-11-14T00:00:00"/>
    <s v="017-2100-000"/>
    <s v="Food Sales"/>
    <n v="5484.1442999999999"/>
    <n v="0"/>
    <s v="Daily Sales Import"/>
    <n v="-5484.1442999999999"/>
    <n v="5484.1442999999999"/>
    <x v="1"/>
    <s v="2100"/>
    <s v="000"/>
    <x v="1"/>
    <x v="1"/>
  </r>
  <r>
    <d v="2012-11-14T00:00:00"/>
    <s v="017-2210-000"/>
    <s v="Liquor Sales"/>
    <n v="2097.0495000000001"/>
    <n v="0"/>
    <s v="Daily Sales Import"/>
    <n v="-2097.0495000000001"/>
    <n v="2097.0495000000001"/>
    <x v="1"/>
    <s v="2210"/>
    <s v="000"/>
    <x v="1"/>
    <x v="1"/>
  </r>
  <r>
    <d v="2012-11-14T00:00:00"/>
    <s v="017-2220-000"/>
    <s v="Beer Sales"/>
    <n v="553.6"/>
    <n v="0"/>
    <s v="Daily Sales Import"/>
    <n v="-553.6"/>
    <n v="553.6"/>
    <x v="1"/>
    <s v="2220"/>
    <s v="000"/>
    <x v="1"/>
    <x v="1"/>
  </r>
  <r>
    <d v="2012-11-14T00:00:00"/>
    <s v="017-2230-000"/>
    <s v="Wine Sales"/>
    <n v="252.245"/>
    <n v="0"/>
    <s v="Daily Sales Import"/>
    <n v="-252.245"/>
    <n v="252.245"/>
    <x v="1"/>
    <s v="2230"/>
    <s v="000"/>
    <x v="1"/>
    <x v="1"/>
  </r>
  <r>
    <d v="2012-11-15T00:00:00"/>
    <s v="017-2100-000"/>
    <s v="Food Sales"/>
    <n v="4966.1243999999997"/>
    <n v="0"/>
    <s v="Daily Sales Import"/>
    <n v="-4966.1243999999997"/>
    <n v="4966.1243999999997"/>
    <x v="1"/>
    <s v="2100"/>
    <s v="000"/>
    <x v="1"/>
    <x v="1"/>
  </r>
  <r>
    <d v="2012-11-15T00:00:00"/>
    <s v="017-2210-000"/>
    <s v="Liquor Sales"/>
    <n v="2805.1200000000003"/>
    <n v="0"/>
    <s v="Daily Sales Import"/>
    <n v="-2805.1200000000003"/>
    <n v="2805.1200000000003"/>
    <x v="1"/>
    <s v="2210"/>
    <s v="000"/>
    <x v="1"/>
    <x v="1"/>
  </r>
  <r>
    <d v="2012-11-15T00:00:00"/>
    <s v="017-2220-000"/>
    <s v="Beer Sales"/>
    <n v="587.57999999999993"/>
    <n v="0"/>
    <s v="Daily Sales Import"/>
    <n v="-587.57999999999993"/>
    <n v="587.57999999999993"/>
    <x v="1"/>
    <s v="2220"/>
    <s v="000"/>
    <x v="1"/>
    <x v="1"/>
  </r>
  <r>
    <d v="2012-11-15T00:00:00"/>
    <s v="017-2230-000"/>
    <s v="Wine Sales"/>
    <n v="260.245"/>
    <n v="0"/>
    <s v="Daily Sales Import"/>
    <n v="-260.245"/>
    <n v="260.245"/>
    <x v="1"/>
    <s v="2230"/>
    <s v="000"/>
    <x v="1"/>
    <x v="1"/>
  </r>
  <r>
    <d v="2012-11-16T00:00:00"/>
    <s v="017-2100-000"/>
    <s v="Food Sales"/>
    <n v="8776.7908000000007"/>
    <n v="0"/>
    <s v="Daily Sales Import"/>
    <n v="-8776.7908000000007"/>
    <n v="8776.7908000000007"/>
    <x v="1"/>
    <s v="2100"/>
    <s v="000"/>
    <x v="1"/>
    <x v="1"/>
  </r>
  <r>
    <d v="2012-11-16T00:00:00"/>
    <s v="017-2210-000"/>
    <s v="Liquor Sales"/>
    <n v="1977.6429999999998"/>
    <n v="0"/>
    <s v="Daily Sales Import"/>
    <n v="-1977.6429999999998"/>
    <n v="1977.6429999999998"/>
    <x v="1"/>
    <s v="2210"/>
    <s v="000"/>
    <x v="1"/>
    <x v="1"/>
  </r>
  <r>
    <d v="2012-11-16T00:00:00"/>
    <s v="017-2220-000"/>
    <s v="Beer Sales"/>
    <n v="409.11750000000001"/>
    <n v="0"/>
    <s v="Daily Sales Import"/>
    <n v="-409.11750000000001"/>
    <n v="409.11750000000001"/>
    <x v="1"/>
    <s v="2220"/>
    <s v="000"/>
    <x v="1"/>
    <x v="1"/>
  </r>
  <r>
    <d v="2012-11-16T00:00:00"/>
    <s v="017-2230-000"/>
    <s v="Wine Sales"/>
    <n v="160.072"/>
    <n v="0"/>
    <s v="Daily Sales Import"/>
    <n v="-160.072"/>
    <n v="160.072"/>
    <x v="1"/>
    <s v="2230"/>
    <s v="000"/>
    <x v="1"/>
    <x v="1"/>
  </r>
  <r>
    <d v="2012-11-17T00:00:00"/>
    <s v="017-2100-000"/>
    <s v="Food Sales"/>
    <n v="4971.5810999999994"/>
    <n v="0"/>
    <s v="Daily Sales Import"/>
    <n v="-4971.5810999999994"/>
    <n v="4971.5810999999994"/>
    <x v="1"/>
    <s v="2100"/>
    <s v="000"/>
    <x v="1"/>
    <x v="1"/>
  </r>
  <r>
    <d v="2012-11-17T00:00:00"/>
    <s v="017-2210-000"/>
    <s v="Liquor Sales"/>
    <n v="1585.9299999999998"/>
    <n v="0"/>
    <s v="Daily Sales Import"/>
    <n v="-1585.9299999999998"/>
    <n v="1585.9299999999998"/>
    <x v="1"/>
    <s v="2210"/>
    <s v="000"/>
    <x v="1"/>
    <x v="1"/>
  </r>
  <r>
    <d v="2012-11-17T00:00:00"/>
    <s v="017-2220-000"/>
    <s v="Beer Sales"/>
    <n v="403.39249999999998"/>
    <n v="0"/>
    <s v="Daily Sales Import"/>
    <n v="-403.39249999999998"/>
    <n v="403.39249999999998"/>
    <x v="1"/>
    <s v="2220"/>
    <s v="000"/>
    <x v="1"/>
    <x v="1"/>
  </r>
  <r>
    <d v="2012-11-17T00:00:00"/>
    <s v="017-2230-000"/>
    <s v="Wine Sales"/>
    <n v="106.85400000000001"/>
    <n v="0"/>
    <s v="Daily Sales Import"/>
    <n v="-106.85400000000001"/>
    <n v="106.85400000000001"/>
    <x v="1"/>
    <s v="2230"/>
    <s v="000"/>
    <x v="1"/>
    <x v="1"/>
  </r>
  <r>
    <d v="2012-11-18T00:00:00"/>
    <s v="017-2100-000"/>
    <s v="Food Sales"/>
    <n v="5209.7219999999998"/>
    <n v="0"/>
    <s v="Daily Sales Import"/>
    <n v="-5209.7219999999998"/>
    <n v="5209.7219999999998"/>
    <x v="1"/>
    <s v="2100"/>
    <s v="000"/>
    <x v="1"/>
    <x v="1"/>
  </r>
  <r>
    <d v="2012-11-18T00:00:00"/>
    <s v="017-2210-000"/>
    <s v="Liquor Sales"/>
    <n v="722.25599999999997"/>
    <n v="0"/>
    <s v="Daily Sales Import"/>
    <n v="-722.25599999999997"/>
    <n v="722.25599999999997"/>
    <x v="1"/>
    <s v="2210"/>
    <s v="000"/>
    <x v="1"/>
    <x v="1"/>
  </r>
  <r>
    <d v="2012-11-18T00:00:00"/>
    <s v="017-2220-000"/>
    <s v="Beer Sales"/>
    <n v="105.86"/>
    <n v="0"/>
    <s v="Daily Sales Import"/>
    <n v="-105.86"/>
    <n v="105.86"/>
    <x v="1"/>
    <s v="2220"/>
    <s v="000"/>
    <x v="1"/>
    <x v="1"/>
  </r>
  <r>
    <d v="2012-11-18T00:00:00"/>
    <s v="017-2230-000"/>
    <s v="Wine Sales"/>
    <n v="94.516999999999996"/>
    <n v="0"/>
    <s v="Daily Sales Import"/>
    <n v="-94.516999999999996"/>
    <n v="94.516999999999996"/>
    <x v="1"/>
    <s v="2230"/>
    <s v="000"/>
    <x v="1"/>
    <x v="1"/>
  </r>
  <r>
    <d v="2012-11-12T00:00:00"/>
    <s v="018-2100-000"/>
    <s v="Food Sales"/>
    <n v="5408.8016000000007"/>
    <n v="0"/>
    <s v="Daily Sales Import"/>
    <n v="-5408.8016000000007"/>
    <n v="5408.8016000000007"/>
    <x v="2"/>
    <s v="2100"/>
    <s v="000"/>
    <x v="1"/>
    <x v="1"/>
  </r>
  <r>
    <d v="2012-11-12T00:00:00"/>
    <s v="018-2210-000"/>
    <s v="Liquor Sales"/>
    <n v="841.7115"/>
    <n v="0"/>
    <s v="Daily Sales Import"/>
    <n v="-841.7115"/>
    <n v="841.7115"/>
    <x v="2"/>
    <s v="2210"/>
    <s v="000"/>
    <x v="1"/>
    <x v="1"/>
  </r>
  <r>
    <d v="2012-11-12T00:00:00"/>
    <s v="018-2220-000"/>
    <s v="Beer Sales"/>
    <n v="223.74799999999999"/>
    <n v="0"/>
    <s v="Daily Sales Import"/>
    <n v="-223.74799999999999"/>
    <n v="223.74799999999999"/>
    <x v="2"/>
    <s v="2220"/>
    <s v="000"/>
    <x v="1"/>
    <x v="1"/>
  </r>
  <r>
    <d v="2012-11-12T00:00:00"/>
    <s v="018-2230-000"/>
    <s v="Wine Sales"/>
    <n v="17.891999999999999"/>
    <n v="0"/>
    <s v="Daily Sales Import"/>
    <n v="-17.891999999999999"/>
    <n v="17.891999999999999"/>
    <x v="2"/>
    <s v="2230"/>
    <s v="000"/>
    <x v="1"/>
    <x v="1"/>
  </r>
  <r>
    <d v="2012-11-13T00:00:00"/>
    <s v="018-2100-000"/>
    <s v="Food Sales"/>
    <n v="2824.9575"/>
    <n v="0"/>
    <s v="Daily Sales Import"/>
    <n v="-2824.9575"/>
    <n v="2824.9575"/>
    <x v="2"/>
    <s v="2100"/>
    <s v="000"/>
    <x v="1"/>
    <x v="1"/>
  </r>
  <r>
    <d v="2012-11-13T00:00:00"/>
    <s v="018-2210-000"/>
    <s v="Liquor Sales"/>
    <n v="578.7589999999999"/>
    <n v="0"/>
    <s v="Daily Sales Import"/>
    <n v="-578.7589999999999"/>
    <n v="578.7589999999999"/>
    <x v="2"/>
    <s v="2210"/>
    <s v="000"/>
    <x v="1"/>
    <x v="1"/>
  </r>
  <r>
    <d v="2012-11-13T00:00:00"/>
    <s v="018-2220-000"/>
    <s v="Beer Sales"/>
    <n v="124.90800000000002"/>
    <n v="0"/>
    <s v="Daily Sales Import"/>
    <n v="-124.90800000000002"/>
    <n v="124.90800000000002"/>
    <x v="2"/>
    <s v="2220"/>
    <s v="000"/>
    <x v="1"/>
    <x v="1"/>
  </r>
  <r>
    <d v="2012-11-13T00:00:00"/>
    <s v="018-2230-000"/>
    <s v="Wine Sales"/>
    <n v="18.213000000000001"/>
    <n v="0"/>
    <s v="Daily Sales Import"/>
    <n v="-18.213000000000001"/>
    <n v="18.213000000000001"/>
    <x v="2"/>
    <s v="2230"/>
    <s v="000"/>
    <x v="1"/>
    <x v="1"/>
  </r>
  <r>
    <d v="2012-11-14T00:00:00"/>
    <s v="018-2100-000"/>
    <s v="Food Sales"/>
    <n v="4092.9585000000002"/>
    <n v="0"/>
    <s v="Daily Sales Import"/>
    <n v="-4092.9585000000002"/>
    <n v="4092.9585000000002"/>
    <x v="2"/>
    <s v="2100"/>
    <s v="000"/>
    <x v="1"/>
    <x v="1"/>
  </r>
  <r>
    <d v="2012-11-14T00:00:00"/>
    <s v="018-2210-000"/>
    <s v="Liquor Sales"/>
    <n v="568.65"/>
    <n v="0"/>
    <s v="Daily Sales Import"/>
    <n v="-568.65"/>
    <n v="568.65"/>
    <x v="2"/>
    <s v="2210"/>
    <s v="000"/>
    <x v="1"/>
    <x v="1"/>
  </r>
  <r>
    <d v="2012-11-14T00:00:00"/>
    <s v="018-2220-000"/>
    <s v="Beer Sales"/>
    <n v="110.46599999999999"/>
    <n v="0"/>
    <s v="Daily Sales Import"/>
    <n v="-110.46599999999999"/>
    <n v="110.46599999999999"/>
    <x v="2"/>
    <s v="2220"/>
    <s v="000"/>
    <x v="1"/>
    <x v="1"/>
  </r>
  <r>
    <d v="2012-11-14T00:00:00"/>
    <s v="018-2230-000"/>
    <s v="Wine Sales"/>
    <n v="17.6435"/>
    <n v="0"/>
    <s v="Daily Sales Import"/>
    <n v="-17.6435"/>
    <n v="17.6435"/>
    <x v="2"/>
    <s v="2230"/>
    <s v="000"/>
    <x v="1"/>
    <x v="1"/>
  </r>
  <r>
    <d v="2012-11-15T00:00:00"/>
    <s v="018-2100-000"/>
    <s v="Food Sales"/>
    <n v="4962.415"/>
    <n v="0"/>
    <s v="Daily Sales Import"/>
    <n v="-4962.415"/>
    <n v="4962.415"/>
    <x v="2"/>
    <s v="2100"/>
    <s v="000"/>
    <x v="1"/>
    <x v="1"/>
  </r>
  <r>
    <d v="2012-11-15T00:00:00"/>
    <s v="018-2210-000"/>
    <s v="Liquor Sales"/>
    <n v="856.98900000000003"/>
    <n v="0"/>
    <s v="Daily Sales Import"/>
    <n v="-856.98900000000003"/>
    <n v="856.98900000000003"/>
    <x v="2"/>
    <s v="2210"/>
    <s v="000"/>
    <x v="1"/>
    <x v="1"/>
  </r>
  <r>
    <d v="2012-11-15T00:00:00"/>
    <s v="018-2220-000"/>
    <s v="Beer Sales"/>
    <n v="110.60599999999998"/>
    <n v="0"/>
    <s v="Daily Sales Import"/>
    <n v="-110.60599999999998"/>
    <n v="110.60599999999998"/>
    <x v="2"/>
    <s v="2220"/>
    <s v="000"/>
    <x v="1"/>
    <x v="1"/>
  </r>
  <r>
    <d v="2012-11-15T00:00:00"/>
    <s v="018-2230-000"/>
    <s v="Wine Sales"/>
    <n v="71.213999999999999"/>
    <n v="0"/>
    <s v="Daily Sales Import"/>
    <n v="-71.213999999999999"/>
    <n v="71.213999999999999"/>
    <x v="2"/>
    <s v="2230"/>
    <s v="000"/>
    <x v="1"/>
    <x v="1"/>
  </r>
  <r>
    <d v="2012-11-16T00:00:00"/>
    <s v="018-2100-000"/>
    <s v="Food Sales"/>
    <n v="11102.3055"/>
    <n v="0"/>
    <s v="Daily Sales Import"/>
    <n v="-11102.3055"/>
    <n v="11102.3055"/>
    <x v="2"/>
    <s v="2100"/>
    <s v="000"/>
    <x v="1"/>
    <x v="1"/>
  </r>
  <r>
    <d v="2012-11-16T00:00:00"/>
    <s v="018-2210-000"/>
    <s v="Liquor Sales"/>
    <n v="2519.0549999999998"/>
    <n v="0"/>
    <s v="Daily Sales Import"/>
    <n v="-2519.0549999999998"/>
    <n v="2519.0549999999998"/>
    <x v="2"/>
    <s v="2210"/>
    <s v="000"/>
    <x v="1"/>
    <x v="1"/>
  </r>
  <r>
    <d v="2012-11-16T00:00:00"/>
    <s v="018-2220-000"/>
    <s v="Beer Sales"/>
    <n v="649.93500000000006"/>
    <n v="0"/>
    <s v="Daily Sales Import"/>
    <n v="-649.93500000000006"/>
    <n v="649.93500000000006"/>
    <x v="2"/>
    <s v="2220"/>
    <s v="000"/>
    <x v="1"/>
    <x v="1"/>
  </r>
  <r>
    <d v="2012-11-16T00:00:00"/>
    <s v="018-2230-000"/>
    <s v="Wine Sales"/>
    <n v="124.992"/>
    <n v="0"/>
    <s v="Daily Sales Import"/>
    <n v="-124.992"/>
    <n v="124.992"/>
    <x v="2"/>
    <s v="2230"/>
    <s v="000"/>
    <x v="1"/>
    <x v="1"/>
  </r>
  <r>
    <d v="2012-11-17T00:00:00"/>
    <s v="018-2100-000"/>
    <s v="Food Sales"/>
    <n v="17340.626499999998"/>
    <n v="0"/>
    <s v="Daily Sales Import"/>
    <n v="-17340.626499999998"/>
    <n v="17340.626499999998"/>
    <x v="2"/>
    <s v="2100"/>
    <s v="000"/>
    <x v="1"/>
    <x v="1"/>
  </r>
  <r>
    <d v="2012-11-17T00:00:00"/>
    <s v="018-2210-000"/>
    <s v="Liquor Sales"/>
    <n v="4246.6849999999995"/>
    <n v="0"/>
    <s v="Daily Sales Import"/>
    <n v="-4246.6849999999995"/>
    <n v="4246.6849999999995"/>
    <x v="2"/>
    <s v="2210"/>
    <s v="000"/>
    <x v="1"/>
    <x v="1"/>
  </r>
  <r>
    <d v="2012-11-17T00:00:00"/>
    <s v="018-2220-000"/>
    <s v="Beer Sales"/>
    <n v="645.71399999999994"/>
    <n v="0"/>
    <s v="Daily Sales Import"/>
    <n v="-645.71399999999994"/>
    <n v="645.71399999999994"/>
    <x v="2"/>
    <s v="2220"/>
    <s v="000"/>
    <x v="1"/>
    <x v="1"/>
  </r>
  <r>
    <d v="2012-11-17T00:00:00"/>
    <s v="018-2230-000"/>
    <s v="Wine Sales"/>
    <n v="160.29100000000003"/>
    <n v="0"/>
    <s v="Daily Sales Import"/>
    <n v="-160.29100000000003"/>
    <n v="160.29100000000003"/>
    <x v="2"/>
    <s v="2230"/>
    <s v="000"/>
    <x v="1"/>
    <x v="1"/>
  </r>
  <r>
    <d v="2012-11-18T00:00:00"/>
    <s v="018-2100-000"/>
    <s v="Food Sales"/>
    <n v="8181.8064000000004"/>
    <n v="0"/>
    <s v="Daily Sales Import"/>
    <n v="-8181.8064000000004"/>
    <n v="8181.8064000000004"/>
    <x v="2"/>
    <s v="2100"/>
    <s v="000"/>
    <x v="1"/>
    <x v="1"/>
  </r>
  <r>
    <d v="2012-11-18T00:00:00"/>
    <s v="018-2210-000"/>
    <s v="Liquor Sales"/>
    <n v="812.73500000000013"/>
    <n v="0"/>
    <s v="Daily Sales Import"/>
    <n v="-812.73500000000013"/>
    <n v="812.73500000000013"/>
    <x v="2"/>
    <s v="2210"/>
    <s v="000"/>
    <x v="1"/>
    <x v="1"/>
  </r>
  <r>
    <d v="2012-11-18T00:00:00"/>
    <s v="018-2220-000"/>
    <s v="Beer Sales"/>
    <n v="185.12550000000002"/>
    <n v="0"/>
    <s v="Daily Sales Import"/>
    <n v="-185.12550000000002"/>
    <n v="185.12550000000002"/>
    <x v="2"/>
    <s v="2220"/>
    <s v="000"/>
    <x v="1"/>
    <x v="1"/>
  </r>
  <r>
    <d v="2012-11-18T00:00:00"/>
    <s v="018-2230-000"/>
    <s v="Wine Sales"/>
    <n v="58.704999999999998"/>
    <n v="0"/>
    <s v="Daily Sales Import"/>
    <n v="-58.704999999999998"/>
    <n v="58.704999999999998"/>
    <x v="2"/>
    <s v="2230"/>
    <s v="000"/>
    <x v="1"/>
    <x v="1"/>
  </r>
  <r>
    <d v="2012-11-19T00:00:00"/>
    <s v="016-2100-000"/>
    <s v="Food Sales"/>
    <n v="2270.7047999999995"/>
    <n v="0"/>
    <s v="Daily Sales Import"/>
    <n v="-2270.7047999999995"/>
    <n v="2270.7047999999995"/>
    <x v="0"/>
    <s v="2100"/>
    <s v="000"/>
    <x v="1"/>
    <x v="1"/>
  </r>
  <r>
    <d v="2012-11-19T00:00:00"/>
    <s v="016-2210-000"/>
    <s v="Liquor Sales"/>
    <n v="450.00839999999999"/>
    <n v="0"/>
    <s v="Daily Sales Import"/>
    <n v="-450.00839999999999"/>
    <n v="450.00839999999999"/>
    <x v="0"/>
    <s v="2210"/>
    <s v="000"/>
    <x v="1"/>
    <x v="1"/>
  </r>
  <r>
    <d v="2012-11-19T00:00:00"/>
    <s v="016-2220-000"/>
    <s v="Beer Sales"/>
    <n v="67.694800000000001"/>
    <n v="0"/>
    <s v="Daily Sales Import"/>
    <n v="-67.694800000000001"/>
    <n v="67.694800000000001"/>
    <x v="0"/>
    <s v="2220"/>
    <s v="000"/>
    <x v="1"/>
    <x v="1"/>
  </r>
  <r>
    <d v="2012-11-19T00:00:00"/>
    <s v="016-2230-000"/>
    <s v="Wine Sales"/>
    <n v="31.006799999999998"/>
    <n v="0"/>
    <s v="Daily Sales Import"/>
    <n v="-31.006799999999998"/>
    <n v="31.006799999999998"/>
    <x v="0"/>
    <s v="2230"/>
    <s v="000"/>
    <x v="1"/>
    <x v="1"/>
  </r>
  <r>
    <d v="2012-11-20T00:00:00"/>
    <s v="016-2100-000"/>
    <s v="Food Sales"/>
    <n v="5046.3140000000003"/>
    <n v="0"/>
    <s v="Daily Sales Import"/>
    <n v="-5046.3140000000003"/>
    <n v="5046.3140000000003"/>
    <x v="0"/>
    <s v="2100"/>
    <s v="000"/>
    <x v="1"/>
    <x v="1"/>
  </r>
  <r>
    <d v="2012-11-20T00:00:00"/>
    <s v="016-2210-000"/>
    <s v="Liquor Sales"/>
    <n v="2557.4070000000002"/>
    <n v="0"/>
    <s v="Daily Sales Import"/>
    <n v="-2557.4070000000002"/>
    <n v="2557.4070000000002"/>
    <x v="0"/>
    <s v="2210"/>
    <s v="000"/>
    <x v="1"/>
    <x v="1"/>
  </r>
  <r>
    <d v="2012-11-20T00:00:00"/>
    <s v="016-2220-000"/>
    <s v="Beer Sales"/>
    <n v="460.67079999999999"/>
    <n v="0"/>
    <s v="Daily Sales Import"/>
    <n v="-460.67079999999999"/>
    <n v="460.67079999999999"/>
    <x v="0"/>
    <s v="2220"/>
    <s v="000"/>
    <x v="1"/>
    <x v="1"/>
  </r>
  <r>
    <d v="2012-11-20T00:00:00"/>
    <s v="016-2230-000"/>
    <s v="Wine Sales"/>
    <n v="119.17960000000001"/>
    <n v="0"/>
    <s v="Daily Sales Import"/>
    <n v="-119.17960000000001"/>
    <n v="119.17960000000001"/>
    <x v="0"/>
    <s v="2230"/>
    <s v="000"/>
    <x v="1"/>
    <x v="1"/>
  </r>
  <r>
    <d v="2012-11-21T00:00:00"/>
    <s v="016-2100-000"/>
    <s v="Food Sales"/>
    <n v="3334.8723999999997"/>
    <n v="0"/>
    <s v="Daily Sales Import"/>
    <n v="-3334.8723999999997"/>
    <n v="3334.8723999999997"/>
    <x v="0"/>
    <s v="2100"/>
    <s v="000"/>
    <x v="1"/>
    <x v="1"/>
  </r>
  <r>
    <d v="2012-11-21T00:00:00"/>
    <s v="016-2210-000"/>
    <s v="Liquor Sales"/>
    <n v="1223.2605000000001"/>
    <n v="0"/>
    <s v="Daily Sales Import"/>
    <n v="-1223.2605000000001"/>
    <n v="1223.2605000000001"/>
    <x v="0"/>
    <s v="2210"/>
    <s v="000"/>
    <x v="1"/>
    <x v="1"/>
  </r>
  <r>
    <d v="2012-11-21T00:00:00"/>
    <s v="016-2220-000"/>
    <s v="Beer Sales"/>
    <n v="211.01879999999997"/>
    <n v="0"/>
    <s v="Daily Sales Import"/>
    <n v="-211.01879999999997"/>
    <n v="211.01879999999997"/>
    <x v="0"/>
    <s v="2220"/>
    <s v="000"/>
    <x v="1"/>
    <x v="1"/>
  </r>
  <r>
    <d v="2012-11-21T00:00:00"/>
    <s v="016-2230-000"/>
    <s v="Wine Sales"/>
    <n v="46.562799999999996"/>
    <n v="0"/>
    <s v="Daily Sales Import"/>
    <n v="-46.562799999999996"/>
    <n v="46.562799999999996"/>
    <x v="0"/>
    <s v="2230"/>
    <s v="000"/>
    <x v="1"/>
    <x v="1"/>
  </r>
  <r>
    <d v="2012-11-23T00:00:00"/>
    <s v="016-2100-000"/>
    <s v="Food Sales"/>
    <n v="10416.474"/>
    <n v="0"/>
    <s v="Daily Sales Import"/>
    <n v="-10416.474"/>
    <n v="10416.474"/>
    <x v="0"/>
    <s v="2100"/>
    <s v="000"/>
    <x v="1"/>
    <x v="1"/>
  </r>
  <r>
    <d v="2012-11-23T00:00:00"/>
    <s v="016-2210-000"/>
    <s v="Liquor Sales"/>
    <n v="3697.761"/>
    <n v="0"/>
    <s v="Daily Sales Import"/>
    <n v="-3697.761"/>
    <n v="3697.761"/>
    <x v="0"/>
    <s v="2210"/>
    <s v="000"/>
    <x v="1"/>
    <x v="1"/>
  </r>
  <r>
    <d v="2012-11-23T00:00:00"/>
    <s v="016-2220-000"/>
    <s v="Beer Sales"/>
    <n v="827.64499999999998"/>
    <n v="0"/>
    <s v="Daily Sales Import"/>
    <n v="-827.64499999999998"/>
    <n v="827.64499999999998"/>
    <x v="0"/>
    <s v="2220"/>
    <s v="000"/>
    <x v="1"/>
    <x v="1"/>
  </r>
  <r>
    <d v="2012-11-23T00:00:00"/>
    <s v="016-2230-000"/>
    <s v="Wine Sales"/>
    <n v="511.39759999999995"/>
    <n v="0"/>
    <s v="Daily Sales Import"/>
    <n v="-511.39759999999995"/>
    <n v="511.39759999999995"/>
    <x v="0"/>
    <s v="2230"/>
    <s v="000"/>
    <x v="1"/>
    <x v="1"/>
  </r>
  <r>
    <d v="2012-11-24T00:00:00"/>
    <s v="016-2100-000"/>
    <s v="Food Sales"/>
    <n v="9335.5253999999986"/>
    <n v="0"/>
    <s v="Daily Sales Import"/>
    <n v="-9335.5253999999986"/>
    <n v="9335.5253999999986"/>
    <x v="0"/>
    <s v="2100"/>
    <s v="000"/>
    <x v="1"/>
    <x v="1"/>
  </r>
  <r>
    <d v="2012-11-24T00:00:00"/>
    <s v="016-2210-000"/>
    <s v="Liquor Sales"/>
    <n v="1584.1456000000001"/>
    <n v="0"/>
    <s v="Daily Sales Import"/>
    <n v="-1584.1456000000001"/>
    <n v="1584.1456000000001"/>
    <x v="0"/>
    <s v="2210"/>
    <s v="000"/>
    <x v="1"/>
    <x v="1"/>
  </r>
  <r>
    <d v="2012-11-24T00:00:00"/>
    <s v="016-2220-000"/>
    <s v="Beer Sales"/>
    <n v="385.7176"/>
    <n v="0"/>
    <s v="Daily Sales Import"/>
    <n v="-385.7176"/>
    <n v="385.7176"/>
    <x v="0"/>
    <s v="2220"/>
    <s v="000"/>
    <x v="1"/>
    <x v="1"/>
  </r>
  <r>
    <d v="2012-11-24T00:00:00"/>
    <s v="016-2230-000"/>
    <s v="Wine Sales"/>
    <n v="236.56319999999999"/>
    <n v="0"/>
    <s v="Daily Sales Import"/>
    <n v="-236.56319999999999"/>
    <n v="236.56319999999999"/>
    <x v="0"/>
    <s v="2230"/>
    <s v="000"/>
    <x v="1"/>
    <x v="1"/>
  </r>
  <r>
    <d v="2012-11-25T00:00:00"/>
    <s v="016-2100-000"/>
    <s v="Food Sales"/>
    <n v="5074.9650000000001"/>
    <n v="0"/>
    <s v="Daily Sales Import"/>
    <n v="-5074.9650000000001"/>
    <n v="5074.9650000000001"/>
    <x v="0"/>
    <s v="2100"/>
    <s v="000"/>
    <x v="1"/>
    <x v="1"/>
  </r>
  <r>
    <d v="2012-11-25T00:00:00"/>
    <s v="016-2210-000"/>
    <s v="Liquor Sales"/>
    <n v="1063.9423999999999"/>
    <n v="0"/>
    <s v="Daily Sales Import"/>
    <n v="-1063.9423999999999"/>
    <n v="1063.9423999999999"/>
    <x v="0"/>
    <s v="2210"/>
    <s v="000"/>
    <x v="1"/>
    <x v="1"/>
  </r>
  <r>
    <d v="2012-11-25T00:00:00"/>
    <s v="016-2220-000"/>
    <s v="Beer Sales"/>
    <n v="134.096"/>
    <n v="0"/>
    <s v="Daily Sales Import"/>
    <n v="-134.096"/>
    <n v="134.096"/>
    <x v="0"/>
    <s v="2220"/>
    <s v="000"/>
    <x v="1"/>
    <x v="1"/>
  </r>
  <r>
    <d v="2012-11-25T00:00:00"/>
    <s v="016-2230-000"/>
    <s v="Wine Sales"/>
    <n v="96.976500000000001"/>
    <n v="0"/>
    <s v="Daily Sales Import"/>
    <n v="-96.976500000000001"/>
    <n v="96.976500000000001"/>
    <x v="0"/>
    <s v="2230"/>
    <s v="000"/>
    <x v="1"/>
    <x v="1"/>
  </r>
  <r>
    <d v="2012-11-19T00:00:00"/>
    <s v="017-2100-000"/>
    <s v="Food Sales"/>
    <n v="4104.5861999999997"/>
    <n v="0"/>
    <s v="Daily Sales Import"/>
    <n v="-4104.5861999999997"/>
    <n v="4104.5861999999997"/>
    <x v="1"/>
    <s v="2100"/>
    <s v="000"/>
    <x v="1"/>
    <x v="1"/>
  </r>
  <r>
    <d v="2012-11-19T00:00:00"/>
    <s v="017-2210-000"/>
    <s v="Liquor Sales"/>
    <n v="1042.9286999999999"/>
    <n v="0"/>
    <s v="Daily Sales Import"/>
    <n v="-1042.9286999999999"/>
    <n v="1042.9286999999999"/>
    <x v="1"/>
    <s v="2210"/>
    <s v="000"/>
    <x v="1"/>
    <x v="1"/>
  </r>
  <r>
    <d v="2012-11-19T00:00:00"/>
    <s v="017-2220-000"/>
    <s v="Beer Sales"/>
    <n v="287.00279999999998"/>
    <n v="0"/>
    <s v="Daily Sales Import"/>
    <n v="-287.00279999999998"/>
    <n v="287.00279999999998"/>
    <x v="1"/>
    <s v="2220"/>
    <s v="000"/>
    <x v="1"/>
    <x v="1"/>
  </r>
  <r>
    <d v="2012-11-19T00:00:00"/>
    <s v="017-2230-000"/>
    <s v="Wine Sales"/>
    <n v="46.185600000000008"/>
    <n v="0"/>
    <s v="Daily Sales Import"/>
    <n v="-46.185600000000008"/>
    <n v="46.185600000000008"/>
    <x v="1"/>
    <s v="2230"/>
    <s v="000"/>
    <x v="1"/>
    <x v="1"/>
  </r>
  <r>
    <d v="2012-11-20T00:00:00"/>
    <s v="017-2100-000"/>
    <s v="Food Sales"/>
    <n v="4871.1440000000002"/>
    <n v="0"/>
    <s v="Daily Sales Import"/>
    <n v="-4871.1440000000002"/>
    <n v="4871.1440000000002"/>
    <x v="1"/>
    <s v="2100"/>
    <s v="000"/>
    <x v="1"/>
    <x v="1"/>
  </r>
  <r>
    <d v="2012-11-20T00:00:00"/>
    <s v="017-2210-000"/>
    <s v="Liquor Sales"/>
    <n v="1103.3375999999998"/>
    <n v="0"/>
    <s v="Daily Sales Import"/>
    <n v="-1103.3375999999998"/>
    <n v="1103.3375999999998"/>
    <x v="1"/>
    <s v="2210"/>
    <s v="000"/>
    <x v="1"/>
    <x v="1"/>
  </r>
  <r>
    <d v="2012-11-20T00:00:00"/>
    <s v="017-2220-000"/>
    <s v="Beer Sales"/>
    <n v="413.54660000000001"/>
    <n v="0"/>
    <s v="Daily Sales Import"/>
    <n v="-413.54660000000001"/>
    <n v="413.54660000000001"/>
    <x v="1"/>
    <s v="2220"/>
    <s v="000"/>
    <x v="1"/>
    <x v="1"/>
  </r>
  <r>
    <d v="2012-11-20T00:00:00"/>
    <s v="017-2230-000"/>
    <s v="Wine Sales"/>
    <n v="115.43839999999999"/>
    <n v="0"/>
    <s v="Daily Sales Import"/>
    <n v="-115.43839999999999"/>
    <n v="115.43839999999999"/>
    <x v="1"/>
    <s v="2230"/>
    <s v="000"/>
    <x v="1"/>
    <x v="1"/>
  </r>
  <r>
    <d v="2012-11-21T00:00:00"/>
    <s v="017-2100-000"/>
    <s v="Food Sales"/>
    <n v="5745.0623999999998"/>
    <n v="0"/>
    <s v="Daily Sales Import"/>
    <n v="-5745.0623999999998"/>
    <n v="5745.0623999999998"/>
    <x v="1"/>
    <s v="2100"/>
    <s v="000"/>
    <x v="1"/>
    <x v="1"/>
  </r>
  <r>
    <d v="2012-11-21T00:00:00"/>
    <s v="017-2210-000"/>
    <s v="Liquor Sales"/>
    <n v="888.94079999999985"/>
    <n v="0"/>
    <s v="Daily Sales Import"/>
    <n v="-888.94079999999985"/>
    <n v="888.94079999999985"/>
    <x v="1"/>
    <s v="2210"/>
    <s v="000"/>
    <x v="1"/>
    <x v="1"/>
  </r>
  <r>
    <d v="2012-11-21T00:00:00"/>
    <s v="017-2220-000"/>
    <s v="Beer Sales"/>
    <n v="127.89579999999998"/>
    <n v="0"/>
    <s v="Daily Sales Import"/>
    <n v="-127.89579999999998"/>
    <n v="127.89579999999998"/>
    <x v="1"/>
    <s v="2220"/>
    <s v="000"/>
    <x v="1"/>
    <x v="1"/>
  </r>
  <r>
    <d v="2012-11-21T00:00:00"/>
    <s v="017-2230-000"/>
    <s v="Wine Sales"/>
    <n v="42.869700000000002"/>
    <n v="0"/>
    <s v="Daily Sales Import"/>
    <n v="-42.869700000000002"/>
    <n v="42.869700000000002"/>
    <x v="1"/>
    <s v="2230"/>
    <s v="000"/>
    <x v="1"/>
    <x v="1"/>
  </r>
  <r>
    <d v="2012-11-23T00:00:00"/>
    <s v="017-2100-000"/>
    <s v="Food Sales"/>
    <n v="4561.4025000000001"/>
    <n v="0"/>
    <s v="Daily Sales Import"/>
    <n v="-4561.4025000000001"/>
    <n v="4561.4025000000001"/>
    <x v="1"/>
    <s v="2100"/>
    <s v="000"/>
    <x v="1"/>
    <x v="1"/>
  </r>
  <r>
    <d v="2012-11-23T00:00:00"/>
    <s v="017-2210-000"/>
    <s v="Liquor Sales"/>
    <n v="1189.2727"/>
    <n v="0"/>
    <s v="Daily Sales Import"/>
    <n v="-1189.2727"/>
    <n v="1189.2727"/>
    <x v="1"/>
    <s v="2210"/>
    <s v="000"/>
    <x v="1"/>
    <x v="1"/>
  </r>
  <r>
    <d v="2012-11-23T00:00:00"/>
    <s v="017-2220-000"/>
    <s v="Beer Sales"/>
    <n v="268.85520000000002"/>
    <n v="0"/>
    <s v="Daily Sales Import"/>
    <n v="-268.85520000000002"/>
    <n v="268.85520000000002"/>
    <x v="1"/>
    <s v="2220"/>
    <s v="000"/>
    <x v="1"/>
    <x v="1"/>
  </r>
  <r>
    <d v="2012-11-23T00:00:00"/>
    <s v="017-2230-000"/>
    <s v="Wine Sales"/>
    <n v="128.97"/>
    <n v="0"/>
    <s v="Daily Sales Import"/>
    <n v="-128.97"/>
    <n v="128.97"/>
    <x v="1"/>
    <s v="2230"/>
    <s v="000"/>
    <x v="1"/>
    <x v="1"/>
  </r>
  <r>
    <d v="2012-11-24T00:00:00"/>
    <s v="017-2100-000"/>
    <s v="Food Sales"/>
    <n v="4279.7273999999998"/>
    <n v="0"/>
    <s v="Daily Sales Import"/>
    <n v="-4279.7273999999998"/>
    <n v="4279.7273999999998"/>
    <x v="1"/>
    <s v="2100"/>
    <s v="000"/>
    <x v="1"/>
    <x v="1"/>
  </r>
  <r>
    <d v="2012-11-24T00:00:00"/>
    <s v="017-2210-000"/>
    <s v="Liquor Sales"/>
    <n v="1062.8487"/>
    <n v="0"/>
    <s v="Daily Sales Import"/>
    <n v="-1062.8487"/>
    <n v="1062.8487"/>
    <x v="1"/>
    <s v="2210"/>
    <s v="000"/>
    <x v="1"/>
    <x v="1"/>
  </r>
  <r>
    <d v="2012-11-24T00:00:00"/>
    <s v="017-2220-000"/>
    <s v="Beer Sales"/>
    <n v="144.9246"/>
    <n v="0"/>
    <s v="Daily Sales Import"/>
    <n v="-144.9246"/>
    <n v="144.9246"/>
    <x v="1"/>
    <s v="2220"/>
    <s v="000"/>
    <x v="1"/>
    <x v="1"/>
  </r>
  <r>
    <d v="2012-11-24T00:00:00"/>
    <s v="017-2230-000"/>
    <s v="Wine Sales"/>
    <n v="27.8385"/>
    <n v="0"/>
    <s v="Daily Sales Import"/>
    <n v="-27.8385"/>
    <n v="27.8385"/>
    <x v="1"/>
    <s v="2230"/>
    <s v="000"/>
    <x v="1"/>
    <x v="1"/>
  </r>
  <r>
    <d v="2012-11-25T00:00:00"/>
    <s v="017-2100-000"/>
    <s v="Food Sales"/>
    <n v="3730.2999999999997"/>
    <n v="0"/>
    <s v="Daily Sales Import"/>
    <n v="-3730.2999999999997"/>
    <n v="3730.2999999999997"/>
    <x v="1"/>
    <s v="2100"/>
    <s v="000"/>
    <x v="1"/>
    <x v="1"/>
  </r>
  <r>
    <d v="2012-11-25T00:00:00"/>
    <s v="017-2210-000"/>
    <s v="Liquor Sales"/>
    <n v="589.18860000000006"/>
    <n v="0"/>
    <s v="Daily Sales Import"/>
    <n v="-589.18860000000006"/>
    <n v="589.18860000000006"/>
    <x v="1"/>
    <s v="2210"/>
    <s v="000"/>
    <x v="1"/>
    <x v="1"/>
  </r>
  <r>
    <d v="2012-11-25T00:00:00"/>
    <s v="017-2220-000"/>
    <s v="Beer Sales"/>
    <n v="93.113600000000005"/>
    <n v="0"/>
    <s v="Daily Sales Import"/>
    <n v="-93.113600000000005"/>
    <n v="93.113600000000005"/>
    <x v="1"/>
    <s v="2220"/>
    <s v="000"/>
    <x v="1"/>
    <x v="1"/>
  </r>
  <r>
    <d v="2012-11-25T00:00:00"/>
    <s v="017-2230-000"/>
    <s v="Wine Sales"/>
    <n v="59.765200000000007"/>
    <n v="0"/>
    <s v="Daily Sales Import"/>
    <n v="-59.765200000000007"/>
    <n v="59.765200000000007"/>
    <x v="1"/>
    <s v="2230"/>
    <s v="000"/>
    <x v="1"/>
    <x v="1"/>
  </r>
  <r>
    <d v="2012-11-19T00:00:00"/>
    <s v="018-2100-000"/>
    <s v="Food Sales"/>
    <n v="3325.0214999999998"/>
    <n v="0"/>
    <s v="Daily Sales Import"/>
    <n v="-3325.0214999999998"/>
    <n v="3325.0214999999998"/>
    <x v="2"/>
    <s v="2100"/>
    <s v="000"/>
    <x v="1"/>
    <x v="1"/>
  </r>
  <r>
    <d v="2012-11-19T00:00:00"/>
    <s v="018-2210-000"/>
    <s v="Liquor Sales"/>
    <n v="315.90019999999998"/>
    <n v="0"/>
    <s v="Daily Sales Import"/>
    <n v="-315.90019999999998"/>
    <n v="315.90019999999998"/>
    <x v="2"/>
    <s v="2210"/>
    <s v="000"/>
    <x v="1"/>
    <x v="1"/>
  </r>
  <r>
    <d v="2012-11-19T00:00:00"/>
    <s v="018-2220-000"/>
    <s v="Beer Sales"/>
    <n v="117.2307"/>
    <n v="0"/>
    <s v="Daily Sales Import"/>
    <n v="-117.2307"/>
    <n v="117.2307"/>
    <x v="2"/>
    <s v="2220"/>
    <s v="000"/>
    <x v="1"/>
    <x v="1"/>
  </r>
  <r>
    <d v="2012-11-19T00:00:00"/>
    <s v="018-2230-000"/>
    <s v="Wine Sales"/>
    <n v="23.002799999999997"/>
    <n v="0"/>
    <s v="Daily Sales Import"/>
    <n v="-23.002799999999997"/>
    <n v="23.002799999999997"/>
    <x v="2"/>
    <s v="2230"/>
    <s v="000"/>
    <x v="1"/>
    <x v="1"/>
  </r>
  <r>
    <d v="2012-11-20T00:00:00"/>
    <s v="018-2100-000"/>
    <s v="Food Sales"/>
    <n v="5813.5689999999995"/>
    <n v="0"/>
    <s v="Daily Sales Import"/>
    <n v="-5813.5689999999995"/>
    <n v="5813.5689999999995"/>
    <x v="2"/>
    <s v="2100"/>
    <s v="000"/>
    <x v="1"/>
    <x v="1"/>
  </r>
  <r>
    <d v="2012-11-20T00:00:00"/>
    <s v="018-2210-000"/>
    <s v="Liquor Sales"/>
    <n v="1061.9284"/>
    <n v="0"/>
    <s v="Daily Sales Import"/>
    <n v="-1061.9284"/>
    <n v="1061.9284"/>
    <x v="2"/>
    <s v="2210"/>
    <s v="000"/>
    <x v="1"/>
    <x v="1"/>
  </r>
  <r>
    <d v="2012-11-20T00:00:00"/>
    <s v="018-2220-000"/>
    <s v="Beer Sales"/>
    <n v="195.5025"/>
    <n v="0"/>
    <s v="Daily Sales Import"/>
    <n v="-195.5025"/>
    <n v="195.5025"/>
    <x v="2"/>
    <s v="2220"/>
    <s v="000"/>
    <x v="1"/>
    <x v="1"/>
  </r>
  <r>
    <d v="2012-11-20T00:00:00"/>
    <s v="018-2230-000"/>
    <s v="Wine Sales"/>
    <n v="55.091999999999992"/>
    <n v="0"/>
    <s v="Daily Sales Import"/>
    <n v="-55.091999999999992"/>
    <n v="55.091999999999992"/>
    <x v="2"/>
    <s v="2230"/>
    <s v="000"/>
    <x v="1"/>
    <x v="1"/>
  </r>
  <r>
    <d v="2012-11-21T00:00:00"/>
    <s v="018-2100-000"/>
    <s v="Food Sales"/>
    <n v="5497.3567000000003"/>
    <n v="0"/>
    <s v="Daily Sales Import"/>
    <n v="-5497.3567000000003"/>
    <n v="5497.3567000000003"/>
    <x v="2"/>
    <s v="2100"/>
    <s v="000"/>
    <x v="1"/>
    <x v="1"/>
  </r>
  <r>
    <d v="2012-11-21T00:00:00"/>
    <s v="018-2210-000"/>
    <s v="Liquor Sales"/>
    <n v="1924.6722"/>
    <n v="0"/>
    <s v="Daily Sales Import"/>
    <n v="-1924.6722"/>
    <n v="1924.6722"/>
    <x v="2"/>
    <s v="2210"/>
    <s v="000"/>
    <x v="1"/>
    <x v="1"/>
  </r>
  <r>
    <d v="2012-11-21T00:00:00"/>
    <s v="018-2220-000"/>
    <s v="Beer Sales"/>
    <n v="280.52339999999998"/>
    <n v="0"/>
    <s v="Daily Sales Import"/>
    <n v="-280.52339999999998"/>
    <n v="280.52339999999998"/>
    <x v="2"/>
    <s v="2220"/>
    <s v="000"/>
    <x v="1"/>
    <x v="1"/>
  </r>
  <r>
    <d v="2012-11-21T00:00:00"/>
    <s v="018-2230-000"/>
    <s v="Wine Sales"/>
    <n v="27.872"/>
    <n v="0"/>
    <s v="Daily Sales Import"/>
    <n v="-27.872"/>
    <n v="27.872"/>
    <x v="2"/>
    <s v="2230"/>
    <s v="000"/>
    <x v="1"/>
    <x v="1"/>
  </r>
  <r>
    <d v="2012-11-23T00:00:00"/>
    <s v="018-2100-000"/>
    <s v="Food Sales"/>
    <n v="11368.1433"/>
    <n v="0"/>
    <s v="Daily Sales Import"/>
    <n v="-11368.1433"/>
    <n v="11368.1433"/>
    <x v="2"/>
    <s v="2100"/>
    <s v="000"/>
    <x v="1"/>
    <x v="1"/>
  </r>
  <r>
    <d v="2012-11-23T00:00:00"/>
    <s v="018-2210-000"/>
    <s v="Liquor Sales"/>
    <n v="1728.8079"/>
    <n v="0"/>
    <s v="Daily Sales Import"/>
    <n v="-1728.8079"/>
    <n v="1728.8079"/>
    <x v="2"/>
    <s v="2210"/>
    <s v="000"/>
    <x v="1"/>
    <x v="1"/>
  </r>
  <r>
    <d v="2012-11-23T00:00:00"/>
    <s v="018-2220-000"/>
    <s v="Beer Sales"/>
    <n v="495.3732"/>
    <n v="0"/>
    <s v="Daily Sales Import"/>
    <n v="-495.3732"/>
    <n v="495.3732"/>
    <x v="2"/>
    <s v="2220"/>
    <s v="000"/>
    <x v="1"/>
    <x v="1"/>
  </r>
  <r>
    <d v="2012-11-23T00:00:00"/>
    <s v="018-2230-000"/>
    <s v="Wine Sales"/>
    <n v="70.884"/>
    <n v="0"/>
    <s v="Daily Sales Import"/>
    <n v="-70.884"/>
    <n v="70.884"/>
    <x v="2"/>
    <s v="2230"/>
    <s v="000"/>
    <x v="1"/>
    <x v="1"/>
  </r>
  <r>
    <d v="2012-11-24T00:00:00"/>
    <s v="018-2100-000"/>
    <s v="Food Sales"/>
    <n v="11807.298999999999"/>
    <n v="0"/>
    <s v="Daily Sales Import"/>
    <n v="-11807.298999999999"/>
    <n v="11807.298999999999"/>
    <x v="2"/>
    <s v="2100"/>
    <s v="000"/>
    <x v="1"/>
    <x v="1"/>
  </r>
  <r>
    <d v="2012-11-24T00:00:00"/>
    <s v="018-2210-000"/>
    <s v="Liquor Sales"/>
    <n v="2431.3362000000002"/>
    <n v="0"/>
    <s v="Daily Sales Import"/>
    <n v="-2431.3362000000002"/>
    <n v="2431.3362000000002"/>
    <x v="2"/>
    <s v="2210"/>
    <s v="000"/>
    <x v="1"/>
    <x v="1"/>
  </r>
  <r>
    <d v="2012-11-24T00:00:00"/>
    <s v="018-2220-000"/>
    <s v="Beer Sales"/>
    <n v="703.96800000000007"/>
    <n v="0"/>
    <s v="Daily Sales Import"/>
    <n v="-703.96800000000007"/>
    <n v="703.96800000000007"/>
    <x v="2"/>
    <s v="2220"/>
    <s v="000"/>
    <x v="1"/>
    <x v="1"/>
  </r>
  <r>
    <d v="2012-11-24T00:00:00"/>
    <s v="018-2230-000"/>
    <s v="Wine Sales"/>
    <n v="124.3968"/>
    <n v="0"/>
    <s v="Daily Sales Import"/>
    <n v="-124.3968"/>
    <n v="124.3968"/>
    <x v="2"/>
    <s v="2230"/>
    <s v="000"/>
    <x v="1"/>
    <x v="1"/>
  </r>
  <r>
    <d v="2012-11-25T00:00:00"/>
    <s v="018-2100-000"/>
    <s v="Food Sales"/>
    <n v="7719.1376"/>
    <n v="0"/>
    <s v="Daily Sales Import"/>
    <n v="-7719.1376"/>
    <n v="7719.1376"/>
    <x v="2"/>
    <s v="2100"/>
    <s v="000"/>
    <x v="1"/>
    <x v="1"/>
  </r>
  <r>
    <d v="2012-11-25T00:00:00"/>
    <s v="018-2210-000"/>
    <s v="Liquor Sales"/>
    <n v="671.84"/>
    <n v="0"/>
    <s v="Daily Sales Import"/>
    <n v="-671.84"/>
    <n v="671.84"/>
    <x v="2"/>
    <s v="2210"/>
    <s v="000"/>
    <x v="1"/>
    <x v="1"/>
  </r>
  <r>
    <d v="2012-11-25T00:00:00"/>
    <s v="018-2220-000"/>
    <s v="Beer Sales"/>
    <n v="160.32060000000001"/>
    <n v="0"/>
    <s v="Daily Sales Import"/>
    <n v="-160.32060000000001"/>
    <n v="160.32060000000001"/>
    <x v="2"/>
    <s v="2220"/>
    <s v="000"/>
    <x v="1"/>
    <x v="1"/>
  </r>
  <r>
    <d v="2012-11-25T00:00:00"/>
    <s v="018-2230-000"/>
    <s v="Wine Sales"/>
    <n v="39.228500000000004"/>
    <n v="0"/>
    <s v="Daily Sales Import"/>
    <n v="-39.228500000000004"/>
    <n v="39.228500000000004"/>
    <x v="2"/>
    <s v="2230"/>
    <s v="000"/>
    <x v="1"/>
    <x v="1"/>
  </r>
  <r>
    <d v="2012-11-26T00:00:00"/>
    <s v="016-2100-000"/>
    <s v="Food Sales"/>
    <n v="2280.1615000000002"/>
    <n v="0"/>
    <s v="Daily Sales Import"/>
    <n v="-2280.1615000000002"/>
    <n v="2280.1615000000002"/>
    <x v="0"/>
    <s v="2100"/>
    <s v="000"/>
    <x v="1"/>
    <x v="1"/>
  </r>
  <r>
    <d v="2012-11-26T00:00:00"/>
    <s v="016-2210-000"/>
    <s v="Liquor Sales"/>
    <n v="537.68460000000005"/>
    <n v="0"/>
    <s v="Daily Sales Import"/>
    <n v="-537.68460000000005"/>
    <n v="537.68460000000005"/>
    <x v="0"/>
    <s v="2210"/>
    <s v="000"/>
    <x v="1"/>
    <x v="1"/>
  </r>
  <r>
    <d v="2012-11-26T00:00:00"/>
    <s v="016-2220-000"/>
    <s v="Beer Sales"/>
    <n v="127.4465"/>
    <n v="0"/>
    <s v="Daily Sales Import"/>
    <n v="-127.4465"/>
    <n v="127.4465"/>
    <x v="0"/>
    <s v="2220"/>
    <s v="000"/>
    <x v="1"/>
    <x v="1"/>
  </r>
  <r>
    <d v="2012-11-26T00:00:00"/>
    <s v="016-2230-000"/>
    <s v="Wine Sales"/>
    <n v="54.075600000000009"/>
    <n v="0"/>
    <s v="Daily Sales Import"/>
    <n v="-54.075600000000009"/>
    <n v="54.075600000000009"/>
    <x v="0"/>
    <s v="2230"/>
    <s v="000"/>
    <x v="1"/>
    <x v="1"/>
  </r>
  <r>
    <d v="2012-11-27T00:00:00"/>
    <s v="016-2100-000"/>
    <s v="Food Sales"/>
    <n v="4887.7924000000003"/>
    <n v="0"/>
    <s v="Daily Sales Import"/>
    <n v="-4887.7924000000003"/>
    <n v="4887.7924000000003"/>
    <x v="0"/>
    <s v="2100"/>
    <s v="000"/>
    <x v="1"/>
    <x v="1"/>
  </r>
  <r>
    <d v="2012-11-27T00:00:00"/>
    <s v="016-2210-000"/>
    <s v="Liquor Sales"/>
    <n v="1974.5896"/>
    <n v="0"/>
    <s v="Daily Sales Import"/>
    <n v="-1974.5896"/>
    <n v="1974.5896"/>
    <x v="0"/>
    <s v="2210"/>
    <s v="000"/>
    <x v="1"/>
    <x v="1"/>
  </r>
  <r>
    <d v="2012-11-27T00:00:00"/>
    <s v="016-2220-000"/>
    <s v="Beer Sales"/>
    <n v="431.97449999999992"/>
    <n v="0"/>
    <s v="Daily Sales Import"/>
    <n v="-431.97449999999992"/>
    <n v="431.97449999999992"/>
    <x v="0"/>
    <s v="2220"/>
    <s v="000"/>
    <x v="1"/>
    <x v="1"/>
  </r>
  <r>
    <d v="2012-11-27T00:00:00"/>
    <s v="016-2230-000"/>
    <s v="Wine Sales"/>
    <n v="108.00160000000002"/>
    <n v="0"/>
    <s v="Daily Sales Import"/>
    <n v="-108.00160000000002"/>
    <n v="108.00160000000002"/>
    <x v="0"/>
    <s v="2230"/>
    <s v="000"/>
    <x v="1"/>
    <x v="1"/>
  </r>
  <r>
    <d v="2012-11-28T00:00:00"/>
    <s v="016-2100-000"/>
    <s v="Food Sales"/>
    <n v="2052.9920000000002"/>
    <n v="0"/>
    <s v="Daily Sales Import"/>
    <n v="-2052.9920000000002"/>
    <n v="2052.9920000000002"/>
    <x v="0"/>
    <s v="2100"/>
    <s v="000"/>
    <x v="1"/>
    <x v="1"/>
  </r>
  <r>
    <d v="2012-11-28T00:00:00"/>
    <s v="016-2210-000"/>
    <s v="Liquor Sales"/>
    <n v="691.98360000000002"/>
    <n v="0"/>
    <s v="Daily Sales Import"/>
    <n v="-691.98360000000002"/>
    <n v="691.98360000000002"/>
    <x v="0"/>
    <s v="2210"/>
    <s v="000"/>
    <x v="1"/>
    <x v="1"/>
  </r>
  <r>
    <d v="2012-11-28T00:00:00"/>
    <s v="016-2220-000"/>
    <s v="Beer Sales"/>
    <n v="95.234000000000009"/>
    <n v="0"/>
    <s v="Daily Sales Import"/>
    <n v="-95.234000000000009"/>
    <n v="95.234000000000009"/>
    <x v="0"/>
    <s v="2220"/>
    <s v="000"/>
    <x v="1"/>
    <x v="1"/>
  </r>
  <r>
    <d v="2012-11-28T00:00:00"/>
    <s v="016-2230-000"/>
    <s v="Wine Sales"/>
    <n v="32.071199999999997"/>
    <n v="0"/>
    <s v="Daily Sales Import"/>
    <n v="-32.071199999999997"/>
    <n v="32.071199999999997"/>
    <x v="0"/>
    <s v="2230"/>
    <s v="000"/>
    <x v="1"/>
    <x v="1"/>
  </r>
  <r>
    <d v="2012-11-29T00:00:00"/>
    <s v="016-2100-000"/>
    <s v="Food Sales"/>
    <n v="3253.5434"/>
    <n v="0"/>
    <s v="Daily Sales Import"/>
    <n v="-3253.5434"/>
    <n v="3253.5434"/>
    <x v="0"/>
    <s v="2100"/>
    <s v="000"/>
    <x v="1"/>
    <x v="1"/>
  </r>
  <r>
    <d v="2012-11-29T00:00:00"/>
    <s v="016-2210-000"/>
    <s v="Liquor Sales"/>
    <n v="406.66419999999999"/>
    <n v="0"/>
    <s v="Daily Sales Import"/>
    <n v="-406.66419999999999"/>
    <n v="406.66419999999999"/>
    <x v="0"/>
    <s v="2210"/>
    <s v="000"/>
    <x v="1"/>
    <x v="1"/>
  </r>
  <r>
    <d v="2012-11-29T00:00:00"/>
    <s v="016-2220-000"/>
    <s v="Beer Sales"/>
    <n v="103.9049"/>
    <n v="0"/>
    <s v="Daily Sales Import"/>
    <n v="-103.9049"/>
    <n v="103.9049"/>
    <x v="0"/>
    <s v="2220"/>
    <s v="000"/>
    <x v="1"/>
    <x v="1"/>
  </r>
  <r>
    <d v="2012-11-29T00:00:00"/>
    <s v="016-2230-000"/>
    <s v="Wine Sales"/>
    <n v="58.304999999999993"/>
    <n v="0"/>
    <s v="Daily Sales Import"/>
    <n v="-58.304999999999993"/>
    <n v="58.304999999999993"/>
    <x v="0"/>
    <s v="2230"/>
    <s v="000"/>
    <x v="1"/>
    <x v="1"/>
  </r>
  <r>
    <d v="2012-11-30T00:00:00"/>
    <s v="016-2100-000"/>
    <s v="Food Sales"/>
    <n v="5010.4080000000004"/>
    <n v="0"/>
    <s v="Daily Sales Import"/>
    <n v="-5010.4080000000004"/>
    <n v="5010.4080000000004"/>
    <x v="0"/>
    <s v="2100"/>
    <s v="000"/>
    <x v="1"/>
    <x v="1"/>
  </r>
  <r>
    <d v="2012-11-30T00:00:00"/>
    <s v="016-2210-000"/>
    <s v="Liquor Sales"/>
    <n v="1321.1328000000001"/>
    <n v="0"/>
    <s v="Daily Sales Import"/>
    <n v="-1321.1328000000001"/>
    <n v="1321.1328000000001"/>
    <x v="0"/>
    <s v="2210"/>
    <s v="000"/>
    <x v="1"/>
    <x v="1"/>
  </r>
  <r>
    <d v="2012-11-30T00:00:00"/>
    <s v="016-2220-000"/>
    <s v="Beer Sales"/>
    <n v="346.22199999999998"/>
    <n v="0"/>
    <s v="Daily Sales Import"/>
    <n v="-346.22199999999998"/>
    <n v="346.22199999999998"/>
    <x v="0"/>
    <s v="2220"/>
    <s v="000"/>
    <x v="1"/>
    <x v="1"/>
  </r>
  <r>
    <d v="2012-11-30T00:00:00"/>
    <s v="016-2230-000"/>
    <s v="Wine Sales"/>
    <n v="75.753"/>
    <n v="0"/>
    <s v="Daily Sales Import"/>
    <n v="-75.753"/>
    <n v="75.753"/>
    <x v="0"/>
    <s v="2230"/>
    <s v="000"/>
    <x v="1"/>
    <x v="1"/>
  </r>
  <r>
    <d v="2012-12-01T00:00:00"/>
    <s v="016-2100-000"/>
    <s v="Food Sales"/>
    <n v="7445.7372000000005"/>
    <n v="0"/>
    <s v="Daily Sales Import"/>
    <n v="-7445.7372000000005"/>
    <n v="7445.7372000000005"/>
    <x v="0"/>
    <s v="2100"/>
    <s v="000"/>
    <x v="2"/>
    <x v="1"/>
  </r>
  <r>
    <d v="2012-12-01T00:00:00"/>
    <s v="016-2210-000"/>
    <s v="Liquor Sales"/>
    <n v="3695.6248000000001"/>
    <n v="0"/>
    <s v="Daily Sales Import"/>
    <n v="-3695.6248000000001"/>
    <n v="3695.6248000000001"/>
    <x v="0"/>
    <s v="2210"/>
    <s v="000"/>
    <x v="2"/>
    <x v="1"/>
  </r>
  <r>
    <d v="2012-12-01T00:00:00"/>
    <s v="016-2220-000"/>
    <s v="Beer Sales"/>
    <n v="752.87940000000003"/>
    <n v="0"/>
    <s v="Daily Sales Import"/>
    <n v="-752.87940000000003"/>
    <n v="752.87940000000003"/>
    <x v="0"/>
    <s v="2220"/>
    <s v="000"/>
    <x v="2"/>
    <x v="1"/>
  </r>
  <r>
    <d v="2012-12-01T00:00:00"/>
    <s v="016-2230-000"/>
    <s v="Wine Sales"/>
    <n v="441.64549999999997"/>
    <n v="0"/>
    <s v="Daily Sales Import"/>
    <n v="-441.64549999999997"/>
    <n v="441.64549999999997"/>
    <x v="0"/>
    <s v="2230"/>
    <s v="000"/>
    <x v="2"/>
    <x v="1"/>
  </r>
  <r>
    <d v="2012-12-02T00:00:00"/>
    <s v="016-2100-000"/>
    <s v="Food Sales"/>
    <n v="3578.6642999999999"/>
    <n v="0"/>
    <s v="Daily Sales Import"/>
    <n v="-3578.6642999999999"/>
    <n v="3578.6642999999999"/>
    <x v="0"/>
    <s v="2100"/>
    <s v="000"/>
    <x v="2"/>
    <x v="1"/>
  </r>
  <r>
    <d v="2012-12-02T00:00:00"/>
    <s v="016-2210-000"/>
    <s v="Liquor Sales"/>
    <n v="567.08439999999996"/>
    <n v="0"/>
    <s v="Daily Sales Import"/>
    <n v="-567.08439999999996"/>
    <n v="567.08439999999996"/>
    <x v="0"/>
    <s v="2210"/>
    <s v="000"/>
    <x v="2"/>
    <x v="1"/>
  </r>
  <r>
    <d v="2012-12-02T00:00:00"/>
    <s v="016-2220-000"/>
    <s v="Beer Sales"/>
    <n v="147.87359999999998"/>
    <n v="0"/>
    <s v="Daily Sales Import"/>
    <n v="-147.87359999999998"/>
    <n v="147.87359999999998"/>
    <x v="0"/>
    <s v="2220"/>
    <s v="000"/>
    <x v="2"/>
    <x v="1"/>
  </r>
  <r>
    <d v="2012-12-02T00:00:00"/>
    <s v="016-2230-000"/>
    <s v="Wine Sales"/>
    <n v="75.254999999999995"/>
    <n v="0"/>
    <s v="Daily Sales Import"/>
    <n v="-75.254999999999995"/>
    <n v="75.254999999999995"/>
    <x v="0"/>
    <s v="2230"/>
    <s v="000"/>
    <x v="2"/>
    <x v="1"/>
  </r>
  <r>
    <d v="2012-11-26T00:00:00"/>
    <s v="017-2100-000"/>
    <s v="Food Sales"/>
    <n v="3060.9641999999999"/>
    <n v="0"/>
    <s v="Daily Sales Import"/>
    <n v="-3060.9641999999999"/>
    <n v="3060.9641999999999"/>
    <x v="1"/>
    <s v="2100"/>
    <s v="000"/>
    <x v="1"/>
    <x v="1"/>
  </r>
  <r>
    <d v="2012-11-26T00:00:00"/>
    <s v="017-2210-000"/>
    <s v="Liquor Sales"/>
    <n v="505.85340000000002"/>
    <n v="0"/>
    <s v="Daily Sales Import"/>
    <n v="-505.85340000000002"/>
    <n v="505.85340000000002"/>
    <x v="1"/>
    <s v="2210"/>
    <s v="000"/>
    <x v="1"/>
    <x v="1"/>
  </r>
  <r>
    <d v="2012-11-26T00:00:00"/>
    <s v="017-2220-000"/>
    <s v="Beer Sales"/>
    <n v="124.39699999999999"/>
    <n v="0"/>
    <s v="Daily Sales Import"/>
    <n v="-124.39699999999999"/>
    <n v="124.39699999999999"/>
    <x v="1"/>
    <s v="2220"/>
    <s v="000"/>
    <x v="1"/>
    <x v="1"/>
  </r>
  <r>
    <d v="2012-11-26T00:00:00"/>
    <s v="017-2230-000"/>
    <s v="Wine Sales"/>
    <n v="116.6613"/>
    <n v="0"/>
    <s v="Daily Sales Import"/>
    <n v="-116.6613"/>
    <n v="116.6613"/>
    <x v="1"/>
    <s v="2230"/>
    <s v="000"/>
    <x v="1"/>
    <x v="1"/>
  </r>
  <r>
    <d v="2012-11-27T00:00:00"/>
    <s v="017-2100-000"/>
    <s v="Food Sales"/>
    <n v="5652.9503999999997"/>
    <n v="0"/>
    <s v="Daily Sales Import"/>
    <n v="-5652.9503999999997"/>
    <n v="5652.9503999999997"/>
    <x v="1"/>
    <s v="2100"/>
    <s v="000"/>
    <x v="1"/>
    <x v="1"/>
  </r>
  <r>
    <d v="2012-11-27T00:00:00"/>
    <s v="017-2210-000"/>
    <s v="Liquor Sales"/>
    <n v="1305.3225"/>
    <n v="0"/>
    <s v="Daily Sales Import"/>
    <n v="-1305.3225"/>
    <n v="1305.3225"/>
    <x v="1"/>
    <s v="2210"/>
    <s v="000"/>
    <x v="1"/>
    <x v="1"/>
  </r>
  <r>
    <d v="2012-11-27T00:00:00"/>
    <s v="017-2220-000"/>
    <s v="Beer Sales"/>
    <n v="327.4744"/>
    <n v="0"/>
    <s v="Daily Sales Import"/>
    <n v="-327.4744"/>
    <n v="327.4744"/>
    <x v="1"/>
    <s v="2220"/>
    <s v="000"/>
    <x v="1"/>
    <x v="1"/>
  </r>
  <r>
    <d v="2012-11-27T00:00:00"/>
    <s v="017-2230-000"/>
    <s v="Wine Sales"/>
    <n v="157.55749999999998"/>
    <n v="0"/>
    <s v="Daily Sales Import"/>
    <n v="-157.55749999999998"/>
    <n v="157.55749999999998"/>
    <x v="1"/>
    <s v="2230"/>
    <s v="000"/>
    <x v="1"/>
    <x v="1"/>
  </r>
  <r>
    <d v="2012-11-28T00:00:00"/>
    <s v="017-2100-000"/>
    <s v="Food Sales"/>
    <n v="4315.616"/>
    <n v="0"/>
    <s v="Daily Sales Import"/>
    <n v="-4315.616"/>
    <n v="4315.616"/>
    <x v="1"/>
    <s v="2100"/>
    <s v="000"/>
    <x v="1"/>
    <x v="1"/>
  </r>
  <r>
    <d v="2012-11-28T00:00:00"/>
    <s v="017-2210-000"/>
    <s v="Liquor Sales"/>
    <n v="1730.2296000000001"/>
    <n v="0"/>
    <s v="Daily Sales Import"/>
    <n v="-1730.2296000000001"/>
    <n v="1730.2296000000001"/>
    <x v="1"/>
    <s v="2210"/>
    <s v="000"/>
    <x v="1"/>
    <x v="1"/>
  </r>
  <r>
    <d v="2012-11-28T00:00:00"/>
    <s v="017-2220-000"/>
    <s v="Beer Sales"/>
    <n v="458.8186"/>
    <n v="0"/>
    <s v="Daily Sales Import"/>
    <n v="-458.8186"/>
    <n v="458.8186"/>
    <x v="1"/>
    <s v="2220"/>
    <s v="000"/>
    <x v="1"/>
    <x v="1"/>
  </r>
  <r>
    <d v="2012-11-28T00:00:00"/>
    <s v="017-2230-000"/>
    <s v="Wine Sales"/>
    <n v="64.797200000000004"/>
    <n v="0"/>
    <s v="Daily Sales Import"/>
    <n v="-64.797200000000004"/>
    <n v="64.797200000000004"/>
    <x v="1"/>
    <s v="2230"/>
    <s v="000"/>
    <x v="1"/>
    <x v="1"/>
  </r>
  <r>
    <d v="2012-11-29T00:00:00"/>
    <s v="017-2100-000"/>
    <s v="Food Sales"/>
    <n v="3887.8993999999998"/>
    <n v="0"/>
    <s v="Daily Sales Import"/>
    <n v="-3887.8993999999998"/>
    <n v="3887.8993999999998"/>
    <x v="1"/>
    <s v="2100"/>
    <s v="000"/>
    <x v="1"/>
    <x v="1"/>
  </r>
  <r>
    <d v="2012-11-29T00:00:00"/>
    <s v="017-2210-000"/>
    <s v="Liquor Sales"/>
    <n v="886.92"/>
    <n v="0"/>
    <s v="Daily Sales Import"/>
    <n v="-886.92"/>
    <n v="886.92"/>
    <x v="1"/>
    <s v="2210"/>
    <s v="000"/>
    <x v="1"/>
    <x v="1"/>
  </r>
  <r>
    <d v="2012-11-29T00:00:00"/>
    <s v="017-2220-000"/>
    <s v="Beer Sales"/>
    <n v="329.84189999999995"/>
    <n v="0"/>
    <s v="Daily Sales Import"/>
    <n v="-329.84189999999995"/>
    <n v="329.84189999999995"/>
    <x v="1"/>
    <s v="2220"/>
    <s v="000"/>
    <x v="1"/>
    <x v="1"/>
  </r>
  <r>
    <d v="2012-11-29T00:00:00"/>
    <s v="017-2230-000"/>
    <s v="Wine Sales"/>
    <n v="56.933999999999997"/>
    <n v="0"/>
    <s v="Daily Sales Import"/>
    <n v="-56.933999999999997"/>
    <n v="56.933999999999997"/>
    <x v="1"/>
    <s v="2230"/>
    <s v="000"/>
    <x v="1"/>
    <x v="1"/>
  </r>
  <r>
    <d v="2012-11-30T00:00:00"/>
    <s v="017-2100-000"/>
    <s v="Food Sales"/>
    <n v="7974.7199999999993"/>
    <n v="0"/>
    <s v="Daily Sales Import"/>
    <n v="-7974.7199999999993"/>
    <n v="7974.7199999999993"/>
    <x v="1"/>
    <s v="2100"/>
    <s v="000"/>
    <x v="1"/>
    <x v="1"/>
  </r>
  <r>
    <d v="2012-11-30T00:00:00"/>
    <s v="017-2210-000"/>
    <s v="Liquor Sales"/>
    <n v="4699.2341999999999"/>
    <n v="0"/>
    <s v="Daily Sales Import"/>
    <n v="-4699.2341999999999"/>
    <n v="4699.2341999999999"/>
    <x v="1"/>
    <s v="2210"/>
    <s v="000"/>
    <x v="1"/>
    <x v="1"/>
  </r>
  <r>
    <d v="2012-11-30T00:00:00"/>
    <s v="017-2220-000"/>
    <s v="Beer Sales"/>
    <n v="676.23119999999994"/>
    <n v="0"/>
    <s v="Daily Sales Import"/>
    <n v="-676.23119999999994"/>
    <n v="676.23119999999994"/>
    <x v="1"/>
    <s v="2220"/>
    <s v="000"/>
    <x v="1"/>
    <x v="1"/>
  </r>
  <r>
    <d v="2012-11-30T00:00:00"/>
    <s v="017-2230-000"/>
    <s v="Wine Sales"/>
    <n v="384.78719999999998"/>
    <n v="0"/>
    <s v="Daily Sales Import"/>
    <n v="-384.78719999999998"/>
    <n v="384.78719999999998"/>
    <x v="1"/>
    <s v="2230"/>
    <s v="000"/>
    <x v="1"/>
    <x v="1"/>
  </r>
  <r>
    <d v="2012-12-01T00:00:00"/>
    <s v="017-2100-000"/>
    <s v="Food Sales"/>
    <n v="8011.927200000001"/>
    <n v="0"/>
    <s v="Daily Sales Import"/>
    <n v="-8011.927200000001"/>
    <n v="8011.927200000001"/>
    <x v="1"/>
    <s v="2100"/>
    <s v="000"/>
    <x v="2"/>
    <x v="1"/>
  </r>
  <r>
    <d v="2012-12-01T00:00:00"/>
    <s v="017-2210-000"/>
    <s v="Liquor Sales"/>
    <n v="1913.598"/>
    <n v="0"/>
    <s v="Daily Sales Import"/>
    <n v="-1913.598"/>
    <n v="1913.598"/>
    <x v="1"/>
    <s v="2210"/>
    <s v="000"/>
    <x v="2"/>
    <x v="1"/>
  </r>
  <r>
    <d v="2012-12-01T00:00:00"/>
    <s v="017-2220-000"/>
    <s v="Beer Sales"/>
    <n v="280.2276"/>
    <n v="0"/>
    <s v="Daily Sales Import"/>
    <n v="-280.2276"/>
    <n v="280.2276"/>
    <x v="1"/>
    <s v="2220"/>
    <s v="000"/>
    <x v="2"/>
    <x v="1"/>
  </r>
  <r>
    <d v="2012-12-01T00:00:00"/>
    <s v="017-2230-000"/>
    <s v="Wine Sales"/>
    <n v="76.478999999999999"/>
    <n v="0"/>
    <s v="Daily Sales Import"/>
    <n v="-76.478999999999999"/>
    <n v="76.478999999999999"/>
    <x v="1"/>
    <s v="2230"/>
    <s v="000"/>
    <x v="2"/>
    <x v="1"/>
  </r>
  <r>
    <d v="2012-12-02T00:00:00"/>
    <s v="017-2100-000"/>
    <s v="Food Sales"/>
    <n v="4250.3303999999998"/>
    <n v="0"/>
    <s v="Daily Sales Import"/>
    <n v="-4250.3303999999998"/>
    <n v="4250.3303999999998"/>
    <x v="1"/>
    <s v="2100"/>
    <s v="000"/>
    <x v="2"/>
    <x v="1"/>
  </r>
  <r>
    <d v="2012-12-02T00:00:00"/>
    <s v="017-2210-000"/>
    <s v="Liquor Sales"/>
    <n v="577.60640000000001"/>
    <n v="0"/>
    <s v="Daily Sales Import"/>
    <n v="-577.60640000000001"/>
    <n v="577.60640000000001"/>
    <x v="1"/>
    <s v="2210"/>
    <s v="000"/>
    <x v="2"/>
    <x v="1"/>
  </r>
  <r>
    <d v="2012-12-02T00:00:00"/>
    <s v="017-2220-000"/>
    <s v="Beer Sales"/>
    <n v="278.24959999999999"/>
    <n v="0"/>
    <s v="Daily Sales Import"/>
    <n v="-278.24959999999999"/>
    <n v="278.24959999999999"/>
    <x v="1"/>
    <s v="2220"/>
    <s v="000"/>
    <x v="2"/>
    <x v="1"/>
  </r>
  <r>
    <d v="2012-12-02T00:00:00"/>
    <s v="017-2230-000"/>
    <s v="Wine Sales"/>
    <n v="31.339000000000002"/>
    <n v="0"/>
    <s v="Daily Sales Import"/>
    <n v="-31.339000000000002"/>
    <n v="31.339000000000002"/>
    <x v="1"/>
    <s v="2230"/>
    <s v="000"/>
    <x v="2"/>
    <x v="1"/>
  </r>
  <r>
    <d v="2012-11-26T00:00:00"/>
    <s v="018-2100-000"/>
    <s v="Food Sales"/>
    <n v="3029.2627999999995"/>
    <n v="0"/>
    <s v="Daily Sales Import"/>
    <n v="-3029.2627999999995"/>
    <n v="3029.2627999999995"/>
    <x v="2"/>
    <s v="2100"/>
    <s v="000"/>
    <x v="1"/>
    <x v="1"/>
  </r>
  <r>
    <d v="2012-11-26T00:00:00"/>
    <s v="018-2210-000"/>
    <s v="Liquor Sales"/>
    <n v="594.90970000000004"/>
    <n v="0"/>
    <s v="Daily Sales Import"/>
    <n v="-594.90970000000004"/>
    <n v="594.90970000000004"/>
    <x v="2"/>
    <s v="2210"/>
    <s v="000"/>
    <x v="1"/>
    <x v="1"/>
  </r>
  <r>
    <d v="2012-11-26T00:00:00"/>
    <s v="018-2220-000"/>
    <s v="Beer Sales"/>
    <n v="154.9564"/>
    <n v="0"/>
    <s v="Daily Sales Import"/>
    <n v="-154.9564"/>
    <n v="154.9564"/>
    <x v="2"/>
    <s v="2220"/>
    <s v="000"/>
    <x v="1"/>
    <x v="1"/>
  </r>
  <r>
    <d v="2012-11-26T00:00:00"/>
    <s v="018-2230-000"/>
    <s v="Wine Sales"/>
    <n v="15.180999999999999"/>
    <n v="0"/>
    <s v="Daily Sales Import"/>
    <n v="-15.180999999999999"/>
    <n v="15.180999999999999"/>
    <x v="2"/>
    <s v="2230"/>
    <s v="000"/>
    <x v="1"/>
    <x v="1"/>
  </r>
  <r>
    <d v="2012-11-27T00:00:00"/>
    <s v="018-2100-000"/>
    <s v="Food Sales"/>
    <n v="2892.6432"/>
    <n v="0"/>
    <s v="Daily Sales Import"/>
    <n v="-2892.6432"/>
    <n v="2892.6432"/>
    <x v="2"/>
    <s v="2100"/>
    <s v="000"/>
    <x v="1"/>
    <x v="1"/>
  </r>
  <r>
    <d v="2012-11-27T00:00:00"/>
    <s v="018-2210-000"/>
    <s v="Liquor Sales"/>
    <n v="384.54650000000004"/>
    <n v="0"/>
    <s v="Daily Sales Import"/>
    <n v="-384.54650000000004"/>
    <n v="384.54650000000004"/>
    <x v="2"/>
    <s v="2210"/>
    <s v="000"/>
    <x v="1"/>
    <x v="1"/>
  </r>
  <r>
    <d v="2012-11-27T00:00:00"/>
    <s v="018-2220-000"/>
    <s v="Beer Sales"/>
    <n v="88.946000000000012"/>
    <n v="0"/>
    <s v="Daily Sales Import"/>
    <n v="-88.946000000000012"/>
    <n v="88.946000000000012"/>
    <x v="2"/>
    <s v="2220"/>
    <s v="000"/>
    <x v="1"/>
    <x v="1"/>
  </r>
  <r>
    <d v="2012-11-27T00:00:00"/>
    <s v="018-2230-000"/>
    <s v="Wine Sales"/>
    <n v="7.0965999999999996"/>
    <n v="0"/>
    <s v="Daily Sales Import"/>
    <n v="-7.0965999999999996"/>
    <n v="7.0965999999999996"/>
    <x v="2"/>
    <s v="2230"/>
    <s v="000"/>
    <x v="1"/>
    <x v="1"/>
  </r>
  <r>
    <d v="2012-11-28T00:00:00"/>
    <s v="018-2100-000"/>
    <s v="Food Sales"/>
    <n v="3870.0064000000002"/>
    <n v="0"/>
    <s v="Daily Sales Import"/>
    <n v="-3870.0064000000002"/>
    <n v="3870.0064000000002"/>
    <x v="2"/>
    <s v="2100"/>
    <s v="000"/>
    <x v="1"/>
    <x v="1"/>
  </r>
  <r>
    <d v="2012-11-28T00:00:00"/>
    <s v="018-2210-000"/>
    <s v="Liquor Sales"/>
    <n v="434.9117"/>
    <n v="0"/>
    <s v="Daily Sales Import"/>
    <n v="-434.9117"/>
    <n v="434.9117"/>
    <x v="2"/>
    <s v="2210"/>
    <s v="000"/>
    <x v="1"/>
    <x v="1"/>
  </r>
  <r>
    <d v="2012-11-28T00:00:00"/>
    <s v="018-2220-000"/>
    <s v="Beer Sales"/>
    <n v="173.83860000000001"/>
    <n v="0"/>
    <s v="Daily Sales Import"/>
    <n v="-173.83860000000001"/>
    <n v="173.83860000000001"/>
    <x v="2"/>
    <s v="2220"/>
    <s v="000"/>
    <x v="1"/>
    <x v="1"/>
  </r>
  <r>
    <d v="2012-11-28T00:00:00"/>
    <s v="018-2230-000"/>
    <s v="Wine Sales"/>
    <n v="36.624400000000001"/>
    <n v="0"/>
    <s v="Daily Sales Import"/>
    <n v="-36.624400000000001"/>
    <n v="36.624400000000001"/>
    <x v="2"/>
    <s v="2230"/>
    <s v="000"/>
    <x v="1"/>
    <x v="1"/>
  </r>
  <r>
    <d v="2012-11-29T00:00:00"/>
    <s v="018-2100-000"/>
    <s v="Food Sales"/>
    <n v="3228.4970999999996"/>
    <n v="0"/>
    <s v="Daily Sales Import"/>
    <n v="-3228.4970999999996"/>
    <n v="3228.4970999999996"/>
    <x v="2"/>
    <s v="2100"/>
    <s v="000"/>
    <x v="1"/>
    <x v="1"/>
  </r>
  <r>
    <d v="2012-11-29T00:00:00"/>
    <s v="018-2210-000"/>
    <s v="Liquor Sales"/>
    <n v="486.90779999999995"/>
    <n v="0"/>
    <s v="Daily Sales Import"/>
    <n v="-486.90779999999995"/>
    <n v="486.90779999999995"/>
    <x v="2"/>
    <s v="2210"/>
    <s v="000"/>
    <x v="1"/>
    <x v="1"/>
  </r>
  <r>
    <d v="2012-11-29T00:00:00"/>
    <s v="018-2220-000"/>
    <s v="Beer Sales"/>
    <n v="214.86959999999999"/>
    <n v="0"/>
    <s v="Daily Sales Import"/>
    <n v="-214.86959999999999"/>
    <n v="214.86959999999999"/>
    <x v="2"/>
    <s v="2220"/>
    <s v="000"/>
    <x v="1"/>
    <x v="1"/>
  </r>
  <r>
    <d v="2012-11-29T00:00:00"/>
    <s v="018-2230-000"/>
    <s v="Wine Sales"/>
    <n v="6.4728000000000003"/>
    <n v="0"/>
    <s v="Daily Sales Import"/>
    <n v="-6.4728000000000003"/>
    <n v="6.4728000000000003"/>
    <x v="2"/>
    <s v="2230"/>
    <s v="000"/>
    <x v="1"/>
    <x v="1"/>
  </r>
  <r>
    <d v="2012-11-30T00:00:00"/>
    <s v="018-2100-000"/>
    <s v="Food Sales"/>
    <n v="10858.6764"/>
    <n v="0"/>
    <s v="Daily Sales Import"/>
    <n v="-10858.6764"/>
    <n v="10858.6764"/>
    <x v="2"/>
    <s v="2100"/>
    <s v="000"/>
    <x v="1"/>
    <x v="1"/>
  </r>
  <r>
    <d v="2012-11-30T00:00:00"/>
    <s v="018-2210-000"/>
    <s v="Liquor Sales"/>
    <n v="2088.0365999999999"/>
    <n v="0"/>
    <s v="Daily Sales Import"/>
    <n v="-2088.0365999999999"/>
    <n v="2088.0365999999999"/>
    <x v="2"/>
    <s v="2210"/>
    <s v="000"/>
    <x v="1"/>
    <x v="1"/>
  </r>
  <r>
    <d v="2012-11-30T00:00:00"/>
    <s v="018-2220-000"/>
    <s v="Beer Sales"/>
    <n v="528.02819999999997"/>
    <n v="0"/>
    <s v="Daily Sales Import"/>
    <n v="-528.02819999999997"/>
    <n v="528.02819999999997"/>
    <x v="2"/>
    <s v="2220"/>
    <s v="000"/>
    <x v="1"/>
    <x v="1"/>
  </r>
  <r>
    <d v="2012-11-30T00:00:00"/>
    <s v="018-2230-000"/>
    <s v="Wine Sales"/>
    <n v="121.13380000000001"/>
    <n v="0"/>
    <s v="Daily Sales Import"/>
    <n v="-121.13380000000001"/>
    <n v="121.13380000000001"/>
    <x v="2"/>
    <s v="2230"/>
    <s v="000"/>
    <x v="1"/>
    <x v="1"/>
  </r>
  <r>
    <d v="2012-12-01T00:00:00"/>
    <s v="018-2100-000"/>
    <s v="Food Sales"/>
    <n v="13626.536"/>
    <n v="0"/>
    <s v="Daily Sales Import"/>
    <n v="-13626.536"/>
    <n v="13626.536"/>
    <x v="2"/>
    <s v="2100"/>
    <s v="000"/>
    <x v="2"/>
    <x v="1"/>
  </r>
  <r>
    <d v="2012-12-01T00:00:00"/>
    <s v="018-2210-000"/>
    <s v="Liquor Sales"/>
    <n v="3341.6473999999998"/>
    <n v="0"/>
    <s v="Daily Sales Import"/>
    <n v="-3341.6473999999998"/>
    <n v="3341.6473999999998"/>
    <x v="2"/>
    <s v="2210"/>
    <s v="000"/>
    <x v="2"/>
    <x v="1"/>
  </r>
  <r>
    <d v="2012-12-01T00:00:00"/>
    <s v="018-2220-000"/>
    <s v="Beer Sales"/>
    <n v="807.3252"/>
    <n v="0"/>
    <s v="Daily Sales Import"/>
    <n v="-807.3252"/>
    <n v="807.3252"/>
    <x v="2"/>
    <s v="2220"/>
    <s v="000"/>
    <x v="2"/>
    <x v="1"/>
  </r>
  <r>
    <d v="2012-12-01T00:00:00"/>
    <s v="018-2230-000"/>
    <s v="Wine Sales"/>
    <n v="114.81699999999999"/>
    <n v="0"/>
    <s v="Daily Sales Import"/>
    <n v="-114.81699999999999"/>
    <n v="114.81699999999999"/>
    <x v="2"/>
    <s v="2230"/>
    <s v="000"/>
    <x v="2"/>
    <x v="1"/>
  </r>
  <r>
    <d v="2012-12-02T00:00:00"/>
    <s v="018-2100-000"/>
    <s v="Food Sales"/>
    <n v="5992.9825000000001"/>
    <n v="0"/>
    <s v="Daily Sales Import"/>
    <n v="-5992.9825000000001"/>
    <n v="5992.9825000000001"/>
    <x v="2"/>
    <s v="2100"/>
    <s v="000"/>
    <x v="2"/>
    <x v="1"/>
  </r>
  <r>
    <d v="2012-12-02T00:00:00"/>
    <s v="018-2210-000"/>
    <s v="Liquor Sales"/>
    <n v="737.46519999999998"/>
    <n v="0"/>
    <s v="Daily Sales Import"/>
    <n v="-737.46519999999998"/>
    <n v="737.46519999999998"/>
    <x v="2"/>
    <s v="2210"/>
    <s v="000"/>
    <x v="2"/>
    <x v="1"/>
  </r>
  <r>
    <d v="2012-12-02T00:00:00"/>
    <s v="018-2220-000"/>
    <s v="Beer Sales"/>
    <n v="183.63400000000001"/>
    <n v="0"/>
    <s v="Daily Sales Import"/>
    <n v="-183.63400000000001"/>
    <n v="183.63400000000001"/>
    <x v="2"/>
    <s v="2220"/>
    <s v="000"/>
    <x v="2"/>
    <x v="1"/>
  </r>
  <r>
    <d v="2012-12-02T00:00:00"/>
    <s v="018-2230-000"/>
    <s v="Wine Sales"/>
    <n v="93.912000000000006"/>
    <n v="0"/>
    <s v="Daily Sales Import"/>
    <n v="-93.912000000000006"/>
    <n v="93.912000000000006"/>
    <x v="2"/>
    <s v="2230"/>
    <s v="000"/>
    <x v="2"/>
    <x v="1"/>
  </r>
  <r>
    <d v="2012-12-03T00:00:00"/>
    <s v="016-2100-000"/>
    <s v="Food Sales"/>
    <n v="2598.1064999999999"/>
    <n v="0"/>
    <s v="Daily Sales Import"/>
    <n v="-2598.1064999999999"/>
    <n v="2598.1064999999999"/>
    <x v="0"/>
    <s v="2100"/>
    <s v="000"/>
    <x v="2"/>
    <x v="1"/>
  </r>
  <r>
    <d v="2012-12-03T00:00:00"/>
    <s v="016-2210-000"/>
    <s v="Liquor Sales"/>
    <n v="947.13459999999998"/>
    <n v="0"/>
    <s v="Daily Sales Import"/>
    <n v="-947.13459999999998"/>
    <n v="947.13459999999998"/>
    <x v="0"/>
    <s v="2210"/>
    <s v="000"/>
    <x v="2"/>
    <x v="1"/>
  </r>
  <r>
    <d v="2012-12-03T00:00:00"/>
    <s v="016-2220-000"/>
    <s v="Beer Sales"/>
    <n v="202.21289999999999"/>
    <n v="0"/>
    <s v="Daily Sales Import"/>
    <n v="-202.21289999999999"/>
    <n v="202.21289999999999"/>
    <x v="0"/>
    <s v="2220"/>
    <s v="000"/>
    <x v="2"/>
    <x v="1"/>
  </r>
  <r>
    <d v="2012-12-03T00:00:00"/>
    <s v="016-2230-000"/>
    <s v="Wine Sales"/>
    <n v="77.061199999999999"/>
    <n v="0"/>
    <s v="Daily Sales Import"/>
    <n v="-77.061199999999999"/>
    <n v="77.061199999999999"/>
    <x v="0"/>
    <s v="2230"/>
    <s v="000"/>
    <x v="2"/>
    <x v="1"/>
  </r>
  <r>
    <d v="2012-12-04T00:00:00"/>
    <s v="016-2100-000"/>
    <s v="Food Sales"/>
    <n v="5510.9543999999996"/>
    <n v="0"/>
    <s v="Daily Sales Import"/>
    <n v="-5510.9543999999996"/>
    <n v="5510.9543999999996"/>
    <x v="0"/>
    <s v="2100"/>
    <s v="000"/>
    <x v="2"/>
    <x v="1"/>
  </r>
  <r>
    <d v="2012-12-04T00:00:00"/>
    <s v="016-2210-000"/>
    <s v="Liquor Sales"/>
    <n v="2167.0048000000002"/>
    <n v="0"/>
    <s v="Daily Sales Import"/>
    <n v="-2167.0048000000002"/>
    <n v="2167.0048000000002"/>
    <x v="0"/>
    <s v="2210"/>
    <s v="000"/>
    <x v="2"/>
    <x v="1"/>
  </r>
  <r>
    <d v="2012-12-04T00:00:00"/>
    <s v="016-2220-000"/>
    <s v="Beer Sales"/>
    <n v="384.62459999999993"/>
    <n v="0"/>
    <s v="Daily Sales Import"/>
    <n v="-384.62459999999993"/>
    <n v="384.62459999999993"/>
    <x v="0"/>
    <s v="2220"/>
    <s v="000"/>
    <x v="2"/>
    <x v="1"/>
  </r>
  <r>
    <d v="2012-12-04T00:00:00"/>
    <s v="016-2230-000"/>
    <s v="Wine Sales"/>
    <n v="121.7856"/>
    <n v="0"/>
    <s v="Daily Sales Import"/>
    <n v="-121.7856"/>
    <n v="121.7856"/>
    <x v="0"/>
    <s v="2230"/>
    <s v="000"/>
    <x v="2"/>
    <x v="1"/>
  </r>
  <r>
    <d v="2012-12-05T00:00:00"/>
    <s v="016-2100-000"/>
    <s v="Food Sales"/>
    <n v="2912.9828000000002"/>
    <n v="0"/>
    <s v="Daily Sales Import"/>
    <n v="-2912.9828000000002"/>
    <n v="2912.9828000000002"/>
    <x v="0"/>
    <s v="2100"/>
    <s v="000"/>
    <x v="2"/>
    <x v="1"/>
  </r>
  <r>
    <d v="2012-12-05T00:00:00"/>
    <s v="016-2210-000"/>
    <s v="Liquor Sales"/>
    <n v="635.5859999999999"/>
    <n v="0"/>
    <s v="Daily Sales Import"/>
    <n v="-635.5859999999999"/>
    <n v="635.5859999999999"/>
    <x v="0"/>
    <s v="2210"/>
    <s v="000"/>
    <x v="2"/>
    <x v="1"/>
  </r>
  <r>
    <d v="2012-12-05T00:00:00"/>
    <s v="016-2220-000"/>
    <s v="Beer Sales"/>
    <n v="212.64679999999998"/>
    <n v="0"/>
    <s v="Daily Sales Import"/>
    <n v="-212.64679999999998"/>
    <n v="212.64679999999998"/>
    <x v="0"/>
    <s v="2220"/>
    <s v="000"/>
    <x v="2"/>
    <x v="1"/>
  </r>
  <r>
    <d v="2012-12-05T00:00:00"/>
    <s v="016-2230-000"/>
    <s v="Wine Sales"/>
    <n v="63.185600000000008"/>
    <n v="0"/>
    <s v="Daily Sales Import"/>
    <n v="-63.185600000000008"/>
    <n v="63.185600000000008"/>
    <x v="0"/>
    <s v="2230"/>
    <s v="000"/>
    <x v="2"/>
    <x v="1"/>
  </r>
  <r>
    <d v="2012-12-06T00:00:00"/>
    <s v="016-2100-000"/>
    <s v="Food Sales"/>
    <n v="3356.2435999999998"/>
    <n v="0"/>
    <s v="Daily Sales Import"/>
    <n v="-3356.2435999999998"/>
    <n v="3356.2435999999998"/>
    <x v="0"/>
    <s v="2100"/>
    <s v="000"/>
    <x v="2"/>
    <x v="1"/>
  </r>
  <r>
    <d v="2012-12-06T00:00:00"/>
    <s v="016-2210-000"/>
    <s v="Liquor Sales"/>
    <n v="841.21569999999997"/>
    <n v="0"/>
    <s v="Daily Sales Import"/>
    <n v="-841.21569999999997"/>
    <n v="841.21569999999997"/>
    <x v="0"/>
    <s v="2210"/>
    <s v="000"/>
    <x v="2"/>
    <x v="1"/>
  </r>
  <r>
    <d v="2012-12-06T00:00:00"/>
    <s v="016-2220-000"/>
    <s v="Beer Sales"/>
    <n v="110.17069999999998"/>
    <n v="0"/>
    <s v="Daily Sales Import"/>
    <n v="-110.17069999999998"/>
    <n v="110.17069999999998"/>
    <x v="0"/>
    <s v="2220"/>
    <s v="000"/>
    <x v="2"/>
    <x v="1"/>
  </r>
  <r>
    <d v="2012-12-06T00:00:00"/>
    <s v="016-2230-000"/>
    <s v="Wine Sales"/>
    <n v="75.850700000000003"/>
    <n v="0"/>
    <s v="Daily Sales Import"/>
    <n v="-75.850700000000003"/>
    <n v="75.850700000000003"/>
    <x v="0"/>
    <s v="2230"/>
    <s v="000"/>
    <x v="2"/>
    <x v="1"/>
  </r>
  <r>
    <d v="2012-12-07T00:00:00"/>
    <s v="016-2100-000"/>
    <s v="Food Sales"/>
    <n v="6981.2925000000005"/>
    <n v="0"/>
    <s v="Daily Sales Import"/>
    <n v="-6981.2925000000005"/>
    <n v="6981.2925000000005"/>
    <x v="0"/>
    <s v="2100"/>
    <s v="000"/>
    <x v="2"/>
    <x v="1"/>
  </r>
  <r>
    <d v="2012-12-07T00:00:00"/>
    <s v="016-2210-000"/>
    <s v="Liquor Sales"/>
    <n v="2176.4000999999998"/>
    <n v="0"/>
    <s v="Daily Sales Import"/>
    <n v="-2176.4000999999998"/>
    <n v="2176.4000999999998"/>
    <x v="0"/>
    <s v="2210"/>
    <s v="000"/>
    <x v="2"/>
    <x v="1"/>
  </r>
  <r>
    <d v="2012-12-07T00:00:00"/>
    <s v="016-2220-000"/>
    <s v="Beer Sales"/>
    <n v="462.87359999999995"/>
    <n v="0"/>
    <s v="Daily Sales Import"/>
    <n v="-462.87359999999995"/>
    <n v="462.87359999999995"/>
    <x v="0"/>
    <s v="2220"/>
    <s v="000"/>
    <x v="2"/>
    <x v="1"/>
  </r>
  <r>
    <d v="2012-12-07T00:00:00"/>
    <s v="016-2230-000"/>
    <s v="Wine Sales"/>
    <n v="138.03790000000001"/>
    <n v="0"/>
    <s v="Daily Sales Import"/>
    <n v="-138.03790000000001"/>
    <n v="138.03790000000001"/>
    <x v="0"/>
    <s v="2230"/>
    <s v="000"/>
    <x v="2"/>
    <x v="1"/>
  </r>
  <r>
    <d v="2012-12-08T00:00:00"/>
    <s v="016-2100-000"/>
    <s v="Food Sales"/>
    <n v="6809.0320000000011"/>
    <n v="0"/>
    <s v="Daily Sales Import"/>
    <n v="-6809.0320000000011"/>
    <n v="6809.0320000000011"/>
    <x v="0"/>
    <s v="2100"/>
    <s v="000"/>
    <x v="2"/>
    <x v="1"/>
  </r>
  <r>
    <d v="2012-12-08T00:00:00"/>
    <s v="016-2210-000"/>
    <s v="Liquor Sales"/>
    <n v="1110.8159999999998"/>
    <n v="0"/>
    <s v="Daily Sales Import"/>
    <n v="-1110.8159999999998"/>
    <n v="1110.8159999999998"/>
    <x v="0"/>
    <s v="2210"/>
    <s v="000"/>
    <x v="2"/>
    <x v="1"/>
  </r>
  <r>
    <d v="2012-12-08T00:00:00"/>
    <s v="016-2220-000"/>
    <s v="Beer Sales"/>
    <n v="329.6044"/>
    <n v="0"/>
    <s v="Daily Sales Import"/>
    <n v="-329.6044"/>
    <n v="329.6044"/>
    <x v="0"/>
    <s v="2220"/>
    <s v="000"/>
    <x v="2"/>
    <x v="1"/>
  </r>
  <r>
    <d v="2012-12-08T00:00:00"/>
    <s v="016-2230-000"/>
    <s v="Wine Sales"/>
    <n v="177.1028"/>
    <n v="0"/>
    <s v="Daily Sales Import"/>
    <n v="-177.1028"/>
    <n v="177.1028"/>
    <x v="0"/>
    <s v="2230"/>
    <s v="000"/>
    <x v="2"/>
    <x v="1"/>
  </r>
  <r>
    <d v="2012-12-09T00:00:00"/>
    <s v="016-2100-000"/>
    <s v="Food Sales"/>
    <n v="3945.0176000000001"/>
    <n v="0"/>
    <s v="Daily Sales Import"/>
    <n v="-3945.0176000000001"/>
    <n v="3945.0176000000001"/>
    <x v="0"/>
    <s v="2100"/>
    <s v="000"/>
    <x v="2"/>
    <x v="1"/>
  </r>
  <r>
    <d v="2012-12-09T00:00:00"/>
    <s v="016-2210-000"/>
    <s v="Liquor Sales"/>
    <n v="936.27660000000003"/>
    <n v="0"/>
    <s v="Daily Sales Import"/>
    <n v="-936.27660000000003"/>
    <n v="936.27660000000003"/>
    <x v="0"/>
    <s v="2210"/>
    <s v="000"/>
    <x v="2"/>
    <x v="1"/>
  </r>
  <r>
    <d v="2012-12-09T00:00:00"/>
    <s v="016-2220-000"/>
    <s v="Beer Sales"/>
    <n v="302.16980000000001"/>
    <n v="0"/>
    <s v="Daily Sales Import"/>
    <n v="-302.16980000000001"/>
    <n v="302.16980000000001"/>
    <x v="0"/>
    <s v="2220"/>
    <s v="000"/>
    <x v="2"/>
    <x v="1"/>
  </r>
  <r>
    <d v="2012-12-09T00:00:00"/>
    <s v="016-2230-000"/>
    <s v="Wine Sales"/>
    <n v="163.2595"/>
    <n v="0"/>
    <s v="Daily Sales Import"/>
    <n v="-163.2595"/>
    <n v="163.2595"/>
    <x v="0"/>
    <s v="2230"/>
    <s v="000"/>
    <x v="2"/>
    <x v="1"/>
  </r>
  <r>
    <d v="2012-12-03T00:00:00"/>
    <s v="017-2100-000"/>
    <s v="Food Sales"/>
    <n v="5703.6852999999992"/>
    <n v="0"/>
    <s v="Daily Sales Import"/>
    <n v="-5703.6852999999992"/>
    <n v="5703.6852999999992"/>
    <x v="1"/>
    <s v="2100"/>
    <s v="000"/>
    <x v="2"/>
    <x v="1"/>
  </r>
  <r>
    <d v="2012-12-03T00:00:00"/>
    <s v="017-2210-000"/>
    <s v="Liquor Sales"/>
    <n v="1125.3680999999999"/>
    <n v="0"/>
    <s v="Daily Sales Import"/>
    <n v="-1125.3680999999999"/>
    <n v="1125.3680999999999"/>
    <x v="1"/>
    <s v="2210"/>
    <s v="000"/>
    <x v="2"/>
    <x v="1"/>
  </r>
  <r>
    <d v="2012-12-03T00:00:00"/>
    <s v="017-2220-000"/>
    <s v="Beer Sales"/>
    <n v="709.03840000000002"/>
    <n v="0"/>
    <s v="Daily Sales Import"/>
    <n v="-709.03840000000002"/>
    <n v="709.03840000000002"/>
    <x v="1"/>
    <s v="2220"/>
    <s v="000"/>
    <x v="2"/>
    <x v="1"/>
  </r>
  <r>
    <d v="2012-12-03T00:00:00"/>
    <s v="017-2230-000"/>
    <s v="Wine Sales"/>
    <n v="146.43200000000002"/>
    <n v="0"/>
    <s v="Daily Sales Import"/>
    <n v="-146.43200000000002"/>
    <n v="146.43200000000002"/>
    <x v="1"/>
    <s v="2230"/>
    <s v="000"/>
    <x v="2"/>
    <x v="1"/>
  </r>
  <r>
    <d v="2012-12-04T00:00:00"/>
    <s v="017-2100-000"/>
    <s v="Food Sales"/>
    <n v="8404.6214999999993"/>
    <n v="0"/>
    <s v="Daily Sales Import"/>
    <n v="-8404.6214999999993"/>
    <n v="8404.6214999999993"/>
    <x v="1"/>
    <s v="2100"/>
    <s v="000"/>
    <x v="2"/>
    <x v="1"/>
  </r>
  <r>
    <d v="2012-12-04T00:00:00"/>
    <s v="017-2210-000"/>
    <s v="Liquor Sales"/>
    <n v="1522.9478999999999"/>
    <n v="0"/>
    <s v="Daily Sales Import"/>
    <n v="-1522.9478999999999"/>
    <n v="1522.9478999999999"/>
    <x v="1"/>
    <s v="2210"/>
    <s v="000"/>
    <x v="2"/>
    <x v="1"/>
  </r>
  <r>
    <d v="2012-12-04T00:00:00"/>
    <s v="017-2220-000"/>
    <s v="Beer Sales"/>
    <n v="412.995"/>
    <n v="0"/>
    <s v="Daily Sales Import"/>
    <n v="-412.995"/>
    <n v="412.995"/>
    <x v="1"/>
    <s v="2220"/>
    <s v="000"/>
    <x v="2"/>
    <x v="1"/>
  </r>
  <r>
    <d v="2012-12-04T00:00:00"/>
    <s v="017-2230-000"/>
    <s v="Wine Sales"/>
    <n v="216.55379999999997"/>
    <n v="0"/>
    <s v="Daily Sales Import"/>
    <n v="-216.55379999999997"/>
    <n v="216.55379999999997"/>
    <x v="1"/>
    <s v="2230"/>
    <s v="000"/>
    <x v="2"/>
    <x v="1"/>
  </r>
  <r>
    <d v="2012-12-05T00:00:00"/>
    <s v="017-2100-000"/>
    <s v="Food Sales"/>
    <n v="5292.8512000000001"/>
    <n v="0"/>
    <s v="Daily Sales Import"/>
    <n v="-5292.8512000000001"/>
    <n v="5292.8512000000001"/>
    <x v="1"/>
    <s v="2100"/>
    <s v="000"/>
    <x v="2"/>
    <x v="1"/>
  </r>
  <r>
    <d v="2012-12-05T00:00:00"/>
    <s v="017-2210-000"/>
    <s v="Liquor Sales"/>
    <n v="1304.3118000000002"/>
    <n v="0"/>
    <s v="Daily Sales Import"/>
    <n v="-1304.3118000000002"/>
    <n v="1304.3118000000002"/>
    <x v="1"/>
    <s v="2210"/>
    <s v="000"/>
    <x v="2"/>
    <x v="1"/>
  </r>
  <r>
    <d v="2012-12-05T00:00:00"/>
    <s v="017-2220-000"/>
    <s v="Beer Sales"/>
    <n v="446.53440000000001"/>
    <n v="0"/>
    <s v="Daily Sales Import"/>
    <n v="-446.53440000000001"/>
    <n v="446.53440000000001"/>
    <x v="1"/>
    <s v="2220"/>
    <s v="000"/>
    <x v="2"/>
    <x v="1"/>
  </r>
  <r>
    <d v="2012-12-05T00:00:00"/>
    <s v="017-2230-000"/>
    <s v="Wine Sales"/>
    <n v="151.20600000000002"/>
    <n v="0"/>
    <s v="Daily Sales Import"/>
    <n v="-151.20600000000002"/>
    <n v="151.20600000000002"/>
    <x v="1"/>
    <s v="2230"/>
    <s v="000"/>
    <x v="2"/>
    <x v="1"/>
  </r>
  <r>
    <d v="2012-12-06T00:00:00"/>
    <s v="017-2100-000"/>
    <s v="Food Sales"/>
    <n v="8577.0503000000008"/>
    <n v="0"/>
    <s v="Daily Sales Import"/>
    <n v="-8577.0503000000008"/>
    <n v="8577.0503000000008"/>
    <x v="1"/>
    <s v="2100"/>
    <s v="000"/>
    <x v="2"/>
    <x v="1"/>
  </r>
  <r>
    <d v="2012-12-06T00:00:00"/>
    <s v="017-2210-000"/>
    <s v="Liquor Sales"/>
    <n v="2754.69"/>
    <n v="0"/>
    <s v="Daily Sales Import"/>
    <n v="-2754.69"/>
    <n v="2754.69"/>
    <x v="1"/>
    <s v="2210"/>
    <s v="000"/>
    <x v="2"/>
    <x v="1"/>
  </r>
  <r>
    <d v="2012-12-06T00:00:00"/>
    <s v="017-2220-000"/>
    <s v="Beer Sales"/>
    <n v="728.2944"/>
    <n v="0"/>
    <s v="Daily Sales Import"/>
    <n v="-728.2944"/>
    <n v="728.2944"/>
    <x v="1"/>
    <s v="2220"/>
    <s v="000"/>
    <x v="2"/>
    <x v="1"/>
  </r>
  <r>
    <d v="2012-12-06T00:00:00"/>
    <s v="017-2230-000"/>
    <s v="Wine Sales"/>
    <n v="275.23439999999999"/>
    <n v="0"/>
    <s v="Daily Sales Import"/>
    <n v="-275.23439999999999"/>
    <n v="275.23439999999999"/>
    <x v="1"/>
    <s v="2230"/>
    <s v="000"/>
    <x v="2"/>
    <x v="1"/>
  </r>
  <r>
    <d v="2012-12-07T00:00:00"/>
    <s v="017-2100-000"/>
    <s v="Food Sales"/>
    <n v="10411.654799999998"/>
    <n v="0"/>
    <s v="Daily Sales Import"/>
    <n v="-10411.654799999998"/>
    <n v="10411.654799999998"/>
    <x v="1"/>
    <s v="2100"/>
    <s v="000"/>
    <x v="2"/>
    <x v="1"/>
  </r>
  <r>
    <d v="2012-12-07T00:00:00"/>
    <s v="017-2210-000"/>
    <s v="Liquor Sales"/>
    <n v="2648.5505999999996"/>
    <n v="0"/>
    <s v="Daily Sales Import"/>
    <n v="-2648.5505999999996"/>
    <n v="2648.5505999999996"/>
    <x v="1"/>
    <s v="2210"/>
    <s v="000"/>
    <x v="2"/>
    <x v="1"/>
  </r>
  <r>
    <d v="2012-12-07T00:00:00"/>
    <s v="017-2220-000"/>
    <s v="Beer Sales"/>
    <n v="476.55040000000002"/>
    <n v="0"/>
    <s v="Daily Sales Import"/>
    <n v="-476.55040000000002"/>
    <n v="476.55040000000002"/>
    <x v="1"/>
    <s v="2220"/>
    <s v="000"/>
    <x v="2"/>
    <x v="1"/>
  </r>
  <r>
    <d v="2012-12-07T00:00:00"/>
    <s v="017-2230-000"/>
    <s v="Wine Sales"/>
    <n v="387.39609999999999"/>
    <n v="0"/>
    <s v="Daily Sales Import"/>
    <n v="-387.39609999999999"/>
    <n v="387.39609999999999"/>
    <x v="1"/>
    <s v="2230"/>
    <s v="000"/>
    <x v="2"/>
    <x v="1"/>
  </r>
  <r>
    <d v="2012-12-08T00:00:00"/>
    <s v="017-2100-000"/>
    <s v="Food Sales"/>
    <n v="5639.7488999999996"/>
    <n v="0"/>
    <s v="Daily Sales Import"/>
    <n v="-5639.7488999999996"/>
    <n v="5639.7488999999996"/>
    <x v="1"/>
    <s v="2100"/>
    <s v="000"/>
    <x v="2"/>
    <x v="1"/>
  </r>
  <r>
    <d v="2012-12-08T00:00:00"/>
    <s v="017-2210-000"/>
    <s v="Liquor Sales"/>
    <n v="1334.1818999999998"/>
    <n v="0"/>
    <s v="Daily Sales Import"/>
    <n v="-1334.1818999999998"/>
    <n v="1334.1818999999998"/>
    <x v="1"/>
    <s v="2210"/>
    <s v="000"/>
    <x v="2"/>
    <x v="1"/>
  </r>
  <r>
    <d v="2012-12-08T00:00:00"/>
    <s v="017-2220-000"/>
    <s v="Beer Sales"/>
    <n v="181.71"/>
    <n v="0"/>
    <s v="Daily Sales Import"/>
    <n v="-181.71"/>
    <n v="181.71"/>
    <x v="1"/>
    <s v="2220"/>
    <s v="000"/>
    <x v="2"/>
    <x v="1"/>
  </r>
  <r>
    <d v="2012-12-08T00:00:00"/>
    <s v="017-2230-000"/>
    <s v="Wine Sales"/>
    <n v="79.361400000000003"/>
    <n v="0"/>
    <s v="Daily Sales Import"/>
    <n v="-79.361400000000003"/>
    <n v="79.361400000000003"/>
    <x v="1"/>
    <s v="2230"/>
    <s v="000"/>
    <x v="2"/>
    <x v="1"/>
  </r>
  <r>
    <d v="2012-12-09T00:00:00"/>
    <s v="017-2100-000"/>
    <s v="Food Sales"/>
    <n v="5641.1639999999998"/>
    <n v="0"/>
    <s v="Daily Sales Import"/>
    <n v="-5641.1639999999998"/>
    <n v="5641.1639999999998"/>
    <x v="1"/>
    <s v="2100"/>
    <s v="000"/>
    <x v="2"/>
    <x v="1"/>
  </r>
  <r>
    <d v="2012-12-09T00:00:00"/>
    <s v="017-2210-000"/>
    <s v="Liquor Sales"/>
    <n v="734.5702"/>
    <n v="0"/>
    <s v="Daily Sales Import"/>
    <n v="-734.5702"/>
    <n v="734.5702"/>
    <x v="1"/>
    <s v="2210"/>
    <s v="000"/>
    <x v="2"/>
    <x v="1"/>
  </r>
  <r>
    <d v="2012-12-09T00:00:00"/>
    <s v="017-2220-000"/>
    <s v="Beer Sales"/>
    <n v="176.99879999999999"/>
    <n v="0"/>
    <s v="Daily Sales Import"/>
    <n v="-176.99879999999999"/>
    <n v="176.99879999999999"/>
    <x v="1"/>
    <s v="2220"/>
    <s v="000"/>
    <x v="2"/>
    <x v="1"/>
  </r>
  <r>
    <d v="2012-12-09T00:00:00"/>
    <s v="017-2230-000"/>
    <s v="Wine Sales"/>
    <n v="54.498000000000005"/>
    <n v="0"/>
    <s v="Daily Sales Import"/>
    <n v="-54.498000000000005"/>
    <n v="54.498000000000005"/>
    <x v="1"/>
    <s v="2230"/>
    <s v="000"/>
    <x v="2"/>
    <x v="1"/>
  </r>
  <r>
    <d v="2012-12-03T00:00:00"/>
    <s v="018-2100-000"/>
    <s v="Food Sales"/>
    <n v="2457.2831999999999"/>
    <n v="0"/>
    <s v="Daily Sales Import"/>
    <n v="-2457.2831999999999"/>
    <n v="2457.2831999999999"/>
    <x v="2"/>
    <s v="2100"/>
    <s v="000"/>
    <x v="2"/>
    <x v="1"/>
  </r>
  <r>
    <d v="2012-12-03T00:00:00"/>
    <s v="018-2210-000"/>
    <s v="Liquor Sales"/>
    <n v="686.20259999999996"/>
    <n v="0"/>
    <s v="Daily Sales Import"/>
    <n v="-686.20259999999996"/>
    <n v="686.20259999999996"/>
    <x v="2"/>
    <s v="2210"/>
    <s v="000"/>
    <x v="2"/>
    <x v="1"/>
  </r>
  <r>
    <d v="2012-12-03T00:00:00"/>
    <s v="018-2220-000"/>
    <s v="Beer Sales"/>
    <n v="98.02579999999999"/>
    <n v="0"/>
    <s v="Daily Sales Import"/>
    <n v="-98.02579999999999"/>
    <n v="98.02579999999999"/>
    <x v="2"/>
    <s v="2220"/>
    <s v="000"/>
    <x v="2"/>
    <x v="1"/>
  </r>
  <r>
    <d v="2012-12-03T00:00:00"/>
    <s v="018-2230-000"/>
    <s v="Wine Sales"/>
    <n v="7.6414999999999997"/>
    <n v="0"/>
    <s v="Daily Sales Import"/>
    <n v="-7.6414999999999997"/>
    <n v="7.6414999999999997"/>
    <x v="2"/>
    <s v="2230"/>
    <s v="000"/>
    <x v="2"/>
    <x v="1"/>
  </r>
  <r>
    <d v="2012-12-04T00:00:00"/>
    <s v="018-2100-000"/>
    <s v="Food Sales"/>
    <n v="4169.4492"/>
    <n v="0"/>
    <s v="Daily Sales Import"/>
    <n v="-4169.4492"/>
    <n v="4169.4492"/>
    <x v="2"/>
    <s v="2100"/>
    <s v="000"/>
    <x v="2"/>
    <x v="1"/>
  </r>
  <r>
    <d v="2012-12-04T00:00:00"/>
    <s v="018-2210-000"/>
    <s v="Liquor Sales"/>
    <n v="612.15750000000003"/>
    <n v="0"/>
    <s v="Daily Sales Import"/>
    <n v="-612.15750000000003"/>
    <n v="612.15750000000003"/>
    <x v="2"/>
    <s v="2210"/>
    <s v="000"/>
    <x v="2"/>
    <x v="1"/>
  </r>
  <r>
    <d v="2012-12-04T00:00:00"/>
    <s v="018-2220-000"/>
    <s v="Beer Sales"/>
    <n v="71.5869"/>
    <n v="0"/>
    <s v="Daily Sales Import"/>
    <n v="-71.5869"/>
    <n v="71.5869"/>
    <x v="2"/>
    <s v="2220"/>
    <s v="000"/>
    <x v="2"/>
    <x v="1"/>
  </r>
  <r>
    <d v="2012-12-04T00:00:00"/>
    <s v="018-2230-000"/>
    <s v="Wine Sales"/>
    <n v="41.589599999999997"/>
    <n v="0"/>
    <s v="Daily Sales Import"/>
    <n v="-41.589599999999997"/>
    <n v="41.589599999999997"/>
    <x v="2"/>
    <s v="2230"/>
    <s v="000"/>
    <x v="2"/>
    <x v="1"/>
  </r>
  <r>
    <d v="2012-12-05T00:00:00"/>
    <s v="018-2100-000"/>
    <s v="Food Sales"/>
    <n v="3036.5335"/>
    <n v="0"/>
    <s v="Daily Sales Import"/>
    <n v="-3036.5335"/>
    <n v="3036.5335"/>
    <x v="2"/>
    <s v="2100"/>
    <s v="000"/>
    <x v="2"/>
    <x v="1"/>
  </r>
  <r>
    <d v="2012-12-05T00:00:00"/>
    <s v="018-2210-000"/>
    <s v="Liquor Sales"/>
    <n v="444.52099999999996"/>
    <n v="0"/>
    <s v="Daily Sales Import"/>
    <n v="-444.52099999999996"/>
    <n v="444.52099999999996"/>
    <x v="2"/>
    <s v="2210"/>
    <s v="000"/>
    <x v="2"/>
    <x v="1"/>
  </r>
  <r>
    <d v="2012-12-05T00:00:00"/>
    <s v="018-2220-000"/>
    <s v="Beer Sales"/>
    <n v="134.6052"/>
    <n v="0"/>
    <s v="Daily Sales Import"/>
    <n v="-134.6052"/>
    <n v="134.6052"/>
    <x v="2"/>
    <s v="2220"/>
    <s v="000"/>
    <x v="2"/>
    <x v="1"/>
  </r>
  <r>
    <d v="2012-12-05T00:00:00"/>
    <s v="018-2230-000"/>
    <s v="Wine Sales"/>
    <n v="39.448700000000002"/>
    <n v="0"/>
    <s v="Daily Sales Import"/>
    <n v="-39.448700000000002"/>
    <n v="39.448700000000002"/>
    <x v="2"/>
    <s v="2230"/>
    <s v="000"/>
    <x v="2"/>
    <x v="1"/>
  </r>
  <r>
    <d v="2012-12-06T00:00:00"/>
    <s v="018-2100-000"/>
    <s v="Food Sales"/>
    <n v="4085.2578000000003"/>
    <n v="0"/>
    <s v="Daily Sales Import"/>
    <n v="-4085.2578000000003"/>
    <n v="4085.2578000000003"/>
    <x v="2"/>
    <s v="2100"/>
    <s v="000"/>
    <x v="2"/>
    <x v="1"/>
  </r>
  <r>
    <d v="2012-12-06T00:00:00"/>
    <s v="018-2210-000"/>
    <s v="Liquor Sales"/>
    <n v="1142.8263000000002"/>
    <n v="0"/>
    <s v="Daily Sales Import"/>
    <n v="-1142.8263000000002"/>
    <n v="1142.8263000000002"/>
    <x v="2"/>
    <s v="2210"/>
    <s v="000"/>
    <x v="2"/>
    <x v="1"/>
  </r>
  <r>
    <d v="2012-12-06T00:00:00"/>
    <s v="018-2220-000"/>
    <s v="Beer Sales"/>
    <n v="151.53919999999999"/>
    <n v="0"/>
    <s v="Daily Sales Import"/>
    <n v="-151.53919999999999"/>
    <n v="151.53919999999999"/>
    <x v="2"/>
    <s v="2220"/>
    <s v="000"/>
    <x v="2"/>
    <x v="1"/>
  </r>
  <r>
    <d v="2012-12-06T00:00:00"/>
    <s v="018-2230-000"/>
    <s v="Wine Sales"/>
    <n v="67.298699999999997"/>
    <n v="0"/>
    <s v="Daily Sales Import"/>
    <n v="-67.298699999999997"/>
    <n v="67.298699999999997"/>
    <x v="2"/>
    <s v="2230"/>
    <s v="000"/>
    <x v="2"/>
    <x v="1"/>
  </r>
  <r>
    <d v="2012-12-07T00:00:00"/>
    <s v="018-2100-000"/>
    <s v="Food Sales"/>
    <n v="8271.4698000000008"/>
    <n v="0"/>
    <s v="Daily Sales Import"/>
    <n v="-8271.4698000000008"/>
    <n v="8271.4698000000008"/>
    <x v="2"/>
    <s v="2100"/>
    <s v="000"/>
    <x v="2"/>
    <x v="1"/>
  </r>
  <r>
    <d v="2012-12-07T00:00:00"/>
    <s v="018-2210-000"/>
    <s v="Liquor Sales"/>
    <n v="2816.8944000000001"/>
    <n v="0"/>
    <s v="Daily Sales Import"/>
    <n v="-2816.8944000000001"/>
    <n v="2816.8944000000001"/>
    <x v="2"/>
    <s v="2210"/>
    <s v="000"/>
    <x v="2"/>
    <x v="1"/>
  </r>
  <r>
    <d v="2012-12-07T00:00:00"/>
    <s v="018-2220-000"/>
    <s v="Beer Sales"/>
    <n v="518.45119999999997"/>
    <n v="0"/>
    <s v="Daily Sales Import"/>
    <n v="-518.45119999999997"/>
    <n v="518.45119999999997"/>
    <x v="2"/>
    <s v="2220"/>
    <s v="000"/>
    <x v="2"/>
    <x v="1"/>
  </r>
  <r>
    <d v="2012-12-07T00:00:00"/>
    <s v="018-2230-000"/>
    <s v="Wine Sales"/>
    <n v="136.1241"/>
    <n v="0"/>
    <s v="Daily Sales Import"/>
    <n v="-136.1241"/>
    <n v="136.1241"/>
    <x v="2"/>
    <s v="2230"/>
    <s v="000"/>
    <x v="2"/>
    <x v="1"/>
  </r>
  <r>
    <d v="2012-12-08T00:00:00"/>
    <s v="018-2100-000"/>
    <s v="Food Sales"/>
    <n v="13569.3323"/>
    <n v="0"/>
    <s v="Daily Sales Import"/>
    <n v="-13569.3323"/>
    <n v="13569.3323"/>
    <x v="2"/>
    <s v="2100"/>
    <s v="000"/>
    <x v="2"/>
    <x v="1"/>
  </r>
  <r>
    <d v="2012-12-08T00:00:00"/>
    <s v="018-2210-000"/>
    <s v="Liquor Sales"/>
    <n v="2544.6880000000001"/>
    <n v="0"/>
    <s v="Daily Sales Import"/>
    <n v="-2544.6880000000001"/>
    <n v="2544.6880000000001"/>
    <x v="2"/>
    <s v="2210"/>
    <s v="000"/>
    <x v="2"/>
    <x v="1"/>
  </r>
  <r>
    <d v="2012-12-08T00:00:00"/>
    <s v="018-2220-000"/>
    <s v="Beer Sales"/>
    <n v="795.2912"/>
    <n v="0"/>
    <s v="Daily Sales Import"/>
    <n v="-795.2912"/>
    <n v="795.2912"/>
    <x v="2"/>
    <s v="2220"/>
    <s v="000"/>
    <x v="2"/>
    <x v="1"/>
  </r>
  <r>
    <d v="2012-12-08T00:00:00"/>
    <s v="018-2230-000"/>
    <s v="Wine Sales"/>
    <n v="109.0964"/>
    <n v="0"/>
    <s v="Daily Sales Import"/>
    <n v="-109.0964"/>
    <n v="109.0964"/>
    <x v="2"/>
    <s v="2230"/>
    <s v="000"/>
    <x v="2"/>
    <x v="1"/>
  </r>
  <r>
    <d v="2012-12-09T00:00:00"/>
    <s v="018-2100-000"/>
    <s v="Food Sales"/>
    <n v="6991.4472000000014"/>
    <n v="0"/>
    <s v="Daily Sales Import"/>
    <n v="-6991.4472000000014"/>
    <n v="6991.4472000000014"/>
    <x v="2"/>
    <s v="2100"/>
    <s v="000"/>
    <x v="2"/>
    <x v="1"/>
  </r>
  <r>
    <d v="2012-12-09T00:00:00"/>
    <s v="018-2210-000"/>
    <s v="Liquor Sales"/>
    <n v="1057.1701"/>
    <n v="0"/>
    <s v="Daily Sales Import"/>
    <n v="-1057.1701"/>
    <n v="1057.1701"/>
    <x v="2"/>
    <s v="2210"/>
    <s v="000"/>
    <x v="2"/>
    <x v="1"/>
  </r>
  <r>
    <d v="2012-12-09T00:00:00"/>
    <s v="018-2220-000"/>
    <s v="Beer Sales"/>
    <n v="232.983"/>
    <n v="0"/>
    <s v="Daily Sales Import"/>
    <n v="-232.983"/>
    <n v="232.983"/>
    <x v="2"/>
    <s v="2220"/>
    <s v="000"/>
    <x v="2"/>
    <x v="1"/>
  </r>
  <r>
    <d v="2012-12-09T00:00:00"/>
    <s v="018-2230-000"/>
    <s v="Wine Sales"/>
    <n v="71.000699999999995"/>
    <n v="0"/>
    <s v="Daily Sales Import"/>
    <n v="-71.000699999999995"/>
    <n v="71.000699999999995"/>
    <x v="2"/>
    <s v="2230"/>
    <s v="000"/>
    <x v="2"/>
    <x v="1"/>
  </r>
  <r>
    <d v="2012-12-10T00:00:00"/>
    <s v="016-2100-000"/>
    <s v="Food Sales"/>
    <n v="2343.3784000000001"/>
    <n v="0"/>
    <s v="Daily Sales Import"/>
    <n v="-2343.3784000000001"/>
    <n v="2343.3784000000001"/>
    <x v="0"/>
    <s v="2100"/>
    <s v="000"/>
    <x v="2"/>
    <x v="1"/>
  </r>
  <r>
    <d v="2012-12-10T00:00:00"/>
    <s v="016-2210-000"/>
    <s v="Liquor Sales"/>
    <n v="503.13650000000007"/>
    <n v="0"/>
    <s v="Daily Sales Import"/>
    <n v="-503.13650000000007"/>
    <n v="503.13650000000007"/>
    <x v="0"/>
    <s v="2210"/>
    <s v="000"/>
    <x v="2"/>
    <x v="1"/>
  </r>
  <r>
    <d v="2012-12-10T00:00:00"/>
    <s v="016-2220-000"/>
    <s v="Beer Sales"/>
    <n v="88.212100000000007"/>
    <n v="0"/>
    <s v="Daily Sales Import"/>
    <n v="-88.212100000000007"/>
    <n v="88.212100000000007"/>
    <x v="0"/>
    <s v="2220"/>
    <s v="000"/>
    <x v="2"/>
    <x v="1"/>
  </r>
  <r>
    <d v="2012-12-10T00:00:00"/>
    <s v="016-2230-000"/>
    <s v="Wine Sales"/>
    <n v="42.522000000000006"/>
    <n v="0"/>
    <s v="Daily Sales Import"/>
    <n v="-42.522000000000006"/>
    <n v="42.522000000000006"/>
    <x v="0"/>
    <s v="2230"/>
    <s v="000"/>
    <x v="2"/>
    <x v="1"/>
  </r>
  <r>
    <d v="2012-12-11T00:00:00"/>
    <s v="016-2100-000"/>
    <s v="Food Sales"/>
    <n v="4474.4006999999992"/>
    <n v="0"/>
    <s v="Daily Sales Import"/>
    <n v="-4474.4006999999992"/>
    <n v="4474.4006999999992"/>
    <x v="0"/>
    <s v="2100"/>
    <s v="000"/>
    <x v="2"/>
    <x v="1"/>
  </r>
  <r>
    <d v="2012-12-11T00:00:00"/>
    <s v="016-2210-000"/>
    <s v="Liquor Sales"/>
    <n v="2459.7835"/>
    <n v="0"/>
    <s v="Daily Sales Import"/>
    <n v="-2459.7835"/>
    <n v="2459.7835"/>
    <x v="0"/>
    <s v="2210"/>
    <s v="000"/>
    <x v="2"/>
    <x v="1"/>
  </r>
  <r>
    <d v="2012-12-11T00:00:00"/>
    <s v="016-2220-000"/>
    <s v="Beer Sales"/>
    <n v="736.11699999999996"/>
    <n v="0"/>
    <s v="Daily Sales Import"/>
    <n v="-736.11699999999996"/>
    <n v="736.11699999999996"/>
    <x v="0"/>
    <s v="2220"/>
    <s v="000"/>
    <x v="2"/>
    <x v="1"/>
  </r>
  <r>
    <d v="2012-12-11T00:00:00"/>
    <s v="016-2230-000"/>
    <s v="Wine Sales"/>
    <n v="71.103200000000001"/>
    <n v="0"/>
    <s v="Daily Sales Import"/>
    <n v="-71.103200000000001"/>
    <n v="71.103200000000001"/>
    <x v="0"/>
    <s v="2230"/>
    <s v="000"/>
    <x v="2"/>
    <x v="1"/>
  </r>
  <r>
    <d v="2012-12-12T00:00:00"/>
    <s v="016-2100-000"/>
    <s v="Food Sales"/>
    <n v="2071.3968"/>
    <n v="0"/>
    <s v="Daily Sales Import"/>
    <n v="-2071.3968"/>
    <n v="2071.3968"/>
    <x v="0"/>
    <s v="2100"/>
    <s v="000"/>
    <x v="2"/>
    <x v="1"/>
  </r>
  <r>
    <d v="2012-12-12T00:00:00"/>
    <s v="016-2210-000"/>
    <s v="Liquor Sales"/>
    <n v="740.09100000000001"/>
    <n v="0"/>
    <s v="Daily Sales Import"/>
    <n v="-740.09100000000001"/>
    <n v="740.09100000000001"/>
    <x v="0"/>
    <s v="2210"/>
    <s v="000"/>
    <x v="2"/>
    <x v="1"/>
  </r>
  <r>
    <d v="2012-12-12T00:00:00"/>
    <s v="016-2220-000"/>
    <s v="Beer Sales"/>
    <n v="125.44839999999999"/>
    <n v="0"/>
    <s v="Daily Sales Import"/>
    <n v="-125.44839999999999"/>
    <n v="125.44839999999999"/>
    <x v="0"/>
    <s v="2220"/>
    <s v="000"/>
    <x v="2"/>
    <x v="1"/>
  </r>
  <r>
    <d v="2012-12-12T00:00:00"/>
    <s v="016-2230-000"/>
    <s v="Wine Sales"/>
    <n v="60.8063"/>
    <n v="0"/>
    <s v="Daily Sales Import"/>
    <n v="-60.8063"/>
    <n v="60.8063"/>
    <x v="0"/>
    <s v="2230"/>
    <s v="000"/>
    <x v="2"/>
    <x v="1"/>
  </r>
  <r>
    <d v="2012-12-13T00:00:00"/>
    <s v="016-2100-000"/>
    <s v="Food Sales"/>
    <n v="4409.2349000000004"/>
    <n v="0"/>
    <s v="Daily Sales Import"/>
    <n v="-4409.2349000000004"/>
    <n v="4409.2349000000004"/>
    <x v="0"/>
    <s v="2100"/>
    <s v="000"/>
    <x v="2"/>
    <x v="1"/>
  </r>
  <r>
    <d v="2012-12-13T00:00:00"/>
    <s v="016-2210-000"/>
    <s v="Liquor Sales"/>
    <n v="1348.1939"/>
    <n v="0"/>
    <s v="Daily Sales Import"/>
    <n v="-1348.1939"/>
    <n v="1348.1939"/>
    <x v="0"/>
    <s v="2210"/>
    <s v="000"/>
    <x v="2"/>
    <x v="1"/>
  </r>
  <r>
    <d v="2012-12-13T00:00:00"/>
    <s v="016-2220-000"/>
    <s v="Beer Sales"/>
    <n v="206.44399999999999"/>
    <n v="0"/>
    <s v="Daily Sales Import"/>
    <n v="-206.44399999999999"/>
    <n v="206.44399999999999"/>
    <x v="0"/>
    <s v="2220"/>
    <s v="000"/>
    <x v="2"/>
    <x v="1"/>
  </r>
  <r>
    <d v="2012-12-13T00:00:00"/>
    <s v="016-2230-000"/>
    <s v="Wine Sales"/>
    <n v="110.49639999999999"/>
    <n v="0"/>
    <s v="Daily Sales Import"/>
    <n v="-110.49639999999999"/>
    <n v="110.49639999999999"/>
    <x v="0"/>
    <s v="2230"/>
    <s v="000"/>
    <x v="2"/>
    <x v="1"/>
  </r>
  <r>
    <d v="2012-12-14T00:00:00"/>
    <s v="016-2100-000"/>
    <s v="Food Sales"/>
    <n v="6977.2433999999994"/>
    <n v="0"/>
    <s v="Daily Sales Import"/>
    <n v="-6977.2433999999994"/>
    <n v="6977.2433999999994"/>
    <x v="0"/>
    <s v="2100"/>
    <s v="000"/>
    <x v="2"/>
    <x v="1"/>
  </r>
  <r>
    <d v="2012-12-14T00:00:00"/>
    <s v="016-2210-000"/>
    <s v="Liquor Sales"/>
    <n v="1837.7284999999999"/>
    <n v="0"/>
    <s v="Daily Sales Import"/>
    <n v="-1837.7284999999999"/>
    <n v="1837.7284999999999"/>
    <x v="0"/>
    <s v="2210"/>
    <s v="000"/>
    <x v="2"/>
    <x v="1"/>
  </r>
  <r>
    <d v="2012-12-14T00:00:00"/>
    <s v="016-2220-000"/>
    <s v="Beer Sales"/>
    <n v="237.60550000000001"/>
    <n v="0"/>
    <s v="Daily Sales Import"/>
    <n v="-237.60550000000001"/>
    <n v="237.60550000000001"/>
    <x v="0"/>
    <s v="2220"/>
    <s v="000"/>
    <x v="2"/>
    <x v="1"/>
  </r>
  <r>
    <d v="2012-12-14T00:00:00"/>
    <s v="016-2230-000"/>
    <s v="Wine Sales"/>
    <n v="148.5042"/>
    <n v="0"/>
    <s v="Daily Sales Import"/>
    <n v="-148.5042"/>
    <n v="148.5042"/>
    <x v="0"/>
    <s v="2230"/>
    <s v="000"/>
    <x v="2"/>
    <x v="1"/>
  </r>
  <r>
    <d v="2012-12-15T00:00:00"/>
    <s v="016-2100-000"/>
    <s v="Food Sales"/>
    <n v="5540.61"/>
    <n v="0"/>
    <s v="Daily Sales Import"/>
    <n v="-5540.61"/>
    <n v="5540.61"/>
    <x v="0"/>
    <s v="2100"/>
    <s v="000"/>
    <x v="2"/>
    <x v="1"/>
  </r>
  <r>
    <d v="2012-12-15T00:00:00"/>
    <s v="016-2210-000"/>
    <s v="Liquor Sales"/>
    <n v="1947.5925"/>
    <n v="0"/>
    <s v="Daily Sales Import"/>
    <n v="-1947.5925"/>
    <n v="1947.5925"/>
    <x v="0"/>
    <s v="2210"/>
    <s v="000"/>
    <x v="2"/>
    <x v="1"/>
  </r>
  <r>
    <d v="2012-12-15T00:00:00"/>
    <s v="016-2220-000"/>
    <s v="Beer Sales"/>
    <n v="371.60020000000003"/>
    <n v="0"/>
    <s v="Daily Sales Import"/>
    <n v="-371.60020000000003"/>
    <n v="371.60020000000003"/>
    <x v="0"/>
    <s v="2220"/>
    <s v="000"/>
    <x v="2"/>
    <x v="1"/>
  </r>
  <r>
    <d v="2012-12-15T00:00:00"/>
    <s v="016-2230-000"/>
    <s v="Wine Sales"/>
    <n v="174.06"/>
    <n v="0"/>
    <s v="Daily Sales Import"/>
    <n v="-174.06"/>
    <n v="174.06"/>
    <x v="0"/>
    <s v="2230"/>
    <s v="000"/>
    <x v="2"/>
    <x v="1"/>
  </r>
  <r>
    <d v="2012-12-16T00:00:00"/>
    <s v="016-2100-000"/>
    <s v="Food Sales"/>
    <n v="3892.6811999999995"/>
    <n v="0"/>
    <s v="Daily Sales Import"/>
    <n v="-3892.6811999999995"/>
    <n v="3892.6811999999995"/>
    <x v="0"/>
    <s v="2100"/>
    <s v="000"/>
    <x v="2"/>
    <x v="1"/>
  </r>
  <r>
    <d v="2012-12-16T00:00:00"/>
    <s v="016-2210-000"/>
    <s v="Liquor Sales"/>
    <n v="1061.5696"/>
    <n v="0"/>
    <s v="Daily Sales Import"/>
    <n v="-1061.5696"/>
    <n v="1061.5696"/>
    <x v="0"/>
    <s v="2210"/>
    <s v="000"/>
    <x v="2"/>
    <x v="1"/>
  </r>
  <r>
    <d v="2012-12-16T00:00:00"/>
    <s v="016-2220-000"/>
    <s v="Beer Sales"/>
    <n v="155.393"/>
    <n v="0"/>
    <s v="Daily Sales Import"/>
    <n v="-155.393"/>
    <n v="155.393"/>
    <x v="0"/>
    <s v="2220"/>
    <s v="000"/>
    <x v="2"/>
    <x v="1"/>
  </r>
  <r>
    <d v="2012-12-16T00:00:00"/>
    <s v="016-2230-000"/>
    <s v="Wine Sales"/>
    <n v="45.533600000000007"/>
    <n v="0"/>
    <s v="Daily Sales Import"/>
    <n v="-45.533600000000007"/>
    <n v="45.533600000000007"/>
    <x v="0"/>
    <s v="2230"/>
    <s v="000"/>
    <x v="2"/>
    <x v="1"/>
  </r>
  <r>
    <d v="2012-12-10T00:00:00"/>
    <s v="017-2100-000"/>
    <s v="Food Sales"/>
    <n v="5955.2736000000004"/>
    <n v="0"/>
    <s v="Daily Sales Import"/>
    <n v="-5955.2736000000004"/>
    <n v="5955.2736000000004"/>
    <x v="1"/>
    <s v="2100"/>
    <s v="000"/>
    <x v="2"/>
    <x v="1"/>
  </r>
  <r>
    <d v="2012-12-10T00:00:00"/>
    <s v="017-2210-000"/>
    <s v="Liquor Sales"/>
    <n v="1168.9369999999999"/>
    <n v="0"/>
    <s v="Daily Sales Import"/>
    <n v="-1168.9369999999999"/>
    <n v="1168.9369999999999"/>
    <x v="1"/>
    <s v="2210"/>
    <s v="000"/>
    <x v="2"/>
    <x v="1"/>
  </r>
  <r>
    <d v="2012-12-10T00:00:00"/>
    <s v="017-2220-000"/>
    <s v="Beer Sales"/>
    <n v="360.91379999999998"/>
    <n v="0"/>
    <s v="Daily Sales Import"/>
    <n v="-360.91379999999998"/>
    <n v="360.91379999999998"/>
    <x v="1"/>
    <s v="2220"/>
    <s v="000"/>
    <x v="2"/>
    <x v="1"/>
  </r>
  <r>
    <d v="2012-12-10T00:00:00"/>
    <s v="017-2230-000"/>
    <s v="Wine Sales"/>
    <n v="141.20699999999999"/>
    <n v="0"/>
    <s v="Daily Sales Import"/>
    <n v="-141.20699999999999"/>
    <n v="141.20699999999999"/>
    <x v="1"/>
    <s v="2230"/>
    <s v="000"/>
    <x v="2"/>
    <x v="1"/>
  </r>
  <r>
    <d v="2012-12-11T00:00:00"/>
    <s v="017-2100-000"/>
    <s v="Food Sales"/>
    <n v="6265.8059999999996"/>
    <n v="0"/>
    <s v="Daily Sales Import"/>
    <n v="-6265.8059999999996"/>
    <n v="6265.8059999999996"/>
    <x v="1"/>
    <s v="2100"/>
    <s v="000"/>
    <x v="2"/>
    <x v="1"/>
  </r>
  <r>
    <d v="2012-12-11T00:00:00"/>
    <s v="017-2210-000"/>
    <s v="Liquor Sales"/>
    <n v="977.23450000000003"/>
    <n v="0"/>
    <s v="Daily Sales Import"/>
    <n v="-977.23450000000003"/>
    <n v="977.23450000000003"/>
    <x v="1"/>
    <s v="2210"/>
    <s v="000"/>
    <x v="2"/>
    <x v="1"/>
  </r>
  <r>
    <d v="2012-12-11T00:00:00"/>
    <s v="017-2220-000"/>
    <s v="Beer Sales"/>
    <n v="428.00160000000005"/>
    <n v="0"/>
    <s v="Daily Sales Import"/>
    <n v="-428.00160000000005"/>
    <n v="428.00160000000005"/>
    <x v="1"/>
    <s v="2220"/>
    <s v="000"/>
    <x v="2"/>
    <x v="1"/>
  </r>
  <r>
    <d v="2012-12-11T00:00:00"/>
    <s v="017-2230-000"/>
    <s v="Wine Sales"/>
    <n v="127.8192"/>
    <n v="0"/>
    <s v="Daily Sales Import"/>
    <n v="-127.8192"/>
    <n v="127.8192"/>
    <x v="1"/>
    <s v="2230"/>
    <s v="000"/>
    <x v="2"/>
    <x v="1"/>
  </r>
  <r>
    <d v="2012-12-12T00:00:00"/>
    <s v="017-2100-000"/>
    <s v="Food Sales"/>
    <n v="6751.7372999999998"/>
    <n v="0"/>
    <s v="Daily Sales Import"/>
    <n v="-6751.7372999999998"/>
    <n v="6751.7372999999998"/>
    <x v="1"/>
    <s v="2100"/>
    <s v="000"/>
    <x v="2"/>
    <x v="1"/>
  </r>
  <r>
    <d v="2012-12-12T00:00:00"/>
    <s v="017-2210-000"/>
    <s v="Liquor Sales"/>
    <n v="3223.5970000000002"/>
    <n v="0"/>
    <s v="Daily Sales Import"/>
    <n v="-3223.5970000000002"/>
    <n v="3223.5970000000002"/>
    <x v="1"/>
    <s v="2210"/>
    <s v="000"/>
    <x v="2"/>
    <x v="1"/>
  </r>
  <r>
    <d v="2012-12-12T00:00:00"/>
    <s v="017-2220-000"/>
    <s v="Beer Sales"/>
    <n v="769.94080000000008"/>
    <n v="0"/>
    <s v="Daily Sales Import"/>
    <n v="-769.94080000000008"/>
    <n v="769.94080000000008"/>
    <x v="1"/>
    <s v="2220"/>
    <s v="000"/>
    <x v="2"/>
    <x v="1"/>
  </r>
  <r>
    <d v="2012-12-12T00:00:00"/>
    <s v="017-2230-000"/>
    <s v="Wine Sales"/>
    <n v="102.5706"/>
    <n v="0"/>
    <s v="Daily Sales Import"/>
    <n v="-102.5706"/>
    <n v="102.5706"/>
    <x v="1"/>
    <s v="2230"/>
    <s v="000"/>
    <x v="2"/>
    <x v="1"/>
  </r>
  <r>
    <d v="2012-12-13T00:00:00"/>
    <s v="017-2100-000"/>
    <s v="Food Sales"/>
    <n v="6001.3751999999995"/>
    <n v="0"/>
    <s v="Daily Sales Import"/>
    <n v="-6001.3751999999995"/>
    <n v="6001.3751999999995"/>
    <x v="1"/>
    <s v="2100"/>
    <s v="000"/>
    <x v="2"/>
    <x v="1"/>
  </r>
  <r>
    <d v="2012-12-13T00:00:00"/>
    <s v="017-2210-000"/>
    <s v="Liquor Sales"/>
    <n v="1568.106"/>
    <n v="0"/>
    <s v="Daily Sales Import"/>
    <n v="-1568.106"/>
    <n v="1568.106"/>
    <x v="1"/>
    <s v="2210"/>
    <s v="000"/>
    <x v="2"/>
    <x v="1"/>
  </r>
  <r>
    <d v="2012-12-13T00:00:00"/>
    <s v="017-2220-000"/>
    <s v="Beer Sales"/>
    <n v="611.70939999999996"/>
    <n v="0"/>
    <s v="Daily Sales Import"/>
    <n v="-611.70939999999996"/>
    <n v="611.70939999999996"/>
    <x v="1"/>
    <s v="2220"/>
    <s v="000"/>
    <x v="2"/>
    <x v="1"/>
  </r>
  <r>
    <d v="2012-12-13T00:00:00"/>
    <s v="017-2230-000"/>
    <s v="Wine Sales"/>
    <n v="63.537899999999993"/>
    <n v="0"/>
    <s v="Daily Sales Import"/>
    <n v="-63.537899999999993"/>
    <n v="63.537899999999993"/>
    <x v="1"/>
    <s v="2230"/>
    <s v="000"/>
    <x v="2"/>
    <x v="1"/>
  </r>
  <r>
    <d v="2012-12-14T00:00:00"/>
    <s v="017-2100-000"/>
    <s v="Food Sales"/>
    <n v="7584.6456000000007"/>
    <n v="0"/>
    <s v="Daily Sales Import"/>
    <n v="-7584.6456000000007"/>
    <n v="7584.6456000000007"/>
    <x v="1"/>
    <s v="2100"/>
    <s v="000"/>
    <x v="2"/>
    <x v="1"/>
  </r>
  <r>
    <d v="2012-12-14T00:00:00"/>
    <s v="017-2210-000"/>
    <s v="Liquor Sales"/>
    <n v="3774.1120000000005"/>
    <n v="0"/>
    <s v="Daily Sales Import"/>
    <n v="-3774.1120000000005"/>
    <n v="3774.1120000000005"/>
    <x v="1"/>
    <s v="2210"/>
    <s v="000"/>
    <x v="2"/>
    <x v="1"/>
  </r>
  <r>
    <d v="2012-12-14T00:00:00"/>
    <s v="017-2220-000"/>
    <s v="Beer Sales"/>
    <n v="641.17199999999991"/>
    <n v="0"/>
    <s v="Daily Sales Import"/>
    <n v="-641.17199999999991"/>
    <n v="641.17199999999991"/>
    <x v="1"/>
    <s v="2220"/>
    <s v="000"/>
    <x v="2"/>
    <x v="1"/>
  </r>
  <r>
    <d v="2012-12-14T00:00:00"/>
    <s v="017-2230-000"/>
    <s v="Wine Sales"/>
    <n v="369.24600000000004"/>
    <n v="0"/>
    <s v="Daily Sales Import"/>
    <n v="-369.24600000000004"/>
    <n v="369.24600000000004"/>
    <x v="1"/>
    <s v="2230"/>
    <s v="000"/>
    <x v="2"/>
    <x v="1"/>
  </r>
  <r>
    <d v="2012-12-15T00:00:00"/>
    <s v="017-2100-000"/>
    <s v="Food Sales"/>
    <n v="7140.9600000000009"/>
    <n v="0"/>
    <s v="Daily Sales Import"/>
    <n v="-7140.9600000000009"/>
    <n v="7140.9600000000009"/>
    <x v="1"/>
    <s v="2100"/>
    <s v="000"/>
    <x v="2"/>
    <x v="1"/>
  </r>
  <r>
    <d v="2012-12-15T00:00:00"/>
    <s v="017-2210-000"/>
    <s v="Liquor Sales"/>
    <n v="1089.066"/>
    <n v="0"/>
    <s v="Daily Sales Import"/>
    <n v="-1089.066"/>
    <n v="1089.066"/>
    <x v="1"/>
    <s v="2210"/>
    <s v="000"/>
    <x v="2"/>
    <x v="1"/>
  </r>
  <r>
    <d v="2012-12-15T00:00:00"/>
    <s v="017-2220-000"/>
    <s v="Beer Sales"/>
    <n v="332.95449999999994"/>
    <n v="0"/>
    <s v="Daily Sales Import"/>
    <n v="-332.95449999999994"/>
    <n v="332.95449999999994"/>
    <x v="1"/>
    <s v="2220"/>
    <s v="000"/>
    <x v="2"/>
    <x v="1"/>
  </r>
  <r>
    <d v="2012-12-15T00:00:00"/>
    <s v="017-2230-000"/>
    <s v="Wine Sales"/>
    <n v="48.579300000000003"/>
    <n v="0"/>
    <s v="Daily Sales Import"/>
    <n v="-48.579300000000003"/>
    <n v="48.579300000000003"/>
    <x v="1"/>
    <s v="2230"/>
    <s v="000"/>
    <x v="2"/>
    <x v="1"/>
  </r>
  <r>
    <d v="2012-12-16T00:00:00"/>
    <s v="017-2100-000"/>
    <s v="Food Sales"/>
    <n v="3309.6030000000001"/>
    <n v="0"/>
    <s v="Daily Sales Import"/>
    <n v="-3309.6030000000001"/>
    <n v="3309.6030000000001"/>
    <x v="1"/>
    <s v="2100"/>
    <s v="000"/>
    <x v="2"/>
    <x v="1"/>
  </r>
  <r>
    <d v="2012-12-16T00:00:00"/>
    <s v="017-2210-000"/>
    <s v="Liquor Sales"/>
    <n v="673.21999999999991"/>
    <n v="0"/>
    <s v="Daily Sales Import"/>
    <n v="-673.21999999999991"/>
    <n v="673.21999999999991"/>
    <x v="1"/>
    <s v="2210"/>
    <s v="000"/>
    <x v="2"/>
    <x v="1"/>
  </r>
  <r>
    <d v="2012-12-16T00:00:00"/>
    <s v="017-2220-000"/>
    <s v="Beer Sales"/>
    <n v="107.7384"/>
    <n v="0"/>
    <s v="Daily Sales Import"/>
    <n v="-107.7384"/>
    <n v="107.7384"/>
    <x v="1"/>
    <s v="2220"/>
    <s v="000"/>
    <x v="2"/>
    <x v="1"/>
  </r>
  <r>
    <d v="2012-12-16T00:00:00"/>
    <s v="017-2230-000"/>
    <s v="Wine Sales"/>
    <n v="35.055"/>
    <n v="0"/>
    <s v="Daily Sales Import"/>
    <n v="-35.055"/>
    <n v="35.055"/>
    <x v="1"/>
    <s v="2230"/>
    <s v="000"/>
    <x v="2"/>
    <x v="1"/>
  </r>
  <r>
    <d v="2012-12-10T00:00:00"/>
    <s v="018-2100-000"/>
    <s v="Food Sales"/>
    <n v="3233.8422"/>
    <n v="0"/>
    <s v="Daily Sales Import"/>
    <n v="-3233.8422"/>
    <n v="3233.8422"/>
    <x v="2"/>
    <s v="2100"/>
    <s v="000"/>
    <x v="2"/>
    <x v="1"/>
  </r>
  <r>
    <d v="2012-12-10T00:00:00"/>
    <s v="018-2210-000"/>
    <s v="Liquor Sales"/>
    <n v="655.93060000000003"/>
    <n v="0"/>
    <s v="Daily Sales Import"/>
    <n v="-655.93060000000003"/>
    <n v="655.93060000000003"/>
    <x v="2"/>
    <s v="2210"/>
    <s v="000"/>
    <x v="2"/>
    <x v="1"/>
  </r>
  <r>
    <d v="2012-12-10T00:00:00"/>
    <s v="018-2220-000"/>
    <s v="Beer Sales"/>
    <n v="175.04679999999999"/>
    <n v="0"/>
    <s v="Daily Sales Import"/>
    <n v="-175.04679999999999"/>
    <n v="175.04679999999999"/>
    <x v="2"/>
    <s v="2220"/>
    <s v="000"/>
    <x v="2"/>
    <x v="1"/>
  </r>
  <r>
    <d v="2012-12-10T00:00:00"/>
    <s v="018-2230-000"/>
    <s v="Wine Sales"/>
    <n v="20.6248"/>
    <n v="0"/>
    <s v="Daily Sales Import"/>
    <n v="-20.6248"/>
    <n v="20.6248"/>
    <x v="2"/>
    <s v="2230"/>
    <s v="000"/>
    <x v="2"/>
    <x v="1"/>
  </r>
  <r>
    <d v="2012-12-11T00:00:00"/>
    <s v="018-2100-000"/>
    <s v="Food Sales"/>
    <n v="3102.1824000000001"/>
    <n v="0"/>
    <s v="Daily Sales Import"/>
    <n v="-3102.1824000000001"/>
    <n v="3102.1824000000001"/>
    <x v="2"/>
    <s v="2100"/>
    <s v="000"/>
    <x v="2"/>
    <x v="1"/>
  </r>
  <r>
    <d v="2012-12-11T00:00:00"/>
    <s v="018-2210-000"/>
    <s v="Liquor Sales"/>
    <n v="534.26240000000007"/>
    <n v="0"/>
    <s v="Daily Sales Import"/>
    <n v="-534.26240000000007"/>
    <n v="534.26240000000007"/>
    <x v="2"/>
    <s v="2210"/>
    <s v="000"/>
    <x v="2"/>
    <x v="1"/>
  </r>
  <r>
    <d v="2012-12-11T00:00:00"/>
    <s v="018-2220-000"/>
    <s v="Beer Sales"/>
    <n v="197.77379999999999"/>
    <n v="0"/>
    <s v="Daily Sales Import"/>
    <n v="-197.77379999999999"/>
    <n v="197.77379999999999"/>
    <x v="2"/>
    <s v="2220"/>
    <s v="000"/>
    <x v="2"/>
    <x v="1"/>
  </r>
  <r>
    <d v="2012-12-11T00:00:00"/>
    <s v="018-2230-000"/>
    <s v="Wine Sales"/>
    <n v="97.326800000000006"/>
    <n v="0"/>
    <s v="Daily Sales Import"/>
    <n v="-97.326800000000006"/>
    <n v="97.326800000000006"/>
    <x v="2"/>
    <s v="2230"/>
    <s v="000"/>
    <x v="2"/>
    <x v="1"/>
  </r>
  <r>
    <d v="2012-12-12T00:00:00"/>
    <s v="018-2100-000"/>
    <s v="Food Sales"/>
    <n v="4459.9103999999998"/>
    <n v="0"/>
    <s v="Daily Sales Import"/>
    <n v="-4459.9103999999998"/>
    <n v="4459.9103999999998"/>
    <x v="2"/>
    <s v="2100"/>
    <s v="000"/>
    <x v="2"/>
    <x v="1"/>
  </r>
  <r>
    <d v="2012-12-12T00:00:00"/>
    <s v="018-2210-000"/>
    <s v="Liquor Sales"/>
    <n v="797.08199999999999"/>
    <n v="0"/>
    <s v="Daily Sales Import"/>
    <n v="-797.08199999999999"/>
    <n v="797.08199999999999"/>
    <x v="2"/>
    <s v="2210"/>
    <s v="000"/>
    <x v="2"/>
    <x v="1"/>
  </r>
  <r>
    <d v="2012-12-12T00:00:00"/>
    <s v="018-2220-000"/>
    <s v="Beer Sales"/>
    <n v="211.09950000000001"/>
    <n v="0"/>
    <s v="Daily Sales Import"/>
    <n v="-211.09950000000001"/>
    <n v="211.09950000000001"/>
    <x v="2"/>
    <s v="2220"/>
    <s v="000"/>
    <x v="2"/>
    <x v="1"/>
  </r>
  <r>
    <d v="2012-12-12T00:00:00"/>
    <s v="018-2230-000"/>
    <s v="Wine Sales"/>
    <n v="86.388500000000008"/>
    <n v="0"/>
    <s v="Daily Sales Import"/>
    <n v="-86.388500000000008"/>
    <n v="86.388500000000008"/>
    <x v="2"/>
    <s v="2230"/>
    <s v="000"/>
    <x v="2"/>
    <x v="1"/>
  </r>
  <r>
    <d v="2012-12-13T00:00:00"/>
    <s v="018-2100-000"/>
    <s v="Food Sales"/>
    <n v="4875.4260000000004"/>
    <n v="0"/>
    <s v="Daily Sales Import"/>
    <n v="-4875.4260000000004"/>
    <n v="4875.4260000000004"/>
    <x v="2"/>
    <s v="2100"/>
    <s v="000"/>
    <x v="2"/>
    <x v="1"/>
  </r>
  <r>
    <d v="2012-12-13T00:00:00"/>
    <s v="018-2210-000"/>
    <s v="Liquor Sales"/>
    <n v="504.83950000000004"/>
    <n v="0"/>
    <s v="Daily Sales Import"/>
    <n v="-504.83950000000004"/>
    <n v="504.83950000000004"/>
    <x v="2"/>
    <s v="2210"/>
    <s v="000"/>
    <x v="2"/>
    <x v="1"/>
  </r>
  <r>
    <d v="2012-12-13T00:00:00"/>
    <s v="018-2220-000"/>
    <s v="Beer Sales"/>
    <n v="242.06039999999999"/>
    <n v="0"/>
    <s v="Daily Sales Import"/>
    <n v="-242.06039999999999"/>
    <n v="242.06039999999999"/>
    <x v="2"/>
    <s v="2220"/>
    <s v="000"/>
    <x v="2"/>
    <x v="1"/>
  </r>
  <r>
    <d v="2012-12-13T00:00:00"/>
    <s v="018-2230-000"/>
    <s v="Wine Sales"/>
    <n v="77.108199999999997"/>
    <n v="0"/>
    <s v="Daily Sales Import"/>
    <n v="-77.108199999999997"/>
    <n v="77.108199999999997"/>
    <x v="2"/>
    <s v="2230"/>
    <s v="000"/>
    <x v="2"/>
    <x v="1"/>
  </r>
  <r>
    <d v="2012-12-14T00:00:00"/>
    <s v="018-2100-000"/>
    <s v="Food Sales"/>
    <n v="8048.9864000000007"/>
    <n v="0"/>
    <s v="Daily Sales Import"/>
    <n v="-8048.9864000000007"/>
    <n v="8048.9864000000007"/>
    <x v="2"/>
    <s v="2100"/>
    <s v="000"/>
    <x v="2"/>
    <x v="1"/>
  </r>
  <r>
    <d v="2012-12-14T00:00:00"/>
    <s v="018-2210-000"/>
    <s v="Liquor Sales"/>
    <n v="3286.3525999999997"/>
    <n v="0"/>
    <s v="Daily Sales Import"/>
    <n v="-3286.3525999999997"/>
    <n v="3286.3525999999997"/>
    <x v="2"/>
    <s v="2210"/>
    <s v="000"/>
    <x v="2"/>
    <x v="1"/>
  </r>
  <r>
    <d v="2012-12-14T00:00:00"/>
    <s v="018-2220-000"/>
    <s v="Beer Sales"/>
    <n v="969.15910000000008"/>
    <n v="0"/>
    <s v="Daily Sales Import"/>
    <n v="-969.15910000000008"/>
    <n v="969.15910000000008"/>
    <x v="2"/>
    <s v="2220"/>
    <s v="000"/>
    <x v="2"/>
    <x v="1"/>
  </r>
  <r>
    <d v="2012-12-14T00:00:00"/>
    <s v="018-2230-000"/>
    <s v="Wine Sales"/>
    <n v="185.1003"/>
    <n v="0"/>
    <s v="Daily Sales Import"/>
    <n v="-185.1003"/>
    <n v="185.1003"/>
    <x v="2"/>
    <s v="2230"/>
    <s v="000"/>
    <x v="2"/>
    <x v="1"/>
  </r>
  <r>
    <d v="2012-12-15T00:00:00"/>
    <s v="018-2100-000"/>
    <s v="Food Sales"/>
    <n v="12192.327000000001"/>
    <n v="0"/>
    <s v="Daily Sales Import"/>
    <n v="-12192.327000000001"/>
    <n v="12192.327000000001"/>
    <x v="2"/>
    <s v="2100"/>
    <s v="000"/>
    <x v="2"/>
    <x v="1"/>
  </r>
  <r>
    <d v="2012-12-15T00:00:00"/>
    <s v="018-2210-000"/>
    <s v="Liquor Sales"/>
    <n v="2560.6030999999998"/>
    <n v="0"/>
    <s v="Daily Sales Import"/>
    <n v="-2560.6030999999998"/>
    <n v="2560.6030999999998"/>
    <x v="2"/>
    <s v="2210"/>
    <s v="000"/>
    <x v="2"/>
    <x v="1"/>
  </r>
  <r>
    <d v="2012-12-15T00:00:00"/>
    <s v="018-2220-000"/>
    <s v="Beer Sales"/>
    <n v="944.34320000000002"/>
    <n v="0"/>
    <s v="Daily Sales Import"/>
    <n v="-944.34320000000002"/>
    <n v="944.34320000000002"/>
    <x v="2"/>
    <s v="2220"/>
    <s v="000"/>
    <x v="2"/>
    <x v="1"/>
  </r>
  <r>
    <d v="2012-12-15T00:00:00"/>
    <s v="018-2230-000"/>
    <s v="Wine Sales"/>
    <n v="164.29600000000002"/>
    <n v="0"/>
    <s v="Daily Sales Import"/>
    <n v="-164.29600000000002"/>
    <n v="164.29600000000002"/>
    <x v="2"/>
    <s v="2230"/>
    <s v="000"/>
    <x v="2"/>
    <x v="1"/>
  </r>
  <r>
    <d v="2012-12-16T00:00:00"/>
    <s v="018-2100-000"/>
    <s v="Food Sales"/>
    <n v="9731.82"/>
    <n v="0"/>
    <s v="Daily Sales Import"/>
    <n v="-9731.82"/>
    <n v="9731.82"/>
    <x v="2"/>
    <s v="2100"/>
    <s v="000"/>
    <x v="2"/>
    <x v="1"/>
  </r>
  <r>
    <d v="2012-12-16T00:00:00"/>
    <s v="018-2210-000"/>
    <s v="Liquor Sales"/>
    <n v="1078.1232"/>
    <n v="0"/>
    <s v="Daily Sales Import"/>
    <n v="-1078.1232"/>
    <n v="1078.1232"/>
    <x v="2"/>
    <s v="2210"/>
    <s v="000"/>
    <x v="2"/>
    <x v="1"/>
  </r>
  <r>
    <d v="2012-12-16T00:00:00"/>
    <s v="018-2220-000"/>
    <s v="Beer Sales"/>
    <n v="298.15769999999998"/>
    <n v="0"/>
    <s v="Daily Sales Import"/>
    <n v="-298.15769999999998"/>
    <n v="298.15769999999998"/>
    <x v="2"/>
    <s v="2220"/>
    <s v="000"/>
    <x v="2"/>
    <x v="1"/>
  </r>
  <r>
    <d v="2012-12-16T00:00:00"/>
    <s v="018-2230-000"/>
    <s v="Wine Sales"/>
    <n v="55.760000000000005"/>
    <n v="0"/>
    <s v="Daily Sales Import"/>
    <n v="-55.760000000000005"/>
    <n v="55.760000000000005"/>
    <x v="2"/>
    <s v="2230"/>
    <s v="000"/>
    <x v="2"/>
    <x v="1"/>
  </r>
  <r>
    <d v="2012-12-17T00:00:00"/>
    <s v="016-2100-000"/>
    <s v="Food Sales"/>
    <n v="3300.2553999999996"/>
    <n v="0"/>
    <s v="Daily Sales Import"/>
    <n v="-3300.2553999999996"/>
    <n v="3300.2553999999996"/>
    <x v="0"/>
    <s v="2100"/>
    <s v="000"/>
    <x v="2"/>
    <x v="1"/>
  </r>
  <r>
    <d v="2012-12-17T00:00:00"/>
    <s v="016-2210-000"/>
    <s v="Liquor Sales"/>
    <n v="443.52659999999997"/>
    <n v="0"/>
    <s v="Daily Sales Import"/>
    <n v="-443.52659999999997"/>
    <n v="443.52659999999997"/>
    <x v="0"/>
    <s v="2210"/>
    <s v="000"/>
    <x v="2"/>
    <x v="1"/>
  </r>
  <r>
    <d v="2012-12-17T00:00:00"/>
    <s v="016-2220-000"/>
    <s v="Beer Sales"/>
    <n v="88.6584"/>
    <n v="0"/>
    <s v="Daily Sales Import"/>
    <n v="-88.6584"/>
    <n v="88.6584"/>
    <x v="0"/>
    <s v="2220"/>
    <s v="000"/>
    <x v="2"/>
    <x v="1"/>
  </r>
  <r>
    <d v="2012-12-17T00:00:00"/>
    <s v="016-2230-000"/>
    <s v="Wine Sales"/>
    <n v="78.641999999999996"/>
    <n v="0"/>
    <s v="Daily Sales Import"/>
    <n v="-78.641999999999996"/>
    <n v="78.641999999999996"/>
    <x v="0"/>
    <s v="2230"/>
    <s v="000"/>
    <x v="2"/>
    <x v="1"/>
  </r>
  <r>
    <d v="2012-12-18T00:00:00"/>
    <s v="016-2100-000"/>
    <s v="Food Sales"/>
    <n v="6215.6142000000009"/>
    <n v="0"/>
    <s v="Daily Sales Import"/>
    <n v="-6215.6142000000009"/>
    <n v="6215.6142000000009"/>
    <x v="0"/>
    <s v="2100"/>
    <s v="000"/>
    <x v="2"/>
    <x v="1"/>
  </r>
  <r>
    <d v="2012-12-18T00:00:00"/>
    <s v="016-2210-000"/>
    <s v="Liquor Sales"/>
    <n v="2651.0564999999997"/>
    <n v="0"/>
    <s v="Daily Sales Import"/>
    <n v="-2651.0564999999997"/>
    <n v="2651.0564999999997"/>
    <x v="0"/>
    <s v="2210"/>
    <s v="000"/>
    <x v="2"/>
    <x v="1"/>
  </r>
  <r>
    <d v="2012-12-18T00:00:00"/>
    <s v="016-2220-000"/>
    <s v="Beer Sales"/>
    <n v="574.90960000000007"/>
    <n v="0"/>
    <s v="Daily Sales Import"/>
    <n v="-574.90960000000007"/>
    <n v="574.90960000000007"/>
    <x v="0"/>
    <s v="2220"/>
    <s v="000"/>
    <x v="2"/>
    <x v="1"/>
  </r>
  <r>
    <d v="2012-12-18T00:00:00"/>
    <s v="016-2230-000"/>
    <s v="Wine Sales"/>
    <n v="149.52520000000001"/>
    <n v="0"/>
    <s v="Daily Sales Import"/>
    <n v="-149.52520000000001"/>
    <n v="149.52520000000001"/>
    <x v="0"/>
    <s v="2230"/>
    <s v="000"/>
    <x v="2"/>
    <x v="1"/>
  </r>
  <r>
    <d v="2012-12-19T00:00:00"/>
    <s v="016-2100-000"/>
    <s v="Food Sales"/>
    <n v="4504.6782000000003"/>
    <n v="0"/>
    <s v="Daily Sales Import"/>
    <n v="-4504.6782000000003"/>
    <n v="4504.6782000000003"/>
    <x v="0"/>
    <s v="2100"/>
    <s v="000"/>
    <x v="2"/>
    <x v="1"/>
  </r>
  <r>
    <d v="2012-12-19T00:00:00"/>
    <s v="016-2210-000"/>
    <s v="Liquor Sales"/>
    <n v="1164.3571999999999"/>
    <n v="0"/>
    <s v="Daily Sales Import"/>
    <n v="-1164.3571999999999"/>
    <n v="1164.3571999999999"/>
    <x v="0"/>
    <s v="2210"/>
    <s v="000"/>
    <x v="2"/>
    <x v="1"/>
  </r>
  <r>
    <d v="2012-12-19T00:00:00"/>
    <s v="016-2220-000"/>
    <s v="Beer Sales"/>
    <n v="244.30700000000002"/>
    <n v="0"/>
    <s v="Daily Sales Import"/>
    <n v="-244.30700000000002"/>
    <n v="244.30700000000002"/>
    <x v="0"/>
    <s v="2220"/>
    <s v="000"/>
    <x v="2"/>
    <x v="1"/>
  </r>
  <r>
    <d v="2012-12-19T00:00:00"/>
    <s v="016-2230-000"/>
    <s v="Wine Sales"/>
    <n v="52.177799999999998"/>
    <n v="0"/>
    <s v="Daily Sales Import"/>
    <n v="-52.177799999999998"/>
    <n v="52.177799999999998"/>
    <x v="0"/>
    <s v="2230"/>
    <s v="000"/>
    <x v="2"/>
    <x v="1"/>
  </r>
  <r>
    <d v="2012-12-20T00:00:00"/>
    <s v="016-2100-000"/>
    <s v="Food Sales"/>
    <n v="6255.9900000000007"/>
    <n v="0"/>
    <s v="Daily Sales Import"/>
    <n v="-6255.9900000000007"/>
    <n v="6255.9900000000007"/>
    <x v="0"/>
    <s v="2100"/>
    <s v="000"/>
    <x v="2"/>
    <x v="1"/>
  </r>
  <r>
    <d v="2012-12-20T00:00:00"/>
    <s v="016-2210-000"/>
    <s v="Liquor Sales"/>
    <n v="1667.0694999999998"/>
    <n v="0"/>
    <s v="Daily Sales Import"/>
    <n v="-1667.0694999999998"/>
    <n v="1667.0694999999998"/>
    <x v="0"/>
    <s v="2210"/>
    <s v="000"/>
    <x v="2"/>
    <x v="1"/>
  </r>
  <r>
    <d v="2012-12-20T00:00:00"/>
    <s v="016-2220-000"/>
    <s v="Beer Sales"/>
    <n v="301.13159999999999"/>
    <n v="0"/>
    <s v="Daily Sales Import"/>
    <n v="-301.13159999999999"/>
    <n v="301.13159999999999"/>
    <x v="0"/>
    <s v="2220"/>
    <s v="000"/>
    <x v="2"/>
    <x v="1"/>
  </r>
  <r>
    <d v="2012-12-20T00:00:00"/>
    <s v="016-2230-000"/>
    <s v="Wine Sales"/>
    <n v="144.60570000000001"/>
    <n v="0"/>
    <s v="Daily Sales Import"/>
    <n v="-144.60570000000001"/>
    <n v="144.60570000000001"/>
    <x v="0"/>
    <s v="2230"/>
    <s v="000"/>
    <x v="2"/>
    <x v="1"/>
  </r>
  <r>
    <d v="2012-12-21T00:00:00"/>
    <s v="016-2100-000"/>
    <s v="Food Sales"/>
    <n v="5438.6283999999996"/>
    <n v="0"/>
    <s v="Daily Sales Import"/>
    <n v="-5438.6283999999996"/>
    <n v="5438.6283999999996"/>
    <x v="0"/>
    <s v="2100"/>
    <s v="000"/>
    <x v="2"/>
    <x v="1"/>
  </r>
  <r>
    <d v="2012-12-21T00:00:00"/>
    <s v="016-2210-000"/>
    <s v="Liquor Sales"/>
    <n v="1724.0960000000002"/>
    <n v="0"/>
    <s v="Daily Sales Import"/>
    <n v="-1724.0960000000002"/>
    <n v="1724.0960000000002"/>
    <x v="0"/>
    <s v="2210"/>
    <s v="000"/>
    <x v="2"/>
    <x v="1"/>
  </r>
  <r>
    <d v="2012-12-21T00:00:00"/>
    <s v="016-2220-000"/>
    <s v="Beer Sales"/>
    <n v="294.23599999999999"/>
    <n v="0"/>
    <s v="Daily Sales Import"/>
    <n v="-294.23599999999999"/>
    <n v="294.23599999999999"/>
    <x v="0"/>
    <s v="2220"/>
    <s v="000"/>
    <x v="2"/>
    <x v="1"/>
  </r>
  <r>
    <d v="2012-12-21T00:00:00"/>
    <s v="016-2230-000"/>
    <s v="Wine Sales"/>
    <n v="201.38030000000001"/>
    <n v="0"/>
    <s v="Daily Sales Import"/>
    <n v="-201.38030000000001"/>
    <n v="201.38030000000001"/>
    <x v="0"/>
    <s v="2230"/>
    <s v="000"/>
    <x v="2"/>
    <x v="1"/>
  </r>
  <r>
    <d v="2012-12-22T00:00:00"/>
    <s v="016-2100-000"/>
    <s v="Food Sales"/>
    <n v="9015.8160000000007"/>
    <n v="0"/>
    <s v="Daily Sales Import"/>
    <n v="-9015.8160000000007"/>
    <n v="9015.8160000000007"/>
    <x v="0"/>
    <s v="2100"/>
    <s v="000"/>
    <x v="2"/>
    <x v="1"/>
  </r>
  <r>
    <d v="2012-12-22T00:00:00"/>
    <s v="016-2210-000"/>
    <s v="Liquor Sales"/>
    <n v="3306.9594999999999"/>
    <n v="0"/>
    <s v="Daily Sales Import"/>
    <n v="-3306.9594999999999"/>
    <n v="3306.9594999999999"/>
    <x v="0"/>
    <s v="2210"/>
    <s v="000"/>
    <x v="2"/>
    <x v="1"/>
  </r>
  <r>
    <d v="2012-12-22T00:00:00"/>
    <s v="016-2220-000"/>
    <s v="Beer Sales"/>
    <n v="564.78250000000003"/>
    <n v="0"/>
    <s v="Daily Sales Import"/>
    <n v="-564.78250000000003"/>
    <n v="564.78250000000003"/>
    <x v="0"/>
    <s v="2220"/>
    <s v="000"/>
    <x v="2"/>
    <x v="1"/>
  </r>
  <r>
    <d v="2012-12-22T00:00:00"/>
    <s v="016-2230-000"/>
    <s v="Wine Sales"/>
    <n v="204.44000000000003"/>
    <n v="0"/>
    <s v="Daily Sales Import"/>
    <n v="-204.44000000000003"/>
    <n v="204.44000000000003"/>
    <x v="0"/>
    <s v="2230"/>
    <s v="000"/>
    <x v="2"/>
    <x v="1"/>
  </r>
  <r>
    <d v="2012-12-23T00:00:00"/>
    <s v="016-2100-000"/>
    <s v="Food Sales"/>
    <n v="6337.0338000000002"/>
    <n v="0"/>
    <s v="Daily Sales Import"/>
    <n v="-6337.0338000000002"/>
    <n v="6337.0338000000002"/>
    <x v="0"/>
    <s v="2100"/>
    <s v="000"/>
    <x v="2"/>
    <x v="1"/>
  </r>
  <r>
    <d v="2012-12-23T00:00:00"/>
    <s v="016-2210-000"/>
    <s v="Liquor Sales"/>
    <n v="1268.2530000000002"/>
    <n v="0"/>
    <s v="Daily Sales Import"/>
    <n v="-1268.2530000000002"/>
    <n v="1268.2530000000002"/>
    <x v="0"/>
    <s v="2210"/>
    <s v="000"/>
    <x v="2"/>
    <x v="1"/>
  </r>
  <r>
    <d v="2012-12-23T00:00:00"/>
    <s v="016-2220-000"/>
    <s v="Beer Sales"/>
    <n v="343.58850000000001"/>
    <n v="0"/>
    <s v="Daily Sales Import"/>
    <n v="-343.58850000000001"/>
    <n v="343.58850000000001"/>
    <x v="0"/>
    <s v="2220"/>
    <s v="000"/>
    <x v="2"/>
    <x v="1"/>
  </r>
  <r>
    <d v="2012-12-23T00:00:00"/>
    <s v="016-2230-000"/>
    <s v="Wine Sales"/>
    <n v="183.71959999999999"/>
    <n v="0"/>
    <s v="Daily Sales Import"/>
    <n v="-183.71959999999999"/>
    <n v="183.71959999999999"/>
    <x v="0"/>
    <s v="2230"/>
    <s v="000"/>
    <x v="2"/>
    <x v="1"/>
  </r>
  <r>
    <d v="2012-12-17T00:00:00"/>
    <s v="017-2100-000"/>
    <s v="Food Sales"/>
    <n v="4731"/>
    <n v="0"/>
    <s v="Daily Sales Import"/>
    <n v="-4731"/>
    <n v="4731"/>
    <x v="1"/>
    <s v="2100"/>
    <s v="000"/>
    <x v="2"/>
    <x v="1"/>
  </r>
  <r>
    <d v="2012-12-17T00:00:00"/>
    <s v="017-2210-000"/>
    <s v="Liquor Sales"/>
    <n v="1379.0105000000001"/>
    <n v="0"/>
    <s v="Daily Sales Import"/>
    <n v="-1379.0105000000001"/>
    <n v="1379.0105000000001"/>
    <x v="1"/>
    <s v="2210"/>
    <s v="000"/>
    <x v="2"/>
    <x v="1"/>
  </r>
  <r>
    <d v="2012-12-17T00:00:00"/>
    <s v="017-2220-000"/>
    <s v="Beer Sales"/>
    <n v="478.45069999999998"/>
    <n v="0"/>
    <s v="Daily Sales Import"/>
    <n v="-478.45069999999998"/>
    <n v="478.45069999999998"/>
    <x v="1"/>
    <s v="2220"/>
    <s v="000"/>
    <x v="2"/>
    <x v="1"/>
  </r>
  <r>
    <d v="2012-12-17T00:00:00"/>
    <s v="017-2230-000"/>
    <s v="Wine Sales"/>
    <n v="143.547"/>
    <n v="0"/>
    <s v="Daily Sales Import"/>
    <n v="-143.547"/>
    <n v="143.547"/>
    <x v="1"/>
    <s v="2230"/>
    <s v="000"/>
    <x v="2"/>
    <x v="1"/>
  </r>
  <r>
    <d v="2012-12-18T00:00:00"/>
    <s v="017-2100-000"/>
    <s v="Food Sales"/>
    <n v="4683.0671999999995"/>
    <n v="0"/>
    <s v="Daily Sales Import"/>
    <n v="-4683.0671999999995"/>
    <n v="4683.0671999999995"/>
    <x v="1"/>
    <s v="2100"/>
    <s v="000"/>
    <x v="2"/>
    <x v="1"/>
  </r>
  <r>
    <d v="2012-12-18T00:00:00"/>
    <s v="017-2210-000"/>
    <s v="Liquor Sales"/>
    <n v="1305.9174"/>
    <n v="0"/>
    <s v="Daily Sales Import"/>
    <n v="-1305.9174"/>
    <n v="1305.9174"/>
    <x v="1"/>
    <s v="2210"/>
    <s v="000"/>
    <x v="2"/>
    <x v="1"/>
  </r>
  <r>
    <d v="2012-12-18T00:00:00"/>
    <s v="017-2220-000"/>
    <s v="Beer Sales"/>
    <n v="438.34399999999999"/>
    <n v="0"/>
    <s v="Daily Sales Import"/>
    <n v="-438.34399999999999"/>
    <n v="438.34399999999999"/>
    <x v="1"/>
    <s v="2220"/>
    <s v="000"/>
    <x v="2"/>
    <x v="1"/>
  </r>
  <r>
    <d v="2012-12-18T00:00:00"/>
    <s v="017-2230-000"/>
    <s v="Wine Sales"/>
    <n v="193.02799999999999"/>
    <n v="0"/>
    <s v="Daily Sales Import"/>
    <n v="-193.02799999999999"/>
    <n v="193.02799999999999"/>
    <x v="1"/>
    <s v="2230"/>
    <s v="000"/>
    <x v="2"/>
    <x v="1"/>
  </r>
  <r>
    <d v="2012-12-19T00:00:00"/>
    <s v="017-2100-000"/>
    <s v="Food Sales"/>
    <n v="8343.5334999999995"/>
    <n v="0"/>
    <s v="Daily Sales Import"/>
    <n v="-8343.5334999999995"/>
    <n v="8343.5334999999995"/>
    <x v="1"/>
    <s v="2100"/>
    <s v="000"/>
    <x v="2"/>
    <x v="1"/>
  </r>
  <r>
    <d v="2012-12-19T00:00:00"/>
    <s v="017-2210-000"/>
    <s v="Liquor Sales"/>
    <n v="2216.0733"/>
    <n v="0"/>
    <s v="Daily Sales Import"/>
    <n v="-2216.0733"/>
    <n v="2216.0733"/>
    <x v="1"/>
    <s v="2210"/>
    <s v="000"/>
    <x v="2"/>
    <x v="1"/>
  </r>
  <r>
    <d v="2012-12-19T00:00:00"/>
    <s v="017-2220-000"/>
    <s v="Beer Sales"/>
    <n v="385.72169999999994"/>
    <n v="0"/>
    <s v="Daily Sales Import"/>
    <n v="-385.72169999999994"/>
    <n v="385.72169999999994"/>
    <x v="1"/>
    <s v="2220"/>
    <s v="000"/>
    <x v="2"/>
    <x v="1"/>
  </r>
  <r>
    <d v="2012-12-19T00:00:00"/>
    <s v="017-2230-000"/>
    <s v="Wine Sales"/>
    <n v="154.63309999999998"/>
    <n v="0"/>
    <s v="Daily Sales Import"/>
    <n v="-154.63309999999998"/>
    <n v="154.63309999999998"/>
    <x v="1"/>
    <s v="2230"/>
    <s v="000"/>
    <x v="2"/>
    <x v="1"/>
  </r>
  <r>
    <d v="2012-12-20T00:00:00"/>
    <s v="017-2100-000"/>
    <s v="Food Sales"/>
    <n v="7101.5712000000012"/>
    <n v="0"/>
    <s v="Daily Sales Import"/>
    <n v="-7101.5712000000012"/>
    <n v="7101.5712000000012"/>
    <x v="1"/>
    <s v="2100"/>
    <s v="000"/>
    <x v="2"/>
    <x v="1"/>
  </r>
  <r>
    <d v="2012-12-20T00:00:00"/>
    <s v="017-2210-000"/>
    <s v="Liquor Sales"/>
    <n v="2082.1159000000002"/>
    <n v="0"/>
    <s v="Daily Sales Import"/>
    <n v="-2082.1159000000002"/>
    <n v="2082.1159000000002"/>
    <x v="1"/>
    <s v="2210"/>
    <s v="000"/>
    <x v="2"/>
    <x v="1"/>
  </r>
  <r>
    <d v="2012-12-20T00:00:00"/>
    <s v="017-2220-000"/>
    <s v="Beer Sales"/>
    <n v="289.74400000000003"/>
    <n v="0"/>
    <s v="Daily Sales Import"/>
    <n v="-289.74400000000003"/>
    <n v="289.74400000000003"/>
    <x v="1"/>
    <s v="2220"/>
    <s v="000"/>
    <x v="2"/>
    <x v="1"/>
  </r>
  <r>
    <d v="2012-12-20T00:00:00"/>
    <s v="017-2230-000"/>
    <s v="Wine Sales"/>
    <n v="224.4348"/>
    <n v="0"/>
    <s v="Daily Sales Import"/>
    <n v="-224.4348"/>
    <n v="224.4348"/>
    <x v="1"/>
    <s v="2230"/>
    <s v="000"/>
    <x v="2"/>
    <x v="1"/>
  </r>
  <r>
    <d v="2012-12-21T00:00:00"/>
    <s v="017-2100-000"/>
    <s v="Food Sales"/>
    <n v="8493.0095999999994"/>
    <n v="0"/>
    <s v="Daily Sales Import"/>
    <n v="-8493.0095999999994"/>
    <n v="8493.0095999999994"/>
    <x v="1"/>
    <s v="2100"/>
    <s v="000"/>
    <x v="2"/>
    <x v="1"/>
  </r>
  <r>
    <d v="2012-12-21T00:00:00"/>
    <s v="017-2210-000"/>
    <s v="Liquor Sales"/>
    <n v="1433.0804000000001"/>
    <n v="0"/>
    <s v="Daily Sales Import"/>
    <n v="-1433.0804000000001"/>
    <n v="1433.0804000000001"/>
    <x v="1"/>
    <s v="2210"/>
    <s v="000"/>
    <x v="2"/>
    <x v="1"/>
  </r>
  <r>
    <d v="2012-12-21T00:00:00"/>
    <s v="017-2220-000"/>
    <s v="Beer Sales"/>
    <n v="367.91599999999994"/>
    <n v="0"/>
    <s v="Daily Sales Import"/>
    <n v="-367.91599999999994"/>
    <n v="367.91599999999994"/>
    <x v="1"/>
    <s v="2220"/>
    <s v="000"/>
    <x v="2"/>
    <x v="1"/>
  </r>
  <r>
    <d v="2012-12-21T00:00:00"/>
    <s v="017-2230-000"/>
    <s v="Wine Sales"/>
    <n v="146.70599999999999"/>
    <n v="0"/>
    <s v="Daily Sales Import"/>
    <n v="-146.70599999999999"/>
    <n v="146.70599999999999"/>
    <x v="1"/>
    <s v="2230"/>
    <s v="000"/>
    <x v="2"/>
    <x v="1"/>
  </r>
  <r>
    <d v="2012-12-22T00:00:00"/>
    <s v="017-2100-000"/>
    <s v="Food Sales"/>
    <n v="6998.9552000000003"/>
    <n v="0"/>
    <s v="Daily Sales Import"/>
    <n v="-6998.9552000000003"/>
    <n v="6998.9552000000003"/>
    <x v="1"/>
    <s v="2100"/>
    <s v="000"/>
    <x v="2"/>
    <x v="1"/>
  </r>
  <r>
    <d v="2012-12-22T00:00:00"/>
    <s v="017-2210-000"/>
    <s v="Liquor Sales"/>
    <n v="1414.5935999999999"/>
    <n v="0"/>
    <s v="Daily Sales Import"/>
    <n v="-1414.5935999999999"/>
    <n v="1414.5935999999999"/>
    <x v="1"/>
    <s v="2210"/>
    <s v="000"/>
    <x v="2"/>
    <x v="1"/>
  </r>
  <r>
    <d v="2012-12-22T00:00:00"/>
    <s v="017-2220-000"/>
    <s v="Beer Sales"/>
    <n v="271.4853"/>
    <n v="0"/>
    <s v="Daily Sales Import"/>
    <n v="-271.4853"/>
    <n v="271.4853"/>
    <x v="1"/>
    <s v="2220"/>
    <s v="000"/>
    <x v="2"/>
    <x v="1"/>
  </r>
  <r>
    <d v="2012-12-22T00:00:00"/>
    <s v="017-2230-000"/>
    <s v="Wine Sales"/>
    <n v="26.096500000000002"/>
    <n v="0"/>
    <s v="Daily Sales Import"/>
    <n v="-26.096500000000002"/>
    <n v="26.096500000000002"/>
    <x v="1"/>
    <s v="2230"/>
    <s v="000"/>
    <x v="2"/>
    <x v="1"/>
  </r>
  <r>
    <d v="2012-12-23T00:00:00"/>
    <s v="017-2100-000"/>
    <s v="Food Sales"/>
    <n v="5487.238800000001"/>
    <n v="0"/>
    <s v="Daily Sales Import"/>
    <n v="-5487.238800000001"/>
    <n v="5487.238800000001"/>
    <x v="1"/>
    <s v="2100"/>
    <s v="000"/>
    <x v="2"/>
    <x v="1"/>
  </r>
  <r>
    <d v="2012-12-23T00:00:00"/>
    <s v="017-2210-000"/>
    <s v="Liquor Sales"/>
    <n v="771.52680000000009"/>
    <n v="0"/>
    <s v="Daily Sales Import"/>
    <n v="-771.52680000000009"/>
    <n v="771.52680000000009"/>
    <x v="1"/>
    <s v="2210"/>
    <s v="000"/>
    <x v="2"/>
    <x v="1"/>
  </r>
  <r>
    <d v="2012-12-23T00:00:00"/>
    <s v="017-2220-000"/>
    <s v="Beer Sales"/>
    <n v="140.59109999999998"/>
    <n v="0"/>
    <s v="Daily Sales Import"/>
    <n v="-140.59109999999998"/>
    <n v="140.59109999999998"/>
    <x v="1"/>
    <s v="2220"/>
    <s v="000"/>
    <x v="2"/>
    <x v="1"/>
  </r>
  <r>
    <d v="2012-12-23T00:00:00"/>
    <s v="017-2230-000"/>
    <s v="Wine Sales"/>
    <n v="139.13199999999998"/>
    <n v="0"/>
    <s v="Daily Sales Import"/>
    <n v="-139.13199999999998"/>
    <n v="139.13199999999998"/>
    <x v="1"/>
    <s v="2230"/>
    <s v="000"/>
    <x v="2"/>
    <x v="1"/>
  </r>
  <r>
    <d v="2012-12-17T00:00:00"/>
    <s v="018-2100-000"/>
    <s v="Food Sales"/>
    <n v="3850.2042999999999"/>
    <n v="0"/>
    <s v="Daily Sales Import"/>
    <n v="-3850.2042999999999"/>
    <n v="3850.2042999999999"/>
    <x v="2"/>
    <s v="2100"/>
    <s v="000"/>
    <x v="2"/>
    <x v="1"/>
  </r>
  <r>
    <d v="2012-12-17T00:00:00"/>
    <s v="018-2210-000"/>
    <s v="Liquor Sales"/>
    <n v="801.84999999999991"/>
    <n v="0"/>
    <s v="Daily Sales Import"/>
    <n v="-801.84999999999991"/>
    <n v="801.84999999999991"/>
    <x v="2"/>
    <s v="2210"/>
    <s v="000"/>
    <x v="2"/>
    <x v="1"/>
  </r>
  <r>
    <d v="2012-12-17T00:00:00"/>
    <s v="018-2220-000"/>
    <s v="Beer Sales"/>
    <n v="256.25680000000006"/>
    <n v="0"/>
    <s v="Daily Sales Import"/>
    <n v="-256.25680000000006"/>
    <n v="256.25680000000006"/>
    <x v="2"/>
    <s v="2220"/>
    <s v="000"/>
    <x v="2"/>
    <x v="1"/>
  </r>
  <r>
    <d v="2012-12-17T00:00:00"/>
    <s v="018-2230-000"/>
    <s v="Wine Sales"/>
    <n v="31.499499999999998"/>
    <n v="0"/>
    <s v="Daily Sales Import"/>
    <n v="-31.499499999999998"/>
    <n v="31.499499999999998"/>
    <x v="2"/>
    <s v="2230"/>
    <s v="000"/>
    <x v="2"/>
    <x v="1"/>
  </r>
  <r>
    <d v="2012-12-18T00:00:00"/>
    <s v="018-2100-000"/>
    <s v="Food Sales"/>
    <n v="6452.3114999999998"/>
    <n v="0"/>
    <s v="Daily Sales Import"/>
    <n v="-6452.3114999999998"/>
    <n v="6452.3114999999998"/>
    <x v="2"/>
    <s v="2100"/>
    <s v="000"/>
    <x v="2"/>
    <x v="1"/>
  </r>
  <r>
    <d v="2012-12-18T00:00:00"/>
    <s v="018-2210-000"/>
    <s v="Liquor Sales"/>
    <n v="900.08380000000011"/>
    <n v="0"/>
    <s v="Daily Sales Import"/>
    <n v="-900.08380000000011"/>
    <n v="900.08380000000011"/>
    <x v="2"/>
    <s v="2210"/>
    <s v="000"/>
    <x v="2"/>
    <x v="1"/>
  </r>
  <r>
    <d v="2012-12-18T00:00:00"/>
    <s v="018-2220-000"/>
    <s v="Beer Sales"/>
    <n v="246.40699999999998"/>
    <n v="0"/>
    <s v="Daily Sales Import"/>
    <n v="-246.40699999999998"/>
    <n v="246.40699999999998"/>
    <x v="2"/>
    <s v="2220"/>
    <s v="000"/>
    <x v="2"/>
    <x v="1"/>
  </r>
  <r>
    <d v="2012-12-18T00:00:00"/>
    <s v="018-2230-000"/>
    <s v="Wine Sales"/>
    <n v="85.760099999999994"/>
    <n v="0"/>
    <s v="Daily Sales Import"/>
    <n v="-85.760099999999994"/>
    <n v="85.760099999999994"/>
    <x v="2"/>
    <s v="2230"/>
    <s v="000"/>
    <x v="2"/>
    <x v="1"/>
  </r>
  <r>
    <d v="2012-12-19T00:00:00"/>
    <s v="018-2100-000"/>
    <s v="Food Sales"/>
    <n v="5610.2336000000005"/>
    <n v="0"/>
    <s v="Daily Sales Import"/>
    <n v="-5610.2336000000005"/>
    <n v="5610.2336000000005"/>
    <x v="2"/>
    <s v="2100"/>
    <s v="000"/>
    <x v="2"/>
    <x v="1"/>
  </r>
  <r>
    <d v="2012-12-19T00:00:00"/>
    <s v="018-2210-000"/>
    <s v="Liquor Sales"/>
    <n v="518.57799999999997"/>
    <n v="0"/>
    <s v="Daily Sales Import"/>
    <n v="-518.57799999999997"/>
    <n v="518.57799999999997"/>
    <x v="2"/>
    <s v="2210"/>
    <s v="000"/>
    <x v="2"/>
    <x v="1"/>
  </r>
  <r>
    <d v="2012-12-19T00:00:00"/>
    <s v="018-2220-000"/>
    <s v="Beer Sales"/>
    <n v="238.04820000000001"/>
    <n v="0"/>
    <s v="Daily Sales Import"/>
    <n v="-238.04820000000001"/>
    <n v="238.04820000000001"/>
    <x v="2"/>
    <s v="2220"/>
    <s v="000"/>
    <x v="2"/>
    <x v="1"/>
  </r>
  <r>
    <d v="2012-12-19T00:00:00"/>
    <s v="018-2230-000"/>
    <s v="Wine Sales"/>
    <n v="21.0366"/>
    <n v="0"/>
    <s v="Daily Sales Import"/>
    <n v="-21.0366"/>
    <n v="21.0366"/>
    <x v="2"/>
    <s v="2230"/>
    <s v="000"/>
    <x v="2"/>
    <x v="1"/>
  </r>
  <r>
    <d v="2012-12-20T00:00:00"/>
    <s v="018-2100-000"/>
    <s v="Food Sales"/>
    <n v="5379.616"/>
    <n v="0"/>
    <s v="Daily Sales Import"/>
    <n v="-5379.616"/>
    <n v="5379.616"/>
    <x v="2"/>
    <s v="2100"/>
    <s v="000"/>
    <x v="2"/>
    <x v="1"/>
  </r>
  <r>
    <d v="2012-12-20T00:00:00"/>
    <s v="018-2210-000"/>
    <s v="Liquor Sales"/>
    <n v="1003.9640000000001"/>
    <n v="0"/>
    <s v="Daily Sales Import"/>
    <n v="-1003.9640000000001"/>
    <n v="1003.9640000000001"/>
    <x v="2"/>
    <s v="2210"/>
    <s v="000"/>
    <x v="2"/>
    <x v="1"/>
  </r>
  <r>
    <d v="2012-12-20T00:00:00"/>
    <s v="018-2220-000"/>
    <s v="Beer Sales"/>
    <n v="365.87130000000002"/>
    <n v="0"/>
    <s v="Daily Sales Import"/>
    <n v="-365.87130000000002"/>
    <n v="365.87130000000002"/>
    <x v="2"/>
    <s v="2220"/>
    <s v="000"/>
    <x v="2"/>
    <x v="1"/>
  </r>
  <r>
    <d v="2012-12-20T00:00:00"/>
    <s v="018-2230-000"/>
    <s v="Wine Sales"/>
    <n v="101.73360000000001"/>
    <n v="0"/>
    <s v="Daily Sales Import"/>
    <n v="-101.73360000000001"/>
    <n v="101.73360000000001"/>
    <x v="2"/>
    <s v="2230"/>
    <s v="000"/>
    <x v="2"/>
    <x v="1"/>
  </r>
  <r>
    <d v="2012-12-21T00:00:00"/>
    <s v="018-2100-000"/>
    <s v="Food Sales"/>
    <n v="8491.1749999999993"/>
    <n v="0"/>
    <s v="Daily Sales Import"/>
    <n v="-8491.1749999999993"/>
    <n v="8491.1749999999993"/>
    <x v="2"/>
    <s v="2100"/>
    <s v="000"/>
    <x v="2"/>
    <x v="1"/>
  </r>
  <r>
    <d v="2012-12-21T00:00:00"/>
    <s v="018-2210-000"/>
    <s v="Liquor Sales"/>
    <n v="1523.7145"/>
    <n v="0"/>
    <s v="Daily Sales Import"/>
    <n v="-1523.7145"/>
    <n v="1523.7145"/>
    <x v="2"/>
    <s v="2210"/>
    <s v="000"/>
    <x v="2"/>
    <x v="1"/>
  </r>
  <r>
    <d v="2012-12-21T00:00:00"/>
    <s v="018-2220-000"/>
    <s v="Beer Sales"/>
    <n v="450.92809999999997"/>
    <n v="0"/>
    <s v="Daily Sales Import"/>
    <n v="-450.92809999999997"/>
    <n v="450.92809999999997"/>
    <x v="2"/>
    <s v="2220"/>
    <s v="000"/>
    <x v="2"/>
    <x v="1"/>
  </r>
  <r>
    <d v="2012-12-21T00:00:00"/>
    <s v="018-2230-000"/>
    <s v="Wine Sales"/>
    <n v="89.4"/>
    <n v="0"/>
    <s v="Daily Sales Import"/>
    <n v="-89.4"/>
    <n v="89.4"/>
    <x v="2"/>
    <s v="2230"/>
    <s v="000"/>
    <x v="2"/>
    <x v="1"/>
  </r>
  <r>
    <d v="2012-12-22T00:00:00"/>
    <s v="018-2100-000"/>
    <s v="Food Sales"/>
    <n v="9382.9736000000012"/>
    <n v="0"/>
    <s v="Daily Sales Import"/>
    <n v="-9382.9736000000012"/>
    <n v="9382.9736000000012"/>
    <x v="2"/>
    <s v="2100"/>
    <s v="000"/>
    <x v="2"/>
    <x v="1"/>
  </r>
  <r>
    <d v="2012-12-22T00:00:00"/>
    <s v="018-2210-000"/>
    <s v="Liquor Sales"/>
    <n v="2614.9554000000003"/>
    <n v="0"/>
    <s v="Daily Sales Import"/>
    <n v="-2614.9554000000003"/>
    <n v="2614.9554000000003"/>
    <x v="2"/>
    <s v="2210"/>
    <s v="000"/>
    <x v="2"/>
    <x v="1"/>
  </r>
  <r>
    <d v="2012-12-22T00:00:00"/>
    <s v="018-2220-000"/>
    <s v="Beer Sales"/>
    <n v="546.93399999999997"/>
    <n v="0"/>
    <s v="Daily Sales Import"/>
    <n v="-546.93399999999997"/>
    <n v="546.93399999999997"/>
    <x v="2"/>
    <s v="2220"/>
    <s v="000"/>
    <x v="2"/>
    <x v="1"/>
  </r>
  <r>
    <d v="2012-12-22T00:00:00"/>
    <s v="018-2230-000"/>
    <s v="Wine Sales"/>
    <n v="99.528199999999998"/>
    <n v="0"/>
    <s v="Daily Sales Import"/>
    <n v="-99.528199999999998"/>
    <n v="99.528199999999998"/>
    <x v="2"/>
    <s v="2230"/>
    <s v="000"/>
    <x v="2"/>
    <x v="1"/>
  </r>
  <r>
    <d v="2012-12-23T00:00:00"/>
    <s v="018-2100-000"/>
    <s v="Food Sales"/>
    <n v="8159.8041000000003"/>
    <n v="0"/>
    <s v="Daily Sales Import"/>
    <n v="-8159.8041000000003"/>
    <n v="8159.8041000000003"/>
    <x v="2"/>
    <s v="2100"/>
    <s v="000"/>
    <x v="2"/>
    <x v="1"/>
  </r>
  <r>
    <d v="2012-12-23T00:00:00"/>
    <s v="018-2210-000"/>
    <s v="Liquor Sales"/>
    <n v="1648.4915999999998"/>
    <n v="0"/>
    <s v="Daily Sales Import"/>
    <n v="-1648.4915999999998"/>
    <n v="1648.4915999999998"/>
    <x v="2"/>
    <s v="2210"/>
    <s v="000"/>
    <x v="2"/>
    <x v="1"/>
  </r>
  <r>
    <d v="2012-12-23T00:00:00"/>
    <s v="018-2220-000"/>
    <s v="Beer Sales"/>
    <n v="357.90440000000007"/>
    <n v="0"/>
    <s v="Daily Sales Import"/>
    <n v="-357.90440000000007"/>
    <n v="357.90440000000007"/>
    <x v="2"/>
    <s v="2220"/>
    <s v="000"/>
    <x v="2"/>
    <x v="1"/>
  </r>
  <r>
    <d v="2012-12-23T00:00:00"/>
    <s v="018-2230-000"/>
    <s v="Wine Sales"/>
    <n v="195.5044"/>
    <n v="0"/>
    <s v="Daily Sales Import"/>
    <n v="-195.5044"/>
    <n v="195.5044"/>
    <x v="2"/>
    <s v="2230"/>
    <s v="000"/>
    <x v="2"/>
    <x v="1"/>
  </r>
  <r>
    <d v="2012-12-24T00:00:00"/>
    <s v="016-2100-000"/>
    <s v="Food Sales"/>
    <n v="6329.84"/>
    <n v="0"/>
    <s v="Daily Sales Import"/>
    <n v="-6329.84"/>
    <n v="6329.84"/>
    <x v="0"/>
    <s v="2100"/>
    <s v="000"/>
    <x v="2"/>
    <x v="1"/>
  </r>
  <r>
    <d v="2012-12-24T00:00:00"/>
    <s v="016-2210-000"/>
    <s v="Liquor Sales"/>
    <n v="1097.7339999999999"/>
    <n v="0"/>
    <s v="Daily Sales Import"/>
    <n v="-1097.7339999999999"/>
    <n v="1097.7339999999999"/>
    <x v="0"/>
    <s v="2210"/>
    <s v="000"/>
    <x v="2"/>
    <x v="1"/>
  </r>
  <r>
    <d v="2012-12-24T00:00:00"/>
    <s v="016-2220-000"/>
    <s v="Beer Sales"/>
    <n v="220.197"/>
    <n v="0"/>
    <s v="Daily Sales Import"/>
    <n v="-220.197"/>
    <n v="220.197"/>
    <x v="0"/>
    <s v="2220"/>
    <s v="000"/>
    <x v="2"/>
    <x v="1"/>
  </r>
  <r>
    <d v="2012-12-24T00:00:00"/>
    <s v="016-2230-000"/>
    <s v="Wine Sales"/>
    <n v="119.64299999999999"/>
    <n v="0"/>
    <s v="Daily Sales Import"/>
    <n v="-119.64299999999999"/>
    <n v="119.64299999999999"/>
    <x v="0"/>
    <s v="2230"/>
    <s v="000"/>
    <x v="2"/>
    <x v="1"/>
  </r>
  <r>
    <d v="2012-12-26T00:00:00"/>
    <s v="016-2100-000"/>
    <s v="Food Sales"/>
    <n v="5644.2824999999993"/>
    <n v="0"/>
    <s v="Daily Sales Import"/>
    <n v="-5644.2824999999993"/>
    <n v="5644.2824999999993"/>
    <x v="0"/>
    <s v="2100"/>
    <s v="000"/>
    <x v="2"/>
    <x v="1"/>
  </r>
  <r>
    <d v="2012-12-26T00:00:00"/>
    <s v="016-2210-000"/>
    <s v="Liquor Sales"/>
    <n v="1475.6102999999998"/>
    <n v="0"/>
    <s v="Daily Sales Import"/>
    <n v="-1475.6102999999998"/>
    <n v="1475.6102999999998"/>
    <x v="0"/>
    <s v="2210"/>
    <s v="000"/>
    <x v="2"/>
    <x v="1"/>
  </r>
  <r>
    <d v="2012-12-26T00:00:00"/>
    <s v="016-2220-000"/>
    <s v="Beer Sales"/>
    <n v="324.14760000000001"/>
    <n v="0"/>
    <s v="Daily Sales Import"/>
    <n v="-324.14760000000001"/>
    <n v="324.14760000000001"/>
    <x v="0"/>
    <s v="2220"/>
    <s v="000"/>
    <x v="2"/>
    <x v="1"/>
  </r>
  <r>
    <d v="2012-12-26T00:00:00"/>
    <s v="016-2230-000"/>
    <s v="Wine Sales"/>
    <n v="268.9896"/>
    <n v="0"/>
    <s v="Daily Sales Import"/>
    <n v="-268.9896"/>
    <n v="268.9896"/>
    <x v="0"/>
    <s v="2230"/>
    <s v="000"/>
    <x v="2"/>
    <x v="1"/>
  </r>
  <r>
    <d v="2012-12-27T00:00:00"/>
    <s v="016-2100-000"/>
    <s v="Food Sales"/>
    <n v="8902.7245999999996"/>
    <n v="0"/>
    <s v="Daily Sales Import"/>
    <n v="-8902.7245999999996"/>
    <n v="8902.7245999999996"/>
    <x v="0"/>
    <s v="2100"/>
    <s v="000"/>
    <x v="2"/>
    <x v="1"/>
  </r>
  <r>
    <d v="2012-12-27T00:00:00"/>
    <s v="016-2210-000"/>
    <s v="Liquor Sales"/>
    <n v="2083.8145999999997"/>
    <n v="0"/>
    <s v="Daily Sales Import"/>
    <n v="-2083.8145999999997"/>
    <n v="2083.8145999999997"/>
    <x v="0"/>
    <s v="2210"/>
    <s v="000"/>
    <x v="2"/>
    <x v="1"/>
  </r>
  <r>
    <d v="2012-12-27T00:00:00"/>
    <s v="016-2220-000"/>
    <s v="Beer Sales"/>
    <n v="257.36069999999995"/>
    <n v="0"/>
    <s v="Daily Sales Import"/>
    <n v="-257.36069999999995"/>
    <n v="257.36069999999995"/>
    <x v="0"/>
    <s v="2220"/>
    <s v="000"/>
    <x v="2"/>
    <x v="1"/>
  </r>
  <r>
    <d v="2012-12-27T00:00:00"/>
    <s v="016-2230-000"/>
    <s v="Wine Sales"/>
    <n v="162.87039999999999"/>
    <n v="0"/>
    <s v="Daily Sales Import"/>
    <n v="-162.87039999999999"/>
    <n v="162.87039999999999"/>
    <x v="0"/>
    <s v="2230"/>
    <s v="000"/>
    <x v="2"/>
    <x v="1"/>
  </r>
  <r>
    <d v="2012-12-28T00:00:00"/>
    <s v="016-2100-000"/>
    <s v="Food Sales"/>
    <n v="11028.7996"/>
    <n v="0"/>
    <s v="Daily Sales Import"/>
    <n v="-11028.7996"/>
    <n v="11028.7996"/>
    <x v="0"/>
    <s v="2100"/>
    <s v="000"/>
    <x v="2"/>
    <x v="1"/>
  </r>
  <r>
    <d v="2012-12-28T00:00:00"/>
    <s v="016-2210-000"/>
    <s v="Liquor Sales"/>
    <n v="3239.9025000000001"/>
    <n v="0"/>
    <s v="Daily Sales Import"/>
    <n v="-3239.9025000000001"/>
    <n v="3239.9025000000001"/>
    <x v="0"/>
    <s v="2210"/>
    <s v="000"/>
    <x v="2"/>
    <x v="1"/>
  </r>
  <r>
    <d v="2012-12-28T00:00:00"/>
    <s v="016-2220-000"/>
    <s v="Beer Sales"/>
    <n v="601.48500000000001"/>
    <n v="0"/>
    <s v="Daily Sales Import"/>
    <n v="-601.48500000000001"/>
    <n v="601.48500000000001"/>
    <x v="0"/>
    <s v="2220"/>
    <s v="000"/>
    <x v="2"/>
    <x v="1"/>
  </r>
  <r>
    <d v="2012-12-28T00:00:00"/>
    <s v="016-2230-000"/>
    <s v="Wine Sales"/>
    <n v="207.4425"/>
    <n v="0"/>
    <s v="Daily Sales Import"/>
    <n v="-207.4425"/>
    <n v="207.4425"/>
    <x v="0"/>
    <s v="2230"/>
    <s v="000"/>
    <x v="2"/>
    <x v="1"/>
  </r>
  <r>
    <d v="2012-12-29T00:00:00"/>
    <s v="016-2100-000"/>
    <s v="Food Sales"/>
    <n v="7481.6268"/>
    <n v="0"/>
    <s v="Daily Sales Import"/>
    <n v="-7481.6268"/>
    <n v="7481.6268"/>
    <x v="0"/>
    <s v="2100"/>
    <s v="000"/>
    <x v="2"/>
    <x v="1"/>
  </r>
  <r>
    <d v="2012-12-29T00:00:00"/>
    <s v="016-2210-000"/>
    <s v="Liquor Sales"/>
    <n v="2001.9304"/>
    <n v="0"/>
    <s v="Daily Sales Import"/>
    <n v="-2001.9304"/>
    <n v="2001.9304"/>
    <x v="0"/>
    <s v="2210"/>
    <s v="000"/>
    <x v="2"/>
    <x v="1"/>
  </r>
  <r>
    <d v="2012-12-29T00:00:00"/>
    <s v="016-2220-000"/>
    <s v="Beer Sales"/>
    <n v="476.01240000000001"/>
    <n v="0"/>
    <s v="Daily Sales Import"/>
    <n v="-476.01240000000001"/>
    <n v="476.01240000000001"/>
    <x v="0"/>
    <s v="2220"/>
    <s v="000"/>
    <x v="2"/>
    <x v="1"/>
  </r>
  <r>
    <d v="2012-12-29T00:00:00"/>
    <s v="016-2230-000"/>
    <s v="Wine Sales"/>
    <n v="257.05549999999999"/>
    <n v="0"/>
    <s v="Daily Sales Import"/>
    <n v="-257.05549999999999"/>
    <n v="257.05549999999999"/>
    <x v="0"/>
    <s v="2230"/>
    <s v="000"/>
    <x v="2"/>
    <x v="1"/>
  </r>
  <r>
    <d v="2012-12-30T00:00:00"/>
    <s v="016-2100-000"/>
    <s v="Food Sales"/>
    <n v="9525.8942000000006"/>
    <n v="0"/>
    <s v="Daily Sales Import"/>
    <n v="-9525.8942000000006"/>
    <n v="9525.8942000000006"/>
    <x v="0"/>
    <s v="2100"/>
    <s v="000"/>
    <x v="2"/>
    <x v="1"/>
  </r>
  <r>
    <d v="2012-12-30T00:00:00"/>
    <s v="016-2210-000"/>
    <s v="Liquor Sales"/>
    <n v="1135.7927999999999"/>
    <n v="0"/>
    <s v="Daily Sales Import"/>
    <n v="-1135.7927999999999"/>
    <n v="1135.7927999999999"/>
    <x v="0"/>
    <s v="2210"/>
    <s v="000"/>
    <x v="2"/>
    <x v="1"/>
  </r>
  <r>
    <d v="2012-12-30T00:00:00"/>
    <s v="016-2220-000"/>
    <s v="Beer Sales"/>
    <n v="293.38920000000002"/>
    <n v="0"/>
    <s v="Daily Sales Import"/>
    <n v="-293.38920000000002"/>
    <n v="293.38920000000002"/>
    <x v="0"/>
    <s v="2220"/>
    <s v="000"/>
    <x v="2"/>
    <x v="1"/>
  </r>
  <r>
    <d v="2012-12-30T00:00:00"/>
    <s v="016-2230-000"/>
    <s v="Wine Sales"/>
    <n v="221.86009999999999"/>
    <n v="0"/>
    <s v="Daily Sales Import"/>
    <n v="-221.86009999999999"/>
    <n v="221.86009999999999"/>
    <x v="0"/>
    <s v="2230"/>
    <s v="000"/>
    <x v="2"/>
    <x v="1"/>
  </r>
  <r>
    <d v="2012-12-24T00:00:00"/>
    <s v="017-2100-000"/>
    <s v="Food Sales"/>
    <n v="2837.4982"/>
    <n v="0"/>
    <s v="Daily Sales Import"/>
    <n v="-2837.4982"/>
    <n v="2837.4982"/>
    <x v="1"/>
    <s v="2100"/>
    <s v="000"/>
    <x v="2"/>
    <x v="1"/>
  </r>
  <r>
    <d v="2012-12-24T00:00:00"/>
    <s v="017-2210-000"/>
    <s v="Liquor Sales"/>
    <n v="749.10439999999994"/>
    <n v="0"/>
    <s v="Daily Sales Import"/>
    <n v="-749.10439999999994"/>
    <n v="749.10439999999994"/>
    <x v="1"/>
    <s v="2210"/>
    <s v="000"/>
    <x v="2"/>
    <x v="1"/>
  </r>
  <r>
    <d v="2012-12-24T00:00:00"/>
    <s v="017-2220-000"/>
    <s v="Beer Sales"/>
    <n v="90.804000000000016"/>
    <n v="0"/>
    <s v="Daily Sales Import"/>
    <n v="-90.804000000000016"/>
    <n v="90.804000000000016"/>
    <x v="1"/>
    <s v="2220"/>
    <s v="000"/>
    <x v="2"/>
    <x v="1"/>
  </r>
  <r>
    <d v="2012-12-24T00:00:00"/>
    <s v="017-2230-000"/>
    <s v="Wine Sales"/>
    <n v="36.495899999999999"/>
    <n v="0"/>
    <s v="Daily Sales Import"/>
    <n v="-36.495899999999999"/>
    <n v="36.495899999999999"/>
    <x v="1"/>
    <s v="2230"/>
    <s v="000"/>
    <x v="2"/>
    <x v="1"/>
  </r>
  <r>
    <d v="2012-12-26T00:00:00"/>
    <s v="017-2100-000"/>
    <s v="Food Sales"/>
    <n v="5238.9279999999999"/>
    <n v="0"/>
    <s v="Daily Sales Import"/>
    <n v="-5238.9279999999999"/>
    <n v="5238.9279999999999"/>
    <x v="1"/>
    <s v="2100"/>
    <s v="000"/>
    <x v="2"/>
    <x v="1"/>
  </r>
  <r>
    <d v="2012-12-26T00:00:00"/>
    <s v="017-2210-000"/>
    <s v="Liquor Sales"/>
    <n v="1263.0498"/>
    <n v="0"/>
    <s v="Daily Sales Import"/>
    <n v="-1263.0498"/>
    <n v="1263.0498"/>
    <x v="1"/>
    <s v="2210"/>
    <s v="000"/>
    <x v="2"/>
    <x v="1"/>
  </r>
  <r>
    <d v="2012-12-26T00:00:00"/>
    <s v="017-2220-000"/>
    <s v="Beer Sales"/>
    <n v="137.91049999999998"/>
    <n v="0"/>
    <s v="Daily Sales Import"/>
    <n v="-137.91049999999998"/>
    <n v="137.91049999999998"/>
    <x v="1"/>
    <s v="2220"/>
    <s v="000"/>
    <x v="2"/>
    <x v="1"/>
  </r>
  <r>
    <d v="2012-12-26T00:00:00"/>
    <s v="017-2230-000"/>
    <s v="Wine Sales"/>
    <n v="46.305099999999996"/>
    <n v="0"/>
    <s v="Daily Sales Import"/>
    <n v="-46.305099999999996"/>
    <n v="46.305099999999996"/>
    <x v="1"/>
    <s v="2230"/>
    <s v="000"/>
    <x v="2"/>
    <x v="1"/>
  </r>
  <r>
    <d v="2012-12-27T00:00:00"/>
    <s v="017-2100-000"/>
    <s v="Food Sales"/>
    <n v="4362.4641999999994"/>
    <n v="0"/>
    <s v="Daily Sales Import"/>
    <n v="-4362.4641999999994"/>
    <n v="4362.4641999999994"/>
    <x v="1"/>
    <s v="2100"/>
    <s v="000"/>
    <x v="2"/>
    <x v="1"/>
  </r>
  <r>
    <d v="2012-12-27T00:00:00"/>
    <s v="017-2210-000"/>
    <s v="Liquor Sales"/>
    <n v="1187.8027999999999"/>
    <n v="0"/>
    <s v="Daily Sales Import"/>
    <n v="-1187.8027999999999"/>
    <n v="1187.8027999999999"/>
    <x v="1"/>
    <s v="2210"/>
    <s v="000"/>
    <x v="2"/>
    <x v="1"/>
  </r>
  <r>
    <d v="2012-12-27T00:00:00"/>
    <s v="017-2220-000"/>
    <s v="Beer Sales"/>
    <n v="287.49630000000002"/>
    <n v="0"/>
    <s v="Daily Sales Import"/>
    <n v="-287.49630000000002"/>
    <n v="287.49630000000002"/>
    <x v="1"/>
    <s v="2220"/>
    <s v="000"/>
    <x v="2"/>
    <x v="1"/>
  </r>
  <r>
    <d v="2012-12-27T00:00:00"/>
    <s v="017-2230-000"/>
    <s v="Wine Sales"/>
    <n v="69.8001"/>
    <n v="0"/>
    <s v="Daily Sales Import"/>
    <n v="-69.8001"/>
    <n v="69.8001"/>
    <x v="1"/>
    <s v="2230"/>
    <s v="000"/>
    <x v="2"/>
    <x v="1"/>
  </r>
  <r>
    <d v="2012-12-28T00:00:00"/>
    <s v="017-2100-000"/>
    <s v="Food Sales"/>
    <n v="4474.7451000000001"/>
    <n v="0"/>
    <s v="Daily Sales Import"/>
    <n v="-4474.7451000000001"/>
    <n v="4474.7451000000001"/>
    <x v="1"/>
    <s v="2100"/>
    <s v="000"/>
    <x v="2"/>
    <x v="1"/>
  </r>
  <r>
    <d v="2012-12-28T00:00:00"/>
    <s v="017-2210-000"/>
    <s v="Liquor Sales"/>
    <n v="1136.3219999999999"/>
    <n v="0"/>
    <s v="Daily Sales Import"/>
    <n v="-1136.3219999999999"/>
    <n v="1136.3219999999999"/>
    <x v="1"/>
    <s v="2210"/>
    <s v="000"/>
    <x v="2"/>
    <x v="1"/>
  </r>
  <r>
    <d v="2012-12-28T00:00:00"/>
    <s v="017-2220-000"/>
    <s v="Beer Sales"/>
    <n v="301.3956"/>
    <n v="0"/>
    <s v="Daily Sales Import"/>
    <n v="-301.3956"/>
    <n v="301.3956"/>
    <x v="1"/>
    <s v="2220"/>
    <s v="000"/>
    <x v="2"/>
    <x v="1"/>
  </r>
  <r>
    <d v="2012-12-28T00:00:00"/>
    <s v="017-2230-000"/>
    <s v="Wine Sales"/>
    <n v="68.190400000000011"/>
    <n v="0"/>
    <s v="Daily Sales Import"/>
    <n v="-68.190400000000011"/>
    <n v="68.190400000000011"/>
    <x v="1"/>
    <s v="2230"/>
    <s v="000"/>
    <x v="2"/>
    <x v="1"/>
  </r>
  <r>
    <d v="2012-12-29T00:00:00"/>
    <s v="017-2100-000"/>
    <s v="Food Sales"/>
    <n v="6975.2704000000003"/>
    <n v="0"/>
    <s v="Daily Sales Import"/>
    <n v="-6975.2704000000003"/>
    <n v="6975.2704000000003"/>
    <x v="1"/>
    <s v="2100"/>
    <s v="000"/>
    <x v="2"/>
    <x v="1"/>
  </r>
  <r>
    <d v="2012-12-29T00:00:00"/>
    <s v="017-2210-000"/>
    <s v="Liquor Sales"/>
    <n v="1707.2195999999999"/>
    <n v="0"/>
    <s v="Daily Sales Import"/>
    <n v="-1707.2195999999999"/>
    <n v="1707.2195999999999"/>
    <x v="1"/>
    <s v="2210"/>
    <s v="000"/>
    <x v="2"/>
    <x v="1"/>
  </r>
  <r>
    <d v="2012-12-29T00:00:00"/>
    <s v="017-2220-000"/>
    <s v="Beer Sales"/>
    <n v="533.46680000000003"/>
    <n v="0"/>
    <s v="Daily Sales Import"/>
    <n v="-533.46680000000003"/>
    <n v="533.46680000000003"/>
    <x v="1"/>
    <s v="2220"/>
    <s v="000"/>
    <x v="2"/>
    <x v="1"/>
  </r>
  <r>
    <d v="2012-12-29T00:00:00"/>
    <s v="017-2230-000"/>
    <s v="Wine Sales"/>
    <n v="307.65900000000005"/>
    <n v="0"/>
    <s v="Daily Sales Import"/>
    <n v="-307.65900000000005"/>
    <n v="307.65900000000005"/>
    <x v="1"/>
    <s v="2230"/>
    <s v="000"/>
    <x v="2"/>
    <x v="1"/>
  </r>
  <r>
    <d v="2012-12-30T00:00:00"/>
    <s v="017-2100-000"/>
    <s v="Food Sales"/>
    <n v="5528.5144"/>
    <n v="0"/>
    <s v="Daily Sales Import"/>
    <n v="-5528.5144"/>
    <n v="5528.5144"/>
    <x v="1"/>
    <s v="2100"/>
    <s v="000"/>
    <x v="2"/>
    <x v="1"/>
  </r>
  <r>
    <d v="2012-12-30T00:00:00"/>
    <s v="017-2210-000"/>
    <s v="Liquor Sales"/>
    <n v="872.60800000000006"/>
    <n v="0"/>
    <s v="Daily Sales Import"/>
    <n v="-872.60800000000006"/>
    <n v="872.60800000000006"/>
    <x v="1"/>
    <s v="2210"/>
    <s v="000"/>
    <x v="2"/>
    <x v="1"/>
  </r>
  <r>
    <d v="2012-12-30T00:00:00"/>
    <s v="017-2220-000"/>
    <s v="Beer Sales"/>
    <n v="117.60359999999999"/>
    <n v="0"/>
    <s v="Daily Sales Import"/>
    <n v="-117.60359999999999"/>
    <n v="117.60359999999999"/>
    <x v="1"/>
    <s v="2220"/>
    <s v="000"/>
    <x v="2"/>
    <x v="1"/>
  </r>
  <r>
    <d v="2012-12-30T00:00:00"/>
    <s v="017-2230-000"/>
    <s v="Wine Sales"/>
    <n v="83.197199999999995"/>
    <n v="0"/>
    <s v="Daily Sales Import"/>
    <n v="-83.197199999999995"/>
    <n v="83.197199999999995"/>
    <x v="1"/>
    <s v="2230"/>
    <s v="000"/>
    <x v="2"/>
    <x v="1"/>
  </r>
  <r>
    <d v="2012-12-24T00:00:00"/>
    <s v="018-2100-000"/>
    <s v="Food Sales"/>
    <n v="5707.3420000000006"/>
    <n v="0"/>
    <s v="Daily Sales Import"/>
    <n v="-5707.3420000000006"/>
    <n v="5707.3420000000006"/>
    <x v="2"/>
    <s v="2100"/>
    <s v="000"/>
    <x v="2"/>
    <x v="1"/>
  </r>
  <r>
    <d v="2012-12-24T00:00:00"/>
    <s v="018-2210-000"/>
    <s v="Liquor Sales"/>
    <n v="1079.424"/>
    <n v="0"/>
    <s v="Daily Sales Import"/>
    <n v="-1079.424"/>
    <n v="1079.424"/>
    <x v="2"/>
    <s v="2210"/>
    <s v="000"/>
    <x v="2"/>
    <x v="1"/>
  </r>
  <r>
    <d v="2012-12-24T00:00:00"/>
    <s v="018-2220-000"/>
    <s v="Beer Sales"/>
    <n v="219.73589999999999"/>
    <n v="0"/>
    <s v="Daily Sales Import"/>
    <n v="-219.73589999999999"/>
    <n v="219.73589999999999"/>
    <x v="2"/>
    <s v="2220"/>
    <s v="000"/>
    <x v="2"/>
    <x v="1"/>
  </r>
  <r>
    <d v="2012-12-24T00:00:00"/>
    <s v="018-2230-000"/>
    <s v="Wine Sales"/>
    <n v="34.750799999999998"/>
    <n v="0"/>
    <s v="Daily Sales Import"/>
    <n v="-34.750799999999998"/>
    <n v="34.750799999999998"/>
    <x v="2"/>
    <s v="2230"/>
    <s v="000"/>
    <x v="2"/>
    <x v="1"/>
  </r>
  <r>
    <d v="2012-12-26T00:00:00"/>
    <s v="018-2100-000"/>
    <s v="Food Sales"/>
    <n v="5861.7432000000008"/>
    <n v="0"/>
    <s v="Daily Sales Import"/>
    <n v="-5861.7432000000008"/>
    <n v="5861.7432000000008"/>
    <x v="2"/>
    <s v="2100"/>
    <s v="000"/>
    <x v="2"/>
    <x v="1"/>
  </r>
  <r>
    <d v="2012-12-26T00:00:00"/>
    <s v="018-2210-000"/>
    <s v="Liquor Sales"/>
    <n v="715.70690000000002"/>
    <n v="0"/>
    <s v="Daily Sales Import"/>
    <n v="-715.70690000000002"/>
    <n v="715.70690000000002"/>
    <x v="2"/>
    <s v="2210"/>
    <s v="000"/>
    <x v="2"/>
    <x v="1"/>
  </r>
  <r>
    <d v="2012-12-26T00:00:00"/>
    <s v="018-2220-000"/>
    <s v="Beer Sales"/>
    <n v="173.0547"/>
    <n v="0"/>
    <s v="Daily Sales Import"/>
    <n v="-173.0547"/>
    <n v="173.0547"/>
    <x v="2"/>
    <s v="2220"/>
    <s v="000"/>
    <x v="2"/>
    <x v="1"/>
  </r>
  <r>
    <d v="2012-12-26T00:00:00"/>
    <s v="018-2230-000"/>
    <s v="Wine Sales"/>
    <n v="89.436099999999996"/>
    <n v="0"/>
    <s v="Daily Sales Import"/>
    <n v="-89.436099999999996"/>
    <n v="89.436099999999996"/>
    <x v="2"/>
    <s v="2230"/>
    <s v="000"/>
    <x v="2"/>
    <x v="1"/>
  </r>
  <r>
    <d v="2012-12-27T00:00:00"/>
    <s v="018-2100-000"/>
    <s v="Food Sales"/>
    <n v="9834.2915999999987"/>
    <n v="0"/>
    <s v="Daily Sales Import"/>
    <n v="-9834.2915999999987"/>
    <n v="9834.2915999999987"/>
    <x v="2"/>
    <s v="2100"/>
    <s v="000"/>
    <x v="2"/>
    <x v="1"/>
  </r>
  <r>
    <d v="2012-12-27T00:00:00"/>
    <s v="018-2210-000"/>
    <s v="Liquor Sales"/>
    <n v="1539.0464000000002"/>
    <n v="0"/>
    <s v="Daily Sales Import"/>
    <n v="-1539.0464000000002"/>
    <n v="1539.0464000000002"/>
    <x v="2"/>
    <s v="2210"/>
    <s v="000"/>
    <x v="2"/>
    <x v="1"/>
  </r>
  <r>
    <d v="2012-12-27T00:00:00"/>
    <s v="018-2220-000"/>
    <s v="Beer Sales"/>
    <n v="448.11630000000002"/>
    <n v="0"/>
    <s v="Daily Sales Import"/>
    <n v="-448.11630000000002"/>
    <n v="448.11630000000002"/>
    <x v="2"/>
    <s v="2220"/>
    <s v="000"/>
    <x v="2"/>
    <x v="1"/>
  </r>
  <r>
    <d v="2012-12-27T00:00:00"/>
    <s v="018-2230-000"/>
    <s v="Wine Sales"/>
    <n v="126.35040000000001"/>
    <n v="0"/>
    <s v="Daily Sales Import"/>
    <n v="-126.35040000000001"/>
    <n v="126.35040000000001"/>
    <x v="2"/>
    <s v="2230"/>
    <s v="000"/>
    <x v="2"/>
    <x v="1"/>
  </r>
  <r>
    <d v="2012-12-28T00:00:00"/>
    <s v="018-2100-000"/>
    <s v="Food Sales"/>
    <n v="11958.145199999999"/>
    <n v="0"/>
    <s v="Daily Sales Import"/>
    <n v="-11958.145199999999"/>
    <n v="11958.145199999999"/>
    <x v="2"/>
    <s v="2100"/>
    <s v="000"/>
    <x v="2"/>
    <x v="1"/>
  </r>
  <r>
    <d v="2012-12-28T00:00:00"/>
    <s v="018-2210-000"/>
    <s v="Liquor Sales"/>
    <n v="2425.2185999999997"/>
    <n v="0"/>
    <s v="Daily Sales Import"/>
    <n v="-2425.2185999999997"/>
    <n v="2425.2185999999997"/>
    <x v="2"/>
    <s v="2210"/>
    <s v="000"/>
    <x v="2"/>
    <x v="1"/>
  </r>
  <r>
    <d v="2012-12-28T00:00:00"/>
    <s v="018-2220-000"/>
    <s v="Beer Sales"/>
    <n v="475.03890000000001"/>
    <n v="0"/>
    <s v="Daily Sales Import"/>
    <n v="-475.03890000000001"/>
    <n v="475.03890000000001"/>
    <x v="2"/>
    <s v="2220"/>
    <s v="000"/>
    <x v="2"/>
    <x v="1"/>
  </r>
  <r>
    <d v="2012-12-28T00:00:00"/>
    <s v="018-2230-000"/>
    <s v="Wine Sales"/>
    <n v="199.94480000000001"/>
    <n v="0"/>
    <s v="Daily Sales Import"/>
    <n v="-199.94480000000001"/>
    <n v="199.94480000000001"/>
    <x v="2"/>
    <s v="2230"/>
    <s v="000"/>
    <x v="2"/>
    <x v="1"/>
  </r>
  <r>
    <d v="2012-12-29T00:00:00"/>
    <s v="018-2100-000"/>
    <s v="Food Sales"/>
    <n v="15109.138400000002"/>
    <n v="0"/>
    <s v="Daily Sales Import"/>
    <n v="-15109.138400000002"/>
    <n v="15109.138400000002"/>
    <x v="2"/>
    <s v="2100"/>
    <s v="000"/>
    <x v="2"/>
    <x v="1"/>
  </r>
  <r>
    <d v="2012-12-29T00:00:00"/>
    <s v="018-2210-000"/>
    <s v="Liquor Sales"/>
    <n v="1938.9160000000002"/>
    <n v="0"/>
    <s v="Daily Sales Import"/>
    <n v="-1938.9160000000002"/>
    <n v="1938.9160000000002"/>
    <x v="2"/>
    <s v="2210"/>
    <s v="000"/>
    <x v="2"/>
    <x v="1"/>
  </r>
  <r>
    <d v="2012-12-29T00:00:00"/>
    <s v="018-2220-000"/>
    <s v="Beer Sales"/>
    <n v="753.19920000000002"/>
    <n v="0"/>
    <s v="Daily Sales Import"/>
    <n v="-753.19920000000002"/>
    <n v="753.19920000000002"/>
    <x v="2"/>
    <s v="2220"/>
    <s v="000"/>
    <x v="2"/>
    <x v="1"/>
  </r>
  <r>
    <d v="2012-12-29T00:00:00"/>
    <s v="018-2230-000"/>
    <s v="Wine Sales"/>
    <n v="176.364"/>
    <n v="0"/>
    <s v="Daily Sales Import"/>
    <n v="-176.364"/>
    <n v="176.364"/>
    <x v="2"/>
    <s v="2230"/>
    <s v="000"/>
    <x v="2"/>
    <x v="1"/>
  </r>
  <r>
    <d v="2012-12-30T00:00:00"/>
    <s v="018-2100-000"/>
    <s v="Food Sales"/>
    <n v="8030.3759999999993"/>
    <n v="0"/>
    <s v="Daily Sales Import"/>
    <n v="-8030.3759999999993"/>
    <n v="8030.3759999999993"/>
    <x v="2"/>
    <s v="2100"/>
    <s v="000"/>
    <x v="2"/>
    <x v="1"/>
  </r>
  <r>
    <d v="2012-12-30T00:00:00"/>
    <s v="018-2210-000"/>
    <s v="Liquor Sales"/>
    <n v="1169.3184000000001"/>
    <n v="0"/>
    <s v="Daily Sales Import"/>
    <n v="-1169.3184000000001"/>
    <n v="1169.3184000000001"/>
    <x v="2"/>
    <s v="2210"/>
    <s v="000"/>
    <x v="2"/>
    <x v="1"/>
  </r>
  <r>
    <d v="2012-12-30T00:00:00"/>
    <s v="018-2220-000"/>
    <s v="Beer Sales"/>
    <n v="312.41250000000002"/>
    <n v="0"/>
    <s v="Daily Sales Import"/>
    <n v="-312.41250000000002"/>
    <n v="312.41250000000002"/>
    <x v="2"/>
    <s v="2220"/>
    <s v="000"/>
    <x v="2"/>
    <x v="1"/>
  </r>
  <r>
    <d v="2012-12-30T00:00:00"/>
    <s v="018-2230-000"/>
    <s v="Wine Sales"/>
    <n v="44.660000000000004"/>
    <n v="0"/>
    <s v="Daily Sales Import"/>
    <n v="-44.660000000000004"/>
    <n v="44.660000000000004"/>
    <x v="2"/>
    <s v="2230"/>
    <s v="000"/>
    <x v="2"/>
    <x v="1"/>
  </r>
  <r>
    <d v="2013-01-01T00:00:00"/>
    <s v="016-2100-000"/>
    <s v="Food Sales"/>
    <n v="9868.866"/>
    <n v="0"/>
    <s v="Daily Sales Import"/>
    <n v="-9868.866"/>
    <n v="9868.866"/>
    <x v="0"/>
    <s v="2100"/>
    <s v="000"/>
    <x v="3"/>
    <x v="2"/>
  </r>
  <r>
    <d v="2013-01-01T00:00:00"/>
    <s v="016-2210-000"/>
    <s v="Liquor Sales"/>
    <n v="1919.114"/>
    <n v="0"/>
    <s v="Daily Sales Import"/>
    <n v="-1919.114"/>
    <n v="1919.114"/>
    <x v="0"/>
    <s v="2210"/>
    <s v="000"/>
    <x v="3"/>
    <x v="2"/>
  </r>
  <r>
    <d v="2013-01-01T00:00:00"/>
    <s v="016-2220-000"/>
    <s v="Beer Sales"/>
    <n v="278.01900000000001"/>
    <n v="0"/>
    <s v="Daily Sales Import"/>
    <n v="-278.01900000000001"/>
    <n v="278.01900000000001"/>
    <x v="0"/>
    <s v="2220"/>
    <s v="000"/>
    <x v="3"/>
    <x v="2"/>
  </r>
  <r>
    <d v="2013-01-01T00:00:00"/>
    <s v="016-2230-000"/>
    <s v="Wine Sales"/>
    <n v="225.94110000000001"/>
    <n v="0"/>
    <s v="Daily Sales Import"/>
    <n v="-225.94110000000001"/>
    <n v="225.94110000000001"/>
    <x v="0"/>
    <s v="2230"/>
    <s v="000"/>
    <x v="3"/>
    <x v="2"/>
  </r>
  <r>
    <d v="2013-01-02T00:00:00"/>
    <s v="016-2100-000"/>
    <s v="Food Sales"/>
    <n v="6288.9204"/>
    <n v="0"/>
    <s v="Daily Sales Import"/>
    <n v="-6288.9204"/>
    <n v="6288.9204"/>
    <x v="0"/>
    <s v="2100"/>
    <s v="000"/>
    <x v="3"/>
    <x v="2"/>
  </r>
  <r>
    <d v="2013-01-02T00:00:00"/>
    <s v="016-2210-000"/>
    <s v="Liquor Sales"/>
    <n v="1022.3070000000001"/>
    <n v="0"/>
    <s v="Daily Sales Import"/>
    <n v="-1022.3070000000001"/>
    <n v="1022.3070000000001"/>
    <x v="0"/>
    <s v="2210"/>
    <s v="000"/>
    <x v="3"/>
    <x v="2"/>
  </r>
  <r>
    <d v="2013-01-02T00:00:00"/>
    <s v="016-2220-000"/>
    <s v="Beer Sales"/>
    <n v="150.8837"/>
    <n v="0"/>
    <s v="Daily Sales Import"/>
    <n v="-150.8837"/>
    <n v="150.8837"/>
    <x v="0"/>
    <s v="2220"/>
    <s v="000"/>
    <x v="3"/>
    <x v="2"/>
  </r>
  <r>
    <d v="2013-01-02T00:00:00"/>
    <s v="016-2230-000"/>
    <s v="Wine Sales"/>
    <n v="135.423"/>
    <n v="0"/>
    <s v="Daily Sales Import"/>
    <n v="-135.423"/>
    <n v="135.423"/>
    <x v="0"/>
    <s v="2230"/>
    <s v="000"/>
    <x v="3"/>
    <x v="2"/>
  </r>
  <r>
    <d v="2013-01-03T00:00:00"/>
    <s v="016-2100-000"/>
    <s v="Food Sales"/>
    <n v="3844.5772000000002"/>
    <n v="0"/>
    <s v="Daily Sales Import"/>
    <n v="-3844.5772000000002"/>
    <n v="3844.5772000000002"/>
    <x v="0"/>
    <s v="2100"/>
    <s v="000"/>
    <x v="3"/>
    <x v="2"/>
  </r>
  <r>
    <d v="2013-01-03T00:00:00"/>
    <s v="016-2210-000"/>
    <s v="Liquor Sales"/>
    <n v="765.69280000000003"/>
    <n v="0"/>
    <s v="Daily Sales Import"/>
    <n v="-765.69280000000003"/>
    <n v="765.69280000000003"/>
    <x v="0"/>
    <s v="2210"/>
    <s v="000"/>
    <x v="3"/>
    <x v="2"/>
  </r>
  <r>
    <d v="2013-01-03T00:00:00"/>
    <s v="016-2220-000"/>
    <s v="Beer Sales"/>
    <n v="204.34890000000001"/>
    <n v="0"/>
    <s v="Daily Sales Import"/>
    <n v="-204.34890000000001"/>
    <n v="204.34890000000001"/>
    <x v="0"/>
    <s v="2220"/>
    <s v="000"/>
    <x v="3"/>
    <x v="2"/>
  </r>
  <r>
    <d v="2013-01-03T00:00:00"/>
    <s v="016-2230-000"/>
    <s v="Wine Sales"/>
    <n v="98.945999999999998"/>
    <n v="0"/>
    <s v="Daily Sales Import"/>
    <n v="-98.945999999999998"/>
    <n v="98.945999999999998"/>
    <x v="0"/>
    <s v="2230"/>
    <s v="000"/>
    <x v="3"/>
    <x v="2"/>
  </r>
  <r>
    <d v="2013-01-04T00:00:00"/>
    <s v="016-2100-000"/>
    <s v="Food Sales"/>
    <n v="4734.2020000000002"/>
    <n v="0"/>
    <s v="Daily Sales Import"/>
    <n v="-4734.2020000000002"/>
    <n v="4734.2020000000002"/>
    <x v="0"/>
    <s v="2100"/>
    <s v="000"/>
    <x v="3"/>
    <x v="2"/>
  </r>
  <r>
    <d v="2013-01-04T00:00:00"/>
    <s v="016-2210-000"/>
    <s v="Liquor Sales"/>
    <n v="1835.184"/>
    <n v="0"/>
    <s v="Daily Sales Import"/>
    <n v="-1835.184"/>
    <n v="1835.184"/>
    <x v="0"/>
    <s v="2210"/>
    <s v="000"/>
    <x v="3"/>
    <x v="2"/>
  </r>
  <r>
    <d v="2013-01-04T00:00:00"/>
    <s v="016-2220-000"/>
    <s v="Beer Sales"/>
    <n v="393.7312"/>
    <n v="0"/>
    <s v="Daily Sales Import"/>
    <n v="-393.7312"/>
    <n v="393.7312"/>
    <x v="0"/>
    <s v="2220"/>
    <s v="000"/>
    <x v="3"/>
    <x v="2"/>
  </r>
  <r>
    <d v="2013-01-04T00:00:00"/>
    <s v="016-2230-000"/>
    <s v="Wine Sales"/>
    <n v="142.86099999999999"/>
    <n v="0"/>
    <s v="Daily Sales Import"/>
    <n v="-142.86099999999999"/>
    <n v="142.86099999999999"/>
    <x v="0"/>
    <s v="2230"/>
    <s v="000"/>
    <x v="3"/>
    <x v="2"/>
  </r>
  <r>
    <d v="2013-01-05T00:00:00"/>
    <s v="016-2100-000"/>
    <s v="Food Sales"/>
    <n v="8664.9440000000013"/>
    <n v="0"/>
    <s v="Daily Sales Import"/>
    <n v="-8664.9440000000013"/>
    <n v="8664.9440000000013"/>
    <x v="0"/>
    <s v="2100"/>
    <s v="000"/>
    <x v="3"/>
    <x v="2"/>
  </r>
  <r>
    <d v="2013-01-05T00:00:00"/>
    <s v="016-2210-000"/>
    <s v="Liquor Sales"/>
    <n v="2318.1471999999999"/>
    <n v="0"/>
    <s v="Daily Sales Import"/>
    <n v="-2318.1471999999999"/>
    <n v="2318.1471999999999"/>
    <x v="0"/>
    <s v="2210"/>
    <s v="000"/>
    <x v="3"/>
    <x v="2"/>
  </r>
  <r>
    <d v="2013-01-05T00:00:00"/>
    <s v="016-2220-000"/>
    <s v="Beer Sales"/>
    <n v="599.25600000000009"/>
    <n v="0"/>
    <s v="Daily Sales Import"/>
    <n v="-599.25600000000009"/>
    <n v="599.25600000000009"/>
    <x v="0"/>
    <s v="2220"/>
    <s v="000"/>
    <x v="3"/>
    <x v="2"/>
  </r>
  <r>
    <d v="2013-01-05T00:00:00"/>
    <s v="016-2230-000"/>
    <s v="Wine Sales"/>
    <n v="214.29100000000003"/>
    <n v="0"/>
    <s v="Daily Sales Import"/>
    <n v="-214.29100000000003"/>
    <n v="214.29100000000003"/>
    <x v="0"/>
    <s v="2230"/>
    <s v="000"/>
    <x v="3"/>
    <x v="2"/>
  </r>
  <r>
    <d v="2013-01-06T00:00:00"/>
    <s v="016-2100-000"/>
    <s v="Food Sales"/>
    <n v="4981.3679999999995"/>
    <n v="0"/>
    <s v="Daily Sales Import"/>
    <n v="-4981.3679999999995"/>
    <n v="4981.3679999999995"/>
    <x v="0"/>
    <s v="2100"/>
    <s v="000"/>
    <x v="3"/>
    <x v="2"/>
  </r>
  <r>
    <d v="2013-01-06T00:00:00"/>
    <s v="016-2210-000"/>
    <s v="Liquor Sales"/>
    <n v="726.68050000000005"/>
    <n v="0"/>
    <s v="Daily Sales Import"/>
    <n v="-726.68050000000005"/>
    <n v="726.68050000000005"/>
    <x v="0"/>
    <s v="2210"/>
    <s v="000"/>
    <x v="3"/>
    <x v="2"/>
  </r>
  <r>
    <d v="2013-01-06T00:00:00"/>
    <s v="016-2220-000"/>
    <s v="Beer Sales"/>
    <n v="192.6087"/>
    <n v="0"/>
    <s v="Daily Sales Import"/>
    <n v="-192.6087"/>
    <n v="192.6087"/>
    <x v="0"/>
    <s v="2220"/>
    <s v="000"/>
    <x v="3"/>
    <x v="2"/>
  </r>
  <r>
    <d v="2013-01-06T00:00:00"/>
    <s v="016-2230-000"/>
    <s v="Wine Sales"/>
    <n v="90.547199999999989"/>
    <n v="0"/>
    <s v="Daily Sales Import"/>
    <n v="-90.547199999999989"/>
    <n v="90.547199999999989"/>
    <x v="0"/>
    <s v="2230"/>
    <s v="000"/>
    <x v="3"/>
    <x v="2"/>
  </r>
  <r>
    <d v="2012-12-31T00:00:00"/>
    <s v="016-2100-000"/>
    <s v="Food Sales"/>
    <n v="6589.1932000000006"/>
    <n v="0"/>
    <s v="Daily Sales Import"/>
    <n v="-6589.1932000000006"/>
    <n v="6589.1932000000006"/>
    <x v="0"/>
    <s v="2100"/>
    <s v="000"/>
    <x v="2"/>
    <x v="1"/>
  </r>
  <r>
    <d v="2012-12-31T00:00:00"/>
    <s v="016-2210-000"/>
    <s v="Liquor Sales"/>
    <n v="1791.5040000000001"/>
    <n v="0"/>
    <s v="Daily Sales Import"/>
    <n v="-1791.5040000000001"/>
    <n v="1791.5040000000001"/>
    <x v="0"/>
    <s v="2210"/>
    <s v="000"/>
    <x v="2"/>
    <x v="1"/>
  </r>
  <r>
    <d v="2012-12-31T00:00:00"/>
    <s v="016-2220-000"/>
    <s v="Beer Sales"/>
    <n v="329.14080000000001"/>
    <n v="0"/>
    <s v="Daily Sales Import"/>
    <n v="-329.14080000000001"/>
    <n v="329.14080000000001"/>
    <x v="0"/>
    <s v="2220"/>
    <s v="000"/>
    <x v="2"/>
    <x v="1"/>
  </r>
  <r>
    <d v="2012-12-31T00:00:00"/>
    <s v="016-2230-000"/>
    <s v="Wine Sales"/>
    <n v="67.303600000000003"/>
    <n v="0"/>
    <s v="Daily Sales Import"/>
    <n v="-67.303600000000003"/>
    <n v="67.303600000000003"/>
    <x v="0"/>
    <s v="2230"/>
    <s v="000"/>
    <x v="2"/>
    <x v="1"/>
  </r>
  <r>
    <d v="2013-01-01T00:00:00"/>
    <s v="017-2100-000"/>
    <s v="Food Sales"/>
    <n v="2721.2666999999997"/>
    <n v="0"/>
    <s v="Daily Sales Import"/>
    <n v="-2721.2666999999997"/>
    <n v="2721.2666999999997"/>
    <x v="1"/>
    <s v="2100"/>
    <s v="000"/>
    <x v="3"/>
    <x v="2"/>
  </r>
  <r>
    <d v="2013-01-01T00:00:00"/>
    <s v="017-2210-000"/>
    <s v="Liquor Sales"/>
    <n v="575.85669999999993"/>
    <n v="0"/>
    <s v="Daily Sales Import"/>
    <n v="-575.85669999999993"/>
    <n v="575.85669999999993"/>
    <x v="1"/>
    <s v="2210"/>
    <s v="000"/>
    <x v="3"/>
    <x v="2"/>
  </r>
  <r>
    <d v="2013-01-01T00:00:00"/>
    <s v="017-2220-000"/>
    <s v="Beer Sales"/>
    <n v="102.53040000000001"/>
    <n v="0"/>
    <s v="Daily Sales Import"/>
    <n v="-102.53040000000001"/>
    <n v="102.53040000000001"/>
    <x v="1"/>
    <s v="2220"/>
    <s v="000"/>
    <x v="3"/>
    <x v="2"/>
  </r>
  <r>
    <d v="2013-01-01T00:00:00"/>
    <s v="017-2230-000"/>
    <s v="Wine Sales"/>
    <n v="34.486499999999999"/>
    <n v="0"/>
    <s v="Daily Sales Import"/>
    <n v="-34.486499999999999"/>
    <n v="34.486499999999999"/>
    <x v="1"/>
    <s v="2230"/>
    <s v="000"/>
    <x v="3"/>
    <x v="2"/>
  </r>
  <r>
    <d v="2013-01-02T00:00:00"/>
    <s v="017-2100-000"/>
    <s v="Food Sales"/>
    <n v="3304.6005"/>
    <n v="0"/>
    <s v="Daily Sales Import"/>
    <n v="-3304.6005"/>
    <n v="3304.6005"/>
    <x v="1"/>
    <s v="2100"/>
    <s v="000"/>
    <x v="3"/>
    <x v="2"/>
  </r>
  <r>
    <d v="2013-01-02T00:00:00"/>
    <s v="017-2210-000"/>
    <s v="Liquor Sales"/>
    <n v="589.56849999999997"/>
    <n v="0"/>
    <s v="Daily Sales Import"/>
    <n v="-589.56849999999997"/>
    <n v="589.56849999999997"/>
    <x v="1"/>
    <s v="2210"/>
    <s v="000"/>
    <x v="3"/>
    <x v="2"/>
  </r>
  <r>
    <d v="2013-01-02T00:00:00"/>
    <s v="017-2220-000"/>
    <s v="Beer Sales"/>
    <n v="178.03200000000001"/>
    <n v="0"/>
    <s v="Daily Sales Import"/>
    <n v="-178.03200000000001"/>
    <n v="178.03200000000001"/>
    <x v="1"/>
    <s v="2220"/>
    <s v="000"/>
    <x v="3"/>
    <x v="2"/>
  </r>
  <r>
    <d v="2013-01-02T00:00:00"/>
    <s v="017-2230-000"/>
    <s v="Wine Sales"/>
    <n v="20.044799999999999"/>
    <n v="0"/>
    <s v="Daily Sales Import"/>
    <n v="-20.044799999999999"/>
    <n v="20.044799999999999"/>
    <x v="1"/>
    <s v="2230"/>
    <s v="000"/>
    <x v="3"/>
    <x v="2"/>
  </r>
  <r>
    <d v="2013-01-03T00:00:00"/>
    <s v="017-2100-000"/>
    <s v="Food Sales"/>
    <n v="3326.0864000000001"/>
    <n v="0"/>
    <s v="Daily Sales Import"/>
    <n v="-3326.0864000000001"/>
    <n v="3326.0864000000001"/>
    <x v="1"/>
    <s v="2100"/>
    <s v="000"/>
    <x v="3"/>
    <x v="2"/>
  </r>
  <r>
    <d v="2013-01-03T00:00:00"/>
    <s v="017-2210-000"/>
    <s v="Liquor Sales"/>
    <n v="665.29399999999998"/>
    <n v="0"/>
    <s v="Daily Sales Import"/>
    <n v="-665.29399999999998"/>
    <n v="665.29399999999998"/>
    <x v="1"/>
    <s v="2210"/>
    <s v="000"/>
    <x v="3"/>
    <x v="2"/>
  </r>
  <r>
    <d v="2013-01-03T00:00:00"/>
    <s v="017-2220-000"/>
    <s v="Beer Sales"/>
    <n v="167.89919999999998"/>
    <n v="0"/>
    <s v="Daily Sales Import"/>
    <n v="-167.89919999999998"/>
    <n v="167.89919999999998"/>
    <x v="1"/>
    <s v="2220"/>
    <s v="000"/>
    <x v="3"/>
    <x v="2"/>
  </r>
  <r>
    <d v="2013-01-03T00:00:00"/>
    <s v="017-2230-000"/>
    <s v="Wine Sales"/>
    <n v="47.883599999999994"/>
    <n v="0"/>
    <s v="Daily Sales Import"/>
    <n v="-47.883599999999994"/>
    <n v="47.883599999999994"/>
    <x v="1"/>
    <s v="2230"/>
    <s v="000"/>
    <x v="3"/>
    <x v="2"/>
  </r>
  <r>
    <d v="2013-01-04T00:00:00"/>
    <s v="017-2100-000"/>
    <s v="Food Sales"/>
    <n v="9760.7991000000002"/>
    <n v="0"/>
    <s v="Daily Sales Import"/>
    <n v="-9760.7991000000002"/>
    <n v="9760.7991000000002"/>
    <x v="1"/>
    <s v="2100"/>
    <s v="000"/>
    <x v="3"/>
    <x v="2"/>
  </r>
  <r>
    <d v="2013-01-04T00:00:00"/>
    <s v="017-2210-000"/>
    <s v="Liquor Sales"/>
    <n v="3189.933"/>
    <n v="0"/>
    <s v="Daily Sales Import"/>
    <n v="-3189.933"/>
    <n v="3189.933"/>
    <x v="1"/>
    <s v="2210"/>
    <s v="000"/>
    <x v="3"/>
    <x v="2"/>
  </r>
  <r>
    <d v="2013-01-04T00:00:00"/>
    <s v="017-2220-000"/>
    <s v="Beer Sales"/>
    <n v="413.52400000000006"/>
    <n v="0"/>
    <s v="Daily Sales Import"/>
    <n v="-413.52400000000006"/>
    <n v="413.52400000000006"/>
    <x v="1"/>
    <s v="2220"/>
    <s v="000"/>
    <x v="3"/>
    <x v="2"/>
  </r>
  <r>
    <d v="2013-01-04T00:00:00"/>
    <s v="017-2230-000"/>
    <s v="Wine Sales"/>
    <n v="128.58419999999998"/>
    <n v="0"/>
    <s v="Daily Sales Import"/>
    <n v="-128.58419999999998"/>
    <n v="128.58419999999998"/>
    <x v="1"/>
    <s v="2230"/>
    <s v="000"/>
    <x v="3"/>
    <x v="2"/>
  </r>
  <r>
    <d v="2013-01-05T00:00:00"/>
    <s v="017-2100-000"/>
    <s v="Food Sales"/>
    <n v="4420.2280000000001"/>
    <n v="0"/>
    <s v="Daily Sales Import"/>
    <n v="-4420.2280000000001"/>
    <n v="4420.2280000000001"/>
    <x v="1"/>
    <s v="2100"/>
    <s v="000"/>
    <x v="3"/>
    <x v="2"/>
  </r>
  <r>
    <d v="2013-01-05T00:00:00"/>
    <s v="017-2210-000"/>
    <s v="Liquor Sales"/>
    <n v="1129.7041999999999"/>
    <n v="0"/>
    <s v="Daily Sales Import"/>
    <n v="-1129.7041999999999"/>
    <n v="1129.7041999999999"/>
    <x v="1"/>
    <s v="2210"/>
    <s v="000"/>
    <x v="3"/>
    <x v="2"/>
  </r>
  <r>
    <d v="2013-01-05T00:00:00"/>
    <s v="017-2220-000"/>
    <s v="Beer Sales"/>
    <n v="156.744"/>
    <n v="0"/>
    <s v="Daily Sales Import"/>
    <n v="-156.744"/>
    <n v="156.744"/>
    <x v="1"/>
    <s v="2220"/>
    <s v="000"/>
    <x v="3"/>
    <x v="2"/>
  </r>
  <r>
    <d v="2013-01-05T00:00:00"/>
    <s v="017-2230-000"/>
    <s v="Wine Sales"/>
    <n v="87.44959999999999"/>
    <n v="0"/>
    <s v="Daily Sales Import"/>
    <n v="-87.44959999999999"/>
    <n v="87.44959999999999"/>
    <x v="1"/>
    <s v="2230"/>
    <s v="000"/>
    <x v="3"/>
    <x v="2"/>
  </r>
  <r>
    <d v="2013-01-06T00:00:00"/>
    <s v="017-2100-000"/>
    <s v="Food Sales"/>
    <n v="3826.4358000000002"/>
    <n v="0"/>
    <s v="Daily Sales Import"/>
    <n v="-3826.4358000000002"/>
    <n v="3826.4358000000002"/>
    <x v="1"/>
    <s v="2100"/>
    <s v="000"/>
    <x v="3"/>
    <x v="2"/>
  </r>
  <r>
    <d v="2013-01-06T00:00:00"/>
    <s v="017-2210-000"/>
    <s v="Liquor Sales"/>
    <n v="1100.537"/>
    <n v="0"/>
    <s v="Daily Sales Import"/>
    <n v="-1100.537"/>
    <n v="1100.537"/>
    <x v="1"/>
    <s v="2210"/>
    <s v="000"/>
    <x v="3"/>
    <x v="2"/>
  </r>
  <r>
    <d v="2013-01-06T00:00:00"/>
    <s v="017-2220-000"/>
    <s v="Beer Sales"/>
    <n v="231.11779999999999"/>
    <n v="0"/>
    <s v="Daily Sales Import"/>
    <n v="-231.11779999999999"/>
    <n v="231.11779999999999"/>
    <x v="1"/>
    <s v="2220"/>
    <s v="000"/>
    <x v="3"/>
    <x v="2"/>
  </r>
  <r>
    <d v="2013-01-06T00:00:00"/>
    <s v="017-2230-000"/>
    <s v="Wine Sales"/>
    <n v="27.119499999999999"/>
    <n v="0"/>
    <s v="Daily Sales Import"/>
    <n v="-27.119499999999999"/>
    <n v="27.119499999999999"/>
    <x v="1"/>
    <s v="2230"/>
    <s v="000"/>
    <x v="3"/>
    <x v="2"/>
  </r>
  <r>
    <d v="2012-12-31T00:00:00"/>
    <s v="017-2100-000"/>
    <s v="Food Sales"/>
    <n v="3750.2820000000002"/>
    <n v="0"/>
    <s v="Daily Sales Import"/>
    <n v="-3750.2820000000002"/>
    <n v="3750.2820000000002"/>
    <x v="1"/>
    <s v="2100"/>
    <s v="000"/>
    <x v="2"/>
    <x v="1"/>
  </r>
  <r>
    <d v="2012-12-31T00:00:00"/>
    <s v="017-2210-000"/>
    <s v="Liquor Sales"/>
    <n v="1287.6697999999999"/>
    <n v="0"/>
    <s v="Daily Sales Import"/>
    <n v="-1287.6697999999999"/>
    <n v="1287.6697999999999"/>
    <x v="1"/>
    <s v="2210"/>
    <s v="000"/>
    <x v="2"/>
    <x v="1"/>
  </r>
  <r>
    <d v="2012-12-31T00:00:00"/>
    <s v="017-2220-000"/>
    <s v="Beer Sales"/>
    <n v="157.6677"/>
    <n v="0"/>
    <s v="Daily Sales Import"/>
    <n v="-157.6677"/>
    <n v="157.6677"/>
    <x v="1"/>
    <s v="2220"/>
    <s v="000"/>
    <x v="2"/>
    <x v="1"/>
  </r>
  <r>
    <d v="2012-12-31T00:00:00"/>
    <s v="017-2230-000"/>
    <s v="Wine Sales"/>
    <n v="102.9076"/>
    <n v="0"/>
    <s v="Daily Sales Import"/>
    <n v="-102.9076"/>
    <n v="102.9076"/>
    <x v="1"/>
    <s v="2230"/>
    <s v="000"/>
    <x v="2"/>
    <x v="1"/>
  </r>
  <r>
    <d v="2013-01-01T00:00:00"/>
    <s v="018-2100-000"/>
    <s v="Food Sales"/>
    <n v="5682.0661"/>
    <n v="0"/>
    <s v="Daily Sales Import"/>
    <n v="-5682.0661"/>
    <n v="5682.0661"/>
    <x v="2"/>
    <s v="2100"/>
    <s v="000"/>
    <x v="3"/>
    <x v="2"/>
  </r>
  <r>
    <d v="2013-01-01T00:00:00"/>
    <s v="018-2210-000"/>
    <s v="Liquor Sales"/>
    <n v="536.80340000000001"/>
    <n v="0"/>
    <s v="Daily Sales Import"/>
    <n v="-536.80340000000001"/>
    <n v="536.80340000000001"/>
    <x v="2"/>
    <s v="2210"/>
    <s v="000"/>
    <x v="3"/>
    <x v="2"/>
  </r>
  <r>
    <d v="2013-01-01T00:00:00"/>
    <s v="018-2220-000"/>
    <s v="Beer Sales"/>
    <n v="65.977500000000006"/>
    <n v="0"/>
    <s v="Daily Sales Import"/>
    <n v="-65.977500000000006"/>
    <n v="65.977500000000006"/>
    <x v="2"/>
    <s v="2220"/>
    <s v="000"/>
    <x v="3"/>
    <x v="2"/>
  </r>
  <r>
    <d v="2013-01-01T00:00:00"/>
    <s v="018-2230-000"/>
    <s v="Wine Sales"/>
    <n v="17.154500000000002"/>
    <n v="0"/>
    <s v="Daily Sales Import"/>
    <n v="-17.154500000000002"/>
    <n v="17.154500000000002"/>
    <x v="2"/>
    <s v="2230"/>
    <s v="000"/>
    <x v="3"/>
    <x v="2"/>
  </r>
  <r>
    <d v="2013-01-02T00:00:00"/>
    <s v="018-2100-000"/>
    <s v="Food Sales"/>
    <n v="3760.1091000000001"/>
    <n v="0"/>
    <s v="Daily Sales Import"/>
    <n v="-3760.1091000000001"/>
    <n v="3760.1091000000001"/>
    <x v="2"/>
    <s v="2100"/>
    <s v="000"/>
    <x v="3"/>
    <x v="2"/>
  </r>
  <r>
    <d v="2013-01-02T00:00:00"/>
    <s v="018-2210-000"/>
    <s v="Liquor Sales"/>
    <n v="368.78429999999997"/>
    <n v="0"/>
    <s v="Daily Sales Import"/>
    <n v="-368.78429999999997"/>
    <n v="368.78429999999997"/>
    <x v="2"/>
    <s v="2210"/>
    <s v="000"/>
    <x v="3"/>
    <x v="2"/>
  </r>
  <r>
    <d v="2013-01-02T00:00:00"/>
    <s v="018-2220-000"/>
    <s v="Beer Sales"/>
    <n v="59.286900000000003"/>
    <n v="0"/>
    <s v="Daily Sales Import"/>
    <n v="-59.286900000000003"/>
    <n v="59.286900000000003"/>
    <x v="2"/>
    <s v="2220"/>
    <s v="000"/>
    <x v="3"/>
    <x v="2"/>
  </r>
  <r>
    <d v="2013-01-02T00:00:00"/>
    <s v="018-2230-000"/>
    <s v="Wine Sales"/>
    <n v="109.81079999999999"/>
    <n v="0"/>
    <s v="Daily Sales Import"/>
    <n v="-109.81079999999999"/>
    <n v="109.81079999999999"/>
    <x v="2"/>
    <s v="2230"/>
    <s v="000"/>
    <x v="3"/>
    <x v="2"/>
  </r>
  <r>
    <d v="2013-01-03T00:00:00"/>
    <s v="018-2100-000"/>
    <s v="Food Sales"/>
    <n v="3997.7426999999998"/>
    <n v="0"/>
    <s v="Daily Sales Import"/>
    <n v="-3997.7426999999998"/>
    <n v="3997.7426999999998"/>
    <x v="2"/>
    <s v="2100"/>
    <s v="000"/>
    <x v="3"/>
    <x v="2"/>
  </r>
  <r>
    <d v="2013-01-03T00:00:00"/>
    <s v="018-2210-000"/>
    <s v="Liquor Sales"/>
    <n v="886.04399999999998"/>
    <n v="0"/>
    <s v="Daily Sales Import"/>
    <n v="-886.04399999999998"/>
    <n v="886.04399999999998"/>
    <x v="2"/>
    <s v="2210"/>
    <s v="000"/>
    <x v="3"/>
    <x v="2"/>
  </r>
  <r>
    <d v="2013-01-03T00:00:00"/>
    <s v="018-2220-000"/>
    <s v="Beer Sales"/>
    <n v="143.03459999999998"/>
    <n v="0"/>
    <s v="Daily Sales Import"/>
    <n v="-143.03459999999998"/>
    <n v="143.03459999999998"/>
    <x v="2"/>
    <s v="2220"/>
    <s v="000"/>
    <x v="3"/>
    <x v="2"/>
  </r>
  <r>
    <d v="2013-01-03T00:00:00"/>
    <s v="018-2230-000"/>
    <s v="Wine Sales"/>
    <n v="6.2322000000000006"/>
    <n v="0"/>
    <s v="Daily Sales Import"/>
    <n v="-6.2322000000000006"/>
    <n v="6.2322000000000006"/>
    <x v="2"/>
    <s v="2230"/>
    <s v="000"/>
    <x v="3"/>
    <x v="2"/>
  </r>
  <r>
    <d v="2013-01-04T00:00:00"/>
    <s v="018-2100-000"/>
    <s v="Food Sales"/>
    <n v="9671.7321000000011"/>
    <n v="0"/>
    <s v="Daily Sales Import"/>
    <n v="-9671.7321000000011"/>
    <n v="9671.7321000000011"/>
    <x v="2"/>
    <s v="2100"/>
    <s v="000"/>
    <x v="3"/>
    <x v="2"/>
  </r>
  <r>
    <d v="2013-01-04T00:00:00"/>
    <s v="018-2210-000"/>
    <s v="Liquor Sales"/>
    <n v="2279.5415999999996"/>
    <n v="0"/>
    <s v="Daily Sales Import"/>
    <n v="-2279.5415999999996"/>
    <n v="2279.5415999999996"/>
    <x v="2"/>
    <s v="2210"/>
    <s v="000"/>
    <x v="3"/>
    <x v="2"/>
  </r>
  <r>
    <d v="2013-01-04T00:00:00"/>
    <s v="018-2220-000"/>
    <s v="Beer Sales"/>
    <n v="467.15140000000002"/>
    <n v="0"/>
    <s v="Daily Sales Import"/>
    <n v="-467.15140000000002"/>
    <n v="467.15140000000002"/>
    <x v="2"/>
    <s v="2220"/>
    <s v="000"/>
    <x v="3"/>
    <x v="2"/>
  </r>
  <r>
    <d v="2013-01-04T00:00:00"/>
    <s v="018-2230-000"/>
    <s v="Wine Sales"/>
    <n v="145.5684"/>
    <n v="0"/>
    <s v="Daily Sales Import"/>
    <n v="-145.5684"/>
    <n v="145.5684"/>
    <x v="2"/>
    <s v="2230"/>
    <s v="000"/>
    <x v="3"/>
    <x v="2"/>
  </r>
  <r>
    <d v="2013-01-05T00:00:00"/>
    <s v="018-2100-000"/>
    <s v="Food Sales"/>
    <n v="15242.035199999998"/>
    <n v="0"/>
    <s v="Daily Sales Import"/>
    <n v="-15242.035199999998"/>
    <n v="15242.035199999998"/>
    <x v="2"/>
    <s v="2100"/>
    <s v="000"/>
    <x v="3"/>
    <x v="2"/>
  </r>
  <r>
    <d v="2013-01-05T00:00:00"/>
    <s v="018-2210-000"/>
    <s v="Liquor Sales"/>
    <n v="2785.3272000000002"/>
    <n v="0"/>
    <s v="Daily Sales Import"/>
    <n v="-2785.3272000000002"/>
    <n v="2785.3272000000002"/>
    <x v="2"/>
    <s v="2210"/>
    <s v="000"/>
    <x v="3"/>
    <x v="2"/>
  </r>
  <r>
    <d v="2013-01-05T00:00:00"/>
    <s v="018-2220-000"/>
    <s v="Beer Sales"/>
    <n v="827.7056"/>
    <n v="0"/>
    <s v="Daily Sales Import"/>
    <n v="-827.7056"/>
    <n v="827.7056"/>
    <x v="2"/>
    <s v="2220"/>
    <s v="000"/>
    <x v="3"/>
    <x v="2"/>
  </r>
  <r>
    <d v="2013-01-05T00:00:00"/>
    <s v="018-2230-000"/>
    <s v="Wine Sales"/>
    <n v="62.485200000000006"/>
    <n v="0"/>
    <s v="Daily Sales Import"/>
    <n v="-62.485200000000006"/>
    <n v="62.485200000000006"/>
    <x v="2"/>
    <s v="2230"/>
    <s v="000"/>
    <x v="3"/>
    <x v="2"/>
  </r>
  <r>
    <d v="2013-01-06T00:00:00"/>
    <s v="018-2100-000"/>
    <s v="Food Sales"/>
    <n v="8104.1223999999993"/>
    <n v="0"/>
    <s v="Daily Sales Import"/>
    <n v="-8104.1223999999993"/>
    <n v="8104.1223999999993"/>
    <x v="2"/>
    <s v="2100"/>
    <s v="000"/>
    <x v="3"/>
    <x v="2"/>
  </r>
  <r>
    <d v="2013-01-06T00:00:00"/>
    <s v="018-2210-000"/>
    <s v="Liquor Sales"/>
    <n v="909.43739999999991"/>
    <n v="0"/>
    <s v="Daily Sales Import"/>
    <n v="-909.43739999999991"/>
    <n v="909.43739999999991"/>
    <x v="2"/>
    <s v="2210"/>
    <s v="000"/>
    <x v="3"/>
    <x v="2"/>
  </r>
  <r>
    <d v="2013-01-06T00:00:00"/>
    <s v="018-2220-000"/>
    <s v="Beer Sales"/>
    <n v="179.18550000000002"/>
    <n v="0"/>
    <s v="Daily Sales Import"/>
    <n v="-179.18550000000002"/>
    <n v="179.18550000000002"/>
    <x v="2"/>
    <s v="2220"/>
    <s v="000"/>
    <x v="3"/>
    <x v="2"/>
  </r>
  <r>
    <d v="2013-01-06T00:00:00"/>
    <s v="018-2230-000"/>
    <s v="Wine Sales"/>
    <n v="45.525199999999998"/>
    <n v="0"/>
    <s v="Daily Sales Import"/>
    <n v="-45.525199999999998"/>
    <n v="45.525199999999998"/>
    <x v="2"/>
    <s v="2230"/>
    <s v="000"/>
    <x v="3"/>
    <x v="2"/>
  </r>
  <r>
    <d v="2012-12-31T00:00:00"/>
    <s v="018-2100-000"/>
    <s v="Food Sales"/>
    <n v="8910.1427999999996"/>
    <n v="0"/>
    <s v="Daily Sales Import"/>
    <n v="-8910.1427999999996"/>
    <n v="8910.1427999999996"/>
    <x v="2"/>
    <s v="2100"/>
    <s v="000"/>
    <x v="2"/>
    <x v="1"/>
  </r>
  <r>
    <d v="2012-12-31T00:00:00"/>
    <s v="018-2210-000"/>
    <s v="Liquor Sales"/>
    <n v="1421.5619999999999"/>
    <n v="0"/>
    <s v="Daily Sales Import"/>
    <n v="-1421.5619999999999"/>
    <n v="1421.5619999999999"/>
    <x v="2"/>
    <s v="2210"/>
    <s v="000"/>
    <x v="2"/>
    <x v="1"/>
  </r>
  <r>
    <d v="2012-12-31T00:00:00"/>
    <s v="018-2220-000"/>
    <s v="Beer Sales"/>
    <n v="416.74600000000004"/>
    <n v="0"/>
    <s v="Daily Sales Import"/>
    <n v="-416.74600000000004"/>
    <n v="416.74600000000004"/>
    <x v="2"/>
    <s v="2220"/>
    <s v="000"/>
    <x v="2"/>
    <x v="1"/>
  </r>
  <r>
    <d v="2012-12-31T00:00:00"/>
    <s v="018-2230-000"/>
    <s v="Wine Sales"/>
    <n v="139.98420000000002"/>
    <n v="0"/>
    <s v="Daily Sales Import"/>
    <n v="-139.98420000000002"/>
    <n v="139.98420000000002"/>
    <x v="2"/>
    <s v="2230"/>
    <s v="000"/>
    <x v="2"/>
    <x v="1"/>
  </r>
  <r>
    <d v="2013-01-07T00:00:00"/>
    <s v="016-2100-000"/>
    <s v="Food Sales"/>
    <n v="1992.441"/>
    <n v="0"/>
    <s v="Daily Sales Import"/>
    <n v="-1992.441"/>
    <n v="1992.441"/>
    <x v="0"/>
    <s v="2100"/>
    <s v="000"/>
    <x v="3"/>
    <x v="2"/>
  </r>
  <r>
    <d v="2013-01-07T00:00:00"/>
    <s v="016-2210-000"/>
    <s v="Liquor Sales"/>
    <n v="564.89300000000003"/>
    <n v="0"/>
    <s v="Daily Sales Import"/>
    <n v="-564.89300000000003"/>
    <n v="564.89300000000003"/>
    <x v="0"/>
    <s v="2210"/>
    <s v="000"/>
    <x v="3"/>
    <x v="2"/>
  </r>
  <r>
    <d v="2013-01-07T00:00:00"/>
    <s v="016-2220-000"/>
    <s v="Beer Sales"/>
    <n v="148.98240000000001"/>
    <n v="0"/>
    <s v="Daily Sales Import"/>
    <n v="-148.98240000000001"/>
    <n v="148.98240000000001"/>
    <x v="0"/>
    <s v="2220"/>
    <s v="000"/>
    <x v="3"/>
    <x v="2"/>
  </r>
  <r>
    <d v="2013-01-07T00:00:00"/>
    <s v="016-2230-000"/>
    <s v="Wine Sales"/>
    <n v="13.8474"/>
    <n v="0"/>
    <s v="Daily Sales Import"/>
    <n v="-13.8474"/>
    <n v="13.8474"/>
    <x v="0"/>
    <s v="2230"/>
    <s v="000"/>
    <x v="3"/>
    <x v="2"/>
  </r>
  <r>
    <d v="2013-01-08T00:00:00"/>
    <s v="016-2100-000"/>
    <s v="Food Sales"/>
    <n v="4546.4809999999998"/>
    <n v="0"/>
    <s v="Daily Sales Import"/>
    <n v="-4546.4809999999998"/>
    <n v="4546.4809999999998"/>
    <x v="0"/>
    <s v="2100"/>
    <s v="000"/>
    <x v="3"/>
    <x v="2"/>
  </r>
  <r>
    <d v="2013-01-08T00:00:00"/>
    <s v="016-2210-000"/>
    <s v="Liquor Sales"/>
    <n v="2090.7000000000003"/>
    <n v="0"/>
    <s v="Daily Sales Import"/>
    <n v="-2090.7000000000003"/>
    <n v="2090.7000000000003"/>
    <x v="0"/>
    <s v="2210"/>
    <s v="000"/>
    <x v="3"/>
    <x v="2"/>
  </r>
  <r>
    <d v="2013-01-08T00:00:00"/>
    <s v="016-2220-000"/>
    <s v="Beer Sales"/>
    <n v="471.76199999999994"/>
    <n v="0"/>
    <s v="Daily Sales Import"/>
    <n v="-471.76199999999994"/>
    <n v="471.76199999999994"/>
    <x v="0"/>
    <s v="2220"/>
    <s v="000"/>
    <x v="3"/>
    <x v="2"/>
  </r>
  <r>
    <d v="2013-01-08T00:00:00"/>
    <s v="016-2230-000"/>
    <s v="Wine Sales"/>
    <n v="135.04319999999998"/>
    <n v="0"/>
    <s v="Daily Sales Import"/>
    <n v="-135.04319999999998"/>
    <n v="135.04319999999998"/>
    <x v="0"/>
    <s v="2230"/>
    <s v="000"/>
    <x v="3"/>
    <x v="2"/>
  </r>
  <r>
    <d v="2013-01-09T00:00:00"/>
    <s v="016-2100-000"/>
    <s v="Food Sales"/>
    <n v="3351.4344000000001"/>
    <n v="0"/>
    <s v="Daily Sales Import"/>
    <n v="-3351.4344000000001"/>
    <n v="3351.4344000000001"/>
    <x v="0"/>
    <s v="2100"/>
    <s v="000"/>
    <x v="3"/>
    <x v="2"/>
  </r>
  <r>
    <d v="2013-01-09T00:00:00"/>
    <s v="016-2210-000"/>
    <s v="Liquor Sales"/>
    <n v="829.18550000000005"/>
    <n v="0"/>
    <s v="Daily Sales Import"/>
    <n v="-829.18550000000005"/>
    <n v="829.18550000000005"/>
    <x v="0"/>
    <s v="2210"/>
    <s v="000"/>
    <x v="3"/>
    <x v="2"/>
  </r>
  <r>
    <d v="2013-01-09T00:00:00"/>
    <s v="016-2220-000"/>
    <s v="Beer Sales"/>
    <n v="233.94540000000001"/>
    <n v="0"/>
    <s v="Daily Sales Import"/>
    <n v="-233.94540000000001"/>
    <n v="233.94540000000001"/>
    <x v="0"/>
    <s v="2220"/>
    <s v="000"/>
    <x v="3"/>
    <x v="2"/>
  </r>
  <r>
    <d v="2013-01-09T00:00:00"/>
    <s v="016-2230-000"/>
    <s v="Wine Sales"/>
    <n v="117.73439999999999"/>
    <n v="0"/>
    <s v="Daily Sales Import"/>
    <n v="-117.73439999999999"/>
    <n v="117.73439999999999"/>
    <x v="0"/>
    <s v="2230"/>
    <s v="000"/>
    <x v="3"/>
    <x v="2"/>
  </r>
  <r>
    <d v="2013-01-10T00:00:00"/>
    <s v="016-2100-000"/>
    <s v="Food Sales"/>
    <n v="4889.6120000000001"/>
    <n v="0"/>
    <s v="Daily Sales Import"/>
    <n v="-4889.6120000000001"/>
    <n v="4889.6120000000001"/>
    <x v="0"/>
    <s v="2100"/>
    <s v="000"/>
    <x v="3"/>
    <x v="2"/>
  </r>
  <r>
    <d v="2013-01-10T00:00:00"/>
    <s v="016-2210-000"/>
    <s v="Liquor Sales"/>
    <n v="684.20240000000001"/>
    <n v="0"/>
    <s v="Daily Sales Import"/>
    <n v="-684.20240000000001"/>
    <n v="684.20240000000001"/>
    <x v="0"/>
    <s v="2210"/>
    <s v="000"/>
    <x v="3"/>
    <x v="2"/>
  </r>
  <r>
    <d v="2013-01-10T00:00:00"/>
    <s v="016-2220-000"/>
    <s v="Beer Sales"/>
    <n v="260.54199999999997"/>
    <n v="0"/>
    <s v="Daily Sales Import"/>
    <n v="-260.54199999999997"/>
    <n v="260.54199999999997"/>
    <x v="0"/>
    <s v="2220"/>
    <s v="000"/>
    <x v="3"/>
    <x v="2"/>
  </r>
  <r>
    <d v="2013-01-10T00:00:00"/>
    <s v="016-2230-000"/>
    <s v="Wine Sales"/>
    <n v="97.593599999999995"/>
    <n v="0"/>
    <s v="Daily Sales Import"/>
    <n v="-97.593599999999995"/>
    <n v="97.593599999999995"/>
    <x v="0"/>
    <s v="2230"/>
    <s v="000"/>
    <x v="3"/>
    <x v="2"/>
  </r>
  <r>
    <d v="2013-01-11T00:00:00"/>
    <s v="016-2100-000"/>
    <s v="Food Sales"/>
    <n v="5161.0898999999999"/>
    <n v="0"/>
    <s v="Daily Sales Import"/>
    <n v="-5161.0898999999999"/>
    <n v="5161.0898999999999"/>
    <x v="0"/>
    <s v="2100"/>
    <s v="000"/>
    <x v="3"/>
    <x v="2"/>
  </r>
  <r>
    <d v="2013-01-11T00:00:00"/>
    <s v="016-2210-000"/>
    <s v="Liquor Sales"/>
    <n v="2721.2728999999999"/>
    <n v="0"/>
    <s v="Daily Sales Import"/>
    <n v="-2721.2728999999999"/>
    <n v="2721.2728999999999"/>
    <x v="0"/>
    <s v="2210"/>
    <s v="000"/>
    <x v="3"/>
    <x v="2"/>
  </r>
  <r>
    <d v="2013-01-11T00:00:00"/>
    <s v="016-2220-000"/>
    <s v="Beer Sales"/>
    <n v="497.63479999999993"/>
    <n v="0"/>
    <s v="Daily Sales Import"/>
    <n v="-497.63479999999993"/>
    <n v="497.63479999999993"/>
    <x v="0"/>
    <s v="2220"/>
    <s v="000"/>
    <x v="3"/>
    <x v="2"/>
  </r>
  <r>
    <d v="2013-01-11T00:00:00"/>
    <s v="016-2230-000"/>
    <s v="Wine Sales"/>
    <n v="208.7124"/>
    <n v="0"/>
    <s v="Daily Sales Import"/>
    <n v="-208.7124"/>
    <n v="208.7124"/>
    <x v="0"/>
    <s v="2230"/>
    <s v="000"/>
    <x v="3"/>
    <x v="2"/>
  </r>
  <r>
    <d v="2013-01-12T00:00:00"/>
    <s v="016-2100-000"/>
    <s v="Food Sales"/>
    <n v="8881.5512000000017"/>
    <n v="0"/>
    <s v="Daily Sales Import"/>
    <n v="-8881.5512000000017"/>
    <n v="8881.5512000000017"/>
    <x v="0"/>
    <s v="2100"/>
    <s v="000"/>
    <x v="3"/>
    <x v="2"/>
  </r>
  <r>
    <d v="2013-01-12T00:00:00"/>
    <s v="016-2210-000"/>
    <s v="Liquor Sales"/>
    <n v="2111.4589999999998"/>
    <n v="0"/>
    <s v="Daily Sales Import"/>
    <n v="-2111.4589999999998"/>
    <n v="2111.4589999999998"/>
    <x v="0"/>
    <s v="2210"/>
    <s v="000"/>
    <x v="3"/>
    <x v="2"/>
  </r>
  <r>
    <d v="2013-01-12T00:00:00"/>
    <s v="016-2220-000"/>
    <s v="Beer Sales"/>
    <n v="412.74360000000001"/>
    <n v="0"/>
    <s v="Daily Sales Import"/>
    <n v="-412.74360000000001"/>
    <n v="412.74360000000001"/>
    <x v="0"/>
    <s v="2220"/>
    <s v="000"/>
    <x v="3"/>
    <x v="2"/>
  </r>
  <r>
    <d v="2013-01-12T00:00:00"/>
    <s v="016-2230-000"/>
    <s v="Wine Sales"/>
    <n v="202.99369999999999"/>
    <n v="0"/>
    <s v="Daily Sales Import"/>
    <n v="-202.99369999999999"/>
    <n v="202.99369999999999"/>
    <x v="0"/>
    <s v="2230"/>
    <s v="000"/>
    <x v="3"/>
    <x v="2"/>
  </r>
  <r>
    <d v="2013-01-13T00:00:00"/>
    <s v="016-2100-000"/>
    <s v="Food Sales"/>
    <n v="5696.8099000000002"/>
    <n v="0"/>
    <s v="Daily Sales Import"/>
    <n v="-5696.8099000000002"/>
    <n v="5696.8099000000002"/>
    <x v="0"/>
    <s v="2100"/>
    <s v="000"/>
    <x v="3"/>
    <x v="2"/>
  </r>
  <r>
    <d v="2013-01-13T00:00:00"/>
    <s v="016-2210-000"/>
    <s v="Liquor Sales"/>
    <n v="1153.2885000000001"/>
    <n v="0"/>
    <s v="Daily Sales Import"/>
    <n v="-1153.2885000000001"/>
    <n v="1153.2885000000001"/>
    <x v="0"/>
    <s v="2210"/>
    <s v="000"/>
    <x v="3"/>
    <x v="2"/>
  </r>
  <r>
    <d v="2013-01-13T00:00:00"/>
    <s v="016-2220-000"/>
    <s v="Beer Sales"/>
    <n v="222.74479999999997"/>
    <n v="0"/>
    <s v="Daily Sales Import"/>
    <n v="-222.74479999999997"/>
    <n v="222.74479999999997"/>
    <x v="0"/>
    <s v="2220"/>
    <s v="000"/>
    <x v="3"/>
    <x v="2"/>
  </r>
  <r>
    <d v="2013-01-13T00:00:00"/>
    <s v="016-2230-000"/>
    <s v="Wine Sales"/>
    <n v="55.426800000000007"/>
    <n v="0"/>
    <s v="Daily Sales Import"/>
    <n v="-55.426800000000007"/>
    <n v="55.426800000000007"/>
    <x v="0"/>
    <s v="2230"/>
    <s v="000"/>
    <x v="3"/>
    <x v="2"/>
  </r>
  <r>
    <d v="2013-01-07T00:00:00"/>
    <s v="017-2100-000"/>
    <s v="Food Sales"/>
    <n v="3676.1327999999999"/>
    <n v="0"/>
    <s v="Daily Sales Import"/>
    <n v="-3676.1327999999999"/>
    <n v="3676.1327999999999"/>
    <x v="1"/>
    <s v="2100"/>
    <s v="000"/>
    <x v="3"/>
    <x v="2"/>
  </r>
  <r>
    <d v="2013-01-07T00:00:00"/>
    <s v="017-2210-000"/>
    <s v="Liquor Sales"/>
    <n v="676.21199999999999"/>
    <n v="0"/>
    <s v="Daily Sales Import"/>
    <n v="-676.21199999999999"/>
    <n v="676.21199999999999"/>
    <x v="1"/>
    <s v="2210"/>
    <s v="000"/>
    <x v="3"/>
    <x v="2"/>
  </r>
  <r>
    <d v="2013-01-07T00:00:00"/>
    <s v="017-2220-000"/>
    <s v="Beer Sales"/>
    <n v="288.392"/>
    <n v="0"/>
    <s v="Daily Sales Import"/>
    <n v="-288.392"/>
    <n v="288.392"/>
    <x v="1"/>
    <s v="2220"/>
    <s v="000"/>
    <x v="3"/>
    <x v="2"/>
  </r>
  <r>
    <d v="2013-01-07T00:00:00"/>
    <s v="017-2230-000"/>
    <s v="Wine Sales"/>
    <n v="70.435199999999995"/>
    <n v="0"/>
    <s v="Daily Sales Import"/>
    <n v="-70.435199999999995"/>
    <n v="70.435199999999995"/>
    <x v="1"/>
    <s v="2230"/>
    <s v="000"/>
    <x v="3"/>
    <x v="2"/>
  </r>
  <r>
    <d v="2013-01-08T00:00:00"/>
    <s v="017-2100-000"/>
    <s v="Food Sales"/>
    <n v="4735.8209000000006"/>
    <n v="0"/>
    <s v="Daily Sales Import"/>
    <n v="-4735.8209000000006"/>
    <n v="4735.8209000000006"/>
    <x v="1"/>
    <s v="2100"/>
    <s v="000"/>
    <x v="3"/>
    <x v="2"/>
  </r>
  <r>
    <d v="2013-01-08T00:00:00"/>
    <s v="017-2210-000"/>
    <s v="Liquor Sales"/>
    <n v="874.77"/>
    <n v="0"/>
    <s v="Daily Sales Import"/>
    <n v="-874.77"/>
    <n v="874.77"/>
    <x v="1"/>
    <s v="2210"/>
    <s v="000"/>
    <x v="3"/>
    <x v="2"/>
  </r>
  <r>
    <d v="2013-01-08T00:00:00"/>
    <s v="017-2220-000"/>
    <s v="Beer Sales"/>
    <n v="226.26"/>
    <n v="0"/>
    <s v="Daily Sales Import"/>
    <n v="-226.26"/>
    <n v="226.26"/>
    <x v="1"/>
    <s v="2220"/>
    <s v="000"/>
    <x v="3"/>
    <x v="2"/>
  </r>
  <r>
    <d v="2013-01-08T00:00:00"/>
    <s v="017-2230-000"/>
    <s v="Wine Sales"/>
    <n v="71.036000000000001"/>
    <n v="0"/>
    <s v="Daily Sales Import"/>
    <n v="-71.036000000000001"/>
    <n v="71.036000000000001"/>
    <x v="1"/>
    <s v="2230"/>
    <s v="000"/>
    <x v="3"/>
    <x v="2"/>
  </r>
  <r>
    <d v="2013-01-09T00:00:00"/>
    <s v="017-2100-000"/>
    <s v="Food Sales"/>
    <n v="6261.8734999999997"/>
    <n v="0"/>
    <s v="Daily Sales Import"/>
    <n v="-6261.8734999999997"/>
    <n v="6261.8734999999997"/>
    <x v="1"/>
    <s v="2100"/>
    <s v="000"/>
    <x v="3"/>
    <x v="2"/>
  </r>
  <r>
    <d v="2013-01-09T00:00:00"/>
    <s v="017-2210-000"/>
    <s v="Liquor Sales"/>
    <n v="1342.7656999999999"/>
    <n v="0"/>
    <s v="Daily Sales Import"/>
    <n v="-1342.7656999999999"/>
    <n v="1342.7656999999999"/>
    <x v="1"/>
    <s v="2210"/>
    <s v="000"/>
    <x v="3"/>
    <x v="2"/>
  </r>
  <r>
    <d v="2013-01-09T00:00:00"/>
    <s v="017-2220-000"/>
    <s v="Beer Sales"/>
    <n v="282.65719999999999"/>
    <n v="0"/>
    <s v="Daily Sales Import"/>
    <n v="-282.65719999999999"/>
    <n v="282.65719999999999"/>
    <x v="1"/>
    <s v="2220"/>
    <s v="000"/>
    <x v="3"/>
    <x v="2"/>
  </r>
  <r>
    <d v="2013-01-09T00:00:00"/>
    <s v="017-2230-000"/>
    <s v="Wine Sales"/>
    <n v="68.807000000000002"/>
    <n v="0"/>
    <s v="Daily Sales Import"/>
    <n v="-68.807000000000002"/>
    <n v="68.807000000000002"/>
    <x v="1"/>
    <s v="2230"/>
    <s v="000"/>
    <x v="3"/>
    <x v="2"/>
  </r>
  <r>
    <d v="2013-01-10T00:00:00"/>
    <s v="017-2100-000"/>
    <s v="Food Sales"/>
    <n v="3938.9845000000005"/>
    <n v="0"/>
    <s v="Daily Sales Import"/>
    <n v="-3938.9845000000005"/>
    <n v="3938.9845000000005"/>
    <x v="1"/>
    <s v="2100"/>
    <s v="000"/>
    <x v="3"/>
    <x v="2"/>
  </r>
  <r>
    <d v="2013-01-10T00:00:00"/>
    <s v="017-2210-000"/>
    <s v="Liquor Sales"/>
    <n v="1229.894"/>
    <n v="0"/>
    <s v="Daily Sales Import"/>
    <n v="-1229.894"/>
    <n v="1229.894"/>
    <x v="1"/>
    <s v="2210"/>
    <s v="000"/>
    <x v="3"/>
    <x v="2"/>
  </r>
  <r>
    <d v="2013-01-10T00:00:00"/>
    <s v="017-2220-000"/>
    <s v="Beer Sales"/>
    <n v="545.62080000000003"/>
    <n v="0"/>
    <s v="Daily Sales Import"/>
    <n v="-545.62080000000003"/>
    <n v="545.62080000000003"/>
    <x v="1"/>
    <s v="2220"/>
    <s v="000"/>
    <x v="3"/>
    <x v="2"/>
  </r>
  <r>
    <d v="2013-01-10T00:00:00"/>
    <s v="017-2230-000"/>
    <s v="Wine Sales"/>
    <n v="176.14959999999999"/>
    <n v="0"/>
    <s v="Daily Sales Import"/>
    <n v="-176.14959999999999"/>
    <n v="176.14959999999999"/>
    <x v="1"/>
    <s v="2230"/>
    <s v="000"/>
    <x v="3"/>
    <x v="2"/>
  </r>
  <r>
    <d v="2013-01-11T00:00:00"/>
    <s v="017-2100-000"/>
    <s v="Food Sales"/>
    <n v="8676.9600000000009"/>
    <n v="0"/>
    <s v="Daily Sales Import"/>
    <n v="-8676.9600000000009"/>
    <n v="8676.9600000000009"/>
    <x v="1"/>
    <s v="2100"/>
    <s v="000"/>
    <x v="3"/>
    <x v="2"/>
  </r>
  <r>
    <d v="2013-01-11T00:00:00"/>
    <s v="017-2210-000"/>
    <s v="Liquor Sales"/>
    <n v="2813.0432000000001"/>
    <n v="0"/>
    <s v="Daily Sales Import"/>
    <n v="-2813.0432000000001"/>
    <n v="2813.0432000000001"/>
    <x v="1"/>
    <s v="2210"/>
    <s v="000"/>
    <x v="3"/>
    <x v="2"/>
  </r>
  <r>
    <d v="2013-01-11T00:00:00"/>
    <s v="017-2220-000"/>
    <s v="Beer Sales"/>
    <n v="563.69929999999999"/>
    <n v="0"/>
    <s v="Daily Sales Import"/>
    <n v="-563.69929999999999"/>
    <n v="563.69929999999999"/>
    <x v="1"/>
    <s v="2220"/>
    <s v="000"/>
    <x v="3"/>
    <x v="2"/>
  </r>
  <r>
    <d v="2013-01-11T00:00:00"/>
    <s v="017-2230-000"/>
    <s v="Wine Sales"/>
    <n v="198.81359999999998"/>
    <n v="0"/>
    <s v="Daily Sales Import"/>
    <n v="-198.81359999999998"/>
    <n v="198.81359999999998"/>
    <x v="1"/>
    <s v="2230"/>
    <s v="000"/>
    <x v="3"/>
    <x v="2"/>
  </r>
  <r>
    <d v="2013-01-12T00:00:00"/>
    <s v="017-2100-000"/>
    <s v="Food Sales"/>
    <n v="8955.4833999999992"/>
    <n v="0"/>
    <s v="Daily Sales Import"/>
    <n v="-8955.4833999999992"/>
    <n v="8955.4833999999992"/>
    <x v="1"/>
    <s v="2100"/>
    <s v="000"/>
    <x v="3"/>
    <x v="2"/>
  </r>
  <r>
    <d v="2013-01-12T00:00:00"/>
    <s v="017-2210-000"/>
    <s v="Liquor Sales"/>
    <n v="1735.6239"/>
    <n v="0"/>
    <s v="Daily Sales Import"/>
    <n v="-1735.6239"/>
    <n v="1735.6239"/>
    <x v="1"/>
    <s v="2210"/>
    <s v="000"/>
    <x v="3"/>
    <x v="2"/>
  </r>
  <r>
    <d v="2013-01-12T00:00:00"/>
    <s v="017-2220-000"/>
    <s v="Beer Sales"/>
    <n v="478.48669999999998"/>
    <n v="0"/>
    <s v="Daily Sales Import"/>
    <n v="-478.48669999999998"/>
    <n v="478.48669999999998"/>
    <x v="1"/>
    <s v="2220"/>
    <s v="000"/>
    <x v="3"/>
    <x v="2"/>
  </r>
  <r>
    <d v="2013-01-12T00:00:00"/>
    <s v="017-2230-000"/>
    <s v="Wine Sales"/>
    <n v="171.59220000000002"/>
    <n v="0"/>
    <s v="Daily Sales Import"/>
    <n v="-171.59220000000002"/>
    <n v="171.59220000000002"/>
    <x v="1"/>
    <s v="2230"/>
    <s v="000"/>
    <x v="3"/>
    <x v="2"/>
  </r>
  <r>
    <d v="2013-01-13T00:00:00"/>
    <s v="017-2100-000"/>
    <s v="Food Sales"/>
    <n v="3320.0533999999993"/>
    <n v="0"/>
    <s v="Daily Sales Import"/>
    <n v="-3320.0533999999993"/>
    <n v="3320.0533999999993"/>
    <x v="1"/>
    <s v="2100"/>
    <s v="000"/>
    <x v="3"/>
    <x v="2"/>
  </r>
  <r>
    <d v="2013-01-13T00:00:00"/>
    <s v="017-2210-000"/>
    <s v="Liquor Sales"/>
    <n v="840.7962"/>
    <n v="0"/>
    <s v="Daily Sales Import"/>
    <n v="-840.7962"/>
    <n v="840.7962"/>
    <x v="1"/>
    <s v="2210"/>
    <s v="000"/>
    <x v="3"/>
    <x v="2"/>
  </r>
  <r>
    <d v="2013-01-13T00:00:00"/>
    <s v="017-2220-000"/>
    <s v="Beer Sales"/>
    <n v="210.30479999999997"/>
    <n v="0"/>
    <s v="Daily Sales Import"/>
    <n v="-210.30479999999997"/>
    <n v="210.30479999999997"/>
    <x v="1"/>
    <s v="2220"/>
    <s v="000"/>
    <x v="3"/>
    <x v="2"/>
  </r>
  <r>
    <d v="2013-01-13T00:00:00"/>
    <s v="017-2230-000"/>
    <s v="Wine Sales"/>
    <n v="116.7075"/>
    <n v="0"/>
    <s v="Daily Sales Import"/>
    <n v="-116.7075"/>
    <n v="116.7075"/>
    <x v="1"/>
    <s v="2230"/>
    <s v="000"/>
    <x v="3"/>
    <x v="2"/>
  </r>
  <r>
    <d v="2013-01-07T00:00:00"/>
    <s v="018-2100-000"/>
    <s v="Food Sales"/>
    <n v="1797.8286000000001"/>
    <n v="0"/>
    <s v="Daily Sales Import"/>
    <n v="-1797.8286000000001"/>
    <n v="1797.8286000000001"/>
    <x v="2"/>
    <s v="2100"/>
    <s v="000"/>
    <x v="3"/>
    <x v="2"/>
  </r>
  <r>
    <d v="2013-01-07T00:00:00"/>
    <s v="018-2210-000"/>
    <s v="Liquor Sales"/>
    <n v="249.94200000000001"/>
    <n v="0"/>
    <s v="Daily Sales Import"/>
    <n v="-249.94200000000001"/>
    <n v="249.94200000000001"/>
    <x v="2"/>
    <s v="2210"/>
    <s v="000"/>
    <x v="3"/>
    <x v="2"/>
  </r>
  <r>
    <d v="2013-01-07T00:00:00"/>
    <s v="018-2220-000"/>
    <s v="Beer Sales"/>
    <n v="69.426000000000002"/>
    <n v="0"/>
    <s v="Daily Sales Import"/>
    <n v="-69.426000000000002"/>
    <n v="69.426000000000002"/>
    <x v="2"/>
    <s v="2220"/>
    <s v="000"/>
    <x v="3"/>
    <x v="2"/>
  </r>
  <r>
    <d v="2013-01-07T00:00:00"/>
    <s v="018-2230-000"/>
    <s v="Wine Sales"/>
    <n v="18.843499999999999"/>
    <n v="0"/>
    <s v="Daily Sales Import"/>
    <n v="-18.843499999999999"/>
    <n v="18.843499999999999"/>
    <x v="2"/>
    <s v="2230"/>
    <s v="000"/>
    <x v="3"/>
    <x v="2"/>
  </r>
  <r>
    <d v="2013-01-08T00:00:00"/>
    <s v="018-2100-000"/>
    <s v="Food Sales"/>
    <n v="3029.2231999999999"/>
    <n v="0"/>
    <s v="Daily Sales Import"/>
    <n v="-3029.2231999999999"/>
    <n v="3029.2231999999999"/>
    <x v="2"/>
    <s v="2100"/>
    <s v="000"/>
    <x v="3"/>
    <x v="2"/>
  </r>
  <r>
    <d v="2013-01-08T00:00:00"/>
    <s v="018-2210-000"/>
    <s v="Liquor Sales"/>
    <n v="230.46800000000002"/>
    <n v="0"/>
    <s v="Daily Sales Import"/>
    <n v="-230.46800000000002"/>
    <n v="230.46800000000002"/>
    <x v="2"/>
    <s v="2210"/>
    <s v="000"/>
    <x v="3"/>
    <x v="2"/>
  </r>
  <r>
    <d v="2013-01-08T00:00:00"/>
    <s v="018-2220-000"/>
    <s v="Beer Sales"/>
    <n v="71.034499999999994"/>
    <n v="0"/>
    <s v="Daily Sales Import"/>
    <n v="-71.034499999999994"/>
    <n v="71.034499999999994"/>
    <x v="2"/>
    <s v="2220"/>
    <s v="000"/>
    <x v="3"/>
    <x v="2"/>
  </r>
  <r>
    <d v="2013-01-08T00:00:00"/>
    <s v="018-2230-000"/>
    <s v="Wine Sales"/>
    <n v="35.244399999999999"/>
    <n v="0"/>
    <s v="Daily Sales Import"/>
    <n v="-35.244399999999999"/>
    <n v="35.244399999999999"/>
    <x v="2"/>
    <s v="2230"/>
    <s v="000"/>
    <x v="3"/>
    <x v="2"/>
  </r>
  <r>
    <d v="2013-01-09T00:00:00"/>
    <s v="018-2100-000"/>
    <s v="Food Sales"/>
    <n v="3387.8441999999995"/>
    <n v="0"/>
    <s v="Daily Sales Import"/>
    <n v="-3387.8441999999995"/>
    <n v="3387.8441999999995"/>
    <x v="2"/>
    <s v="2100"/>
    <s v="000"/>
    <x v="3"/>
    <x v="2"/>
  </r>
  <r>
    <d v="2013-01-09T00:00:00"/>
    <s v="018-2210-000"/>
    <s v="Liquor Sales"/>
    <n v="792.95440000000008"/>
    <n v="0"/>
    <s v="Daily Sales Import"/>
    <n v="-792.95440000000008"/>
    <n v="792.95440000000008"/>
    <x v="2"/>
    <s v="2210"/>
    <s v="000"/>
    <x v="3"/>
    <x v="2"/>
  </r>
  <r>
    <d v="2013-01-09T00:00:00"/>
    <s v="018-2220-000"/>
    <s v="Beer Sales"/>
    <n v="239.10750000000002"/>
    <n v="0"/>
    <s v="Daily Sales Import"/>
    <n v="-239.10750000000002"/>
    <n v="239.10750000000002"/>
    <x v="2"/>
    <s v="2220"/>
    <s v="000"/>
    <x v="3"/>
    <x v="2"/>
  </r>
  <r>
    <d v="2013-01-09T00:00:00"/>
    <s v="018-2230-000"/>
    <s v="Wine Sales"/>
    <n v="39.315300000000001"/>
    <n v="0"/>
    <s v="Daily Sales Import"/>
    <n v="-39.315300000000001"/>
    <n v="39.315300000000001"/>
    <x v="2"/>
    <s v="2230"/>
    <s v="000"/>
    <x v="3"/>
    <x v="2"/>
  </r>
  <r>
    <d v="2013-01-10T00:00:00"/>
    <s v="018-2100-000"/>
    <s v="Food Sales"/>
    <n v="2682.0751"/>
    <n v="0"/>
    <s v="Daily Sales Import"/>
    <n v="-2682.0751"/>
    <n v="2682.0751"/>
    <x v="2"/>
    <s v="2100"/>
    <s v="000"/>
    <x v="3"/>
    <x v="2"/>
  </r>
  <r>
    <d v="2013-01-10T00:00:00"/>
    <s v="018-2210-000"/>
    <s v="Liquor Sales"/>
    <n v="551.46179999999993"/>
    <n v="0"/>
    <s v="Daily Sales Import"/>
    <n v="-551.46179999999993"/>
    <n v="551.46179999999993"/>
    <x v="2"/>
    <s v="2210"/>
    <s v="000"/>
    <x v="3"/>
    <x v="2"/>
  </r>
  <r>
    <d v="2013-01-10T00:00:00"/>
    <s v="018-2220-000"/>
    <s v="Beer Sales"/>
    <n v="234.94220000000001"/>
    <n v="0"/>
    <s v="Daily Sales Import"/>
    <n v="-234.94220000000001"/>
    <n v="234.94220000000001"/>
    <x v="2"/>
    <s v="2220"/>
    <s v="000"/>
    <x v="3"/>
    <x v="2"/>
  </r>
  <r>
    <d v="2013-01-10T00:00:00"/>
    <s v="018-2230-000"/>
    <s v="Wine Sales"/>
    <n v="15.118799999999998"/>
    <n v="0"/>
    <s v="Daily Sales Import"/>
    <n v="-15.118799999999998"/>
    <n v="15.118799999999998"/>
    <x v="2"/>
    <s v="2230"/>
    <s v="000"/>
    <x v="3"/>
    <x v="2"/>
  </r>
  <r>
    <d v="2013-01-11T00:00:00"/>
    <s v="018-2100-000"/>
    <s v="Food Sales"/>
    <n v="8379.5896999999986"/>
    <n v="0"/>
    <s v="Daily Sales Import"/>
    <n v="-8379.5896999999986"/>
    <n v="8379.5896999999986"/>
    <x v="2"/>
    <s v="2100"/>
    <s v="000"/>
    <x v="3"/>
    <x v="2"/>
  </r>
  <r>
    <d v="2013-01-11T00:00:00"/>
    <s v="018-2210-000"/>
    <s v="Liquor Sales"/>
    <n v="2400.0529000000001"/>
    <n v="0"/>
    <s v="Daily Sales Import"/>
    <n v="-2400.0529000000001"/>
    <n v="2400.0529000000001"/>
    <x v="2"/>
    <s v="2210"/>
    <s v="000"/>
    <x v="3"/>
    <x v="2"/>
  </r>
  <r>
    <d v="2013-01-11T00:00:00"/>
    <s v="018-2220-000"/>
    <s v="Beer Sales"/>
    <n v="496.57229999999993"/>
    <n v="0"/>
    <s v="Daily Sales Import"/>
    <n v="-496.57229999999993"/>
    <n v="496.57229999999993"/>
    <x v="2"/>
    <s v="2220"/>
    <s v="000"/>
    <x v="3"/>
    <x v="2"/>
  </r>
  <r>
    <d v="2013-01-11T00:00:00"/>
    <s v="018-2230-000"/>
    <s v="Wine Sales"/>
    <n v="113.955"/>
    <n v="0"/>
    <s v="Daily Sales Import"/>
    <n v="-113.955"/>
    <n v="113.955"/>
    <x v="2"/>
    <s v="2230"/>
    <s v="000"/>
    <x v="3"/>
    <x v="2"/>
  </r>
  <r>
    <d v="2013-01-12T00:00:00"/>
    <s v="018-2100-000"/>
    <s v="Food Sales"/>
    <n v="13308.810300000001"/>
    <n v="0"/>
    <s v="Daily Sales Import"/>
    <n v="-13308.810300000001"/>
    <n v="13308.810300000001"/>
    <x v="2"/>
    <s v="2100"/>
    <s v="000"/>
    <x v="3"/>
    <x v="2"/>
  </r>
  <r>
    <d v="2013-01-12T00:00:00"/>
    <s v="018-2210-000"/>
    <s v="Liquor Sales"/>
    <n v="2463.4798999999998"/>
    <n v="0"/>
    <s v="Daily Sales Import"/>
    <n v="-2463.4798999999998"/>
    <n v="2463.4798999999998"/>
    <x v="2"/>
    <s v="2210"/>
    <s v="000"/>
    <x v="3"/>
    <x v="2"/>
  </r>
  <r>
    <d v="2013-01-12T00:00:00"/>
    <s v="018-2220-000"/>
    <s v="Beer Sales"/>
    <n v="634.30290000000002"/>
    <n v="0"/>
    <s v="Daily Sales Import"/>
    <n v="-634.30290000000002"/>
    <n v="634.30290000000002"/>
    <x v="2"/>
    <s v="2220"/>
    <s v="000"/>
    <x v="3"/>
    <x v="2"/>
  </r>
  <r>
    <d v="2013-01-12T00:00:00"/>
    <s v="018-2230-000"/>
    <s v="Wine Sales"/>
    <n v="113.565"/>
    <n v="0"/>
    <s v="Daily Sales Import"/>
    <n v="-113.565"/>
    <n v="113.565"/>
    <x v="2"/>
    <s v="2230"/>
    <s v="000"/>
    <x v="3"/>
    <x v="2"/>
  </r>
  <r>
    <d v="2013-01-13T00:00:00"/>
    <s v="018-2100-000"/>
    <s v="Food Sales"/>
    <n v="6478.6186000000007"/>
    <n v="0"/>
    <s v="Daily Sales Import"/>
    <n v="-6478.6186000000007"/>
    <n v="6478.6186000000007"/>
    <x v="2"/>
    <s v="2100"/>
    <s v="000"/>
    <x v="3"/>
    <x v="2"/>
  </r>
  <r>
    <d v="2013-01-13T00:00:00"/>
    <s v="018-2210-000"/>
    <s v="Liquor Sales"/>
    <n v="871.38600000000008"/>
    <n v="0"/>
    <s v="Daily Sales Import"/>
    <n v="-871.38600000000008"/>
    <n v="871.38600000000008"/>
    <x v="2"/>
    <s v="2210"/>
    <s v="000"/>
    <x v="3"/>
    <x v="2"/>
  </r>
  <r>
    <d v="2013-01-13T00:00:00"/>
    <s v="018-2220-000"/>
    <s v="Beer Sales"/>
    <n v="204.19290000000001"/>
    <n v="0"/>
    <s v="Daily Sales Import"/>
    <n v="-204.19290000000001"/>
    <n v="204.19290000000001"/>
    <x v="2"/>
    <s v="2220"/>
    <s v="000"/>
    <x v="3"/>
    <x v="2"/>
  </r>
  <r>
    <d v="2013-01-13T00:00:00"/>
    <s v="018-2230-000"/>
    <s v="Wine Sales"/>
    <n v="29.990400000000001"/>
    <n v="0"/>
    <s v="Daily Sales Import"/>
    <n v="-29.990400000000001"/>
    <n v="29.990400000000001"/>
    <x v="2"/>
    <s v="2230"/>
    <s v="000"/>
    <x v="3"/>
    <x v="2"/>
  </r>
  <r>
    <d v="2013-01-14T00:00:00"/>
    <s v="016-2100-000"/>
    <s v="Food Sales"/>
    <n v="2690.1315999999997"/>
    <n v="0"/>
    <s v="Daily Sales Import"/>
    <n v="-2690.1315999999997"/>
    <n v="2690.1315999999997"/>
    <x v="0"/>
    <s v="2100"/>
    <s v="000"/>
    <x v="3"/>
    <x v="2"/>
  </r>
  <r>
    <d v="2013-01-14T00:00:00"/>
    <s v="016-2210-000"/>
    <s v="Liquor Sales"/>
    <n v="701.08860000000004"/>
    <n v="0"/>
    <s v="Daily Sales Import"/>
    <n v="-701.08860000000004"/>
    <n v="701.08860000000004"/>
    <x v="0"/>
    <s v="2210"/>
    <s v="000"/>
    <x v="3"/>
    <x v="2"/>
  </r>
  <r>
    <d v="2013-01-14T00:00:00"/>
    <s v="016-2220-000"/>
    <s v="Beer Sales"/>
    <n v="77.408799999999999"/>
    <n v="0"/>
    <s v="Daily Sales Import"/>
    <n v="-77.408799999999999"/>
    <n v="77.408799999999999"/>
    <x v="0"/>
    <s v="2220"/>
    <s v="000"/>
    <x v="3"/>
    <x v="2"/>
  </r>
  <r>
    <d v="2013-01-14T00:00:00"/>
    <s v="016-2230-000"/>
    <s v="Wine Sales"/>
    <n v="27.373399999999997"/>
    <n v="0"/>
    <s v="Daily Sales Import"/>
    <n v="-27.373399999999997"/>
    <n v="27.373399999999997"/>
    <x v="0"/>
    <s v="2230"/>
    <s v="000"/>
    <x v="3"/>
    <x v="2"/>
  </r>
  <r>
    <d v="2013-01-15T00:00:00"/>
    <s v="016-2100-000"/>
    <s v="Food Sales"/>
    <n v="7370.8544000000002"/>
    <n v="0"/>
    <s v="Daily Sales Import"/>
    <n v="-7370.8544000000002"/>
    <n v="7370.8544000000002"/>
    <x v="0"/>
    <s v="2100"/>
    <s v="000"/>
    <x v="3"/>
    <x v="2"/>
  </r>
  <r>
    <d v="2013-01-15T00:00:00"/>
    <s v="016-2210-000"/>
    <s v="Liquor Sales"/>
    <n v="2132.2132000000001"/>
    <n v="0"/>
    <s v="Daily Sales Import"/>
    <n v="-2132.2132000000001"/>
    <n v="2132.2132000000001"/>
    <x v="0"/>
    <s v="2210"/>
    <s v="000"/>
    <x v="3"/>
    <x v="2"/>
  </r>
  <r>
    <d v="2013-01-15T00:00:00"/>
    <s v="016-2220-000"/>
    <s v="Beer Sales"/>
    <n v="651.60199999999998"/>
    <n v="0"/>
    <s v="Daily Sales Import"/>
    <n v="-651.60199999999998"/>
    <n v="651.60199999999998"/>
    <x v="0"/>
    <s v="2220"/>
    <s v="000"/>
    <x v="3"/>
    <x v="2"/>
  </r>
  <r>
    <d v="2013-01-15T00:00:00"/>
    <s v="016-2230-000"/>
    <s v="Wine Sales"/>
    <n v="233.56040000000002"/>
    <n v="0"/>
    <s v="Daily Sales Import"/>
    <n v="-233.56040000000002"/>
    <n v="233.56040000000002"/>
    <x v="0"/>
    <s v="2230"/>
    <s v="000"/>
    <x v="3"/>
    <x v="2"/>
  </r>
  <r>
    <d v="2013-01-16T00:00:00"/>
    <s v="016-2100-000"/>
    <s v="Food Sales"/>
    <n v="4061.9516999999996"/>
    <n v="0"/>
    <s v="Daily Sales Import"/>
    <n v="-4061.9516999999996"/>
    <n v="4061.9516999999996"/>
    <x v="0"/>
    <s v="2100"/>
    <s v="000"/>
    <x v="3"/>
    <x v="2"/>
  </r>
  <r>
    <d v="2013-01-16T00:00:00"/>
    <s v="016-2210-000"/>
    <s v="Liquor Sales"/>
    <n v="1013.5463"/>
    <n v="0"/>
    <s v="Daily Sales Import"/>
    <n v="-1013.5463"/>
    <n v="1013.5463"/>
    <x v="0"/>
    <s v="2210"/>
    <s v="000"/>
    <x v="3"/>
    <x v="2"/>
  </r>
  <r>
    <d v="2013-01-16T00:00:00"/>
    <s v="016-2220-000"/>
    <s v="Beer Sales"/>
    <n v="137.91239999999999"/>
    <n v="0"/>
    <s v="Daily Sales Import"/>
    <n v="-137.91239999999999"/>
    <n v="137.91239999999999"/>
    <x v="0"/>
    <s v="2220"/>
    <s v="000"/>
    <x v="3"/>
    <x v="2"/>
  </r>
  <r>
    <d v="2013-01-16T00:00:00"/>
    <s v="016-2230-000"/>
    <s v="Wine Sales"/>
    <n v="70.15679999999999"/>
    <n v="0"/>
    <s v="Daily Sales Import"/>
    <n v="-70.15679999999999"/>
    <n v="70.15679999999999"/>
    <x v="0"/>
    <s v="2230"/>
    <s v="000"/>
    <x v="3"/>
    <x v="2"/>
  </r>
  <r>
    <d v="2013-01-17T00:00:00"/>
    <s v="016-2100-000"/>
    <s v="Food Sales"/>
    <n v="2037.7216000000001"/>
    <n v="0"/>
    <s v="Daily Sales Import"/>
    <n v="-2037.7216000000001"/>
    <n v="2037.7216000000001"/>
    <x v="0"/>
    <s v="2100"/>
    <s v="000"/>
    <x v="3"/>
    <x v="2"/>
  </r>
  <r>
    <d v="2013-01-17T00:00:00"/>
    <s v="016-2210-000"/>
    <s v="Liquor Sales"/>
    <n v="819.88099999999997"/>
    <n v="0"/>
    <s v="Daily Sales Import"/>
    <n v="-819.88099999999997"/>
    <n v="819.88099999999997"/>
    <x v="0"/>
    <s v="2210"/>
    <s v="000"/>
    <x v="3"/>
    <x v="2"/>
  </r>
  <r>
    <d v="2013-01-17T00:00:00"/>
    <s v="016-2220-000"/>
    <s v="Beer Sales"/>
    <n v="159.0668"/>
    <n v="0"/>
    <s v="Daily Sales Import"/>
    <n v="-159.0668"/>
    <n v="159.0668"/>
    <x v="0"/>
    <s v="2220"/>
    <s v="000"/>
    <x v="3"/>
    <x v="2"/>
  </r>
  <r>
    <d v="2013-01-17T00:00:00"/>
    <s v="016-2230-000"/>
    <s v="Wine Sales"/>
    <n v="90.323100000000011"/>
    <n v="0"/>
    <s v="Daily Sales Import"/>
    <n v="-90.323100000000011"/>
    <n v="90.323100000000011"/>
    <x v="0"/>
    <s v="2230"/>
    <s v="000"/>
    <x v="3"/>
    <x v="2"/>
  </r>
  <r>
    <d v="2013-01-18T00:00:00"/>
    <s v="016-2100-000"/>
    <s v="Food Sales"/>
    <n v="7015.9062000000004"/>
    <n v="0"/>
    <s v="Daily Sales Import"/>
    <n v="-7015.9062000000004"/>
    <n v="7015.9062000000004"/>
    <x v="0"/>
    <s v="2100"/>
    <s v="000"/>
    <x v="3"/>
    <x v="2"/>
  </r>
  <r>
    <d v="2013-01-18T00:00:00"/>
    <s v="016-2210-000"/>
    <s v="Liquor Sales"/>
    <n v="1575.693"/>
    <n v="0"/>
    <s v="Daily Sales Import"/>
    <n v="-1575.693"/>
    <n v="1575.693"/>
    <x v="0"/>
    <s v="2210"/>
    <s v="000"/>
    <x v="3"/>
    <x v="2"/>
  </r>
  <r>
    <d v="2013-01-18T00:00:00"/>
    <s v="016-2220-000"/>
    <s v="Beer Sales"/>
    <n v="351.48600000000005"/>
    <n v="0"/>
    <s v="Daily Sales Import"/>
    <n v="-351.48600000000005"/>
    <n v="351.48600000000005"/>
    <x v="0"/>
    <s v="2220"/>
    <s v="000"/>
    <x v="3"/>
    <x v="2"/>
  </r>
  <r>
    <d v="2013-01-18T00:00:00"/>
    <s v="016-2230-000"/>
    <s v="Wine Sales"/>
    <n v="200.94759999999999"/>
    <n v="0"/>
    <s v="Daily Sales Import"/>
    <n v="-200.94759999999999"/>
    <n v="200.94759999999999"/>
    <x v="0"/>
    <s v="2230"/>
    <s v="000"/>
    <x v="3"/>
    <x v="2"/>
  </r>
  <r>
    <d v="2013-01-19T00:00:00"/>
    <s v="016-2100-000"/>
    <s v="Food Sales"/>
    <n v="7545.4680000000008"/>
    <n v="0"/>
    <s v="Daily Sales Import"/>
    <n v="-7545.4680000000008"/>
    <n v="7545.4680000000008"/>
    <x v="0"/>
    <s v="2100"/>
    <s v="000"/>
    <x v="3"/>
    <x v="2"/>
  </r>
  <r>
    <d v="2013-01-19T00:00:00"/>
    <s v="016-2210-000"/>
    <s v="Liquor Sales"/>
    <n v="3210.922"/>
    <n v="0"/>
    <s v="Daily Sales Import"/>
    <n v="-3210.922"/>
    <n v="3210.922"/>
    <x v="0"/>
    <s v="2210"/>
    <s v="000"/>
    <x v="3"/>
    <x v="2"/>
  </r>
  <r>
    <d v="2013-01-19T00:00:00"/>
    <s v="016-2220-000"/>
    <s v="Beer Sales"/>
    <n v="1440.9759000000001"/>
    <n v="0"/>
    <s v="Daily Sales Import"/>
    <n v="-1440.9759000000001"/>
    <n v="1440.9759000000001"/>
    <x v="0"/>
    <s v="2220"/>
    <s v="000"/>
    <x v="3"/>
    <x v="2"/>
  </r>
  <r>
    <d v="2013-01-19T00:00:00"/>
    <s v="016-2230-000"/>
    <s v="Wine Sales"/>
    <n v="393.23899999999998"/>
    <n v="0"/>
    <s v="Daily Sales Import"/>
    <n v="-393.23899999999998"/>
    <n v="393.23899999999998"/>
    <x v="0"/>
    <s v="2230"/>
    <s v="000"/>
    <x v="3"/>
    <x v="2"/>
  </r>
  <r>
    <d v="2013-01-20T00:00:00"/>
    <s v="016-2100-000"/>
    <s v="Food Sales"/>
    <n v="5540.1449999999995"/>
    <n v="0"/>
    <s v="Daily Sales Import"/>
    <n v="-5540.1449999999995"/>
    <n v="5540.1449999999995"/>
    <x v="0"/>
    <s v="2100"/>
    <s v="000"/>
    <x v="3"/>
    <x v="2"/>
  </r>
  <r>
    <d v="2013-01-20T00:00:00"/>
    <s v="016-2210-000"/>
    <s v="Liquor Sales"/>
    <n v="1218.1239"/>
    <n v="0"/>
    <s v="Daily Sales Import"/>
    <n v="-1218.1239"/>
    <n v="1218.1239"/>
    <x v="0"/>
    <s v="2210"/>
    <s v="000"/>
    <x v="3"/>
    <x v="2"/>
  </r>
  <r>
    <d v="2013-01-20T00:00:00"/>
    <s v="016-2220-000"/>
    <s v="Beer Sales"/>
    <n v="263.20319999999998"/>
    <n v="0"/>
    <s v="Daily Sales Import"/>
    <n v="-263.20319999999998"/>
    <n v="263.20319999999998"/>
    <x v="0"/>
    <s v="2220"/>
    <s v="000"/>
    <x v="3"/>
    <x v="2"/>
  </r>
  <r>
    <d v="2013-01-20T00:00:00"/>
    <s v="016-2230-000"/>
    <s v="Wine Sales"/>
    <n v="130.18679999999998"/>
    <n v="0"/>
    <s v="Daily Sales Import"/>
    <n v="-130.18679999999998"/>
    <n v="130.18679999999998"/>
    <x v="0"/>
    <s v="2230"/>
    <s v="000"/>
    <x v="3"/>
    <x v="2"/>
  </r>
  <r>
    <d v="2013-01-14T00:00:00"/>
    <s v="017-2100-000"/>
    <s v="Food Sales"/>
    <n v="3680.5569999999998"/>
    <n v="0"/>
    <s v="Daily Sales Import"/>
    <n v="-3680.5569999999998"/>
    <n v="3680.5569999999998"/>
    <x v="1"/>
    <s v="2100"/>
    <s v="000"/>
    <x v="3"/>
    <x v="2"/>
  </r>
  <r>
    <d v="2013-01-14T00:00:00"/>
    <s v="017-2210-000"/>
    <s v="Liquor Sales"/>
    <n v="493.36539999999997"/>
    <n v="0"/>
    <s v="Daily Sales Import"/>
    <n v="-493.36539999999997"/>
    <n v="493.36539999999997"/>
    <x v="1"/>
    <s v="2210"/>
    <s v="000"/>
    <x v="3"/>
    <x v="2"/>
  </r>
  <r>
    <d v="2013-01-14T00:00:00"/>
    <s v="017-2220-000"/>
    <s v="Beer Sales"/>
    <n v="167.172"/>
    <n v="0"/>
    <s v="Daily Sales Import"/>
    <n v="-167.172"/>
    <n v="167.172"/>
    <x v="1"/>
    <s v="2220"/>
    <s v="000"/>
    <x v="3"/>
    <x v="2"/>
  </r>
  <r>
    <d v="2013-01-14T00:00:00"/>
    <s v="017-2230-000"/>
    <s v="Wine Sales"/>
    <n v="54.536300000000004"/>
    <n v="0"/>
    <s v="Daily Sales Import"/>
    <n v="-54.536300000000004"/>
    <n v="54.536300000000004"/>
    <x v="1"/>
    <s v="2230"/>
    <s v="000"/>
    <x v="3"/>
    <x v="2"/>
  </r>
  <r>
    <d v="2013-01-15T00:00:00"/>
    <s v="017-2100-000"/>
    <s v="Food Sales"/>
    <n v="4571.6916999999994"/>
    <n v="0"/>
    <s v="Daily Sales Import"/>
    <n v="-4571.6916999999994"/>
    <n v="4571.6916999999994"/>
    <x v="1"/>
    <s v="2100"/>
    <s v="000"/>
    <x v="3"/>
    <x v="2"/>
  </r>
  <r>
    <d v="2013-01-15T00:00:00"/>
    <s v="017-2210-000"/>
    <s v="Liquor Sales"/>
    <n v="1480.1402"/>
    <n v="0"/>
    <s v="Daily Sales Import"/>
    <n v="-1480.1402"/>
    <n v="1480.1402"/>
    <x v="1"/>
    <s v="2210"/>
    <s v="000"/>
    <x v="3"/>
    <x v="2"/>
  </r>
  <r>
    <d v="2013-01-15T00:00:00"/>
    <s v="017-2220-000"/>
    <s v="Beer Sales"/>
    <n v="602.25720000000001"/>
    <n v="0"/>
    <s v="Daily Sales Import"/>
    <n v="-602.25720000000001"/>
    <n v="602.25720000000001"/>
    <x v="1"/>
    <s v="2220"/>
    <s v="000"/>
    <x v="3"/>
    <x v="2"/>
  </r>
  <r>
    <d v="2013-01-15T00:00:00"/>
    <s v="017-2230-000"/>
    <s v="Wine Sales"/>
    <n v="152.88919999999999"/>
    <n v="0"/>
    <s v="Daily Sales Import"/>
    <n v="-152.88919999999999"/>
    <n v="152.88919999999999"/>
    <x v="1"/>
    <s v="2230"/>
    <s v="000"/>
    <x v="3"/>
    <x v="2"/>
  </r>
  <r>
    <d v="2013-01-16T00:00:00"/>
    <s v="017-2100-000"/>
    <s v="Food Sales"/>
    <n v="7923.5496000000003"/>
    <n v="0"/>
    <s v="Daily Sales Import"/>
    <n v="-7923.5496000000003"/>
    <n v="7923.5496000000003"/>
    <x v="1"/>
    <s v="2100"/>
    <s v="000"/>
    <x v="3"/>
    <x v="2"/>
  </r>
  <r>
    <d v="2013-01-16T00:00:00"/>
    <s v="017-2210-000"/>
    <s v="Liquor Sales"/>
    <n v="2130.5738999999999"/>
    <n v="0"/>
    <s v="Daily Sales Import"/>
    <n v="-2130.5738999999999"/>
    <n v="2130.5738999999999"/>
    <x v="1"/>
    <s v="2210"/>
    <s v="000"/>
    <x v="3"/>
    <x v="2"/>
  </r>
  <r>
    <d v="2013-01-16T00:00:00"/>
    <s v="017-2220-000"/>
    <s v="Beer Sales"/>
    <n v="543.24350000000004"/>
    <n v="0"/>
    <s v="Daily Sales Import"/>
    <n v="-543.24350000000004"/>
    <n v="543.24350000000004"/>
    <x v="1"/>
    <s v="2220"/>
    <s v="000"/>
    <x v="3"/>
    <x v="2"/>
  </r>
  <r>
    <d v="2013-01-16T00:00:00"/>
    <s v="017-2230-000"/>
    <s v="Wine Sales"/>
    <n v="139.6146"/>
    <n v="0"/>
    <s v="Daily Sales Import"/>
    <n v="-139.6146"/>
    <n v="139.6146"/>
    <x v="1"/>
    <s v="2230"/>
    <s v="000"/>
    <x v="3"/>
    <x v="2"/>
  </r>
  <r>
    <d v="2013-01-17T00:00:00"/>
    <s v="017-2100-000"/>
    <s v="Food Sales"/>
    <n v="5175.6552000000001"/>
    <n v="0"/>
    <s v="Daily Sales Import"/>
    <n v="-5175.6552000000001"/>
    <n v="5175.6552000000001"/>
    <x v="1"/>
    <s v="2100"/>
    <s v="000"/>
    <x v="3"/>
    <x v="2"/>
  </r>
  <r>
    <d v="2013-01-17T00:00:00"/>
    <s v="017-2210-000"/>
    <s v="Liquor Sales"/>
    <n v="1068.1713"/>
    <n v="0"/>
    <s v="Daily Sales Import"/>
    <n v="-1068.1713"/>
    <n v="1068.1713"/>
    <x v="1"/>
    <s v="2210"/>
    <s v="000"/>
    <x v="3"/>
    <x v="2"/>
  </r>
  <r>
    <d v="2013-01-17T00:00:00"/>
    <s v="017-2220-000"/>
    <s v="Beer Sales"/>
    <n v="426.88100000000003"/>
    <n v="0"/>
    <s v="Daily Sales Import"/>
    <n v="-426.88100000000003"/>
    <n v="426.88100000000003"/>
    <x v="1"/>
    <s v="2220"/>
    <s v="000"/>
    <x v="3"/>
    <x v="2"/>
  </r>
  <r>
    <d v="2013-01-17T00:00:00"/>
    <s v="017-2230-000"/>
    <s v="Wine Sales"/>
    <n v="327.28159999999997"/>
    <n v="0"/>
    <s v="Daily Sales Import"/>
    <n v="-327.28159999999997"/>
    <n v="327.28159999999997"/>
    <x v="1"/>
    <s v="2230"/>
    <s v="000"/>
    <x v="3"/>
    <x v="2"/>
  </r>
  <r>
    <d v="2013-01-18T00:00:00"/>
    <s v="017-2100-000"/>
    <s v="Food Sales"/>
    <n v="9141.5610000000015"/>
    <n v="0"/>
    <s v="Daily Sales Import"/>
    <n v="-9141.5610000000015"/>
    <n v="9141.5610000000015"/>
    <x v="1"/>
    <s v="2100"/>
    <s v="000"/>
    <x v="3"/>
    <x v="2"/>
  </r>
  <r>
    <d v="2013-01-18T00:00:00"/>
    <s v="017-2210-000"/>
    <s v="Liquor Sales"/>
    <n v="1840.8126000000002"/>
    <n v="0"/>
    <s v="Daily Sales Import"/>
    <n v="-1840.8126000000002"/>
    <n v="1840.8126000000002"/>
    <x v="1"/>
    <s v="2210"/>
    <s v="000"/>
    <x v="3"/>
    <x v="2"/>
  </r>
  <r>
    <d v="2013-01-18T00:00:00"/>
    <s v="017-2220-000"/>
    <s v="Beer Sales"/>
    <n v="350.16300000000001"/>
    <n v="0"/>
    <s v="Daily Sales Import"/>
    <n v="-350.16300000000001"/>
    <n v="350.16300000000001"/>
    <x v="1"/>
    <s v="2220"/>
    <s v="000"/>
    <x v="3"/>
    <x v="2"/>
  </r>
  <r>
    <d v="2013-01-18T00:00:00"/>
    <s v="017-2230-000"/>
    <s v="Wine Sales"/>
    <n v="126.2184"/>
    <n v="0"/>
    <s v="Daily Sales Import"/>
    <n v="-126.2184"/>
    <n v="126.2184"/>
    <x v="1"/>
    <s v="2230"/>
    <s v="000"/>
    <x v="3"/>
    <x v="2"/>
  </r>
  <r>
    <d v="2013-01-19T00:00:00"/>
    <s v="017-2100-000"/>
    <s v="Food Sales"/>
    <n v="9675.5120000000006"/>
    <n v="0"/>
    <s v="Daily Sales Import"/>
    <n v="-9675.5120000000006"/>
    <n v="9675.5120000000006"/>
    <x v="1"/>
    <s v="2100"/>
    <s v="000"/>
    <x v="3"/>
    <x v="2"/>
  </r>
  <r>
    <d v="2013-01-19T00:00:00"/>
    <s v="017-2210-000"/>
    <s v="Liquor Sales"/>
    <n v="3126.0358000000001"/>
    <n v="0"/>
    <s v="Daily Sales Import"/>
    <n v="-3126.0358000000001"/>
    <n v="3126.0358000000001"/>
    <x v="1"/>
    <s v="2210"/>
    <s v="000"/>
    <x v="3"/>
    <x v="2"/>
  </r>
  <r>
    <d v="2013-01-19T00:00:00"/>
    <s v="017-2220-000"/>
    <s v="Beer Sales"/>
    <n v="493.13009999999997"/>
    <n v="0"/>
    <s v="Daily Sales Import"/>
    <n v="-493.13009999999997"/>
    <n v="493.13009999999997"/>
    <x v="1"/>
    <s v="2220"/>
    <s v="000"/>
    <x v="3"/>
    <x v="2"/>
  </r>
  <r>
    <d v="2013-01-19T00:00:00"/>
    <s v="017-2230-000"/>
    <s v="Wine Sales"/>
    <n v="207.70620000000002"/>
    <n v="0"/>
    <s v="Daily Sales Import"/>
    <n v="-207.70620000000002"/>
    <n v="207.70620000000002"/>
    <x v="1"/>
    <s v="2230"/>
    <s v="000"/>
    <x v="3"/>
    <x v="2"/>
  </r>
  <r>
    <d v="2013-01-20T00:00:00"/>
    <s v="017-2100-000"/>
    <s v="Food Sales"/>
    <n v="4186.4297999999999"/>
    <n v="0"/>
    <s v="Daily Sales Import"/>
    <n v="-4186.4297999999999"/>
    <n v="4186.4297999999999"/>
    <x v="1"/>
    <s v="2100"/>
    <s v="000"/>
    <x v="3"/>
    <x v="2"/>
  </r>
  <r>
    <d v="2013-01-20T00:00:00"/>
    <s v="017-2210-000"/>
    <s v="Liquor Sales"/>
    <n v="1025.5790999999999"/>
    <n v="0"/>
    <s v="Daily Sales Import"/>
    <n v="-1025.5790999999999"/>
    <n v="1025.5790999999999"/>
    <x v="1"/>
    <s v="2210"/>
    <s v="000"/>
    <x v="3"/>
    <x v="2"/>
  </r>
  <r>
    <d v="2013-01-20T00:00:00"/>
    <s v="017-2220-000"/>
    <s v="Beer Sales"/>
    <n v="150.696"/>
    <n v="0"/>
    <s v="Daily Sales Import"/>
    <n v="-150.696"/>
    <n v="150.696"/>
    <x v="1"/>
    <s v="2220"/>
    <s v="000"/>
    <x v="3"/>
    <x v="2"/>
  </r>
  <r>
    <d v="2013-01-20T00:00:00"/>
    <s v="017-2230-000"/>
    <s v="Wine Sales"/>
    <n v="92.257600000000011"/>
    <n v="0"/>
    <s v="Daily Sales Import"/>
    <n v="-92.257600000000011"/>
    <n v="92.257600000000011"/>
    <x v="1"/>
    <s v="2230"/>
    <s v="000"/>
    <x v="3"/>
    <x v="2"/>
  </r>
  <r>
    <d v="2013-01-14T00:00:00"/>
    <s v="018-2100-000"/>
    <s v="Food Sales"/>
    <n v="2001.0759999999998"/>
    <n v="0"/>
    <s v="Daily Sales Import"/>
    <n v="-2001.0759999999998"/>
    <n v="2001.0759999999998"/>
    <x v="2"/>
    <s v="2100"/>
    <s v="000"/>
    <x v="3"/>
    <x v="2"/>
  </r>
  <r>
    <d v="2013-01-14T00:00:00"/>
    <s v="018-2210-000"/>
    <s v="Liquor Sales"/>
    <n v="300.07040000000001"/>
    <n v="0"/>
    <s v="Daily Sales Import"/>
    <n v="-300.07040000000001"/>
    <n v="300.07040000000001"/>
    <x v="2"/>
    <s v="2210"/>
    <s v="000"/>
    <x v="3"/>
    <x v="2"/>
  </r>
  <r>
    <d v="2013-01-14T00:00:00"/>
    <s v="018-2220-000"/>
    <s v="Beer Sales"/>
    <n v="80.239499999999992"/>
    <n v="0"/>
    <s v="Daily Sales Import"/>
    <n v="-80.239499999999992"/>
    <n v="80.239499999999992"/>
    <x v="2"/>
    <s v="2220"/>
    <s v="000"/>
    <x v="3"/>
    <x v="2"/>
  </r>
  <r>
    <d v="2013-01-14T00:00:00"/>
    <s v="018-2230-000"/>
    <s v="Wine Sales"/>
    <n v="4.4744000000000002"/>
    <n v="0"/>
    <s v="Daily Sales Import"/>
    <n v="-4.4744000000000002"/>
    <n v="4.4744000000000002"/>
    <x v="2"/>
    <s v="2230"/>
    <s v="000"/>
    <x v="3"/>
    <x v="2"/>
  </r>
  <r>
    <d v="2013-01-15T00:00:00"/>
    <s v="018-2100-000"/>
    <s v="Food Sales"/>
    <n v="2775.4958000000001"/>
    <n v="0"/>
    <s v="Daily Sales Import"/>
    <n v="-2775.4958000000001"/>
    <n v="2775.4958000000001"/>
    <x v="2"/>
    <s v="2100"/>
    <s v="000"/>
    <x v="3"/>
    <x v="2"/>
  </r>
  <r>
    <d v="2013-01-15T00:00:00"/>
    <s v="018-2210-000"/>
    <s v="Liquor Sales"/>
    <n v="374.41610000000003"/>
    <n v="0"/>
    <s v="Daily Sales Import"/>
    <n v="-374.41610000000003"/>
    <n v="374.41610000000003"/>
    <x v="2"/>
    <s v="2210"/>
    <s v="000"/>
    <x v="3"/>
    <x v="2"/>
  </r>
  <r>
    <d v="2013-01-15T00:00:00"/>
    <s v="018-2220-000"/>
    <s v="Beer Sales"/>
    <n v="100.6176"/>
    <n v="0"/>
    <s v="Daily Sales Import"/>
    <n v="-100.6176"/>
    <n v="100.6176"/>
    <x v="2"/>
    <s v="2220"/>
    <s v="000"/>
    <x v="3"/>
    <x v="2"/>
  </r>
  <r>
    <d v="2013-01-15T00:00:00"/>
    <s v="018-2230-000"/>
    <s v="Wine Sales"/>
    <n v="26.886900000000001"/>
    <n v="0"/>
    <s v="Daily Sales Import"/>
    <n v="-26.886900000000001"/>
    <n v="26.886900000000001"/>
    <x v="2"/>
    <s v="2230"/>
    <s v="000"/>
    <x v="3"/>
    <x v="2"/>
  </r>
  <r>
    <d v="2013-01-16T00:00:00"/>
    <s v="018-2100-000"/>
    <s v="Food Sales"/>
    <n v="2844.3634999999999"/>
    <n v="0"/>
    <s v="Daily Sales Import"/>
    <n v="-2844.3634999999999"/>
    <n v="2844.3634999999999"/>
    <x v="2"/>
    <s v="2100"/>
    <s v="000"/>
    <x v="3"/>
    <x v="2"/>
  </r>
  <r>
    <d v="2013-01-16T00:00:00"/>
    <s v="018-2210-000"/>
    <s v="Liquor Sales"/>
    <n v="491.71890000000002"/>
    <n v="0"/>
    <s v="Daily Sales Import"/>
    <n v="-491.71890000000002"/>
    <n v="491.71890000000002"/>
    <x v="2"/>
    <s v="2210"/>
    <s v="000"/>
    <x v="3"/>
    <x v="2"/>
  </r>
  <r>
    <d v="2013-01-16T00:00:00"/>
    <s v="018-2220-000"/>
    <s v="Beer Sales"/>
    <n v="79.748500000000007"/>
    <n v="0"/>
    <s v="Daily Sales Import"/>
    <n v="-79.748500000000007"/>
    <n v="79.748500000000007"/>
    <x v="2"/>
    <s v="2220"/>
    <s v="000"/>
    <x v="3"/>
    <x v="2"/>
  </r>
  <r>
    <d v="2013-01-16T00:00:00"/>
    <s v="018-2230-000"/>
    <s v="Wine Sales"/>
    <n v="32.686500000000002"/>
    <n v="0"/>
    <s v="Daily Sales Import"/>
    <n v="-32.686500000000002"/>
    <n v="32.686500000000002"/>
    <x v="2"/>
    <s v="2230"/>
    <s v="000"/>
    <x v="3"/>
    <x v="2"/>
  </r>
  <r>
    <d v="2013-01-17T00:00:00"/>
    <s v="018-2100-000"/>
    <s v="Food Sales"/>
    <n v="4134.3378999999995"/>
    <n v="0"/>
    <s v="Daily Sales Import"/>
    <n v="-4134.3378999999995"/>
    <n v="4134.3378999999995"/>
    <x v="2"/>
    <s v="2100"/>
    <s v="000"/>
    <x v="3"/>
    <x v="2"/>
  </r>
  <r>
    <d v="2013-01-17T00:00:00"/>
    <s v="018-2210-000"/>
    <s v="Liquor Sales"/>
    <n v="654.23699999999997"/>
    <n v="0"/>
    <s v="Daily Sales Import"/>
    <n v="-654.23699999999997"/>
    <n v="654.23699999999997"/>
    <x v="2"/>
    <s v="2210"/>
    <s v="000"/>
    <x v="3"/>
    <x v="2"/>
  </r>
  <r>
    <d v="2013-01-17T00:00:00"/>
    <s v="018-2220-000"/>
    <s v="Beer Sales"/>
    <n v="189.44759999999999"/>
    <n v="0"/>
    <s v="Daily Sales Import"/>
    <n v="-189.44759999999999"/>
    <n v="189.44759999999999"/>
    <x v="2"/>
    <s v="2220"/>
    <s v="000"/>
    <x v="3"/>
    <x v="2"/>
  </r>
  <r>
    <d v="2013-01-17T00:00:00"/>
    <s v="018-2230-000"/>
    <s v="Wine Sales"/>
    <n v="23.2804"/>
    <n v="0"/>
    <s v="Daily Sales Import"/>
    <n v="-23.2804"/>
    <n v="23.2804"/>
    <x v="2"/>
    <s v="2230"/>
    <s v="000"/>
    <x v="3"/>
    <x v="2"/>
  </r>
  <r>
    <d v="2013-01-18T00:00:00"/>
    <s v="018-2100-000"/>
    <s v="Food Sales"/>
    <n v="8511.8559999999998"/>
    <n v="0"/>
    <s v="Daily Sales Import"/>
    <n v="-8511.8559999999998"/>
    <n v="8511.8559999999998"/>
    <x v="2"/>
    <s v="2100"/>
    <s v="000"/>
    <x v="3"/>
    <x v="2"/>
  </r>
  <r>
    <d v="2013-01-18T00:00:00"/>
    <s v="018-2210-000"/>
    <s v="Liquor Sales"/>
    <n v="2035.3473000000001"/>
    <n v="0"/>
    <s v="Daily Sales Import"/>
    <n v="-2035.3473000000001"/>
    <n v="2035.3473000000001"/>
    <x v="2"/>
    <s v="2210"/>
    <s v="000"/>
    <x v="3"/>
    <x v="2"/>
  </r>
  <r>
    <d v="2013-01-18T00:00:00"/>
    <s v="018-2220-000"/>
    <s v="Beer Sales"/>
    <n v="820.88639999999987"/>
    <n v="0"/>
    <s v="Daily Sales Import"/>
    <n v="-820.88639999999987"/>
    <n v="820.88639999999987"/>
    <x v="2"/>
    <s v="2220"/>
    <s v="000"/>
    <x v="3"/>
    <x v="2"/>
  </r>
  <r>
    <d v="2013-01-18T00:00:00"/>
    <s v="018-2230-000"/>
    <s v="Wine Sales"/>
    <n v="70.879300000000001"/>
    <n v="0"/>
    <s v="Daily Sales Import"/>
    <n v="-70.879300000000001"/>
    <n v="70.879300000000001"/>
    <x v="2"/>
    <s v="2230"/>
    <s v="000"/>
    <x v="3"/>
    <x v="2"/>
  </r>
  <r>
    <d v="2013-01-19T00:00:00"/>
    <s v="018-2100-000"/>
    <s v="Food Sales"/>
    <n v="16701.845600000001"/>
    <n v="0"/>
    <s v="Daily Sales Import"/>
    <n v="-16701.845600000001"/>
    <n v="16701.845600000001"/>
    <x v="2"/>
    <s v="2100"/>
    <s v="000"/>
    <x v="3"/>
    <x v="2"/>
  </r>
  <r>
    <d v="2013-01-19T00:00:00"/>
    <s v="018-2210-000"/>
    <s v="Liquor Sales"/>
    <n v="2965.6499999999996"/>
    <n v="0"/>
    <s v="Daily Sales Import"/>
    <n v="-2965.6499999999996"/>
    <n v="2965.6499999999996"/>
    <x v="2"/>
    <s v="2210"/>
    <s v="000"/>
    <x v="3"/>
    <x v="2"/>
  </r>
  <r>
    <d v="2013-01-19T00:00:00"/>
    <s v="018-2220-000"/>
    <s v="Beer Sales"/>
    <n v="834.15000000000009"/>
    <n v="0"/>
    <s v="Daily Sales Import"/>
    <n v="-834.15000000000009"/>
    <n v="834.15000000000009"/>
    <x v="2"/>
    <s v="2220"/>
    <s v="000"/>
    <x v="3"/>
    <x v="2"/>
  </r>
  <r>
    <d v="2013-01-19T00:00:00"/>
    <s v="018-2230-000"/>
    <s v="Wine Sales"/>
    <n v="229.70900000000003"/>
    <n v="0"/>
    <s v="Daily Sales Import"/>
    <n v="-229.70900000000003"/>
    <n v="229.70900000000003"/>
    <x v="2"/>
    <s v="2230"/>
    <s v="000"/>
    <x v="3"/>
    <x v="2"/>
  </r>
  <r>
    <d v="2013-01-20T00:00:00"/>
    <s v="018-2100-000"/>
    <s v="Food Sales"/>
    <n v="6949.8105999999998"/>
    <n v="0"/>
    <s v="Daily Sales Import"/>
    <n v="-6949.8105999999998"/>
    <n v="6949.8105999999998"/>
    <x v="2"/>
    <s v="2100"/>
    <s v="000"/>
    <x v="3"/>
    <x v="2"/>
  </r>
  <r>
    <d v="2013-01-20T00:00:00"/>
    <s v="018-2210-000"/>
    <s v="Liquor Sales"/>
    <n v="1608.9998000000001"/>
    <n v="0"/>
    <s v="Daily Sales Import"/>
    <n v="-1608.9998000000001"/>
    <n v="1608.9998000000001"/>
    <x v="2"/>
    <s v="2210"/>
    <s v="000"/>
    <x v="3"/>
    <x v="2"/>
  </r>
  <r>
    <d v="2013-01-20T00:00:00"/>
    <s v="018-2220-000"/>
    <s v="Beer Sales"/>
    <n v="193.30359999999999"/>
    <n v="0"/>
    <s v="Daily Sales Import"/>
    <n v="-193.30359999999999"/>
    <n v="193.30359999999999"/>
    <x v="2"/>
    <s v="2220"/>
    <s v="000"/>
    <x v="3"/>
    <x v="2"/>
  </r>
  <r>
    <d v="2013-01-20T00:00:00"/>
    <s v="018-2230-000"/>
    <s v="Wine Sales"/>
    <n v="18.069900000000001"/>
    <n v="0"/>
    <s v="Daily Sales Import"/>
    <n v="-18.069900000000001"/>
    <n v="18.069900000000001"/>
    <x v="2"/>
    <s v="2230"/>
    <s v="000"/>
    <x v="3"/>
    <x v="2"/>
  </r>
  <r>
    <d v="2013-01-21T00:00:00"/>
    <s v="016-2100-000"/>
    <s v="Food Sales"/>
    <n v="3435.2460000000001"/>
    <n v="0"/>
    <s v="Daily Sales Import"/>
    <n v="-3435.2460000000001"/>
    <n v="3435.2460000000001"/>
    <x v="0"/>
    <s v="2100"/>
    <s v="000"/>
    <x v="3"/>
    <x v="2"/>
  </r>
  <r>
    <d v="2013-01-21T00:00:00"/>
    <s v="016-2210-000"/>
    <s v="Liquor Sales"/>
    <n v="685.95229999999992"/>
    <n v="0"/>
    <s v="Daily Sales Import"/>
    <n v="-685.95229999999992"/>
    <n v="685.95229999999992"/>
    <x v="0"/>
    <s v="2210"/>
    <s v="000"/>
    <x v="3"/>
    <x v="2"/>
  </r>
  <r>
    <d v="2013-01-21T00:00:00"/>
    <s v="016-2220-000"/>
    <s v="Beer Sales"/>
    <n v="122.604"/>
    <n v="0"/>
    <s v="Daily Sales Import"/>
    <n v="-122.604"/>
    <n v="122.604"/>
    <x v="0"/>
    <s v="2220"/>
    <s v="000"/>
    <x v="3"/>
    <x v="2"/>
  </r>
  <r>
    <d v="2013-01-21T00:00:00"/>
    <s v="016-2230-000"/>
    <s v="Wine Sales"/>
    <n v="18.728199999999998"/>
    <n v="0"/>
    <s v="Daily Sales Import"/>
    <n v="-18.728199999999998"/>
    <n v="18.728199999999998"/>
    <x v="0"/>
    <s v="2230"/>
    <s v="000"/>
    <x v="3"/>
    <x v="2"/>
  </r>
  <r>
    <d v="2013-01-22T00:00:00"/>
    <s v="016-2100-000"/>
    <s v="Food Sales"/>
    <n v="4843.9679999999998"/>
    <n v="0"/>
    <s v="Daily Sales Import"/>
    <n v="-4843.9679999999998"/>
    <n v="4843.9679999999998"/>
    <x v="0"/>
    <s v="2100"/>
    <s v="000"/>
    <x v="3"/>
    <x v="2"/>
  </r>
  <r>
    <d v="2013-01-22T00:00:00"/>
    <s v="016-2210-000"/>
    <s v="Liquor Sales"/>
    <n v="1932.9239999999998"/>
    <n v="0"/>
    <s v="Daily Sales Import"/>
    <n v="-1932.9239999999998"/>
    <n v="1932.9239999999998"/>
    <x v="0"/>
    <s v="2210"/>
    <s v="000"/>
    <x v="3"/>
    <x v="2"/>
  </r>
  <r>
    <d v="2013-01-22T00:00:00"/>
    <s v="016-2220-000"/>
    <s v="Beer Sales"/>
    <n v="456.3349"/>
    <n v="0"/>
    <s v="Daily Sales Import"/>
    <n v="-456.3349"/>
    <n v="456.3349"/>
    <x v="0"/>
    <s v="2220"/>
    <s v="000"/>
    <x v="3"/>
    <x v="2"/>
  </r>
  <r>
    <d v="2013-01-22T00:00:00"/>
    <s v="016-2230-000"/>
    <s v="Wine Sales"/>
    <n v="221.38890000000001"/>
    <n v="0"/>
    <s v="Daily Sales Import"/>
    <n v="-221.38890000000001"/>
    <n v="221.38890000000001"/>
    <x v="0"/>
    <s v="2230"/>
    <s v="000"/>
    <x v="3"/>
    <x v="2"/>
  </r>
  <r>
    <d v="2013-01-23T00:00:00"/>
    <s v="016-2100-000"/>
    <s v="Food Sales"/>
    <n v="2466.087"/>
    <n v="0"/>
    <s v="Daily Sales Import"/>
    <n v="-2466.087"/>
    <n v="2466.087"/>
    <x v="0"/>
    <s v="2100"/>
    <s v="000"/>
    <x v="3"/>
    <x v="2"/>
  </r>
  <r>
    <d v="2013-01-23T00:00:00"/>
    <s v="016-2210-000"/>
    <s v="Liquor Sales"/>
    <n v="867.28160000000003"/>
    <n v="0"/>
    <s v="Daily Sales Import"/>
    <n v="-867.28160000000003"/>
    <n v="867.28160000000003"/>
    <x v="0"/>
    <s v="2210"/>
    <s v="000"/>
    <x v="3"/>
    <x v="2"/>
  </r>
  <r>
    <d v="2013-01-23T00:00:00"/>
    <s v="016-2220-000"/>
    <s v="Beer Sales"/>
    <n v="87.2072"/>
    <n v="0"/>
    <s v="Daily Sales Import"/>
    <n v="-87.2072"/>
    <n v="87.2072"/>
    <x v="0"/>
    <s v="2220"/>
    <s v="000"/>
    <x v="3"/>
    <x v="2"/>
  </r>
  <r>
    <d v="2013-01-23T00:00:00"/>
    <s v="016-2230-000"/>
    <s v="Wine Sales"/>
    <n v="124.72049999999999"/>
    <n v="0"/>
    <s v="Daily Sales Import"/>
    <n v="-124.72049999999999"/>
    <n v="124.72049999999999"/>
    <x v="0"/>
    <s v="2230"/>
    <s v="000"/>
    <x v="3"/>
    <x v="2"/>
  </r>
  <r>
    <d v="2013-01-24T00:00:00"/>
    <s v="016-2100-000"/>
    <s v="Food Sales"/>
    <n v="4900.9964"/>
    <n v="0"/>
    <s v="Daily Sales Import"/>
    <n v="-4900.9964"/>
    <n v="4900.9964"/>
    <x v="0"/>
    <s v="2100"/>
    <s v="000"/>
    <x v="3"/>
    <x v="2"/>
  </r>
  <r>
    <d v="2013-01-24T00:00:00"/>
    <s v="016-2210-000"/>
    <s v="Liquor Sales"/>
    <n v="1828.674"/>
    <n v="0"/>
    <s v="Daily Sales Import"/>
    <n v="-1828.674"/>
    <n v="1828.674"/>
    <x v="0"/>
    <s v="2210"/>
    <s v="000"/>
    <x v="3"/>
    <x v="2"/>
  </r>
  <r>
    <d v="2013-01-24T00:00:00"/>
    <s v="016-2220-000"/>
    <s v="Beer Sales"/>
    <n v="264.53999999999996"/>
    <n v="0"/>
    <s v="Daily Sales Import"/>
    <n v="-264.53999999999996"/>
    <n v="264.53999999999996"/>
    <x v="0"/>
    <s v="2220"/>
    <s v="000"/>
    <x v="3"/>
    <x v="2"/>
  </r>
  <r>
    <d v="2013-01-24T00:00:00"/>
    <s v="016-2230-000"/>
    <s v="Wine Sales"/>
    <n v="157.095"/>
    <n v="0"/>
    <s v="Daily Sales Import"/>
    <n v="-157.095"/>
    <n v="157.095"/>
    <x v="0"/>
    <s v="2230"/>
    <s v="000"/>
    <x v="3"/>
    <x v="2"/>
  </r>
  <r>
    <d v="2013-01-25T00:00:00"/>
    <s v="016-2100-000"/>
    <s v="Food Sales"/>
    <n v="5691.3284999999996"/>
    <n v="0"/>
    <s v="Daily Sales Import"/>
    <n v="-5691.3284999999996"/>
    <n v="5691.3284999999996"/>
    <x v="0"/>
    <s v="2100"/>
    <s v="000"/>
    <x v="3"/>
    <x v="2"/>
  </r>
  <r>
    <d v="2013-01-25T00:00:00"/>
    <s v="016-2210-000"/>
    <s v="Liquor Sales"/>
    <n v="2907.2660000000001"/>
    <n v="0"/>
    <s v="Daily Sales Import"/>
    <n v="-2907.2660000000001"/>
    <n v="2907.2660000000001"/>
    <x v="0"/>
    <s v="2210"/>
    <s v="000"/>
    <x v="3"/>
    <x v="2"/>
  </r>
  <r>
    <d v="2013-01-25T00:00:00"/>
    <s v="016-2220-000"/>
    <s v="Beer Sales"/>
    <n v="316.21100000000001"/>
    <n v="0"/>
    <s v="Daily Sales Import"/>
    <n v="-316.21100000000001"/>
    <n v="316.21100000000001"/>
    <x v="0"/>
    <s v="2220"/>
    <s v="000"/>
    <x v="3"/>
    <x v="2"/>
  </r>
  <r>
    <d v="2013-01-25T00:00:00"/>
    <s v="016-2230-000"/>
    <s v="Wine Sales"/>
    <n v="111.4783"/>
    <n v="0"/>
    <s v="Daily Sales Import"/>
    <n v="-111.4783"/>
    <n v="111.4783"/>
    <x v="0"/>
    <s v="2230"/>
    <s v="000"/>
    <x v="3"/>
    <x v="2"/>
  </r>
  <r>
    <d v="2013-01-26T00:00:00"/>
    <s v="016-2100-000"/>
    <s v="Food Sales"/>
    <n v="7139.2815000000001"/>
    <n v="0"/>
    <s v="Daily Sales Import"/>
    <n v="-7139.2815000000001"/>
    <n v="7139.2815000000001"/>
    <x v="0"/>
    <s v="2100"/>
    <s v="000"/>
    <x v="3"/>
    <x v="2"/>
  </r>
  <r>
    <d v="2013-01-26T00:00:00"/>
    <s v="016-2210-000"/>
    <s v="Liquor Sales"/>
    <n v="2368.6008000000002"/>
    <n v="0"/>
    <s v="Daily Sales Import"/>
    <n v="-2368.6008000000002"/>
    <n v="2368.6008000000002"/>
    <x v="0"/>
    <s v="2210"/>
    <s v="000"/>
    <x v="3"/>
    <x v="2"/>
  </r>
  <r>
    <d v="2013-01-26T00:00:00"/>
    <s v="016-2220-000"/>
    <s v="Beer Sales"/>
    <n v="521.94349999999997"/>
    <n v="0"/>
    <s v="Daily Sales Import"/>
    <n v="-521.94349999999997"/>
    <n v="521.94349999999997"/>
    <x v="0"/>
    <s v="2220"/>
    <s v="000"/>
    <x v="3"/>
    <x v="2"/>
  </r>
  <r>
    <d v="2013-01-26T00:00:00"/>
    <s v="016-2230-000"/>
    <s v="Wine Sales"/>
    <n v="219.66839999999999"/>
    <n v="0"/>
    <s v="Daily Sales Import"/>
    <n v="-219.66839999999999"/>
    <n v="219.66839999999999"/>
    <x v="0"/>
    <s v="2230"/>
    <s v="000"/>
    <x v="3"/>
    <x v="2"/>
  </r>
  <r>
    <d v="2013-01-27T00:00:00"/>
    <s v="016-2100-000"/>
    <s v="Food Sales"/>
    <n v="6922.4178000000002"/>
    <n v="0"/>
    <s v="Daily Sales Import"/>
    <n v="-6922.4178000000002"/>
    <n v="6922.4178000000002"/>
    <x v="0"/>
    <s v="2100"/>
    <s v="000"/>
    <x v="3"/>
    <x v="2"/>
  </r>
  <r>
    <d v="2013-01-27T00:00:00"/>
    <s v="016-2210-000"/>
    <s v="Liquor Sales"/>
    <n v="988.41599999999994"/>
    <n v="0"/>
    <s v="Daily Sales Import"/>
    <n v="-988.41599999999994"/>
    <n v="988.41599999999994"/>
    <x v="0"/>
    <s v="2210"/>
    <s v="000"/>
    <x v="3"/>
    <x v="2"/>
  </r>
  <r>
    <d v="2013-01-27T00:00:00"/>
    <s v="016-2220-000"/>
    <s v="Beer Sales"/>
    <n v="183.99539999999999"/>
    <n v="0"/>
    <s v="Daily Sales Import"/>
    <n v="-183.99539999999999"/>
    <n v="183.99539999999999"/>
    <x v="0"/>
    <s v="2220"/>
    <s v="000"/>
    <x v="3"/>
    <x v="2"/>
  </r>
  <r>
    <d v="2013-01-27T00:00:00"/>
    <s v="016-2230-000"/>
    <s v="Wine Sales"/>
    <n v="96.110099999999989"/>
    <n v="0"/>
    <s v="Daily Sales Import"/>
    <n v="-96.110099999999989"/>
    <n v="96.110099999999989"/>
    <x v="0"/>
    <s v="2230"/>
    <s v="000"/>
    <x v="3"/>
    <x v="2"/>
  </r>
  <r>
    <d v="2013-01-21T00:00:00"/>
    <s v="017-2100-000"/>
    <s v="Food Sales"/>
    <n v="3423.8420999999998"/>
    <n v="0"/>
    <s v="Daily Sales Import"/>
    <n v="-3423.8420999999998"/>
    <n v="3423.8420999999998"/>
    <x v="1"/>
    <s v="2100"/>
    <s v="000"/>
    <x v="3"/>
    <x v="2"/>
  </r>
  <r>
    <d v="2013-01-21T00:00:00"/>
    <s v="017-2210-000"/>
    <s v="Liquor Sales"/>
    <n v="569.17139999999995"/>
    <n v="0"/>
    <s v="Daily Sales Import"/>
    <n v="-569.17139999999995"/>
    <n v="569.17139999999995"/>
    <x v="1"/>
    <s v="2210"/>
    <s v="000"/>
    <x v="3"/>
    <x v="2"/>
  </r>
  <r>
    <d v="2013-01-21T00:00:00"/>
    <s v="017-2220-000"/>
    <s v="Beer Sales"/>
    <n v="326.38060000000002"/>
    <n v="0"/>
    <s v="Daily Sales Import"/>
    <n v="-326.38060000000002"/>
    <n v="326.38060000000002"/>
    <x v="1"/>
    <s v="2220"/>
    <s v="000"/>
    <x v="3"/>
    <x v="2"/>
  </r>
  <r>
    <d v="2013-01-21T00:00:00"/>
    <s v="017-2230-000"/>
    <s v="Wine Sales"/>
    <n v="90.459600000000009"/>
    <n v="0"/>
    <s v="Daily Sales Import"/>
    <n v="-90.459600000000009"/>
    <n v="90.459600000000009"/>
    <x v="1"/>
    <s v="2230"/>
    <s v="000"/>
    <x v="3"/>
    <x v="2"/>
  </r>
  <r>
    <d v="2013-01-22T00:00:00"/>
    <s v="017-2100-000"/>
    <s v="Food Sales"/>
    <n v="3256.5610000000006"/>
    <n v="0"/>
    <s v="Daily Sales Import"/>
    <n v="-3256.5610000000006"/>
    <n v="3256.5610000000006"/>
    <x v="1"/>
    <s v="2100"/>
    <s v="000"/>
    <x v="3"/>
    <x v="2"/>
  </r>
  <r>
    <d v="2013-01-22T00:00:00"/>
    <s v="017-2210-000"/>
    <s v="Liquor Sales"/>
    <n v="755.00249999999994"/>
    <n v="0"/>
    <s v="Daily Sales Import"/>
    <n v="-755.00249999999994"/>
    <n v="755.00249999999994"/>
    <x v="1"/>
    <s v="2210"/>
    <s v="000"/>
    <x v="3"/>
    <x v="2"/>
  </r>
  <r>
    <d v="2013-01-22T00:00:00"/>
    <s v="017-2220-000"/>
    <s v="Beer Sales"/>
    <n v="285.30150000000003"/>
    <n v="0"/>
    <s v="Daily Sales Import"/>
    <n v="-285.30150000000003"/>
    <n v="285.30150000000003"/>
    <x v="1"/>
    <s v="2220"/>
    <s v="000"/>
    <x v="3"/>
    <x v="2"/>
  </r>
  <r>
    <d v="2013-01-22T00:00:00"/>
    <s v="017-2230-000"/>
    <s v="Wine Sales"/>
    <n v="69.573999999999998"/>
    <n v="0"/>
    <s v="Daily Sales Import"/>
    <n v="-69.573999999999998"/>
    <n v="69.573999999999998"/>
    <x v="1"/>
    <s v="2230"/>
    <s v="000"/>
    <x v="3"/>
    <x v="2"/>
  </r>
  <r>
    <d v="2013-01-23T00:00:00"/>
    <s v="017-2100-000"/>
    <s v="Food Sales"/>
    <n v="8819.0920999999998"/>
    <n v="0"/>
    <s v="Daily Sales Import"/>
    <n v="-8819.0920999999998"/>
    <n v="8819.0920999999998"/>
    <x v="1"/>
    <s v="2100"/>
    <s v="000"/>
    <x v="3"/>
    <x v="2"/>
  </r>
  <r>
    <d v="2013-01-23T00:00:00"/>
    <s v="017-2210-000"/>
    <s v="Liquor Sales"/>
    <n v="1849.3441"/>
    <n v="0"/>
    <s v="Daily Sales Import"/>
    <n v="-1849.3441"/>
    <n v="1849.3441"/>
    <x v="1"/>
    <s v="2210"/>
    <s v="000"/>
    <x v="3"/>
    <x v="2"/>
  </r>
  <r>
    <d v="2013-01-23T00:00:00"/>
    <s v="017-2220-000"/>
    <s v="Beer Sales"/>
    <n v="514.24099999999999"/>
    <n v="0"/>
    <s v="Daily Sales Import"/>
    <n v="-514.24099999999999"/>
    <n v="514.24099999999999"/>
    <x v="1"/>
    <s v="2220"/>
    <s v="000"/>
    <x v="3"/>
    <x v="2"/>
  </r>
  <r>
    <d v="2013-01-23T00:00:00"/>
    <s v="017-2230-000"/>
    <s v="Wine Sales"/>
    <n v="195.44880000000001"/>
    <n v="0"/>
    <s v="Daily Sales Import"/>
    <n v="-195.44880000000001"/>
    <n v="195.44880000000001"/>
    <x v="1"/>
    <s v="2230"/>
    <s v="000"/>
    <x v="3"/>
    <x v="2"/>
  </r>
  <r>
    <d v="2013-01-24T00:00:00"/>
    <s v="017-2100-000"/>
    <s v="Food Sales"/>
    <n v="3544.9904000000006"/>
    <n v="0"/>
    <s v="Daily Sales Import"/>
    <n v="-3544.9904000000006"/>
    <n v="3544.9904000000006"/>
    <x v="1"/>
    <s v="2100"/>
    <s v="000"/>
    <x v="3"/>
    <x v="2"/>
  </r>
  <r>
    <d v="2013-01-24T00:00:00"/>
    <s v="017-2210-000"/>
    <s v="Liquor Sales"/>
    <n v="1034.7825"/>
    <n v="0"/>
    <s v="Daily Sales Import"/>
    <n v="-1034.7825"/>
    <n v="1034.7825"/>
    <x v="1"/>
    <s v="2210"/>
    <s v="000"/>
    <x v="3"/>
    <x v="2"/>
  </r>
  <r>
    <d v="2013-01-24T00:00:00"/>
    <s v="017-2220-000"/>
    <s v="Beer Sales"/>
    <n v="441.53719999999998"/>
    <n v="0"/>
    <s v="Daily Sales Import"/>
    <n v="-441.53719999999998"/>
    <n v="441.53719999999998"/>
    <x v="1"/>
    <s v="2220"/>
    <s v="000"/>
    <x v="3"/>
    <x v="2"/>
  </r>
  <r>
    <d v="2013-01-24T00:00:00"/>
    <s v="017-2230-000"/>
    <s v="Wine Sales"/>
    <n v="188.136"/>
    <n v="0"/>
    <s v="Daily Sales Import"/>
    <n v="-188.136"/>
    <n v="188.136"/>
    <x v="1"/>
    <s v="2230"/>
    <s v="000"/>
    <x v="3"/>
    <x v="2"/>
  </r>
  <r>
    <d v="2013-01-25T00:00:00"/>
    <s v="017-2100-000"/>
    <s v="Food Sales"/>
    <n v="4435.6144000000004"/>
    <n v="0"/>
    <s v="Daily Sales Import"/>
    <n v="-4435.6144000000004"/>
    <n v="4435.6144000000004"/>
    <x v="1"/>
    <s v="2100"/>
    <s v="000"/>
    <x v="3"/>
    <x v="2"/>
  </r>
  <r>
    <d v="2013-01-25T00:00:00"/>
    <s v="017-2210-000"/>
    <s v="Liquor Sales"/>
    <n v="1841.5541999999998"/>
    <n v="0"/>
    <s v="Daily Sales Import"/>
    <n v="-1841.5541999999998"/>
    <n v="1841.5541999999998"/>
    <x v="1"/>
    <s v="2210"/>
    <s v="000"/>
    <x v="3"/>
    <x v="2"/>
  </r>
  <r>
    <d v="2013-01-25T00:00:00"/>
    <s v="017-2220-000"/>
    <s v="Beer Sales"/>
    <n v="480.73869999999999"/>
    <n v="0"/>
    <s v="Daily Sales Import"/>
    <n v="-480.73869999999999"/>
    <n v="480.73869999999999"/>
    <x v="1"/>
    <s v="2220"/>
    <s v="000"/>
    <x v="3"/>
    <x v="2"/>
  </r>
  <r>
    <d v="2013-01-25T00:00:00"/>
    <s v="017-2230-000"/>
    <s v="Wine Sales"/>
    <n v="185.46280000000002"/>
    <n v="0"/>
    <s v="Daily Sales Import"/>
    <n v="-185.46280000000002"/>
    <n v="185.46280000000002"/>
    <x v="1"/>
    <s v="2230"/>
    <s v="000"/>
    <x v="3"/>
    <x v="2"/>
  </r>
  <r>
    <d v="2013-01-26T00:00:00"/>
    <s v="017-2100-000"/>
    <s v="Food Sales"/>
    <n v="7684.3667999999998"/>
    <n v="0"/>
    <s v="Daily Sales Import"/>
    <n v="-7684.3667999999998"/>
    <n v="7684.3667999999998"/>
    <x v="1"/>
    <s v="2100"/>
    <s v="000"/>
    <x v="3"/>
    <x v="2"/>
  </r>
  <r>
    <d v="2013-01-26T00:00:00"/>
    <s v="017-2210-000"/>
    <s v="Liquor Sales"/>
    <n v="2198.7864"/>
    <n v="0"/>
    <s v="Daily Sales Import"/>
    <n v="-2198.7864"/>
    <n v="2198.7864"/>
    <x v="1"/>
    <s v="2210"/>
    <s v="000"/>
    <x v="3"/>
    <x v="2"/>
  </r>
  <r>
    <d v="2013-01-26T00:00:00"/>
    <s v="017-2220-000"/>
    <s v="Beer Sales"/>
    <n v="429.66750000000002"/>
    <n v="0"/>
    <s v="Daily Sales Import"/>
    <n v="-429.66750000000002"/>
    <n v="429.66750000000002"/>
    <x v="1"/>
    <s v="2220"/>
    <s v="000"/>
    <x v="3"/>
    <x v="2"/>
  </r>
  <r>
    <d v="2013-01-26T00:00:00"/>
    <s v="017-2230-000"/>
    <s v="Wine Sales"/>
    <n v="160.24799999999999"/>
    <n v="0"/>
    <s v="Daily Sales Import"/>
    <n v="-160.24799999999999"/>
    <n v="160.24799999999999"/>
    <x v="1"/>
    <s v="2230"/>
    <s v="000"/>
    <x v="3"/>
    <x v="2"/>
  </r>
  <r>
    <d v="2013-01-27T00:00:00"/>
    <s v="017-2100-000"/>
    <s v="Food Sales"/>
    <n v="5121.3208000000004"/>
    <n v="0"/>
    <s v="Daily Sales Import"/>
    <n v="-5121.3208000000004"/>
    <n v="5121.3208000000004"/>
    <x v="1"/>
    <s v="2100"/>
    <s v="000"/>
    <x v="3"/>
    <x v="2"/>
  </r>
  <r>
    <d v="2013-01-27T00:00:00"/>
    <s v="017-2210-000"/>
    <s v="Liquor Sales"/>
    <n v="1501.836"/>
    <n v="0"/>
    <s v="Daily Sales Import"/>
    <n v="-1501.836"/>
    <n v="1501.836"/>
    <x v="1"/>
    <s v="2210"/>
    <s v="000"/>
    <x v="3"/>
    <x v="2"/>
  </r>
  <r>
    <d v="2013-01-27T00:00:00"/>
    <s v="017-2220-000"/>
    <s v="Beer Sales"/>
    <n v="127.57920000000001"/>
    <n v="0"/>
    <s v="Daily Sales Import"/>
    <n v="-127.57920000000001"/>
    <n v="127.57920000000001"/>
    <x v="1"/>
    <s v="2220"/>
    <s v="000"/>
    <x v="3"/>
    <x v="2"/>
  </r>
  <r>
    <d v="2013-01-27T00:00:00"/>
    <s v="017-2230-000"/>
    <s v="Wine Sales"/>
    <n v="24.206799999999998"/>
    <n v="0"/>
    <s v="Daily Sales Import"/>
    <n v="-24.206799999999998"/>
    <n v="24.206799999999998"/>
    <x v="1"/>
    <s v="2230"/>
    <s v="000"/>
    <x v="3"/>
    <x v="2"/>
  </r>
  <r>
    <d v="2013-01-21T00:00:00"/>
    <s v="018-2100-000"/>
    <s v="Food Sales"/>
    <n v="5563.7396000000008"/>
    <n v="0"/>
    <s v="Daily Sales Import"/>
    <n v="-5563.7396000000008"/>
    <n v="5563.7396000000008"/>
    <x v="2"/>
    <s v="2100"/>
    <s v="000"/>
    <x v="3"/>
    <x v="2"/>
  </r>
  <r>
    <d v="2013-01-21T00:00:00"/>
    <s v="018-2210-000"/>
    <s v="Liquor Sales"/>
    <n v="849.9036000000001"/>
    <n v="0"/>
    <s v="Daily Sales Import"/>
    <n v="-849.9036000000001"/>
    <n v="849.9036000000001"/>
    <x v="2"/>
    <s v="2210"/>
    <s v="000"/>
    <x v="3"/>
    <x v="2"/>
  </r>
  <r>
    <d v="2013-01-21T00:00:00"/>
    <s v="018-2220-000"/>
    <s v="Beer Sales"/>
    <n v="109.5835"/>
    <n v="0"/>
    <s v="Daily Sales Import"/>
    <n v="-109.5835"/>
    <n v="109.5835"/>
    <x v="2"/>
    <s v="2220"/>
    <s v="000"/>
    <x v="3"/>
    <x v="2"/>
  </r>
  <r>
    <d v="2013-01-21T00:00:00"/>
    <s v="018-2230-000"/>
    <s v="Wine Sales"/>
    <n v="18.765000000000001"/>
    <n v="0"/>
    <s v="Daily Sales Import"/>
    <n v="-18.765000000000001"/>
    <n v="18.765000000000001"/>
    <x v="2"/>
    <s v="2230"/>
    <s v="000"/>
    <x v="3"/>
    <x v="2"/>
  </r>
  <r>
    <d v="2013-01-22T00:00:00"/>
    <s v="018-2100-000"/>
    <s v="Food Sales"/>
    <n v="2029.0765000000001"/>
    <n v="0"/>
    <s v="Daily Sales Import"/>
    <n v="-2029.0765000000001"/>
    <n v="2029.0765000000001"/>
    <x v="2"/>
    <s v="2100"/>
    <s v="000"/>
    <x v="3"/>
    <x v="2"/>
  </r>
  <r>
    <d v="2013-01-22T00:00:00"/>
    <s v="018-2210-000"/>
    <s v="Liquor Sales"/>
    <n v="335.26720000000006"/>
    <n v="0"/>
    <s v="Daily Sales Import"/>
    <n v="-335.26720000000006"/>
    <n v="335.26720000000006"/>
    <x v="2"/>
    <s v="2210"/>
    <s v="000"/>
    <x v="3"/>
    <x v="2"/>
  </r>
  <r>
    <d v="2013-01-22T00:00:00"/>
    <s v="018-2220-000"/>
    <s v="Beer Sales"/>
    <n v="97.920900000000003"/>
    <n v="0"/>
    <s v="Daily Sales Import"/>
    <n v="-97.920900000000003"/>
    <n v="97.920900000000003"/>
    <x v="2"/>
    <s v="2220"/>
    <s v="000"/>
    <x v="3"/>
    <x v="2"/>
  </r>
  <r>
    <d v="2013-01-22T00:00:00"/>
    <s v="018-2230-000"/>
    <s v="Wine Sales"/>
    <n v="14.093399999999999"/>
    <n v="0"/>
    <s v="Daily Sales Import"/>
    <n v="-14.093399999999999"/>
    <n v="14.093399999999999"/>
    <x v="2"/>
    <s v="2230"/>
    <s v="000"/>
    <x v="3"/>
    <x v="2"/>
  </r>
  <r>
    <d v="2013-01-23T00:00:00"/>
    <s v="018-2100-000"/>
    <s v="Food Sales"/>
    <n v="2231.1959999999999"/>
    <n v="0"/>
    <s v="Daily Sales Import"/>
    <n v="-2231.1959999999999"/>
    <n v="2231.1959999999999"/>
    <x v="2"/>
    <s v="2100"/>
    <s v="000"/>
    <x v="3"/>
    <x v="2"/>
  </r>
  <r>
    <d v="2013-01-23T00:00:00"/>
    <s v="018-2210-000"/>
    <s v="Liquor Sales"/>
    <n v="690.88110000000006"/>
    <n v="0"/>
    <s v="Daily Sales Import"/>
    <n v="-690.88110000000006"/>
    <n v="690.88110000000006"/>
    <x v="2"/>
    <s v="2210"/>
    <s v="000"/>
    <x v="3"/>
    <x v="2"/>
  </r>
  <r>
    <d v="2013-01-23T00:00:00"/>
    <s v="018-2220-000"/>
    <s v="Beer Sales"/>
    <n v="145.98400000000001"/>
    <n v="0"/>
    <s v="Daily Sales Import"/>
    <n v="-145.98400000000001"/>
    <n v="145.98400000000001"/>
    <x v="2"/>
    <s v="2220"/>
    <s v="000"/>
    <x v="3"/>
    <x v="2"/>
  </r>
  <r>
    <d v="2013-01-23T00:00:00"/>
    <s v="018-2230-000"/>
    <s v="Wine Sales"/>
    <n v="31.577999999999999"/>
    <n v="0"/>
    <s v="Daily Sales Import"/>
    <n v="-31.577999999999999"/>
    <n v="31.577999999999999"/>
    <x v="2"/>
    <s v="2230"/>
    <s v="000"/>
    <x v="3"/>
    <x v="2"/>
  </r>
  <r>
    <d v="2013-01-24T00:00:00"/>
    <s v="018-2100-000"/>
    <s v="Food Sales"/>
    <n v="2469.2470000000003"/>
    <n v="0"/>
    <s v="Daily Sales Import"/>
    <n v="-2469.2470000000003"/>
    <n v="2469.2470000000003"/>
    <x v="2"/>
    <s v="2100"/>
    <s v="000"/>
    <x v="3"/>
    <x v="2"/>
  </r>
  <r>
    <d v="2013-01-24T00:00:00"/>
    <s v="018-2210-000"/>
    <s v="Liquor Sales"/>
    <n v="871.56809999999996"/>
    <n v="0"/>
    <s v="Daily Sales Import"/>
    <n v="-871.56809999999996"/>
    <n v="871.56809999999996"/>
    <x v="2"/>
    <s v="2210"/>
    <s v="000"/>
    <x v="3"/>
    <x v="2"/>
  </r>
  <r>
    <d v="2013-01-24T00:00:00"/>
    <s v="018-2220-000"/>
    <s v="Beer Sales"/>
    <n v="235.95320000000001"/>
    <n v="0"/>
    <s v="Daily Sales Import"/>
    <n v="-235.95320000000001"/>
    <n v="235.95320000000001"/>
    <x v="2"/>
    <s v="2220"/>
    <s v="000"/>
    <x v="3"/>
    <x v="2"/>
  </r>
  <r>
    <d v="2013-01-24T00:00:00"/>
    <s v="018-2230-000"/>
    <s v="Wine Sales"/>
    <n v="73.677199999999985"/>
    <n v="0"/>
    <s v="Daily Sales Import"/>
    <n v="-73.677199999999985"/>
    <n v="73.677199999999985"/>
    <x v="2"/>
    <s v="2230"/>
    <s v="000"/>
    <x v="3"/>
    <x v="2"/>
  </r>
  <r>
    <d v="2013-01-25T00:00:00"/>
    <s v="018-2100-000"/>
    <s v="Food Sales"/>
    <n v="6068.6539999999995"/>
    <n v="0"/>
    <s v="Daily Sales Import"/>
    <n v="-6068.6539999999995"/>
    <n v="6068.6539999999995"/>
    <x v="2"/>
    <s v="2100"/>
    <s v="000"/>
    <x v="3"/>
    <x v="2"/>
  </r>
  <r>
    <d v="2013-01-25T00:00:00"/>
    <s v="018-2210-000"/>
    <s v="Liquor Sales"/>
    <n v="1579.4779000000001"/>
    <n v="0"/>
    <s v="Daily Sales Import"/>
    <n v="-1579.4779000000001"/>
    <n v="1579.4779000000001"/>
    <x v="2"/>
    <s v="2210"/>
    <s v="000"/>
    <x v="3"/>
    <x v="2"/>
  </r>
  <r>
    <d v="2013-01-25T00:00:00"/>
    <s v="018-2220-000"/>
    <s v="Beer Sales"/>
    <n v="418.05360000000002"/>
    <n v="0"/>
    <s v="Daily Sales Import"/>
    <n v="-418.05360000000002"/>
    <n v="418.05360000000002"/>
    <x v="2"/>
    <s v="2220"/>
    <s v="000"/>
    <x v="3"/>
    <x v="2"/>
  </r>
  <r>
    <d v="2013-01-25T00:00:00"/>
    <s v="018-2230-000"/>
    <s v="Wine Sales"/>
    <n v="82.49499999999999"/>
    <n v="0"/>
    <s v="Daily Sales Import"/>
    <n v="-82.49499999999999"/>
    <n v="82.49499999999999"/>
    <x v="2"/>
    <s v="2230"/>
    <s v="000"/>
    <x v="3"/>
    <x v="2"/>
  </r>
  <r>
    <d v="2013-01-26T00:00:00"/>
    <s v="018-2100-000"/>
    <s v="Food Sales"/>
    <n v="13354.7048"/>
    <n v="0"/>
    <s v="Daily Sales Import"/>
    <n v="-13354.7048"/>
    <n v="13354.7048"/>
    <x v="2"/>
    <s v="2100"/>
    <s v="000"/>
    <x v="3"/>
    <x v="2"/>
  </r>
  <r>
    <d v="2013-01-26T00:00:00"/>
    <s v="018-2210-000"/>
    <s v="Liquor Sales"/>
    <n v="3244.0383999999999"/>
    <n v="0"/>
    <s v="Daily Sales Import"/>
    <n v="-3244.0383999999999"/>
    <n v="3244.0383999999999"/>
    <x v="2"/>
    <s v="2210"/>
    <s v="000"/>
    <x v="3"/>
    <x v="2"/>
  </r>
  <r>
    <d v="2013-01-26T00:00:00"/>
    <s v="018-2220-000"/>
    <s v="Beer Sales"/>
    <n v="641.68340000000001"/>
    <n v="0"/>
    <s v="Daily Sales Import"/>
    <n v="-641.68340000000001"/>
    <n v="641.68340000000001"/>
    <x v="2"/>
    <s v="2220"/>
    <s v="000"/>
    <x v="3"/>
    <x v="2"/>
  </r>
  <r>
    <d v="2013-01-26T00:00:00"/>
    <s v="018-2230-000"/>
    <s v="Wine Sales"/>
    <n v="93.849800000000002"/>
    <n v="0"/>
    <s v="Daily Sales Import"/>
    <n v="-93.849800000000002"/>
    <n v="93.849800000000002"/>
    <x v="2"/>
    <s v="2230"/>
    <s v="000"/>
    <x v="3"/>
    <x v="2"/>
  </r>
  <r>
    <d v="2013-01-27T00:00:00"/>
    <s v="018-2100-000"/>
    <s v="Food Sales"/>
    <n v="10607.888999999999"/>
    <n v="0"/>
    <s v="Daily Sales Import"/>
    <n v="-10607.888999999999"/>
    <n v="10607.888999999999"/>
    <x v="2"/>
    <s v="2100"/>
    <s v="000"/>
    <x v="3"/>
    <x v="2"/>
  </r>
  <r>
    <d v="2013-01-27T00:00:00"/>
    <s v="018-2210-000"/>
    <s v="Liquor Sales"/>
    <n v="1253.1711"/>
    <n v="0"/>
    <s v="Daily Sales Import"/>
    <n v="-1253.1711"/>
    <n v="1253.1711"/>
    <x v="2"/>
    <s v="2210"/>
    <s v="000"/>
    <x v="3"/>
    <x v="2"/>
  </r>
  <r>
    <d v="2013-01-27T00:00:00"/>
    <s v="018-2220-000"/>
    <s v="Beer Sales"/>
    <n v="344.6952"/>
    <n v="0"/>
    <s v="Daily Sales Import"/>
    <n v="-344.6952"/>
    <n v="344.6952"/>
    <x v="2"/>
    <s v="2220"/>
    <s v="000"/>
    <x v="3"/>
    <x v="2"/>
  </r>
  <r>
    <d v="2013-01-27T00:00:00"/>
    <s v="018-2230-000"/>
    <s v="Wine Sales"/>
    <n v="61.299199999999999"/>
    <n v="0"/>
    <s v="Daily Sales Import"/>
    <n v="-61.299199999999999"/>
    <n v="61.299199999999999"/>
    <x v="2"/>
    <s v="2230"/>
    <s v="000"/>
    <x v="3"/>
    <x v="2"/>
  </r>
  <r>
    <d v="2013-01-28T00:00:00"/>
    <s v="016-2100-000"/>
    <s v="Food Sales"/>
    <n v="1818.0225"/>
    <n v="0"/>
    <s v="Daily Sales Import"/>
    <n v="-1818.0225"/>
    <n v="1818.0225"/>
    <x v="0"/>
    <s v="2100"/>
    <s v="000"/>
    <x v="3"/>
    <x v="2"/>
  </r>
  <r>
    <d v="2013-01-28T00:00:00"/>
    <s v="016-2210-000"/>
    <s v="Liquor Sales"/>
    <n v="414.24490000000003"/>
    <n v="0"/>
    <s v="Daily Sales Import"/>
    <n v="-414.24490000000003"/>
    <n v="414.24490000000003"/>
    <x v="0"/>
    <s v="2210"/>
    <s v="000"/>
    <x v="3"/>
    <x v="2"/>
  </r>
  <r>
    <d v="2013-01-28T00:00:00"/>
    <s v="016-2220-000"/>
    <s v="Beer Sales"/>
    <n v="98.419200000000004"/>
    <n v="0"/>
    <s v="Daily Sales Import"/>
    <n v="-98.419200000000004"/>
    <n v="98.419200000000004"/>
    <x v="0"/>
    <s v="2220"/>
    <s v="000"/>
    <x v="3"/>
    <x v="2"/>
  </r>
  <r>
    <d v="2013-01-28T00:00:00"/>
    <s v="016-2230-000"/>
    <s v="Wine Sales"/>
    <n v="149.6746"/>
    <n v="0"/>
    <s v="Daily Sales Import"/>
    <n v="-149.6746"/>
    <n v="149.6746"/>
    <x v="0"/>
    <s v="2230"/>
    <s v="000"/>
    <x v="3"/>
    <x v="2"/>
  </r>
  <r>
    <d v="2013-01-29T00:00:00"/>
    <s v="016-2100-000"/>
    <s v="Food Sales"/>
    <n v="7035.8919999999998"/>
    <n v="0"/>
    <s v="Daily Sales Import"/>
    <n v="-7035.8919999999998"/>
    <n v="7035.8919999999998"/>
    <x v="0"/>
    <s v="2100"/>
    <s v="000"/>
    <x v="3"/>
    <x v="2"/>
  </r>
  <r>
    <d v="2013-01-29T00:00:00"/>
    <s v="016-2210-000"/>
    <s v="Liquor Sales"/>
    <n v="1924.8313000000001"/>
    <n v="0"/>
    <s v="Daily Sales Import"/>
    <n v="-1924.8313000000001"/>
    <n v="1924.8313000000001"/>
    <x v="0"/>
    <s v="2210"/>
    <s v="000"/>
    <x v="3"/>
    <x v="2"/>
  </r>
  <r>
    <d v="2013-01-29T00:00:00"/>
    <s v="016-2220-000"/>
    <s v="Beer Sales"/>
    <n v="730.92750000000001"/>
    <n v="0"/>
    <s v="Daily Sales Import"/>
    <n v="-730.92750000000001"/>
    <n v="730.92750000000001"/>
    <x v="0"/>
    <s v="2220"/>
    <s v="000"/>
    <x v="3"/>
    <x v="2"/>
  </r>
  <r>
    <d v="2013-01-29T00:00:00"/>
    <s v="016-2230-000"/>
    <s v="Wine Sales"/>
    <n v="145.34099999999998"/>
    <n v="0"/>
    <s v="Daily Sales Import"/>
    <n v="-145.34099999999998"/>
    <n v="145.34099999999998"/>
    <x v="0"/>
    <s v="2230"/>
    <s v="000"/>
    <x v="3"/>
    <x v="2"/>
  </r>
  <r>
    <d v="2013-01-30T00:00:00"/>
    <s v="016-2100-000"/>
    <s v="Food Sales"/>
    <n v="3473.4777000000004"/>
    <n v="0"/>
    <s v="Daily Sales Import"/>
    <n v="-3473.4777000000004"/>
    <n v="3473.4777000000004"/>
    <x v="0"/>
    <s v="2100"/>
    <s v="000"/>
    <x v="3"/>
    <x v="2"/>
  </r>
  <r>
    <d v="2013-01-30T00:00:00"/>
    <s v="016-2210-000"/>
    <s v="Liquor Sales"/>
    <n v="756.76859999999999"/>
    <n v="0"/>
    <s v="Daily Sales Import"/>
    <n v="-756.76859999999999"/>
    <n v="756.76859999999999"/>
    <x v="0"/>
    <s v="2210"/>
    <s v="000"/>
    <x v="3"/>
    <x v="2"/>
  </r>
  <r>
    <d v="2013-01-30T00:00:00"/>
    <s v="016-2220-000"/>
    <s v="Beer Sales"/>
    <n v="82.5"/>
    <n v="0"/>
    <s v="Daily Sales Import"/>
    <n v="-82.5"/>
    <n v="82.5"/>
    <x v="0"/>
    <s v="2220"/>
    <s v="000"/>
    <x v="3"/>
    <x v="2"/>
  </r>
  <r>
    <d v="2013-01-30T00:00:00"/>
    <s v="016-2230-000"/>
    <s v="Wine Sales"/>
    <n v="83.117999999999995"/>
    <n v="0"/>
    <s v="Daily Sales Import"/>
    <n v="-83.117999999999995"/>
    <n v="83.117999999999995"/>
    <x v="0"/>
    <s v="2230"/>
    <s v="000"/>
    <x v="3"/>
    <x v="2"/>
  </r>
  <r>
    <d v="2013-01-31T00:00:00"/>
    <s v="016-2100-000"/>
    <s v="Food Sales"/>
    <n v="2254.7979"/>
    <n v="0"/>
    <s v="Daily Sales Import"/>
    <n v="-2254.7979"/>
    <n v="2254.7979"/>
    <x v="0"/>
    <s v="2100"/>
    <s v="000"/>
    <x v="3"/>
    <x v="2"/>
  </r>
  <r>
    <d v="2013-01-31T00:00:00"/>
    <s v="016-2210-000"/>
    <s v="Liquor Sales"/>
    <n v="618.84739999999999"/>
    <n v="0"/>
    <s v="Daily Sales Import"/>
    <n v="-618.84739999999999"/>
    <n v="618.84739999999999"/>
    <x v="0"/>
    <s v="2210"/>
    <s v="000"/>
    <x v="3"/>
    <x v="2"/>
  </r>
  <r>
    <d v="2013-01-31T00:00:00"/>
    <s v="016-2220-000"/>
    <s v="Beer Sales"/>
    <n v="101.80170000000001"/>
    <n v="0"/>
    <s v="Daily Sales Import"/>
    <n v="-101.80170000000001"/>
    <n v="101.80170000000001"/>
    <x v="0"/>
    <s v="2220"/>
    <s v="000"/>
    <x v="3"/>
    <x v="2"/>
  </r>
  <r>
    <d v="2013-01-31T00:00:00"/>
    <s v="016-2230-000"/>
    <s v="Wine Sales"/>
    <n v="54.048000000000002"/>
    <n v="0"/>
    <s v="Daily Sales Import"/>
    <n v="-54.048000000000002"/>
    <n v="54.048000000000002"/>
    <x v="0"/>
    <s v="2230"/>
    <s v="000"/>
    <x v="3"/>
    <x v="2"/>
  </r>
  <r>
    <d v="2013-02-01T00:00:00"/>
    <s v="016-2100-000"/>
    <s v="Food Sales"/>
    <n v="5403.4404000000004"/>
    <n v="0"/>
    <s v="Daily Sales Import"/>
    <n v="-5403.4404000000004"/>
    <n v="5403.4404000000004"/>
    <x v="0"/>
    <s v="2100"/>
    <s v="000"/>
    <x v="4"/>
    <x v="2"/>
  </r>
  <r>
    <d v="2013-02-01T00:00:00"/>
    <s v="016-2210-000"/>
    <s v="Liquor Sales"/>
    <n v="1719.4190000000001"/>
    <n v="0"/>
    <s v="Daily Sales Import"/>
    <n v="-1719.4190000000001"/>
    <n v="1719.4190000000001"/>
    <x v="0"/>
    <s v="2210"/>
    <s v="000"/>
    <x v="4"/>
    <x v="2"/>
  </r>
  <r>
    <d v="2013-02-01T00:00:00"/>
    <s v="016-2220-000"/>
    <s v="Beer Sales"/>
    <n v="213.56720000000001"/>
    <n v="0"/>
    <s v="Daily Sales Import"/>
    <n v="-213.56720000000001"/>
    <n v="213.56720000000001"/>
    <x v="0"/>
    <s v="2220"/>
    <s v="000"/>
    <x v="4"/>
    <x v="2"/>
  </r>
  <r>
    <d v="2013-02-01T00:00:00"/>
    <s v="016-2230-000"/>
    <s v="Wine Sales"/>
    <n v="176.52800000000002"/>
    <n v="0"/>
    <s v="Daily Sales Import"/>
    <n v="-176.52800000000002"/>
    <n v="176.52800000000002"/>
    <x v="0"/>
    <s v="2230"/>
    <s v="000"/>
    <x v="4"/>
    <x v="2"/>
  </r>
  <r>
    <d v="2013-02-02T00:00:00"/>
    <s v="016-2100-000"/>
    <s v="Food Sales"/>
    <n v="9368.2763999999988"/>
    <n v="0"/>
    <s v="Daily Sales Import"/>
    <n v="-9368.2763999999988"/>
    <n v="9368.2763999999988"/>
    <x v="0"/>
    <s v="2100"/>
    <s v="000"/>
    <x v="4"/>
    <x v="2"/>
  </r>
  <r>
    <d v="2013-02-02T00:00:00"/>
    <s v="016-2210-000"/>
    <s v="Liquor Sales"/>
    <n v="2638.7840000000001"/>
    <n v="0"/>
    <s v="Daily Sales Import"/>
    <n v="-2638.7840000000001"/>
    <n v="2638.7840000000001"/>
    <x v="0"/>
    <s v="2210"/>
    <s v="000"/>
    <x v="4"/>
    <x v="2"/>
  </r>
  <r>
    <d v="2013-02-02T00:00:00"/>
    <s v="016-2220-000"/>
    <s v="Beer Sales"/>
    <n v="358.06509999999997"/>
    <n v="0"/>
    <s v="Daily Sales Import"/>
    <n v="-358.06509999999997"/>
    <n v="358.06509999999997"/>
    <x v="0"/>
    <s v="2220"/>
    <s v="000"/>
    <x v="4"/>
    <x v="2"/>
  </r>
  <r>
    <d v="2013-02-02T00:00:00"/>
    <s v="016-2230-000"/>
    <s v="Wine Sales"/>
    <n v="155.40599999999998"/>
    <n v="0"/>
    <s v="Daily Sales Import"/>
    <n v="-155.40599999999998"/>
    <n v="155.40599999999998"/>
    <x v="0"/>
    <s v="2230"/>
    <s v="000"/>
    <x v="4"/>
    <x v="2"/>
  </r>
  <r>
    <d v="2013-02-03T00:00:00"/>
    <s v="016-2100-000"/>
    <s v="Food Sales"/>
    <n v="3301.2046"/>
    <n v="0"/>
    <s v="Daily Sales Import"/>
    <n v="-3301.2046"/>
    <n v="3301.2046"/>
    <x v="0"/>
    <s v="2100"/>
    <s v="000"/>
    <x v="4"/>
    <x v="2"/>
  </r>
  <r>
    <d v="2013-02-03T00:00:00"/>
    <s v="016-2210-000"/>
    <s v="Liquor Sales"/>
    <n v="424.59200000000004"/>
    <n v="0"/>
    <s v="Daily Sales Import"/>
    <n v="-424.59200000000004"/>
    <n v="424.59200000000004"/>
    <x v="0"/>
    <s v="2210"/>
    <s v="000"/>
    <x v="4"/>
    <x v="2"/>
  </r>
  <r>
    <d v="2013-02-03T00:00:00"/>
    <s v="016-2220-000"/>
    <s v="Beer Sales"/>
    <n v="120.00239999999998"/>
    <n v="0"/>
    <s v="Daily Sales Import"/>
    <n v="-120.00239999999998"/>
    <n v="120.00239999999998"/>
    <x v="0"/>
    <s v="2220"/>
    <s v="000"/>
    <x v="4"/>
    <x v="2"/>
  </r>
  <r>
    <d v="2013-02-03T00:00:00"/>
    <s v="016-2230-000"/>
    <s v="Wine Sales"/>
    <n v="28.928900000000002"/>
    <n v="0"/>
    <s v="Daily Sales Import"/>
    <n v="-28.928900000000002"/>
    <n v="28.928900000000002"/>
    <x v="0"/>
    <s v="2230"/>
    <s v="000"/>
    <x v="4"/>
    <x v="2"/>
  </r>
  <r>
    <d v="2013-01-28T00:00:00"/>
    <s v="017-2100-000"/>
    <s v="Food Sales"/>
    <n v="4409.5109999999995"/>
    <n v="0"/>
    <s v="Daily Sales Import"/>
    <n v="-4409.5109999999995"/>
    <n v="4409.5109999999995"/>
    <x v="1"/>
    <s v="2100"/>
    <s v="000"/>
    <x v="3"/>
    <x v="2"/>
  </r>
  <r>
    <d v="2013-01-28T00:00:00"/>
    <s v="017-2210-000"/>
    <s v="Liquor Sales"/>
    <n v="570.84709999999995"/>
    <n v="0"/>
    <s v="Daily Sales Import"/>
    <n v="-570.84709999999995"/>
    <n v="570.84709999999995"/>
    <x v="1"/>
    <s v="2210"/>
    <s v="000"/>
    <x v="3"/>
    <x v="2"/>
  </r>
  <r>
    <d v="2013-01-28T00:00:00"/>
    <s v="017-2220-000"/>
    <s v="Beer Sales"/>
    <n v="315.35759999999999"/>
    <n v="0"/>
    <s v="Daily Sales Import"/>
    <n v="-315.35759999999999"/>
    <n v="315.35759999999999"/>
    <x v="1"/>
    <s v="2220"/>
    <s v="000"/>
    <x v="3"/>
    <x v="2"/>
  </r>
  <r>
    <d v="2013-01-28T00:00:00"/>
    <s v="017-2230-000"/>
    <s v="Wine Sales"/>
    <n v="14.942400000000001"/>
    <n v="0"/>
    <s v="Daily Sales Import"/>
    <n v="-14.942400000000001"/>
    <n v="14.942400000000001"/>
    <x v="1"/>
    <s v="2230"/>
    <s v="000"/>
    <x v="3"/>
    <x v="2"/>
  </r>
  <r>
    <d v="2013-01-29T00:00:00"/>
    <s v="017-2100-000"/>
    <s v="Food Sales"/>
    <n v="4502.0755000000008"/>
    <n v="0"/>
    <s v="Daily Sales Import"/>
    <n v="-4502.0755000000008"/>
    <n v="4502.0755000000008"/>
    <x v="1"/>
    <s v="2100"/>
    <s v="000"/>
    <x v="3"/>
    <x v="2"/>
  </r>
  <r>
    <d v="2013-01-29T00:00:00"/>
    <s v="017-2210-000"/>
    <s v="Liquor Sales"/>
    <n v="1285.2124000000001"/>
    <n v="0"/>
    <s v="Daily Sales Import"/>
    <n v="-1285.2124000000001"/>
    <n v="1285.2124000000001"/>
    <x v="1"/>
    <s v="2210"/>
    <s v="000"/>
    <x v="3"/>
    <x v="2"/>
  </r>
  <r>
    <d v="2013-01-29T00:00:00"/>
    <s v="017-2220-000"/>
    <s v="Beer Sales"/>
    <n v="373.93139999999994"/>
    <n v="0"/>
    <s v="Daily Sales Import"/>
    <n v="-373.93139999999994"/>
    <n v="373.93139999999994"/>
    <x v="1"/>
    <s v="2220"/>
    <s v="000"/>
    <x v="3"/>
    <x v="2"/>
  </r>
  <r>
    <d v="2013-01-29T00:00:00"/>
    <s v="017-2230-000"/>
    <s v="Wine Sales"/>
    <n v="377.84950000000003"/>
    <n v="0"/>
    <s v="Daily Sales Import"/>
    <n v="-377.84950000000003"/>
    <n v="377.84950000000003"/>
    <x v="1"/>
    <s v="2230"/>
    <s v="000"/>
    <x v="3"/>
    <x v="2"/>
  </r>
  <r>
    <d v="2013-01-30T00:00:00"/>
    <s v="017-2100-000"/>
    <s v="Food Sales"/>
    <n v="4153.2047999999995"/>
    <n v="0"/>
    <s v="Daily Sales Import"/>
    <n v="-4153.2047999999995"/>
    <n v="4153.2047999999995"/>
    <x v="1"/>
    <s v="2100"/>
    <s v="000"/>
    <x v="3"/>
    <x v="2"/>
  </r>
  <r>
    <d v="2013-01-30T00:00:00"/>
    <s v="017-2210-000"/>
    <s v="Liquor Sales"/>
    <n v="947.70060000000001"/>
    <n v="0"/>
    <s v="Daily Sales Import"/>
    <n v="-947.70060000000001"/>
    <n v="947.70060000000001"/>
    <x v="1"/>
    <s v="2210"/>
    <s v="000"/>
    <x v="3"/>
    <x v="2"/>
  </r>
  <r>
    <d v="2013-01-30T00:00:00"/>
    <s v="017-2220-000"/>
    <s v="Beer Sales"/>
    <n v="326.2912"/>
    <n v="0"/>
    <s v="Daily Sales Import"/>
    <n v="-326.2912"/>
    <n v="326.2912"/>
    <x v="1"/>
    <s v="2220"/>
    <s v="000"/>
    <x v="3"/>
    <x v="2"/>
  </r>
  <r>
    <d v="2013-01-30T00:00:00"/>
    <s v="017-2230-000"/>
    <s v="Wine Sales"/>
    <n v="84.990299999999991"/>
    <n v="0"/>
    <s v="Daily Sales Import"/>
    <n v="-84.990299999999991"/>
    <n v="84.990299999999991"/>
    <x v="1"/>
    <s v="2230"/>
    <s v="000"/>
    <x v="3"/>
    <x v="2"/>
  </r>
  <r>
    <d v="2013-01-31T00:00:00"/>
    <s v="017-2100-000"/>
    <s v="Food Sales"/>
    <n v="4917.6065999999992"/>
    <n v="0"/>
    <s v="Daily Sales Import"/>
    <n v="-4917.6065999999992"/>
    <n v="4917.6065999999992"/>
    <x v="1"/>
    <s v="2100"/>
    <s v="000"/>
    <x v="3"/>
    <x v="2"/>
  </r>
  <r>
    <d v="2013-01-31T00:00:00"/>
    <s v="017-2210-000"/>
    <s v="Liquor Sales"/>
    <n v="1900.3068000000001"/>
    <n v="0"/>
    <s v="Daily Sales Import"/>
    <n v="-1900.3068000000001"/>
    <n v="1900.3068000000001"/>
    <x v="1"/>
    <s v="2210"/>
    <s v="000"/>
    <x v="3"/>
    <x v="2"/>
  </r>
  <r>
    <d v="2013-01-31T00:00:00"/>
    <s v="017-2220-000"/>
    <s v="Beer Sales"/>
    <n v="367.82439999999997"/>
    <n v="0"/>
    <s v="Daily Sales Import"/>
    <n v="-367.82439999999997"/>
    <n v="367.82439999999997"/>
    <x v="1"/>
    <s v="2220"/>
    <s v="000"/>
    <x v="3"/>
    <x v="2"/>
  </r>
  <r>
    <d v="2013-01-31T00:00:00"/>
    <s v="017-2230-000"/>
    <s v="Wine Sales"/>
    <n v="30.323999999999998"/>
    <n v="0"/>
    <s v="Daily Sales Import"/>
    <n v="-30.323999999999998"/>
    <n v="30.323999999999998"/>
    <x v="1"/>
    <s v="2230"/>
    <s v="000"/>
    <x v="3"/>
    <x v="2"/>
  </r>
  <r>
    <d v="2013-02-01T00:00:00"/>
    <s v="017-2100-000"/>
    <s v="Food Sales"/>
    <n v="8719.9490999999998"/>
    <n v="0"/>
    <s v="Daily Sales Import"/>
    <n v="-8719.9490999999998"/>
    <n v="8719.9490999999998"/>
    <x v="1"/>
    <s v="2100"/>
    <s v="000"/>
    <x v="4"/>
    <x v="2"/>
  </r>
  <r>
    <d v="2013-02-01T00:00:00"/>
    <s v="017-2210-000"/>
    <s v="Liquor Sales"/>
    <n v="2283.2347999999997"/>
    <n v="0"/>
    <s v="Daily Sales Import"/>
    <n v="-2283.2347999999997"/>
    <n v="2283.2347999999997"/>
    <x v="1"/>
    <s v="2210"/>
    <s v="000"/>
    <x v="4"/>
    <x v="2"/>
  </r>
  <r>
    <d v="2013-02-01T00:00:00"/>
    <s v="017-2220-000"/>
    <s v="Beer Sales"/>
    <n v="428.19919999999996"/>
    <n v="0"/>
    <s v="Daily Sales Import"/>
    <n v="-428.19919999999996"/>
    <n v="428.19919999999996"/>
    <x v="1"/>
    <s v="2220"/>
    <s v="000"/>
    <x v="4"/>
    <x v="2"/>
  </r>
  <r>
    <d v="2013-02-01T00:00:00"/>
    <s v="017-2230-000"/>
    <s v="Wine Sales"/>
    <n v="120.26880000000001"/>
    <n v="0"/>
    <s v="Daily Sales Import"/>
    <n v="-120.26880000000001"/>
    <n v="120.26880000000001"/>
    <x v="1"/>
    <s v="2230"/>
    <s v="000"/>
    <x v="4"/>
    <x v="2"/>
  </r>
  <r>
    <d v="2013-02-02T00:00:00"/>
    <s v="017-2100-000"/>
    <s v="Food Sales"/>
    <n v="8341.8064999999988"/>
    <n v="0"/>
    <s v="Daily Sales Import"/>
    <n v="-8341.8064999999988"/>
    <n v="8341.8064999999988"/>
    <x v="1"/>
    <s v="2100"/>
    <s v="000"/>
    <x v="4"/>
    <x v="2"/>
  </r>
  <r>
    <d v="2013-02-02T00:00:00"/>
    <s v="017-2210-000"/>
    <s v="Liquor Sales"/>
    <n v="1660.4217000000001"/>
    <n v="0"/>
    <s v="Daily Sales Import"/>
    <n v="-1660.4217000000001"/>
    <n v="1660.4217000000001"/>
    <x v="1"/>
    <s v="2210"/>
    <s v="000"/>
    <x v="4"/>
    <x v="2"/>
  </r>
  <r>
    <d v="2013-02-02T00:00:00"/>
    <s v="017-2220-000"/>
    <s v="Beer Sales"/>
    <n v="541.64700000000005"/>
    <n v="0"/>
    <s v="Daily Sales Import"/>
    <n v="-541.64700000000005"/>
    <n v="541.64700000000005"/>
    <x v="1"/>
    <s v="2220"/>
    <s v="000"/>
    <x v="4"/>
    <x v="2"/>
  </r>
  <r>
    <d v="2013-02-02T00:00:00"/>
    <s v="017-2230-000"/>
    <s v="Wine Sales"/>
    <n v="134.15199999999999"/>
    <n v="0"/>
    <s v="Daily Sales Import"/>
    <n v="-134.15199999999999"/>
    <n v="134.15199999999999"/>
    <x v="1"/>
    <s v="2230"/>
    <s v="000"/>
    <x v="4"/>
    <x v="2"/>
  </r>
  <r>
    <d v="2013-02-03T00:00:00"/>
    <s v="017-2100-000"/>
    <s v="Food Sales"/>
    <n v="3358.6096000000002"/>
    <n v="0"/>
    <s v="Daily Sales Import"/>
    <n v="-3358.6096000000002"/>
    <n v="3358.6096000000002"/>
    <x v="1"/>
    <s v="2100"/>
    <s v="000"/>
    <x v="4"/>
    <x v="2"/>
  </r>
  <r>
    <d v="2013-02-03T00:00:00"/>
    <s v="017-2210-000"/>
    <s v="Liquor Sales"/>
    <n v="325.01919999999996"/>
    <n v="0"/>
    <s v="Daily Sales Import"/>
    <n v="-325.01919999999996"/>
    <n v="325.01919999999996"/>
    <x v="1"/>
    <s v="2210"/>
    <s v="000"/>
    <x v="4"/>
    <x v="2"/>
  </r>
  <r>
    <d v="2013-02-03T00:00:00"/>
    <s v="017-2220-000"/>
    <s v="Beer Sales"/>
    <n v="109.77119999999999"/>
    <n v="0"/>
    <s v="Daily Sales Import"/>
    <n v="-109.77119999999999"/>
    <n v="109.77119999999999"/>
    <x v="1"/>
    <s v="2220"/>
    <s v="000"/>
    <x v="4"/>
    <x v="2"/>
  </r>
  <r>
    <d v="2013-02-03T00:00:00"/>
    <s v="017-2230-000"/>
    <s v="Wine Sales"/>
    <n v="6.7915000000000001"/>
    <n v="0"/>
    <s v="Daily Sales Import"/>
    <n v="-6.7915000000000001"/>
    <n v="6.7915000000000001"/>
    <x v="1"/>
    <s v="2230"/>
    <s v="000"/>
    <x v="4"/>
    <x v="2"/>
  </r>
  <r>
    <d v="2013-01-28T00:00:00"/>
    <s v="018-2100-000"/>
    <s v="Food Sales"/>
    <n v="2660.1561000000002"/>
    <n v="0"/>
    <s v="Daily Sales Import"/>
    <n v="-2660.1561000000002"/>
    <n v="2660.1561000000002"/>
    <x v="2"/>
    <s v="2100"/>
    <s v="000"/>
    <x v="3"/>
    <x v="2"/>
  </r>
  <r>
    <d v="2013-01-28T00:00:00"/>
    <s v="018-2210-000"/>
    <s v="Liquor Sales"/>
    <n v="517.65350000000001"/>
    <n v="0"/>
    <s v="Daily Sales Import"/>
    <n v="-517.65350000000001"/>
    <n v="517.65350000000001"/>
    <x v="2"/>
    <s v="2210"/>
    <s v="000"/>
    <x v="3"/>
    <x v="2"/>
  </r>
  <r>
    <d v="2013-01-28T00:00:00"/>
    <s v="018-2220-000"/>
    <s v="Beer Sales"/>
    <n v="75.913799999999995"/>
    <n v="0"/>
    <s v="Daily Sales Import"/>
    <n v="-75.913799999999995"/>
    <n v="75.913799999999995"/>
    <x v="2"/>
    <s v="2220"/>
    <s v="000"/>
    <x v="3"/>
    <x v="2"/>
  </r>
  <r>
    <d v="2013-01-28T00:00:00"/>
    <s v="018-2230-000"/>
    <s v="Wine Sales"/>
    <n v="32.349000000000004"/>
    <n v="0"/>
    <s v="Daily Sales Import"/>
    <n v="-32.349000000000004"/>
    <n v="32.349000000000004"/>
    <x v="2"/>
    <s v="2230"/>
    <s v="000"/>
    <x v="3"/>
    <x v="2"/>
  </r>
  <r>
    <d v="2013-01-29T00:00:00"/>
    <s v="018-2100-000"/>
    <s v="Food Sales"/>
    <n v="3694.3676"/>
    <n v="0"/>
    <s v="Daily Sales Import"/>
    <n v="-3694.3676"/>
    <n v="3694.3676"/>
    <x v="2"/>
    <s v="2100"/>
    <s v="000"/>
    <x v="3"/>
    <x v="2"/>
  </r>
  <r>
    <d v="2013-01-29T00:00:00"/>
    <s v="018-2210-000"/>
    <s v="Liquor Sales"/>
    <n v="472.57560000000001"/>
    <n v="0"/>
    <s v="Daily Sales Import"/>
    <n v="-472.57560000000001"/>
    <n v="472.57560000000001"/>
    <x v="2"/>
    <s v="2210"/>
    <s v="000"/>
    <x v="3"/>
    <x v="2"/>
  </r>
  <r>
    <d v="2013-01-29T00:00:00"/>
    <s v="018-2220-000"/>
    <s v="Beer Sales"/>
    <n v="310.5736"/>
    <n v="0"/>
    <s v="Daily Sales Import"/>
    <n v="-310.5736"/>
    <n v="310.5736"/>
    <x v="2"/>
    <s v="2220"/>
    <s v="000"/>
    <x v="3"/>
    <x v="2"/>
  </r>
  <r>
    <d v="2013-01-29T00:00:00"/>
    <s v="018-2230-000"/>
    <s v="Wine Sales"/>
    <n v="61.533000000000008"/>
    <n v="0"/>
    <s v="Daily Sales Import"/>
    <n v="-61.533000000000008"/>
    <n v="61.533000000000008"/>
    <x v="2"/>
    <s v="2230"/>
    <s v="000"/>
    <x v="3"/>
    <x v="2"/>
  </r>
  <r>
    <d v="2013-01-30T00:00:00"/>
    <s v="018-2100-000"/>
    <s v="Food Sales"/>
    <n v="3181.88"/>
    <n v="0"/>
    <s v="Daily Sales Import"/>
    <n v="-3181.88"/>
    <n v="3181.88"/>
    <x v="2"/>
    <s v="2100"/>
    <s v="000"/>
    <x v="3"/>
    <x v="2"/>
  </r>
  <r>
    <d v="2013-01-30T00:00:00"/>
    <s v="018-2210-000"/>
    <s v="Liquor Sales"/>
    <n v="1037.616"/>
    <n v="0"/>
    <s v="Daily Sales Import"/>
    <n v="-1037.616"/>
    <n v="1037.616"/>
    <x v="2"/>
    <s v="2210"/>
    <s v="000"/>
    <x v="3"/>
    <x v="2"/>
  </r>
  <r>
    <d v="2013-01-30T00:00:00"/>
    <s v="018-2220-000"/>
    <s v="Beer Sales"/>
    <n v="235.10159999999996"/>
    <n v="0"/>
    <s v="Daily Sales Import"/>
    <n v="-235.10159999999996"/>
    <n v="235.10159999999996"/>
    <x v="2"/>
    <s v="2220"/>
    <s v="000"/>
    <x v="3"/>
    <x v="2"/>
  </r>
  <r>
    <d v="2013-01-31T00:00:00"/>
    <s v="018-2100-000"/>
    <s v="Food Sales"/>
    <n v="3394.2171999999996"/>
    <n v="0"/>
    <s v="Daily Sales Import"/>
    <n v="-3394.2171999999996"/>
    <n v="3394.2171999999996"/>
    <x v="2"/>
    <s v="2100"/>
    <s v="000"/>
    <x v="3"/>
    <x v="2"/>
  </r>
  <r>
    <d v="2013-01-31T00:00:00"/>
    <s v="018-2210-000"/>
    <s v="Liquor Sales"/>
    <n v="621.59040000000005"/>
    <n v="0"/>
    <s v="Daily Sales Import"/>
    <n v="-621.59040000000005"/>
    <n v="621.59040000000005"/>
    <x v="2"/>
    <s v="2210"/>
    <s v="000"/>
    <x v="3"/>
    <x v="2"/>
  </r>
  <r>
    <d v="2013-01-31T00:00:00"/>
    <s v="018-2220-000"/>
    <s v="Beer Sales"/>
    <n v="274.84449999999998"/>
    <n v="0"/>
    <s v="Daily Sales Import"/>
    <n v="-274.84449999999998"/>
    <n v="274.84449999999998"/>
    <x v="2"/>
    <s v="2220"/>
    <s v="000"/>
    <x v="3"/>
    <x v="2"/>
  </r>
  <r>
    <d v="2013-01-31T00:00:00"/>
    <s v="018-2230-000"/>
    <s v="Wine Sales"/>
    <n v="20.475399999999997"/>
    <n v="0"/>
    <s v="Daily Sales Import"/>
    <n v="-20.475399999999997"/>
    <n v="20.475399999999997"/>
    <x v="2"/>
    <s v="2230"/>
    <s v="000"/>
    <x v="3"/>
    <x v="2"/>
  </r>
  <r>
    <d v="2013-02-01T00:00:00"/>
    <s v="018-2100-000"/>
    <s v="Food Sales"/>
    <n v="7406.1909999999998"/>
    <n v="0"/>
    <s v="Daily Sales Import"/>
    <n v="-7406.1909999999998"/>
    <n v="7406.1909999999998"/>
    <x v="2"/>
    <s v="2100"/>
    <s v="000"/>
    <x v="4"/>
    <x v="2"/>
  </r>
  <r>
    <d v="2013-02-01T00:00:00"/>
    <s v="018-2210-000"/>
    <s v="Liquor Sales"/>
    <n v="1685.9864000000002"/>
    <n v="0"/>
    <s v="Daily Sales Import"/>
    <n v="-1685.9864000000002"/>
    <n v="1685.9864000000002"/>
    <x v="2"/>
    <s v="2210"/>
    <s v="000"/>
    <x v="4"/>
    <x v="2"/>
  </r>
  <r>
    <d v="2013-02-01T00:00:00"/>
    <s v="018-2220-000"/>
    <s v="Beer Sales"/>
    <n v="573.60840000000007"/>
    <n v="0"/>
    <s v="Daily Sales Import"/>
    <n v="-573.60840000000007"/>
    <n v="573.60840000000007"/>
    <x v="2"/>
    <s v="2220"/>
    <s v="000"/>
    <x v="4"/>
    <x v="2"/>
  </r>
  <r>
    <d v="2013-02-01T00:00:00"/>
    <s v="018-2230-000"/>
    <s v="Wine Sales"/>
    <n v="136.92239999999998"/>
    <n v="0"/>
    <s v="Daily Sales Import"/>
    <n v="-136.92239999999998"/>
    <n v="136.92239999999998"/>
    <x v="2"/>
    <s v="2230"/>
    <s v="000"/>
    <x v="4"/>
    <x v="2"/>
  </r>
  <r>
    <d v="2013-02-02T00:00:00"/>
    <s v="018-2100-000"/>
    <s v="Food Sales"/>
    <n v="14797.899600000001"/>
    <n v="0"/>
    <s v="Daily Sales Import"/>
    <n v="-14797.899600000001"/>
    <n v="14797.899600000001"/>
    <x v="2"/>
    <s v="2100"/>
    <s v="000"/>
    <x v="4"/>
    <x v="2"/>
  </r>
  <r>
    <d v="2013-02-02T00:00:00"/>
    <s v="018-2210-000"/>
    <s v="Liquor Sales"/>
    <n v="2741.4560000000001"/>
    <n v="0"/>
    <s v="Daily Sales Import"/>
    <n v="-2741.4560000000001"/>
    <n v="2741.4560000000001"/>
    <x v="2"/>
    <s v="2210"/>
    <s v="000"/>
    <x v="4"/>
    <x v="2"/>
  </r>
  <r>
    <d v="2013-02-02T00:00:00"/>
    <s v="018-2220-000"/>
    <s v="Beer Sales"/>
    <n v="877.65049999999997"/>
    <n v="0"/>
    <s v="Daily Sales Import"/>
    <n v="-877.65049999999997"/>
    <n v="877.65049999999997"/>
    <x v="2"/>
    <s v="2220"/>
    <s v="000"/>
    <x v="4"/>
    <x v="2"/>
  </r>
  <r>
    <d v="2013-02-02T00:00:00"/>
    <s v="018-2230-000"/>
    <s v="Wine Sales"/>
    <n v="144.0376"/>
    <n v="0"/>
    <s v="Daily Sales Import"/>
    <n v="-144.0376"/>
    <n v="144.0376"/>
    <x v="2"/>
    <s v="2230"/>
    <s v="000"/>
    <x v="4"/>
    <x v="2"/>
  </r>
  <r>
    <d v="2013-02-03T00:00:00"/>
    <s v="018-2100-000"/>
    <s v="Food Sales"/>
    <n v="6294.3724000000002"/>
    <n v="0"/>
    <s v="Daily Sales Import"/>
    <n v="-6294.3724000000002"/>
    <n v="6294.3724000000002"/>
    <x v="2"/>
    <s v="2100"/>
    <s v="000"/>
    <x v="4"/>
    <x v="2"/>
  </r>
  <r>
    <d v="2013-02-03T00:00:00"/>
    <s v="018-2210-000"/>
    <s v="Liquor Sales"/>
    <n v="487.27249999999998"/>
    <n v="0"/>
    <s v="Daily Sales Import"/>
    <n v="-487.27249999999998"/>
    <n v="487.27249999999998"/>
    <x v="2"/>
    <s v="2210"/>
    <s v="000"/>
    <x v="4"/>
    <x v="2"/>
  </r>
  <r>
    <d v="2013-02-03T00:00:00"/>
    <s v="018-2220-000"/>
    <s v="Beer Sales"/>
    <n v="170.3432"/>
    <n v="0"/>
    <s v="Daily Sales Import"/>
    <n v="-170.3432"/>
    <n v="170.3432"/>
    <x v="2"/>
    <s v="2220"/>
    <s v="000"/>
    <x v="4"/>
    <x v="2"/>
  </r>
  <r>
    <d v="2013-02-03T00:00:00"/>
    <s v="018-2230-000"/>
    <s v="Wine Sales"/>
    <n v="50.779199999999996"/>
    <n v="0"/>
    <s v="Daily Sales Import"/>
    <n v="-50.779199999999996"/>
    <n v="50.779199999999996"/>
    <x v="2"/>
    <s v="2230"/>
    <s v="000"/>
    <x v="4"/>
    <x v="2"/>
  </r>
  <r>
    <d v="2013-02-04T00:00:00"/>
    <s v="016-2100-000"/>
    <s v="Food Sales"/>
    <n v="2293.1252999999997"/>
    <n v="0"/>
    <s v="Daily Sales Import"/>
    <n v="-2293.1252999999997"/>
    <n v="2293.1252999999997"/>
    <x v="0"/>
    <s v="2100"/>
    <s v="000"/>
    <x v="4"/>
    <x v="2"/>
  </r>
  <r>
    <d v="2013-02-04T00:00:00"/>
    <s v="016-2210-000"/>
    <s v="Liquor Sales"/>
    <n v="507.21440000000001"/>
    <n v="0"/>
    <s v="Daily Sales Import"/>
    <n v="-507.21440000000001"/>
    <n v="507.21440000000001"/>
    <x v="0"/>
    <s v="2210"/>
    <s v="000"/>
    <x v="4"/>
    <x v="2"/>
  </r>
  <r>
    <d v="2013-02-04T00:00:00"/>
    <s v="016-2220-000"/>
    <s v="Beer Sales"/>
    <n v="69.749799999999993"/>
    <n v="0"/>
    <s v="Daily Sales Import"/>
    <n v="-69.749799999999993"/>
    <n v="69.749799999999993"/>
    <x v="0"/>
    <s v="2220"/>
    <s v="000"/>
    <x v="4"/>
    <x v="2"/>
  </r>
  <r>
    <d v="2013-02-04T00:00:00"/>
    <s v="016-2230-000"/>
    <s v="Wine Sales"/>
    <n v="53.5122"/>
    <n v="0"/>
    <s v="Daily Sales Import"/>
    <n v="-53.5122"/>
    <n v="53.5122"/>
    <x v="0"/>
    <s v="2230"/>
    <s v="000"/>
    <x v="4"/>
    <x v="2"/>
  </r>
  <r>
    <d v="2013-02-05T00:00:00"/>
    <s v="016-2100-000"/>
    <s v="Food Sales"/>
    <n v="5391.2494999999999"/>
    <n v="0"/>
    <s v="Daily Sales Import"/>
    <n v="-5391.2494999999999"/>
    <n v="5391.2494999999999"/>
    <x v="0"/>
    <s v="2100"/>
    <s v="000"/>
    <x v="4"/>
    <x v="2"/>
  </r>
  <r>
    <d v="2013-02-05T00:00:00"/>
    <s v="016-2210-000"/>
    <s v="Liquor Sales"/>
    <n v="1684.7921999999999"/>
    <n v="0"/>
    <s v="Daily Sales Import"/>
    <n v="-1684.7921999999999"/>
    <n v="1684.7921999999999"/>
    <x v="0"/>
    <s v="2210"/>
    <s v="000"/>
    <x v="4"/>
    <x v="2"/>
  </r>
  <r>
    <d v="2013-02-05T00:00:00"/>
    <s v="016-2220-000"/>
    <s v="Beer Sales"/>
    <n v="818.94889999999998"/>
    <n v="0"/>
    <s v="Daily Sales Import"/>
    <n v="-818.94889999999998"/>
    <n v="818.94889999999998"/>
    <x v="0"/>
    <s v="2220"/>
    <s v="000"/>
    <x v="4"/>
    <x v="2"/>
  </r>
  <r>
    <d v="2013-02-05T00:00:00"/>
    <s v="016-2230-000"/>
    <s v="Wine Sales"/>
    <n v="100.71600000000001"/>
    <n v="0"/>
    <s v="Daily Sales Import"/>
    <n v="-100.71600000000001"/>
    <n v="100.71600000000001"/>
    <x v="0"/>
    <s v="2230"/>
    <s v="000"/>
    <x v="4"/>
    <x v="2"/>
  </r>
  <r>
    <d v="2013-02-06T00:00:00"/>
    <s v="016-2100-000"/>
    <s v="Food Sales"/>
    <n v="2843.2580000000003"/>
    <n v="0"/>
    <s v="Daily Sales Import"/>
    <n v="-2843.2580000000003"/>
    <n v="2843.2580000000003"/>
    <x v="0"/>
    <s v="2100"/>
    <s v="000"/>
    <x v="4"/>
    <x v="2"/>
  </r>
  <r>
    <d v="2013-02-06T00:00:00"/>
    <s v="016-2210-000"/>
    <s v="Liquor Sales"/>
    <n v="942.15719999999999"/>
    <n v="0"/>
    <s v="Daily Sales Import"/>
    <n v="-942.15719999999999"/>
    <n v="942.15719999999999"/>
    <x v="0"/>
    <s v="2210"/>
    <s v="000"/>
    <x v="4"/>
    <x v="2"/>
  </r>
  <r>
    <d v="2013-02-06T00:00:00"/>
    <s v="016-2220-000"/>
    <s v="Beer Sales"/>
    <n v="216.73439999999999"/>
    <n v="0"/>
    <s v="Daily Sales Import"/>
    <n v="-216.73439999999999"/>
    <n v="216.73439999999999"/>
    <x v="0"/>
    <s v="2220"/>
    <s v="000"/>
    <x v="4"/>
    <x v="2"/>
  </r>
  <r>
    <d v="2013-02-06T00:00:00"/>
    <s v="016-2230-000"/>
    <s v="Wine Sales"/>
    <n v="103.70099999999999"/>
    <n v="0"/>
    <s v="Daily Sales Import"/>
    <n v="-103.70099999999999"/>
    <n v="103.70099999999999"/>
    <x v="0"/>
    <s v="2230"/>
    <s v="000"/>
    <x v="4"/>
    <x v="2"/>
  </r>
  <r>
    <d v="2013-02-07T00:00:00"/>
    <s v="016-2100-000"/>
    <s v="Food Sales"/>
    <n v="3286.5119"/>
    <n v="0"/>
    <s v="Daily Sales Import"/>
    <n v="-3286.5119"/>
    <n v="3286.5119"/>
    <x v="0"/>
    <s v="2100"/>
    <s v="000"/>
    <x v="4"/>
    <x v="2"/>
  </r>
  <r>
    <d v="2013-02-07T00:00:00"/>
    <s v="016-2210-000"/>
    <s v="Liquor Sales"/>
    <n v="735.07280000000003"/>
    <n v="0"/>
    <s v="Daily Sales Import"/>
    <n v="-735.07280000000003"/>
    <n v="735.07280000000003"/>
    <x v="0"/>
    <s v="2210"/>
    <s v="000"/>
    <x v="4"/>
    <x v="2"/>
  </r>
  <r>
    <d v="2013-02-07T00:00:00"/>
    <s v="016-2220-000"/>
    <s v="Beer Sales"/>
    <n v="124.31299999999999"/>
    <n v="0"/>
    <s v="Daily Sales Import"/>
    <n v="-124.31299999999999"/>
    <n v="124.31299999999999"/>
    <x v="0"/>
    <s v="2220"/>
    <s v="000"/>
    <x v="4"/>
    <x v="2"/>
  </r>
  <r>
    <d v="2013-02-07T00:00:00"/>
    <s v="016-2230-000"/>
    <s v="Wine Sales"/>
    <n v="92.197500000000005"/>
    <n v="0"/>
    <s v="Daily Sales Import"/>
    <n v="-92.197500000000005"/>
    <n v="92.197500000000005"/>
    <x v="0"/>
    <s v="2230"/>
    <s v="000"/>
    <x v="4"/>
    <x v="2"/>
  </r>
  <r>
    <d v="2013-02-08T00:00:00"/>
    <s v="016-2100-000"/>
    <s v="Food Sales"/>
    <n v="6286.9279999999999"/>
    <n v="0"/>
    <s v="Daily Sales Import"/>
    <n v="-6286.9279999999999"/>
    <n v="6286.9279999999999"/>
    <x v="0"/>
    <s v="2100"/>
    <s v="000"/>
    <x v="4"/>
    <x v="2"/>
  </r>
  <r>
    <d v="2013-02-08T00:00:00"/>
    <s v="016-2210-000"/>
    <s v="Liquor Sales"/>
    <n v="1908.2824000000001"/>
    <n v="0"/>
    <s v="Daily Sales Import"/>
    <n v="-1908.2824000000001"/>
    <n v="1908.2824000000001"/>
    <x v="0"/>
    <s v="2210"/>
    <s v="000"/>
    <x v="4"/>
    <x v="2"/>
  </r>
  <r>
    <d v="2013-02-08T00:00:00"/>
    <s v="016-2220-000"/>
    <s v="Beer Sales"/>
    <n v="354.03059999999999"/>
    <n v="0"/>
    <s v="Daily Sales Import"/>
    <n v="-354.03059999999999"/>
    <n v="354.03059999999999"/>
    <x v="0"/>
    <s v="2220"/>
    <s v="000"/>
    <x v="4"/>
    <x v="2"/>
  </r>
  <r>
    <d v="2013-02-08T00:00:00"/>
    <s v="016-2230-000"/>
    <s v="Wine Sales"/>
    <n v="166.07079999999999"/>
    <n v="0"/>
    <s v="Daily Sales Import"/>
    <n v="-166.07079999999999"/>
    <n v="166.07079999999999"/>
    <x v="0"/>
    <s v="2230"/>
    <s v="000"/>
    <x v="4"/>
    <x v="2"/>
  </r>
  <r>
    <d v="2013-02-09T00:00:00"/>
    <s v="016-2100-000"/>
    <s v="Food Sales"/>
    <n v="8057.3976000000002"/>
    <n v="0"/>
    <s v="Daily Sales Import"/>
    <n v="-8057.3976000000002"/>
    <n v="8057.3976000000002"/>
    <x v="0"/>
    <s v="2100"/>
    <s v="000"/>
    <x v="4"/>
    <x v="2"/>
  </r>
  <r>
    <d v="2013-02-09T00:00:00"/>
    <s v="016-2210-000"/>
    <s v="Liquor Sales"/>
    <n v="2926.1556"/>
    <n v="0"/>
    <s v="Daily Sales Import"/>
    <n v="-2926.1556"/>
    <n v="2926.1556"/>
    <x v="0"/>
    <s v="2210"/>
    <s v="000"/>
    <x v="4"/>
    <x v="2"/>
  </r>
  <r>
    <d v="2013-02-09T00:00:00"/>
    <s v="016-2220-000"/>
    <s v="Beer Sales"/>
    <n v="549.02570000000003"/>
    <n v="0"/>
    <s v="Daily Sales Import"/>
    <n v="-549.02570000000003"/>
    <n v="549.02570000000003"/>
    <x v="0"/>
    <s v="2220"/>
    <s v="000"/>
    <x v="4"/>
    <x v="2"/>
  </r>
  <r>
    <d v="2013-02-09T00:00:00"/>
    <s v="016-2230-000"/>
    <s v="Wine Sales"/>
    <n v="222.00839999999999"/>
    <n v="0"/>
    <s v="Daily Sales Import"/>
    <n v="-222.00839999999999"/>
    <n v="222.00839999999999"/>
    <x v="0"/>
    <s v="2230"/>
    <s v="000"/>
    <x v="4"/>
    <x v="2"/>
  </r>
  <r>
    <d v="2013-02-10T00:00:00"/>
    <s v="016-2100-000"/>
    <s v="Food Sales"/>
    <n v="7717.2636000000002"/>
    <n v="0"/>
    <s v="Daily Sales Import"/>
    <n v="-7717.2636000000002"/>
    <n v="7717.2636000000002"/>
    <x v="0"/>
    <s v="2100"/>
    <s v="000"/>
    <x v="4"/>
    <x v="2"/>
  </r>
  <r>
    <d v="2013-02-10T00:00:00"/>
    <s v="016-2210-000"/>
    <s v="Liquor Sales"/>
    <n v="1645.8860000000002"/>
    <n v="0"/>
    <s v="Daily Sales Import"/>
    <n v="-1645.8860000000002"/>
    <n v="1645.8860000000002"/>
    <x v="0"/>
    <s v="2210"/>
    <s v="000"/>
    <x v="4"/>
    <x v="2"/>
  </r>
  <r>
    <d v="2013-02-10T00:00:00"/>
    <s v="016-2220-000"/>
    <s v="Beer Sales"/>
    <n v="247.04190000000003"/>
    <n v="0"/>
    <s v="Daily Sales Import"/>
    <n v="-247.04190000000003"/>
    <n v="247.04190000000003"/>
    <x v="0"/>
    <s v="2220"/>
    <s v="000"/>
    <x v="4"/>
    <x v="2"/>
  </r>
  <r>
    <d v="2013-02-10T00:00:00"/>
    <s v="016-2230-000"/>
    <s v="Wine Sales"/>
    <n v="92.127200000000002"/>
    <n v="0"/>
    <s v="Daily Sales Import"/>
    <n v="-92.127200000000002"/>
    <n v="92.127200000000002"/>
    <x v="0"/>
    <s v="2230"/>
    <s v="000"/>
    <x v="4"/>
    <x v="2"/>
  </r>
  <r>
    <d v="2013-02-04T00:00:00"/>
    <s v="017-2100-000"/>
    <s v="Food Sales"/>
    <n v="2008.4861999999998"/>
    <n v="0"/>
    <s v="Daily Sales Import"/>
    <n v="-2008.4861999999998"/>
    <n v="2008.4861999999998"/>
    <x v="1"/>
    <s v="2100"/>
    <s v="000"/>
    <x v="4"/>
    <x v="2"/>
  </r>
  <r>
    <d v="2013-02-04T00:00:00"/>
    <s v="017-2210-000"/>
    <s v="Liquor Sales"/>
    <n v="479.14260000000002"/>
    <n v="0"/>
    <s v="Daily Sales Import"/>
    <n v="-479.14260000000002"/>
    <n v="479.14260000000002"/>
    <x v="1"/>
    <s v="2210"/>
    <s v="000"/>
    <x v="4"/>
    <x v="2"/>
  </r>
  <r>
    <d v="2013-02-04T00:00:00"/>
    <s v="017-2220-000"/>
    <s v="Beer Sales"/>
    <n v="257.29799999999994"/>
    <n v="0"/>
    <s v="Daily Sales Import"/>
    <n v="-257.29799999999994"/>
    <n v="257.29799999999994"/>
    <x v="1"/>
    <s v="2220"/>
    <s v="000"/>
    <x v="4"/>
    <x v="2"/>
  </r>
  <r>
    <d v="2013-02-04T00:00:00"/>
    <s v="017-2230-000"/>
    <s v="Wine Sales"/>
    <n v="65.232599999999991"/>
    <n v="0"/>
    <s v="Daily Sales Import"/>
    <n v="-65.232599999999991"/>
    <n v="65.232599999999991"/>
    <x v="1"/>
    <s v="2230"/>
    <s v="000"/>
    <x v="4"/>
    <x v="2"/>
  </r>
  <r>
    <d v="2013-02-05T00:00:00"/>
    <s v="017-2100-000"/>
    <s v="Food Sales"/>
    <n v="5804.6706000000004"/>
    <n v="0"/>
    <s v="Daily Sales Import"/>
    <n v="-5804.6706000000004"/>
    <n v="5804.6706000000004"/>
    <x v="1"/>
    <s v="2100"/>
    <s v="000"/>
    <x v="4"/>
    <x v="2"/>
  </r>
  <r>
    <d v="2013-02-05T00:00:00"/>
    <s v="017-2210-000"/>
    <s v="Liquor Sales"/>
    <n v="1052.45"/>
    <n v="0"/>
    <s v="Daily Sales Import"/>
    <n v="-1052.45"/>
    <n v="1052.45"/>
    <x v="1"/>
    <s v="2210"/>
    <s v="000"/>
    <x v="4"/>
    <x v="2"/>
  </r>
  <r>
    <d v="2013-02-05T00:00:00"/>
    <s v="017-2220-000"/>
    <s v="Beer Sales"/>
    <n v="482.06849999999997"/>
    <n v="0"/>
    <s v="Daily Sales Import"/>
    <n v="-482.06849999999997"/>
    <n v="482.06849999999997"/>
    <x v="1"/>
    <s v="2220"/>
    <s v="000"/>
    <x v="4"/>
    <x v="2"/>
  </r>
  <r>
    <d v="2013-02-05T00:00:00"/>
    <s v="017-2230-000"/>
    <s v="Wine Sales"/>
    <n v="126.50550000000001"/>
    <n v="0"/>
    <s v="Daily Sales Import"/>
    <n v="-126.50550000000001"/>
    <n v="126.50550000000001"/>
    <x v="1"/>
    <s v="2230"/>
    <s v="000"/>
    <x v="4"/>
    <x v="2"/>
  </r>
  <r>
    <d v="2013-02-06T00:00:00"/>
    <s v="017-2100-000"/>
    <s v="Food Sales"/>
    <n v="5448.1192000000001"/>
    <n v="0"/>
    <s v="Daily Sales Import"/>
    <n v="-5448.1192000000001"/>
    <n v="5448.1192000000001"/>
    <x v="1"/>
    <s v="2100"/>
    <s v="000"/>
    <x v="4"/>
    <x v="2"/>
  </r>
  <r>
    <d v="2013-02-06T00:00:00"/>
    <s v="017-2210-000"/>
    <s v="Liquor Sales"/>
    <n v="1643.838"/>
    <n v="0"/>
    <s v="Daily Sales Import"/>
    <n v="-1643.838"/>
    <n v="1643.838"/>
    <x v="1"/>
    <s v="2210"/>
    <s v="000"/>
    <x v="4"/>
    <x v="2"/>
  </r>
  <r>
    <d v="2013-02-06T00:00:00"/>
    <s v="017-2220-000"/>
    <s v="Beer Sales"/>
    <n v="363.35199999999998"/>
    <n v="0"/>
    <s v="Daily Sales Import"/>
    <n v="-363.35199999999998"/>
    <n v="363.35199999999998"/>
    <x v="1"/>
    <s v="2220"/>
    <s v="000"/>
    <x v="4"/>
    <x v="2"/>
  </r>
  <r>
    <d v="2013-02-06T00:00:00"/>
    <s v="017-2230-000"/>
    <s v="Wine Sales"/>
    <n v="67.977000000000004"/>
    <n v="0"/>
    <s v="Daily Sales Import"/>
    <n v="-67.977000000000004"/>
    <n v="67.977000000000004"/>
    <x v="1"/>
    <s v="2230"/>
    <s v="000"/>
    <x v="4"/>
    <x v="2"/>
  </r>
  <r>
    <d v="2013-02-07T00:00:00"/>
    <s v="017-2100-000"/>
    <s v="Food Sales"/>
    <n v="4585.3024000000005"/>
    <n v="0"/>
    <s v="Daily Sales Import"/>
    <n v="-4585.3024000000005"/>
    <n v="4585.3024000000005"/>
    <x v="1"/>
    <s v="2100"/>
    <s v="000"/>
    <x v="4"/>
    <x v="2"/>
  </r>
  <r>
    <d v="2013-02-07T00:00:00"/>
    <s v="017-2210-000"/>
    <s v="Liquor Sales"/>
    <n v="1123.6726999999998"/>
    <n v="0"/>
    <s v="Daily Sales Import"/>
    <n v="-1123.6726999999998"/>
    <n v="1123.6726999999998"/>
    <x v="1"/>
    <s v="2210"/>
    <s v="000"/>
    <x v="4"/>
    <x v="2"/>
  </r>
  <r>
    <d v="2013-02-07T00:00:00"/>
    <s v="017-2220-000"/>
    <s v="Beer Sales"/>
    <n v="386.00250000000005"/>
    <n v="0"/>
    <s v="Daily Sales Import"/>
    <n v="-386.00250000000005"/>
    <n v="386.00250000000005"/>
    <x v="1"/>
    <s v="2220"/>
    <s v="000"/>
    <x v="4"/>
    <x v="2"/>
  </r>
  <r>
    <d v="2013-02-07T00:00:00"/>
    <s v="017-2230-000"/>
    <s v="Wine Sales"/>
    <n v="123.53999999999999"/>
    <n v="0"/>
    <s v="Daily Sales Import"/>
    <n v="-123.53999999999999"/>
    <n v="123.53999999999999"/>
    <x v="1"/>
    <s v="2230"/>
    <s v="000"/>
    <x v="4"/>
    <x v="2"/>
  </r>
  <r>
    <d v="2013-02-08T00:00:00"/>
    <s v="017-2100-000"/>
    <s v="Food Sales"/>
    <n v="7321.7187999999996"/>
    <n v="0"/>
    <s v="Daily Sales Import"/>
    <n v="-7321.7187999999996"/>
    <n v="7321.7187999999996"/>
    <x v="1"/>
    <s v="2100"/>
    <s v="000"/>
    <x v="4"/>
    <x v="2"/>
  </r>
  <r>
    <d v="2013-02-08T00:00:00"/>
    <s v="017-2210-000"/>
    <s v="Liquor Sales"/>
    <n v="2404.3607999999999"/>
    <n v="0"/>
    <s v="Daily Sales Import"/>
    <n v="-2404.3607999999999"/>
    <n v="2404.3607999999999"/>
    <x v="1"/>
    <s v="2210"/>
    <s v="000"/>
    <x v="4"/>
    <x v="2"/>
  </r>
  <r>
    <d v="2013-02-08T00:00:00"/>
    <s v="017-2220-000"/>
    <s v="Beer Sales"/>
    <n v="458.26440000000002"/>
    <n v="0"/>
    <s v="Daily Sales Import"/>
    <n v="-458.26440000000002"/>
    <n v="458.26440000000002"/>
    <x v="1"/>
    <s v="2220"/>
    <s v="000"/>
    <x v="4"/>
    <x v="2"/>
  </r>
  <r>
    <d v="2013-02-08T00:00:00"/>
    <s v="017-2230-000"/>
    <s v="Wine Sales"/>
    <n v="35.238"/>
    <n v="0"/>
    <s v="Daily Sales Import"/>
    <n v="-35.238"/>
    <n v="35.238"/>
    <x v="1"/>
    <s v="2230"/>
    <s v="000"/>
    <x v="4"/>
    <x v="2"/>
  </r>
  <r>
    <d v="2013-02-09T00:00:00"/>
    <s v="017-2100-000"/>
    <s v="Food Sales"/>
    <n v="8955.7365999999984"/>
    <n v="0"/>
    <s v="Daily Sales Import"/>
    <n v="-8955.7365999999984"/>
    <n v="8955.7365999999984"/>
    <x v="1"/>
    <s v="2100"/>
    <s v="000"/>
    <x v="4"/>
    <x v="2"/>
  </r>
  <r>
    <d v="2013-02-09T00:00:00"/>
    <s v="017-2210-000"/>
    <s v="Liquor Sales"/>
    <n v="1882.2313000000001"/>
    <n v="0"/>
    <s v="Daily Sales Import"/>
    <n v="-1882.2313000000001"/>
    <n v="1882.2313000000001"/>
    <x v="1"/>
    <s v="2210"/>
    <s v="000"/>
    <x v="4"/>
    <x v="2"/>
  </r>
  <r>
    <d v="2013-02-09T00:00:00"/>
    <s v="017-2220-000"/>
    <s v="Beer Sales"/>
    <n v="515.375"/>
    <n v="0"/>
    <s v="Daily Sales Import"/>
    <n v="-515.375"/>
    <n v="515.375"/>
    <x v="1"/>
    <s v="2220"/>
    <s v="000"/>
    <x v="4"/>
    <x v="2"/>
  </r>
  <r>
    <d v="2013-02-09T00:00:00"/>
    <s v="017-2230-000"/>
    <s v="Wine Sales"/>
    <n v="143.52799999999999"/>
    <n v="0"/>
    <s v="Daily Sales Import"/>
    <n v="-143.52799999999999"/>
    <n v="143.52799999999999"/>
    <x v="1"/>
    <s v="2230"/>
    <s v="000"/>
    <x v="4"/>
    <x v="2"/>
  </r>
  <r>
    <d v="2013-02-10T00:00:00"/>
    <s v="017-2100-000"/>
    <s v="Food Sales"/>
    <n v="6076.6639999999998"/>
    <n v="0"/>
    <s v="Daily Sales Import"/>
    <n v="-6076.6639999999998"/>
    <n v="6076.6639999999998"/>
    <x v="1"/>
    <s v="2100"/>
    <s v="000"/>
    <x v="4"/>
    <x v="2"/>
  </r>
  <r>
    <d v="2013-02-10T00:00:00"/>
    <s v="017-2210-000"/>
    <s v="Liquor Sales"/>
    <n v="1116.8664000000001"/>
    <n v="0"/>
    <s v="Daily Sales Import"/>
    <n v="-1116.8664000000001"/>
    <n v="1116.8664000000001"/>
    <x v="1"/>
    <s v="2210"/>
    <s v="000"/>
    <x v="4"/>
    <x v="2"/>
  </r>
  <r>
    <d v="2013-02-10T00:00:00"/>
    <s v="017-2220-000"/>
    <s v="Beer Sales"/>
    <n v="142.92669999999998"/>
    <n v="0"/>
    <s v="Daily Sales Import"/>
    <n v="-142.92669999999998"/>
    <n v="142.92669999999998"/>
    <x v="1"/>
    <s v="2220"/>
    <s v="000"/>
    <x v="4"/>
    <x v="2"/>
  </r>
  <r>
    <d v="2013-02-10T00:00:00"/>
    <s v="017-2230-000"/>
    <s v="Wine Sales"/>
    <n v="16.230499999999999"/>
    <n v="0"/>
    <s v="Daily Sales Import"/>
    <n v="-16.230499999999999"/>
    <n v="16.230499999999999"/>
    <x v="1"/>
    <s v="2230"/>
    <s v="000"/>
    <x v="4"/>
    <x v="2"/>
  </r>
  <r>
    <d v="2013-02-04T00:00:00"/>
    <s v="018-2100-000"/>
    <s v="Food Sales"/>
    <n v="3079.0672"/>
    <n v="0"/>
    <s v="Daily Sales Import"/>
    <n v="-3079.0672"/>
    <n v="3079.0672"/>
    <x v="2"/>
    <s v="2100"/>
    <s v="000"/>
    <x v="4"/>
    <x v="2"/>
  </r>
  <r>
    <d v="2013-02-04T00:00:00"/>
    <s v="018-2210-000"/>
    <s v="Liquor Sales"/>
    <n v="586.45310000000006"/>
    <n v="0"/>
    <s v="Daily Sales Import"/>
    <n v="-586.45310000000006"/>
    <n v="586.45310000000006"/>
    <x v="2"/>
    <s v="2210"/>
    <s v="000"/>
    <x v="4"/>
    <x v="2"/>
  </r>
  <r>
    <d v="2013-02-04T00:00:00"/>
    <s v="018-2220-000"/>
    <s v="Beer Sales"/>
    <n v="84.8874"/>
    <n v="0"/>
    <s v="Daily Sales Import"/>
    <n v="-84.8874"/>
    <n v="84.8874"/>
    <x v="2"/>
    <s v="2220"/>
    <s v="000"/>
    <x v="4"/>
    <x v="2"/>
  </r>
  <r>
    <d v="2013-02-04T00:00:00"/>
    <s v="018-2230-000"/>
    <s v="Wine Sales"/>
    <n v="20.220800000000001"/>
    <n v="0"/>
    <s v="Daily Sales Import"/>
    <n v="-20.220800000000001"/>
    <n v="20.220800000000001"/>
    <x v="2"/>
    <s v="2230"/>
    <s v="000"/>
    <x v="4"/>
    <x v="2"/>
  </r>
  <r>
    <d v="2013-02-05T00:00:00"/>
    <s v="018-2100-000"/>
    <s v="Food Sales"/>
    <n v="2482.8258000000001"/>
    <n v="0"/>
    <s v="Daily Sales Import"/>
    <n v="-2482.8258000000001"/>
    <n v="2482.8258000000001"/>
    <x v="2"/>
    <s v="2100"/>
    <s v="000"/>
    <x v="4"/>
    <x v="2"/>
  </r>
  <r>
    <d v="2013-02-05T00:00:00"/>
    <s v="018-2210-000"/>
    <s v="Liquor Sales"/>
    <n v="492.23020000000002"/>
    <n v="0"/>
    <s v="Daily Sales Import"/>
    <n v="-492.23020000000002"/>
    <n v="492.23020000000002"/>
    <x v="2"/>
    <s v="2210"/>
    <s v="000"/>
    <x v="4"/>
    <x v="2"/>
  </r>
  <r>
    <d v="2013-02-05T00:00:00"/>
    <s v="018-2220-000"/>
    <s v="Beer Sales"/>
    <n v="153.8109"/>
    <n v="0"/>
    <s v="Daily Sales Import"/>
    <n v="-153.8109"/>
    <n v="153.8109"/>
    <x v="2"/>
    <s v="2220"/>
    <s v="000"/>
    <x v="4"/>
    <x v="2"/>
  </r>
  <r>
    <d v="2013-02-05T00:00:00"/>
    <s v="018-2230-000"/>
    <s v="Wine Sales"/>
    <n v="68.274000000000001"/>
    <n v="0"/>
    <s v="Daily Sales Import"/>
    <n v="-68.274000000000001"/>
    <n v="68.274000000000001"/>
    <x v="2"/>
    <s v="2230"/>
    <s v="000"/>
    <x v="4"/>
    <x v="2"/>
  </r>
  <r>
    <d v="2013-02-06T00:00:00"/>
    <s v="018-2100-000"/>
    <s v="Food Sales"/>
    <n v="3817.0955999999996"/>
    <n v="0"/>
    <s v="Daily Sales Import"/>
    <n v="-3817.0955999999996"/>
    <n v="3817.0955999999996"/>
    <x v="2"/>
    <s v="2100"/>
    <s v="000"/>
    <x v="4"/>
    <x v="2"/>
  </r>
  <r>
    <d v="2013-02-06T00:00:00"/>
    <s v="018-2210-000"/>
    <s v="Liquor Sales"/>
    <n v="525.47479999999996"/>
    <n v="0"/>
    <s v="Daily Sales Import"/>
    <n v="-525.47479999999996"/>
    <n v="525.47479999999996"/>
    <x v="2"/>
    <s v="2210"/>
    <s v="000"/>
    <x v="4"/>
    <x v="2"/>
  </r>
  <r>
    <d v="2013-02-06T00:00:00"/>
    <s v="018-2220-000"/>
    <s v="Beer Sales"/>
    <n v="262.5326"/>
    <n v="0"/>
    <s v="Daily Sales Import"/>
    <n v="-262.5326"/>
    <n v="262.5326"/>
    <x v="2"/>
    <s v="2220"/>
    <s v="000"/>
    <x v="4"/>
    <x v="2"/>
  </r>
  <r>
    <d v="2013-02-06T00:00:00"/>
    <s v="018-2230-000"/>
    <s v="Wine Sales"/>
    <n v="35.156000000000006"/>
    <n v="0"/>
    <s v="Daily Sales Import"/>
    <n v="-35.156000000000006"/>
    <n v="35.156000000000006"/>
    <x v="2"/>
    <s v="2230"/>
    <s v="000"/>
    <x v="4"/>
    <x v="2"/>
  </r>
  <r>
    <d v="2013-02-07T00:00:00"/>
    <s v="018-2100-000"/>
    <s v="Food Sales"/>
    <n v="2540.6080000000002"/>
    <n v="0"/>
    <s v="Daily Sales Import"/>
    <n v="-2540.6080000000002"/>
    <n v="2540.6080000000002"/>
    <x v="2"/>
    <s v="2100"/>
    <s v="000"/>
    <x v="4"/>
    <x v="2"/>
  </r>
  <r>
    <d v="2013-02-07T00:00:00"/>
    <s v="018-2210-000"/>
    <s v="Liquor Sales"/>
    <n v="489.73179999999996"/>
    <n v="0"/>
    <s v="Daily Sales Import"/>
    <n v="-489.73179999999996"/>
    <n v="489.73179999999996"/>
    <x v="2"/>
    <s v="2210"/>
    <s v="000"/>
    <x v="4"/>
    <x v="2"/>
  </r>
  <r>
    <d v="2013-02-07T00:00:00"/>
    <s v="018-2220-000"/>
    <s v="Beer Sales"/>
    <n v="40.298999999999999"/>
    <n v="0"/>
    <s v="Daily Sales Import"/>
    <n v="-40.298999999999999"/>
    <n v="40.298999999999999"/>
    <x v="2"/>
    <s v="2220"/>
    <s v="000"/>
    <x v="4"/>
    <x v="2"/>
  </r>
  <r>
    <d v="2013-02-07T00:00:00"/>
    <s v="018-2230-000"/>
    <s v="Wine Sales"/>
    <n v="20.898599999999998"/>
    <n v="0"/>
    <s v="Daily Sales Import"/>
    <n v="-20.898599999999998"/>
    <n v="20.898599999999998"/>
    <x v="2"/>
    <s v="2230"/>
    <s v="000"/>
    <x v="4"/>
    <x v="2"/>
  </r>
  <r>
    <d v="2013-02-08T00:00:00"/>
    <s v="018-2100-000"/>
    <s v="Food Sales"/>
    <n v="9420.255799999999"/>
    <n v="0"/>
    <s v="Daily Sales Import"/>
    <n v="-9420.255799999999"/>
    <n v="9420.255799999999"/>
    <x v="2"/>
    <s v="2100"/>
    <s v="000"/>
    <x v="4"/>
    <x v="2"/>
  </r>
  <r>
    <d v="2013-02-08T00:00:00"/>
    <s v="018-2210-000"/>
    <s v="Liquor Sales"/>
    <n v="1840.4187999999999"/>
    <n v="0"/>
    <s v="Daily Sales Import"/>
    <n v="-1840.4187999999999"/>
    <n v="1840.4187999999999"/>
    <x v="2"/>
    <s v="2210"/>
    <s v="000"/>
    <x v="4"/>
    <x v="2"/>
  </r>
  <r>
    <d v="2013-02-08T00:00:00"/>
    <s v="018-2220-000"/>
    <s v="Beer Sales"/>
    <n v="467.14250000000004"/>
    <n v="0"/>
    <s v="Daily Sales Import"/>
    <n v="-467.14250000000004"/>
    <n v="467.14250000000004"/>
    <x v="2"/>
    <s v="2220"/>
    <s v="000"/>
    <x v="4"/>
    <x v="2"/>
  </r>
  <r>
    <d v="2013-02-08T00:00:00"/>
    <s v="018-2230-000"/>
    <s v="Wine Sales"/>
    <n v="138.18960000000001"/>
    <n v="0"/>
    <s v="Daily Sales Import"/>
    <n v="-138.18960000000001"/>
    <n v="138.18960000000001"/>
    <x v="2"/>
    <s v="2230"/>
    <s v="000"/>
    <x v="4"/>
    <x v="2"/>
  </r>
  <r>
    <d v="2013-02-09T00:00:00"/>
    <s v="018-2100-000"/>
    <s v="Food Sales"/>
    <n v="17342.257600000001"/>
    <n v="0"/>
    <s v="Daily Sales Import"/>
    <n v="-17342.257600000001"/>
    <n v="17342.257600000001"/>
    <x v="2"/>
    <s v="2100"/>
    <s v="000"/>
    <x v="4"/>
    <x v="2"/>
  </r>
  <r>
    <d v="2013-02-09T00:00:00"/>
    <s v="018-2210-000"/>
    <s v="Liquor Sales"/>
    <n v="3380.6780000000003"/>
    <n v="0"/>
    <s v="Daily Sales Import"/>
    <n v="-3380.6780000000003"/>
    <n v="3380.6780000000003"/>
    <x v="2"/>
    <s v="2210"/>
    <s v="000"/>
    <x v="4"/>
    <x v="2"/>
  </r>
  <r>
    <d v="2013-02-09T00:00:00"/>
    <s v="018-2220-000"/>
    <s v="Beer Sales"/>
    <n v="639.57039999999995"/>
    <n v="0"/>
    <s v="Daily Sales Import"/>
    <n v="-639.57039999999995"/>
    <n v="639.57039999999995"/>
    <x v="2"/>
    <s v="2220"/>
    <s v="000"/>
    <x v="4"/>
    <x v="2"/>
  </r>
  <r>
    <d v="2013-02-09T00:00:00"/>
    <s v="018-2230-000"/>
    <s v="Wine Sales"/>
    <n v="65.748799999999989"/>
    <n v="0"/>
    <s v="Daily Sales Import"/>
    <n v="-65.748799999999989"/>
    <n v="65.748799999999989"/>
    <x v="2"/>
    <s v="2230"/>
    <s v="000"/>
    <x v="4"/>
    <x v="2"/>
  </r>
  <r>
    <d v="2013-02-10T00:00:00"/>
    <s v="018-2100-000"/>
    <s v="Food Sales"/>
    <n v="10729.8405"/>
    <n v="0"/>
    <s v="Daily Sales Import"/>
    <n v="-10729.8405"/>
    <n v="10729.8405"/>
    <x v="2"/>
    <s v="2100"/>
    <s v="000"/>
    <x v="4"/>
    <x v="2"/>
  </r>
  <r>
    <d v="2013-02-10T00:00:00"/>
    <s v="018-2210-000"/>
    <s v="Liquor Sales"/>
    <n v="944.67109999999991"/>
    <n v="0"/>
    <s v="Daily Sales Import"/>
    <n v="-944.67109999999991"/>
    <n v="944.67109999999991"/>
    <x v="2"/>
    <s v="2210"/>
    <s v="000"/>
    <x v="4"/>
    <x v="2"/>
  </r>
  <r>
    <d v="2013-02-10T00:00:00"/>
    <s v="018-2220-000"/>
    <s v="Beer Sales"/>
    <n v="327.67200000000003"/>
    <n v="0"/>
    <s v="Daily Sales Import"/>
    <n v="-327.67200000000003"/>
    <n v="327.67200000000003"/>
    <x v="2"/>
    <s v="2220"/>
    <s v="000"/>
    <x v="4"/>
    <x v="2"/>
  </r>
  <r>
    <d v="2013-02-10T00:00:00"/>
    <s v="018-2230-000"/>
    <s v="Wine Sales"/>
    <n v="115.53750000000001"/>
    <n v="0"/>
    <s v="Daily Sales Import"/>
    <n v="-115.53750000000001"/>
    <n v="115.53750000000001"/>
    <x v="2"/>
    <s v="2230"/>
    <s v="000"/>
    <x v="4"/>
    <x v="2"/>
  </r>
  <r>
    <d v="2013-02-11T00:00:00"/>
    <s v="016-2100-000"/>
    <s v="Food Sales"/>
    <n v="2717.7730000000001"/>
    <n v="0"/>
    <s v="Daily Sales Import"/>
    <n v="-2717.7730000000001"/>
    <n v="2717.7730000000001"/>
    <x v="0"/>
    <s v="2100"/>
    <s v="000"/>
    <x v="4"/>
    <x v="2"/>
  </r>
  <r>
    <d v="2013-02-11T00:00:00"/>
    <s v="016-2210-000"/>
    <s v="Liquor Sales"/>
    <n v="672.63049999999998"/>
    <n v="0"/>
    <s v="Daily Sales Import"/>
    <n v="-672.63049999999998"/>
    <n v="672.63049999999998"/>
    <x v="0"/>
    <s v="2210"/>
    <s v="000"/>
    <x v="4"/>
    <x v="2"/>
  </r>
  <r>
    <d v="2013-02-11T00:00:00"/>
    <s v="016-2220-000"/>
    <s v="Beer Sales"/>
    <n v="143.52359999999999"/>
    <n v="0"/>
    <s v="Daily Sales Import"/>
    <n v="-143.52359999999999"/>
    <n v="143.52359999999999"/>
    <x v="0"/>
    <s v="2220"/>
    <s v="000"/>
    <x v="4"/>
    <x v="2"/>
  </r>
  <r>
    <d v="2013-02-11T00:00:00"/>
    <s v="016-2230-000"/>
    <s v="Wine Sales"/>
    <n v="34.633500000000005"/>
    <n v="0"/>
    <s v="Daily Sales Import"/>
    <n v="-34.633500000000005"/>
    <n v="34.633500000000005"/>
    <x v="0"/>
    <s v="2230"/>
    <s v="000"/>
    <x v="4"/>
    <x v="2"/>
  </r>
  <r>
    <d v="2013-02-12T00:00:00"/>
    <s v="016-2100-000"/>
    <s v="Food Sales"/>
    <n v="6735.4326000000001"/>
    <n v="0"/>
    <s v="Daily Sales Import"/>
    <n v="-6735.4326000000001"/>
    <n v="6735.4326000000001"/>
    <x v="0"/>
    <s v="2100"/>
    <s v="000"/>
    <x v="4"/>
    <x v="2"/>
  </r>
  <r>
    <d v="2013-02-12T00:00:00"/>
    <s v="016-2210-000"/>
    <s v="Liquor Sales"/>
    <n v="2322.2808"/>
    <n v="0"/>
    <s v="Daily Sales Import"/>
    <n v="-2322.2808"/>
    <n v="2322.2808"/>
    <x v="0"/>
    <s v="2210"/>
    <s v="000"/>
    <x v="4"/>
    <x v="2"/>
  </r>
  <r>
    <d v="2013-02-12T00:00:00"/>
    <s v="016-2220-000"/>
    <s v="Beer Sales"/>
    <n v="623.60480000000007"/>
    <n v="0"/>
    <s v="Daily Sales Import"/>
    <n v="-623.60480000000007"/>
    <n v="623.60480000000007"/>
    <x v="0"/>
    <s v="2220"/>
    <s v="000"/>
    <x v="4"/>
    <x v="2"/>
  </r>
  <r>
    <d v="2013-02-12T00:00:00"/>
    <s v="016-2230-000"/>
    <s v="Wine Sales"/>
    <n v="70.770499999999998"/>
    <n v="0"/>
    <s v="Daily Sales Import"/>
    <n v="-70.770499999999998"/>
    <n v="70.770499999999998"/>
    <x v="0"/>
    <s v="2230"/>
    <s v="000"/>
    <x v="4"/>
    <x v="2"/>
  </r>
  <r>
    <d v="2013-02-13T00:00:00"/>
    <s v="016-2100-000"/>
    <s v="Food Sales"/>
    <n v="3817.1055999999999"/>
    <n v="0"/>
    <s v="Daily Sales Import"/>
    <n v="-3817.1055999999999"/>
    <n v="3817.1055999999999"/>
    <x v="0"/>
    <s v="2100"/>
    <s v="000"/>
    <x v="4"/>
    <x v="2"/>
  </r>
  <r>
    <d v="2013-02-13T00:00:00"/>
    <s v="016-2210-000"/>
    <s v="Liquor Sales"/>
    <n v="595.41599999999994"/>
    <n v="0"/>
    <s v="Daily Sales Import"/>
    <n v="-595.41599999999994"/>
    <n v="595.41599999999994"/>
    <x v="0"/>
    <s v="2210"/>
    <s v="000"/>
    <x v="4"/>
    <x v="2"/>
  </r>
  <r>
    <d v="2013-02-13T00:00:00"/>
    <s v="016-2220-000"/>
    <s v="Beer Sales"/>
    <n v="143.77799999999999"/>
    <n v="0"/>
    <s v="Daily Sales Import"/>
    <n v="-143.77799999999999"/>
    <n v="143.77799999999999"/>
    <x v="0"/>
    <s v="2220"/>
    <s v="000"/>
    <x v="4"/>
    <x v="2"/>
  </r>
  <r>
    <d v="2013-02-13T00:00:00"/>
    <s v="016-2230-000"/>
    <s v="Wine Sales"/>
    <n v="142.41499999999999"/>
    <n v="0"/>
    <s v="Daily Sales Import"/>
    <n v="-142.41499999999999"/>
    <n v="142.41499999999999"/>
    <x v="0"/>
    <s v="2230"/>
    <s v="000"/>
    <x v="4"/>
    <x v="2"/>
  </r>
  <r>
    <d v="2013-02-14T00:00:00"/>
    <s v="016-2100-000"/>
    <s v="Food Sales"/>
    <n v="4018.2126999999996"/>
    <n v="0"/>
    <s v="Daily Sales Import"/>
    <n v="-4018.2126999999996"/>
    <n v="4018.2126999999996"/>
    <x v="0"/>
    <s v="2100"/>
    <s v="000"/>
    <x v="4"/>
    <x v="2"/>
  </r>
  <r>
    <d v="2013-02-14T00:00:00"/>
    <s v="016-2210-000"/>
    <s v="Liquor Sales"/>
    <n v="1460.4864"/>
    <n v="0"/>
    <s v="Daily Sales Import"/>
    <n v="-1460.4864"/>
    <n v="1460.4864"/>
    <x v="0"/>
    <s v="2210"/>
    <s v="000"/>
    <x v="4"/>
    <x v="2"/>
  </r>
  <r>
    <d v="2013-02-14T00:00:00"/>
    <s v="016-2220-000"/>
    <s v="Beer Sales"/>
    <n v="193.15169999999998"/>
    <n v="0"/>
    <s v="Daily Sales Import"/>
    <n v="-193.15169999999998"/>
    <n v="193.15169999999998"/>
    <x v="0"/>
    <s v="2220"/>
    <s v="000"/>
    <x v="4"/>
    <x v="2"/>
  </r>
  <r>
    <d v="2013-02-14T00:00:00"/>
    <s v="016-2230-000"/>
    <s v="Wine Sales"/>
    <n v="111.5951"/>
    <n v="0"/>
    <s v="Daily Sales Import"/>
    <n v="-111.5951"/>
    <n v="111.5951"/>
    <x v="0"/>
    <s v="2230"/>
    <s v="000"/>
    <x v="4"/>
    <x v="2"/>
  </r>
  <r>
    <d v="2013-02-15T00:00:00"/>
    <s v="016-2100-000"/>
    <s v="Food Sales"/>
    <n v="6765.4859999999999"/>
    <n v="0"/>
    <s v="Daily Sales Import"/>
    <n v="-6765.4859999999999"/>
    <n v="6765.4859999999999"/>
    <x v="0"/>
    <s v="2100"/>
    <s v="000"/>
    <x v="4"/>
    <x v="2"/>
  </r>
  <r>
    <d v="2013-02-15T00:00:00"/>
    <s v="016-2210-000"/>
    <s v="Liquor Sales"/>
    <n v="1632.3516000000002"/>
    <n v="0"/>
    <s v="Daily Sales Import"/>
    <n v="-1632.3516000000002"/>
    <n v="1632.3516000000002"/>
    <x v="0"/>
    <s v="2210"/>
    <s v="000"/>
    <x v="4"/>
    <x v="2"/>
  </r>
  <r>
    <d v="2013-02-15T00:00:00"/>
    <s v="016-2220-000"/>
    <s v="Beer Sales"/>
    <n v="312.572"/>
    <n v="0"/>
    <s v="Daily Sales Import"/>
    <n v="-312.572"/>
    <n v="312.572"/>
    <x v="0"/>
    <s v="2220"/>
    <s v="000"/>
    <x v="4"/>
    <x v="2"/>
  </r>
  <r>
    <d v="2013-02-15T00:00:00"/>
    <s v="016-2230-000"/>
    <s v="Wine Sales"/>
    <n v="128.26409999999998"/>
    <n v="0"/>
    <s v="Daily Sales Import"/>
    <n v="-128.26409999999998"/>
    <n v="128.26409999999998"/>
    <x v="0"/>
    <s v="2230"/>
    <s v="000"/>
    <x v="4"/>
    <x v="2"/>
  </r>
  <r>
    <d v="2013-02-16T00:00:00"/>
    <s v="016-2100-000"/>
    <s v="Food Sales"/>
    <n v="7521.365600000001"/>
    <n v="0"/>
    <s v="Daily Sales Import"/>
    <n v="-7521.365600000001"/>
    <n v="7521.365600000001"/>
    <x v="0"/>
    <s v="2100"/>
    <s v="000"/>
    <x v="4"/>
    <x v="2"/>
  </r>
  <r>
    <d v="2013-02-16T00:00:00"/>
    <s v="016-2210-000"/>
    <s v="Liquor Sales"/>
    <n v="2770.3137000000002"/>
    <n v="0"/>
    <s v="Daily Sales Import"/>
    <n v="-2770.3137000000002"/>
    <n v="2770.3137000000002"/>
    <x v="0"/>
    <s v="2210"/>
    <s v="000"/>
    <x v="4"/>
    <x v="2"/>
  </r>
  <r>
    <d v="2013-02-16T00:00:00"/>
    <s v="016-2220-000"/>
    <s v="Beer Sales"/>
    <n v="403.3417"/>
    <n v="0"/>
    <s v="Daily Sales Import"/>
    <n v="-403.3417"/>
    <n v="403.3417"/>
    <x v="0"/>
    <s v="2220"/>
    <s v="000"/>
    <x v="4"/>
    <x v="2"/>
  </r>
  <r>
    <d v="2013-02-16T00:00:00"/>
    <s v="016-2230-000"/>
    <s v="Wine Sales"/>
    <n v="317.99349999999998"/>
    <n v="0"/>
    <s v="Daily Sales Import"/>
    <n v="-317.99349999999998"/>
    <n v="317.99349999999998"/>
    <x v="0"/>
    <s v="2230"/>
    <s v="000"/>
    <x v="4"/>
    <x v="2"/>
  </r>
  <r>
    <d v="2013-02-17T00:00:00"/>
    <s v="016-2100-000"/>
    <s v="Food Sales"/>
    <n v="6113.6345999999994"/>
    <n v="0"/>
    <s v="Daily Sales Import"/>
    <n v="-6113.6345999999994"/>
    <n v="6113.6345999999994"/>
    <x v="0"/>
    <s v="2100"/>
    <s v="000"/>
    <x v="4"/>
    <x v="2"/>
  </r>
  <r>
    <d v="2013-02-17T00:00:00"/>
    <s v="016-2210-000"/>
    <s v="Liquor Sales"/>
    <n v="1397.5105000000001"/>
    <n v="0"/>
    <s v="Daily Sales Import"/>
    <n v="-1397.5105000000001"/>
    <n v="1397.5105000000001"/>
    <x v="0"/>
    <s v="2210"/>
    <s v="000"/>
    <x v="4"/>
    <x v="2"/>
  </r>
  <r>
    <d v="2013-02-17T00:00:00"/>
    <s v="016-2220-000"/>
    <s v="Beer Sales"/>
    <n v="261.32"/>
    <n v="0"/>
    <s v="Daily Sales Import"/>
    <n v="-261.32"/>
    <n v="261.32"/>
    <x v="0"/>
    <s v="2220"/>
    <s v="000"/>
    <x v="4"/>
    <x v="2"/>
  </r>
  <r>
    <d v="2013-02-17T00:00:00"/>
    <s v="016-2230-000"/>
    <s v="Wine Sales"/>
    <n v="188.52149999999997"/>
    <n v="0"/>
    <s v="Daily Sales Import"/>
    <n v="-188.52149999999997"/>
    <n v="188.52149999999997"/>
    <x v="0"/>
    <s v="2230"/>
    <s v="000"/>
    <x v="4"/>
    <x v="2"/>
  </r>
  <r>
    <d v="2013-02-11T00:00:00"/>
    <s v="017-2100-000"/>
    <s v="Food Sales"/>
    <n v="3027.2585999999997"/>
    <n v="0"/>
    <s v="Daily Sales Import"/>
    <n v="-3027.2585999999997"/>
    <n v="3027.2585999999997"/>
    <x v="1"/>
    <s v="2100"/>
    <s v="000"/>
    <x v="4"/>
    <x v="2"/>
  </r>
  <r>
    <d v="2013-02-11T00:00:00"/>
    <s v="017-2210-000"/>
    <s v="Liquor Sales"/>
    <n v="639.78"/>
    <n v="0"/>
    <s v="Daily Sales Import"/>
    <n v="-639.78"/>
    <n v="639.78"/>
    <x v="1"/>
    <s v="2210"/>
    <s v="000"/>
    <x v="4"/>
    <x v="2"/>
  </r>
  <r>
    <d v="2013-02-11T00:00:00"/>
    <s v="017-2220-000"/>
    <s v="Beer Sales"/>
    <n v="250.46749999999997"/>
    <n v="0"/>
    <s v="Daily Sales Import"/>
    <n v="-250.46749999999997"/>
    <n v="250.46749999999997"/>
    <x v="1"/>
    <s v="2220"/>
    <s v="000"/>
    <x v="4"/>
    <x v="2"/>
  </r>
  <r>
    <d v="2013-02-11T00:00:00"/>
    <s v="017-2230-000"/>
    <s v="Wine Sales"/>
    <n v="101.9385"/>
    <n v="0"/>
    <s v="Daily Sales Import"/>
    <n v="-101.9385"/>
    <n v="101.9385"/>
    <x v="1"/>
    <s v="2230"/>
    <s v="000"/>
    <x v="4"/>
    <x v="2"/>
  </r>
  <r>
    <d v="2013-02-12T00:00:00"/>
    <s v="017-2100-000"/>
    <s v="Food Sales"/>
    <n v="7452.009"/>
    <n v="0"/>
    <s v="Daily Sales Import"/>
    <n v="-7452.009"/>
    <n v="7452.009"/>
    <x v="1"/>
    <s v="2100"/>
    <s v="000"/>
    <x v="4"/>
    <x v="2"/>
  </r>
  <r>
    <d v="2013-02-12T00:00:00"/>
    <s v="017-2210-000"/>
    <s v="Liquor Sales"/>
    <n v="1733.7359999999999"/>
    <n v="0"/>
    <s v="Daily Sales Import"/>
    <n v="-1733.7359999999999"/>
    <n v="1733.7359999999999"/>
    <x v="1"/>
    <s v="2210"/>
    <s v="000"/>
    <x v="4"/>
    <x v="2"/>
  </r>
  <r>
    <d v="2013-02-12T00:00:00"/>
    <s v="017-2220-000"/>
    <s v="Beer Sales"/>
    <n v="518.13669999999991"/>
    <n v="0"/>
    <s v="Daily Sales Import"/>
    <n v="-518.13669999999991"/>
    <n v="518.13669999999991"/>
    <x v="1"/>
    <s v="2220"/>
    <s v="000"/>
    <x v="4"/>
    <x v="2"/>
  </r>
  <r>
    <d v="2013-02-12T00:00:00"/>
    <s v="017-2230-000"/>
    <s v="Wine Sales"/>
    <n v="118.125"/>
    <n v="0"/>
    <s v="Daily Sales Import"/>
    <n v="-118.125"/>
    <n v="118.125"/>
    <x v="1"/>
    <s v="2230"/>
    <s v="000"/>
    <x v="4"/>
    <x v="2"/>
  </r>
  <r>
    <d v="2013-02-13T00:00:00"/>
    <s v="017-2100-000"/>
    <s v="Food Sales"/>
    <n v="3584.96"/>
    <n v="0"/>
    <s v="Daily Sales Import"/>
    <n v="-3584.96"/>
    <n v="3584.96"/>
    <x v="1"/>
    <s v="2100"/>
    <s v="000"/>
    <x v="4"/>
    <x v="2"/>
  </r>
  <r>
    <d v="2013-02-13T00:00:00"/>
    <s v="017-2210-000"/>
    <s v="Liquor Sales"/>
    <n v="1007.6444"/>
    <n v="0"/>
    <s v="Daily Sales Import"/>
    <n v="-1007.6444"/>
    <n v="1007.6444"/>
    <x v="1"/>
    <s v="2210"/>
    <s v="000"/>
    <x v="4"/>
    <x v="2"/>
  </r>
  <r>
    <d v="2013-02-13T00:00:00"/>
    <s v="017-2220-000"/>
    <s v="Beer Sales"/>
    <n v="237.26300000000001"/>
    <n v="0"/>
    <s v="Daily Sales Import"/>
    <n v="-237.26300000000001"/>
    <n v="237.26300000000001"/>
    <x v="1"/>
    <s v="2220"/>
    <s v="000"/>
    <x v="4"/>
    <x v="2"/>
  </r>
  <r>
    <d v="2013-02-13T00:00:00"/>
    <s v="017-2230-000"/>
    <s v="Wine Sales"/>
    <n v="12.945600000000001"/>
    <n v="0"/>
    <s v="Daily Sales Import"/>
    <n v="-12.945600000000001"/>
    <n v="12.945600000000001"/>
    <x v="1"/>
    <s v="2230"/>
    <s v="000"/>
    <x v="4"/>
    <x v="2"/>
  </r>
  <r>
    <d v="2013-02-14T00:00:00"/>
    <s v="017-2100-000"/>
    <s v="Food Sales"/>
    <n v="6689.5763999999999"/>
    <n v="0"/>
    <s v="Daily Sales Import"/>
    <n v="-6689.5763999999999"/>
    <n v="6689.5763999999999"/>
    <x v="1"/>
    <s v="2100"/>
    <s v="000"/>
    <x v="4"/>
    <x v="2"/>
  </r>
  <r>
    <d v="2013-02-14T00:00:00"/>
    <s v="017-2210-000"/>
    <s v="Liquor Sales"/>
    <n v="914.0625"/>
    <n v="0"/>
    <s v="Daily Sales Import"/>
    <n v="-914.0625"/>
    <n v="914.0625"/>
    <x v="1"/>
    <s v="2210"/>
    <s v="000"/>
    <x v="4"/>
    <x v="2"/>
  </r>
  <r>
    <d v="2013-02-14T00:00:00"/>
    <s v="017-2220-000"/>
    <s v="Beer Sales"/>
    <n v="229.85820000000001"/>
    <n v="0"/>
    <s v="Daily Sales Import"/>
    <n v="-229.85820000000001"/>
    <n v="229.85820000000001"/>
    <x v="1"/>
    <s v="2220"/>
    <s v="000"/>
    <x v="4"/>
    <x v="2"/>
  </r>
  <r>
    <d v="2013-02-14T00:00:00"/>
    <s v="017-2230-000"/>
    <s v="Wine Sales"/>
    <n v="51.443100000000001"/>
    <n v="0"/>
    <s v="Daily Sales Import"/>
    <n v="-51.443100000000001"/>
    <n v="51.443100000000001"/>
    <x v="1"/>
    <s v="2230"/>
    <s v="000"/>
    <x v="4"/>
    <x v="2"/>
  </r>
  <r>
    <d v="2013-02-15T00:00:00"/>
    <s v="017-2100-000"/>
    <s v="Food Sales"/>
    <n v="6821.3860000000013"/>
    <n v="0"/>
    <s v="Daily Sales Import"/>
    <n v="-6821.3860000000013"/>
    <n v="6821.3860000000013"/>
    <x v="1"/>
    <s v="2100"/>
    <s v="000"/>
    <x v="4"/>
    <x v="2"/>
  </r>
  <r>
    <d v="2013-02-15T00:00:00"/>
    <s v="017-2210-000"/>
    <s v="Liquor Sales"/>
    <n v="2191.8764999999999"/>
    <n v="0"/>
    <s v="Daily Sales Import"/>
    <n v="-2191.8764999999999"/>
    <n v="2191.8764999999999"/>
    <x v="1"/>
    <s v="2210"/>
    <s v="000"/>
    <x v="4"/>
    <x v="2"/>
  </r>
  <r>
    <d v="2013-02-15T00:00:00"/>
    <s v="017-2220-000"/>
    <s v="Beer Sales"/>
    <n v="720.60399999999993"/>
    <n v="0"/>
    <s v="Daily Sales Import"/>
    <n v="-720.60399999999993"/>
    <n v="720.60399999999993"/>
    <x v="1"/>
    <s v="2220"/>
    <s v="000"/>
    <x v="4"/>
    <x v="2"/>
  </r>
  <r>
    <d v="2013-02-15T00:00:00"/>
    <s v="017-2230-000"/>
    <s v="Wine Sales"/>
    <n v="152.14499999999998"/>
    <n v="0"/>
    <s v="Daily Sales Import"/>
    <n v="-152.14499999999998"/>
    <n v="152.14499999999998"/>
    <x v="1"/>
    <s v="2230"/>
    <s v="000"/>
    <x v="4"/>
    <x v="2"/>
  </r>
  <r>
    <d v="2013-02-16T00:00:00"/>
    <s v="017-2100-000"/>
    <s v="Food Sales"/>
    <n v="7091.7405000000008"/>
    <n v="0"/>
    <s v="Daily Sales Import"/>
    <n v="-7091.7405000000008"/>
    <n v="7091.7405000000008"/>
    <x v="1"/>
    <s v="2100"/>
    <s v="000"/>
    <x v="4"/>
    <x v="2"/>
  </r>
  <r>
    <d v="2013-02-16T00:00:00"/>
    <s v="017-2210-000"/>
    <s v="Liquor Sales"/>
    <n v="1950.2275"/>
    <n v="0"/>
    <s v="Daily Sales Import"/>
    <n v="-1950.2275"/>
    <n v="1950.2275"/>
    <x v="1"/>
    <s v="2210"/>
    <s v="000"/>
    <x v="4"/>
    <x v="2"/>
  </r>
  <r>
    <d v="2013-02-16T00:00:00"/>
    <s v="017-2220-000"/>
    <s v="Beer Sales"/>
    <n v="438.8064"/>
    <n v="0"/>
    <s v="Daily Sales Import"/>
    <n v="-438.8064"/>
    <n v="438.8064"/>
    <x v="1"/>
    <s v="2220"/>
    <s v="000"/>
    <x v="4"/>
    <x v="2"/>
  </r>
  <r>
    <d v="2013-02-16T00:00:00"/>
    <s v="017-2230-000"/>
    <s v="Wine Sales"/>
    <n v="117.6824"/>
    <n v="0"/>
    <s v="Daily Sales Import"/>
    <n v="-117.6824"/>
    <n v="117.6824"/>
    <x v="1"/>
    <s v="2230"/>
    <s v="000"/>
    <x v="4"/>
    <x v="2"/>
  </r>
  <r>
    <d v="2013-02-17T00:00:00"/>
    <s v="017-2100-000"/>
    <s v="Food Sales"/>
    <n v="4273.0163999999995"/>
    <n v="0"/>
    <s v="Daily Sales Import"/>
    <n v="-4273.0163999999995"/>
    <n v="4273.0163999999995"/>
    <x v="1"/>
    <s v="2100"/>
    <s v="000"/>
    <x v="4"/>
    <x v="2"/>
  </r>
  <r>
    <d v="2013-02-17T00:00:00"/>
    <s v="017-2210-000"/>
    <s v="Liquor Sales"/>
    <n v="1171.2703999999999"/>
    <n v="0"/>
    <s v="Daily Sales Import"/>
    <n v="-1171.2703999999999"/>
    <n v="1171.2703999999999"/>
    <x v="1"/>
    <s v="2210"/>
    <s v="000"/>
    <x v="4"/>
    <x v="2"/>
  </r>
  <r>
    <d v="2013-02-17T00:00:00"/>
    <s v="017-2220-000"/>
    <s v="Beer Sales"/>
    <n v="266.10390000000001"/>
    <n v="0"/>
    <s v="Daily Sales Import"/>
    <n v="-266.10390000000001"/>
    <n v="266.10390000000001"/>
    <x v="1"/>
    <s v="2220"/>
    <s v="000"/>
    <x v="4"/>
    <x v="2"/>
  </r>
  <r>
    <d v="2013-02-17T00:00:00"/>
    <s v="017-2230-000"/>
    <s v="Wine Sales"/>
    <n v="68.118700000000004"/>
    <n v="0"/>
    <s v="Daily Sales Import"/>
    <n v="-68.118700000000004"/>
    <n v="68.118700000000004"/>
    <x v="1"/>
    <s v="2230"/>
    <s v="000"/>
    <x v="4"/>
    <x v="2"/>
  </r>
  <r>
    <d v="2013-02-11T00:00:00"/>
    <s v="018-2100-000"/>
    <s v="Food Sales"/>
    <n v="2440.2755000000002"/>
    <n v="0"/>
    <s v="Daily Sales Import"/>
    <n v="-2440.2755000000002"/>
    <n v="2440.2755000000002"/>
    <x v="2"/>
    <s v="2100"/>
    <s v="000"/>
    <x v="4"/>
    <x v="2"/>
  </r>
  <r>
    <d v="2013-02-11T00:00:00"/>
    <s v="018-2210-000"/>
    <s v="Liquor Sales"/>
    <n v="419.54760000000005"/>
    <n v="0"/>
    <s v="Daily Sales Import"/>
    <n v="-419.54760000000005"/>
    <n v="419.54760000000005"/>
    <x v="2"/>
    <s v="2210"/>
    <s v="000"/>
    <x v="4"/>
    <x v="2"/>
  </r>
  <r>
    <d v="2013-02-11T00:00:00"/>
    <s v="018-2220-000"/>
    <s v="Beer Sales"/>
    <n v="119.24279999999999"/>
    <n v="0"/>
    <s v="Daily Sales Import"/>
    <n v="-119.24279999999999"/>
    <n v="119.24279999999999"/>
    <x v="2"/>
    <s v="2220"/>
    <s v="000"/>
    <x v="4"/>
    <x v="2"/>
  </r>
  <r>
    <d v="2013-02-11T00:00:00"/>
    <s v="018-2230-000"/>
    <s v="Wine Sales"/>
    <n v="14.193199999999999"/>
    <n v="0"/>
    <s v="Daily Sales Import"/>
    <n v="-14.193199999999999"/>
    <n v="14.193199999999999"/>
    <x v="2"/>
    <s v="2230"/>
    <s v="000"/>
    <x v="4"/>
    <x v="2"/>
  </r>
  <r>
    <d v="2013-02-12T00:00:00"/>
    <s v="018-2100-000"/>
    <s v="Food Sales"/>
    <n v="3351.0864000000001"/>
    <n v="0"/>
    <s v="Daily Sales Import"/>
    <n v="-3351.0864000000001"/>
    <n v="3351.0864000000001"/>
    <x v="2"/>
    <s v="2100"/>
    <s v="000"/>
    <x v="4"/>
    <x v="2"/>
  </r>
  <r>
    <d v="2013-02-12T00:00:00"/>
    <s v="018-2210-000"/>
    <s v="Liquor Sales"/>
    <n v="720.02120000000002"/>
    <n v="0"/>
    <s v="Daily Sales Import"/>
    <n v="-720.02120000000002"/>
    <n v="720.02120000000002"/>
    <x v="2"/>
    <s v="2210"/>
    <s v="000"/>
    <x v="4"/>
    <x v="2"/>
  </r>
  <r>
    <d v="2013-02-12T00:00:00"/>
    <s v="018-2220-000"/>
    <s v="Beer Sales"/>
    <n v="186.4716"/>
    <n v="0"/>
    <s v="Daily Sales Import"/>
    <n v="-186.4716"/>
    <n v="186.4716"/>
    <x v="2"/>
    <s v="2220"/>
    <s v="000"/>
    <x v="4"/>
    <x v="2"/>
  </r>
  <r>
    <d v="2013-02-12T00:00:00"/>
    <s v="018-2230-000"/>
    <s v="Wine Sales"/>
    <n v="13.584000000000001"/>
    <n v="0"/>
    <s v="Daily Sales Import"/>
    <n v="-13.584000000000001"/>
    <n v="13.584000000000001"/>
    <x v="2"/>
    <s v="2230"/>
    <s v="000"/>
    <x v="4"/>
    <x v="2"/>
  </r>
  <r>
    <d v="2013-02-13T00:00:00"/>
    <s v="018-2100-000"/>
    <s v="Food Sales"/>
    <n v="3531.0614999999993"/>
    <n v="0"/>
    <s v="Daily Sales Import"/>
    <n v="-3531.0614999999993"/>
    <n v="3531.0614999999993"/>
    <x v="2"/>
    <s v="2100"/>
    <s v="000"/>
    <x v="4"/>
    <x v="2"/>
  </r>
  <r>
    <d v="2013-02-13T00:00:00"/>
    <s v="018-2210-000"/>
    <s v="Liquor Sales"/>
    <n v="688.48919999999998"/>
    <n v="0"/>
    <s v="Daily Sales Import"/>
    <n v="-688.48919999999998"/>
    <n v="688.48919999999998"/>
    <x v="2"/>
    <s v="2210"/>
    <s v="000"/>
    <x v="4"/>
    <x v="2"/>
  </r>
  <r>
    <d v="2013-02-13T00:00:00"/>
    <s v="018-2220-000"/>
    <s v="Beer Sales"/>
    <n v="101.00160000000001"/>
    <n v="0"/>
    <s v="Daily Sales Import"/>
    <n v="-101.00160000000001"/>
    <n v="101.00160000000001"/>
    <x v="2"/>
    <s v="2220"/>
    <s v="000"/>
    <x v="4"/>
    <x v="2"/>
  </r>
  <r>
    <d v="2013-02-13T00:00:00"/>
    <s v="018-2230-000"/>
    <s v="Wine Sales"/>
    <n v="41.823699999999995"/>
    <n v="0"/>
    <s v="Daily Sales Import"/>
    <n v="-41.823699999999995"/>
    <n v="41.823699999999995"/>
    <x v="2"/>
    <s v="2230"/>
    <s v="000"/>
    <x v="4"/>
    <x v="2"/>
  </r>
  <r>
    <d v="2013-02-14T00:00:00"/>
    <s v="018-2100-000"/>
    <s v="Food Sales"/>
    <n v="12671.880000000001"/>
    <n v="0"/>
    <s v="Daily Sales Import"/>
    <n v="-12671.880000000001"/>
    <n v="12671.880000000001"/>
    <x v="2"/>
    <s v="2100"/>
    <s v="000"/>
    <x v="4"/>
    <x v="2"/>
  </r>
  <r>
    <d v="2013-02-14T00:00:00"/>
    <s v="018-2210-000"/>
    <s v="Liquor Sales"/>
    <n v="1556.0272"/>
    <n v="0"/>
    <s v="Daily Sales Import"/>
    <n v="-1556.0272"/>
    <n v="1556.0272"/>
    <x v="2"/>
    <s v="2210"/>
    <s v="000"/>
    <x v="4"/>
    <x v="2"/>
  </r>
  <r>
    <d v="2013-02-14T00:00:00"/>
    <s v="018-2220-000"/>
    <s v="Beer Sales"/>
    <n v="724.93679999999995"/>
    <n v="0"/>
    <s v="Daily Sales Import"/>
    <n v="-724.93679999999995"/>
    <n v="724.93679999999995"/>
    <x v="2"/>
    <s v="2220"/>
    <s v="000"/>
    <x v="4"/>
    <x v="2"/>
  </r>
  <r>
    <d v="2013-02-14T00:00:00"/>
    <s v="018-2230-000"/>
    <s v="Wine Sales"/>
    <n v="100.3434"/>
    <n v="0"/>
    <s v="Daily Sales Import"/>
    <n v="-100.3434"/>
    <n v="100.3434"/>
    <x v="2"/>
    <s v="2230"/>
    <s v="000"/>
    <x v="4"/>
    <x v="2"/>
  </r>
  <r>
    <d v="2013-02-15T00:00:00"/>
    <s v="018-2100-000"/>
    <s v="Food Sales"/>
    <n v="7721.7785999999987"/>
    <n v="0"/>
    <s v="Daily Sales Import"/>
    <n v="-7721.7785999999987"/>
    <n v="7721.7785999999987"/>
    <x v="2"/>
    <s v="2100"/>
    <s v="000"/>
    <x v="4"/>
    <x v="2"/>
  </r>
  <r>
    <d v="2013-02-15T00:00:00"/>
    <s v="018-2210-000"/>
    <s v="Liquor Sales"/>
    <n v="2684.0171999999998"/>
    <n v="0"/>
    <s v="Daily Sales Import"/>
    <n v="-2684.0171999999998"/>
    <n v="2684.0171999999998"/>
    <x v="2"/>
    <s v="2210"/>
    <s v="000"/>
    <x v="4"/>
    <x v="2"/>
  </r>
  <r>
    <d v="2013-02-15T00:00:00"/>
    <s v="018-2220-000"/>
    <s v="Beer Sales"/>
    <n v="518.41679999999997"/>
    <n v="0"/>
    <s v="Daily Sales Import"/>
    <n v="-518.41679999999997"/>
    <n v="518.41679999999997"/>
    <x v="2"/>
    <s v="2220"/>
    <s v="000"/>
    <x v="4"/>
    <x v="2"/>
  </r>
  <r>
    <d v="2013-02-15T00:00:00"/>
    <s v="018-2230-000"/>
    <s v="Wine Sales"/>
    <n v="117.47120000000001"/>
    <n v="0"/>
    <s v="Daily Sales Import"/>
    <n v="-117.47120000000001"/>
    <n v="117.47120000000001"/>
    <x v="2"/>
    <s v="2230"/>
    <s v="000"/>
    <x v="4"/>
    <x v="2"/>
  </r>
  <r>
    <d v="2013-02-16T00:00:00"/>
    <s v="018-2100-000"/>
    <s v="Food Sales"/>
    <n v="16239.2412"/>
    <n v="0"/>
    <s v="Daily Sales Import"/>
    <n v="-16239.2412"/>
    <n v="16239.2412"/>
    <x v="2"/>
    <s v="2100"/>
    <s v="000"/>
    <x v="4"/>
    <x v="2"/>
  </r>
  <r>
    <d v="2013-02-16T00:00:00"/>
    <s v="018-2210-000"/>
    <s v="Liquor Sales"/>
    <n v="4059.9674999999993"/>
    <n v="0"/>
    <s v="Daily Sales Import"/>
    <n v="-4059.9674999999993"/>
    <n v="4059.9674999999993"/>
    <x v="2"/>
    <s v="2210"/>
    <s v="000"/>
    <x v="4"/>
    <x v="2"/>
  </r>
  <r>
    <d v="2013-02-16T00:00:00"/>
    <s v="018-2220-000"/>
    <s v="Beer Sales"/>
    <n v="834.73739999999998"/>
    <n v="0"/>
    <s v="Daily Sales Import"/>
    <n v="-834.73739999999998"/>
    <n v="834.73739999999998"/>
    <x v="2"/>
    <s v="2220"/>
    <s v="000"/>
    <x v="4"/>
    <x v="2"/>
  </r>
  <r>
    <d v="2013-02-16T00:00:00"/>
    <s v="018-2230-000"/>
    <s v="Wine Sales"/>
    <n v="134.12959999999998"/>
    <n v="0"/>
    <s v="Daily Sales Import"/>
    <n v="-134.12959999999998"/>
    <n v="134.12959999999998"/>
    <x v="2"/>
    <s v="2230"/>
    <s v="000"/>
    <x v="4"/>
    <x v="2"/>
  </r>
  <r>
    <d v="2013-02-17T00:00:00"/>
    <s v="018-2100-000"/>
    <s v="Food Sales"/>
    <n v="9434.3984"/>
    <n v="0"/>
    <s v="Daily Sales Import"/>
    <n v="-9434.3984"/>
    <n v="9434.3984"/>
    <x v="2"/>
    <s v="2100"/>
    <s v="000"/>
    <x v="4"/>
    <x v="2"/>
  </r>
  <r>
    <d v="2013-02-17T00:00:00"/>
    <s v="018-2210-000"/>
    <s v="Liquor Sales"/>
    <n v="1896.8567999999998"/>
    <n v="0"/>
    <s v="Daily Sales Import"/>
    <n v="-1896.8567999999998"/>
    <n v="1896.8567999999998"/>
    <x v="2"/>
    <s v="2210"/>
    <s v="000"/>
    <x v="4"/>
    <x v="2"/>
  </r>
  <r>
    <d v="2013-02-17T00:00:00"/>
    <s v="018-2220-000"/>
    <s v="Beer Sales"/>
    <n v="746.66550000000007"/>
    <n v="0"/>
    <s v="Daily Sales Import"/>
    <n v="-746.66550000000007"/>
    <n v="746.66550000000007"/>
    <x v="2"/>
    <s v="2220"/>
    <s v="000"/>
    <x v="4"/>
    <x v="2"/>
  </r>
  <r>
    <d v="2013-02-17T00:00:00"/>
    <s v="018-2230-000"/>
    <s v="Wine Sales"/>
    <n v="66.652299999999997"/>
    <n v="0"/>
    <s v="Daily Sales Import"/>
    <n v="-66.652299999999997"/>
    <n v="66.652299999999997"/>
    <x v="2"/>
    <s v="2230"/>
    <s v="000"/>
    <x v="4"/>
    <x v="2"/>
  </r>
  <r>
    <d v="2013-02-18T00:00:00"/>
    <s v="016-2100-000"/>
    <s v="Food Sales"/>
    <n v="3715.4895999999994"/>
    <n v="0"/>
    <s v="Daily Sales Import"/>
    <n v="-3715.4895999999994"/>
    <n v="3715.4895999999994"/>
    <x v="0"/>
    <s v="2100"/>
    <s v="000"/>
    <x v="4"/>
    <x v="2"/>
  </r>
  <r>
    <d v="2013-02-18T00:00:00"/>
    <s v="016-2210-000"/>
    <s v="Liquor Sales"/>
    <n v="932.84059999999988"/>
    <n v="0"/>
    <s v="Daily Sales Import"/>
    <n v="-932.84059999999988"/>
    <n v="932.84059999999988"/>
    <x v="0"/>
    <s v="2210"/>
    <s v="000"/>
    <x v="4"/>
    <x v="2"/>
  </r>
  <r>
    <d v="2013-02-18T00:00:00"/>
    <s v="016-2220-000"/>
    <s v="Beer Sales"/>
    <n v="200.82"/>
    <n v="0"/>
    <s v="Daily Sales Import"/>
    <n v="-200.82"/>
    <n v="200.82"/>
    <x v="0"/>
    <s v="2220"/>
    <s v="000"/>
    <x v="4"/>
    <x v="2"/>
  </r>
  <r>
    <d v="2013-02-18T00:00:00"/>
    <s v="016-2230-000"/>
    <s v="Wine Sales"/>
    <n v="182.2244"/>
    <n v="0"/>
    <s v="Daily Sales Import"/>
    <n v="-182.2244"/>
    <n v="182.2244"/>
    <x v="0"/>
    <s v="2230"/>
    <s v="000"/>
    <x v="4"/>
    <x v="2"/>
  </r>
  <r>
    <d v="2013-02-19T00:00:00"/>
    <s v="016-2100-000"/>
    <s v="Food Sales"/>
    <n v="8741.6549999999988"/>
    <n v="0"/>
    <s v="Daily Sales Import"/>
    <n v="-8741.6549999999988"/>
    <n v="8741.6549999999988"/>
    <x v="0"/>
    <s v="2100"/>
    <s v="000"/>
    <x v="4"/>
    <x v="2"/>
  </r>
  <r>
    <d v="2013-02-19T00:00:00"/>
    <s v="016-2210-000"/>
    <s v="Liquor Sales"/>
    <n v="1899.4223999999999"/>
    <n v="0"/>
    <s v="Daily Sales Import"/>
    <n v="-1899.4223999999999"/>
    <n v="1899.4223999999999"/>
    <x v="0"/>
    <s v="2210"/>
    <s v="000"/>
    <x v="4"/>
    <x v="2"/>
  </r>
  <r>
    <d v="2013-02-19T00:00:00"/>
    <s v="016-2220-000"/>
    <s v="Beer Sales"/>
    <n v="888.846"/>
    <n v="0"/>
    <s v="Daily Sales Import"/>
    <n v="-888.846"/>
    <n v="888.846"/>
    <x v="0"/>
    <s v="2220"/>
    <s v="000"/>
    <x v="4"/>
    <x v="2"/>
  </r>
  <r>
    <d v="2013-02-19T00:00:00"/>
    <s v="016-2230-000"/>
    <s v="Wine Sales"/>
    <n v="191.928"/>
    <n v="0"/>
    <s v="Daily Sales Import"/>
    <n v="-191.928"/>
    <n v="191.928"/>
    <x v="0"/>
    <s v="2230"/>
    <s v="000"/>
    <x v="4"/>
    <x v="2"/>
  </r>
  <r>
    <d v="2013-02-20T00:00:00"/>
    <s v="016-2100-000"/>
    <s v="Food Sales"/>
    <n v="4530.7975000000006"/>
    <n v="0"/>
    <s v="Daily Sales Import"/>
    <n v="-4530.7975000000006"/>
    <n v="4530.7975000000006"/>
    <x v="0"/>
    <s v="2100"/>
    <s v="000"/>
    <x v="4"/>
    <x v="2"/>
  </r>
  <r>
    <d v="2013-02-20T00:00:00"/>
    <s v="016-2210-000"/>
    <s v="Liquor Sales"/>
    <n v="751.05639999999994"/>
    <n v="0"/>
    <s v="Daily Sales Import"/>
    <n v="-751.05639999999994"/>
    <n v="751.05639999999994"/>
    <x v="0"/>
    <s v="2210"/>
    <s v="000"/>
    <x v="4"/>
    <x v="2"/>
  </r>
  <r>
    <d v="2013-02-20T00:00:00"/>
    <s v="016-2220-000"/>
    <s v="Beer Sales"/>
    <n v="129.17300000000003"/>
    <n v="0"/>
    <s v="Daily Sales Import"/>
    <n v="-129.17300000000003"/>
    <n v="129.17300000000003"/>
    <x v="0"/>
    <s v="2220"/>
    <s v="000"/>
    <x v="4"/>
    <x v="2"/>
  </r>
  <r>
    <d v="2013-02-20T00:00:00"/>
    <s v="016-2230-000"/>
    <s v="Wine Sales"/>
    <n v="147.56719999999999"/>
    <n v="0"/>
    <s v="Daily Sales Import"/>
    <n v="-147.56719999999999"/>
    <n v="147.56719999999999"/>
    <x v="0"/>
    <s v="2230"/>
    <s v="000"/>
    <x v="4"/>
    <x v="2"/>
  </r>
  <r>
    <d v="2013-02-21T00:00:00"/>
    <s v="016-2100-000"/>
    <s v="Food Sales"/>
    <n v="5047.1730000000007"/>
    <n v="0"/>
    <s v="Daily Sales Import"/>
    <n v="-5047.1730000000007"/>
    <n v="5047.1730000000007"/>
    <x v="0"/>
    <s v="2100"/>
    <s v="000"/>
    <x v="4"/>
    <x v="2"/>
  </r>
  <r>
    <d v="2013-02-21T00:00:00"/>
    <s v="016-2210-000"/>
    <s v="Liquor Sales"/>
    <n v="953.08950000000016"/>
    <n v="0"/>
    <s v="Daily Sales Import"/>
    <n v="-953.08950000000016"/>
    <n v="953.08950000000016"/>
    <x v="0"/>
    <s v="2210"/>
    <s v="000"/>
    <x v="4"/>
    <x v="2"/>
  </r>
  <r>
    <d v="2013-02-21T00:00:00"/>
    <s v="016-2220-000"/>
    <s v="Beer Sales"/>
    <n v="273.7"/>
    <n v="0"/>
    <s v="Daily Sales Import"/>
    <n v="-273.7"/>
    <n v="273.7"/>
    <x v="0"/>
    <s v="2220"/>
    <s v="000"/>
    <x v="4"/>
    <x v="2"/>
  </r>
  <r>
    <d v="2013-02-21T00:00:00"/>
    <s v="016-2230-000"/>
    <s v="Wine Sales"/>
    <n v="84.163800000000009"/>
    <n v="0"/>
    <s v="Daily Sales Import"/>
    <n v="-84.163800000000009"/>
    <n v="84.163800000000009"/>
    <x v="0"/>
    <s v="2230"/>
    <s v="000"/>
    <x v="4"/>
    <x v="2"/>
  </r>
  <r>
    <d v="2013-02-22T00:00:00"/>
    <s v="016-2100-000"/>
    <s v="Food Sales"/>
    <n v="7858.7412000000013"/>
    <n v="0"/>
    <s v="Daily Sales Import"/>
    <n v="-7858.7412000000013"/>
    <n v="7858.7412000000013"/>
    <x v="0"/>
    <s v="2100"/>
    <s v="000"/>
    <x v="4"/>
    <x v="2"/>
  </r>
  <r>
    <d v="2013-02-22T00:00:00"/>
    <s v="016-2210-000"/>
    <s v="Liquor Sales"/>
    <n v="1589.5715000000002"/>
    <n v="0"/>
    <s v="Daily Sales Import"/>
    <n v="-1589.5715000000002"/>
    <n v="1589.5715000000002"/>
    <x v="0"/>
    <s v="2210"/>
    <s v="000"/>
    <x v="4"/>
    <x v="2"/>
  </r>
  <r>
    <d v="2013-02-22T00:00:00"/>
    <s v="016-2220-000"/>
    <s v="Beer Sales"/>
    <n v="386.01750000000004"/>
    <n v="0"/>
    <s v="Daily Sales Import"/>
    <n v="-386.01750000000004"/>
    <n v="386.01750000000004"/>
    <x v="0"/>
    <s v="2220"/>
    <s v="000"/>
    <x v="4"/>
    <x v="2"/>
  </r>
  <r>
    <d v="2013-02-22T00:00:00"/>
    <s v="016-2230-000"/>
    <s v="Wine Sales"/>
    <n v="181.3185"/>
    <n v="0"/>
    <s v="Daily Sales Import"/>
    <n v="-181.3185"/>
    <n v="181.3185"/>
    <x v="0"/>
    <s v="2230"/>
    <s v="000"/>
    <x v="4"/>
    <x v="2"/>
  </r>
  <r>
    <d v="2013-02-23T00:00:00"/>
    <s v="016-2100-000"/>
    <s v="Food Sales"/>
    <n v="9905.9961000000003"/>
    <n v="0"/>
    <s v="Daily Sales Import"/>
    <n v="-9905.9961000000003"/>
    <n v="9905.9961000000003"/>
    <x v="0"/>
    <s v="2100"/>
    <s v="000"/>
    <x v="4"/>
    <x v="2"/>
  </r>
  <r>
    <d v="2013-02-23T00:00:00"/>
    <s v="016-2210-000"/>
    <s v="Liquor Sales"/>
    <n v="3575.3120000000004"/>
    <n v="0"/>
    <s v="Daily Sales Import"/>
    <n v="-3575.3120000000004"/>
    <n v="3575.3120000000004"/>
    <x v="0"/>
    <s v="2210"/>
    <s v="000"/>
    <x v="4"/>
    <x v="2"/>
  </r>
  <r>
    <d v="2013-02-23T00:00:00"/>
    <s v="016-2220-000"/>
    <s v="Beer Sales"/>
    <n v="843.07529999999997"/>
    <n v="0"/>
    <s v="Daily Sales Import"/>
    <n v="-843.07529999999997"/>
    <n v="843.07529999999997"/>
    <x v="0"/>
    <s v="2220"/>
    <s v="000"/>
    <x v="4"/>
    <x v="2"/>
  </r>
  <r>
    <d v="2013-02-23T00:00:00"/>
    <s v="016-2230-000"/>
    <s v="Wine Sales"/>
    <n v="188.82600000000002"/>
    <n v="0"/>
    <s v="Daily Sales Import"/>
    <n v="-188.82600000000002"/>
    <n v="188.82600000000002"/>
    <x v="0"/>
    <s v="2230"/>
    <s v="000"/>
    <x v="4"/>
    <x v="2"/>
  </r>
  <r>
    <d v="2013-02-24T00:00:00"/>
    <s v="016-2100-000"/>
    <s v="Food Sales"/>
    <n v="6412.2631999999994"/>
    <n v="0"/>
    <s v="Daily Sales Import"/>
    <n v="-6412.2631999999994"/>
    <n v="6412.2631999999994"/>
    <x v="0"/>
    <s v="2100"/>
    <s v="000"/>
    <x v="4"/>
    <x v="2"/>
  </r>
  <r>
    <d v="2013-02-24T00:00:00"/>
    <s v="016-2210-000"/>
    <s v="Liquor Sales"/>
    <n v="1458.4956"/>
    <n v="0"/>
    <s v="Daily Sales Import"/>
    <n v="-1458.4956"/>
    <n v="1458.4956"/>
    <x v="0"/>
    <s v="2210"/>
    <s v="000"/>
    <x v="4"/>
    <x v="2"/>
  </r>
  <r>
    <d v="2013-02-24T00:00:00"/>
    <s v="016-2220-000"/>
    <s v="Beer Sales"/>
    <n v="272.20349999999996"/>
    <n v="0"/>
    <s v="Daily Sales Import"/>
    <n v="-272.20349999999996"/>
    <n v="272.20349999999996"/>
    <x v="0"/>
    <s v="2220"/>
    <s v="000"/>
    <x v="4"/>
    <x v="2"/>
  </r>
  <r>
    <d v="2013-02-24T00:00:00"/>
    <s v="016-2230-000"/>
    <s v="Wine Sales"/>
    <n v="168.89760000000001"/>
    <n v="0"/>
    <s v="Daily Sales Import"/>
    <n v="-168.89760000000001"/>
    <n v="168.89760000000001"/>
    <x v="0"/>
    <s v="2230"/>
    <s v="000"/>
    <x v="4"/>
    <x v="2"/>
  </r>
  <r>
    <d v="2013-02-18T00:00:00"/>
    <s v="017-2100-000"/>
    <s v="Food Sales"/>
    <n v="2951.2026000000001"/>
    <n v="0"/>
    <s v="Daily Sales Import"/>
    <n v="-2951.2026000000001"/>
    <n v="2951.2026000000001"/>
    <x v="1"/>
    <s v="2100"/>
    <s v="000"/>
    <x v="4"/>
    <x v="2"/>
  </r>
  <r>
    <d v="2013-02-18T00:00:00"/>
    <s v="017-2210-000"/>
    <s v="Liquor Sales"/>
    <n v="866.33699999999999"/>
    <n v="0"/>
    <s v="Daily Sales Import"/>
    <n v="-866.33699999999999"/>
    <n v="866.33699999999999"/>
    <x v="1"/>
    <s v="2210"/>
    <s v="000"/>
    <x v="4"/>
    <x v="2"/>
  </r>
  <r>
    <d v="2013-02-18T00:00:00"/>
    <s v="017-2220-000"/>
    <s v="Beer Sales"/>
    <n v="393.72710000000001"/>
    <n v="0"/>
    <s v="Daily Sales Import"/>
    <n v="-393.72710000000001"/>
    <n v="393.72710000000001"/>
    <x v="1"/>
    <s v="2220"/>
    <s v="000"/>
    <x v="4"/>
    <x v="2"/>
  </r>
  <r>
    <d v="2013-02-18T00:00:00"/>
    <s v="017-2230-000"/>
    <s v="Wine Sales"/>
    <n v="50.973300000000002"/>
    <n v="0"/>
    <s v="Daily Sales Import"/>
    <n v="-50.973300000000002"/>
    <n v="50.973300000000002"/>
    <x v="1"/>
    <s v="2230"/>
    <s v="000"/>
    <x v="4"/>
    <x v="2"/>
  </r>
  <r>
    <d v="2013-02-19T00:00:00"/>
    <s v="017-2100-000"/>
    <s v="Food Sales"/>
    <n v="3018.1271999999999"/>
    <n v="0"/>
    <s v="Daily Sales Import"/>
    <n v="-3018.1271999999999"/>
    <n v="3018.1271999999999"/>
    <x v="1"/>
    <s v="2100"/>
    <s v="000"/>
    <x v="4"/>
    <x v="2"/>
  </r>
  <r>
    <d v="2013-02-19T00:00:00"/>
    <s v="017-2210-000"/>
    <s v="Liquor Sales"/>
    <n v="832.04240000000004"/>
    <n v="0"/>
    <s v="Daily Sales Import"/>
    <n v="-832.04240000000004"/>
    <n v="832.04240000000004"/>
    <x v="1"/>
    <s v="2210"/>
    <s v="000"/>
    <x v="4"/>
    <x v="2"/>
  </r>
  <r>
    <d v="2013-02-19T00:00:00"/>
    <s v="017-2220-000"/>
    <s v="Beer Sales"/>
    <n v="313.62389999999999"/>
    <n v="0"/>
    <s v="Daily Sales Import"/>
    <n v="-313.62389999999999"/>
    <n v="313.62389999999999"/>
    <x v="1"/>
    <s v="2220"/>
    <s v="000"/>
    <x v="4"/>
    <x v="2"/>
  </r>
  <r>
    <d v="2013-02-19T00:00:00"/>
    <s v="017-2230-000"/>
    <s v="Wine Sales"/>
    <n v="102.6782"/>
    <n v="0"/>
    <s v="Daily Sales Import"/>
    <n v="-102.6782"/>
    <n v="102.6782"/>
    <x v="1"/>
    <s v="2230"/>
    <s v="000"/>
    <x v="4"/>
    <x v="2"/>
  </r>
  <r>
    <d v="2013-02-20T00:00:00"/>
    <s v="017-2100-000"/>
    <s v="Food Sales"/>
    <n v="6858.5075999999999"/>
    <n v="0"/>
    <s v="Daily Sales Import"/>
    <n v="-6858.5075999999999"/>
    <n v="6858.5075999999999"/>
    <x v="1"/>
    <s v="2100"/>
    <s v="000"/>
    <x v="4"/>
    <x v="2"/>
  </r>
  <r>
    <d v="2013-02-20T00:00:00"/>
    <s v="017-2210-000"/>
    <s v="Liquor Sales"/>
    <n v="1542.7439999999999"/>
    <n v="0"/>
    <s v="Daily Sales Import"/>
    <n v="-1542.7439999999999"/>
    <n v="1542.7439999999999"/>
    <x v="1"/>
    <s v="2210"/>
    <s v="000"/>
    <x v="4"/>
    <x v="2"/>
  </r>
  <r>
    <d v="2013-02-20T00:00:00"/>
    <s v="017-2220-000"/>
    <s v="Beer Sales"/>
    <n v="463.41129999999993"/>
    <n v="0"/>
    <s v="Daily Sales Import"/>
    <n v="-463.41129999999993"/>
    <n v="463.41129999999993"/>
    <x v="1"/>
    <s v="2220"/>
    <s v="000"/>
    <x v="4"/>
    <x v="2"/>
  </r>
  <r>
    <d v="2013-02-20T00:00:00"/>
    <s v="017-2230-000"/>
    <s v="Wine Sales"/>
    <n v="97.593600000000009"/>
    <n v="0"/>
    <s v="Daily Sales Import"/>
    <n v="-97.593600000000009"/>
    <n v="97.593600000000009"/>
    <x v="1"/>
    <s v="2230"/>
    <s v="000"/>
    <x v="4"/>
    <x v="2"/>
  </r>
  <r>
    <d v="2013-02-21T00:00:00"/>
    <s v="017-2100-000"/>
    <s v="Food Sales"/>
    <n v="7563.3711999999996"/>
    <n v="0"/>
    <s v="Daily Sales Import"/>
    <n v="-7563.3711999999996"/>
    <n v="7563.3711999999996"/>
    <x v="1"/>
    <s v="2100"/>
    <s v="000"/>
    <x v="4"/>
    <x v="2"/>
  </r>
  <r>
    <d v="2013-02-21T00:00:00"/>
    <s v="017-2210-000"/>
    <s v="Liquor Sales"/>
    <n v="1893.586"/>
    <n v="0"/>
    <s v="Daily Sales Import"/>
    <n v="-1893.586"/>
    <n v="1893.586"/>
    <x v="1"/>
    <s v="2210"/>
    <s v="000"/>
    <x v="4"/>
    <x v="2"/>
  </r>
  <r>
    <d v="2013-02-21T00:00:00"/>
    <s v="017-2220-000"/>
    <s v="Beer Sales"/>
    <n v="504.03839999999997"/>
    <n v="0"/>
    <s v="Daily Sales Import"/>
    <n v="-504.03839999999997"/>
    <n v="504.03839999999997"/>
    <x v="1"/>
    <s v="2220"/>
    <s v="000"/>
    <x v="4"/>
    <x v="2"/>
  </r>
  <r>
    <d v="2013-02-21T00:00:00"/>
    <s v="017-2230-000"/>
    <s v="Wine Sales"/>
    <n v="122.404"/>
    <n v="0"/>
    <s v="Daily Sales Import"/>
    <n v="-122.404"/>
    <n v="122.404"/>
    <x v="1"/>
    <s v="2230"/>
    <s v="000"/>
    <x v="4"/>
    <x v="2"/>
  </r>
  <r>
    <d v="2013-02-22T00:00:00"/>
    <s v="017-2100-000"/>
    <s v="Food Sales"/>
    <n v="7398.0216000000009"/>
    <n v="0"/>
    <s v="Daily Sales Import"/>
    <n v="-7398.0216000000009"/>
    <n v="7398.0216000000009"/>
    <x v="1"/>
    <s v="2100"/>
    <s v="000"/>
    <x v="4"/>
    <x v="2"/>
  </r>
  <r>
    <d v="2013-02-22T00:00:00"/>
    <s v="017-2210-000"/>
    <s v="Liquor Sales"/>
    <n v="1863.5904"/>
    <n v="0"/>
    <s v="Daily Sales Import"/>
    <n v="-1863.5904"/>
    <n v="1863.5904"/>
    <x v="1"/>
    <s v="2210"/>
    <s v="000"/>
    <x v="4"/>
    <x v="2"/>
  </r>
  <r>
    <d v="2013-02-22T00:00:00"/>
    <s v="017-2220-000"/>
    <s v="Beer Sales"/>
    <n v="506.68000000000006"/>
    <n v="0"/>
    <s v="Daily Sales Import"/>
    <n v="-506.68000000000006"/>
    <n v="506.68000000000006"/>
    <x v="1"/>
    <s v="2220"/>
    <s v="000"/>
    <x v="4"/>
    <x v="2"/>
  </r>
  <r>
    <d v="2013-02-22T00:00:00"/>
    <s v="017-2230-000"/>
    <s v="Wine Sales"/>
    <n v="46.625999999999998"/>
    <n v="0"/>
    <s v="Daily Sales Import"/>
    <n v="-46.625999999999998"/>
    <n v="46.625999999999998"/>
    <x v="1"/>
    <s v="2230"/>
    <s v="000"/>
    <x v="4"/>
    <x v="2"/>
  </r>
  <r>
    <d v="2013-02-23T00:00:00"/>
    <s v="017-2100-000"/>
    <s v="Food Sales"/>
    <n v="7967.1678000000002"/>
    <n v="0"/>
    <s v="Daily Sales Import"/>
    <n v="-7967.1678000000002"/>
    <n v="7967.1678000000002"/>
    <x v="1"/>
    <s v="2100"/>
    <s v="000"/>
    <x v="4"/>
    <x v="2"/>
  </r>
  <r>
    <d v="2013-02-23T00:00:00"/>
    <s v="017-2210-000"/>
    <s v="Liquor Sales"/>
    <n v="1983.807"/>
    <n v="0"/>
    <s v="Daily Sales Import"/>
    <n v="-1983.807"/>
    <n v="1983.807"/>
    <x v="1"/>
    <s v="2210"/>
    <s v="000"/>
    <x v="4"/>
    <x v="2"/>
  </r>
  <r>
    <d v="2013-02-23T00:00:00"/>
    <s v="017-2220-000"/>
    <s v="Beer Sales"/>
    <n v="370.91250000000002"/>
    <n v="0"/>
    <s v="Daily Sales Import"/>
    <n v="-370.91250000000002"/>
    <n v="370.91250000000002"/>
    <x v="1"/>
    <s v="2220"/>
    <s v="000"/>
    <x v="4"/>
    <x v="2"/>
  </r>
  <r>
    <d v="2013-02-23T00:00:00"/>
    <s v="017-2230-000"/>
    <s v="Wine Sales"/>
    <n v="73.058399999999992"/>
    <n v="0"/>
    <s v="Daily Sales Import"/>
    <n v="-73.058399999999992"/>
    <n v="73.058399999999992"/>
    <x v="1"/>
    <s v="2230"/>
    <s v="000"/>
    <x v="4"/>
    <x v="2"/>
  </r>
  <r>
    <d v="2013-02-24T00:00:00"/>
    <s v="017-2100-000"/>
    <s v="Food Sales"/>
    <n v="4720.7338"/>
    <n v="0"/>
    <s v="Daily Sales Import"/>
    <n v="-4720.7338"/>
    <n v="4720.7338"/>
    <x v="1"/>
    <s v="2100"/>
    <s v="000"/>
    <x v="4"/>
    <x v="2"/>
  </r>
  <r>
    <d v="2013-02-24T00:00:00"/>
    <s v="017-2210-000"/>
    <s v="Liquor Sales"/>
    <n v="1214.3473999999999"/>
    <n v="0"/>
    <s v="Daily Sales Import"/>
    <n v="-1214.3473999999999"/>
    <n v="1214.3473999999999"/>
    <x v="1"/>
    <s v="2210"/>
    <s v="000"/>
    <x v="4"/>
    <x v="2"/>
  </r>
  <r>
    <d v="2013-02-24T00:00:00"/>
    <s v="017-2220-000"/>
    <s v="Beer Sales"/>
    <n v="165.04109999999997"/>
    <n v="0"/>
    <s v="Daily Sales Import"/>
    <n v="-165.04109999999997"/>
    <n v="165.04109999999997"/>
    <x v="1"/>
    <s v="2220"/>
    <s v="000"/>
    <x v="4"/>
    <x v="2"/>
  </r>
  <r>
    <d v="2013-02-24T00:00:00"/>
    <s v="017-2230-000"/>
    <s v="Wine Sales"/>
    <n v="75.248400000000004"/>
    <n v="0"/>
    <s v="Daily Sales Import"/>
    <n v="-75.248400000000004"/>
    <n v="75.248400000000004"/>
    <x v="1"/>
    <s v="2230"/>
    <s v="000"/>
    <x v="4"/>
    <x v="2"/>
  </r>
  <r>
    <d v="2013-02-18T00:00:00"/>
    <s v="018-2100-000"/>
    <s v="Food Sales"/>
    <n v="8616.6256000000012"/>
    <n v="0"/>
    <s v="Daily Sales Import"/>
    <n v="-8616.6256000000012"/>
    <n v="8616.6256000000012"/>
    <x v="2"/>
    <s v="2100"/>
    <s v="000"/>
    <x v="4"/>
    <x v="2"/>
  </r>
  <r>
    <d v="2013-02-18T00:00:00"/>
    <s v="018-2210-000"/>
    <s v="Liquor Sales"/>
    <n v="693.27500000000009"/>
    <n v="0"/>
    <s v="Daily Sales Import"/>
    <n v="-693.27500000000009"/>
    <n v="693.27500000000009"/>
    <x v="2"/>
    <s v="2210"/>
    <s v="000"/>
    <x v="4"/>
    <x v="2"/>
  </r>
  <r>
    <d v="2013-02-18T00:00:00"/>
    <s v="018-2220-000"/>
    <s v="Beer Sales"/>
    <n v="240.66"/>
    <n v="0"/>
    <s v="Daily Sales Import"/>
    <n v="-240.66"/>
    <n v="240.66"/>
    <x v="2"/>
    <s v="2220"/>
    <s v="000"/>
    <x v="4"/>
    <x v="2"/>
  </r>
  <r>
    <d v="2013-02-18T00:00:00"/>
    <s v="018-2230-000"/>
    <s v="Wine Sales"/>
    <n v="81.799199999999999"/>
    <n v="0"/>
    <s v="Daily Sales Import"/>
    <n v="-81.799199999999999"/>
    <n v="81.799199999999999"/>
    <x v="2"/>
    <s v="2230"/>
    <s v="000"/>
    <x v="4"/>
    <x v="2"/>
  </r>
  <r>
    <d v="2013-02-19T00:00:00"/>
    <s v="018-2100-000"/>
    <s v="Food Sales"/>
    <n v="2094.9138000000003"/>
    <n v="0"/>
    <s v="Daily Sales Import"/>
    <n v="-2094.9138000000003"/>
    <n v="2094.9138000000003"/>
    <x v="2"/>
    <s v="2100"/>
    <s v="000"/>
    <x v="4"/>
    <x v="2"/>
  </r>
  <r>
    <d v="2013-02-19T00:00:00"/>
    <s v="018-2210-000"/>
    <s v="Liquor Sales"/>
    <n v="481.18399999999997"/>
    <n v="0"/>
    <s v="Daily Sales Import"/>
    <n v="-481.18399999999997"/>
    <n v="481.18399999999997"/>
    <x v="2"/>
    <s v="2210"/>
    <s v="000"/>
    <x v="4"/>
    <x v="2"/>
  </r>
  <r>
    <d v="2013-02-19T00:00:00"/>
    <s v="018-2220-000"/>
    <s v="Beer Sales"/>
    <n v="109.0859"/>
    <n v="0"/>
    <s v="Daily Sales Import"/>
    <n v="-109.0859"/>
    <n v="109.0859"/>
    <x v="2"/>
    <s v="2220"/>
    <s v="000"/>
    <x v="4"/>
    <x v="2"/>
  </r>
  <r>
    <d v="2013-02-19T00:00:00"/>
    <s v="018-2230-000"/>
    <s v="Wine Sales"/>
    <n v="24.205400000000001"/>
    <n v="0"/>
    <s v="Daily Sales Import"/>
    <n v="-24.205400000000001"/>
    <n v="24.205400000000001"/>
    <x v="2"/>
    <s v="2230"/>
    <s v="000"/>
    <x v="4"/>
    <x v="2"/>
  </r>
  <r>
    <d v="2013-02-20T00:00:00"/>
    <s v="018-2100-000"/>
    <s v="Food Sales"/>
    <n v="2350.8795"/>
    <n v="0"/>
    <s v="Daily Sales Import"/>
    <n v="-2350.8795"/>
    <n v="2350.8795"/>
    <x v="2"/>
    <s v="2100"/>
    <s v="000"/>
    <x v="4"/>
    <x v="2"/>
  </r>
  <r>
    <d v="2013-02-20T00:00:00"/>
    <s v="018-2210-000"/>
    <s v="Liquor Sales"/>
    <n v="405.57599999999996"/>
    <n v="0"/>
    <s v="Daily Sales Import"/>
    <n v="-405.57599999999996"/>
    <n v="405.57599999999996"/>
    <x v="2"/>
    <s v="2210"/>
    <s v="000"/>
    <x v="4"/>
    <x v="2"/>
  </r>
  <r>
    <d v="2013-02-20T00:00:00"/>
    <s v="018-2220-000"/>
    <s v="Beer Sales"/>
    <n v="89.208799999999997"/>
    <n v="0"/>
    <s v="Daily Sales Import"/>
    <n v="-89.208799999999997"/>
    <n v="89.208799999999997"/>
    <x v="2"/>
    <s v="2220"/>
    <s v="000"/>
    <x v="4"/>
    <x v="2"/>
  </r>
  <r>
    <d v="2013-02-20T00:00:00"/>
    <s v="018-2230-000"/>
    <s v="Wine Sales"/>
    <n v="19.5518"/>
    <n v="0"/>
    <s v="Daily Sales Import"/>
    <n v="-19.5518"/>
    <n v="19.5518"/>
    <x v="2"/>
    <s v="2230"/>
    <s v="000"/>
    <x v="4"/>
    <x v="2"/>
  </r>
  <r>
    <d v="2013-02-21T00:00:00"/>
    <s v="018-2100-000"/>
    <s v="Food Sales"/>
    <n v="3232.4490000000001"/>
    <n v="0"/>
    <s v="Daily Sales Import"/>
    <n v="-3232.4490000000001"/>
    <n v="3232.4490000000001"/>
    <x v="2"/>
    <s v="2100"/>
    <s v="000"/>
    <x v="4"/>
    <x v="2"/>
  </r>
  <r>
    <d v="2013-02-21T00:00:00"/>
    <s v="018-2210-000"/>
    <s v="Liquor Sales"/>
    <n v="610.20719999999994"/>
    <n v="0"/>
    <s v="Daily Sales Import"/>
    <n v="-610.20719999999994"/>
    <n v="610.20719999999994"/>
    <x v="2"/>
    <s v="2210"/>
    <s v="000"/>
    <x v="4"/>
    <x v="2"/>
  </r>
  <r>
    <d v="2013-02-21T00:00:00"/>
    <s v="018-2220-000"/>
    <s v="Beer Sales"/>
    <n v="273.04520000000002"/>
    <n v="0"/>
    <s v="Daily Sales Import"/>
    <n v="-273.04520000000002"/>
    <n v="273.04520000000002"/>
    <x v="2"/>
    <s v="2220"/>
    <s v="000"/>
    <x v="4"/>
    <x v="2"/>
  </r>
  <r>
    <d v="2013-02-21T00:00:00"/>
    <s v="018-2230-000"/>
    <s v="Wine Sales"/>
    <n v="4.6341999999999999"/>
    <n v="0"/>
    <s v="Daily Sales Import"/>
    <n v="-4.6341999999999999"/>
    <n v="4.6341999999999999"/>
    <x v="2"/>
    <s v="2230"/>
    <s v="000"/>
    <x v="4"/>
    <x v="2"/>
  </r>
  <r>
    <d v="2013-02-22T00:00:00"/>
    <s v="018-2100-000"/>
    <s v="Food Sales"/>
    <n v="7016.5550000000003"/>
    <n v="0"/>
    <s v="Daily Sales Import"/>
    <n v="-7016.5550000000003"/>
    <n v="7016.5550000000003"/>
    <x v="2"/>
    <s v="2100"/>
    <s v="000"/>
    <x v="4"/>
    <x v="2"/>
  </r>
  <r>
    <d v="2013-02-22T00:00:00"/>
    <s v="018-2210-000"/>
    <s v="Liquor Sales"/>
    <n v="3074.2618999999995"/>
    <n v="0"/>
    <s v="Daily Sales Import"/>
    <n v="-3074.2618999999995"/>
    <n v="3074.2618999999995"/>
    <x v="2"/>
    <s v="2210"/>
    <s v="000"/>
    <x v="4"/>
    <x v="2"/>
  </r>
  <r>
    <d v="2013-02-22T00:00:00"/>
    <s v="018-2220-000"/>
    <s v="Beer Sales"/>
    <n v="559.23149999999998"/>
    <n v="0"/>
    <s v="Daily Sales Import"/>
    <n v="-559.23149999999998"/>
    <n v="559.23149999999998"/>
    <x v="2"/>
    <s v="2220"/>
    <s v="000"/>
    <x v="4"/>
    <x v="2"/>
  </r>
  <r>
    <d v="2013-02-22T00:00:00"/>
    <s v="018-2230-000"/>
    <s v="Wine Sales"/>
    <n v="128.9624"/>
    <n v="0"/>
    <s v="Daily Sales Import"/>
    <n v="-128.9624"/>
    <n v="128.9624"/>
    <x v="2"/>
    <s v="2230"/>
    <s v="000"/>
    <x v="4"/>
    <x v="2"/>
  </r>
  <r>
    <d v="2013-02-23T00:00:00"/>
    <s v="018-2100-000"/>
    <s v="Food Sales"/>
    <n v="17113.038400000001"/>
    <n v="0"/>
    <s v="Daily Sales Import"/>
    <n v="-17113.038400000001"/>
    <n v="17113.038400000001"/>
    <x v="2"/>
    <s v="2100"/>
    <s v="000"/>
    <x v="4"/>
    <x v="2"/>
  </r>
  <r>
    <d v="2013-02-23T00:00:00"/>
    <s v="018-2210-000"/>
    <s v="Liquor Sales"/>
    <n v="3120.6790999999998"/>
    <n v="0"/>
    <s v="Daily Sales Import"/>
    <n v="-3120.6790999999998"/>
    <n v="3120.6790999999998"/>
    <x v="2"/>
    <s v="2210"/>
    <s v="000"/>
    <x v="4"/>
    <x v="2"/>
  </r>
  <r>
    <d v="2013-02-23T00:00:00"/>
    <s v="018-2220-000"/>
    <s v="Beer Sales"/>
    <n v="696.72200000000009"/>
    <n v="0"/>
    <s v="Daily Sales Import"/>
    <n v="-696.72200000000009"/>
    <n v="696.72200000000009"/>
    <x v="2"/>
    <s v="2220"/>
    <s v="000"/>
    <x v="4"/>
    <x v="2"/>
  </r>
  <r>
    <d v="2013-02-23T00:00:00"/>
    <s v="018-2230-000"/>
    <s v="Wine Sales"/>
    <n v="95.206800000000001"/>
    <n v="0"/>
    <s v="Daily Sales Import"/>
    <n v="-95.206800000000001"/>
    <n v="95.206800000000001"/>
    <x v="2"/>
    <s v="2230"/>
    <s v="000"/>
    <x v="4"/>
    <x v="2"/>
  </r>
  <r>
    <d v="2013-02-24T00:00:00"/>
    <s v="018-2100-000"/>
    <s v="Food Sales"/>
    <n v="8985.0720000000001"/>
    <n v="0"/>
    <s v="Daily Sales Import"/>
    <n v="-8985.0720000000001"/>
    <n v="8985.0720000000001"/>
    <x v="2"/>
    <s v="2100"/>
    <s v="000"/>
    <x v="4"/>
    <x v="2"/>
  </r>
  <r>
    <d v="2013-02-24T00:00:00"/>
    <s v="018-2210-000"/>
    <s v="Liquor Sales"/>
    <n v="839.3078999999999"/>
    <n v="0"/>
    <s v="Daily Sales Import"/>
    <n v="-839.3078999999999"/>
    <n v="839.3078999999999"/>
    <x v="2"/>
    <s v="2210"/>
    <s v="000"/>
    <x v="4"/>
    <x v="2"/>
  </r>
  <r>
    <d v="2013-02-24T00:00:00"/>
    <s v="018-2220-000"/>
    <s v="Beer Sales"/>
    <n v="291.01679999999999"/>
    <n v="0"/>
    <s v="Daily Sales Import"/>
    <n v="-291.01679999999999"/>
    <n v="291.01679999999999"/>
    <x v="2"/>
    <s v="2220"/>
    <s v="000"/>
    <x v="4"/>
    <x v="2"/>
  </r>
  <r>
    <d v="2013-02-24T00:00:00"/>
    <s v="018-2230-000"/>
    <s v="Wine Sales"/>
    <n v="71.829499999999996"/>
    <n v="0"/>
    <s v="Daily Sales Import"/>
    <n v="-71.829499999999996"/>
    <n v="71.829499999999996"/>
    <x v="2"/>
    <s v="2230"/>
    <s v="000"/>
    <x v="4"/>
    <x v="2"/>
  </r>
  <r>
    <d v="2013-02-25T00:00:00"/>
    <s v="016-2100-000"/>
    <s v="Food Sales"/>
    <n v="3470.2257"/>
    <n v="0"/>
    <s v="Daily Sales Import"/>
    <n v="-3470.2257"/>
    <n v="3470.2257"/>
    <x v="0"/>
    <s v="2100"/>
    <s v="000"/>
    <x v="4"/>
    <x v="2"/>
  </r>
  <r>
    <d v="2013-02-25T00:00:00"/>
    <s v="016-2210-000"/>
    <s v="Liquor Sales"/>
    <n v="697.94979999999998"/>
    <n v="0"/>
    <s v="Daily Sales Import"/>
    <n v="-697.94979999999998"/>
    <n v="697.94979999999998"/>
    <x v="0"/>
    <s v="2210"/>
    <s v="000"/>
    <x v="4"/>
    <x v="2"/>
  </r>
  <r>
    <d v="2013-02-25T00:00:00"/>
    <s v="016-2220-000"/>
    <s v="Beer Sales"/>
    <n v="122.94329999999999"/>
    <n v="0"/>
    <s v="Daily Sales Import"/>
    <n v="-122.94329999999999"/>
    <n v="122.94329999999999"/>
    <x v="0"/>
    <s v="2220"/>
    <s v="000"/>
    <x v="4"/>
    <x v="2"/>
  </r>
  <r>
    <d v="2013-02-25T00:00:00"/>
    <s v="016-2230-000"/>
    <s v="Wine Sales"/>
    <n v="81.008099999999999"/>
    <n v="0"/>
    <s v="Daily Sales Import"/>
    <n v="-81.008099999999999"/>
    <n v="81.008099999999999"/>
    <x v="0"/>
    <s v="2230"/>
    <s v="000"/>
    <x v="4"/>
    <x v="2"/>
  </r>
  <r>
    <d v="2013-02-26T00:00:00"/>
    <s v="016-2100-000"/>
    <s v="Food Sales"/>
    <n v="5997.2795999999998"/>
    <n v="0"/>
    <s v="Daily Sales Import"/>
    <n v="-5997.2795999999998"/>
    <n v="5997.2795999999998"/>
    <x v="0"/>
    <s v="2100"/>
    <s v="000"/>
    <x v="4"/>
    <x v="2"/>
  </r>
  <r>
    <d v="2013-02-26T00:00:00"/>
    <s v="016-2210-000"/>
    <s v="Liquor Sales"/>
    <n v="1660.482"/>
    <n v="0"/>
    <s v="Daily Sales Import"/>
    <n v="-1660.482"/>
    <n v="1660.482"/>
    <x v="0"/>
    <s v="2210"/>
    <s v="000"/>
    <x v="4"/>
    <x v="2"/>
  </r>
  <r>
    <d v="2013-02-26T00:00:00"/>
    <s v="016-2220-000"/>
    <s v="Beer Sales"/>
    <n v="576.2328"/>
    <n v="0"/>
    <s v="Daily Sales Import"/>
    <n v="-576.2328"/>
    <n v="576.2328"/>
    <x v="0"/>
    <s v="2220"/>
    <s v="000"/>
    <x v="4"/>
    <x v="2"/>
  </r>
  <r>
    <d v="2013-02-26T00:00:00"/>
    <s v="016-2230-000"/>
    <s v="Wine Sales"/>
    <n v="157.31980000000001"/>
    <n v="0"/>
    <s v="Daily Sales Import"/>
    <n v="-157.31980000000001"/>
    <n v="157.31980000000001"/>
    <x v="0"/>
    <s v="2230"/>
    <s v="000"/>
    <x v="4"/>
    <x v="2"/>
  </r>
  <r>
    <d v="2013-02-27T00:00:00"/>
    <s v="016-2100-000"/>
    <s v="Food Sales"/>
    <n v="2830.0360000000001"/>
    <n v="0"/>
    <s v="Daily Sales Import"/>
    <n v="-2830.0360000000001"/>
    <n v="2830.0360000000001"/>
    <x v="0"/>
    <s v="2100"/>
    <s v="000"/>
    <x v="4"/>
    <x v="2"/>
  </r>
  <r>
    <d v="2013-02-27T00:00:00"/>
    <s v="016-2210-000"/>
    <s v="Liquor Sales"/>
    <n v="730.1925"/>
    <n v="0"/>
    <s v="Daily Sales Import"/>
    <n v="-730.1925"/>
    <n v="730.1925"/>
    <x v="0"/>
    <s v="2210"/>
    <s v="000"/>
    <x v="4"/>
    <x v="2"/>
  </r>
  <r>
    <d v="2013-02-27T00:00:00"/>
    <s v="016-2220-000"/>
    <s v="Beer Sales"/>
    <n v="139.33150000000001"/>
    <n v="0"/>
    <s v="Daily Sales Import"/>
    <n v="-139.33150000000001"/>
    <n v="139.33150000000001"/>
    <x v="0"/>
    <s v="2220"/>
    <s v="000"/>
    <x v="4"/>
    <x v="2"/>
  </r>
  <r>
    <d v="2013-02-27T00:00:00"/>
    <s v="016-2230-000"/>
    <s v="Wine Sales"/>
    <n v="127.75539999999999"/>
    <n v="0"/>
    <s v="Daily Sales Import"/>
    <n v="-127.75539999999999"/>
    <n v="127.75539999999999"/>
    <x v="0"/>
    <s v="2230"/>
    <s v="000"/>
    <x v="4"/>
    <x v="2"/>
  </r>
  <r>
    <d v="2013-02-28T00:00:00"/>
    <s v="016-2100-000"/>
    <s v="Food Sales"/>
    <n v="2910.5786999999996"/>
    <n v="0"/>
    <s v="Daily Sales Import"/>
    <n v="-2910.5786999999996"/>
    <n v="2910.5786999999996"/>
    <x v="0"/>
    <s v="2100"/>
    <s v="000"/>
    <x v="4"/>
    <x v="2"/>
  </r>
  <r>
    <d v="2013-02-28T00:00:00"/>
    <s v="016-2210-000"/>
    <s v="Liquor Sales"/>
    <n v="675.70240000000001"/>
    <n v="0"/>
    <s v="Daily Sales Import"/>
    <n v="-675.70240000000001"/>
    <n v="675.70240000000001"/>
    <x v="0"/>
    <s v="2210"/>
    <s v="000"/>
    <x v="4"/>
    <x v="2"/>
  </r>
  <r>
    <d v="2013-02-28T00:00:00"/>
    <s v="016-2220-000"/>
    <s v="Beer Sales"/>
    <n v="146.94550000000001"/>
    <n v="0"/>
    <s v="Daily Sales Import"/>
    <n v="-146.94550000000001"/>
    <n v="146.94550000000001"/>
    <x v="0"/>
    <s v="2220"/>
    <s v="000"/>
    <x v="4"/>
    <x v="2"/>
  </r>
  <r>
    <d v="2013-02-28T00:00:00"/>
    <s v="016-2230-000"/>
    <s v="Wine Sales"/>
    <n v="71.211500000000001"/>
    <n v="0"/>
    <s v="Daily Sales Import"/>
    <n v="-71.211500000000001"/>
    <n v="71.211500000000001"/>
    <x v="0"/>
    <s v="2230"/>
    <s v="000"/>
    <x v="4"/>
    <x v="2"/>
  </r>
  <r>
    <d v="2013-03-01T00:00:00"/>
    <s v="016-2100-000"/>
    <s v="Food Sales"/>
    <n v="6867.7106000000003"/>
    <n v="0"/>
    <s v="Daily Sales Import"/>
    <n v="-6867.7106000000003"/>
    <n v="6867.7106000000003"/>
    <x v="0"/>
    <s v="2100"/>
    <s v="000"/>
    <x v="5"/>
    <x v="2"/>
  </r>
  <r>
    <d v="2013-03-01T00:00:00"/>
    <s v="016-2210-000"/>
    <s v="Liquor Sales"/>
    <n v="2102.6879999999996"/>
    <n v="0"/>
    <s v="Daily Sales Import"/>
    <n v="-2102.6879999999996"/>
    <n v="2102.6879999999996"/>
    <x v="0"/>
    <s v="2210"/>
    <s v="000"/>
    <x v="5"/>
    <x v="2"/>
  </r>
  <r>
    <d v="2013-03-01T00:00:00"/>
    <s v="016-2220-000"/>
    <s v="Beer Sales"/>
    <n v="294.44279999999998"/>
    <n v="0"/>
    <s v="Daily Sales Import"/>
    <n v="-294.44279999999998"/>
    <n v="294.44279999999998"/>
    <x v="0"/>
    <s v="2220"/>
    <s v="000"/>
    <x v="5"/>
    <x v="2"/>
  </r>
  <r>
    <d v="2013-03-01T00:00:00"/>
    <s v="016-2230-000"/>
    <s v="Wine Sales"/>
    <n v="217.49680000000001"/>
    <n v="0"/>
    <s v="Daily Sales Import"/>
    <n v="-217.49680000000001"/>
    <n v="217.49680000000001"/>
    <x v="0"/>
    <s v="2230"/>
    <s v="000"/>
    <x v="5"/>
    <x v="2"/>
  </r>
  <r>
    <d v="2013-03-02T00:00:00"/>
    <s v="016-2100-000"/>
    <s v="Food Sales"/>
    <n v="7878.7566000000006"/>
    <n v="0"/>
    <s v="Daily Sales Import"/>
    <n v="-7878.7566000000006"/>
    <n v="7878.7566000000006"/>
    <x v="0"/>
    <s v="2100"/>
    <s v="000"/>
    <x v="5"/>
    <x v="2"/>
  </r>
  <r>
    <d v="2013-03-02T00:00:00"/>
    <s v="016-2210-000"/>
    <s v="Liquor Sales"/>
    <n v="3900.6618000000003"/>
    <n v="0"/>
    <s v="Daily Sales Import"/>
    <n v="-3900.6618000000003"/>
    <n v="3900.6618000000003"/>
    <x v="0"/>
    <s v="2210"/>
    <s v="000"/>
    <x v="5"/>
    <x v="2"/>
  </r>
  <r>
    <d v="2013-03-02T00:00:00"/>
    <s v="016-2220-000"/>
    <s v="Beer Sales"/>
    <n v="572.60249999999996"/>
    <n v="0"/>
    <s v="Daily Sales Import"/>
    <n v="-572.60249999999996"/>
    <n v="572.60249999999996"/>
    <x v="0"/>
    <s v="2220"/>
    <s v="000"/>
    <x v="5"/>
    <x v="2"/>
  </r>
  <r>
    <d v="2013-03-02T00:00:00"/>
    <s v="016-2230-000"/>
    <s v="Wine Sales"/>
    <n v="208.89330000000001"/>
    <n v="0"/>
    <s v="Daily Sales Import"/>
    <n v="-208.89330000000001"/>
    <n v="208.89330000000001"/>
    <x v="0"/>
    <s v="2230"/>
    <s v="000"/>
    <x v="5"/>
    <x v="2"/>
  </r>
  <r>
    <d v="2013-03-03T00:00:00"/>
    <s v="016-2100-000"/>
    <s v="Food Sales"/>
    <n v="5445.4769999999999"/>
    <n v="0"/>
    <s v="Daily Sales Import"/>
    <n v="-5445.4769999999999"/>
    <n v="5445.4769999999999"/>
    <x v="0"/>
    <s v="2100"/>
    <s v="000"/>
    <x v="5"/>
    <x v="2"/>
  </r>
  <r>
    <d v="2013-03-03T00:00:00"/>
    <s v="016-2210-000"/>
    <s v="Liquor Sales"/>
    <n v="1342.4916000000001"/>
    <n v="0"/>
    <s v="Daily Sales Import"/>
    <n v="-1342.4916000000001"/>
    <n v="1342.4916000000001"/>
    <x v="0"/>
    <s v="2210"/>
    <s v="000"/>
    <x v="5"/>
    <x v="2"/>
  </r>
  <r>
    <d v="2013-03-03T00:00:00"/>
    <s v="016-2220-000"/>
    <s v="Beer Sales"/>
    <n v="209.7851"/>
    <n v="0"/>
    <s v="Daily Sales Import"/>
    <n v="-209.7851"/>
    <n v="209.7851"/>
    <x v="0"/>
    <s v="2220"/>
    <s v="000"/>
    <x v="5"/>
    <x v="2"/>
  </r>
  <r>
    <d v="2013-03-03T00:00:00"/>
    <s v="016-2230-000"/>
    <s v="Wine Sales"/>
    <n v="80.805899999999994"/>
    <n v="0"/>
    <s v="Daily Sales Import"/>
    <n v="-80.805899999999994"/>
    <n v="80.805899999999994"/>
    <x v="0"/>
    <s v="2230"/>
    <s v="000"/>
    <x v="5"/>
    <x v="2"/>
  </r>
  <r>
    <d v="2013-02-25T00:00:00"/>
    <s v="017-2100-000"/>
    <s v="Food Sales"/>
    <n v="4481.0568000000003"/>
    <n v="0"/>
    <s v="Daily Sales Import"/>
    <n v="-4481.0568000000003"/>
    <n v="4481.0568000000003"/>
    <x v="1"/>
    <s v="2100"/>
    <s v="000"/>
    <x v="4"/>
    <x v="2"/>
  </r>
  <r>
    <d v="2013-02-25T00:00:00"/>
    <s v="017-2210-000"/>
    <s v="Liquor Sales"/>
    <n v="1050.6756"/>
    <n v="0"/>
    <s v="Daily Sales Import"/>
    <n v="-1050.6756"/>
    <n v="1050.6756"/>
    <x v="1"/>
    <s v="2210"/>
    <s v="000"/>
    <x v="4"/>
    <x v="2"/>
  </r>
  <r>
    <d v="2013-02-25T00:00:00"/>
    <s v="017-2220-000"/>
    <s v="Beer Sales"/>
    <n v="353.83319999999998"/>
    <n v="0"/>
    <s v="Daily Sales Import"/>
    <n v="-353.83319999999998"/>
    <n v="353.83319999999998"/>
    <x v="1"/>
    <s v="2220"/>
    <s v="000"/>
    <x v="4"/>
    <x v="2"/>
  </r>
  <r>
    <d v="2013-02-25T00:00:00"/>
    <s v="017-2230-000"/>
    <s v="Wine Sales"/>
    <n v="65.58059999999999"/>
    <n v="0"/>
    <s v="Daily Sales Import"/>
    <n v="-65.58059999999999"/>
    <n v="65.58059999999999"/>
    <x v="1"/>
    <s v="2230"/>
    <s v="000"/>
    <x v="4"/>
    <x v="2"/>
  </r>
  <r>
    <d v="2013-02-26T00:00:00"/>
    <s v="017-2100-000"/>
    <s v="Food Sales"/>
    <n v="6073.5923999999995"/>
    <n v="0"/>
    <s v="Daily Sales Import"/>
    <n v="-6073.5923999999995"/>
    <n v="6073.5923999999995"/>
    <x v="1"/>
    <s v="2100"/>
    <s v="000"/>
    <x v="4"/>
    <x v="2"/>
  </r>
  <r>
    <d v="2013-02-26T00:00:00"/>
    <s v="017-2210-000"/>
    <s v="Liquor Sales"/>
    <n v="1060.3376000000001"/>
    <n v="0"/>
    <s v="Daily Sales Import"/>
    <n v="-1060.3376000000001"/>
    <n v="1060.3376000000001"/>
    <x v="1"/>
    <s v="2210"/>
    <s v="000"/>
    <x v="4"/>
    <x v="2"/>
  </r>
  <r>
    <d v="2013-02-26T00:00:00"/>
    <s v="017-2220-000"/>
    <s v="Beer Sales"/>
    <n v="589.56560000000002"/>
    <n v="0"/>
    <s v="Daily Sales Import"/>
    <n v="-589.56560000000002"/>
    <n v="589.56560000000002"/>
    <x v="1"/>
    <s v="2220"/>
    <s v="000"/>
    <x v="4"/>
    <x v="2"/>
  </r>
  <r>
    <d v="2013-02-26T00:00:00"/>
    <s v="017-2230-000"/>
    <s v="Wine Sales"/>
    <n v="129.60000000000002"/>
    <n v="0"/>
    <s v="Daily Sales Import"/>
    <n v="-129.60000000000002"/>
    <n v="129.60000000000002"/>
    <x v="1"/>
    <s v="2230"/>
    <s v="000"/>
    <x v="4"/>
    <x v="2"/>
  </r>
  <r>
    <d v="2013-02-27T00:00:00"/>
    <s v="017-2100-000"/>
    <s v="Food Sales"/>
    <n v="7847.4395999999997"/>
    <n v="0"/>
    <s v="Daily Sales Import"/>
    <n v="-7847.4395999999997"/>
    <n v="7847.4395999999997"/>
    <x v="1"/>
    <s v="2100"/>
    <s v="000"/>
    <x v="4"/>
    <x v="2"/>
  </r>
  <r>
    <d v="2013-02-27T00:00:00"/>
    <s v="017-2210-000"/>
    <s v="Liquor Sales"/>
    <n v="1275.6769999999999"/>
    <n v="0"/>
    <s v="Daily Sales Import"/>
    <n v="-1275.6769999999999"/>
    <n v="1275.6769999999999"/>
    <x v="1"/>
    <s v="2210"/>
    <s v="000"/>
    <x v="4"/>
    <x v="2"/>
  </r>
  <r>
    <d v="2013-02-27T00:00:00"/>
    <s v="017-2220-000"/>
    <s v="Beer Sales"/>
    <n v="411.66809999999998"/>
    <n v="0"/>
    <s v="Daily Sales Import"/>
    <n v="-411.66809999999998"/>
    <n v="411.66809999999998"/>
    <x v="1"/>
    <s v="2220"/>
    <s v="000"/>
    <x v="4"/>
    <x v="2"/>
  </r>
  <r>
    <d v="2013-02-27T00:00:00"/>
    <s v="017-2230-000"/>
    <s v="Wine Sales"/>
    <n v="35.947299999999998"/>
    <n v="0"/>
    <s v="Daily Sales Import"/>
    <n v="-35.947299999999998"/>
    <n v="35.947299999999998"/>
    <x v="1"/>
    <s v="2230"/>
    <s v="000"/>
    <x v="4"/>
    <x v="2"/>
  </r>
  <r>
    <d v="2013-02-28T00:00:00"/>
    <s v="017-2100-000"/>
    <s v="Food Sales"/>
    <n v="6070.6076999999996"/>
    <n v="0"/>
    <s v="Daily Sales Import"/>
    <n v="-6070.6076999999996"/>
    <n v="6070.6076999999996"/>
    <x v="1"/>
    <s v="2100"/>
    <s v="000"/>
    <x v="4"/>
    <x v="2"/>
  </r>
  <r>
    <d v="2013-02-28T00:00:00"/>
    <s v="017-2210-000"/>
    <s v="Liquor Sales"/>
    <n v="1138.1184000000001"/>
    <n v="0"/>
    <s v="Daily Sales Import"/>
    <n v="-1138.1184000000001"/>
    <n v="1138.1184000000001"/>
    <x v="1"/>
    <s v="2210"/>
    <s v="000"/>
    <x v="4"/>
    <x v="2"/>
  </r>
  <r>
    <d v="2013-02-28T00:00:00"/>
    <s v="017-2220-000"/>
    <s v="Beer Sales"/>
    <n v="328.86560000000003"/>
    <n v="0"/>
    <s v="Daily Sales Import"/>
    <n v="-328.86560000000003"/>
    <n v="328.86560000000003"/>
    <x v="1"/>
    <s v="2220"/>
    <s v="000"/>
    <x v="4"/>
    <x v="2"/>
  </r>
  <r>
    <d v="2013-02-28T00:00:00"/>
    <s v="017-2230-000"/>
    <s v="Wine Sales"/>
    <n v="303.31799999999998"/>
    <n v="0"/>
    <s v="Daily Sales Import"/>
    <n v="-303.31799999999998"/>
    <n v="303.31799999999998"/>
    <x v="1"/>
    <s v="2230"/>
    <s v="000"/>
    <x v="4"/>
    <x v="2"/>
  </r>
  <r>
    <d v="2013-03-01T00:00:00"/>
    <s v="017-2100-000"/>
    <s v="Food Sales"/>
    <n v="7588.3885"/>
    <n v="0"/>
    <s v="Daily Sales Import"/>
    <n v="-7588.3885"/>
    <n v="7588.3885"/>
    <x v="1"/>
    <s v="2100"/>
    <s v="000"/>
    <x v="5"/>
    <x v="2"/>
  </r>
  <r>
    <d v="2013-03-01T00:00:00"/>
    <s v="017-2210-000"/>
    <s v="Liquor Sales"/>
    <n v="2036.6964000000003"/>
    <n v="0"/>
    <s v="Daily Sales Import"/>
    <n v="-2036.6964000000003"/>
    <n v="2036.6964000000003"/>
    <x v="1"/>
    <s v="2210"/>
    <s v="000"/>
    <x v="5"/>
    <x v="2"/>
  </r>
  <r>
    <d v="2013-03-01T00:00:00"/>
    <s v="017-2220-000"/>
    <s v="Beer Sales"/>
    <n v="335.90800000000002"/>
    <n v="0"/>
    <s v="Daily Sales Import"/>
    <n v="-335.90800000000002"/>
    <n v="335.90800000000002"/>
    <x v="1"/>
    <s v="2220"/>
    <s v="000"/>
    <x v="5"/>
    <x v="2"/>
  </r>
  <r>
    <d v="2013-03-01T00:00:00"/>
    <s v="017-2230-000"/>
    <s v="Wine Sales"/>
    <n v="169.68900000000002"/>
    <n v="0"/>
    <s v="Daily Sales Import"/>
    <n v="-169.68900000000002"/>
    <n v="169.68900000000002"/>
    <x v="1"/>
    <s v="2230"/>
    <s v="000"/>
    <x v="5"/>
    <x v="2"/>
  </r>
  <r>
    <d v="2013-03-02T00:00:00"/>
    <s v="017-2100-000"/>
    <s v="Food Sales"/>
    <n v="9572.5925999999999"/>
    <n v="0"/>
    <s v="Daily Sales Import"/>
    <n v="-9572.5925999999999"/>
    <n v="9572.5925999999999"/>
    <x v="1"/>
    <s v="2100"/>
    <s v="000"/>
    <x v="5"/>
    <x v="2"/>
  </r>
  <r>
    <d v="2013-03-02T00:00:00"/>
    <s v="017-2210-000"/>
    <s v="Liquor Sales"/>
    <n v="2373.77"/>
    <n v="0"/>
    <s v="Daily Sales Import"/>
    <n v="-2373.77"/>
    <n v="2373.77"/>
    <x v="1"/>
    <s v="2210"/>
    <s v="000"/>
    <x v="5"/>
    <x v="2"/>
  </r>
  <r>
    <d v="2013-03-02T00:00:00"/>
    <s v="017-2220-000"/>
    <s v="Beer Sales"/>
    <n v="490.51929999999999"/>
    <n v="0"/>
    <s v="Daily Sales Import"/>
    <n v="-490.51929999999999"/>
    <n v="490.51929999999999"/>
    <x v="1"/>
    <s v="2220"/>
    <s v="000"/>
    <x v="5"/>
    <x v="2"/>
  </r>
  <r>
    <d v="2013-03-02T00:00:00"/>
    <s v="017-2230-000"/>
    <s v="Wine Sales"/>
    <n v="146.93639999999999"/>
    <n v="0"/>
    <s v="Daily Sales Import"/>
    <n v="-146.93639999999999"/>
    <n v="146.93639999999999"/>
    <x v="1"/>
    <s v="2230"/>
    <s v="000"/>
    <x v="5"/>
    <x v="2"/>
  </r>
  <r>
    <d v="2013-03-03T00:00:00"/>
    <s v="017-2100-000"/>
    <s v="Food Sales"/>
    <n v="5570.1554999999998"/>
    <n v="0"/>
    <s v="Daily Sales Import"/>
    <n v="-5570.1554999999998"/>
    <n v="5570.1554999999998"/>
    <x v="1"/>
    <s v="2100"/>
    <s v="000"/>
    <x v="5"/>
    <x v="2"/>
  </r>
  <r>
    <d v="2013-03-03T00:00:00"/>
    <s v="017-2210-000"/>
    <s v="Liquor Sales"/>
    <n v="931.05320000000006"/>
    <n v="0"/>
    <s v="Daily Sales Import"/>
    <n v="-931.05320000000006"/>
    <n v="931.05320000000006"/>
    <x v="1"/>
    <s v="2210"/>
    <s v="000"/>
    <x v="5"/>
    <x v="2"/>
  </r>
  <r>
    <d v="2013-03-03T00:00:00"/>
    <s v="017-2220-000"/>
    <s v="Beer Sales"/>
    <n v="168.28659999999999"/>
    <n v="0"/>
    <s v="Daily Sales Import"/>
    <n v="-168.28659999999999"/>
    <n v="168.28659999999999"/>
    <x v="1"/>
    <s v="2220"/>
    <s v="000"/>
    <x v="5"/>
    <x v="2"/>
  </r>
  <r>
    <d v="2013-03-03T00:00:00"/>
    <s v="017-2230-000"/>
    <s v="Wine Sales"/>
    <n v="44.460199999999993"/>
    <n v="0"/>
    <s v="Daily Sales Import"/>
    <n v="-44.460199999999993"/>
    <n v="44.460199999999993"/>
    <x v="1"/>
    <s v="2230"/>
    <s v="000"/>
    <x v="5"/>
    <x v="2"/>
  </r>
  <r>
    <d v="2013-02-25T00:00:00"/>
    <s v="018-2100-000"/>
    <s v="Food Sales"/>
    <n v="3480.0970000000002"/>
    <n v="0"/>
    <s v="Daily Sales Import"/>
    <n v="-3480.0970000000002"/>
    <n v="3480.0970000000002"/>
    <x v="2"/>
    <s v="2100"/>
    <s v="000"/>
    <x v="4"/>
    <x v="2"/>
  </r>
  <r>
    <d v="2013-02-25T00:00:00"/>
    <s v="018-2210-000"/>
    <s v="Liquor Sales"/>
    <n v="324.23840000000001"/>
    <n v="0"/>
    <s v="Daily Sales Import"/>
    <n v="-324.23840000000001"/>
    <n v="324.23840000000001"/>
    <x v="2"/>
    <s v="2210"/>
    <s v="000"/>
    <x v="4"/>
    <x v="2"/>
  </r>
  <r>
    <d v="2013-02-25T00:00:00"/>
    <s v="018-2220-000"/>
    <s v="Beer Sales"/>
    <n v="172.6764"/>
    <n v="0"/>
    <s v="Daily Sales Import"/>
    <n v="-172.6764"/>
    <n v="172.6764"/>
    <x v="2"/>
    <s v="2220"/>
    <s v="000"/>
    <x v="4"/>
    <x v="2"/>
  </r>
  <r>
    <d v="2013-02-25T00:00:00"/>
    <s v="018-2230-000"/>
    <s v="Wine Sales"/>
    <n v="64.0428"/>
    <n v="0"/>
    <s v="Daily Sales Import"/>
    <n v="-64.0428"/>
    <n v="64.0428"/>
    <x v="2"/>
    <s v="2230"/>
    <s v="000"/>
    <x v="4"/>
    <x v="2"/>
  </r>
  <r>
    <d v="2013-02-26T00:00:00"/>
    <s v="018-2100-000"/>
    <s v="Food Sales"/>
    <n v="3125.7252000000003"/>
    <n v="0"/>
    <s v="Daily Sales Import"/>
    <n v="-3125.7252000000003"/>
    <n v="3125.7252000000003"/>
    <x v="2"/>
    <s v="2100"/>
    <s v="000"/>
    <x v="4"/>
    <x v="2"/>
  </r>
  <r>
    <d v="2013-02-26T00:00:00"/>
    <s v="018-2210-000"/>
    <s v="Liquor Sales"/>
    <n v="549.36599999999999"/>
    <n v="0"/>
    <s v="Daily Sales Import"/>
    <n v="-549.36599999999999"/>
    <n v="549.36599999999999"/>
    <x v="2"/>
    <s v="2210"/>
    <s v="000"/>
    <x v="4"/>
    <x v="2"/>
  </r>
  <r>
    <d v="2013-02-26T00:00:00"/>
    <s v="018-2220-000"/>
    <s v="Beer Sales"/>
    <n v="83.188000000000002"/>
    <n v="0"/>
    <s v="Daily Sales Import"/>
    <n v="-83.188000000000002"/>
    <n v="83.188000000000002"/>
    <x v="2"/>
    <s v="2220"/>
    <s v="000"/>
    <x v="4"/>
    <x v="2"/>
  </r>
  <r>
    <d v="2013-02-26T00:00:00"/>
    <s v="018-2230-000"/>
    <s v="Wine Sales"/>
    <n v="7.1208000000000009"/>
    <n v="0"/>
    <s v="Daily Sales Import"/>
    <n v="-7.1208000000000009"/>
    <n v="7.1208000000000009"/>
    <x v="2"/>
    <s v="2230"/>
    <s v="000"/>
    <x v="4"/>
    <x v="2"/>
  </r>
  <r>
    <d v="2013-02-27T00:00:00"/>
    <s v="018-2100-000"/>
    <s v="Food Sales"/>
    <n v="4078.3263999999999"/>
    <n v="0"/>
    <s v="Daily Sales Import"/>
    <n v="-4078.3263999999999"/>
    <n v="4078.3263999999999"/>
    <x v="2"/>
    <s v="2100"/>
    <s v="000"/>
    <x v="4"/>
    <x v="2"/>
  </r>
  <r>
    <d v="2013-02-27T00:00:00"/>
    <s v="018-2210-000"/>
    <s v="Liquor Sales"/>
    <n v="594.33990000000006"/>
    <n v="0"/>
    <s v="Daily Sales Import"/>
    <n v="-594.33990000000006"/>
    <n v="594.33990000000006"/>
    <x v="2"/>
    <s v="2210"/>
    <s v="000"/>
    <x v="4"/>
    <x v="2"/>
  </r>
  <r>
    <d v="2013-02-27T00:00:00"/>
    <s v="018-2220-000"/>
    <s v="Beer Sales"/>
    <n v="150.96199999999999"/>
    <n v="0"/>
    <s v="Daily Sales Import"/>
    <n v="-150.96199999999999"/>
    <n v="150.96199999999999"/>
    <x v="2"/>
    <s v="2220"/>
    <s v="000"/>
    <x v="4"/>
    <x v="2"/>
  </r>
  <r>
    <d v="2013-02-28T00:00:00"/>
    <s v="018-2100-000"/>
    <s v="Food Sales"/>
    <n v="4853.8820000000005"/>
    <n v="0"/>
    <s v="Daily Sales Import"/>
    <n v="-4853.8820000000005"/>
    <n v="4853.8820000000005"/>
    <x v="2"/>
    <s v="2100"/>
    <s v="000"/>
    <x v="4"/>
    <x v="2"/>
  </r>
  <r>
    <d v="2013-02-28T00:00:00"/>
    <s v="018-2210-000"/>
    <s v="Liquor Sales"/>
    <n v="857.3664"/>
    <n v="0"/>
    <s v="Daily Sales Import"/>
    <n v="-857.3664"/>
    <n v="857.3664"/>
    <x v="2"/>
    <s v="2210"/>
    <s v="000"/>
    <x v="4"/>
    <x v="2"/>
  </r>
  <r>
    <d v="2013-02-28T00:00:00"/>
    <s v="018-2220-000"/>
    <s v="Beer Sales"/>
    <n v="166.57760000000002"/>
    <n v="0"/>
    <s v="Daily Sales Import"/>
    <n v="-166.57760000000002"/>
    <n v="166.57760000000002"/>
    <x v="2"/>
    <s v="2220"/>
    <s v="000"/>
    <x v="4"/>
    <x v="2"/>
  </r>
  <r>
    <d v="2013-02-28T00:00:00"/>
    <s v="018-2230-000"/>
    <s v="Wine Sales"/>
    <n v="58.136000000000003"/>
    <n v="0"/>
    <s v="Daily Sales Import"/>
    <n v="-58.136000000000003"/>
    <n v="58.136000000000003"/>
    <x v="2"/>
    <s v="2230"/>
    <s v="000"/>
    <x v="4"/>
    <x v="2"/>
  </r>
  <r>
    <d v="2013-03-01T00:00:00"/>
    <s v="018-2100-000"/>
    <s v="Food Sales"/>
    <n v="7297.798499999999"/>
    <n v="0"/>
    <s v="Daily Sales Import"/>
    <n v="-7297.798499999999"/>
    <n v="7297.798499999999"/>
    <x v="2"/>
    <s v="2100"/>
    <s v="000"/>
    <x v="5"/>
    <x v="2"/>
  </r>
  <r>
    <d v="2013-03-01T00:00:00"/>
    <s v="018-2210-000"/>
    <s v="Liquor Sales"/>
    <n v="1917.5573999999999"/>
    <n v="0"/>
    <s v="Daily Sales Import"/>
    <n v="-1917.5573999999999"/>
    <n v="1917.5573999999999"/>
    <x v="2"/>
    <s v="2210"/>
    <s v="000"/>
    <x v="5"/>
    <x v="2"/>
  </r>
  <r>
    <d v="2013-03-01T00:00:00"/>
    <s v="018-2220-000"/>
    <s v="Beer Sales"/>
    <n v="721.49649999999997"/>
    <n v="0"/>
    <s v="Daily Sales Import"/>
    <n v="-721.49649999999997"/>
    <n v="721.49649999999997"/>
    <x v="2"/>
    <s v="2220"/>
    <s v="000"/>
    <x v="5"/>
    <x v="2"/>
  </r>
  <r>
    <d v="2013-03-01T00:00:00"/>
    <s v="018-2230-000"/>
    <s v="Wine Sales"/>
    <n v="154.03560000000002"/>
    <n v="0"/>
    <s v="Daily Sales Import"/>
    <n v="-154.03560000000002"/>
    <n v="154.03560000000002"/>
    <x v="2"/>
    <s v="2230"/>
    <s v="000"/>
    <x v="5"/>
    <x v="2"/>
  </r>
  <r>
    <d v="2013-03-02T00:00:00"/>
    <s v="018-2100-000"/>
    <s v="Food Sales"/>
    <n v="16838.5448"/>
    <n v="0"/>
    <s v="Daily Sales Import"/>
    <n v="-16838.5448"/>
    <n v="16838.5448"/>
    <x v="2"/>
    <s v="2100"/>
    <s v="000"/>
    <x v="5"/>
    <x v="2"/>
  </r>
  <r>
    <d v="2013-03-02T00:00:00"/>
    <s v="018-2210-000"/>
    <s v="Liquor Sales"/>
    <n v="2593.7308000000003"/>
    <n v="0"/>
    <s v="Daily Sales Import"/>
    <n v="-2593.7308000000003"/>
    <n v="2593.7308000000003"/>
    <x v="2"/>
    <s v="2210"/>
    <s v="000"/>
    <x v="5"/>
    <x v="2"/>
  </r>
  <r>
    <d v="2013-03-02T00:00:00"/>
    <s v="018-2220-000"/>
    <s v="Beer Sales"/>
    <n v="800.50400000000002"/>
    <n v="0"/>
    <s v="Daily Sales Import"/>
    <n v="-800.50400000000002"/>
    <n v="800.50400000000002"/>
    <x v="2"/>
    <s v="2220"/>
    <s v="000"/>
    <x v="5"/>
    <x v="2"/>
  </r>
  <r>
    <d v="2013-03-02T00:00:00"/>
    <s v="018-2230-000"/>
    <s v="Wine Sales"/>
    <n v="142.88029999999998"/>
    <n v="0"/>
    <s v="Daily Sales Import"/>
    <n v="-142.88029999999998"/>
    <n v="142.88029999999998"/>
    <x v="2"/>
    <s v="2230"/>
    <s v="000"/>
    <x v="5"/>
    <x v="2"/>
  </r>
  <r>
    <d v="2013-03-03T00:00:00"/>
    <s v="018-2100-000"/>
    <s v="Food Sales"/>
    <n v="12406.919"/>
    <n v="0"/>
    <s v="Daily Sales Import"/>
    <n v="-12406.919"/>
    <n v="12406.919"/>
    <x v="2"/>
    <s v="2100"/>
    <s v="000"/>
    <x v="5"/>
    <x v="2"/>
  </r>
  <r>
    <d v="2013-03-03T00:00:00"/>
    <s v="018-2210-000"/>
    <s v="Liquor Sales"/>
    <n v="1680"/>
    <n v="0"/>
    <s v="Daily Sales Import"/>
    <n v="-1680"/>
    <n v="1680"/>
    <x v="2"/>
    <s v="2210"/>
    <s v="000"/>
    <x v="5"/>
    <x v="2"/>
  </r>
  <r>
    <d v="2013-03-03T00:00:00"/>
    <s v="018-2220-000"/>
    <s v="Beer Sales"/>
    <n v="400.96800000000002"/>
    <n v="0"/>
    <s v="Daily Sales Import"/>
    <n v="-400.96800000000002"/>
    <n v="400.96800000000002"/>
    <x v="2"/>
    <s v="2220"/>
    <s v="000"/>
    <x v="5"/>
    <x v="2"/>
  </r>
  <r>
    <d v="2013-03-03T00:00:00"/>
    <s v="018-2230-000"/>
    <s v="Wine Sales"/>
    <n v="38.641500000000001"/>
    <n v="0"/>
    <s v="Daily Sales Import"/>
    <n v="-38.641500000000001"/>
    <n v="38.641500000000001"/>
    <x v="2"/>
    <s v="2230"/>
    <s v="000"/>
    <x v="5"/>
    <x v="2"/>
  </r>
  <r>
    <d v="2013-03-04T00:00:00"/>
    <s v="016-2100-000"/>
    <s v="Food Sales"/>
    <n v="3761.9754000000003"/>
    <n v="0"/>
    <s v="Daily Sales Import"/>
    <n v="-3761.9754000000003"/>
    <n v="3761.9754000000003"/>
    <x v="0"/>
    <s v="2100"/>
    <s v="000"/>
    <x v="5"/>
    <x v="2"/>
  </r>
  <r>
    <d v="2013-03-04T00:00:00"/>
    <s v="016-2210-000"/>
    <s v="Liquor Sales"/>
    <n v="1058.5564999999999"/>
    <n v="0"/>
    <s v="Daily Sales Import"/>
    <n v="-1058.5564999999999"/>
    <n v="1058.5564999999999"/>
    <x v="0"/>
    <s v="2210"/>
    <s v="000"/>
    <x v="5"/>
    <x v="2"/>
  </r>
  <r>
    <d v="2013-03-04T00:00:00"/>
    <s v="016-2220-000"/>
    <s v="Beer Sales"/>
    <n v="90.740999999999985"/>
    <n v="0"/>
    <s v="Daily Sales Import"/>
    <n v="-90.740999999999985"/>
    <n v="90.740999999999985"/>
    <x v="0"/>
    <s v="2220"/>
    <s v="000"/>
    <x v="5"/>
    <x v="2"/>
  </r>
  <r>
    <d v="2013-03-04T00:00:00"/>
    <s v="016-2230-000"/>
    <s v="Wine Sales"/>
    <n v="91.245000000000005"/>
    <n v="0"/>
    <s v="Daily Sales Import"/>
    <n v="-91.245000000000005"/>
    <n v="91.245000000000005"/>
    <x v="0"/>
    <s v="2230"/>
    <s v="000"/>
    <x v="5"/>
    <x v="2"/>
  </r>
  <r>
    <d v="2013-03-05T00:00:00"/>
    <s v="016-2100-000"/>
    <s v="Food Sales"/>
    <n v="7241.4395999999997"/>
    <n v="0"/>
    <s v="Daily Sales Import"/>
    <n v="-7241.4395999999997"/>
    <n v="7241.4395999999997"/>
    <x v="0"/>
    <s v="2100"/>
    <s v="000"/>
    <x v="5"/>
    <x v="2"/>
  </r>
  <r>
    <d v="2013-03-05T00:00:00"/>
    <s v="016-2210-000"/>
    <s v="Liquor Sales"/>
    <n v="1845.7745999999997"/>
    <n v="0"/>
    <s v="Daily Sales Import"/>
    <n v="-1845.7745999999997"/>
    <n v="1845.7745999999997"/>
    <x v="0"/>
    <s v="2210"/>
    <s v="000"/>
    <x v="5"/>
    <x v="2"/>
  </r>
  <r>
    <d v="2013-03-05T00:00:00"/>
    <s v="016-2220-000"/>
    <s v="Beer Sales"/>
    <n v="883.44960000000003"/>
    <n v="0"/>
    <s v="Daily Sales Import"/>
    <n v="-883.44960000000003"/>
    <n v="883.44960000000003"/>
    <x v="0"/>
    <s v="2220"/>
    <s v="000"/>
    <x v="5"/>
    <x v="2"/>
  </r>
  <r>
    <d v="2013-03-05T00:00:00"/>
    <s v="016-2230-000"/>
    <s v="Wine Sales"/>
    <n v="151.1994"/>
    <n v="0"/>
    <s v="Daily Sales Import"/>
    <n v="-151.1994"/>
    <n v="151.1994"/>
    <x v="0"/>
    <s v="2230"/>
    <s v="000"/>
    <x v="5"/>
    <x v="2"/>
  </r>
  <r>
    <d v="2013-03-06T00:00:00"/>
    <s v="016-2100-000"/>
    <s v="Food Sales"/>
    <n v="3202.4304000000002"/>
    <n v="0"/>
    <s v="Daily Sales Import"/>
    <n v="-3202.4304000000002"/>
    <n v="3202.4304000000002"/>
    <x v="0"/>
    <s v="2100"/>
    <s v="000"/>
    <x v="5"/>
    <x v="2"/>
  </r>
  <r>
    <d v="2013-03-06T00:00:00"/>
    <s v="016-2210-000"/>
    <s v="Liquor Sales"/>
    <n v="745.40800000000002"/>
    <n v="0"/>
    <s v="Daily Sales Import"/>
    <n v="-745.40800000000002"/>
    <n v="745.40800000000002"/>
    <x v="0"/>
    <s v="2210"/>
    <s v="000"/>
    <x v="5"/>
    <x v="2"/>
  </r>
  <r>
    <d v="2013-03-06T00:00:00"/>
    <s v="016-2220-000"/>
    <s v="Beer Sales"/>
    <n v="108.49299999999999"/>
    <n v="0"/>
    <s v="Daily Sales Import"/>
    <n v="-108.49299999999999"/>
    <n v="108.49299999999999"/>
    <x v="0"/>
    <s v="2220"/>
    <s v="000"/>
    <x v="5"/>
    <x v="2"/>
  </r>
  <r>
    <d v="2013-03-06T00:00:00"/>
    <s v="016-2230-000"/>
    <s v="Wine Sales"/>
    <n v="106.6656"/>
    <n v="0"/>
    <s v="Daily Sales Import"/>
    <n v="-106.6656"/>
    <n v="106.6656"/>
    <x v="0"/>
    <s v="2230"/>
    <s v="000"/>
    <x v="5"/>
    <x v="2"/>
  </r>
  <r>
    <d v="2013-03-07T00:00:00"/>
    <s v="016-2100-000"/>
    <s v="Food Sales"/>
    <n v="5136.1032000000005"/>
    <n v="0"/>
    <s v="Daily Sales Import"/>
    <n v="-5136.1032000000005"/>
    <n v="5136.1032000000005"/>
    <x v="0"/>
    <s v="2100"/>
    <s v="000"/>
    <x v="5"/>
    <x v="2"/>
  </r>
  <r>
    <d v="2013-03-07T00:00:00"/>
    <s v="016-2210-000"/>
    <s v="Liquor Sales"/>
    <n v="1245.0239999999999"/>
    <n v="0"/>
    <s v="Daily Sales Import"/>
    <n v="-1245.0239999999999"/>
    <n v="1245.0239999999999"/>
    <x v="0"/>
    <s v="2210"/>
    <s v="000"/>
    <x v="5"/>
    <x v="2"/>
  </r>
  <r>
    <d v="2013-03-07T00:00:00"/>
    <s v="016-2220-000"/>
    <s v="Beer Sales"/>
    <n v="298.93799999999999"/>
    <n v="0"/>
    <s v="Daily Sales Import"/>
    <n v="-298.93799999999999"/>
    <n v="298.93799999999999"/>
    <x v="0"/>
    <s v="2220"/>
    <s v="000"/>
    <x v="5"/>
    <x v="2"/>
  </r>
  <r>
    <d v="2013-03-07T00:00:00"/>
    <s v="016-2230-000"/>
    <s v="Wine Sales"/>
    <n v="217.72800000000001"/>
    <n v="0"/>
    <s v="Daily Sales Import"/>
    <n v="-217.72800000000001"/>
    <n v="217.72800000000001"/>
    <x v="0"/>
    <s v="2230"/>
    <s v="000"/>
    <x v="5"/>
    <x v="2"/>
  </r>
  <r>
    <d v="2013-03-08T00:00:00"/>
    <s v="016-2100-000"/>
    <s v="Food Sales"/>
    <n v="8687.4120000000003"/>
    <n v="0"/>
    <s v="Daily Sales Import"/>
    <n v="-8687.4120000000003"/>
    <n v="8687.4120000000003"/>
    <x v="0"/>
    <s v="2100"/>
    <s v="000"/>
    <x v="5"/>
    <x v="2"/>
  </r>
  <r>
    <d v="2013-03-08T00:00:00"/>
    <s v="016-2210-000"/>
    <s v="Liquor Sales"/>
    <n v="2247.4407999999999"/>
    <n v="0"/>
    <s v="Daily Sales Import"/>
    <n v="-2247.4407999999999"/>
    <n v="2247.4407999999999"/>
    <x v="0"/>
    <s v="2210"/>
    <s v="000"/>
    <x v="5"/>
    <x v="2"/>
  </r>
  <r>
    <d v="2013-03-08T00:00:00"/>
    <s v="016-2220-000"/>
    <s v="Beer Sales"/>
    <n v="299.62240000000003"/>
    <n v="0"/>
    <s v="Daily Sales Import"/>
    <n v="-299.62240000000003"/>
    <n v="299.62240000000003"/>
    <x v="0"/>
    <s v="2220"/>
    <s v="000"/>
    <x v="5"/>
    <x v="2"/>
  </r>
  <r>
    <d v="2013-03-08T00:00:00"/>
    <s v="016-2230-000"/>
    <s v="Wine Sales"/>
    <n v="416.214"/>
    <n v="0"/>
    <s v="Daily Sales Import"/>
    <n v="-416.214"/>
    <n v="416.214"/>
    <x v="0"/>
    <s v="2230"/>
    <s v="000"/>
    <x v="5"/>
    <x v="2"/>
  </r>
  <r>
    <d v="2013-03-09T00:00:00"/>
    <s v="016-2100-000"/>
    <s v="Food Sales"/>
    <n v="8518.2559000000001"/>
    <n v="0"/>
    <s v="Daily Sales Import"/>
    <n v="-8518.2559000000001"/>
    <n v="8518.2559000000001"/>
    <x v="0"/>
    <s v="2100"/>
    <s v="000"/>
    <x v="5"/>
    <x v="2"/>
  </r>
  <r>
    <d v="2013-03-09T00:00:00"/>
    <s v="016-2210-000"/>
    <s v="Liquor Sales"/>
    <n v="2121.4570000000003"/>
    <n v="0"/>
    <s v="Daily Sales Import"/>
    <n v="-2121.4570000000003"/>
    <n v="2121.4570000000003"/>
    <x v="0"/>
    <s v="2210"/>
    <s v="000"/>
    <x v="5"/>
    <x v="2"/>
  </r>
  <r>
    <d v="2013-03-09T00:00:00"/>
    <s v="016-2220-000"/>
    <s v="Beer Sales"/>
    <n v="250.51400000000004"/>
    <n v="0"/>
    <s v="Daily Sales Import"/>
    <n v="-250.51400000000004"/>
    <n v="250.51400000000004"/>
    <x v="0"/>
    <s v="2220"/>
    <s v="000"/>
    <x v="5"/>
    <x v="2"/>
  </r>
  <r>
    <d v="2013-03-09T00:00:00"/>
    <s v="016-2230-000"/>
    <s v="Wine Sales"/>
    <n v="245.36820000000003"/>
    <n v="0"/>
    <s v="Daily Sales Import"/>
    <n v="-245.36820000000003"/>
    <n v="245.36820000000003"/>
    <x v="0"/>
    <s v="2230"/>
    <s v="000"/>
    <x v="5"/>
    <x v="2"/>
  </r>
  <r>
    <d v="2013-03-10T00:00:00"/>
    <s v="016-2100-000"/>
    <s v="Food Sales"/>
    <n v="5160.4336000000003"/>
    <n v="0"/>
    <s v="Daily Sales Import"/>
    <n v="-5160.4336000000003"/>
    <n v="5160.4336000000003"/>
    <x v="0"/>
    <s v="2100"/>
    <s v="000"/>
    <x v="5"/>
    <x v="2"/>
  </r>
  <r>
    <d v="2013-03-10T00:00:00"/>
    <s v="016-2210-000"/>
    <s v="Liquor Sales"/>
    <n v="1225.8746000000001"/>
    <n v="0"/>
    <s v="Daily Sales Import"/>
    <n v="-1225.8746000000001"/>
    <n v="1225.8746000000001"/>
    <x v="0"/>
    <s v="2210"/>
    <s v="000"/>
    <x v="5"/>
    <x v="2"/>
  </r>
  <r>
    <d v="2013-03-10T00:00:00"/>
    <s v="016-2220-000"/>
    <s v="Beer Sales"/>
    <n v="249.10709999999997"/>
    <n v="0"/>
    <s v="Daily Sales Import"/>
    <n v="-249.10709999999997"/>
    <n v="249.10709999999997"/>
    <x v="0"/>
    <s v="2220"/>
    <s v="000"/>
    <x v="5"/>
    <x v="2"/>
  </r>
  <r>
    <d v="2013-03-10T00:00:00"/>
    <s v="016-2230-000"/>
    <s v="Wine Sales"/>
    <n v="123.08579999999999"/>
    <n v="0"/>
    <s v="Daily Sales Import"/>
    <n v="-123.08579999999999"/>
    <n v="123.08579999999999"/>
    <x v="0"/>
    <s v="2230"/>
    <s v="000"/>
    <x v="5"/>
    <x v="2"/>
  </r>
  <r>
    <d v="2013-03-04T00:00:00"/>
    <s v="017-2100-000"/>
    <s v="Food Sales"/>
    <n v="3952.2968999999998"/>
    <n v="0"/>
    <s v="Daily Sales Import"/>
    <n v="-3952.2968999999998"/>
    <n v="3952.2968999999998"/>
    <x v="1"/>
    <s v="2100"/>
    <s v="000"/>
    <x v="5"/>
    <x v="2"/>
  </r>
  <r>
    <d v="2013-03-04T00:00:00"/>
    <s v="017-2210-000"/>
    <s v="Liquor Sales"/>
    <n v="946.38259999999991"/>
    <n v="0"/>
    <s v="Daily Sales Import"/>
    <n v="-946.38259999999991"/>
    <n v="946.38259999999991"/>
    <x v="1"/>
    <s v="2210"/>
    <s v="000"/>
    <x v="5"/>
    <x v="2"/>
  </r>
  <r>
    <d v="2013-03-04T00:00:00"/>
    <s v="017-2220-000"/>
    <s v="Beer Sales"/>
    <n v="163.965"/>
    <n v="0"/>
    <s v="Daily Sales Import"/>
    <n v="-163.965"/>
    <n v="163.965"/>
    <x v="1"/>
    <s v="2220"/>
    <s v="000"/>
    <x v="5"/>
    <x v="2"/>
  </r>
  <r>
    <d v="2013-03-04T00:00:00"/>
    <s v="017-2230-000"/>
    <s v="Wine Sales"/>
    <n v="13.4232"/>
    <n v="0"/>
    <s v="Daily Sales Import"/>
    <n v="-13.4232"/>
    <n v="13.4232"/>
    <x v="1"/>
    <s v="2230"/>
    <s v="000"/>
    <x v="5"/>
    <x v="2"/>
  </r>
  <r>
    <d v="2013-03-05T00:00:00"/>
    <s v="017-2100-000"/>
    <s v="Food Sales"/>
    <n v="5311.5021999999999"/>
    <n v="0"/>
    <s v="Daily Sales Import"/>
    <n v="-5311.5021999999999"/>
    <n v="5311.5021999999999"/>
    <x v="1"/>
    <s v="2100"/>
    <s v="000"/>
    <x v="5"/>
    <x v="2"/>
  </r>
  <r>
    <d v="2013-03-05T00:00:00"/>
    <s v="017-2210-000"/>
    <s v="Liquor Sales"/>
    <n v="1084.8388"/>
    <n v="0"/>
    <s v="Daily Sales Import"/>
    <n v="-1084.8388"/>
    <n v="1084.8388"/>
    <x v="1"/>
    <s v="2210"/>
    <s v="000"/>
    <x v="5"/>
    <x v="2"/>
  </r>
  <r>
    <d v="2013-03-05T00:00:00"/>
    <s v="017-2220-000"/>
    <s v="Beer Sales"/>
    <n v="299.75760000000002"/>
    <n v="0"/>
    <s v="Daily Sales Import"/>
    <n v="-299.75760000000002"/>
    <n v="299.75760000000002"/>
    <x v="1"/>
    <s v="2220"/>
    <s v="000"/>
    <x v="5"/>
    <x v="2"/>
  </r>
  <r>
    <d v="2013-03-05T00:00:00"/>
    <s v="017-2230-000"/>
    <s v="Wine Sales"/>
    <n v="51.529500000000006"/>
    <n v="0"/>
    <s v="Daily Sales Import"/>
    <n v="-51.529500000000006"/>
    <n v="51.529500000000006"/>
    <x v="1"/>
    <s v="2230"/>
    <s v="000"/>
    <x v="5"/>
    <x v="2"/>
  </r>
  <r>
    <d v="2013-03-06T00:00:00"/>
    <s v="017-2100-000"/>
    <s v="Food Sales"/>
    <n v="4795.6986000000006"/>
    <n v="0"/>
    <s v="Daily Sales Import"/>
    <n v="-4795.6986000000006"/>
    <n v="4795.6986000000006"/>
    <x v="1"/>
    <s v="2100"/>
    <s v="000"/>
    <x v="5"/>
    <x v="2"/>
  </r>
  <r>
    <d v="2013-03-06T00:00:00"/>
    <s v="017-2210-000"/>
    <s v="Liquor Sales"/>
    <n v="1164.4932000000001"/>
    <n v="0"/>
    <s v="Daily Sales Import"/>
    <n v="-1164.4932000000001"/>
    <n v="1164.4932000000001"/>
    <x v="1"/>
    <s v="2210"/>
    <s v="000"/>
    <x v="5"/>
    <x v="2"/>
  </r>
  <r>
    <d v="2013-03-06T00:00:00"/>
    <s v="017-2220-000"/>
    <s v="Beer Sales"/>
    <n v="301.40880000000004"/>
    <n v="0"/>
    <s v="Daily Sales Import"/>
    <n v="-301.40880000000004"/>
    <n v="301.40880000000004"/>
    <x v="1"/>
    <s v="2220"/>
    <s v="000"/>
    <x v="5"/>
    <x v="2"/>
  </r>
  <r>
    <d v="2013-03-06T00:00:00"/>
    <s v="017-2230-000"/>
    <s v="Wine Sales"/>
    <n v="87.121999999999986"/>
    <n v="0"/>
    <s v="Daily Sales Import"/>
    <n v="-87.121999999999986"/>
    <n v="87.121999999999986"/>
    <x v="1"/>
    <s v="2230"/>
    <s v="000"/>
    <x v="5"/>
    <x v="2"/>
  </r>
  <r>
    <d v="2013-03-07T00:00:00"/>
    <s v="017-2100-000"/>
    <s v="Food Sales"/>
    <n v="4175.22"/>
    <n v="0"/>
    <s v="Daily Sales Import"/>
    <n v="-4175.22"/>
    <n v="4175.22"/>
    <x v="1"/>
    <s v="2100"/>
    <s v="000"/>
    <x v="5"/>
    <x v="2"/>
  </r>
  <r>
    <d v="2013-03-07T00:00:00"/>
    <s v="017-2210-000"/>
    <s v="Liquor Sales"/>
    <n v="1236.5584000000001"/>
    <n v="0"/>
    <s v="Daily Sales Import"/>
    <n v="-1236.5584000000001"/>
    <n v="1236.5584000000001"/>
    <x v="1"/>
    <s v="2210"/>
    <s v="000"/>
    <x v="5"/>
    <x v="2"/>
  </r>
  <r>
    <d v="2013-03-07T00:00:00"/>
    <s v="017-2220-000"/>
    <s v="Beer Sales"/>
    <n v="465.35999999999996"/>
    <n v="0"/>
    <s v="Daily Sales Import"/>
    <n v="-465.35999999999996"/>
    <n v="465.35999999999996"/>
    <x v="1"/>
    <s v="2220"/>
    <s v="000"/>
    <x v="5"/>
    <x v="2"/>
  </r>
  <r>
    <d v="2013-03-07T00:00:00"/>
    <s v="017-2230-000"/>
    <s v="Wine Sales"/>
    <n v="119.92330000000001"/>
    <n v="0"/>
    <s v="Daily Sales Import"/>
    <n v="-119.92330000000001"/>
    <n v="119.92330000000001"/>
    <x v="1"/>
    <s v="2230"/>
    <s v="000"/>
    <x v="5"/>
    <x v="2"/>
  </r>
  <r>
    <d v="2013-03-08T00:00:00"/>
    <s v="017-2100-000"/>
    <s v="Food Sales"/>
    <n v="8202.9791999999998"/>
    <n v="0"/>
    <s v="Daily Sales Import"/>
    <n v="-8202.9791999999998"/>
    <n v="8202.9791999999998"/>
    <x v="1"/>
    <s v="2100"/>
    <s v="000"/>
    <x v="5"/>
    <x v="2"/>
  </r>
  <r>
    <d v="2013-03-08T00:00:00"/>
    <s v="017-2210-000"/>
    <s v="Liquor Sales"/>
    <n v="2834.9189999999999"/>
    <n v="0"/>
    <s v="Daily Sales Import"/>
    <n v="-2834.9189999999999"/>
    <n v="2834.9189999999999"/>
    <x v="1"/>
    <s v="2210"/>
    <s v="000"/>
    <x v="5"/>
    <x v="2"/>
  </r>
  <r>
    <d v="2013-03-08T00:00:00"/>
    <s v="017-2220-000"/>
    <s v="Beer Sales"/>
    <n v="427.3974"/>
    <n v="0"/>
    <s v="Daily Sales Import"/>
    <n v="-427.3974"/>
    <n v="427.3974"/>
    <x v="1"/>
    <s v="2220"/>
    <s v="000"/>
    <x v="5"/>
    <x v="2"/>
  </r>
  <r>
    <d v="2013-03-08T00:00:00"/>
    <s v="017-2230-000"/>
    <s v="Wine Sales"/>
    <n v="84.677999999999997"/>
    <n v="0"/>
    <s v="Daily Sales Import"/>
    <n v="-84.677999999999997"/>
    <n v="84.677999999999997"/>
    <x v="1"/>
    <s v="2230"/>
    <s v="000"/>
    <x v="5"/>
    <x v="2"/>
  </r>
  <r>
    <d v="2013-03-09T00:00:00"/>
    <s v="017-2100-000"/>
    <s v="Food Sales"/>
    <n v="5975.0824000000011"/>
    <n v="0"/>
    <s v="Daily Sales Import"/>
    <n v="-5975.0824000000011"/>
    <n v="5975.0824000000011"/>
    <x v="1"/>
    <s v="2100"/>
    <s v="000"/>
    <x v="5"/>
    <x v="2"/>
  </r>
  <r>
    <d v="2013-03-09T00:00:00"/>
    <s v="017-2210-000"/>
    <s v="Liquor Sales"/>
    <n v="1590.5670000000002"/>
    <n v="0"/>
    <s v="Daily Sales Import"/>
    <n v="-1590.5670000000002"/>
    <n v="1590.5670000000002"/>
    <x v="1"/>
    <s v="2210"/>
    <s v="000"/>
    <x v="5"/>
    <x v="2"/>
  </r>
  <r>
    <d v="2013-03-09T00:00:00"/>
    <s v="017-2220-000"/>
    <s v="Beer Sales"/>
    <n v="445.08750000000003"/>
    <n v="0"/>
    <s v="Daily Sales Import"/>
    <n v="-445.08750000000003"/>
    <n v="445.08750000000003"/>
    <x v="1"/>
    <s v="2220"/>
    <s v="000"/>
    <x v="5"/>
    <x v="2"/>
  </r>
  <r>
    <d v="2013-03-09T00:00:00"/>
    <s v="017-2230-000"/>
    <s v="Wine Sales"/>
    <n v="124.47819999999999"/>
    <n v="0"/>
    <s v="Daily Sales Import"/>
    <n v="-124.47819999999999"/>
    <n v="124.47819999999999"/>
    <x v="1"/>
    <s v="2230"/>
    <s v="000"/>
    <x v="5"/>
    <x v="2"/>
  </r>
  <r>
    <d v="2013-03-10T00:00:00"/>
    <s v="017-2100-000"/>
    <s v="Food Sales"/>
    <n v="6941.3526000000002"/>
    <n v="0"/>
    <s v="Daily Sales Import"/>
    <n v="-6941.3526000000002"/>
    <n v="6941.3526000000002"/>
    <x v="1"/>
    <s v="2100"/>
    <s v="000"/>
    <x v="5"/>
    <x v="2"/>
  </r>
  <r>
    <d v="2013-03-10T00:00:00"/>
    <s v="017-2210-000"/>
    <s v="Liquor Sales"/>
    <n v="716.30900000000008"/>
    <n v="0"/>
    <s v="Daily Sales Import"/>
    <n v="-716.30900000000008"/>
    <n v="716.30900000000008"/>
    <x v="1"/>
    <s v="2210"/>
    <s v="000"/>
    <x v="5"/>
    <x v="2"/>
  </r>
  <r>
    <d v="2013-03-10T00:00:00"/>
    <s v="017-2220-000"/>
    <s v="Beer Sales"/>
    <n v="227.77689999999998"/>
    <n v="0"/>
    <s v="Daily Sales Import"/>
    <n v="-227.77689999999998"/>
    <n v="227.77689999999998"/>
    <x v="1"/>
    <s v="2220"/>
    <s v="000"/>
    <x v="5"/>
    <x v="2"/>
  </r>
  <r>
    <d v="2013-03-10T00:00:00"/>
    <s v="017-2230-000"/>
    <s v="Wine Sales"/>
    <n v="45.656800000000004"/>
    <n v="0"/>
    <s v="Daily Sales Import"/>
    <n v="-45.656800000000004"/>
    <n v="45.656800000000004"/>
    <x v="1"/>
    <s v="2230"/>
    <s v="000"/>
    <x v="5"/>
    <x v="2"/>
  </r>
  <r>
    <d v="2013-03-04T00:00:00"/>
    <s v="018-2100-000"/>
    <s v="Food Sales"/>
    <n v="4358.6868000000004"/>
    <n v="0"/>
    <s v="Daily Sales Import"/>
    <n v="-4358.6868000000004"/>
    <n v="4358.6868000000004"/>
    <x v="2"/>
    <s v="2100"/>
    <s v="000"/>
    <x v="5"/>
    <x v="2"/>
  </r>
  <r>
    <d v="2013-03-04T00:00:00"/>
    <s v="018-2210-000"/>
    <s v="Liquor Sales"/>
    <n v="352.14480000000003"/>
    <n v="0"/>
    <s v="Daily Sales Import"/>
    <n v="-352.14480000000003"/>
    <n v="352.14480000000003"/>
    <x v="2"/>
    <s v="2210"/>
    <s v="000"/>
    <x v="5"/>
    <x v="2"/>
  </r>
  <r>
    <d v="2013-03-04T00:00:00"/>
    <s v="018-2220-000"/>
    <s v="Beer Sales"/>
    <n v="79.632000000000005"/>
    <n v="0"/>
    <s v="Daily Sales Import"/>
    <n v="-79.632000000000005"/>
    <n v="79.632000000000005"/>
    <x v="2"/>
    <s v="2220"/>
    <s v="000"/>
    <x v="5"/>
    <x v="2"/>
  </r>
  <r>
    <d v="2013-03-04T00:00:00"/>
    <s v="018-2230-000"/>
    <s v="Wine Sales"/>
    <n v="65.0244"/>
    <n v="0"/>
    <s v="Daily Sales Import"/>
    <n v="-65.0244"/>
    <n v="65.0244"/>
    <x v="2"/>
    <s v="2230"/>
    <s v="000"/>
    <x v="5"/>
    <x v="2"/>
  </r>
  <r>
    <d v="2013-03-05T00:00:00"/>
    <s v="018-2100-000"/>
    <s v="Food Sales"/>
    <n v="5036.8242"/>
    <n v="0"/>
    <s v="Daily Sales Import"/>
    <n v="-5036.8242"/>
    <n v="5036.8242"/>
    <x v="2"/>
    <s v="2100"/>
    <s v="000"/>
    <x v="5"/>
    <x v="2"/>
  </r>
  <r>
    <d v="2013-03-05T00:00:00"/>
    <s v="018-2210-000"/>
    <s v="Liquor Sales"/>
    <n v="616.58209999999997"/>
    <n v="0"/>
    <s v="Daily Sales Import"/>
    <n v="-616.58209999999997"/>
    <n v="616.58209999999997"/>
    <x v="2"/>
    <s v="2210"/>
    <s v="000"/>
    <x v="5"/>
    <x v="2"/>
  </r>
  <r>
    <d v="2013-03-05T00:00:00"/>
    <s v="018-2220-000"/>
    <s v="Beer Sales"/>
    <n v="237.04890000000003"/>
    <n v="0"/>
    <s v="Daily Sales Import"/>
    <n v="-237.04890000000003"/>
    <n v="237.04890000000003"/>
    <x v="2"/>
    <s v="2220"/>
    <s v="000"/>
    <x v="5"/>
    <x v="2"/>
  </r>
  <r>
    <d v="2013-03-05T00:00:00"/>
    <s v="018-2230-000"/>
    <s v="Wine Sales"/>
    <n v="29.729699999999998"/>
    <n v="0"/>
    <s v="Daily Sales Import"/>
    <n v="-29.729699999999998"/>
    <n v="29.729699999999998"/>
    <x v="2"/>
    <s v="2230"/>
    <s v="000"/>
    <x v="5"/>
    <x v="2"/>
  </r>
  <r>
    <d v="2013-03-06T00:00:00"/>
    <s v="018-2100-000"/>
    <s v="Food Sales"/>
    <n v="4679.2514000000001"/>
    <n v="0"/>
    <s v="Daily Sales Import"/>
    <n v="-4679.2514000000001"/>
    <n v="4679.2514000000001"/>
    <x v="2"/>
    <s v="2100"/>
    <s v="000"/>
    <x v="5"/>
    <x v="2"/>
  </r>
  <r>
    <d v="2013-03-06T00:00:00"/>
    <s v="018-2210-000"/>
    <s v="Liquor Sales"/>
    <n v="1290.0463"/>
    <n v="0"/>
    <s v="Daily Sales Import"/>
    <n v="-1290.0463"/>
    <n v="1290.0463"/>
    <x v="2"/>
    <s v="2210"/>
    <s v="000"/>
    <x v="5"/>
    <x v="2"/>
  </r>
  <r>
    <d v="2013-03-06T00:00:00"/>
    <s v="018-2220-000"/>
    <s v="Beer Sales"/>
    <n v="371.71680000000003"/>
    <n v="0"/>
    <s v="Daily Sales Import"/>
    <n v="-371.71680000000003"/>
    <n v="371.71680000000003"/>
    <x v="2"/>
    <s v="2220"/>
    <s v="000"/>
    <x v="5"/>
    <x v="2"/>
  </r>
  <r>
    <d v="2013-03-06T00:00:00"/>
    <s v="018-2230-000"/>
    <s v="Wine Sales"/>
    <n v="80.016599999999997"/>
    <n v="0"/>
    <s v="Daily Sales Import"/>
    <n v="-80.016599999999997"/>
    <n v="80.016599999999997"/>
    <x v="2"/>
    <s v="2230"/>
    <s v="000"/>
    <x v="5"/>
    <x v="2"/>
  </r>
  <r>
    <d v="2013-03-07T00:00:00"/>
    <s v="018-2100-000"/>
    <s v="Food Sales"/>
    <n v="3149.7424000000001"/>
    <n v="0"/>
    <s v="Daily Sales Import"/>
    <n v="-3149.7424000000001"/>
    <n v="3149.7424000000001"/>
    <x v="2"/>
    <s v="2100"/>
    <s v="000"/>
    <x v="5"/>
    <x v="2"/>
  </r>
  <r>
    <d v="2013-03-07T00:00:00"/>
    <s v="018-2210-000"/>
    <s v="Liquor Sales"/>
    <n v="1031.4624999999999"/>
    <n v="0"/>
    <s v="Daily Sales Import"/>
    <n v="-1031.4624999999999"/>
    <n v="1031.4624999999999"/>
    <x v="2"/>
    <s v="2210"/>
    <s v="000"/>
    <x v="5"/>
    <x v="2"/>
  </r>
  <r>
    <d v="2013-03-07T00:00:00"/>
    <s v="018-2220-000"/>
    <s v="Beer Sales"/>
    <n v="198.08250000000001"/>
    <n v="0"/>
    <s v="Daily Sales Import"/>
    <n v="-198.08250000000001"/>
    <n v="198.08250000000001"/>
    <x v="2"/>
    <s v="2220"/>
    <s v="000"/>
    <x v="5"/>
    <x v="2"/>
  </r>
  <r>
    <d v="2013-03-07T00:00:00"/>
    <s v="018-2230-000"/>
    <s v="Wine Sales"/>
    <n v="13.999700000000001"/>
    <n v="0"/>
    <s v="Daily Sales Import"/>
    <n v="-13.999700000000001"/>
    <n v="13.999700000000001"/>
    <x v="2"/>
    <s v="2230"/>
    <s v="000"/>
    <x v="5"/>
    <x v="2"/>
  </r>
  <r>
    <d v="2013-03-08T00:00:00"/>
    <s v="018-2100-000"/>
    <s v="Food Sales"/>
    <n v="11495.2747"/>
    <n v="0"/>
    <s v="Daily Sales Import"/>
    <n v="-11495.2747"/>
    <n v="11495.2747"/>
    <x v="2"/>
    <s v="2100"/>
    <s v="000"/>
    <x v="5"/>
    <x v="2"/>
  </r>
  <r>
    <d v="2013-03-08T00:00:00"/>
    <s v="018-2210-000"/>
    <s v="Liquor Sales"/>
    <n v="3552.5442000000003"/>
    <n v="0"/>
    <s v="Daily Sales Import"/>
    <n v="-3552.5442000000003"/>
    <n v="3552.5442000000003"/>
    <x v="2"/>
    <s v="2210"/>
    <s v="000"/>
    <x v="5"/>
    <x v="2"/>
  </r>
  <r>
    <d v="2013-03-08T00:00:00"/>
    <s v="018-2220-000"/>
    <s v="Beer Sales"/>
    <n v="554.38280000000009"/>
    <n v="0"/>
    <s v="Daily Sales Import"/>
    <n v="-554.38280000000009"/>
    <n v="554.38280000000009"/>
    <x v="2"/>
    <s v="2220"/>
    <s v="000"/>
    <x v="5"/>
    <x v="2"/>
  </r>
  <r>
    <d v="2013-03-08T00:00:00"/>
    <s v="018-2230-000"/>
    <s v="Wine Sales"/>
    <n v="147.54040000000001"/>
    <n v="0"/>
    <s v="Daily Sales Import"/>
    <n v="-147.54040000000001"/>
    <n v="147.54040000000001"/>
    <x v="2"/>
    <s v="2230"/>
    <s v="000"/>
    <x v="5"/>
    <x v="2"/>
  </r>
  <r>
    <d v="2013-03-09T00:00:00"/>
    <s v="018-2100-000"/>
    <s v="Food Sales"/>
    <n v="16654.450499999999"/>
    <n v="0"/>
    <s v="Daily Sales Import"/>
    <n v="-16654.450499999999"/>
    <n v="16654.450499999999"/>
    <x v="2"/>
    <s v="2100"/>
    <s v="000"/>
    <x v="5"/>
    <x v="2"/>
  </r>
  <r>
    <d v="2013-03-09T00:00:00"/>
    <s v="018-2210-000"/>
    <s v="Liquor Sales"/>
    <n v="3298.0041000000001"/>
    <n v="0"/>
    <s v="Daily Sales Import"/>
    <n v="-3298.0041000000001"/>
    <n v="3298.0041000000001"/>
    <x v="2"/>
    <s v="2210"/>
    <s v="000"/>
    <x v="5"/>
    <x v="2"/>
  </r>
  <r>
    <d v="2013-03-09T00:00:00"/>
    <s v="018-2220-000"/>
    <s v="Beer Sales"/>
    <n v="961.452"/>
    <n v="0"/>
    <s v="Daily Sales Import"/>
    <n v="-961.452"/>
    <n v="961.452"/>
    <x v="2"/>
    <s v="2220"/>
    <s v="000"/>
    <x v="5"/>
    <x v="2"/>
  </r>
  <r>
    <d v="2013-03-09T00:00:00"/>
    <s v="018-2230-000"/>
    <s v="Wine Sales"/>
    <n v="139.892"/>
    <n v="0"/>
    <s v="Daily Sales Import"/>
    <n v="-139.892"/>
    <n v="139.892"/>
    <x v="2"/>
    <s v="2230"/>
    <s v="000"/>
    <x v="5"/>
    <x v="2"/>
  </r>
  <r>
    <d v="2013-03-10T00:00:00"/>
    <s v="018-2100-000"/>
    <s v="Food Sales"/>
    <n v="12693.2652"/>
    <n v="0"/>
    <s v="Daily Sales Import"/>
    <n v="-12693.2652"/>
    <n v="12693.2652"/>
    <x v="2"/>
    <s v="2100"/>
    <s v="000"/>
    <x v="5"/>
    <x v="2"/>
  </r>
  <r>
    <d v="2013-03-10T00:00:00"/>
    <s v="018-2210-000"/>
    <s v="Liquor Sales"/>
    <n v="1613.9655"/>
    <n v="0"/>
    <s v="Daily Sales Import"/>
    <n v="-1613.9655"/>
    <n v="1613.9655"/>
    <x v="2"/>
    <s v="2210"/>
    <s v="000"/>
    <x v="5"/>
    <x v="2"/>
  </r>
  <r>
    <d v="2013-03-10T00:00:00"/>
    <s v="018-2220-000"/>
    <s v="Beer Sales"/>
    <n v="340.83119999999997"/>
    <n v="0"/>
    <s v="Daily Sales Import"/>
    <n v="-340.83119999999997"/>
    <n v="340.83119999999997"/>
    <x v="2"/>
    <s v="2220"/>
    <s v="000"/>
    <x v="5"/>
    <x v="2"/>
  </r>
  <r>
    <d v="2013-03-10T00:00:00"/>
    <s v="018-2230-000"/>
    <s v="Wine Sales"/>
    <n v="122.23380000000002"/>
    <n v="0"/>
    <s v="Daily Sales Import"/>
    <n v="-122.23380000000002"/>
    <n v="122.23380000000002"/>
    <x v="2"/>
    <s v="2230"/>
    <s v="000"/>
    <x v="5"/>
    <x v="2"/>
  </r>
  <r>
    <d v="2013-03-11T00:00:00"/>
    <s v="016-2100-000"/>
    <s v="Food Sales"/>
    <n v="2488.0704000000001"/>
    <n v="0"/>
    <s v="Daily Sales Import"/>
    <n v="-2488.0704000000001"/>
    <n v="2488.0704000000001"/>
    <x v="0"/>
    <s v="2100"/>
    <s v="000"/>
    <x v="5"/>
    <x v="2"/>
  </r>
  <r>
    <d v="2013-03-11T00:00:00"/>
    <s v="016-2210-000"/>
    <s v="Liquor Sales"/>
    <n v="628.17930000000001"/>
    <n v="0"/>
    <s v="Daily Sales Import"/>
    <n v="-628.17930000000001"/>
    <n v="628.17930000000001"/>
    <x v="0"/>
    <s v="2210"/>
    <s v="000"/>
    <x v="5"/>
    <x v="2"/>
  </r>
  <r>
    <d v="2013-03-11T00:00:00"/>
    <s v="016-2220-000"/>
    <s v="Beer Sales"/>
    <n v="86.210799999999992"/>
    <n v="0"/>
    <s v="Daily Sales Import"/>
    <n v="-86.210799999999992"/>
    <n v="86.210799999999992"/>
    <x v="0"/>
    <s v="2220"/>
    <s v="000"/>
    <x v="5"/>
    <x v="2"/>
  </r>
  <r>
    <d v="2013-03-11T00:00:00"/>
    <s v="016-2230-000"/>
    <s v="Wine Sales"/>
    <n v="65.688500000000005"/>
    <n v="0"/>
    <s v="Daily Sales Import"/>
    <n v="-65.688500000000005"/>
    <n v="65.688500000000005"/>
    <x v="0"/>
    <s v="2230"/>
    <s v="000"/>
    <x v="5"/>
    <x v="2"/>
  </r>
  <r>
    <d v="2013-03-12T00:00:00"/>
    <s v="016-2100-000"/>
    <s v="Food Sales"/>
    <n v="9329.7161999999989"/>
    <n v="0"/>
    <s v="Daily Sales Import"/>
    <n v="-9329.7161999999989"/>
    <n v="9329.7161999999989"/>
    <x v="0"/>
    <s v="2100"/>
    <s v="000"/>
    <x v="5"/>
    <x v="2"/>
  </r>
  <r>
    <d v="2013-03-12T00:00:00"/>
    <s v="016-2210-000"/>
    <s v="Liquor Sales"/>
    <n v="2642.4240000000004"/>
    <n v="0"/>
    <s v="Daily Sales Import"/>
    <n v="-2642.4240000000004"/>
    <n v="2642.4240000000004"/>
    <x v="0"/>
    <s v="2210"/>
    <s v="000"/>
    <x v="5"/>
    <x v="2"/>
  </r>
  <r>
    <d v="2013-03-12T00:00:00"/>
    <s v="016-2220-000"/>
    <s v="Beer Sales"/>
    <n v="616.67679999999996"/>
    <n v="0"/>
    <s v="Daily Sales Import"/>
    <n v="-616.67679999999996"/>
    <n v="616.67679999999996"/>
    <x v="0"/>
    <s v="2220"/>
    <s v="000"/>
    <x v="5"/>
    <x v="2"/>
  </r>
  <r>
    <d v="2013-03-12T00:00:00"/>
    <s v="016-2230-000"/>
    <s v="Wine Sales"/>
    <n v="270.45319999999998"/>
    <n v="0"/>
    <s v="Daily Sales Import"/>
    <n v="-270.45319999999998"/>
    <n v="270.45319999999998"/>
    <x v="0"/>
    <s v="2230"/>
    <s v="000"/>
    <x v="5"/>
    <x v="2"/>
  </r>
  <r>
    <d v="2013-03-13T00:00:00"/>
    <s v="016-2100-000"/>
    <s v="Food Sales"/>
    <n v="4404.3234999999995"/>
    <n v="0"/>
    <s v="Daily Sales Import"/>
    <n v="-4404.3234999999995"/>
    <n v="4404.3234999999995"/>
    <x v="0"/>
    <s v="2100"/>
    <s v="000"/>
    <x v="5"/>
    <x v="2"/>
  </r>
  <r>
    <d v="2013-03-13T00:00:00"/>
    <s v="016-2210-000"/>
    <s v="Liquor Sales"/>
    <n v="758.50699999999995"/>
    <n v="0"/>
    <s v="Daily Sales Import"/>
    <n v="-758.50699999999995"/>
    <n v="758.50699999999995"/>
    <x v="0"/>
    <s v="2210"/>
    <s v="000"/>
    <x v="5"/>
    <x v="2"/>
  </r>
  <r>
    <d v="2013-03-13T00:00:00"/>
    <s v="016-2220-000"/>
    <s v="Beer Sales"/>
    <n v="102.57940000000001"/>
    <n v="0"/>
    <s v="Daily Sales Import"/>
    <n v="-102.57940000000001"/>
    <n v="102.57940000000001"/>
    <x v="0"/>
    <s v="2220"/>
    <s v="000"/>
    <x v="5"/>
    <x v="2"/>
  </r>
  <r>
    <d v="2013-03-13T00:00:00"/>
    <s v="016-2230-000"/>
    <s v="Wine Sales"/>
    <n v="98.812799999999996"/>
    <n v="0"/>
    <s v="Daily Sales Import"/>
    <n v="-98.812799999999996"/>
    <n v="98.812799999999996"/>
    <x v="0"/>
    <s v="2230"/>
    <s v="000"/>
    <x v="5"/>
    <x v="2"/>
  </r>
  <r>
    <d v="2013-03-14T00:00:00"/>
    <s v="016-2100-000"/>
    <s v="Food Sales"/>
    <n v="5751.1089999999995"/>
    <n v="0"/>
    <s v="Daily Sales Import"/>
    <n v="-5751.1089999999995"/>
    <n v="5751.1089999999995"/>
    <x v="0"/>
    <s v="2100"/>
    <s v="000"/>
    <x v="5"/>
    <x v="2"/>
  </r>
  <r>
    <d v="2013-03-14T00:00:00"/>
    <s v="016-2210-000"/>
    <s v="Liquor Sales"/>
    <n v="1490.6133"/>
    <n v="0"/>
    <s v="Daily Sales Import"/>
    <n v="-1490.6133"/>
    <n v="1490.6133"/>
    <x v="0"/>
    <s v="2210"/>
    <s v="000"/>
    <x v="5"/>
    <x v="2"/>
  </r>
  <r>
    <d v="2013-03-14T00:00:00"/>
    <s v="016-2220-000"/>
    <s v="Beer Sales"/>
    <n v="224.30590000000001"/>
    <n v="0"/>
    <s v="Daily Sales Import"/>
    <n v="-224.30590000000001"/>
    <n v="224.30590000000001"/>
    <x v="0"/>
    <s v="2220"/>
    <s v="000"/>
    <x v="5"/>
    <x v="2"/>
  </r>
  <r>
    <d v="2013-03-14T00:00:00"/>
    <s v="016-2230-000"/>
    <s v="Wine Sales"/>
    <n v="67.660600000000002"/>
    <n v="0"/>
    <s v="Daily Sales Import"/>
    <n v="-67.660600000000002"/>
    <n v="67.660600000000002"/>
    <x v="0"/>
    <s v="2230"/>
    <s v="000"/>
    <x v="5"/>
    <x v="2"/>
  </r>
  <r>
    <d v="2013-03-15T00:00:00"/>
    <s v="016-2100-000"/>
    <s v="Food Sales"/>
    <n v="8394.3009000000002"/>
    <n v="0"/>
    <s v="Daily Sales Import"/>
    <n v="-8394.3009000000002"/>
    <n v="8394.3009000000002"/>
    <x v="0"/>
    <s v="2100"/>
    <s v="000"/>
    <x v="5"/>
    <x v="2"/>
  </r>
  <r>
    <d v="2013-03-15T00:00:00"/>
    <s v="016-2210-000"/>
    <s v="Liquor Sales"/>
    <n v="2164.7274000000002"/>
    <n v="0"/>
    <s v="Daily Sales Import"/>
    <n v="-2164.7274000000002"/>
    <n v="2164.7274000000002"/>
    <x v="0"/>
    <s v="2210"/>
    <s v="000"/>
    <x v="5"/>
    <x v="2"/>
  </r>
  <r>
    <d v="2013-03-15T00:00:00"/>
    <s v="016-2220-000"/>
    <s v="Beer Sales"/>
    <n v="428.54019999999997"/>
    <n v="0"/>
    <s v="Daily Sales Import"/>
    <n v="-428.54019999999997"/>
    <n v="428.54019999999997"/>
    <x v="0"/>
    <s v="2220"/>
    <s v="000"/>
    <x v="5"/>
    <x v="2"/>
  </r>
  <r>
    <d v="2013-03-15T00:00:00"/>
    <s v="016-2230-000"/>
    <s v="Wine Sales"/>
    <n v="147.43599999999998"/>
    <n v="0"/>
    <s v="Daily Sales Import"/>
    <n v="-147.43599999999998"/>
    <n v="147.43599999999998"/>
    <x v="0"/>
    <s v="2230"/>
    <s v="000"/>
    <x v="5"/>
    <x v="2"/>
  </r>
  <r>
    <d v="2013-03-16T00:00:00"/>
    <s v="016-2100-000"/>
    <s v="Food Sales"/>
    <n v="7886.7821999999987"/>
    <n v="0"/>
    <s v="Daily Sales Import"/>
    <n v="-7886.7821999999987"/>
    <n v="7886.7821999999987"/>
    <x v="0"/>
    <s v="2100"/>
    <s v="000"/>
    <x v="5"/>
    <x v="2"/>
  </r>
  <r>
    <d v="2013-03-16T00:00:00"/>
    <s v="016-2210-000"/>
    <s v="Liquor Sales"/>
    <n v="3734.7760000000003"/>
    <n v="0"/>
    <s v="Daily Sales Import"/>
    <n v="-3734.7760000000003"/>
    <n v="3734.7760000000003"/>
    <x v="0"/>
    <s v="2210"/>
    <s v="000"/>
    <x v="5"/>
    <x v="2"/>
  </r>
  <r>
    <d v="2013-03-16T00:00:00"/>
    <s v="016-2220-000"/>
    <s v="Beer Sales"/>
    <n v="524.97059999999999"/>
    <n v="0"/>
    <s v="Daily Sales Import"/>
    <n v="-524.97059999999999"/>
    <n v="524.97059999999999"/>
    <x v="0"/>
    <s v="2220"/>
    <s v="000"/>
    <x v="5"/>
    <x v="2"/>
  </r>
  <r>
    <d v="2013-03-16T00:00:00"/>
    <s v="016-2230-000"/>
    <s v="Wine Sales"/>
    <n v="301.995"/>
    <n v="0"/>
    <s v="Daily Sales Import"/>
    <n v="-301.995"/>
    <n v="301.995"/>
    <x v="0"/>
    <s v="2230"/>
    <s v="000"/>
    <x v="5"/>
    <x v="2"/>
  </r>
  <r>
    <d v="2013-03-17T00:00:00"/>
    <s v="016-2100-000"/>
    <s v="Food Sales"/>
    <n v="6577.6949999999997"/>
    <n v="0"/>
    <s v="Daily Sales Import"/>
    <n v="-6577.6949999999997"/>
    <n v="6577.6949999999997"/>
    <x v="0"/>
    <s v="2100"/>
    <s v="000"/>
    <x v="5"/>
    <x v="2"/>
  </r>
  <r>
    <d v="2013-03-17T00:00:00"/>
    <s v="016-2210-000"/>
    <s v="Liquor Sales"/>
    <n v="2115.9775"/>
    <n v="0"/>
    <s v="Daily Sales Import"/>
    <n v="-2115.9775"/>
    <n v="2115.9775"/>
    <x v="0"/>
    <s v="2210"/>
    <s v="000"/>
    <x v="5"/>
    <x v="2"/>
  </r>
  <r>
    <d v="2013-03-17T00:00:00"/>
    <s v="016-2220-000"/>
    <s v="Beer Sales"/>
    <n v="850.89420000000007"/>
    <n v="0"/>
    <s v="Daily Sales Import"/>
    <n v="-850.89420000000007"/>
    <n v="850.89420000000007"/>
    <x v="0"/>
    <s v="2220"/>
    <s v="000"/>
    <x v="5"/>
    <x v="2"/>
  </r>
  <r>
    <d v="2013-03-17T00:00:00"/>
    <s v="016-2230-000"/>
    <s v="Wine Sales"/>
    <n v="114.82289999999999"/>
    <n v="0"/>
    <s v="Daily Sales Import"/>
    <n v="-114.82289999999999"/>
    <n v="114.82289999999999"/>
    <x v="0"/>
    <s v="2230"/>
    <s v="000"/>
    <x v="5"/>
    <x v="2"/>
  </r>
  <r>
    <d v="2013-03-11T00:00:00"/>
    <s v="017-2100-000"/>
    <s v="Food Sales"/>
    <n v="3183.4892"/>
    <n v="0"/>
    <s v="Daily Sales Import"/>
    <n v="-3183.4892"/>
    <n v="3183.4892"/>
    <x v="1"/>
    <s v="2100"/>
    <s v="000"/>
    <x v="5"/>
    <x v="2"/>
  </r>
  <r>
    <d v="2013-03-11T00:00:00"/>
    <s v="017-2210-000"/>
    <s v="Liquor Sales"/>
    <n v="719.12739999999985"/>
    <n v="0"/>
    <s v="Daily Sales Import"/>
    <n v="-719.12739999999985"/>
    <n v="719.12739999999985"/>
    <x v="1"/>
    <s v="2210"/>
    <s v="000"/>
    <x v="5"/>
    <x v="2"/>
  </r>
  <r>
    <d v="2013-03-11T00:00:00"/>
    <s v="017-2220-000"/>
    <s v="Beer Sales"/>
    <n v="272.233"/>
    <n v="0"/>
    <s v="Daily Sales Import"/>
    <n v="-272.233"/>
    <n v="272.233"/>
    <x v="1"/>
    <s v="2220"/>
    <s v="000"/>
    <x v="5"/>
    <x v="2"/>
  </r>
  <r>
    <d v="2013-03-11T00:00:00"/>
    <s v="017-2230-000"/>
    <s v="Wine Sales"/>
    <n v="90.152000000000001"/>
    <n v="0"/>
    <s v="Daily Sales Import"/>
    <n v="-90.152000000000001"/>
    <n v="90.152000000000001"/>
    <x v="1"/>
    <s v="2230"/>
    <s v="000"/>
    <x v="5"/>
    <x v="2"/>
  </r>
  <r>
    <d v="2013-03-12T00:00:00"/>
    <s v="017-2100-000"/>
    <s v="Food Sales"/>
    <n v="6734.9610000000002"/>
    <n v="0"/>
    <s v="Daily Sales Import"/>
    <n v="-6734.9610000000002"/>
    <n v="6734.9610000000002"/>
    <x v="1"/>
    <s v="2100"/>
    <s v="000"/>
    <x v="5"/>
    <x v="2"/>
  </r>
  <r>
    <d v="2013-03-12T00:00:00"/>
    <s v="017-2210-000"/>
    <s v="Liquor Sales"/>
    <n v="1703.0449999999998"/>
    <n v="0"/>
    <s v="Daily Sales Import"/>
    <n v="-1703.0449999999998"/>
    <n v="1703.0449999999998"/>
    <x v="1"/>
    <s v="2210"/>
    <s v="000"/>
    <x v="5"/>
    <x v="2"/>
  </r>
  <r>
    <d v="2013-03-12T00:00:00"/>
    <s v="017-2220-000"/>
    <s v="Beer Sales"/>
    <n v="437.45600000000002"/>
    <n v="0"/>
    <s v="Daily Sales Import"/>
    <n v="-437.45600000000002"/>
    <n v="437.45600000000002"/>
    <x v="1"/>
    <s v="2220"/>
    <s v="000"/>
    <x v="5"/>
    <x v="2"/>
  </r>
  <r>
    <d v="2013-03-12T00:00:00"/>
    <s v="017-2230-000"/>
    <s v="Wine Sales"/>
    <n v="119.56"/>
    <n v="0"/>
    <s v="Daily Sales Import"/>
    <n v="-119.56"/>
    <n v="119.56"/>
    <x v="1"/>
    <s v="2230"/>
    <s v="000"/>
    <x v="5"/>
    <x v="2"/>
  </r>
  <r>
    <d v="2013-03-13T00:00:00"/>
    <s v="017-2100-000"/>
    <s v="Food Sales"/>
    <n v="6322.0851999999995"/>
    <n v="0"/>
    <s v="Daily Sales Import"/>
    <n v="-6322.0851999999995"/>
    <n v="6322.0851999999995"/>
    <x v="1"/>
    <s v="2100"/>
    <s v="000"/>
    <x v="5"/>
    <x v="2"/>
  </r>
  <r>
    <d v="2013-03-13T00:00:00"/>
    <s v="017-2210-000"/>
    <s v="Liquor Sales"/>
    <n v="1592.6101000000003"/>
    <n v="0"/>
    <s v="Daily Sales Import"/>
    <n v="-1592.6101000000003"/>
    <n v="1592.6101000000003"/>
    <x v="1"/>
    <s v="2210"/>
    <s v="000"/>
    <x v="5"/>
    <x v="2"/>
  </r>
  <r>
    <d v="2013-03-13T00:00:00"/>
    <s v="017-2220-000"/>
    <s v="Beer Sales"/>
    <n v="583.16800000000001"/>
    <n v="0"/>
    <s v="Daily Sales Import"/>
    <n v="-583.16800000000001"/>
    <n v="583.16800000000001"/>
    <x v="1"/>
    <s v="2220"/>
    <s v="000"/>
    <x v="5"/>
    <x v="2"/>
  </r>
  <r>
    <d v="2013-03-13T00:00:00"/>
    <s v="017-2230-000"/>
    <s v="Wine Sales"/>
    <n v="151.33359999999999"/>
    <n v="0"/>
    <s v="Daily Sales Import"/>
    <n v="-151.33359999999999"/>
    <n v="151.33359999999999"/>
    <x v="1"/>
    <s v="2230"/>
    <s v="000"/>
    <x v="5"/>
    <x v="2"/>
  </r>
  <r>
    <d v="2013-03-14T00:00:00"/>
    <s v="017-2100-000"/>
    <s v="Food Sales"/>
    <n v="8226.8799999999992"/>
    <n v="0"/>
    <s v="Daily Sales Import"/>
    <n v="-8226.8799999999992"/>
    <n v="8226.8799999999992"/>
    <x v="1"/>
    <s v="2100"/>
    <s v="000"/>
    <x v="5"/>
    <x v="2"/>
  </r>
  <r>
    <d v="2013-03-14T00:00:00"/>
    <s v="017-2210-000"/>
    <s v="Liquor Sales"/>
    <n v="1754.4946"/>
    <n v="0"/>
    <s v="Daily Sales Import"/>
    <n v="-1754.4946"/>
    <n v="1754.4946"/>
    <x v="1"/>
    <s v="2210"/>
    <s v="000"/>
    <x v="5"/>
    <x v="2"/>
  </r>
  <r>
    <d v="2013-03-14T00:00:00"/>
    <s v="017-2220-000"/>
    <s v="Beer Sales"/>
    <n v="395.77529999999996"/>
    <n v="0"/>
    <s v="Daily Sales Import"/>
    <n v="-395.77529999999996"/>
    <n v="395.77529999999996"/>
    <x v="1"/>
    <s v="2220"/>
    <s v="000"/>
    <x v="5"/>
    <x v="2"/>
  </r>
  <r>
    <d v="2013-03-14T00:00:00"/>
    <s v="017-2230-000"/>
    <s v="Wine Sales"/>
    <n v="147.88240000000002"/>
    <n v="0"/>
    <s v="Daily Sales Import"/>
    <n v="-147.88240000000002"/>
    <n v="147.88240000000002"/>
    <x v="1"/>
    <s v="2230"/>
    <s v="000"/>
    <x v="5"/>
    <x v="2"/>
  </r>
  <r>
    <d v="2013-03-15T00:00:00"/>
    <s v="017-2100-000"/>
    <s v="Food Sales"/>
    <n v="8731.1288999999997"/>
    <n v="0"/>
    <s v="Daily Sales Import"/>
    <n v="-8731.1288999999997"/>
    <n v="8731.1288999999997"/>
    <x v="1"/>
    <s v="2100"/>
    <s v="000"/>
    <x v="5"/>
    <x v="2"/>
  </r>
  <r>
    <d v="2013-03-15T00:00:00"/>
    <s v="017-2210-000"/>
    <s v="Liquor Sales"/>
    <n v="3833.0189999999998"/>
    <n v="0"/>
    <s v="Daily Sales Import"/>
    <n v="-3833.0189999999998"/>
    <n v="3833.0189999999998"/>
    <x v="1"/>
    <s v="2210"/>
    <s v="000"/>
    <x v="5"/>
    <x v="2"/>
  </r>
  <r>
    <d v="2013-03-15T00:00:00"/>
    <s v="017-2220-000"/>
    <s v="Beer Sales"/>
    <n v="570.43799999999999"/>
    <n v="0"/>
    <s v="Daily Sales Import"/>
    <n v="-570.43799999999999"/>
    <n v="570.43799999999999"/>
    <x v="1"/>
    <s v="2220"/>
    <s v="000"/>
    <x v="5"/>
    <x v="2"/>
  </r>
  <r>
    <d v="2013-03-15T00:00:00"/>
    <s v="017-2230-000"/>
    <s v="Wine Sales"/>
    <n v="120.30719999999999"/>
    <n v="0"/>
    <s v="Daily Sales Import"/>
    <n v="-120.30719999999999"/>
    <n v="120.30719999999999"/>
    <x v="1"/>
    <s v="2230"/>
    <s v="000"/>
    <x v="5"/>
    <x v="2"/>
  </r>
  <r>
    <d v="2013-03-16T00:00:00"/>
    <s v="017-2100-000"/>
    <s v="Food Sales"/>
    <n v="8171.1634999999997"/>
    <n v="0"/>
    <s v="Daily Sales Import"/>
    <n v="-8171.1634999999997"/>
    <n v="8171.1634999999997"/>
    <x v="1"/>
    <s v="2100"/>
    <s v="000"/>
    <x v="5"/>
    <x v="2"/>
  </r>
  <r>
    <d v="2013-03-16T00:00:00"/>
    <s v="017-2210-000"/>
    <s v="Liquor Sales"/>
    <n v="3168.0009999999997"/>
    <n v="0"/>
    <s v="Daily Sales Import"/>
    <n v="-3168.0009999999997"/>
    <n v="3168.0009999999997"/>
    <x v="1"/>
    <s v="2210"/>
    <s v="000"/>
    <x v="5"/>
    <x v="2"/>
  </r>
  <r>
    <d v="2013-03-16T00:00:00"/>
    <s v="017-2220-000"/>
    <s v="Beer Sales"/>
    <n v="438.02779999999996"/>
    <n v="0"/>
    <s v="Daily Sales Import"/>
    <n v="-438.02779999999996"/>
    <n v="438.02779999999996"/>
    <x v="1"/>
    <s v="2220"/>
    <s v="000"/>
    <x v="5"/>
    <x v="2"/>
  </r>
  <r>
    <d v="2013-03-16T00:00:00"/>
    <s v="017-2230-000"/>
    <s v="Wine Sales"/>
    <n v="105.32899999999998"/>
    <n v="0"/>
    <s v="Daily Sales Import"/>
    <n v="-105.32899999999998"/>
    <n v="105.32899999999998"/>
    <x v="1"/>
    <s v="2230"/>
    <s v="000"/>
    <x v="5"/>
    <x v="2"/>
  </r>
  <r>
    <d v="2013-03-17T00:00:00"/>
    <s v="017-2100-000"/>
    <s v="Food Sales"/>
    <n v="4853.1839999999993"/>
    <n v="0"/>
    <s v="Daily Sales Import"/>
    <n v="-4853.1839999999993"/>
    <n v="4853.1839999999993"/>
    <x v="1"/>
    <s v="2100"/>
    <s v="000"/>
    <x v="5"/>
    <x v="2"/>
  </r>
  <r>
    <d v="2013-03-17T00:00:00"/>
    <s v="017-2210-000"/>
    <s v="Liquor Sales"/>
    <n v="862.72480000000007"/>
    <n v="0"/>
    <s v="Daily Sales Import"/>
    <n v="-862.72480000000007"/>
    <n v="862.72480000000007"/>
    <x v="1"/>
    <s v="2210"/>
    <s v="000"/>
    <x v="5"/>
    <x v="2"/>
  </r>
  <r>
    <d v="2013-03-17T00:00:00"/>
    <s v="017-2220-000"/>
    <s v="Beer Sales"/>
    <n v="242.99439999999998"/>
    <n v="0"/>
    <s v="Daily Sales Import"/>
    <n v="-242.99439999999998"/>
    <n v="242.99439999999998"/>
    <x v="1"/>
    <s v="2220"/>
    <s v="000"/>
    <x v="5"/>
    <x v="2"/>
  </r>
  <r>
    <d v="2013-03-17T00:00:00"/>
    <s v="017-2230-000"/>
    <s v="Wine Sales"/>
    <n v="26.257000000000001"/>
    <n v="0"/>
    <s v="Daily Sales Import"/>
    <n v="-26.257000000000001"/>
    <n v="26.257000000000001"/>
    <x v="1"/>
    <s v="2230"/>
    <s v="000"/>
    <x v="5"/>
    <x v="2"/>
  </r>
  <r>
    <d v="2013-03-11T00:00:00"/>
    <s v="018-2100-000"/>
    <s v="Food Sales"/>
    <n v="3199.6559999999999"/>
    <n v="0"/>
    <s v="Daily Sales Import"/>
    <n v="-3199.6559999999999"/>
    <n v="3199.6559999999999"/>
    <x v="2"/>
    <s v="2100"/>
    <s v="000"/>
    <x v="5"/>
    <x v="2"/>
  </r>
  <r>
    <d v="2013-03-11T00:00:00"/>
    <s v="018-2210-000"/>
    <s v="Liquor Sales"/>
    <n v="804.68640000000005"/>
    <n v="0"/>
    <s v="Daily Sales Import"/>
    <n v="-804.68640000000005"/>
    <n v="804.68640000000005"/>
    <x v="2"/>
    <s v="2210"/>
    <s v="000"/>
    <x v="5"/>
    <x v="2"/>
  </r>
  <r>
    <d v="2013-03-11T00:00:00"/>
    <s v="018-2220-000"/>
    <s v="Beer Sales"/>
    <n v="144.04560000000001"/>
    <n v="0"/>
    <s v="Daily Sales Import"/>
    <n v="-144.04560000000001"/>
    <n v="144.04560000000001"/>
    <x v="2"/>
    <s v="2220"/>
    <s v="000"/>
    <x v="5"/>
    <x v="2"/>
  </r>
  <r>
    <d v="2013-03-11T00:00:00"/>
    <s v="018-2230-000"/>
    <s v="Wine Sales"/>
    <n v="19.477499999999999"/>
    <n v="0"/>
    <s v="Daily Sales Import"/>
    <n v="-19.477499999999999"/>
    <n v="19.477499999999999"/>
    <x v="2"/>
    <s v="2230"/>
    <s v="000"/>
    <x v="5"/>
    <x v="2"/>
  </r>
  <r>
    <d v="2013-03-12T00:00:00"/>
    <s v="018-2100-000"/>
    <s v="Food Sales"/>
    <n v="4373.6324999999997"/>
    <n v="0"/>
    <s v="Daily Sales Import"/>
    <n v="-4373.6324999999997"/>
    <n v="4373.6324999999997"/>
    <x v="2"/>
    <s v="2100"/>
    <s v="000"/>
    <x v="5"/>
    <x v="2"/>
  </r>
  <r>
    <d v="2013-03-12T00:00:00"/>
    <s v="018-2210-000"/>
    <s v="Liquor Sales"/>
    <n v="642.7428000000001"/>
    <n v="0"/>
    <s v="Daily Sales Import"/>
    <n v="-642.7428000000001"/>
    <n v="642.7428000000001"/>
    <x v="2"/>
    <s v="2210"/>
    <s v="000"/>
    <x v="5"/>
    <x v="2"/>
  </r>
  <r>
    <d v="2013-03-12T00:00:00"/>
    <s v="018-2220-000"/>
    <s v="Beer Sales"/>
    <n v="121.32400000000001"/>
    <n v="0"/>
    <s v="Daily Sales Import"/>
    <n v="-121.32400000000001"/>
    <n v="121.32400000000001"/>
    <x v="2"/>
    <s v="2220"/>
    <s v="000"/>
    <x v="5"/>
    <x v="2"/>
  </r>
  <r>
    <d v="2013-03-12T00:00:00"/>
    <s v="018-2230-000"/>
    <s v="Wine Sales"/>
    <n v="29.722800000000003"/>
    <n v="0"/>
    <s v="Daily Sales Import"/>
    <n v="-29.722800000000003"/>
    <n v="29.722800000000003"/>
    <x v="2"/>
    <s v="2230"/>
    <s v="000"/>
    <x v="5"/>
    <x v="2"/>
  </r>
  <r>
    <d v="2013-03-13T00:00:00"/>
    <s v="018-2100-000"/>
    <s v="Food Sales"/>
    <n v="4588.5504000000001"/>
    <n v="0"/>
    <s v="Daily Sales Import"/>
    <n v="-4588.5504000000001"/>
    <n v="4588.5504000000001"/>
    <x v="2"/>
    <s v="2100"/>
    <s v="000"/>
    <x v="5"/>
    <x v="2"/>
  </r>
  <r>
    <d v="2013-03-13T00:00:00"/>
    <s v="018-2210-000"/>
    <s v="Liquor Sales"/>
    <n v="915.96050000000002"/>
    <n v="0"/>
    <s v="Daily Sales Import"/>
    <n v="-915.96050000000002"/>
    <n v="915.96050000000002"/>
    <x v="2"/>
    <s v="2210"/>
    <s v="000"/>
    <x v="5"/>
    <x v="2"/>
  </r>
  <r>
    <d v="2013-03-13T00:00:00"/>
    <s v="018-2220-000"/>
    <s v="Beer Sales"/>
    <n v="160.22380000000001"/>
    <n v="0"/>
    <s v="Daily Sales Import"/>
    <n v="-160.22380000000001"/>
    <n v="160.22380000000001"/>
    <x v="2"/>
    <s v="2220"/>
    <s v="000"/>
    <x v="5"/>
    <x v="2"/>
  </r>
  <r>
    <d v="2013-03-13T00:00:00"/>
    <s v="018-2230-000"/>
    <s v="Wine Sales"/>
    <n v="21.861999999999998"/>
    <n v="0"/>
    <s v="Daily Sales Import"/>
    <n v="-21.861999999999998"/>
    <n v="21.861999999999998"/>
    <x v="2"/>
    <s v="2230"/>
    <s v="000"/>
    <x v="5"/>
    <x v="2"/>
  </r>
  <r>
    <d v="2013-03-14T00:00:00"/>
    <s v="018-2100-000"/>
    <s v="Food Sales"/>
    <n v="4470.6150000000007"/>
    <n v="0"/>
    <s v="Daily Sales Import"/>
    <n v="-4470.6150000000007"/>
    <n v="4470.6150000000007"/>
    <x v="2"/>
    <s v="2100"/>
    <s v="000"/>
    <x v="5"/>
    <x v="2"/>
  </r>
  <r>
    <d v="2013-03-14T00:00:00"/>
    <s v="018-2210-000"/>
    <s v="Liquor Sales"/>
    <n v="461.64720000000005"/>
    <n v="0"/>
    <s v="Daily Sales Import"/>
    <n v="-461.64720000000005"/>
    <n v="461.64720000000005"/>
    <x v="2"/>
    <s v="2210"/>
    <s v="000"/>
    <x v="5"/>
    <x v="2"/>
  </r>
  <r>
    <d v="2013-03-14T00:00:00"/>
    <s v="018-2220-000"/>
    <s v="Beer Sales"/>
    <n v="132.91289999999998"/>
    <n v="0"/>
    <s v="Daily Sales Import"/>
    <n v="-132.91289999999998"/>
    <n v="132.91289999999998"/>
    <x v="2"/>
    <s v="2220"/>
    <s v="000"/>
    <x v="5"/>
    <x v="2"/>
  </r>
  <r>
    <d v="2013-03-14T00:00:00"/>
    <s v="018-2230-000"/>
    <s v="Wine Sales"/>
    <n v="41.744399999999999"/>
    <n v="0"/>
    <s v="Daily Sales Import"/>
    <n v="-41.744399999999999"/>
    <n v="41.744399999999999"/>
    <x v="2"/>
    <s v="2230"/>
    <s v="000"/>
    <x v="5"/>
    <x v="2"/>
  </r>
  <r>
    <d v="2013-03-15T00:00:00"/>
    <s v="018-2100-000"/>
    <s v="Food Sales"/>
    <n v="10393.0836"/>
    <n v="0"/>
    <s v="Daily Sales Import"/>
    <n v="-10393.0836"/>
    <n v="10393.0836"/>
    <x v="2"/>
    <s v="2100"/>
    <s v="000"/>
    <x v="5"/>
    <x v="2"/>
  </r>
  <r>
    <d v="2013-03-15T00:00:00"/>
    <s v="018-2210-000"/>
    <s v="Liquor Sales"/>
    <n v="2398.4535000000001"/>
    <n v="0"/>
    <s v="Daily Sales Import"/>
    <n v="-2398.4535000000001"/>
    <n v="2398.4535000000001"/>
    <x v="2"/>
    <s v="2210"/>
    <s v="000"/>
    <x v="5"/>
    <x v="2"/>
  </r>
  <r>
    <d v="2013-03-15T00:00:00"/>
    <s v="018-2220-000"/>
    <s v="Beer Sales"/>
    <n v="823.24"/>
    <n v="0"/>
    <s v="Daily Sales Import"/>
    <n v="-823.24"/>
    <n v="823.24"/>
    <x v="2"/>
    <s v="2220"/>
    <s v="000"/>
    <x v="5"/>
    <x v="2"/>
  </r>
  <r>
    <d v="2013-03-15T00:00:00"/>
    <s v="018-2230-000"/>
    <s v="Wine Sales"/>
    <n v="35.505000000000003"/>
    <n v="0"/>
    <s v="Daily Sales Import"/>
    <n v="-35.505000000000003"/>
    <n v="35.505000000000003"/>
    <x v="2"/>
    <s v="2230"/>
    <s v="000"/>
    <x v="5"/>
    <x v="2"/>
  </r>
  <r>
    <d v="2013-03-16T00:00:00"/>
    <s v="018-2100-000"/>
    <s v="Food Sales"/>
    <n v="13701.340400000001"/>
    <n v="0"/>
    <s v="Daily Sales Import"/>
    <n v="-13701.340400000001"/>
    <n v="13701.340400000001"/>
    <x v="2"/>
    <s v="2100"/>
    <s v="000"/>
    <x v="5"/>
    <x v="2"/>
  </r>
  <r>
    <d v="2013-03-16T00:00:00"/>
    <s v="018-2210-000"/>
    <s v="Liquor Sales"/>
    <n v="3745.3559999999998"/>
    <n v="0"/>
    <s v="Daily Sales Import"/>
    <n v="-3745.3559999999998"/>
    <n v="3745.3559999999998"/>
    <x v="2"/>
    <s v="2210"/>
    <s v="000"/>
    <x v="5"/>
    <x v="2"/>
  </r>
  <r>
    <d v="2013-03-16T00:00:00"/>
    <s v="018-2220-000"/>
    <s v="Beer Sales"/>
    <n v="850.97249999999997"/>
    <n v="0"/>
    <s v="Daily Sales Import"/>
    <n v="-850.97249999999997"/>
    <n v="850.97249999999997"/>
    <x v="2"/>
    <s v="2220"/>
    <s v="000"/>
    <x v="5"/>
    <x v="2"/>
  </r>
  <r>
    <d v="2013-03-16T00:00:00"/>
    <s v="018-2230-000"/>
    <s v="Wine Sales"/>
    <n v="71.716999999999999"/>
    <n v="0"/>
    <s v="Daily Sales Import"/>
    <n v="-71.716999999999999"/>
    <n v="71.716999999999999"/>
    <x v="2"/>
    <s v="2230"/>
    <s v="000"/>
    <x v="5"/>
    <x v="2"/>
  </r>
  <r>
    <d v="2013-03-17T00:00:00"/>
    <s v="018-2100-000"/>
    <s v="Food Sales"/>
    <n v="11937.546"/>
    <n v="0"/>
    <s v="Daily Sales Import"/>
    <n v="-11937.546"/>
    <n v="11937.546"/>
    <x v="2"/>
    <s v="2100"/>
    <s v="000"/>
    <x v="5"/>
    <x v="2"/>
  </r>
  <r>
    <d v="2013-03-17T00:00:00"/>
    <s v="018-2210-000"/>
    <s v="Liquor Sales"/>
    <n v="954.09299999999996"/>
    <n v="0"/>
    <s v="Daily Sales Import"/>
    <n v="-954.09299999999996"/>
    <n v="954.09299999999996"/>
    <x v="2"/>
    <s v="2210"/>
    <s v="000"/>
    <x v="5"/>
    <x v="2"/>
  </r>
  <r>
    <d v="2013-03-17T00:00:00"/>
    <s v="018-2220-000"/>
    <s v="Beer Sales"/>
    <n v="256.44540000000001"/>
    <n v="0"/>
    <s v="Daily Sales Import"/>
    <n v="-256.44540000000001"/>
    <n v="256.44540000000001"/>
    <x v="2"/>
    <s v="2220"/>
    <s v="000"/>
    <x v="5"/>
    <x v="2"/>
  </r>
  <r>
    <d v="2013-03-17T00:00:00"/>
    <s v="018-2230-000"/>
    <s v="Wine Sales"/>
    <n v="46.643599999999999"/>
    <n v="0"/>
    <s v="Daily Sales Import"/>
    <n v="-46.643599999999999"/>
    <n v="46.643599999999999"/>
    <x v="2"/>
    <s v="2230"/>
    <s v="000"/>
    <x v="5"/>
    <x v="2"/>
  </r>
  <r>
    <d v="2013-03-18T00:00:00"/>
    <s v="016-2100-000"/>
    <s v="Food Sales"/>
    <n v="2910.7518"/>
    <n v="0"/>
    <s v="Daily Sales Import"/>
    <n v="-2910.7518"/>
    <n v="2910.7518"/>
    <x v="0"/>
    <s v="2100"/>
    <s v="000"/>
    <x v="5"/>
    <x v="2"/>
  </r>
  <r>
    <d v="2013-03-18T00:00:00"/>
    <s v="016-2210-000"/>
    <s v="Liquor Sales"/>
    <n v="676.06909999999993"/>
    <n v="0"/>
    <s v="Daily Sales Import"/>
    <n v="-676.06909999999993"/>
    <n v="676.06909999999993"/>
    <x v="0"/>
    <s v="2210"/>
    <s v="000"/>
    <x v="5"/>
    <x v="2"/>
  </r>
  <r>
    <d v="2013-03-18T00:00:00"/>
    <s v="016-2220-000"/>
    <s v="Beer Sales"/>
    <n v="137.48920000000001"/>
    <n v="0"/>
    <s v="Daily Sales Import"/>
    <n v="-137.48920000000001"/>
    <n v="137.48920000000001"/>
    <x v="0"/>
    <s v="2220"/>
    <s v="000"/>
    <x v="5"/>
    <x v="2"/>
  </r>
  <r>
    <d v="2013-03-18T00:00:00"/>
    <s v="016-2230-000"/>
    <s v="Wine Sales"/>
    <n v="36.932000000000002"/>
    <n v="0"/>
    <s v="Daily Sales Import"/>
    <n v="-36.932000000000002"/>
    <n v="36.932000000000002"/>
    <x v="0"/>
    <s v="2230"/>
    <s v="000"/>
    <x v="5"/>
    <x v="2"/>
  </r>
  <r>
    <d v="2013-03-19T00:00:00"/>
    <s v="016-2100-000"/>
    <s v="Food Sales"/>
    <n v="7937.7215999999999"/>
    <n v="0"/>
    <s v="Daily Sales Import"/>
    <n v="-7937.7215999999999"/>
    <n v="7937.7215999999999"/>
    <x v="0"/>
    <s v="2100"/>
    <s v="000"/>
    <x v="5"/>
    <x v="2"/>
  </r>
  <r>
    <d v="2013-03-19T00:00:00"/>
    <s v="016-2210-000"/>
    <s v="Liquor Sales"/>
    <n v="2120.991"/>
    <n v="0"/>
    <s v="Daily Sales Import"/>
    <n v="-2120.991"/>
    <n v="2120.991"/>
    <x v="0"/>
    <s v="2210"/>
    <s v="000"/>
    <x v="5"/>
    <x v="2"/>
  </r>
  <r>
    <d v="2013-03-19T00:00:00"/>
    <s v="016-2220-000"/>
    <s v="Beer Sales"/>
    <n v="988.50349999999992"/>
    <n v="0"/>
    <s v="Daily Sales Import"/>
    <n v="-988.50349999999992"/>
    <n v="988.50349999999992"/>
    <x v="0"/>
    <s v="2220"/>
    <s v="000"/>
    <x v="5"/>
    <x v="2"/>
  </r>
  <r>
    <d v="2013-03-19T00:00:00"/>
    <s v="016-2230-000"/>
    <s v="Wine Sales"/>
    <n v="157.56"/>
    <n v="0"/>
    <s v="Daily Sales Import"/>
    <n v="-157.56"/>
    <n v="157.56"/>
    <x v="0"/>
    <s v="2230"/>
    <s v="000"/>
    <x v="5"/>
    <x v="2"/>
  </r>
  <r>
    <d v="2013-03-20T00:00:00"/>
    <s v="016-2100-000"/>
    <s v="Food Sales"/>
    <n v="4367.3027999999995"/>
    <n v="0"/>
    <s v="Daily Sales Import"/>
    <n v="-4367.3027999999995"/>
    <n v="4367.3027999999995"/>
    <x v="0"/>
    <s v="2100"/>
    <s v="000"/>
    <x v="5"/>
    <x v="2"/>
  </r>
  <r>
    <d v="2013-03-20T00:00:00"/>
    <s v="016-2210-000"/>
    <s v="Liquor Sales"/>
    <n v="1102.4163000000001"/>
    <n v="0"/>
    <s v="Daily Sales Import"/>
    <n v="-1102.4163000000001"/>
    <n v="1102.4163000000001"/>
    <x v="0"/>
    <s v="2210"/>
    <s v="000"/>
    <x v="5"/>
    <x v="2"/>
  </r>
  <r>
    <d v="2013-03-20T00:00:00"/>
    <s v="016-2220-000"/>
    <s v="Beer Sales"/>
    <n v="188.43440000000001"/>
    <n v="0"/>
    <s v="Daily Sales Import"/>
    <n v="-188.43440000000001"/>
    <n v="188.43440000000001"/>
    <x v="0"/>
    <s v="2220"/>
    <s v="000"/>
    <x v="5"/>
    <x v="2"/>
  </r>
  <r>
    <d v="2013-03-20T00:00:00"/>
    <s v="016-2230-000"/>
    <s v="Wine Sales"/>
    <n v="85.939499999999995"/>
    <n v="0"/>
    <s v="Daily Sales Import"/>
    <n v="-85.939499999999995"/>
    <n v="85.939499999999995"/>
    <x v="0"/>
    <s v="2230"/>
    <s v="000"/>
    <x v="5"/>
    <x v="2"/>
  </r>
  <r>
    <d v="2013-03-21T00:00:00"/>
    <s v="016-2100-000"/>
    <s v="Food Sales"/>
    <n v="3653.8559999999998"/>
    <n v="0"/>
    <s v="Daily Sales Import"/>
    <n v="-3653.8559999999998"/>
    <n v="3653.8559999999998"/>
    <x v="0"/>
    <s v="2100"/>
    <s v="000"/>
    <x v="5"/>
    <x v="2"/>
  </r>
  <r>
    <d v="2013-03-21T00:00:00"/>
    <s v="016-2210-000"/>
    <s v="Liquor Sales"/>
    <n v="1225.4025000000001"/>
    <n v="0"/>
    <s v="Daily Sales Import"/>
    <n v="-1225.4025000000001"/>
    <n v="1225.4025000000001"/>
    <x v="0"/>
    <s v="2210"/>
    <s v="000"/>
    <x v="5"/>
    <x v="2"/>
  </r>
  <r>
    <d v="2013-03-21T00:00:00"/>
    <s v="016-2220-000"/>
    <s v="Beer Sales"/>
    <n v="147.97049999999999"/>
    <n v="0"/>
    <s v="Daily Sales Import"/>
    <n v="-147.97049999999999"/>
    <n v="147.97049999999999"/>
    <x v="0"/>
    <s v="2220"/>
    <s v="000"/>
    <x v="5"/>
    <x v="2"/>
  </r>
  <r>
    <d v="2013-03-21T00:00:00"/>
    <s v="016-2230-000"/>
    <s v="Wine Sales"/>
    <n v="120.205"/>
    <n v="0"/>
    <s v="Daily Sales Import"/>
    <n v="-120.205"/>
    <n v="120.205"/>
    <x v="0"/>
    <s v="2230"/>
    <s v="000"/>
    <x v="5"/>
    <x v="2"/>
  </r>
  <r>
    <d v="2013-03-22T00:00:00"/>
    <s v="016-2100-000"/>
    <s v="Food Sales"/>
    <n v="6948.0851999999995"/>
    <n v="0"/>
    <s v="Daily Sales Import"/>
    <n v="-6948.0851999999995"/>
    <n v="6948.0851999999995"/>
    <x v="0"/>
    <s v="2100"/>
    <s v="000"/>
    <x v="5"/>
    <x v="2"/>
  </r>
  <r>
    <d v="2013-03-22T00:00:00"/>
    <s v="016-2210-000"/>
    <s v="Liquor Sales"/>
    <n v="1564.338"/>
    <n v="0"/>
    <s v="Daily Sales Import"/>
    <n v="-1564.338"/>
    <n v="1564.338"/>
    <x v="0"/>
    <s v="2210"/>
    <s v="000"/>
    <x v="5"/>
    <x v="2"/>
  </r>
  <r>
    <d v="2013-03-22T00:00:00"/>
    <s v="016-2220-000"/>
    <s v="Beer Sales"/>
    <n v="280.053"/>
    <n v="0"/>
    <s v="Daily Sales Import"/>
    <n v="-280.053"/>
    <n v="280.053"/>
    <x v="0"/>
    <s v="2220"/>
    <s v="000"/>
    <x v="5"/>
    <x v="2"/>
  </r>
  <r>
    <d v="2013-03-22T00:00:00"/>
    <s v="016-2230-000"/>
    <s v="Wine Sales"/>
    <n v="195.54820000000001"/>
    <n v="0"/>
    <s v="Daily Sales Import"/>
    <n v="-195.54820000000001"/>
    <n v="195.54820000000001"/>
    <x v="0"/>
    <s v="2230"/>
    <s v="000"/>
    <x v="5"/>
    <x v="2"/>
  </r>
  <r>
    <d v="2013-03-23T00:00:00"/>
    <s v="016-2100-000"/>
    <s v="Food Sales"/>
    <n v="8805.1779000000006"/>
    <n v="0"/>
    <s v="Daily Sales Import"/>
    <n v="-8805.1779000000006"/>
    <n v="8805.1779000000006"/>
    <x v="0"/>
    <s v="2100"/>
    <s v="000"/>
    <x v="5"/>
    <x v="2"/>
  </r>
  <r>
    <d v="2013-03-23T00:00:00"/>
    <s v="016-2210-000"/>
    <s v="Liquor Sales"/>
    <n v="2319.0387000000001"/>
    <n v="0"/>
    <s v="Daily Sales Import"/>
    <n v="-2319.0387000000001"/>
    <n v="2319.0387000000001"/>
    <x v="0"/>
    <s v="2210"/>
    <s v="000"/>
    <x v="5"/>
    <x v="2"/>
  </r>
  <r>
    <d v="2013-03-23T00:00:00"/>
    <s v="016-2220-000"/>
    <s v="Beer Sales"/>
    <n v="381.28499999999997"/>
    <n v="0"/>
    <s v="Daily Sales Import"/>
    <n v="-381.28499999999997"/>
    <n v="381.28499999999997"/>
    <x v="0"/>
    <s v="2220"/>
    <s v="000"/>
    <x v="5"/>
    <x v="2"/>
  </r>
  <r>
    <d v="2013-03-23T00:00:00"/>
    <s v="016-2230-000"/>
    <s v="Wine Sales"/>
    <n v="218.60929999999999"/>
    <n v="0"/>
    <s v="Daily Sales Import"/>
    <n v="-218.60929999999999"/>
    <n v="218.60929999999999"/>
    <x v="0"/>
    <s v="2230"/>
    <s v="000"/>
    <x v="5"/>
    <x v="2"/>
  </r>
  <r>
    <d v="2013-03-24T00:00:00"/>
    <s v="016-2100-000"/>
    <s v="Food Sales"/>
    <n v="7015.4034000000001"/>
    <n v="0"/>
    <s v="Daily Sales Import"/>
    <n v="-7015.4034000000001"/>
    <n v="7015.4034000000001"/>
    <x v="0"/>
    <s v="2100"/>
    <s v="000"/>
    <x v="5"/>
    <x v="2"/>
  </r>
  <r>
    <d v="2013-03-24T00:00:00"/>
    <s v="016-2210-000"/>
    <s v="Liquor Sales"/>
    <n v="1850.5989000000002"/>
    <n v="0"/>
    <s v="Daily Sales Import"/>
    <n v="-1850.5989000000002"/>
    <n v="1850.5989000000002"/>
    <x v="0"/>
    <s v="2210"/>
    <s v="000"/>
    <x v="5"/>
    <x v="2"/>
  </r>
  <r>
    <d v="2013-03-24T00:00:00"/>
    <s v="016-2220-000"/>
    <s v="Beer Sales"/>
    <n v="277.28190000000001"/>
    <n v="0"/>
    <s v="Daily Sales Import"/>
    <n v="-277.28190000000001"/>
    <n v="277.28190000000001"/>
    <x v="0"/>
    <s v="2220"/>
    <s v="000"/>
    <x v="5"/>
    <x v="2"/>
  </r>
  <r>
    <d v="2013-03-24T00:00:00"/>
    <s v="016-2230-000"/>
    <s v="Wine Sales"/>
    <n v="97.495000000000005"/>
    <n v="0"/>
    <s v="Daily Sales Import"/>
    <n v="-97.495000000000005"/>
    <n v="97.495000000000005"/>
    <x v="0"/>
    <s v="2230"/>
    <s v="000"/>
    <x v="5"/>
    <x v="2"/>
  </r>
  <r>
    <d v="2013-03-18T00:00:00"/>
    <s v="017-2100-000"/>
    <s v="Food Sales"/>
    <n v="3674.8424999999997"/>
    <n v="0"/>
    <s v="Daily Sales Import"/>
    <n v="-3674.8424999999997"/>
    <n v="3674.8424999999997"/>
    <x v="1"/>
    <s v="2100"/>
    <s v="000"/>
    <x v="5"/>
    <x v="2"/>
  </r>
  <r>
    <d v="2013-03-18T00:00:00"/>
    <s v="017-2210-000"/>
    <s v="Liquor Sales"/>
    <n v="853.75839999999994"/>
    <n v="0"/>
    <s v="Daily Sales Import"/>
    <n v="-853.75839999999994"/>
    <n v="853.75839999999994"/>
    <x v="1"/>
    <s v="2210"/>
    <s v="000"/>
    <x v="5"/>
    <x v="2"/>
  </r>
  <r>
    <d v="2013-03-18T00:00:00"/>
    <s v="017-2220-000"/>
    <s v="Beer Sales"/>
    <n v="273.45120000000003"/>
    <n v="0"/>
    <s v="Daily Sales Import"/>
    <n v="-273.45120000000003"/>
    <n v="273.45120000000003"/>
    <x v="1"/>
    <s v="2220"/>
    <s v="000"/>
    <x v="5"/>
    <x v="2"/>
  </r>
  <r>
    <d v="2013-03-18T00:00:00"/>
    <s v="017-2230-000"/>
    <s v="Wine Sales"/>
    <n v="56.538300000000007"/>
    <n v="0"/>
    <s v="Daily Sales Import"/>
    <n v="-56.538300000000007"/>
    <n v="56.538300000000007"/>
    <x v="1"/>
    <s v="2230"/>
    <s v="000"/>
    <x v="5"/>
    <x v="2"/>
  </r>
  <r>
    <d v="2013-03-19T00:00:00"/>
    <s v="017-2100-000"/>
    <s v="Food Sales"/>
    <n v="5150.4592000000002"/>
    <n v="0"/>
    <s v="Daily Sales Import"/>
    <n v="-5150.4592000000002"/>
    <n v="5150.4592000000002"/>
    <x v="1"/>
    <s v="2100"/>
    <s v="000"/>
    <x v="5"/>
    <x v="2"/>
  </r>
  <r>
    <d v="2013-03-19T00:00:00"/>
    <s v="017-2210-000"/>
    <s v="Liquor Sales"/>
    <n v="1419.8261"/>
    <n v="0"/>
    <s v="Daily Sales Import"/>
    <n v="-1419.8261"/>
    <n v="1419.8261"/>
    <x v="1"/>
    <s v="2210"/>
    <s v="000"/>
    <x v="5"/>
    <x v="2"/>
  </r>
  <r>
    <d v="2013-03-19T00:00:00"/>
    <s v="017-2220-000"/>
    <s v="Beer Sales"/>
    <n v="493.32929999999999"/>
    <n v="0"/>
    <s v="Daily Sales Import"/>
    <n v="-493.32929999999999"/>
    <n v="493.32929999999999"/>
    <x v="1"/>
    <s v="2220"/>
    <s v="000"/>
    <x v="5"/>
    <x v="2"/>
  </r>
  <r>
    <d v="2013-03-19T00:00:00"/>
    <s v="017-2230-000"/>
    <s v="Wine Sales"/>
    <n v="297.55500000000001"/>
    <n v="0"/>
    <s v="Daily Sales Import"/>
    <n v="-297.55500000000001"/>
    <n v="297.55500000000001"/>
    <x v="1"/>
    <s v="2230"/>
    <s v="000"/>
    <x v="5"/>
    <x v="2"/>
  </r>
  <r>
    <d v="2013-03-20T00:00:00"/>
    <s v="017-2100-000"/>
    <s v="Food Sales"/>
    <n v="9113.4589000000014"/>
    <n v="0"/>
    <s v="Daily Sales Import"/>
    <n v="-9113.4589000000014"/>
    <n v="9113.4589000000014"/>
    <x v="1"/>
    <s v="2100"/>
    <s v="000"/>
    <x v="5"/>
    <x v="2"/>
  </r>
  <r>
    <d v="2013-03-20T00:00:00"/>
    <s v="017-2210-000"/>
    <s v="Liquor Sales"/>
    <n v="2316.4304000000002"/>
    <n v="0"/>
    <s v="Daily Sales Import"/>
    <n v="-2316.4304000000002"/>
    <n v="2316.4304000000002"/>
    <x v="1"/>
    <s v="2210"/>
    <s v="000"/>
    <x v="5"/>
    <x v="2"/>
  </r>
  <r>
    <d v="2013-03-20T00:00:00"/>
    <s v="017-2220-000"/>
    <s v="Beer Sales"/>
    <n v="681.33100000000002"/>
    <n v="0"/>
    <s v="Daily Sales Import"/>
    <n v="-681.33100000000002"/>
    <n v="681.33100000000002"/>
    <x v="1"/>
    <s v="2220"/>
    <s v="000"/>
    <x v="5"/>
    <x v="2"/>
  </r>
  <r>
    <d v="2013-03-20T00:00:00"/>
    <s v="017-2230-000"/>
    <s v="Wine Sales"/>
    <n v="49.029300000000006"/>
    <n v="0"/>
    <s v="Daily Sales Import"/>
    <n v="-49.029300000000006"/>
    <n v="49.029300000000006"/>
    <x v="1"/>
    <s v="2230"/>
    <s v="000"/>
    <x v="5"/>
    <x v="2"/>
  </r>
  <r>
    <d v="2013-03-21T00:00:00"/>
    <s v="017-2100-000"/>
    <s v="Food Sales"/>
    <n v="6520.5168000000003"/>
    <n v="0"/>
    <s v="Daily Sales Import"/>
    <n v="-6520.5168000000003"/>
    <n v="6520.5168000000003"/>
    <x v="1"/>
    <s v="2100"/>
    <s v="000"/>
    <x v="5"/>
    <x v="2"/>
  </r>
  <r>
    <d v="2013-03-21T00:00:00"/>
    <s v="017-2210-000"/>
    <s v="Liquor Sales"/>
    <n v="659.85919999999999"/>
    <n v="0"/>
    <s v="Daily Sales Import"/>
    <n v="-659.85919999999999"/>
    <n v="659.85919999999999"/>
    <x v="1"/>
    <s v="2210"/>
    <s v="000"/>
    <x v="5"/>
    <x v="2"/>
  </r>
  <r>
    <d v="2013-03-21T00:00:00"/>
    <s v="017-2220-000"/>
    <s v="Beer Sales"/>
    <n v="307.226"/>
    <n v="0"/>
    <s v="Daily Sales Import"/>
    <n v="-307.226"/>
    <n v="307.226"/>
    <x v="1"/>
    <s v="2220"/>
    <s v="000"/>
    <x v="5"/>
    <x v="2"/>
  </r>
  <r>
    <d v="2013-03-21T00:00:00"/>
    <s v="017-2230-000"/>
    <s v="Wine Sales"/>
    <n v="136.1283"/>
    <n v="0"/>
    <s v="Daily Sales Import"/>
    <n v="-136.1283"/>
    <n v="136.1283"/>
    <x v="1"/>
    <s v="2230"/>
    <s v="000"/>
    <x v="5"/>
    <x v="2"/>
  </r>
  <r>
    <d v="2013-03-22T00:00:00"/>
    <s v="017-2100-000"/>
    <s v="Food Sales"/>
    <n v="9258.2291999999998"/>
    <n v="0"/>
    <s v="Daily Sales Import"/>
    <n v="-9258.2291999999998"/>
    <n v="9258.2291999999998"/>
    <x v="1"/>
    <s v="2100"/>
    <s v="000"/>
    <x v="5"/>
    <x v="2"/>
  </r>
  <r>
    <d v="2013-03-22T00:00:00"/>
    <s v="017-2210-000"/>
    <s v="Liquor Sales"/>
    <n v="2660.8343999999997"/>
    <n v="0"/>
    <s v="Daily Sales Import"/>
    <n v="-2660.8343999999997"/>
    <n v="2660.8343999999997"/>
    <x v="1"/>
    <s v="2210"/>
    <s v="000"/>
    <x v="5"/>
    <x v="2"/>
  </r>
  <r>
    <d v="2013-03-22T00:00:00"/>
    <s v="017-2220-000"/>
    <s v="Beer Sales"/>
    <n v="349.73899999999998"/>
    <n v="0"/>
    <s v="Daily Sales Import"/>
    <n v="-349.73899999999998"/>
    <n v="349.73899999999998"/>
    <x v="1"/>
    <s v="2220"/>
    <s v="000"/>
    <x v="5"/>
    <x v="2"/>
  </r>
  <r>
    <d v="2013-03-22T00:00:00"/>
    <s v="017-2230-000"/>
    <s v="Wine Sales"/>
    <n v="150.74499999999998"/>
    <n v="0"/>
    <s v="Daily Sales Import"/>
    <n v="-150.74499999999998"/>
    <n v="150.74499999999998"/>
    <x v="1"/>
    <s v="2230"/>
    <s v="000"/>
    <x v="5"/>
    <x v="2"/>
  </r>
  <r>
    <d v="2013-03-23T00:00:00"/>
    <s v="017-2100-000"/>
    <s v="Food Sales"/>
    <n v="9624.7380999999987"/>
    <n v="0"/>
    <s v="Daily Sales Import"/>
    <n v="-9624.7380999999987"/>
    <n v="9624.7380999999987"/>
    <x v="1"/>
    <s v="2100"/>
    <s v="000"/>
    <x v="5"/>
    <x v="2"/>
  </r>
  <r>
    <d v="2013-03-23T00:00:00"/>
    <s v="017-2210-000"/>
    <s v="Liquor Sales"/>
    <n v="2178.8108999999999"/>
    <n v="0"/>
    <s v="Daily Sales Import"/>
    <n v="-2178.8108999999999"/>
    <n v="2178.8108999999999"/>
    <x v="1"/>
    <s v="2210"/>
    <s v="000"/>
    <x v="5"/>
    <x v="2"/>
  </r>
  <r>
    <d v="2013-03-23T00:00:00"/>
    <s v="017-2220-000"/>
    <s v="Beer Sales"/>
    <n v="546.90499999999997"/>
    <n v="0"/>
    <s v="Daily Sales Import"/>
    <n v="-546.90499999999997"/>
    <n v="546.90499999999997"/>
    <x v="1"/>
    <s v="2220"/>
    <s v="000"/>
    <x v="5"/>
    <x v="2"/>
  </r>
  <r>
    <d v="2013-03-23T00:00:00"/>
    <s v="017-2230-000"/>
    <s v="Wine Sales"/>
    <n v="89.923200000000008"/>
    <n v="0"/>
    <s v="Daily Sales Import"/>
    <n v="-89.923200000000008"/>
    <n v="89.923200000000008"/>
    <x v="1"/>
    <s v="2230"/>
    <s v="000"/>
    <x v="5"/>
    <x v="2"/>
  </r>
  <r>
    <d v="2013-03-24T00:00:00"/>
    <s v="017-2100-000"/>
    <s v="Food Sales"/>
    <n v="3866.1349999999998"/>
    <n v="0"/>
    <s v="Daily Sales Import"/>
    <n v="-3866.1349999999998"/>
    <n v="3866.1349999999998"/>
    <x v="1"/>
    <s v="2100"/>
    <s v="000"/>
    <x v="5"/>
    <x v="2"/>
  </r>
  <r>
    <d v="2013-03-24T00:00:00"/>
    <s v="017-2210-000"/>
    <s v="Liquor Sales"/>
    <n v="916.3152"/>
    <n v="0"/>
    <s v="Daily Sales Import"/>
    <n v="-916.3152"/>
    <n v="916.3152"/>
    <x v="1"/>
    <s v="2210"/>
    <s v="000"/>
    <x v="5"/>
    <x v="2"/>
  </r>
  <r>
    <d v="2013-03-24T00:00:00"/>
    <s v="017-2220-000"/>
    <s v="Beer Sales"/>
    <n v="143.82049999999998"/>
    <n v="0"/>
    <s v="Daily Sales Import"/>
    <n v="-143.82049999999998"/>
    <n v="143.82049999999998"/>
    <x v="1"/>
    <s v="2220"/>
    <s v="000"/>
    <x v="5"/>
    <x v="2"/>
  </r>
  <r>
    <d v="2013-03-24T00:00:00"/>
    <s v="017-2230-000"/>
    <s v="Wine Sales"/>
    <n v="14.591399999999998"/>
    <n v="0"/>
    <s v="Daily Sales Import"/>
    <n v="-14.591399999999998"/>
    <n v="14.591399999999998"/>
    <x v="1"/>
    <s v="2230"/>
    <s v="000"/>
    <x v="5"/>
    <x v="2"/>
  </r>
  <r>
    <d v="2013-03-18T00:00:00"/>
    <s v="018-2100-000"/>
    <s v="Food Sales"/>
    <n v="2456.9423999999999"/>
    <n v="0"/>
    <s v="Daily Sales Import"/>
    <n v="-2456.9423999999999"/>
    <n v="2456.9423999999999"/>
    <x v="2"/>
    <s v="2100"/>
    <s v="000"/>
    <x v="5"/>
    <x v="2"/>
  </r>
  <r>
    <d v="2013-03-18T00:00:00"/>
    <s v="018-2210-000"/>
    <s v="Liquor Sales"/>
    <n v="307.59960000000001"/>
    <n v="0"/>
    <s v="Daily Sales Import"/>
    <n v="-307.59960000000001"/>
    <n v="307.59960000000001"/>
    <x v="2"/>
    <s v="2210"/>
    <s v="000"/>
    <x v="5"/>
    <x v="2"/>
  </r>
  <r>
    <d v="2013-03-18T00:00:00"/>
    <s v="018-2220-000"/>
    <s v="Beer Sales"/>
    <n v="85.600799999999992"/>
    <n v="0"/>
    <s v="Daily Sales Import"/>
    <n v="-85.600799999999992"/>
    <n v="85.600799999999992"/>
    <x v="2"/>
    <s v="2220"/>
    <s v="000"/>
    <x v="5"/>
    <x v="2"/>
  </r>
  <r>
    <d v="2013-03-18T00:00:00"/>
    <s v="018-2230-000"/>
    <s v="Wine Sales"/>
    <n v="47.792000000000002"/>
    <n v="0"/>
    <s v="Daily Sales Import"/>
    <n v="-47.792000000000002"/>
    <n v="47.792000000000002"/>
    <x v="2"/>
    <s v="2230"/>
    <s v="000"/>
    <x v="5"/>
    <x v="2"/>
  </r>
  <r>
    <d v="2013-03-19T00:00:00"/>
    <s v="018-2100-000"/>
    <s v="Food Sales"/>
    <n v="3071.6824999999999"/>
    <n v="0"/>
    <s v="Daily Sales Import"/>
    <n v="-3071.6824999999999"/>
    <n v="3071.6824999999999"/>
    <x v="2"/>
    <s v="2100"/>
    <s v="000"/>
    <x v="5"/>
    <x v="2"/>
  </r>
  <r>
    <d v="2013-03-19T00:00:00"/>
    <s v="018-2210-000"/>
    <s v="Liquor Sales"/>
    <n v="257.08139999999997"/>
    <n v="0"/>
    <s v="Daily Sales Import"/>
    <n v="-257.08139999999997"/>
    <n v="257.08139999999997"/>
    <x v="2"/>
    <s v="2210"/>
    <s v="000"/>
    <x v="5"/>
    <x v="2"/>
  </r>
  <r>
    <d v="2013-03-19T00:00:00"/>
    <s v="018-2220-000"/>
    <s v="Beer Sales"/>
    <n v="98.852699999999999"/>
    <n v="0"/>
    <s v="Daily Sales Import"/>
    <n v="-98.852699999999999"/>
    <n v="98.852699999999999"/>
    <x v="2"/>
    <s v="2220"/>
    <s v="000"/>
    <x v="5"/>
    <x v="2"/>
  </r>
  <r>
    <d v="2013-03-19T00:00:00"/>
    <s v="018-2230-000"/>
    <s v="Wine Sales"/>
    <n v="28.775600000000001"/>
    <n v="0"/>
    <s v="Daily Sales Import"/>
    <n v="-28.775600000000001"/>
    <n v="28.775600000000001"/>
    <x v="2"/>
    <s v="2230"/>
    <s v="000"/>
    <x v="5"/>
    <x v="2"/>
  </r>
  <r>
    <d v="2013-03-20T00:00:00"/>
    <s v="018-2100-000"/>
    <s v="Food Sales"/>
    <n v="2916.924"/>
    <n v="0"/>
    <s v="Daily Sales Import"/>
    <n v="-2916.924"/>
    <n v="2916.924"/>
    <x v="2"/>
    <s v="2100"/>
    <s v="000"/>
    <x v="5"/>
    <x v="2"/>
  </r>
  <r>
    <d v="2013-03-20T00:00:00"/>
    <s v="018-2210-000"/>
    <s v="Liquor Sales"/>
    <n v="454.81120000000004"/>
    <n v="0"/>
    <s v="Daily Sales Import"/>
    <n v="-454.81120000000004"/>
    <n v="454.81120000000004"/>
    <x v="2"/>
    <s v="2210"/>
    <s v="000"/>
    <x v="5"/>
    <x v="2"/>
  </r>
  <r>
    <d v="2013-03-20T00:00:00"/>
    <s v="018-2220-000"/>
    <s v="Beer Sales"/>
    <n v="186.06099999999998"/>
    <n v="0"/>
    <s v="Daily Sales Import"/>
    <n v="-186.06099999999998"/>
    <n v="186.06099999999998"/>
    <x v="2"/>
    <s v="2220"/>
    <s v="000"/>
    <x v="5"/>
    <x v="2"/>
  </r>
  <r>
    <d v="2013-03-20T00:00:00"/>
    <s v="018-2230-000"/>
    <s v="Wine Sales"/>
    <n v="25.855199999999996"/>
    <n v="0"/>
    <s v="Daily Sales Import"/>
    <n v="-25.855199999999996"/>
    <n v="25.855199999999996"/>
    <x v="2"/>
    <s v="2230"/>
    <s v="000"/>
    <x v="5"/>
    <x v="2"/>
  </r>
  <r>
    <d v="2013-03-21T00:00:00"/>
    <s v="018-2100-000"/>
    <s v="Food Sales"/>
    <n v="3661.8316999999997"/>
    <n v="0"/>
    <s v="Daily Sales Import"/>
    <n v="-3661.8316999999997"/>
    <n v="3661.8316999999997"/>
    <x v="2"/>
    <s v="2100"/>
    <s v="000"/>
    <x v="5"/>
    <x v="2"/>
  </r>
  <r>
    <d v="2013-03-21T00:00:00"/>
    <s v="018-2210-000"/>
    <s v="Liquor Sales"/>
    <n v="353.09000000000003"/>
    <n v="0"/>
    <s v="Daily Sales Import"/>
    <n v="-353.09000000000003"/>
    <n v="353.09000000000003"/>
    <x v="2"/>
    <s v="2210"/>
    <s v="000"/>
    <x v="5"/>
    <x v="2"/>
  </r>
  <r>
    <d v="2013-03-21T00:00:00"/>
    <s v="018-2220-000"/>
    <s v="Beer Sales"/>
    <n v="159.63480000000001"/>
    <n v="0"/>
    <s v="Daily Sales Import"/>
    <n v="-159.63480000000001"/>
    <n v="159.63480000000001"/>
    <x v="2"/>
    <s v="2220"/>
    <s v="000"/>
    <x v="5"/>
    <x v="2"/>
  </r>
  <r>
    <d v="2013-03-21T00:00:00"/>
    <s v="018-2230-000"/>
    <s v="Wine Sales"/>
    <n v="10.3818"/>
    <n v="0"/>
    <s v="Daily Sales Import"/>
    <n v="-10.3818"/>
    <n v="10.3818"/>
    <x v="2"/>
    <s v="2230"/>
    <s v="000"/>
    <x v="5"/>
    <x v="2"/>
  </r>
  <r>
    <d v="2013-03-22T00:00:00"/>
    <s v="018-2100-000"/>
    <s v="Food Sales"/>
    <n v="9582.7577999999994"/>
    <n v="0"/>
    <s v="Daily Sales Import"/>
    <n v="-9582.7577999999994"/>
    <n v="9582.7577999999994"/>
    <x v="2"/>
    <s v="2100"/>
    <s v="000"/>
    <x v="5"/>
    <x v="2"/>
  </r>
  <r>
    <d v="2013-03-22T00:00:00"/>
    <s v="018-2210-000"/>
    <s v="Liquor Sales"/>
    <n v="2335.2648000000004"/>
    <n v="0"/>
    <s v="Daily Sales Import"/>
    <n v="-2335.2648000000004"/>
    <n v="2335.2648000000004"/>
    <x v="2"/>
    <s v="2210"/>
    <s v="000"/>
    <x v="5"/>
    <x v="2"/>
  </r>
  <r>
    <d v="2013-03-22T00:00:00"/>
    <s v="018-2220-000"/>
    <s v="Beer Sales"/>
    <n v="597.35360000000003"/>
    <n v="0"/>
    <s v="Daily Sales Import"/>
    <n v="-597.35360000000003"/>
    <n v="597.35360000000003"/>
    <x v="2"/>
    <s v="2220"/>
    <s v="000"/>
    <x v="5"/>
    <x v="2"/>
  </r>
  <r>
    <d v="2013-03-22T00:00:00"/>
    <s v="018-2230-000"/>
    <s v="Wine Sales"/>
    <n v="135.62639999999999"/>
    <n v="0"/>
    <s v="Daily Sales Import"/>
    <n v="-135.62639999999999"/>
    <n v="135.62639999999999"/>
    <x v="2"/>
    <s v="2230"/>
    <s v="000"/>
    <x v="5"/>
    <x v="2"/>
  </r>
  <r>
    <d v="2013-03-23T00:00:00"/>
    <s v="018-2100-000"/>
    <s v="Food Sales"/>
    <n v="15736.6152"/>
    <n v="0"/>
    <s v="Daily Sales Import"/>
    <n v="-15736.6152"/>
    <n v="15736.6152"/>
    <x v="2"/>
    <s v="2100"/>
    <s v="000"/>
    <x v="5"/>
    <x v="2"/>
  </r>
  <r>
    <d v="2013-03-23T00:00:00"/>
    <s v="018-2210-000"/>
    <s v="Liquor Sales"/>
    <n v="2501.471"/>
    <n v="0"/>
    <s v="Daily Sales Import"/>
    <n v="-2501.471"/>
    <n v="2501.471"/>
    <x v="2"/>
    <s v="2210"/>
    <s v="000"/>
    <x v="5"/>
    <x v="2"/>
  </r>
  <r>
    <d v="2013-03-23T00:00:00"/>
    <s v="018-2220-000"/>
    <s v="Beer Sales"/>
    <n v="730.08"/>
    <n v="0"/>
    <s v="Daily Sales Import"/>
    <n v="-730.08"/>
    <n v="730.08"/>
    <x v="2"/>
    <s v="2220"/>
    <s v="000"/>
    <x v="5"/>
    <x v="2"/>
  </r>
  <r>
    <d v="2013-03-23T00:00:00"/>
    <s v="018-2230-000"/>
    <s v="Wine Sales"/>
    <n v="126.0232"/>
    <n v="0"/>
    <s v="Daily Sales Import"/>
    <n v="-126.0232"/>
    <n v="126.0232"/>
    <x v="2"/>
    <s v="2230"/>
    <s v="000"/>
    <x v="5"/>
    <x v="2"/>
  </r>
  <r>
    <d v="2013-03-24T00:00:00"/>
    <s v="018-2100-000"/>
    <s v="Food Sales"/>
    <n v="9322.6980000000003"/>
    <n v="0"/>
    <s v="Daily Sales Import"/>
    <n v="-9322.6980000000003"/>
    <n v="9322.6980000000003"/>
    <x v="2"/>
    <s v="2100"/>
    <s v="000"/>
    <x v="5"/>
    <x v="2"/>
  </r>
  <r>
    <d v="2013-03-24T00:00:00"/>
    <s v="018-2210-000"/>
    <s v="Liquor Sales"/>
    <n v="1355.4059999999999"/>
    <n v="0"/>
    <s v="Daily Sales Import"/>
    <n v="-1355.4059999999999"/>
    <n v="1355.4059999999999"/>
    <x v="2"/>
    <s v="2210"/>
    <s v="000"/>
    <x v="5"/>
    <x v="2"/>
  </r>
  <r>
    <d v="2013-03-24T00:00:00"/>
    <s v="018-2220-000"/>
    <s v="Beer Sales"/>
    <n v="267.37279999999998"/>
    <n v="0"/>
    <s v="Daily Sales Import"/>
    <n v="-267.37279999999998"/>
    <n v="267.37279999999998"/>
    <x v="2"/>
    <s v="2220"/>
    <s v="000"/>
    <x v="5"/>
    <x v="2"/>
  </r>
  <r>
    <d v="2013-03-24T00:00:00"/>
    <s v="018-2230-000"/>
    <s v="Wine Sales"/>
    <n v="68.314499999999995"/>
    <n v="0"/>
    <s v="Daily Sales Import"/>
    <n v="-68.314499999999995"/>
    <n v="68.314499999999995"/>
    <x v="2"/>
    <s v="2230"/>
    <s v="000"/>
    <x v="5"/>
    <x v="2"/>
  </r>
  <r>
    <d v="2013-03-25T00:00:00"/>
    <s v="016-2100-000"/>
    <s v="Food Sales"/>
    <n v="3048.9925999999996"/>
    <n v="0"/>
    <s v="Daily Sales Import"/>
    <n v="-3048.9925999999996"/>
    <n v="3048.9925999999996"/>
    <x v="0"/>
    <s v="2100"/>
    <s v="000"/>
    <x v="5"/>
    <x v="2"/>
  </r>
  <r>
    <d v="2013-03-25T00:00:00"/>
    <s v="016-2210-000"/>
    <s v="Liquor Sales"/>
    <n v="642.71339999999998"/>
    <n v="0"/>
    <s v="Daily Sales Import"/>
    <n v="-642.71339999999998"/>
    <n v="642.71339999999998"/>
    <x v="0"/>
    <s v="2210"/>
    <s v="000"/>
    <x v="5"/>
    <x v="2"/>
  </r>
  <r>
    <d v="2013-03-25T00:00:00"/>
    <s v="016-2220-000"/>
    <s v="Beer Sales"/>
    <n v="152.40150000000003"/>
    <n v="0"/>
    <s v="Daily Sales Import"/>
    <n v="-152.40150000000003"/>
    <n v="152.40150000000003"/>
    <x v="0"/>
    <s v="2220"/>
    <s v="000"/>
    <x v="5"/>
    <x v="2"/>
  </r>
  <r>
    <d v="2013-03-25T00:00:00"/>
    <s v="016-2230-000"/>
    <s v="Wine Sales"/>
    <n v="90.670999999999992"/>
    <n v="0"/>
    <s v="Daily Sales Import"/>
    <n v="-90.670999999999992"/>
    <n v="90.670999999999992"/>
    <x v="0"/>
    <s v="2230"/>
    <s v="000"/>
    <x v="5"/>
    <x v="2"/>
  </r>
  <r>
    <d v="2013-03-26T00:00:00"/>
    <s v="016-2100-000"/>
    <s v="Food Sales"/>
    <n v="6090.1680000000006"/>
    <n v="0"/>
    <s v="Daily Sales Import"/>
    <n v="-6090.1680000000006"/>
    <n v="6090.1680000000006"/>
    <x v="0"/>
    <s v="2100"/>
    <s v="000"/>
    <x v="5"/>
    <x v="2"/>
  </r>
  <r>
    <d v="2013-03-26T00:00:00"/>
    <s v="016-2210-000"/>
    <s v="Liquor Sales"/>
    <n v="2277.9535000000001"/>
    <n v="0"/>
    <s v="Daily Sales Import"/>
    <n v="-2277.9535000000001"/>
    <n v="2277.9535000000001"/>
    <x v="0"/>
    <s v="2210"/>
    <s v="000"/>
    <x v="5"/>
    <x v="2"/>
  </r>
  <r>
    <d v="2013-03-26T00:00:00"/>
    <s v="016-2220-000"/>
    <s v="Beer Sales"/>
    <n v="783"/>
    <n v="0"/>
    <s v="Daily Sales Import"/>
    <n v="-783"/>
    <n v="783"/>
    <x v="0"/>
    <s v="2220"/>
    <s v="000"/>
    <x v="5"/>
    <x v="2"/>
  </r>
  <r>
    <d v="2013-03-26T00:00:00"/>
    <s v="016-2230-000"/>
    <s v="Wine Sales"/>
    <n v="303.20940000000002"/>
    <n v="0"/>
    <s v="Daily Sales Import"/>
    <n v="-303.20940000000002"/>
    <n v="303.20940000000002"/>
    <x v="0"/>
    <s v="2230"/>
    <s v="000"/>
    <x v="5"/>
    <x v="2"/>
  </r>
  <r>
    <d v="2013-03-27T00:00:00"/>
    <s v="016-2100-000"/>
    <s v="Food Sales"/>
    <n v="6116.1522000000004"/>
    <n v="0"/>
    <s v="Daily Sales Import"/>
    <n v="-6116.1522000000004"/>
    <n v="6116.1522000000004"/>
    <x v="0"/>
    <s v="2100"/>
    <s v="000"/>
    <x v="5"/>
    <x v="2"/>
  </r>
  <r>
    <d v="2013-03-27T00:00:00"/>
    <s v="016-2210-000"/>
    <s v="Liquor Sales"/>
    <n v="952.53139999999996"/>
    <n v="0"/>
    <s v="Daily Sales Import"/>
    <n v="-952.53139999999996"/>
    <n v="952.53139999999996"/>
    <x v="0"/>
    <s v="2210"/>
    <s v="000"/>
    <x v="5"/>
    <x v="2"/>
  </r>
  <r>
    <d v="2013-03-27T00:00:00"/>
    <s v="016-2220-000"/>
    <s v="Beer Sales"/>
    <n v="239.03100000000003"/>
    <n v="0"/>
    <s v="Daily Sales Import"/>
    <n v="-239.03100000000003"/>
    <n v="239.03100000000003"/>
    <x v="0"/>
    <s v="2220"/>
    <s v="000"/>
    <x v="5"/>
    <x v="2"/>
  </r>
  <r>
    <d v="2013-03-27T00:00:00"/>
    <s v="016-2230-000"/>
    <s v="Wine Sales"/>
    <n v="231.20000000000002"/>
    <n v="0"/>
    <s v="Daily Sales Import"/>
    <n v="-231.20000000000002"/>
    <n v="231.20000000000002"/>
    <x v="0"/>
    <s v="2230"/>
    <s v="000"/>
    <x v="5"/>
    <x v="2"/>
  </r>
  <r>
    <d v="2013-03-28T00:00:00"/>
    <s v="016-2100-000"/>
    <s v="Food Sales"/>
    <n v="5748.0875999999998"/>
    <n v="0"/>
    <s v="Daily Sales Import"/>
    <n v="-5748.0875999999998"/>
    <n v="5748.0875999999998"/>
    <x v="0"/>
    <s v="2100"/>
    <s v="000"/>
    <x v="5"/>
    <x v="2"/>
  </r>
  <r>
    <d v="2013-03-28T00:00:00"/>
    <s v="016-2210-000"/>
    <s v="Liquor Sales"/>
    <n v="1684.9275"/>
    <n v="0"/>
    <s v="Daily Sales Import"/>
    <n v="-1684.9275"/>
    <n v="1684.9275"/>
    <x v="0"/>
    <s v="2210"/>
    <s v="000"/>
    <x v="5"/>
    <x v="2"/>
  </r>
  <r>
    <d v="2013-03-28T00:00:00"/>
    <s v="016-2220-000"/>
    <s v="Beer Sales"/>
    <n v="239.11719999999997"/>
    <n v="0"/>
    <s v="Daily Sales Import"/>
    <n v="-239.11719999999997"/>
    <n v="239.11719999999997"/>
    <x v="0"/>
    <s v="2220"/>
    <s v="000"/>
    <x v="5"/>
    <x v="2"/>
  </r>
  <r>
    <d v="2013-03-28T00:00:00"/>
    <s v="016-2230-000"/>
    <s v="Wine Sales"/>
    <n v="80.471999999999994"/>
    <n v="0"/>
    <s v="Daily Sales Import"/>
    <n v="-80.471999999999994"/>
    <n v="80.471999999999994"/>
    <x v="0"/>
    <s v="2230"/>
    <s v="000"/>
    <x v="5"/>
    <x v="2"/>
  </r>
  <r>
    <d v="2013-03-29T00:00:00"/>
    <s v="016-2100-000"/>
    <s v="Food Sales"/>
    <n v="5150.7720000000008"/>
    <n v="0"/>
    <s v="Daily Sales Import"/>
    <n v="-5150.7720000000008"/>
    <n v="5150.7720000000008"/>
    <x v="0"/>
    <s v="2100"/>
    <s v="000"/>
    <x v="5"/>
    <x v="2"/>
  </r>
  <r>
    <d v="2013-03-29T00:00:00"/>
    <s v="016-2210-000"/>
    <s v="Liquor Sales"/>
    <n v="2885.4935999999998"/>
    <n v="0"/>
    <s v="Daily Sales Import"/>
    <n v="-2885.4935999999998"/>
    <n v="2885.4935999999998"/>
    <x v="0"/>
    <s v="2210"/>
    <s v="000"/>
    <x v="5"/>
    <x v="2"/>
  </r>
  <r>
    <d v="2013-03-29T00:00:00"/>
    <s v="016-2220-000"/>
    <s v="Beer Sales"/>
    <n v="303.2484"/>
    <n v="0"/>
    <s v="Daily Sales Import"/>
    <n v="-303.2484"/>
    <n v="303.2484"/>
    <x v="0"/>
    <s v="2220"/>
    <s v="000"/>
    <x v="5"/>
    <x v="2"/>
  </r>
  <r>
    <d v="2013-03-29T00:00:00"/>
    <s v="016-2230-000"/>
    <s v="Wine Sales"/>
    <n v="201.01350000000002"/>
    <n v="0"/>
    <s v="Daily Sales Import"/>
    <n v="-201.01350000000002"/>
    <n v="201.01350000000002"/>
    <x v="0"/>
    <s v="2230"/>
    <s v="000"/>
    <x v="5"/>
    <x v="2"/>
  </r>
  <r>
    <d v="2013-03-30T00:00:00"/>
    <s v="016-2100-000"/>
    <s v="Food Sales"/>
    <n v="12173.451999999999"/>
    <n v="0"/>
    <s v="Daily Sales Import"/>
    <n v="-12173.451999999999"/>
    <n v="12173.451999999999"/>
    <x v="0"/>
    <s v="2100"/>
    <s v="000"/>
    <x v="5"/>
    <x v="2"/>
  </r>
  <r>
    <d v="2013-03-30T00:00:00"/>
    <s v="016-2210-000"/>
    <s v="Liquor Sales"/>
    <n v="2917.9079999999999"/>
    <n v="0"/>
    <s v="Daily Sales Import"/>
    <n v="-2917.9079999999999"/>
    <n v="2917.9079999999999"/>
    <x v="0"/>
    <s v="2210"/>
    <s v="000"/>
    <x v="5"/>
    <x v="2"/>
  </r>
  <r>
    <d v="2013-03-30T00:00:00"/>
    <s v="016-2220-000"/>
    <s v="Beer Sales"/>
    <n v="673.14600000000007"/>
    <n v="0"/>
    <s v="Daily Sales Import"/>
    <n v="-673.14600000000007"/>
    <n v="673.14600000000007"/>
    <x v="0"/>
    <s v="2220"/>
    <s v="000"/>
    <x v="5"/>
    <x v="2"/>
  </r>
  <r>
    <d v="2013-03-30T00:00:00"/>
    <s v="016-2230-000"/>
    <s v="Wine Sales"/>
    <n v="199.95359999999999"/>
    <n v="0"/>
    <s v="Daily Sales Import"/>
    <n v="-199.95359999999999"/>
    <n v="199.95359999999999"/>
    <x v="0"/>
    <s v="2230"/>
    <s v="000"/>
    <x v="5"/>
    <x v="2"/>
  </r>
  <r>
    <d v="2013-03-31T00:00:00"/>
    <s v="016-2100-000"/>
    <s v="Food Sales"/>
    <n v="3094.0226999999995"/>
    <n v="0"/>
    <s v="Daily Sales Import"/>
    <n v="-3094.0226999999995"/>
    <n v="3094.0226999999995"/>
    <x v="0"/>
    <s v="2100"/>
    <s v="000"/>
    <x v="5"/>
    <x v="2"/>
  </r>
  <r>
    <d v="2013-03-31T00:00:00"/>
    <s v="016-2210-000"/>
    <s v="Liquor Sales"/>
    <n v="681.99879999999996"/>
    <n v="0"/>
    <s v="Daily Sales Import"/>
    <n v="-681.99879999999996"/>
    <n v="681.99879999999996"/>
    <x v="0"/>
    <s v="2210"/>
    <s v="000"/>
    <x v="5"/>
    <x v="2"/>
  </r>
  <r>
    <d v="2013-03-31T00:00:00"/>
    <s v="016-2220-000"/>
    <s v="Beer Sales"/>
    <n v="250.86649999999997"/>
    <n v="0"/>
    <s v="Daily Sales Import"/>
    <n v="-250.86649999999997"/>
    <n v="250.86649999999997"/>
    <x v="0"/>
    <s v="2220"/>
    <s v="000"/>
    <x v="5"/>
    <x v="2"/>
  </r>
  <r>
    <d v="2013-03-31T00:00:00"/>
    <s v="016-2230-000"/>
    <s v="Wine Sales"/>
    <n v="53.026400000000002"/>
    <n v="0"/>
    <s v="Daily Sales Import"/>
    <n v="-53.026400000000002"/>
    <n v="53.026400000000002"/>
    <x v="0"/>
    <s v="2230"/>
    <s v="000"/>
    <x v="5"/>
    <x v="2"/>
  </r>
  <r>
    <d v="2013-03-25T00:00:00"/>
    <s v="017-2100-000"/>
    <s v="Food Sales"/>
    <n v="2815.8854999999994"/>
    <n v="0"/>
    <s v="Daily Sales Import"/>
    <n v="-2815.8854999999994"/>
    <n v="2815.8854999999994"/>
    <x v="1"/>
    <s v="2100"/>
    <s v="000"/>
    <x v="5"/>
    <x v="2"/>
  </r>
  <r>
    <d v="2013-03-25T00:00:00"/>
    <s v="017-2210-000"/>
    <s v="Liquor Sales"/>
    <n v="527.94970000000001"/>
    <n v="0"/>
    <s v="Daily Sales Import"/>
    <n v="-527.94970000000001"/>
    <n v="527.94970000000001"/>
    <x v="1"/>
    <s v="2210"/>
    <s v="000"/>
    <x v="5"/>
    <x v="2"/>
  </r>
  <r>
    <d v="2013-03-25T00:00:00"/>
    <s v="017-2220-000"/>
    <s v="Beer Sales"/>
    <n v="266.10639999999995"/>
    <n v="0"/>
    <s v="Daily Sales Import"/>
    <n v="-266.10639999999995"/>
    <n v="266.10639999999995"/>
    <x v="1"/>
    <s v="2220"/>
    <s v="000"/>
    <x v="5"/>
    <x v="2"/>
  </r>
  <r>
    <d v="2013-03-25T00:00:00"/>
    <s v="017-2230-000"/>
    <s v="Wine Sales"/>
    <n v="35.173400000000001"/>
    <n v="0"/>
    <s v="Daily Sales Import"/>
    <n v="-35.173400000000001"/>
    <n v="35.173400000000001"/>
    <x v="1"/>
    <s v="2230"/>
    <s v="000"/>
    <x v="5"/>
    <x v="2"/>
  </r>
  <r>
    <d v="2013-03-26T00:00:00"/>
    <s v="017-2100-000"/>
    <s v="Food Sales"/>
    <n v="5559.6815999999999"/>
    <n v="0"/>
    <s v="Daily Sales Import"/>
    <n v="-5559.6815999999999"/>
    <n v="5559.6815999999999"/>
    <x v="1"/>
    <s v="2100"/>
    <s v="000"/>
    <x v="5"/>
    <x v="2"/>
  </r>
  <r>
    <d v="2013-03-26T00:00:00"/>
    <s v="017-2210-000"/>
    <s v="Liquor Sales"/>
    <n v="1884.1937999999998"/>
    <n v="0"/>
    <s v="Daily Sales Import"/>
    <n v="-1884.1937999999998"/>
    <n v="1884.1937999999998"/>
    <x v="1"/>
    <s v="2210"/>
    <s v="000"/>
    <x v="5"/>
    <x v="2"/>
  </r>
  <r>
    <d v="2013-03-26T00:00:00"/>
    <s v="017-2220-000"/>
    <s v="Beer Sales"/>
    <n v="608.74289999999996"/>
    <n v="0"/>
    <s v="Daily Sales Import"/>
    <n v="-608.74289999999996"/>
    <n v="608.74289999999996"/>
    <x v="1"/>
    <s v="2220"/>
    <s v="000"/>
    <x v="5"/>
    <x v="2"/>
  </r>
  <r>
    <d v="2013-03-26T00:00:00"/>
    <s v="017-2230-000"/>
    <s v="Wine Sales"/>
    <n v="207.0822"/>
    <n v="0"/>
    <s v="Daily Sales Import"/>
    <n v="-207.0822"/>
    <n v="207.0822"/>
    <x v="1"/>
    <s v="2230"/>
    <s v="000"/>
    <x v="5"/>
    <x v="2"/>
  </r>
  <r>
    <d v="2013-03-27T00:00:00"/>
    <s v="017-2100-000"/>
    <s v="Food Sales"/>
    <n v="7053.8332"/>
    <n v="0"/>
    <s v="Daily Sales Import"/>
    <n v="-7053.8332"/>
    <n v="7053.8332"/>
    <x v="1"/>
    <s v="2100"/>
    <s v="000"/>
    <x v="5"/>
    <x v="2"/>
  </r>
  <r>
    <d v="2013-03-27T00:00:00"/>
    <s v="017-2210-000"/>
    <s v="Liquor Sales"/>
    <n v="1446.1019999999999"/>
    <n v="0"/>
    <s v="Daily Sales Import"/>
    <n v="-1446.1019999999999"/>
    <n v="1446.1019999999999"/>
    <x v="1"/>
    <s v="2210"/>
    <s v="000"/>
    <x v="5"/>
    <x v="2"/>
  </r>
  <r>
    <d v="2013-03-27T00:00:00"/>
    <s v="017-2220-000"/>
    <s v="Beer Sales"/>
    <n v="487.46699999999998"/>
    <n v="0"/>
    <s v="Daily Sales Import"/>
    <n v="-487.46699999999998"/>
    <n v="487.46699999999998"/>
    <x v="1"/>
    <s v="2220"/>
    <s v="000"/>
    <x v="5"/>
    <x v="2"/>
  </r>
  <r>
    <d v="2013-03-27T00:00:00"/>
    <s v="017-2230-000"/>
    <s v="Wine Sales"/>
    <n v="65.883499999999998"/>
    <n v="0"/>
    <s v="Daily Sales Import"/>
    <n v="-65.883499999999998"/>
    <n v="65.883499999999998"/>
    <x v="1"/>
    <s v="2230"/>
    <s v="000"/>
    <x v="5"/>
    <x v="2"/>
  </r>
  <r>
    <d v="2013-03-28T00:00:00"/>
    <s v="017-2100-000"/>
    <s v="Food Sales"/>
    <n v="8417.8528000000006"/>
    <n v="0"/>
    <s v="Daily Sales Import"/>
    <n v="-8417.8528000000006"/>
    <n v="8417.8528000000006"/>
    <x v="1"/>
    <s v="2100"/>
    <s v="000"/>
    <x v="5"/>
    <x v="2"/>
  </r>
  <r>
    <d v="2013-03-28T00:00:00"/>
    <s v="017-2210-000"/>
    <s v="Liquor Sales"/>
    <n v="2643.3712"/>
    <n v="0"/>
    <s v="Daily Sales Import"/>
    <n v="-2643.3712"/>
    <n v="2643.3712"/>
    <x v="1"/>
    <s v="2210"/>
    <s v="000"/>
    <x v="5"/>
    <x v="2"/>
  </r>
  <r>
    <d v="2013-03-28T00:00:00"/>
    <s v="017-2220-000"/>
    <s v="Beer Sales"/>
    <n v="461.51699999999994"/>
    <n v="0"/>
    <s v="Daily Sales Import"/>
    <n v="-461.51699999999994"/>
    <n v="461.51699999999994"/>
    <x v="1"/>
    <s v="2220"/>
    <s v="000"/>
    <x v="5"/>
    <x v="2"/>
  </r>
  <r>
    <d v="2013-03-28T00:00:00"/>
    <s v="017-2230-000"/>
    <s v="Wine Sales"/>
    <n v="133.87400000000002"/>
    <n v="0"/>
    <s v="Daily Sales Import"/>
    <n v="-133.87400000000002"/>
    <n v="133.87400000000002"/>
    <x v="1"/>
    <s v="2230"/>
    <s v="000"/>
    <x v="5"/>
    <x v="2"/>
  </r>
  <r>
    <d v="2013-03-29T00:00:00"/>
    <s v="017-2100-000"/>
    <s v="Food Sales"/>
    <n v="10641.3532"/>
    <n v="0"/>
    <s v="Daily Sales Import"/>
    <n v="-10641.3532"/>
    <n v="10641.3532"/>
    <x v="1"/>
    <s v="2100"/>
    <s v="000"/>
    <x v="5"/>
    <x v="2"/>
  </r>
  <r>
    <d v="2013-03-29T00:00:00"/>
    <s v="017-2210-000"/>
    <s v="Liquor Sales"/>
    <n v="3223.0547999999999"/>
    <n v="0"/>
    <s v="Daily Sales Import"/>
    <n v="-3223.0547999999999"/>
    <n v="3223.0547999999999"/>
    <x v="1"/>
    <s v="2210"/>
    <s v="000"/>
    <x v="5"/>
    <x v="2"/>
  </r>
  <r>
    <d v="2013-03-29T00:00:00"/>
    <s v="017-2220-000"/>
    <s v="Beer Sales"/>
    <n v="460.17180000000002"/>
    <n v="0"/>
    <s v="Daily Sales Import"/>
    <n v="-460.17180000000002"/>
    <n v="460.17180000000002"/>
    <x v="1"/>
    <s v="2220"/>
    <s v="000"/>
    <x v="5"/>
    <x v="2"/>
  </r>
  <r>
    <d v="2013-03-29T00:00:00"/>
    <s v="017-2230-000"/>
    <s v="Wine Sales"/>
    <n v="113.26180000000001"/>
    <n v="0"/>
    <s v="Daily Sales Import"/>
    <n v="-113.26180000000001"/>
    <n v="113.26180000000001"/>
    <x v="1"/>
    <s v="2230"/>
    <s v="000"/>
    <x v="5"/>
    <x v="2"/>
  </r>
  <r>
    <d v="2013-03-30T00:00:00"/>
    <s v="017-2100-000"/>
    <s v="Food Sales"/>
    <n v="10058.1309"/>
    <n v="0"/>
    <s v="Daily Sales Import"/>
    <n v="-10058.1309"/>
    <n v="10058.1309"/>
    <x v="1"/>
    <s v="2100"/>
    <s v="000"/>
    <x v="5"/>
    <x v="2"/>
  </r>
  <r>
    <d v="2013-03-30T00:00:00"/>
    <s v="017-2210-000"/>
    <s v="Liquor Sales"/>
    <n v="1543.674"/>
    <n v="0"/>
    <s v="Daily Sales Import"/>
    <n v="-1543.674"/>
    <n v="1543.674"/>
    <x v="1"/>
    <s v="2210"/>
    <s v="000"/>
    <x v="5"/>
    <x v="2"/>
  </r>
  <r>
    <d v="2013-03-30T00:00:00"/>
    <s v="017-2220-000"/>
    <s v="Beer Sales"/>
    <n v="722.10799999999995"/>
    <n v="0"/>
    <s v="Daily Sales Import"/>
    <n v="-722.10799999999995"/>
    <n v="722.10799999999995"/>
    <x v="1"/>
    <s v="2220"/>
    <s v="000"/>
    <x v="5"/>
    <x v="2"/>
  </r>
  <r>
    <d v="2013-03-30T00:00:00"/>
    <s v="017-2230-000"/>
    <s v="Wine Sales"/>
    <n v="57.657600000000002"/>
    <n v="0"/>
    <s v="Daily Sales Import"/>
    <n v="-57.657600000000002"/>
    <n v="57.657600000000002"/>
    <x v="1"/>
    <s v="2230"/>
    <s v="000"/>
    <x v="5"/>
    <x v="2"/>
  </r>
  <r>
    <d v="2013-03-31T00:00:00"/>
    <s v="017-2100-000"/>
    <s v="Food Sales"/>
    <n v="4095.2296000000001"/>
    <n v="0"/>
    <s v="Daily Sales Import"/>
    <n v="-4095.2296000000001"/>
    <n v="4095.2296000000001"/>
    <x v="1"/>
    <s v="2100"/>
    <s v="000"/>
    <x v="5"/>
    <x v="2"/>
  </r>
  <r>
    <d v="2013-03-31T00:00:00"/>
    <s v="017-2210-000"/>
    <s v="Liquor Sales"/>
    <n v="455.03399999999999"/>
    <n v="0"/>
    <s v="Daily Sales Import"/>
    <n v="-455.03399999999999"/>
    <n v="455.03399999999999"/>
    <x v="1"/>
    <s v="2210"/>
    <s v="000"/>
    <x v="5"/>
    <x v="2"/>
  </r>
  <r>
    <d v="2013-03-31T00:00:00"/>
    <s v="017-2220-000"/>
    <s v="Beer Sales"/>
    <n v="83.405999999999992"/>
    <n v="0"/>
    <s v="Daily Sales Import"/>
    <n v="-83.405999999999992"/>
    <n v="83.405999999999992"/>
    <x v="1"/>
    <s v="2220"/>
    <s v="000"/>
    <x v="5"/>
    <x v="2"/>
  </r>
  <r>
    <d v="2013-03-31T00:00:00"/>
    <s v="017-2230-000"/>
    <s v="Wine Sales"/>
    <n v="46.404600000000002"/>
    <n v="0"/>
    <s v="Daily Sales Import"/>
    <n v="-46.404600000000002"/>
    <n v="46.404600000000002"/>
    <x v="1"/>
    <s v="2230"/>
    <s v="000"/>
    <x v="5"/>
    <x v="2"/>
  </r>
  <r>
    <d v="2013-03-25T00:00:00"/>
    <s v="018-2100-000"/>
    <s v="Food Sales"/>
    <n v="3020.7096000000001"/>
    <n v="0"/>
    <s v="Daily Sales Import"/>
    <n v="-3020.7096000000001"/>
    <n v="3020.7096000000001"/>
    <x v="2"/>
    <s v="2100"/>
    <s v="000"/>
    <x v="5"/>
    <x v="2"/>
  </r>
  <r>
    <d v="2013-03-25T00:00:00"/>
    <s v="018-2210-000"/>
    <s v="Liquor Sales"/>
    <n v="659.15560000000005"/>
    <n v="0"/>
    <s v="Daily Sales Import"/>
    <n v="-659.15560000000005"/>
    <n v="659.15560000000005"/>
    <x v="2"/>
    <s v="2210"/>
    <s v="000"/>
    <x v="5"/>
    <x v="2"/>
  </r>
  <r>
    <d v="2013-03-25T00:00:00"/>
    <s v="018-2220-000"/>
    <s v="Beer Sales"/>
    <n v="135.32849999999999"/>
    <n v="0"/>
    <s v="Daily Sales Import"/>
    <n v="-135.32849999999999"/>
    <n v="135.32849999999999"/>
    <x v="2"/>
    <s v="2220"/>
    <s v="000"/>
    <x v="5"/>
    <x v="2"/>
  </r>
  <r>
    <d v="2013-03-25T00:00:00"/>
    <s v="018-2230-000"/>
    <s v="Wine Sales"/>
    <n v="11.984999999999999"/>
    <n v="0"/>
    <s v="Daily Sales Import"/>
    <n v="-11.984999999999999"/>
    <n v="11.984999999999999"/>
    <x v="2"/>
    <s v="2230"/>
    <s v="000"/>
    <x v="5"/>
    <x v="2"/>
  </r>
  <r>
    <d v="2013-03-26T00:00:00"/>
    <s v="018-2100-000"/>
    <s v="Food Sales"/>
    <n v="5279.5604000000003"/>
    <n v="0"/>
    <s v="Daily Sales Import"/>
    <n v="-5279.5604000000003"/>
    <n v="5279.5604000000003"/>
    <x v="2"/>
    <s v="2100"/>
    <s v="000"/>
    <x v="5"/>
    <x v="2"/>
  </r>
  <r>
    <d v="2013-03-26T00:00:00"/>
    <s v="018-2210-000"/>
    <s v="Liquor Sales"/>
    <n v="754.24719999999991"/>
    <n v="0"/>
    <s v="Daily Sales Import"/>
    <n v="-754.24719999999991"/>
    <n v="754.24719999999991"/>
    <x v="2"/>
    <s v="2210"/>
    <s v="000"/>
    <x v="5"/>
    <x v="2"/>
  </r>
  <r>
    <d v="2013-03-26T00:00:00"/>
    <s v="018-2220-000"/>
    <s v="Beer Sales"/>
    <n v="281.54699999999997"/>
    <n v="0"/>
    <s v="Daily Sales Import"/>
    <n v="-281.54699999999997"/>
    <n v="281.54699999999997"/>
    <x v="2"/>
    <s v="2220"/>
    <s v="000"/>
    <x v="5"/>
    <x v="2"/>
  </r>
  <r>
    <d v="2013-03-26T00:00:00"/>
    <s v="018-2230-000"/>
    <s v="Wine Sales"/>
    <n v="25.258800000000001"/>
    <n v="0"/>
    <s v="Daily Sales Import"/>
    <n v="-25.258800000000001"/>
    <n v="25.258800000000001"/>
    <x v="2"/>
    <s v="2230"/>
    <s v="000"/>
    <x v="5"/>
    <x v="2"/>
  </r>
  <r>
    <d v="2013-03-27T00:00:00"/>
    <s v="018-2100-000"/>
    <s v="Food Sales"/>
    <n v="4382.5205999999998"/>
    <n v="0"/>
    <s v="Daily Sales Import"/>
    <n v="-4382.5205999999998"/>
    <n v="4382.5205999999998"/>
    <x v="2"/>
    <s v="2100"/>
    <s v="000"/>
    <x v="5"/>
    <x v="2"/>
  </r>
  <r>
    <d v="2013-03-27T00:00:00"/>
    <s v="018-2210-000"/>
    <s v="Liquor Sales"/>
    <n v="863.41679999999985"/>
    <n v="0"/>
    <s v="Daily Sales Import"/>
    <n v="-863.41679999999985"/>
    <n v="863.41679999999985"/>
    <x v="2"/>
    <s v="2210"/>
    <s v="000"/>
    <x v="5"/>
    <x v="2"/>
  </r>
  <r>
    <d v="2013-03-27T00:00:00"/>
    <s v="018-2220-000"/>
    <s v="Beer Sales"/>
    <n v="381.7122"/>
    <n v="0"/>
    <s v="Daily Sales Import"/>
    <n v="-381.7122"/>
    <n v="381.7122"/>
    <x v="2"/>
    <s v="2220"/>
    <s v="000"/>
    <x v="5"/>
    <x v="2"/>
  </r>
  <r>
    <d v="2013-03-27T00:00:00"/>
    <s v="018-2230-000"/>
    <s v="Wine Sales"/>
    <n v="83.748000000000005"/>
    <n v="0"/>
    <s v="Daily Sales Import"/>
    <n v="-83.748000000000005"/>
    <n v="83.748000000000005"/>
    <x v="2"/>
    <s v="2230"/>
    <s v="000"/>
    <x v="5"/>
    <x v="2"/>
  </r>
  <r>
    <d v="2013-03-28T00:00:00"/>
    <s v="018-2100-000"/>
    <s v="Food Sales"/>
    <n v="5140.8449999999993"/>
    <n v="0"/>
    <s v="Daily Sales Import"/>
    <n v="-5140.8449999999993"/>
    <n v="5140.8449999999993"/>
    <x v="2"/>
    <s v="2100"/>
    <s v="000"/>
    <x v="5"/>
    <x v="2"/>
  </r>
  <r>
    <d v="2013-03-28T00:00:00"/>
    <s v="018-2210-000"/>
    <s v="Liquor Sales"/>
    <n v="1399.0716"/>
    <n v="0"/>
    <s v="Daily Sales Import"/>
    <n v="-1399.0716"/>
    <n v="1399.0716"/>
    <x v="2"/>
    <s v="2210"/>
    <s v="000"/>
    <x v="5"/>
    <x v="2"/>
  </r>
  <r>
    <d v="2013-03-28T00:00:00"/>
    <s v="018-2220-000"/>
    <s v="Beer Sales"/>
    <n v="273.548"/>
    <n v="0"/>
    <s v="Daily Sales Import"/>
    <n v="-273.548"/>
    <n v="273.548"/>
    <x v="2"/>
    <s v="2220"/>
    <s v="000"/>
    <x v="5"/>
    <x v="2"/>
  </r>
  <r>
    <d v="2013-03-28T00:00:00"/>
    <s v="018-2230-000"/>
    <s v="Wine Sales"/>
    <n v="51.006999999999998"/>
    <n v="0"/>
    <s v="Daily Sales Import"/>
    <n v="-51.006999999999998"/>
    <n v="51.006999999999998"/>
    <x v="2"/>
    <s v="2230"/>
    <s v="000"/>
    <x v="5"/>
    <x v="2"/>
  </r>
  <r>
    <d v="2013-03-29T00:00:00"/>
    <s v="018-2100-000"/>
    <s v="Food Sales"/>
    <n v="8749.2553000000007"/>
    <n v="0"/>
    <s v="Daily Sales Import"/>
    <n v="-8749.2553000000007"/>
    <n v="8749.2553000000007"/>
    <x v="2"/>
    <s v="2100"/>
    <s v="000"/>
    <x v="5"/>
    <x v="2"/>
  </r>
  <r>
    <d v="2013-03-29T00:00:00"/>
    <s v="018-2210-000"/>
    <s v="Liquor Sales"/>
    <n v="3238.8202000000001"/>
    <n v="0"/>
    <s v="Daily Sales Import"/>
    <n v="-3238.8202000000001"/>
    <n v="3238.8202000000001"/>
    <x v="2"/>
    <s v="2210"/>
    <s v="000"/>
    <x v="5"/>
    <x v="2"/>
  </r>
  <r>
    <d v="2013-03-29T00:00:00"/>
    <s v="018-2220-000"/>
    <s v="Beer Sales"/>
    <n v="644.48720000000003"/>
    <n v="0"/>
    <s v="Daily Sales Import"/>
    <n v="-644.48720000000003"/>
    <n v="644.48720000000003"/>
    <x v="2"/>
    <s v="2220"/>
    <s v="000"/>
    <x v="5"/>
    <x v="2"/>
  </r>
  <r>
    <d v="2013-03-29T00:00:00"/>
    <s v="018-2230-000"/>
    <s v="Wine Sales"/>
    <n v="145.5608"/>
    <n v="0"/>
    <s v="Daily Sales Import"/>
    <n v="-145.5608"/>
    <n v="145.5608"/>
    <x v="2"/>
    <s v="2230"/>
    <s v="000"/>
    <x v="5"/>
    <x v="2"/>
  </r>
  <r>
    <d v="2013-03-30T00:00:00"/>
    <s v="018-2100-000"/>
    <s v="Food Sales"/>
    <n v="12778.3539"/>
    <n v="0"/>
    <s v="Daily Sales Import"/>
    <n v="-12778.3539"/>
    <n v="12778.3539"/>
    <x v="2"/>
    <s v="2100"/>
    <s v="000"/>
    <x v="5"/>
    <x v="2"/>
  </r>
  <r>
    <d v="2013-03-30T00:00:00"/>
    <s v="018-2210-000"/>
    <s v="Liquor Sales"/>
    <n v="3887.3813999999998"/>
    <n v="0"/>
    <s v="Daily Sales Import"/>
    <n v="-3887.3813999999998"/>
    <n v="3887.3813999999998"/>
    <x v="2"/>
    <s v="2210"/>
    <s v="000"/>
    <x v="5"/>
    <x v="2"/>
  </r>
  <r>
    <d v="2013-03-30T00:00:00"/>
    <s v="018-2220-000"/>
    <s v="Beer Sales"/>
    <n v="737.59"/>
    <n v="0"/>
    <s v="Daily Sales Import"/>
    <n v="-737.59"/>
    <n v="737.59"/>
    <x v="2"/>
    <s v="2220"/>
    <s v="000"/>
    <x v="5"/>
    <x v="2"/>
  </r>
  <r>
    <d v="2013-03-30T00:00:00"/>
    <s v="018-2230-000"/>
    <s v="Wine Sales"/>
    <n v="130.34700000000001"/>
    <n v="0"/>
    <s v="Daily Sales Import"/>
    <n v="-130.34700000000001"/>
    <n v="130.34700000000001"/>
    <x v="2"/>
    <s v="2230"/>
    <s v="000"/>
    <x v="5"/>
    <x v="2"/>
  </r>
  <r>
    <d v="2013-03-31T00:00:00"/>
    <s v="018-2100-000"/>
    <s v="Food Sales"/>
    <n v="7767.585"/>
    <n v="0"/>
    <s v="Daily Sales Import"/>
    <n v="-7767.585"/>
    <n v="7767.585"/>
    <x v="2"/>
    <s v="2100"/>
    <s v="000"/>
    <x v="5"/>
    <x v="2"/>
  </r>
  <r>
    <d v="2013-03-31T00:00:00"/>
    <s v="018-2210-000"/>
    <s v="Liquor Sales"/>
    <n v="849.36880000000008"/>
    <n v="0"/>
    <s v="Daily Sales Import"/>
    <n v="-849.36880000000008"/>
    <n v="849.36880000000008"/>
    <x v="2"/>
    <s v="2210"/>
    <s v="000"/>
    <x v="5"/>
    <x v="2"/>
  </r>
  <r>
    <d v="2013-03-31T00:00:00"/>
    <s v="018-2220-000"/>
    <s v="Beer Sales"/>
    <n v="226.85039999999998"/>
    <n v="0"/>
    <s v="Daily Sales Import"/>
    <n v="-226.85039999999998"/>
    <n v="226.85039999999998"/>
    <x v="2"/>
    <s v="2220"/>
    <s v="000"/>
    <x v="5"/>
    <x v="2"/>
  </r>
  <r>
    <d v="2013-03-31T00:00:00"/>
    <s v="018-2230-000"/>
    <s v="Wine Sales"/>
    <n v="140.43780000000001"/>
    <n v="0"/>
    <s v="Daily Sales Import"/>
    <n v="-140.43780000000001"/>
    <n v="140.43780000000001"/>
    <x v="2"/>
    <s v="2230"/>
    <s v="000"/>
    <x v="5"/>
    <x v="2"/>
  </r>
  <r>
    <d v="2013-04-01T00:00:00"/>
    <s v="016-2100-000"/>
    <s v="Food Sales"/>
    <n v="4554.0054"/>
    <n v="0"/>
    <s v="Daily Sales Import"/>
    <n v="-4554.0054"/>
    <n v="4554.0054"/>
    <x v="0"/>
    <s v="2100"/>
    <s v="000"/>
    <x v="6"/>
    <x v="2"/>
  </r>
  <r>
    <d v="2013-04-01T00:00:00"/>
    <s v="016-2210-000"/>
    <s v="Liquor Sales"/>
    <n v="855.22050000000002"/>
    <n v="0"/>
    <s v="Daily Sales Import"/>
    <n v="-855.22050000000002"/>
    <n v="855.22050000000002"/>
    <x v="0"/>
    <s v="2210"/>
    <s v="000"/>
    <x v="6"/>
    <x v="2"/>
  </r>
  <r>
    <d v="2013-04-01T00:00:00"/>
    <s v="016-2220-000"/>
    <s v="Beer Sales"/>
    <n v="134.5017"/>
    <n v="0"/>
    <s v="Daily Sales Import"/>
    <n v="-134.5017"/>
    <n v="134.5017"/>
    <x v="0"/>
    <s v="2220"/>
    <s v="000"/>
    <x v="6"/>
    <x v="2"/>
  </r>
  <r>
    <d v="2013-04-01T00:00:00"/>
    <s v="016-2230-000"/>
    <s v="Wine Sales"/>
    <n v="67.807599999999994"/>
    <n v="0"/>
    <s v="Daily Sales Import"/>
    <n v="-67.807599999999994"/>
    <n v="67.807599999999994"/>
    <x v="0"/>
    <s v="2230"/>
    <s v="000"/>
    <x v="6"/>
    <x v="2"/>
  </r>
  <r>
    <d v="2013-04-02T00:00:00"/>
    <s v="016-2100-000"/>
    <s v="Food Sales"/>
    <n v="5282.1720000000005"/>
    <n v="0"/>
    <s v="Daily Sales Import"/>
    <n v="-5282.1720000000005"/>
    <n v="5282.1720000000005"/>
    <x v="0"/>
    <s v="2100"/>
    <s v="000"/>
    <x v="6"/>
    <x v="2"/>
  </r>
  <r>
    <d v="2013-04-02T00:00:00"/>
    <s v="016-2210-000"/>
    <s v="Liquor Sales"/>
    <n v="2251.386"/>
    <n v="0"/>
    <s v="Daily Sales Import"/>
    <n v="-2251.386"/>
    <n v="2251.386"/>
    <x v="0"/>
    <s v="2210"/>
    <s v="000"/>
    <x v="6"/>
    <x v="2"/>
  </r>
  <r>
    <d v="2013-04-02T00:00:00"/>
    <s v="016-2220-000"/>
    <s v="Beer Sales"/>
    <n v="1047.6316000000002"/>
    <n v="0"/>
    <s v="Daily Sales Import"/>
    <n v="-1047.6316000000002"/>
    <n v="1047.6316000000002"/>
    <x v="0"/>
    <s v="2220"/>
    <s v="000"/>
    <x v="6"/>
    <x v="2"/>
  </r>
  <r>
    <d v="2013-04-02T00:00:00"/>
    <s v="016-2230-000"/>
    <s v="Wine Sales"/>
    <n v="189.7484"/>
    <n v="0"/>
    <s v="Daily Sales Import"/>
    <n v="-189.7484"/>
    <n v="189.7484"/>
    <x v="0"/>
    <s v="2230"/>
    <s v="000"/>
    <x v="6"/>
    <x v="2"/>
  </r>
  <r>
    <d v="2013-04-03T00:00:00"/>
    <s v="016-2100-000"/>
    <s v="Food Sales"/>
    <n v="4191.4719000000005"/>
    <n v="0"/>
    <s v="Daily Sales Import"/>
    <n v="-4191.4719000000005"/>
    <n v="4191.4719000000005"/>
    <x v="0"/>
    <s v="2100"/>
    <s v="000"/>
    <x v="6"/>
    <x v="2"/>
  </r>
  <r>
    <d v="2013-04-03T00:00:00"/>
    <s v="016-2210-000"/>
    <s v="Liquor Sales"/>
    <n v="1190.2080000000001"/>
    <n v="0"/>
    <s v="Daily Sales Import"/>
    <n v="-1190.2080000000001"/>
    <n v="1190.2080000000001"/>
    <x v="0"/>
    <s v="2210"/>
    <s v="000"/>
    <x v="6"/>
    <x v="2"/>
  </r>
  <r>
    <d v="2013-04-03T00:00:00"/>
    <s v="016-2220-000"/>
    <s v="Beer Sales"/>
    <n v="193.18799999999999"/>
    <n v="0"/>
    <s v="Daily Sales Import"/>
    <n v="-193.18799999999999"/>
    <n v="193.18799999999999"/>
    <x v="0"/>
    <s v="2220"/>
    <s v="000"/>
    <x v="6"/>
    <x v="2"/>
  </r>
  <r>
    <d v="2013-04-03T00:00:00"/>
    <s v="016-2230-000"/>
    <s v="Wine Sales"/>
    <n v="79.128"/>
    <n v="0"/>
    <s v="Daily Sales Import"/>
    <n v="-79.128"/>
    <n v="79.128"/>
    <x v="0"/>
    <s v="2230"/>
    <s v="000"/>
    <x v="6"/>
    <x v="2"/>
  </r>
  <r>
    <d v="2013-04-04T00:00:00"/>
    <s v="016-2100-000"/>
    <s v="Food Sales"/>
    <n v="3120.105"/>
    <n v="0"/>
    <s v="Daily Sales Import"/>
    <n v="-3120.105"/>
    <n v="3120.105"/>
    <x v="0"/>
    <s v="2100"/>
    <s v="000"/>
    <x v="6"/>
    <x v="2"/>
  </r>
  <r>
    <d v="2013-04-04T00:00:00"/>
    <s v="016-2210-000"/>
    <s v="Liquor Sales"/>
    <n v="612.90440000000012"/>
    <n v="0"/>
    <s v="Daily Sales Import"/>
    <n v="-612.90440000000012"/>
    <n v="612.90440000000012"/>
    <x v="0"/>
    <s v="2210"/>
    <s v="000"/>
    <x v="6"/>
    <x v="2"/>
  </r>
  <r>
    <d v="2013-04-04T00:00:00"/>
    <s v="016-2220-000"/>
    <s v="Beer Sales"/>
    <n v="143.46400000000003"/>
    <n v="0"/>
    <s v="Daily Sales Import"/>
    <n v="-143.46400000000003"/>
    <n v="143.46400000000003"/>
    <x v="0"/>
    <s v="2220"/>
    <s v="000"/>
    <x v="6"/>
    <x v="2"/>
  </r>
  <r>
    <d v="2013-04-04T00:00:00"/>
    <s v="016-2230-000"/>
    <s v="Wine Sales"/>
    <n v="119.624"/>
    <n v="0"/>
    <s v="Daily Sales Import"/>
    <n v="-119.624"/>
    <n v="119.624"/>
    <x v="0"/>
    <s v="2230"/>
    <s v="000"/>
    <x v="6"/>
    <x v="2"/>
  </r>
  <r>
    <d v="2013-04-05T00:00:00"/>
    <s v="016-2100-000"/>
    <s v="Food Sales"/>
    <n v="7257.9433000000008"/>
    <n v="0"/>
    <s v="Daily Sales Import"/>
    <n v="-7257.9433000000008"/>
    <n v="7257.9433000000008"/>
    <x v="0"/>
    <s v="2100"/>
    <s v="000"/>
    <x v="6"/>
    <x v="2"/>
  </r>
  <r>
    <d v="2013-04-05T00:00:00"/>
    <s v="016-2210-000"/>
    <s v="Liquor Sales"/>
    <n v="2666.5650000000001"/>
    <n v="0"/>
    <s v="Daily Sales Import"/>
    <n v="-2666.5650000000001"/>
    <n v="2666.5650000000001"/>
    <x v="0"/>
    <s v="2210"/>
    <s v="000"/>
    <x v="6"/>
    <x v="2"/>
  </r>
  <r>
    <d v="2013-04-05T00:00:00"/>
    <s v="016-2220-000"/>
    <s v="Beer Sales"/>
    <n v="299.60450000000003"/>
    <n v="0"/>
    <s v="Daily Sales Import"/>
    <n v="-299.60450000000003"/>
    <n v="299.60450000000003"/>
    <x v="0"/>
    <s v="2220"/>
    <s v="000"/>
    <x v="6"/>
    <x v="2"/>
  </r>
  <r>
    <d v="2013-04-05T00:00:00"/>
    <s v="016-2230-000"/>
    <s v="Wine Sales"/>
    <n v="99.815100000000001"/>
    <n v="0"/>
    <s v="Daily Sales Import"/>
    <n v="-99.815100000000001"/>
    <n v="99.815100000000001"/>
    <x v="0"/>
    <s v="2230"/>
    <s v="000"/>
    <x v="6"/>
    <x v="2"/>
  </r>
  <r>
    <d v="2013-04-06T00:00:00"/>
    <s v="016-2100-000"/>
    <s v="Food Sales"/>
    <n v="7991.0469000000003"/>
    <n v="0"/>
    <s v="Daily Sales Import"/>
    <n v="-7991.0469000000003"/>
    <n v="7991.0469000000003"/>
    <x v="0"/>
    <s v="2100"/>
    <s v="000"/>
    <x v="6"/>
    <x v="2"/>
  </r>
  <r>
    <d v="2013-04-06T00:00:00"/>
    <s v="016-2210-000"/>
    <s v="Liquor Sales"/>
    <n v="2096.8793999999998"/>
    <n v="0"/>
    <s v="Daily Sales Import"/>
    <n v="-2096.8793999999998"/>
    <n v="2096.8793999999998"/>
    <x v="0"/>
    <s v="2210"/>
    <s v="000"/>
    <x v="6"/>
    <x v="2"/>
  </r>
  <r>
    <d v="2013-04-06T00:00:00"/>
    <s v="016-2220-000"/>
    <s v="Beer Sales"/>
    <n v="309.2672"/>
    <n v="0"/>
    <s v="Daily Sales Import"/>
    <n v="-309.2672"/>
    <n v="309.2672"/>
    <x v="0"/>
    <s v="2220"/>
    <s v="000"/>
    <x v="6"/>
    <x v="2"/>
  </r>
  <r>
    <d v="2013-04-06T00:00:00"/>
    <s v="016-2230-000"/>
    <s v="Wine Sales"/>
    <n v="239.2842"/>
    <n v="0"/>
    <s v="Daily Sales Import"/>
    <n v="-239.2842"/>
    <n v="239.2842"/>
    <x v="0"/>
    <s v="2230"/>
    <s v="000"/>
    <x v="6"/>
    <x v="2"/>
  </r>
  <r>
    <d v="2013-04-07T00:00:00"/>
    <s v="016-2100-000"/>
    <s v="Food Sales"/>
    <n v="4996.6601999999993"/>
    <n v="0"/>
    <s v="Daily Sales Import"/>
    <n v="-4996.6601999999993"/>
    <n v="4996.6601999999993"/>
    <x v="0"/>
    <s v="2100"/>
    <s v="000"/>
    <x v="6"/>
    <x v="2"/>
  </r>
  <r>
    <d v="2013-04-07T00:00:00"/>
    <s v="016-2210-000"/>
    <s v="Liquor Sales"/>
    <n v="1231.4440999999999"/>
    <n v="0"/>
    <s v="Daily Sales Import"/>
    <n v="-1231.4440999999999"/>
    <n v="1231.4440999999999"/>
    <x v="0"/>
    <s v="2210"/>
    <s v="000"/>
    <x v="6"/>
    <x v="2"/>
  </r>
  <r>
    <d v="2013-04-07T00:00:00"/>
    <s v="016-2220-000"/>
    <s v="Beer Sales"/>
    <n v="251.5975"/>
    <n v="0"/>
    <s v="Daily Sales Import"/>
    <n v="-251.5975"/>
    <n v="251.5975"/>
    <x v="0"/>
    <s v="2220"/>
    <s v="000"/>
    <x v="6"/>
    <x v="2"/>
  </r>
  <r>
    <d v="2013-04-07T00:00:00"/>
    <s v="016-2230-000"/>
    <s v="Wine Sales"/>
    <n v="227.64420000000001"/>
    <n v="0"/>
    <s v="Daily Sales Import"/>
    <n v="-227.64420000000001"/>
    <n v="227.64420000000001"/>
    <x v="0"/>
    <s v="2230"/>
    <s v="000"/>
    <x v="6"/>
    <x v="2"/>
  </r>
  <r>
    <d v="2013-04-01T00:00:00"/>
    <s v="017-2100-000"/>
    <s v="Food Sales"/>
    <n v="5006.4560000000001"/>
    <n v="0"/>
    <s v="Daily Sales Import"/>
    <n v="-5006.4560000000001"/>
    <n v="5006.4560000000001"/>
    <x v="1"/>
    <s v="2100"/>
    <s v="000"/>
    <x v="6"/>
    <x v="2"/>
  </r>
  <r>
    <d v="2013-04-01T00:00:00"/>
    <s v="017-2210-000"/>
    <s v="Liquor Sales"/>
    <n v="1221.57"/>
    <n v="0"/>
    <s v="Daily Sales Import"/>
    <n v="-1221.57"/>
    <n v="1221.57"/>
    <x v="1"/>
    <s v="2210"/>
    <s v="000"/>
    <x v="6"/>
    <x v="2"/>
  </r>
  <r>
    <d v="2013-04-01T00:00:00"/>
    <s v="017-2220-000"/>
    <s v="Beer Sales"/>
    <n v="250.768"/>
    <n v="0"/>
    <s v="Daily Sales Import"/>
    <n v="-250.768"/>
    <n v="250.768"/>
    <x v="1"/>
    <s v="2220"/>
    <s v="000"/>
    <x v="6"/>
    <x v="2"/>
  </r>
  <r>
    <d v="2013-04-01T00:00:00"/>
    <s v="017-2230-000"/>
    <s v="Wine Sales"/>
    <n v="92.822400000000002"/>
    <n v="0"/>
    <s v="Daily Sales Import"/>
    <n v="-92.822400000000002"/>
    <n v="92.822400000000002"/>
    <x v="1"/>
    <s v="2230"/>
    <s v="000"/>
    <x v="6"/>
    <x v="2"/>
  </r>
  <r>
    <d v="2013-04-02T00:00:00"/>
    <s v="017-2100-000"/>
    <s v="Food Sales"/>
    <n v="5029.4552000000003"/>
    <n v="0"/>
    <s v="Daily Sales Import"/>
    <n v="-5029.4552000000003"/>
    <n v="5029.4552000000003"/>
    <x v="1"/>
    <s v="2100"/>
    <s v="000"/>
    <x v="6"/>
    <x v="2"/>
  </r>
  <r>
    <d v="2013-04-02T00:00:00"/>
    <s v="017-2210-000"/>
    <s v="Liquor Sales"/>
    <n v="1243.539"/>
    <n v="0"/>
    <s v="Daily Sales Import"/>
    <n v="-1243.539"/>
    <n v="1243.539"/>
    <x v="1"/>
    <s v="2210"/>
    <s v="000"/>
    <x v="6"/>
    <x v="2"/>
  </r>
  <r>
    <d v="2013-04-02T00:00:00"/>
    <s v="017-2220-000"/>
    <s v="Beer Sales"/>
    <n v="322.96420000000001"/>
    <n v="0"/>
    <s v="Daily Sales Import"/>
    <n v="-322.96420000000001"/>
    <n v="322.96420000000001"/>
    <x v="1"/>
    <s v="2220"/>
    <s v="000"/>
    <x v="6"/>
    <x v="2"/>
  </r>
  <r>
    <d v="2013-04-02T00:00:00"/>
    <s v="017-2230-000"/>
    <s v="Wine Sales"/>
    <n v="74.733000000000004"/>
    <n v="0"/>
    <s v="Daily Sales Import"/>
    <n v="-74.733000000000004"/>
    <n v="74.733000000000004"/>
    <x v="1"/>
    <s v="2230"/>
    <s v="000"/>
    <x v="6"/>
    <x v="2"/>
  </r>
  <r>
    <d v="2013-04-03T00:00:00"/>
    <s v="017-2100-000"/>
    <s v="Food Sales"/>
    <n v="6446.3040000000001"/>
    <n v="0"/>
    <s v="Daily Sales Import"/>
    <n v="-6446.3040000000001"/>
    <n v="6446.3040000000001"/>
    <x v="1"/>
    <s v="2100"/>
    <s v="000"/>
    <x v="6"/>
    <x v="2"/>
  </r>
  <r>
    <d v="2013-04-03T00:00:00"/>
    <s v="017-2210-000"/>
    <s v="Liquor Sales"/>
    <n v="862.17200000000014"/>
    <n v="0"/>
    <s v="Daily Sales Import"/>
    <n v="-862.17200000000014"/>
    <n v="862.17200000000014"/>
    <x v="1"/>
    <s v="2210"/>
    <s v="000"/>
    <x v="6"/>
    <x v="2"/>
  </r>
  <r>
    <d v="2013-04-03T00:00:00"/>
    <s v="017-2220-000"/>
    <s v="Beer Sales"/>
    <n v="300.53520000000003"/>
    <n v="0"/>
    <s v="Daily Sales Import"/>
    <n v="-300.53520000000003"/>
    <n v="300.53520000000003"/>
    <x v="1"/>
    <s v="2220"/>
    <s v="000"/>
    <x v="6"/>
    <x v="2"/>
  </r>
  <r>
    <d v="2013-04-03T00:00:00"/>
    <s v="017-2230-000"/>
    <s v="Wine Sales"/>
    <n v="56.617400000000004"/>
    <n v="0"/>
    <s v="Daily Sales Import"/>
    <n v="-56.617400000000004"/>
    <n v="56.617400000000004"/>
    <x v="1"/>
    <s v="2230"/>
    <s v="000"/>
    <x v="6"/>
    <x v="2"/>
  </r>
  <r>
    <d v="2013-04-04T00:00:00"/>
    <s v="017-2100-000"/>
    <s v="Food Sales"/>
    <n v="5256.5349999999999"/>
    <n v="0"/>
    <s v="Daily Sales Import"/>
    <n v="-5256.5349999999999"/>
    <n v="5256.5349999999999"/>
    <x v="1"/>
    <s v="2100"/>
    <s v="000"/>
    <x v="6"/>
    <x v="2"/>
  </r>
  <r>
    <d v="2013-04-04T00:00:00"/>
    <s v="017-2210-000"/>
    <s v="Liquor Sales"/>
    <n v="1439.1454000000001"/>
    <n v="0"/>
    <s v="Daily Sales Import"/>
    <n v="-1439.1454000000001"/>
    <n v="1439.1454000000001"/>
    <x v="1"/>
    <s v="2210"/>
    <s v="000"/>
    <x v="6"/>
    <x v="2"/>
  </r>
  <r>
    <d v="2013-04-04T00:00:00"/>
    <s v="017-2220-000"/>
    <s v="Beer Sales"/>
    <n v="340.51800000000003"/>
    <n v="0"/>
    <s v="Daily Sales Import"/>
    <n v="-340.51800000000003"/>
    <n v="340.51800000000003"/>
    <x v="1"/>
    <s v="2220"/>
    <s v="000"/>
    <x v="6"/>
    <x v="2"/>
  </r>
  <r>
    <d v="2013-04-04T00:00:00"/>
    <s v="017-2230-000"/>
    <s v="Wine Sales"/>
    <n v="172.126"/>
    <n v="0"/>
    <s v="Daily Sales Import"/>
    <n v="-172.126"/>
    <n v="172.126"/>
    <x v="1"/>
    <s v="2230"/>
    <s v="000"/>
    <x v="6"/>
    <x v="2"/>
  </r>
  <r>
    <d v="2013-04-05T00:00:00"/>
    <s v="017-2100-000"/>
    <s v="Food Sales"/>
    <n v="8693.3375999999989"/>
    <n v="0"/>
    <s v="Daily Sales Import"/>
    <n v="-8693.3375999999989"/>
    <n v="8693.3375999999989"/>
    <x v="1"/>
    <s v="2100"/>
    <s v="000"/>
    <x v="6"/>
    <x v="2"/>
  </r>
  <r>
    <d v="2013-04-05T00:00:00"/>
    <s v="017-2210-000"/>
    <s v="Liquor Sales"/>
    <n v="2794.0311000000002"/>
    <n v="0"/>
    <s v="Daily Sales Import"/>
    <n v="-2794.0311000000002"/>
    <n v="2794.0311000000002"/>
    <x v="1"/>
    <s v="2210"/>
    <s v="000"/>
    <x v="6"/>
    <x v="2"/>
  </r>
  <r>
    <d v="2013-04-05T00:00:00"/>
    <s v="017-2220-000"/>
    <s v="Beer Sales"/>
    <n v="871.00799999999992"/>
    <n v="0"/>
    <s v="Daily Sales Import"/>
    <n v="-871.00799999999992"/>
    <n v="871.00799999999992"/>
    <x v="1"/>
    <s v="2220"/>
    <s v="000"/>
    <x v="6"/>
    <x v="2"/>
  </r>
  <r>
    <d v="2013-04-05T00:00:00"/>
    <s v="017-2230-000"/>
    <s v="Wine Sales"/>
    <n v="65.951899999999995"/>
    <n v="0"/>
    <s v="Daily Sales Import"/>
    <n v="-65.951899999999995"/>
    <n v="65.951899999999995"/>
    <x v="1"/>
    <s v="2230"/>
    <s v="000"/>
    <x v="6"/>
    <x v="2"/>
  </r>
  <r>
    <d v="2013-04-06T00:00:00"/>
    <s v="017-2100-000"/>
    <s v="Food Sales"/>
    <n v="9799.362000000001"/>
    <n v="0"/>
    <s v="Daily Sales Import"/>
    <n v="-9799.362000000001"/>
    <n v="9799.362000000001"/>
    <x v="1"/>
    <s v="2100"/>
    <s v="000"/>
    <x v="6"/>
    <x v="2"/>
  </r>
  <r>
    <d v="2013-04-06T00:00:00"/>
    <s v="017-2210-000"/>
    <s v="Liquor Sales"/>
    <n v="2079.337"/>
    <n v="0"/>
    <s v="Daily Sales Import"/>
    <n v="-2079.337"/>
    <n v="2079.337"/>
    <x v="1"/>
    <s v="2210"/>
    <s v="000"/>
    <x v="6"/>
    <x v="2"/>
  </r>
  <r>
    <d v="2013-04-06T00:00:00"/>
    <s v="017-2220-000"/>
    <s v="Beer Sales"/>
    <n v="408.61579999999998"/>
    <n v="0"/>
    <s v="Daily Sales Import"/>
    <n v="-408.61579999999998"/>
    <n v="408.61579999999998"/>
    <x v="1"/>
    <s v="2220"/>
    <s v="000"/>
    <x v="6"/>
    <x v="2"/>
  </r>
  <r>
    <d v="2013-04-06T00:00:00"/>
    <s v="017-2230-000"/>
    <s v="Wine Sales"/>
    <n v="93.045399999999987"/>
    <n v="0"/>
    <s v="Daily Sales Import"/>
    <n v="-93.045399999999987"/>
    <n v="93.045399999999987"/>
    <x v="1"/>
    <s v="2230"/>
    <s v="000"/>
    <x v="6"/>
    <x v="2"/>
  </r>
  <r>
    <d v="2013-04-07T00:00:00"/>
    <s v="017-2100-000"/>
    <s v="Food Sales"/>
    <n v="5542.9084000000003"/>
    <n v="0"/>
    <s v="Daily Sales Import"/>
    <n v="-5542.9084000000003"/>
    <n v="5542.9084000000003"/>
    <x v="1"/>
    <s v="2100"/>
    <s v="000"/>
    <x v="6"/>
    <x v="2"/>
  </r>
  <r>
    <d v="2013-04-07T00:00:00"/>
    <s v="017-2210-000"/>
    <s v="Liquor Sales"/>
    <n v="1429.2549999999999"/>
    <n v="0"/>
    <s v="Daily Sales Import"/>
    <n v="-1429.2549999999999"/>
    <n v="1429.2549999999999"/>
    <x v="1"/>
    <s v="2210"/>
    <s v="000"/>
    <x v="6"/>
    <x v="2"/>
  </r>
  <r>
    <d v="2013-04-07T00:00:00"/>
    <s v="017-2220-000"/>
    <s v="Beer Sales"/>
    <n v="361.62700000000001"/>
    <n v="0"/>
    <s v="Daily Sales Import"/>
    <n v="-361.62700000000001"/>
    <n v="361.62700000000001"/>
    <x v="1"/>
    <s v="2220"/>
    <s v="000"/>
    <x v="6"/>
    <x v="2"/>
  </r>
  <r>
    <d v="2013-04-07T00:00:00"/>
    <s v="017-2230-000"/>
    <s v="Wine Sales"/>
    <n v="131.69919999999999"/>
    <n v="0"/>
    <s v="Daily Sales Import"/>
    <n v="-131.69919999999999"/>
    <n v="131.69919999999999"/>
    <x v="1"/>
    <s v="2230"/>
    <s v="000"/>
    <x v="6"/>
    <x v="2"/>
  </r>
  <r>
    <d v="2013-04-01T00:00:00"/>
    <s v="018-2100-000"/>
    <s v="Food Sales"/>
    <n v="3499.0889999999999"/>
    <n v="0"/>
    <s v="Daily Sales Import"/>
    <n v="-3499.0889999999999"/>
    <n v="3499.0889999999999"/>
    <x v="2"/>
    <s v="2100"/>
    <s v="000"/>
    <x v="6"/>
    <x v="2"/>
  </r>
  <r>
    <d v="2013-04-01T00:00:00"/>
    <s v="018-2210-000"/>
    <s v="Liquor Sales"/>
    <n v="798.35850000000005"/>
    <n v="0"/>
    <s v="Daily Sales Import"/>
    <n v="-798.35850000000005"/>
    <n v="798.35850000000005"/>
    <x v="2"/>
    <s v="2210"/>
    <s v="000"/>
    <x v="6"/>
    <x v="2"/>
  </r>
  <r>
    <d v="2013-04-01T00:00:00"/>
    <s v="018-2220-000"/>
    <s v="Beer Sales"/>
    <n v="138.8835"/>
    <n v="0"/>
    <s v="Daily Sales Import"/>
    <n v="-138.8835"/>
    <n v="138.8835"/>
    <x v="2"/>
    <s v="2220"/>
    <s v="000"/>
    <x v="6"/>
    <x v="2"/>
  </r>
  <r>
    <d v="2013-04-01T00:00:00"/>
    <s v="018-2230-000"/>
    <s v="Wine Sales"/>
    <n v="17.232400000000002"/>
    <n v="0"/>
    <s v="Daily Sales Import"/>
    <n v="-17.232400000000002"/>
    <n v="17.232400000000002"/>
    <x v="2"/>
    <s v="2230"/>
    <s v="000"/>
    <x v="6"/>
    <x v="2"/>
  </r>
  <r>
    <d v="2013-04-02T00:00:00"/>
    <s v="018-2100-000"/>
    <s v="Food Sales"/>
    <n v="3711.3047999999999"/>
    <n v="0"/>
    <s v="Daily Sales Import"/>
    <n v="-3711.3047999999999"/>
    <n v="3711.3047999999999"/>
    <x v="2"/>
    <s v="2100"/>
    <s v="000"/>
    <x v="6"/>
    <x v="2"/>
  </r>
  <r>
    <d v="2013-04-02T00:00:00"/>
    <s v="018-2210-000"/>
    <s v="Liquor Sales"/>
    <n v="570.61699999999996"/>
    <n v="0"/>
    <s v="Daily Sales Import"/>
    <n v="-570.61699999999996"/>
    <n v="570.61699999999996"/>
    <x v="2"/>
    <s v="2210"/>
    <s v="000"/>
    <x v="6"/>
    <x v="2"/>
  </r>
  <r>
    <d v="2013-04-02T00:00:00"/>
    <s v="018-2220-000"/>
    <s v="Beer Sales"/>
    <n v="61.342799999999997"/>
    <n v="0"/>
    <s v="Daily Sales Import"/>
    <n v="-61.342799999999997"/>
    <n v="61.342799999999997"/>
    <x v="2"/>
    <s v="2220"/>
    <s v="000"/>
    <x v="6"/>
    <x v="2"/>
  </r>
  <r>
    <d v="2013-04-02T00:00:00"/>
    <s v="018-2230-000"/>
    <s v="Wine Sales"/>
    <n v="56.334199999999996"/>
    <n v="0"/>
    <s v="Daily Sales Import"/>
    <n v="-56.334199999999996"/>
    <n v="56.334199999999996"/>
    <x v="2"/>
    <s v="2230"/>
    <s v="000"/>
    <x v="6"/>
    <x v="2"/>
  </r>
  <r>
    <d v="2013-04-03T00:00:00"/>
    <s v="018-2100-000"/>
    <s v="Food Sales"/>
    <n v="3324.3925000000004"/>
    <n v="0"/>
    <s v="Daily Sales Import"/>
    <n v="-3324.3925000000004"/>
    <n v="3324.3925000000004"/>
    <x v="2"/>
    <s v="2100"/>
    <s v="000"/>
    <x v="6"/>
    <x v="2"/>
  </r>
  <r>
    <d v="2013-04-03T00:00:00"/>
    <s v="018-2210-000"/>
    <s v="Liquor Sales"/>
    <n v="952.82150000000001"/>
    <n v="0"/>
    <s v="Daily Sales Import"/>
    <n v="-952.82150000000001"/>
    <n v="952.82150000000001"/>
    <x v="2"/>
    <s v="2210"/>
    <s v="000"/>
    <x v="6"/>
    <x v="2"/>
  </r>
  <r>
    <d v="2013-04-03T00:00:00"/>
    <s v="018-2220-000"/>
    <s v="Beer Sales"/>
    <n v="263.15519999999998"/>
    <n v="0"/>
    <s v="Daily Sales Import"/>
    <n v="-263.15519999999998"/>
    <n v="263.15519999999998"/>
    <x v="2"/>
    <s v="2220"/>
    <s v="000"/>
    <x v="6"/>
    <x v="2"/>
  </r>
  <r>
    <d v="2013-04-03T00:00:00"/>
    <s v="018-2230-000"/>
    <s v="Wine Sales"/>
    <n v="7.8183999999999996"/>
    <n v="0"/>
    <s v="Daily Sales Import"/>
    <n v="-7.8183999999999996"/>
    <n v="7.8183999999999996"/>
    <x v="2"/>
    <s v="2230"/>
    <s v="000"/>
    <x v="6"/>
    <x v="2"/>
  </r>
  <r>
    <d v="2013-04-04T00:00:00"/>
    <s v="018-2100-000"/>
    <s v="Food Sales"/>
    <n v="4034.3098000000005"/>
    <n v="0"/>
    <s v="Daily Sales Import"/>
    <n v="-4034.3098000000005"/>
    <n v="4034.3098000000005"/>
    <x v="2"/>
    <s v="2100"/>
    <s v="000"/>
    <x v="6"/>
    <x v="2"/>
  </r>
  <r>
    <d v="2013-04-04T00:00:00"/>
    <s v="018-2210-000"/>
    <s v="Liquor Sales"/>
    <n v="637.60400000000004"/>
    <n v="0"/>
    <s v="Daily Sales Import"/>
    <n v="-637.60400000000004"/>
    <n v="637.60400000000004"/>
    <x v="2"/>
    <s v="2210"/>
    <s v="000"/>
    <x v="6"/>
    <x v="2"/>
  </r>
  <r>
    <d v="2013-04-04T00:00:00"/>
    <s v="018-2220-000"/>
    <s v="Beer Sales"/>
    <n v="281.74960000000004"/>
    <n v="0"/>
    <s v="Daily Sales Import"/>
    <n v="-281.74960000000004"/>
    <n v="281.74960000000004"/>
    <x v="2"/>
    <s v="2220"/>
    <s v="000"/>
    <x v="6"/>
    <x v="2"/>
  </r>
  <r>
    <d v="2013-04-04T00:00:00"/>
    <s v="018-2230-000"/>
    <s v="Wine Sales"/>
    <n v="97.430999999999997"/>
    <n v="0"/>
    <s v="Daily Sales Import"/>
    <n v="-97.430999999999997"/>
    <n v="97.430999999999997"/>
    <x v="2"/>
    <s v="2230"/>
    <s v="000"/>
    <x v="6"/>
    <x v="2"/>
  </r>
  <r>
    <d v="2013-04-05T00:00:00"/>
    <s v="018-2100-000"/>
    <s v="Food Sales"/>
    <n v="12929.571399999999"/>
    <n v="0"/>
    <s v="Daily Sales Import"/>
    <n v="-12929.571399999999"/>
    <n v="12929.571399999999"/>
    <x v="2"/>
    <s v="2100"/>
    <s v="000"/>
    <x v="6"/>
    <x v="2"/>
  </r>
  <r>
    <d v="2013-04-05T00:00:00"/>
    <s v="018-2210-000"/>
    <s v="Liquor Sales"/>
    <n v="2539.3472000000002"/>
    <n v="0"/>
    <s v="Daily Sales Import"/>
    <n v="-2539.3472000000002"/>
    <n v="2539.3472000000002"/>
    <x v="2"/>
    <s v="2210"/>
    <s v="000"/>
    <x v="6"/>
    <x v="2"/>
  </r>
  <r>
    <d v="2013-04-05T00:00:00"/>
    <s v="018-2220-000"/>
    <s v="Beer Sales"/>
    <n v="981.90899999999999"/>
    <n v="0"/>
    <s v="Daily Sales Import"/>
    <n v="-981.90899999999999"/>
    <n v="981.90899999999999"/>
    <x v="2"/>
    <s v="2220"/>
    <s v="000"/>
    <x v="6"/>
    <x v="2"/>
  </r>
  <r>
    <d v="2013-04-05T00:00:00"/>
    <s v="018-2230-000"/>
    <s v="Wine Sales"/>
    <n v="198.9134"/>
    <n v="0"/>
    <s v="Daily Sales Import"/>
    <n v="-198.9134"/>
    <n v="198.9134"/>
    <x v="2"/>
    <s v="2230"/>
    <s v="000"/>
    <x v="6"/>
    <x v="2"/>
  </r>
  <r>
    <d v="2013-04-06T00:00:00"/>
    <s v="018-2100-000"/>
    <s v="Food Sales"/>
    <n v="17717.850000000002"/>
    <n v="0"/>
    <s v="Daily Sales Import"/>
    <n v="-17717.850000000002"/>
    <n v="17717.850000000002"/>
    <x v="2"/>
    <s v="2100"/>
    <s v="000"/>
    <x v="6"/>
    <x v="2"/>
  </r>
  <r>
    <d v="2013-04-06T00:00:00"/>
    <s v="018-2210-000"/>
    <s v="Liquor Sales"/>
    <n v="3304.2359999999999"/>
    <n v="0"/>
    <s v="Daily Sales Import"/>
    <n v="-3304.2359999999999"/>
    <n v="3304.2359999999999"/>
    <x v="2"/>
    <s v="2210"/>
    <s v="000"/>
    <x v="6"/>
    <x v="2"/>
  </r>
  <r>
    <d v="2013-04-06T00:00:00"/>
    <s v="018-2220-000"/>
    <s v="Beer Sales"/>
    <n v="878.94159999999999"/>
    <n v="0"/>
    <s v="Daily Sales Import"/>
    <n v="-878.94159999999999"/>
    <n v="878.94159999999999"/>
    <x v="2"/>
    <s v="2220"/>
    <s v="000"/>
    <x v="6"/>
    <x v="2"/>
  </r>
  <r>
    <d v="2013-04-06T00:00:00"/>
    <s v="018-2230-000"/>
    <s v="Wine Sales"/>
    <n v="309.72720000000004"/>
    <n v="0"/>
    <s v="Daily Sales Import"/>
    <n v="-309.72720000000004"/>
    <n v="309.72720000000004"/>
    <x v="2"/>
    <s v="2230"/>
    <s v="000"/>
    <x v="6"/>
    <x v="2"/>
  </r>
  <r>
    <d v="2013-04-07T00:00:00"/>
    <s v="018-2100-000"/>
    <s v="Food Sales"/>
    <n v="10976.856599999999"/>
    <n v="0"/>
    <s v="Daily Sales Import"/>
    <n v="-10976.856599999999"/>
    <n v="10976.856599999999"/>
    <x v="2"/>
    <s v="2100"/>
    <s v="000"/>
    <x v="6"/>
    <x v="2"/>
  </r>
  <r>
    <d v="2013-04-07T00:00:00"/>
    <s v="018-2210-000"/>
    <s v="Liquor Sales"/>
    <n v="1290.4512"/>
    <n v="0"/>
    <s v="Daily Sales Import"/>
    <n v="-1290.4512"/>
    <n v="1290.4512"/>
    <x v="2"/>
    <s v="2210"/>
    <s v="000"/>
    <x v="6"/>
    <x v="2"/>
  </r>
  <r>
    <d v="2013-04-07T00:00:00"/>
    <s v="018-2220-000"/>
    <s v="Beer Sales"/>
    <n v="545.93649999999991"/>
    <n v="0"/>
    <s v="Daily Sales Import"/>
    <n v="-545.93649999999991"/>
    <n v="545.93649999999991"/>
    <x v="2"/>
    <s v="2220"/>
    <s v="000"/>
    <x v="6"/>
    <x v="2"/>
  </r>
  <r>
    <d v="2013-04-07T00:00:00"/>
    <s v="018-2230-000"/>
    <s v="Wine Sales"/>
    <n v="53.888000000000005"/>
    <n v="0"/>
    <s v="Daily Sales Import"/>
    <n v="-53.888000000000005"/>
    <n v="53.888000000000005"/>
    <x v="2"/>
    <s v="2230"/>
    <s v="000"/>
    <x v="6"/>
    <x v="2"/>
  </r>
  <r>
    <d v="2013-04-08T00:00:00"/>
    <s v="016-2100-000"/>
    <s v="Food Sales"/>
    <n v="2363.3714"/>
    <n v="0"/>
    <s v="Daily Sales Import"/>
    <n v="-2363.3714"/>
    <n v="2363.3714"/>
    <x v="0"/>
    <s v="2100"/>
    <s v="000"/>
    <x v="6"/>
    <x v="2"/>
  </r>
  <r>
    <d v="2013-04-08T00:00:00"/>
    <s v="016-2210-000"/>
    <s v="Liquor Sales"/>
    <n v="751.0752"/>
    <n v="0"/>
    <s v="Daily Sales Import"/>
    <n v="-751.0752"/>
    <n v="751.0752"/>
    <x v="0"/>
    <s v="2210"/>
    <s v="000"/>
    <x v="6"/>
    <x v="2"/>
  </r>
  <r>
    <d v="2013-04-08T00:00:00"/>
    <s v="016-2220-000"/>
    <s v="Beer Sales"/>
    <n v="157.86750000000001"/>
    <n v="0"/>
    <s v="Daily Sales Import"/>
    <n v="-157.86750000000001"/>
    <n v="157.86750000000001"/>
    <x v="0"/>
    <s v="2220"/>
    <s v="000"/>
    <x v="6"/>
    <x v="2"/>
  </r>
  <r>
    <d v="2013-04-08T00:00:00"/>
    <s v="016-2230-000"/>
    <s v="Wine Sales"/>
    <n v="7.5341999999999993"/>
    <n v="0"/>
    <s v="Daily Sales Import"/>
    <n v="-7.5341999999999993"/>
    <n v="7.5341999999999993"/>
    <x v="0"/>
    <s v="2230"/>
    <s v="000"/>
    <x v="6"/>
    <x v="2"/>
  </r>
  <r>
    <d v="2013-04-09T00:00:00"/>
    <s v="016-2100-000"/>
    <s v="Food Sales"/>
    <n v="5469.7306999999992"/>
    <n v="0"/>
    <s v="Daily Sales Import"/>
    <n v="-5469.7306999999992"/>
    <n v="5469.7306999999992"/>
    <x v="0"/>
    <s v="2100"/>
    <s v="000"/>
    <x v="6"/>
    <x v="2"/>
  </r>
  <r>
    <d v="2013-04-09T00:00:00"/>
    <s v="016-2210-000"/>
    <s v="Liquor Sales"/>
    <n v="2933.88"/>
    <n v="0"/>
    <s v="Daily Sales Import"/>
    <n v="-2933.88"/>
    <n v="2933.88"/>
    <x v="0"/>
    <s v="2210"/>
    <s v="000"/>
    <x v="6"/>
    <x v="2"/>
  </r>
  <r>
    <d v="2013-04-09T00:00:00"/>
    <s v="016-2220-000"/>
    <s v="Beer Sales"/>
    <n v="855.57229999999993"/>
    <n v="0"/>
    <s v="Daily Sales Import"/>
    <n v="-855.57229999999993"/>
    <n v="855.57229999999993"/>
    <x v="0"/>
    <s v="2220"/>
    <s v="000"/>
    <x v="6"/>
    <x v="2"/>
  </r>
  <r>
    <d v="2013-04-09T00:00:00"/>
    <s v="016-2230-000"/>
    <s v="Wine Sales"/>
    <n v="173.8064"/>
    <n v="0"/>
    <s v="Daily Sales Import"/>
    <n v="-173.8064"/>
    <n v="173.8064"/>
    <x v="0"/>
    <s v="2230"/>
    <s v="000"/>
    <x v="6"/>
    <x v="2"/>
  </r>
  <r>
    <d v="2013-04-10T00:00:00"/>
    <s v="016-2100-000"/>
    <s v="Food Sales"/>
    <n v="3371.25"/>
    <n v="0"/>
    <s v="Daily Sales Import"/>
    <n v="-3371.25"/>
    <n v="3371.25"/>
    <x v="0"/>
    <s v="2100"/>
    <s v="000"/>
    <x v="6"/>
    <x v="2"/>
  </r>
  <r>
    <d v="2013-04-10T00:00:00"/>
    <s v="016-2210-000"/>
    <s v="Liquor Sales"/>
    <n v="781.83"/>
    <n v="0"/>
    <s v="Daily Sales Import"/>
    <n v="-781.83"/>
    <n v="781.83"/>
    <x v="0"/>
    <s v="2210"/>
    <s v="000"/>
    <x v="6"/>
    <x v="2"/>
  </r>
  <r>
    <d v="2013-04-10T00:00:00"/>
    <s v="016-2220-000"/>
    <s v="Beer Sales"/>
    <n v="130.416"/>
    <n v="0"/>
    <s v="Daily Sales Import"/>
    <n v="-130.416"/>
    <n v="130.416"/>
    <x v="0"/>
    <s v="2220"/>
    <s v="000"/>
    <x v="6"/>
    <x v="2"/>
  </r>
  <r>
    <d v="2013-04-10T00:00:00"/>
    <s v="016-2230-000"/>
    <s v="Wine Sales"/>
    <n v="75.463800000000006"/>
    <n v="0"/>
    <s v="Daily Sales Import"/>
    <n v="-75.463800000000006"/>
    <n v="75.463800000000006"/>
    <x v="0"/>
    <s v="2230"/>
    <s v="000"/>
    <x v="6"/>
    <x v="2"/>
  </r>
  <r>
    <d v="2013-04-11T00:00:00"/>
    <s v="016-2100-000"/>
    <s v="Food Sales"/>
    <n v="3130.1759999999999"/>
    <n v="0"/>
    <s v="Daily Sales Import"/>
    <n v="-3130.1759999999999"/>
    <n v="3130.1759999999999"/>
    <x v="0"/>
    <s v="2100"/>
    <s v="000"/>
    <x v="6"/>
    <x v="2"/>
  </r>
  <r>
    <d v="2013-04-11T00:00:00"/>
    <s v="016-2210-000"/>
    <s v="Liquor Sales"/>
    <n v="780.87710000000004"/>
    <n v="0"/>
    <s v="Daily Sales Import"/>
    <n v="-780.87710000000004"/>
    <n v="780.87710000000004"/>
    <x v="0"/>
    <s v="2210"/>
    <s v="000"/>
    <x v="6"/>
    <x v="2"/>
  </r>
  <r>
    <d v="2013-04-11T00:00:00"/>
    <s v="016-2220-000"/>
    <s v="Beer Sales"/>
    <n v="97.662000000000006"/>
    <n v="0"/>
    <s v="Daily Sales Import"/>
    <n v="-97.662000000000006"/>
    <n v="97.662000000000006"/>
    <x v="0"/>
    <s v="2220"/>
    <s v="000"/>
    <x v="6"/>
    <x v="2"/>
  </r>
  <r>
    <d v="2013-04-11T00:00:00"/>
    <s v="016-2230-000"/>
    <s v="Wine Sales"/>
    <n v="48.803000000000004"/>
    <n v="0"/>
    <s v="Daily Sales Import"/>
    <n v="-48.803000000000004"/>
    <n v="48.803000000000004"/>
    <x v="0"/>
    <s v="2230"/>
    <s v="000"/>
    <x v="6"/>
    <x v="2"/>
  </r>
  <r>
    <d v="2013-04-12T00:00:00"/>
    <s v="016-2100-000"/>
    <s v="Food Sales"/>
    <n v="5016.4290000000001"/>
    <n v="0"/>
    <s v="Daily Sales Import"/>
    <n v="-5016.4290000000001"/>
    <n v="5016.4290000000001"/>
    <x v="0"/>
    <s v="2100"/>
    <s v="000"/>
    <x v="6"/>
    <x v="2"/>
  </r>
  <r>
    <d v="2013-04-12T00:00:00"/>
    <s v="016-2210-000"/>
    <s v="Liquor Sales"/>
    <n v="1648.0853999999999"/>
    <n v="0"/>
    <s v="Daily Sales Import"/>
    <n v="-1648.0853999999999"/>
    <n v="1648.0853999999999"/>
    <x v="0"/>
    <s v="2210"/>
    <s v="000"/>
    <x v="6"/>
    <x v="2"/>
  </r>
  <r>
    <d v="2013-04-12T00:00:00"/>
    <s v="016-2220-000"/>
    <s v="Beer Sales"/>
    <n v="339.38080000000002"/>
    <n v="0"/>
    <s v="Daily Sales Import"/>
    <n v="-339.38080000000002"/>
    <n v="339.38080000000002"/>
    <x v="0"/>
    <s v="2220"/>
    <s v="000"/>
    <x v="6"/>
    <x v="2"/>
  </r>
  <r>
    <d v="2013-04-12T00:00:00"/>
    <s v="016-2230-000"/>
    <s v="Wine Sales"/>
    <n v="169.0872"/>
    <n v="0"/>
    <s v="Daily Sales Import"/>
    <n v="-169.0872"/>
    <n v="169.0872"/>
    <x v="0"/>
    <s v="2230"/>
    <s v="000"/>
    <x v="6"/>
    <x v="2"/>
  </r>
  <r>
    <d v="2013-04-13T00:00:00"/>
    <s v="016-2100-000"/>
    <s v="Food Sales"/>
    <n v="7002.3625000000002"/>
    <n v="0"/>
    <s v="Daily Sales Import"/>
    <n v="-7002.3625000000002"/>
    <n v="7002.3625000000002"/>
    <x v="0"/>
    <s v="2100"/>
    <s v="000"/>
    <x v="6"/>
    <x v="2"/>
  </r>
  <r>
    <d v="2013-04-13T00:00:00"/>
    <s v="016-2210-000"/>
    <s v="Liquor Sales"/>
    <n v="1884.7728000000002"/>
    <n v="0"/>
    <s v="Daily Sales Import"/>
    <n v="-1884.7728000000002"/>
    <n v="1884.7728000000002"/>
    <x v="0"/>
    <s v="2210"/>
    <s v="000"/>
    <x v="6"/>
    <x v="2"/>
  </r>
  <r>
    <d v="2013-04-13T00:00:00"/>
    <s v="016-2220-000"/>
    <s v="Beer Sales"/>
    <n v="328.28399999999999"/>
    <n v="0"/>
    <s v="Daily Sales Import"/>
    <n v="-328.28399999999999"/>
    <n v="328.28399999999999"/>
    <x v="0"/>
    <s v="2220"/>
    <s v="000"/>
    <x v="6"/>
    <x v="2"/>
  </r>
  <r>
    <d v="2013-04-13T00:00:00"/>
    <s v="016-2230-000"/>
    <s v="Wine Sales"/>
    <n v="220.17199999999997"/>
    <n v="0"/>
    <s v="Daily Sales Import"/>
    <n v="-220.17199999999997"/>
    <n v="220.17199999999997"/>
    <x v="0"/>
    <s v="2230"/>
    <s v="000"/>
    <x v="6"/>
    <x v="2"/>
  </r>
  <r>
    <d v="2013-04-14T00:00:00"/>
    <s v="016-2100-000"/>
    <s v="Food Sales"/>
    <n v="6185.9349000000002"/>
    <n v="0"/>
    <s v="Daily Sales Import"/>
    <n v="-6185.9349000000002"/>
    <n v="6185.9349000000002"/>
    <x v="0"/>
    <s v="2100"/>
    <s v="000"/>
    <x v="6"/>
    <x v="2"/>
  </r>
  <r>
    <d v="2013-04-14T00:00:00"/>
    <s v="016-2210-000"/>
    <s v="Liquor Sales"/>
    <n v="980.84700000000009"/>
    <n v="0"/>
    <s v="Daily Sales Import"/>
    <n v="-980.84700000000009"/>
    <n v="980.84700000000009"/>
    <x v="0"/>
    <s v="2210"/>
    <s v="000"/>
    <x v="6"/>
    <x v="2"/>
  </r>
  <r>
    <d v="2013-04-14T00:00:00"/>
    <s v="016-2220-000"/>
    <s v="Beer Sales"/>
    <n v="243.73759999999999"/>
    <n v="0"/>
    <s v="Daily Sales Import"/>
    <n v="-243.73759999999999"/>
    <n v="243.73759999999999"/>
    <x v="0"/>
    <s v="2220"/>
    <s v="000"/>
    <x v="6"/>
    <x v="2"/>
  </r>
  <r>
    <d v="2013-04-14T00:00:00"/>
    <s v="016-2230-000"/>
    <s v="Wine Sales"/>
    <n v="99.4422"/>
    <n v="0"/>
    <s v="Daily Sales Import"/>
    <n v="-99.4422"/>
    <n v="99.4422"/>
    <x v="0"/>
    <s v="2230"/>
    <s v="000"/>
    <x v="6"/>
    <x v="2"/>
  </r>
  <r>
    <d v="2013-04-08T00:00:00"/>
    <s v="017-2100-000"/>
    <s v="Food Sales"/>
    <n v="5990.2012999999997"/>
    <n v="0"/>
    <s v="Daily Sales Import"/>
    <n v="-5990.2012999999997"/>
    <n v="5990.2012999999997"/>
    <x v="1"/>
    <s v="2100"/>
    <s v="000"/>
    <x v="6"/>
    <x v="2"/>
  </r>
  <r>
    <d v="2013-04-08T00:00:00"/>
    <s v="017-2210-000"/>
    <s v="Liquor Sales"/>
    <n v="1013.4735999999999"/>
    <n v="0"/>
    <s v="Daily Sales Import"/>
    <n v="-1013.4735999999999"/>
    <n v="1013.4735999999999"/>
    <x v="1"/>
    <s v="2210"/>
    <s v="000"/>
    <x v="6"/>
    <x v="2"/>
  </r>
  <r>
    <d v="2013-04-08T00:00:00"/>
    <s v="017-2220-000"/>
    <s v="Beer Sales"/>
    <n v="439.4196"/>
    <n v="0"/>
    <s v="Daily Sales Import"/>
    <n v="-439.4196"/>
    <n v="439.4196"/>
    <x v="1"/>
    <s v="2220"/>
    <s v="000"/>
    <x v="6"/>
    <x v="2"/>
  </r>
  <r>
    <d v="2013-04-08T00:00:00"/>
    <s v="017-2230-000"/>
    <s v="Wine Sales"/>
    <n v="43.551200000000001"/>
    <n v="0"/>
    <s v="Daily Sales Import"/>
    <n v="-43.551200000000001"/>
    <n v="43.551200000000001"/>
    <x v="1"/>
    <s v="2230"/>
    <s v="000"/>
    <x v="6"/>
    <x v="2"/>
  </r>
  <r>
    <d v="2013-04-09T00:00:00"/>
    <s v="017-2100-000"/>
    <s v="Food Sales"/>
    <n v="6996.8430000000008"/>
    <n v="0"/>
    <s v="Daily Sales Import"/>
    <n v="-6996.8430000000008"/>
    <n v="6996.8430000000008"/>
    <x v="1"/>
    <s v="2100"/>
    <s v="000"/>
    <x v="6"/>
    <x v="2"/>
  </r>
  <r>
    <d v="2013-04-09T00:00:00"/>
    <s v="017-2210-000"/>
    <s v="Liquor Sales"/>
    <n v="1358.0364"/>
    <n v="0"/>
    <s v="Daily Sales Import"/>
    <n v="-1358.0364"/>
    <n v="1358.0364"/>
    <x v="1"/>
    <s v="2210"/>
    <s v="000"/>
    <x v="6"/>
    <x v="2"/>
  </r>
  <r>
    <d v="2013-04-09T00:00:00"/>
    <s v="017-2220-000"/>
    <s v="Beer Sales"/>
    <n v="446.22"/>
    <n v="0"/>
    <s v="Daily Sales Import"/>
    <n v="-446.22"/>
    <n v="446.22"/>
    <x v="1"/>
    <s v="2220"/>
    <s v="000"/>
    <x v="6"/>
    <x v="2"/>
  </r>
  <r>
    <d v="2013-04-09T00:00:00"/>
    <s v="017-2230-000"/>
    <s v="Wine Sales"/>
    <n v="99.209000000000003"/>
    <n v="0"/>
    <s v="Daily Sales Import"/>
    <n v="-99.209000000000003"/>
    <n v="99.209000000000003"/>
    <x v="1"/>
    <s v="2230"/>
    <s v="000"/>
    <x v="6"/>
    <x v="2"/>
  </r>
  <r>
    <d v="2013-04-10T00:00:00"/>
    <s v="017-2100-000"/>
    <s v="Food Sales"/>
    <n v="6196.1056000000008"/>
    <n v="0"/>
    <s v="Daily Sales Import"/>
    <n v="-6196.1056000000008"/>
    <n v="6196.1056000000008"/>
    <x v="1"/>
    <s v="2100"/>
    <s v="000"/>
    <x v="6"/>
    <x v="2"/>
  </r>
  <r>
    <d v="2013-04-10T00:00:00"/>
    <s v="017-2210-000"/>
    <s v="Liquor Sales"/>
    <n v="1605.6578999999999"/>
    <n v="0"/>
    <s v="Daily Sales Import"/>
    <n v="-1605.6578999999999"/>
    <n v="1605.6578999999999"/>
    <x v="1"/>
    <s v="2210"/>
    <s v="000"/>
    <x v="6"/>
    <x v="2"/>
  </r>
  <r>
    <d v="2013-04-10T00:00:00"/>
    <s v="017-2220-000"/>
    <s v="Beer Sales"/>
    <n v="493.12230000000005"/>
    <n v="0"/>
    <s v="Daily Sales Import"/>
    <n v="-493.12230000000005"/>
    <n v="493.12230000000005"/>
    <x v="1"/>
    <s v="2220"/>
    <s v="000"/>
    <x v="6"/>
    <x v="2"/>
  </r>
  <r>
    <d v="2013-04-10T00:00:00"/>
    <s v="017-2230-000"/>
    <s v="Wine Sales"/>
    <n v="78.966200000000001"/>
    <n v="0"/>
    <s v="Daily Sales Import"/>
    <n v="-78.966200000000001"/>
    <n v="78.966200000000001"/>
    <x v="1"/>
    <s v="2230"/>
    <s v="000"/>
    <x v="6"/>
    <x v="2"/>
  </r>
  <r>
    <d v="2013-04-11T00:00:00"/>
    <s v="017-2100-000"/>
    <s v="Food Sales"/>
    <n v="5707.2673999999997"/>
    <n v="0"/>
    <s v="Daily Sales Import"/>
    <n v="-5707.2673999999997"/>
    <n v="5707.2673999999997"/>
    <x v="1"/>
    <s v="2100"/>
    <s v="000"/>
    <x v="6"/>
    <x v="2"/>
  </r>
  <r>
    <d v="2013-04-11T00:00:00"/>
    <s v="017-2210-000"/>
    <s v="Liquor Sales"/>
    <n v="1329.2628"/>
    <n v="0"/>
    <s v="Daily Sales Import"/>
    <n v="-1329.2628"/>
    <n v="1329.2628"/>
    <x v="1"/>
    <s v="2210"/>
    <s v="000"/>
    <x v="6"/>
    <x v="2"/>
  </r>
  <r>
    <d v="2013-04-11T00:00:00"/>
    <s v="017-2220-000"/>
    <s v="Beer Sales"/>
    <n v="481.73070000000001"/>
    <n v="0"/>
    <s v="Daily Sales Import"/>
    <n v="-481.73070000000001"/>
    <n v="481.73070000000001"/>
    <x v="1"/>
    <s v="2220"/>
    <s v="000"/>
    <x v="6"/>
    <x v="2"/>
  </r>
  <r>
    <d v="2013-04-11T00:00:00"/>
    <s v="017-2230-000"/>
    <s v="Wine Sales"/>
    <n v="108.7086"/>
    <n v="0"/>
    <s v="Daily Sales Import"/>
    <n v="-108.7086"/>
    <n v="108.7086"/>
    <x v="1"/>
    <s v="2230"/>
    <s v="000"/>
    <x v="6"/>
    <x v="2"/>
  </r>
  <r>
    <d v="2013-04-12T00:00:00"/>
    <s v="017-2100-000"/>
    <s v="Food Sales"/>
    <n v="6774.6156000000001"/>
    <n v="0"/>
    <s v="Daily Sales Import"/>
    <n v="-6774.6156000000001"/>
    <n v="6774.6156000000001"/>
    <x v="1"/>
    <s v="2100"/>
    <s v="000"/>
    <x v="6"/>
    <x v="2"/>
  </r>
  <r>
    <d v="2013-04-12T00:00:00"/>
    <s v="017-2210-000"/>
    <s v="Liquor Sales"/>
    <n v="1718.5225999999998"/>
    <n v="0"/>
    <s v="Daily Sales Import"/>
    <n v="-1718.5225999999998"/>
    <n v="1718.5225999999998"/>
    <x v="1"/>
    <s v="2210"/>
    <s v="000"/>
    <x v="6"/>
    <x v="2"/>
  </r>
  <r>
    <d v="2013-04-12T00:00:00"/>
    <s v="017-2220-000"/>
    <s v="Beer Sales"/>
    <n v="481.59980000000002"/>
    <n v="0"/>
    <s v="Daily Sales Import"/>
    <n v="-481.59980000000002"/>
    <n v="481.59980000000002"/>
    <x v="1"/>
    <s v="2220"/>
    <s v="000"/>
    <x v="6"/>
    <x v="2"/>
  </r>
  <r>
    <d v="2013-04-12T00:00:00"/>
    <s v="017-2230-000"/>
    <s v="Wine Sales"/>
    <n v="132.52330000000001"/>
    <n v="0"/>
    <s v="Daily Sales Import"/>
    <n v="-132.52330000000001"/>
    <n v="132.52330000000001"/>
    <x v="1"/>
    <s v="2230"/>
    <s v="000"/>
    <x v="6"/>
    <x v="2"/>
  </r>
  <r>
    <d v="2013-04-13T00:00:00"/>
    <s v="017-2100-000"/>
    <s v="Food Sales"/>
    <n v="6546.4895999999999"/>
    <n v="0"/>
    <s v="Daily Sales Import"/>
    <n v="-6546.4895999999999"/>
    <n v="6546.4895999999999"/>
    <x v="1"/>
    <s v="2100"/>
    <s v="000"/>
    <x v="6"/>
    <x v="2"/>
  </r>
  <r>
    <d v="2013-04-13T00:00:00"/>
    <s v="017-2210-000"/>
    <s v="Liquor Sales"/>
    <n v="2531.0911999999998"/>
    <n v="0"/>
    <s v="Daily Sales Import"/>
    <n v="-2531.0911999999998"/>
    <n v="2531.0911999999998"/>
    <x v="1"/>
    <s v="2210"/>
    <s v="000"/>
    <x v="6"/>
    <x v="2"/>
  </r>
  <r>
    <d v="2013-04-13T00:00:00"/>
    <s v="017-2220-000"/>
    <s v="Beer Sales"/>
    <n v="486.43740000000003"/>
    <n v="0"/>
    <s v="Daily Sales Import"/>
    <n v="-486.43740000000003"/>
    <n v="486.43740000000003"/>
    <x v="1"/>
    <s v="2220"/>
    <s v="000"/>
    <x v="6"/>
    <x v="2"/>
  </r>
  <r>
    <d v="2013-04-13T00:00:00"/>
    <s v="017-2230-000"/>
    <s v="Wine Sales"/>
    <n v="64.38"/>
    <n v="0"/>
    <s v="Daily Sales Import"/>
    <n v="-64.38"/>
    <n v="64.38"/>
    <x v="1"/>
    <s v="2230"/>
    <s v="000"/>
    <x v="6"/>
    <x v="2"/>
  </r>
  <r>
    <d v="2013-04-14T00:00:00"/>
    <s v="017-2100-000"/>
    <s v="Food Sales"/>
    <n v="4209.0574999999999"/>
    <n v="0"/>
    <s v="Daily Sales Import"/>
    <n v="-4209.0574999999999"/>
    <n v="4209.0574999999999"/>
    <x v="1"/>
    <s v="2100"/>
    <s v="000"/>
    <x v="6"/>
    <x v="2"/>
  </r>
  <r>
    <d v="2013-04-14T00:00:00"/>
    <s v="017-2210-000"/>
    <s v="Liquor Sales"/>
    <n v="796.33439999999996"/>
    <n v="0"/>
    <s v="Daily Sales Import"/>
    <n v="-796.33439999999996"/>
    <n v="796.33439999999996"/>
    <x v="1"/>
    <s v="2210"/>
    <s v="000"/>
    <x v="6"/>
    <x v="2"/>
  </r>
  <r>
    <d v="2013-04-14T00:00:00"/>
    <s v="017-2220-000"/>
    <s v="Beer Sales"/>
    <n v="110.94880000000001"/>
    <n v="0"/>
    <s v="Daily Sales Import"/>
    <n v="-110.94880000000001"/>
    <n v="110.94880000000001"/>
    <x v="1"/>
    <s v="2220"/>
    <s v="000"/>
    <x v="6"/>
    <x v="2"/>
  </r>
  <r>
    <d v="2013-04-14T00:00:00"/>
    <s v="017-2230-000"/>
    <s v="Wine Sales"/>
    <n v="62.6432"/>
    <n v="0"/>
    <s v="Daily Sales Import"/>
    <n v="-62.6432"/>
    <n v="62.6432"/>
    <x v="1"/>
    <s v="2230"/>
    <s v="000"/>
    <x v="6"/>
    <x v="2"/>
  </r>
  <r>
    <d v="2013-04-08T00:00:00"/>
    <s v="018-2100-000"/>
    <s v="Food Sales"/>
    <n v="2694.1475"/>
    <n v="0"/>
    <s v="Daily Sales Import"/>
    <n v="-2694.1475"/>
    <n v="2694.1475"/>
    <x v="2"/>
    <s v="2100"/>
    <s v="000"/>
    <x v="6"/>
    <x v="2"/>
  </r>
  <r>
    <d v="2013-04-08T00:00:00"/>
    <s v="018-2210-000"/>
    <s v="Liquor Sales"/>
    <n v="845.39909999999998"/>
    <n v="0"/>
    <s v="Daily Sales Import"/>
    <n v="-845.39909999999998"/>
    <n v="845.39909999999998"/>
    <x v="2"/>
    <s v="2210"/>
    <s v="000"/>
    <x v="6"/>
    <x v="2"/>
  </r>
  <r>
    <d v="2013-04-08T00:00:00"/>
    <s v="018-2220-000"/>
    <s v="Beer Sales"/>
    <n v="207.44200000000001"/>
    <n v="0"/>
    <s v="Daily Sales Import"/>
    <n v="-207.44200000000001"/>
    <n v="207.44200000000001"/>
    <x v="2"/>
    <s v="2220"/>
    <s v="000"/>
    <x v="6"/>
    <x v="2"/>
  </r>
  <r>
    <d v="2013-04-08T00:00:00"/>
    <s v="018-2230-000"/>
    <s v="Wine Sales"/>
    <n v="53.808300000000003"/>
    <n v="0"/>
    <s v="Daily Sales Import"/>
    <n v="-53.808300000000003"/>
    <n v="53.808300000000003"/>
    <x v="2"/>
    <s v="2230"/>
    <s v="000"/>
    <x v="6"/>
    <x v="2"/>
  </r>
  <r>
    <d v="2013-04-09T00:00:00"/>
    <s v="018-2100-000"/>
    <s v="Food Sales"/>
    <n v="4049.0447999999997"/>
    <n v="0"/>
    <s v="Daily Sales Import"/>
    <n v="-4049.0447999999997"/>
    <n v="4049.0447999999997"/>
    <x v="2"/>
    <s v="2100"/>
    <s v="000"/>
    <x v="6"/>
    <x v="2"/>
  </r>
  <r>
    <d v="2013-04-09T00:00:00"/>
    <s v="018-2210-000"/>
    <s v="Liquor Sales"/>
    <n v="905.79000000000008"/>
    <n v="0"/>
    <s v="Daily Sales Import"/>
    <n v="-905.79000000000008"/>
    <n v="905.79000000000008"/>
    <x v="2"/>
    <s v="2210"/>
    <s v="000"/>
    <x v="6"/>
    <x v="2"/>
  </r>
  <r>
    <d v="2013-04-09T00:00:00"/>
    <s v="018-2220-000"/>
    <s v="Beer Sales"/>
    <n v="255.3973"/>
    <n v="0"/>
    <s v="Daily Sales Import"/>
    <n v="-255.3973"/>
    <n v="255.3973"/>
    <x v="2"/>
    <s v="2220"/>
    <s v="000"/>
    <x v="6"/>
    <x v="2"/>
  </r>
  <r>
    <d v="2013-04-09T00:00:00"/>
    <s v="018-2230-000"/>
    <s v="Wine Sales"/>
    <n v="67.23899999999999"/>
    <n v="0"/>
    <s v="Daily Sales Import"/>
    <n v="-67.23899999999999"/>
    <n v="67.23899999999999"/>
    <x v="2"/>
    <s v="2230"/>
    <s v="000"/>
    <x v="6"/>
    <x v="2"/>
  </r>
  <r>
    <d v="2013-04-10T00:00:00"/>
    <s v="018-2100-000"/>
    <s v="Food Sales"/>
    <n v="5114.2783000000009"/>
    <n v="0"/>
    <s v="Daily Sales Import"/>
    <n v="-5114.2783000000009"/>
    <n v="5114.2783000000009"/>
    <x v="2"/>
    <s v="2100"/>
    <s v="000"/>
    <x v="6"/>
    <x v="2"/>
  </r>
  <r>
    <d v="2013-04-10T00:00:00"/>
    <s v="018-2210-000"/>
    <s v="Liquor Sales"/>
    <n v="702.06640000000004"/>
    <n v="0"/>
    <s v="Daily Sales Import"/>
    <n v="-702.06640000000004"/>
    <n v="702.06640000000004"/>
    <x v="2"/>
    <s v="2210"/>
    <s v="000"/>
    <x v="6"/>
    <x v="2"/>
  </r>
  <r>
    <d v="2013-04-10T00:00:00"/>
    <s v="018-2220-000"/>
    <s v="Beer Sales"/>
    <n v="271.32300000000004"/>
    <n v="0"/>
    <s v="Daily Sales Import"/>
    <n v="-271.32300000000004"/>
    <n v="271.32300000000004"/>
    <x v="2"/>
    <s v="2220"/>
    <s v="000"/>
    <x v="6"/>
    <x v="2"/>
  </r>
  <r>
    <d v="2013-04-10T00:00:00"/>
    <s v="018-2230-000"/>
    <s v="Wine Sales"/>
    <n v="19.2989"/>
    <n v="0"/>
    <s v="Daily Sales Import"/>
    <n v="-19.2989"/>
    <n v="19.2989"/>
    <x v="2"/>
    <s v="2230"/>
    <s v="000"/>
    <x v="6"/>
    <x v="2"/>
  </r>
  <r>
    <d v="2013-04-11T00:00:00"/>
    <s v="018-2100-000"/>
    <s v="Food Sales"/>
    <n v="6447.4454999999998"/>
    <n v="0"/>
    <s v="Daily Sales Import"/>
    <n v="-6447.4454999999998"/>
    <n v="6447.4454999999998"/>
    <x v="2"/>
    <s v="2100"/>
    <s v="000"/>
    <x v="6"/>
    <x v="2"/>
  </r>
  <r>
    <d v="2013-04-11T00:00:00"/>
    <s v="018-2210-000"/>
    <s v="Liquor Sales"/>
    <n v="979.38539999999989"/>
    <n v="0"/>
    <s v="Daily Sales Import"/>
    <n v="-979.38539999999989"/>
    <n v="979.38539999999989"/>
    <x v="2"/>
    <s v="2210"/>
    <s v="000"/>
    <x v="6"/>
    <x v="2"/>
  </r>
  <r>
    <d v="2013-04-11T00:00:00"/>
    <s v="018-2220-000"/>
    <s v="Beer Sales"/>
    <n v="343.8861"/>
    <n v="0"/>
    <s v="Daily Sales Import"/>
    <n v="-343.8861"/>
    <n v="343.8861"/>
    <x v="2"/>
    <s v="2220"/>
    <s v="000"/>
    <x v="6"/>
    <x v="2"/>
  </r>
  <r>
    <d v="2013-04-11T00:00:00"/>
    <s v="018-2230-000"/>
    <s v="Wine Sales"/>
    <n v="12.4062"/>
    <n v="0"/>
    <s v="Daily Sales Import"/>
    <n v="-12.4062"/>
    <n v="12.4062"/>
    <x v="2"/>
    <s v="2230"/>
    <s v="000"/>
    <x v="6"/>
    <x v="2"/>
  </r>
  <r>
    <d v="2013-04-12T00:00:00"/>
    <s v="018-2100-000"/>
    <s v="Food Sales"/>
    <n v="9803.8796000000002"/>
    <n v="0"/>
    <s v="Daily Sales Import"/>
    <n v="-9803.8796000000002"/>
    <n v="9803.8796000000002"/>
    <x v="2"/>
    <s v="2100"/>
    <s v="000"/>
    <x v="6"/>
    <x v="2"/>
  </r>
  <r>
    <d v="2013-04-12T00:00:00"/>
    <s v="018-2210-000"/>
    <s v="Liquor Sales"/>
    <n v="3865.1592000000005"/>
    <n v="0"/>
    <s v="Daily Sales Import"/>
    <n v="-3865.1592000000005"/>
    <n v="3865.1592000000005"/>
    <x v="2"/>
    <s v="2210"/>
    <s v="000"/>
    <x v="6"/>
    <x v="2"/>
  </r>
  <r>
    <d v="2013-04-12T00:00:00"/>
    <s v="018-2220-000"/>
    <s v="Beer Sales"/>
    <n v="722.46240000000012"/>
    <n v="0"/>
    <s v="Daily Sales Import"/>
    <n v="-722.46240000000012"/>
    <n v="722.46240000000012"/>
    <x v="2"/>
    <s v="2220"/>
    <s v="000"/>
    <x v="6"/>
    <x v="2"/>
  </r>
  <r>
    <d v="2013-04-12T00:00:00"/>
    <s v="018-2230-000"/>
    <s v="Wine Sales"/>
    <n v="177.6652"/>
    <n v="0"/>
    <s v="Daily Sales Import"/>
    <n v="-177.6652"/>
    <n v="177.6652"/>
    <x v="2"/>
    <s v="2230"/>
    <s v="000"/>
    <x v="6"/>
    <x v="2"/>
  </r>
  <r>
    <d v="2013-04-13T00:00:00"/>
    <s v="018-2100-000"/>
    <s v="Food Sales"/>
    <n v="20734.861499999999"/>
    <n v="0"/>
    <s v="Daily Sales Import"/>
    <n v="-20734.861499999999"/>
    <n v="20734.861499999999"/>
    <x v="2"/>
    <s v="2100"/>
    <s v="000"/>
    <x v="6"/>
    <x v="2"/>
  </r>
  <r>
    <d v="2013-04-13T00:00:00"/>
    <s v="018-2210-000"/>
    <s v="Liquor Sales"/>
    <n v="3388.8817999999997"/>
    <n v="0"/>
    <s v="Daily Sales Import"/>
    <n v="-3388.8817999999997"/>
    <n v="3388.8817999999997"/>
    <x v="2"/>
    <s v="2210"/>
    <s v="000"/>
    <x v="6"/>
    <x v="2"/>
  </r>
  <r>
    <d v="2013-04-13T00:00:00"/>
    <s v="018-2220-000"/>
    <s v="Beer Sales"/>
    <n v="941.01600000000008"/>
    <n v="0"/>
    <s v="Daily Sales Import"/>
    <n v="-941.01600000000008"/>
    <n v="941.01600000000008"/>
    <x v="2"/>
    <s v="2220"/>
    <s v="000"/>
    <x v="6"/>
    <x v="2"/>
  </r>
  <r>
    <d v="2013-04-13T00:00:00"/>
    <s v="018-2230-000"/>
    <s v="Wine Sales"/>
    <n v="120.60400000000001"/>
    <n v="0"/>
    <s v="Daily Sales Import"/>
    <n v="-120.60400000000001"/>
    <n v="120.60400000000001"/>
    <x v="2"/>
    <s v="2230"/>
    <s v="000"/>
    <x v="6"/>
    <x v="2"/>
  </r>
  <r>
    <d v="2013-04-14T00:00:00"/>
    <s v="018-2100-000"/>
    <s v="Food Sales"/>
    <n v="9498.3119999999999"/>
    <n v="0"/>
    <s v="Daily Sales Import"/>
    <n v="-9498.3119999999999"/>
    <n v="9498.3119999999999"/>
    <x v="2"/>
    <s v="2100"/>
    <s v="000"/>
    <x v="6"/>
    <x v="2"/>
  </r>
  <r>
    <d v="2013-04-14T00:00:00"/>
    <s v="018-2210-000"/>
    <s v="Liquor Sales"/>
    <n v="2140.0886"/>
    <n v="0"/>
    <s v="Daily Sales Import"/>
    <n v="-2140.0886"/>
    <n v="2140.0886"/>
    <x v="2"/>
    <s v="2210"/>
    <s v="000"/>
    <x v="6"/>
    <x v="2"/>
  </r>
  <r>
    <d v="2013-04-14T00:00:00"/>
    <s v="018-2220-000"/>
    <s v="Beer Sales"/>
    <n v="319.33960000000002"/>
    <n v="0"/>
    <s v="Daily Sales Import"/>
    <n v="-319.33960000000002"/>
    <n v="319.33960000000002"/>
    <x v="2"/>
    <s v="2220"/>
    <s v="000"/>
    <x v="6"/>
    <x v="2"/>
  </r>
  <r>
    <d v="2013-04-14T00:00:00"/>
    <s v="018-2230-000"/>
    <s v="Wine Sales"/>
    <n v="134.51939999999999"/>
    <n v="0"/>
    <s v="Daily Sales Import"/>
    <n v="-134.51939999999999"/>
    <n v="134.51939999999999"/>
    <x v="2"/>
    <s v="2230"/>
    <s v="000"/>
    <x v="6"/>
    <x v="2"/>
  </r>
  <r>
    <d v="2013-04-15T00:00:00"/>
    <s v="016-2100-000"/>
    <s v="Food Sales"/>
    <n v="2547.0936000000002"/>
    <n v="0"/>
    <s v="Daily Sales Import"/>
    <n v="-2547.0936000000002"/>
    <n v="2547.0936000000002"/>
    <x v="0"/>
    <s v="2100"/>
    <s v="000"/>
    <x v="6"/>
    <x v="2"/>
  </r>
  <r>
    <d v="2013-04-15T00:00:00"/>
    <s v="016-2210-000"/>
    <s v="Liquor Sales"/>
    <n v="600.77710000000002"/>
    <n v="0"/>
    <s v="Daily Sales Import"/>
    <n v="-600.77710000000002"/>
    <n v="600.77710000000002"/>
    <x v="0"/>
    <s v="2210"/>
    <s v="000"/>
    <x v="6"/>
    <x v="2"/>
  </r>
  <r>
    <d v="2013-04-15T00:00:00"/>
    <s v="016-2220-000"/>
    <s v="Beer Sales"/>
    <n v="143.1585"/>
    <n v="0"/>
    <s v="Daily Sales Import"/>
    <n v="-143.1585"/>
    <n v="143.1585"/>
    <x v="0"/>
    <s v="2220"/>
    <s v="000"/>
    <x v="6"/>
    <x v="2"/>
  </r>
  <r>
    <d v="2013-04-15T00:00:00"/>
    <s v="016-2230-000"/>
    <s v="Wine Sales"/>
    <n v="18.304300000000001"/>
    <n v="0"/>
    <s v="Daily Sales Import"/>
    <n v="-18.304300000000001"/>
    <n v="18.304300000000001"/>
    <x v="0"/>
    <s v="2230"/>
    <s v="000"/>
    <x v="6"/>
    <x v="2"/>
  </r>
  <r>
    <d v="2013-04-16T00:00:00"/>
    <s v="016-2100-000"/>
    <s v="Food Sales"/>
    <n v="6119.6668000000009"/>
    <n v="0"/>
    <s v="Daily Sales Import"/>
    <n v="-6119.6668000000009"/>
    <n v="6119.6668000000009"/>
    <x v="0"/>
    <s v="2100"/>
    <s v="000"/>
    <x v="6"/>
    <x v="2"/>
  </r>
  <r>
    <d v="2013-04-16T00:00:00"/>
    <s v="016-2210-000"/>
    <s v="Liquor Sales"/>
    <n v="2113.2403000000004"/>
    <n v="0"/>
    <s v="Daily Sales Import"/>
    <n v="-2113.2403000000004"/>
    <n v="2113.2403000000004"/>
    <x v="0"/>
    <s v="2210"/>
    <s v="000"/>
    <x v="6"/>
    <x v="2"/>
  </r>
  <r>
    <d v="2013-04-16T00:00:00"/>
    <s v="016-2220-000"/>
    <s v="Beer Sales"/>
    <n v="923.1339999999999"/>
    <n v="0"/>
    <s v="Daily Sales Import"/>
    <n v="-923.1339999999999"/>
    <n v="923.1339999999999"/>
    <x v="0"/>
    <s v="2220"/>
    <s v="000"/>
    <x v="6"/>
    <x v="2"/>
  </r>
  <r>
    <d v="2013-04-16T00:00:00"/>
    <s v="016-2230-000"/>
    <s v="Wine Sales"/>
    <n v="105.78399999999999"/>
    <n v="0"/>
    <s v="Daily Sales Import"/>
    <n v="-105.78399999999999"/>
    <n v="105.78399999999999"/>
    <x v="0"/>
    <s v="2230"/>
    <s v="000"/>
    <x v="6"/>
    <x v="2"/>
  </r>
  <r>
    <d v="2013-04-17T00:00:00"/>
    <s v="016-2100-000"/>
    <s v="Food Sales"/>
    <n v="3290.7420000000002"/>
    <n v="0"/>
    <s v="Daily Sales Import"/>
    <n v="-3290.7420000000002"/>
    <n v="3290.7420000000002"/>
    <x v="0"/>
    <s v="2100"/>
    <s v="000"/>
    <x v="6"/>
    <x v="2"/>
  </r>
  <r>
    <d v="2013-04-17T00:00:00"/>
    <s v="016-2210-000"/>
    <s v="Liquor Sales"/>
    <n v="1260.2392"/>
    <n v="0"/>
    <s v="Daily Sales Import"/>
    <n v="-1260.2392"/>
    <n v="1260.2392"/>
    <x v="0"/>
    <s v="2210"/>
    <s v="000"/>
    <x v="6"/>
    <x v="2"/>
  </r>
  <r>
    <d v="2013-04-17T00:00:00"/>
    <s v="016-2220-000"/>
    <s v="Beer Sales"/>
    <n v="134.84800000000001"/>
    <n v="0"/>
    <s v="Daily Sales Import"/>
    <n v="-134.84800000000001"/>
    <n v="134.84800000000001"/>
    <x v="0"/>
    <s v="2220"/>
    <s v="000"/>
    <x v="6"/>
    <x v="2"/>
  </r>
  <r>
    <d v="2013-04-17T00:00:00"/>
    <s v="016-2230-000"/>
    <s v="Wine Sales"/>
    <n v="76.385400000000004"/>
    <n v="0"/>
    <s v="Daily Sales Import"/>
    <n v="-76.385400000000004"/>
    <n v="76.385400000000004"/>
    <x v="0"/>
    <s v="2230"/>
    <s v="000"/>
    <x v="6"/>
    <x v="2"/>
  </r>
  <r>
    <d v="2013-04-18T00:00:00"/>
    <s v="016-2100-000"/>
    <s v="Food Sales"/>
    <n v="3381.6992"/>
    <n v="0"/>
    <s v="Daily Sales Import"/>
    <n v="-3381.6992"/>
    <n v="3381.6992"/>
    <x v="0"/>
    <s v="2100"/>
    <s v="000"/>
    <x v="6"/>
    <x v="2"/>
  </r>
  <r>
    <d v="2013-04-18T00:00:00"/>
    <s v="016-2210-000"/>
    <s v="Liquor Sales"/>
    <n v="1004.01"/>
    <n v="0"/>
    <s v="Daily Sales Import"/>
    <n v="-1004.01"/>
    <n v="1004.01"/>
    <x v="0"/>
    <s v="2210"/>
    <s v="000"/>
    <x v="6"/>
    <x v="2"/>
  </r>
  <r>
    <d v="2013-04-18T00:00:00"/>
    <s v="016-2220-000"/>
    <s v="Beer Sales"/>
    <n v="182.60850000000002"/>
    <n v="0"/>
    <s v="Daily Sales Import"/>
    <n v="-182.60850000000002"/>
    <n v="182.60850000000002"/>
    <x v="0"/>
    <s v="2220"/>
    <s v="000"/>
    <x v="6"/>
    <x v="2"/>
  </r>
  <r>
    <d v="2013-04-18T00:00:00"/>
    <s v="016-2230-000"/>
    <s v="Wine Sales"/>
    <n v="33.267199999999995"/>
    <n v="0"/>
    <s v="Daily Sales Import"/>
    <n v="-33.267199999999995"/>
    <n v="33.267199999999995"/>
    <x v="0"/>
    <s v="2230"/>
    <s v="000"/>
    <x v="6"/>
    <x v="2"/>
  </r>
  <r>
    <d v="2013-04-19T00:00:00"/>
    <s v="016-2100-000"/>
    <s v="Food Sales"/>
    <n v="5537.0573999999997"/>
    <n v="0"/>
    <s v="Daily Sales Import"/>
    <n v="-5537.0573999999997"/>
    <n v="5537.0573999999997"/>
    <x v="0"/>
    <s v="2100"/>
    <s v="000"/>
    <x v="6"/>
    <x v="2"/>
  </r>
  <r>
    <d v="2013-04-19T00:00:00"/>
    <s v="016-2210-000"/>
    <s v="Liquor Sales"/>
    <n v="2306.7352000000001"/>
    <n v="0"/>
    <s v="Daily Sales Import"/>
    <n v="-2306.7352000000001"/>
    <n v="2306.7352000000001"/>
    <x v="0"/>
    <s v="2210"/>
    <s v="000"/>
    <x v="6"/>
    <x v="2"/>
  </r>
  <r>
    <d v="2013-04-19T00:00:00"/>
    <s v="016-2220-000"/>
    <s v="Beer Sales"/>
    <n v="481.02649999999994"/>
    <n v="0"/>
    <s v="Daily Sales Import"/>
    <n v="-481.02649999999994"/>
    <n v="481.02649999999994"/>
    <x v="0"/>
    <s v="2220"/>
    <s v="000"/>
    <x v="6"/>
    <x v="2"/>
  </r>
  <r>
    <d v="2013-04-19T00:00:00"/>
    <s v="016-2230-000"/>
    <s v="Wine Sales"/>
    <n v="111.711"/>
    <n v="0"/>
    <s v="Daily Sales Import"/>
    <n v="-111.711"/>
    <n v="111.711"/>
    <x v="0"/>
    <s v="2230"/>
    <s v="000"/>
    <x v="6"/>
    <x v="2"/>
  </r>
  <r>
    <d v="2013-04-20T00:00:00"/>
    <s v="016-2100-000"/>
    <s v="Food Sales"/>
    <n v="6309.1979999999994"/>
    <n v="0"/>
    <s v="Daily Sales Import"/>
    <n v="-6309.1979999999994"/>
    <n v="6309.1979999999994"/>
    <x v="0"/>
    <s v="2100"/>
    <s v="000"/>
    <x v="6"/>
    <x v="2"/>
  </r>
  <r>
    <d v="2013-04-20T00:00:00"/>
    <s v="016-2210-000"/>
    <s v="Liquor Sales"/>
    <n v="1504.3210000000001"/>
    <n v="0"/>
    <s v="Daily Sales Import"/>
    <n v="-1504.3210000000001"/>
    <n v="1504.3210000000001"/>
    <x v="0"/>
    <s v="2210"/>
    <s v="000"/>
    <x v="6"/>
    <x v="2"/>
  </r>
  <r>
    <d v="2013-04-20T00:00:00"/>
    <s v="016-2220-000"/>
    <s v="Beer Sales"/>
    <n v="274.13749999999999"/>
    <n v="0"/>
    <s v="Daily Sales Import"/>
    <n v="-274.13749999999999"/>
    <n v="274.13749999999999"/>
    <x v="0"/>
    <s v="2220"/>
    <s v="000"/>
    <x v="6"/>
    <x v="2"/>
  </r>
  <r>
    <d v="2013-04-20T00:00:00"/>
    <s v="016-2230-000"/>
    <s v="Wine Sales"/>
    <n v="140.7338"/>
    <n v="0"/>
    <s v="Daily Sales Import"/>
    <n v="-140.7338"/>
    <n v="140.7338"/>
    <x v="0"/>
    <s v="2230"/>
    <s v="000"/>
    <x v="6"/>
    <x v="2"/>
  </r>
  <r>
    <d v="2013-04-21T00:00:00"/>
    <s v="016-2100-000"/>
    <s v="Food Sales"/>
    <n v="3607.2245000000003"/>
    <n v="0"/>
    <s v="Daily Sales Import"/>
    <n v="-3607.2245000000003"/>
    <n v="3607.2245000000003"/>
    <x v="0"/>
    <s v="2100"/>
    <s v="000"/>
    <x v="6"/>
    <x v="2"/>
  </r>
  <r>
    <d v="2013-04-21T00:00:00"/>
    <s v="016-2210-000"/>
    <s v="Liquor Sales"/>
    <n v="1527.0068000000001"/>
    <n v="0"/>
    <s v="Daily Sales Import"/>
    <n v="-1527.0068000000001"/>
    <n v="1527.0068000000001"/>
    <x v="0"/>
    <s v="2210"/>
    <s v="000"/>
    <x v="6"/>
    <x v="2"/>
  </r>
  <r>
    <d v="2013-04-21T00:00:00"/>
    <s v="016-2220-000"/>
    <s v="Beer Sales"/>
    <n v="243.00000000000003"/>
    <n v="0"/>
    <s v="Daily Sales Import"/>
    <n v="-243.00000000000003"/>
    <n v="243.00000000000003"/>
    <x v="0"/>
    <s v="2220"/>
    <s v="000"/>
    <x v="6"/>
    <x v="2"/>
  </r>
  <r>
    <d v="2013-04-21T00:00:00"/>
    <s v="016-2230-000"/>
    <s v="Wine Sales"/>
    <n v="101.0343"/>
    <n v="0"/>
    <s v="Daily Sales Import"/>
    <n v="-101.0343"/>
    <n v="101.0343"/>
    <x v="0"/>
    <s v="2230"/>
    <s v="000"/>
    <x v="6"/>
    <x v="2"/>
  </r>
  <r>
    <d v="2013-04-15T00:00:00"/>
    <s v="017-2100-000"/>
    <s v="Food Sales"/>
    <n v="5375.7528000000002"/>
    <n v="0"/>
    <s v="Daily Sales Import"/>
    <n v="-5375.7528000000002"/>
    <n v="5375.7528000000002"/>
    <x v="1"/>
    <s v="2100"/>
    <s v="000"/>
    <x v="6"/>
    <x v="2"/>
  </r>
  <r>
    <d v="2013-04-15T00:00:00"/>
    <s v="017-2210-000"/>
    <s v="Liquor Sales"/>
    <n v="1104.9168"/>
    <n v="0"/>
    <s v="Daily Sales Import"/>
    <n v="-1104.9168"/>
    <n v="1104.9168"/>
    <x v="1"/>
    <s v="2210"/>
    <s v="000"/>
    <x v="6"/>
    <x v="2"/>
  </r>
  <r>
    <d v="2013-04-15T00:00:00"/>
    <s v="017-2220-000"/>
    <s v="Beer Sales"/>
    <n v="566.6626"/>
    <n v="0"/>
    <s v="Daily Sales Import"/>
    <n v="-566.6626"/>
    <n v="566.6626"/>
    <x v="1"/>
    <s v="2220"/>
    <s v="000"/>
    <x v="6"/>
    <x v="2"/>
  </r>
  <r>
    <d v="2013-04-15T00:00:00"/>
    <s v="017-2230-000"/>
    <s v="Wine Sales"/>
    <n v="22.372"/>
    <n v="0"/>
    <s v="Daily Sales Import"/>
    <n v="-22.372"/>
    <n v="22.372"/>
    <x v="1"/>
    <s v="2230"/>
    <s v="000"/>
    <x v="6"/>
    <x v="2"/>
  </r>
  <r>
    <d v="2013-04-16T00:00:00"/>
    <s v="017-2100-000"/>
    <s v="Food Sales"/>
    <n v="7846.2358000000004"/>
    <n v="0"/>
    <s v="Daily Sales Import"/>
    <n v="-7846.2358000000004"/>
    <n v="7846.2358000000004"/>
    <x v="1"/>
    <s v="2100"/>
    <s v="000"/>
    <x v="6"/>
    <x v="2"/>
  </r>
  <r>
    <d v="2013-04-16T00:00:00"/>
    <s v="017-2210-000"/>
    <s v="Liquor Sales"/>
    <n v="1848.9032999999999"/>
    <n v="0"/>
    <s v="Daily Sales Import"/>
    <n v="-1848.9032999999999"/>
    <n v="1848.9032999999999"/>
    <x v="1"/>
    <s v="2210"/>
    <s v="000"/>
    <x v="6"/>
    <x v="2"/>
  </r>
  <r>
    <d v="2013-04-16T00:00:00"/>
    <s v="017-2220-000"/>
    <s v="Beer Sales"/>
    <n v="965.55390000000011"/>
    <n v="0"/>
    <s v="Daily Sales Import"/>
    <n v="-965.55390000000011"/>
    <n v="965.55390000000011"/>
    <x v="1"/>
    <s v="2220"/>
    <s v="000"/>
    <x v="6"/>
    <x v="2"/>
  </r>
  <r>
    <d v="2013-04-16T00:00:00"/>
    <s v="017-2230-000"/>
    <s v="Wine Sales"/>
    <n v="166.95239999999998"/>
    <n v="0"/>
    <s v="Daily Sales Import"/>
    <n v="-166.95239999999998"/>
    <n v="166.95239999999998"/>
    <x v="1"/>
    <s v="2230"/>
    <s v="000"/>
    <x v="6"/>
    <x v="2"/>
  </r>
  <r>
    <d v="2013-04-17T00:00:00"/>
    <s v="017-2100-000"/>
    <s v="Food Sales"/>
    <n v="5976.3798999999999"/>
    <n v="0"/>
    <s v="Daily Sales Import"/>
    <n v="-5976.3798999999999"/>
    <n v="5976.3798999999999"/>
    <x v="1"/>
    <s v="2100"/>
    <s v="000"/>
    <x v="6"/>
    <x v="2"/>
  </r>
  <r>
    <d v="2013-04-17T00:00:00"/>
    <s v="017-2210-000"/>
    <s v="Liquor Sales"/>
    <n v="1540.9381999999998"/>
    <n v="0"/>
    <s v="Daily Sales Import"/>
    <n v="-1540.9381999999998"/>
    <n v="1540.9381999999998"/>
    <x v="1"/>
    <s v="2210"/>
    <s v="000"/>
    <x v="6"/>
    <x v="2"/>
  </r>
  <r>
    <d v="2013-04-17T00:00:00"/>
    <s v="017-2220-000"/>
    <s v="Beer Sales"/>
    <n v="650.87100000000009"/>
    <n v="0"/>
    <s v="Daily Sales Import"/>
    <n v="-650.87100000000009"/>
    <n v="650.87100000000009"/>
    <x v="1"/>
    <s v="2220"/>
    <s v="000"/>
    <x v="6"/>
    <x v="2"/>
  </r>
  <r>
    <d v="2013-04-17T00:00:00"/>
    <s v="017-2230-000"/>
    <s v="Wine Sales"/>
    <n v="186.08250000000001"/>
    <n v="0"/>
    <s v="Daily Sales Import"/>
    <n v="-186.08250000000001"/>
    <n v="186.08250000000001"/>
    <x v="1"/>
    <s v="2230"/>
    <s v="000"/>
    <x v="6"/>
    <x v="2"/>
  </r>
  <r>
    <d v="2013-04-18T00:00:00"/>
    <s v="017-2100-000"/>
    <s v="Food Sales"/>
    <n v="4767.4274999999998"/>
    <n v="0"/>
    <s v="Daily Sales Import"/>
    <n v="-4767.4274999999998"/>
    <n v="4767.4274999999998"/>
    <x v="1"/>
    <s v="2100"/>
    <s v="000"/>
    <x v="6"/>
    <x v="2"/>
  </r>
  <r>
    <d v="2013-04-18T00:00:00"/>
    <s v="017-2210-000"/>
    <s v="Liquor Sales"/>
    <n v="2643.8962999999999"/>
    <n v="0"/>
    <s v="Daily Sales Import"/>
    <n v="-2643.8962999999999"/>
    <n v="2643.8962999999999"/>
    <x v="1"/>
    <s v="2210"/>
    <s v="000"/>
    <x v="6"/>
    <x v="2"/>
  </r>
  <r>
    <d v="2013-04-18T00:00:00"/>
    <s v="017-2220-000"/>
    <s v="Beer Sales"/>
    <n v="924.81989999999996"/>
    <n v="0"/>
    <s v="Daily Sales Import"/>
    <n v="-924.81989999999996"/>
    <n v="924.81989999999996"/>
    <x v="1"/>
    <s v="2220"/>
    <s v="000"/>
    <x v="6"/>
    <x v="2"/>
  </r>
  <r>
    <d v="2013-04-18T00:00:00"/>
    <s v="017-2230-000"/>
    <s v="Wine Sales"/>
    <n v="169.31879999999998"/>
    <n v="0"/>
    <s v="Daily Sales Import"/>
    <n v="-169.31879999999998"/>
    <n v="169.31879999999998"/>
    <x v="1"/>
    <s v="2230"/>
    <s v="000"/>
    <x v="6"/>
    <x v="2"/>
  </r>
  <r>
    <d v="2013-04-19T00:00:00"/>
    <s v="017-2100-000"/>
    <s v="Food Sales"/>
    <n v="7939.9369999999999"/>
    <n v="0"/>
    <s v="Daily Sales Import"/>
    <n v="-7939.9369999999999"/>
    <n v="7939.9369999999999"/>
    <x v="1"/>
    <s v="2100"/>
    <s v="000"/>
    <x v="6"/>
    <x v="2"/>
  </r>
  <r>
    <d v="2013-04-19T00:00:00"/>
    <s v="017-2210-000"/>
    <s v="Liquor Sales"/>
    <n v="1736.778"/>
    <n v="0"/>
    <s v="Daily Sales Import"/>
    <n v="-1736.778"/>
    <n v="1736.778"/>
    <x v="1"/>
    <s v="2210"/>
    <s v="000"/>
    <x v="6"/>
    <x v="2"/>
  </r>
  <r>
    <d v="2013-04-19T00:00:00"/>
    <s v="017-2220-000"/>
    <s v="Beer Sales"/>
    <n v="488.13639999999992"/>
    <n v="0"/>
    <s v="Daily Sales Import"/>
    <n v="-488.13639999999992"/>
    <n v="488.13639999999992"/>
    <x v="1"/>
    <s v="2220"/>
    <s v="000"/>
    <x v="6"/>
    <x v="2"/>
  </r>
  <r>
    <d v="2013-04-19T00:00:00"/>
    <s v="017-2230-000"/>
    <s v="Wine Sales"/>
    <n v="208.03440000000001"/>
    <n v="0"/>
    <s v="Daily Sales Import"/>
    <n v="-208.03440000000001"/>
    <n v="208.03440000000001"/>
    <x v="1"/>
    <s v="2230"/>
    <s v="000"/>
    <x v="6"/>
    <x v="2"/>
  </r>
  <r>
    <d v="2013-04-20T00:00:00"/>
    <s v="017-2100-000"/>
    <s v="Food Sales"/>
    <n v="7925.0941000000003"/>
    <n v="0"/>
    <s v="Daily Sales Import"/>
    <n v="-7925.0941000000003"/>
    <n v="7925.0941000000003"/>
    <x v="1"/>
    <s v="2100"/>
    <s v="000"/>
    <x v="6"/>
    <x v="2"/>
  </r>
  <r>
    <d v="2013-04-20T00:00:00"/>
    <s v="017-2210-000"/>
    <s v="Liquor Sales"/>
    <n v="1834.1939999999997"/>
    <n v="0"/>
    <s v="Daily Sales Import"/>
    <n v="-1834.1939999999997"/>
    <n v="1834.1939999999997"/>
    <x v="1"/>
    <s v="2210"/>
    <s v="000"/>
    <x v="6"/>
    <x v="2"/>
  </r>
  <r>
    <d v="2013-04-20T00:00:00"/>
    <s v="017-2220-000"/>
    <s v="Beer Sales"/>
    <n v="492.71510000000006"/>
    <n v="0"/>
    <s v="Daily Sales Import"/>
    <n v="-492.71510000000006"/>
    <n v="492.71510000000006"/>
    <x v="1"/>
    <s v="2220"/>
    <s v="000"/>
    <x v="6"/>
    <x v="2"/>
  </r>
  <r>
    <d v="2013-04-20T00:00:00"/>
    <s v="017-2230-000"/>
    <s v="Wine Sales"/>
    <n v="112.74120000000001"/>
    <n v="0"/>
    <s v="Daily Sales Import"/>
    <n v="-112.74120000000001"/>
    <n v="112.74120000000001"/>
    <x v="1"/>
    <s v="2230"/>
    <s v="000"/>
    <x v="6"/>
    <x v="2"/>
  </r>
  <r>
    <d v="2013-04-21T00:00:00"/>
    <s v="017-2100-000"/>
    <s v="Food Sales"/>
    <n v="5134.4004999999997"/>
    <n v="0"/>
    <s v="Daily Sales Import"/>
    <n v="-5134.4004999999997"/>
    <n v="5134.4004999999997"/>
    <x v="1"/>
    <s v="2100"/>
    <s v="000"/>
    <x v="6"/>
    <x v="2"/>
  </r>
  <r>
    <d v="2013-04-21T00:00:00"/>
    <s v="017-2210-000"/>
    <s v="Liquor Sales"/>
    <n v="1399.6312"/>
    <n v="0"/>
    <s v="Daily Sales Import"/>
    <n v="-1399.6312"/>
    <n v="1399.6312"/>
    <x v="1"/>
    <s v="2210"/>
    <s v="000"/>
    <x v="6"/>
    <x v="2"/>
  </r>
  <r>
    <d v="2013-04-21T00:00:00"/>
    <s v="017-2220-000"/>
    <s v="Beer Sales"/>
    <n v="166.75200000000001"/>
    <n v="0"/>
    <s v="Daily Sales Import"/>
    <n v="-166.75200000000001"/>
    <n v="166.75200000000001"/>
    <x v="1"/>
    <s v="2220"/>
    <s v="000"/>
    <x v="6"/>
    <x v="2"/>
  </r>
  <r>
    <d v="2013-04-21T00:00:00"/>
    <s v="017-2230-000"/>
    <s v="Wine Sales"/>
    <n v="132.77879999999999"/>
    <n v="0"/>
    <s v="Daily Sales Import"/>
    <n v="-132.77879999999999"/>
    <n v="132.77879999999999"/>
    <x v="1"/>
    <s v="2230"/>
    <s v="000"/>
    <x v="6"/>
    <x v="2"/>
  </r>
  <r>
    <d v="2013-04-15T00:00:00"/>
    <s v="018-2100-000"/>
    <s v="Food Sales"/>
    <n v="4373.1688000000004"/>
    <n v="0"/>
    <s v="Daily Sales Import"/>
    <n v="-4373.1688000000004"/>
    <n v="4373.1688000000004"/>
    <x v="2"/>
    <s v="2100"/>
    <s v="000"/>
    <x v="6"/>
    <x v="2"/>
  </r>
  <r>
    <d v="2013-04-15T00:00:00"/>
    <s v="018-2210-000"/>
    <s v="Liquor Sales"/>
    <n v="316.53159999999997"/>
    <n v="0"/>
    <s v="Daily Sales Import"/>
    <n v="-316.53159999999997"/>
    <n v="316.53159999999997"/>
    <x v="2"/>
    <s v="2210"/>
    <s v="000"/>
    <x v="6"/>
    <x v="2"/>
  </r>
  <r>
    <d v="2013-04-15T00:00:00"/>
    <s v="018-2220-000"/>
    <s v="Beer Sales"/>
    <n v="163.86400000000003"/>
    <n v="0"/>
    <s v="Daily Sales Import"/>
    <n v="-163.86400000000003"/>
    <n v="163.86400000000003"/>
    <x v="2"/>
    <s v="2220"/>
    <s v="000"/>
    <x v="6"/>
    <x v="2"/>
  </r>
  <r>
    <d v="2013-04-15T00:00:00"/>
    <s v="018-2230-000"/>
    <s v="Wine Sales"/>
    <n v="30.042400000000001"/>
    <n v="0"/>
    <s v="Daily Sales Import"/>
    <n v="-30.042400000000001"/>
    <n v="30.042400000000001"/>
    <x v="2"/>
    <s v="2230"/>
    <s v="000"/>
    <x v="6"/>
    <x v="2"/>
  </r>
  <r>
    <d v="2013-04-16T00:00:00"/>
    <s v="018-2100-000"/>
    <s v="Food Sales"/>
    <n v="4016.5038"/>
    <n v="0"/>
    <s v="Daily Sales Import"/>
    <n v="-4016.5038"/>
    <n v="4016.5038"/>
    <x v="2"/>
    <s v="2100"/>
    <s v="000"/>
    <x v="6"/>
    <x v="2"/>
  </r>
  <r>
    <d v="2013-04-16T00:00:00"/>
    <s v="018-2210-000"/>
    <s v="Liquor Sales"/>
    <n v="1148.3532"/>
    <n v="0"/>
    <s v="Daily Sales Import"/>
    <n v="-1148.3532"/>
    <n v="1148.3532"/>
    <x v="2"/>
    <s v="2210"/>
    <s v="000"/>
    <x v="6"/>
    <x v="2"/>
  </r>
  <r>
    <d v="2013-04-16T00:00:00"/>
    <s v="018-2220-000"/>
    <s v="Beer Sales"/>
    <n v="291.745"/>
    <n v="0"/>
    <s v="Daily Sales Import"/>
    <n v="-291.745"/>
    <n v="291.745"/>
    <x v="2"/>
    <s v="2220"/>
    <s v="000"/>
    <x v="6"/>
    <x v="2"/>
  </r>
  <r>
    <d v="2013-04-16T00:00:00"/>
    <s v="018-2230-000"/>
    <s v="Wine Sales"/>
    <n v="60.846699999999991"/>
    <n v="0"/>
    <s v="Daily Sales Import"/>
    <n v="-60.846699999999991"/>
    <n v="60.846699999999991"/>
    <x v="2"/>
    <s v="2230"/>
    <s v="000"/>
    <x v="6"/>
    <x v="2"/>
  </r>
  <r>
    <d v="2013-04-17T00:00:00"/>
    <s v="018-2100-000"/>
    <s v="Food Sales"/>
    <n v="4620.8850000000002"/>
    <n v="0"/>
    <s v="Daily Sales Import"/>
    <n v="-4620.8850000000002"/>
    <n v="4620.8850000000002"/>
    <x v="2"/>
    <s v="2100"/>
    <s v="000"/>
    <x v="6"/>
    <x v="2"/>
  </r>
  <r>
    <d v="2013-04-17T00:00:00"/>
    <s v="018-2210-000"/>
    <s v="Liquor Sales"/>
    <n v="995.21780000000001"/>
    <n v="0"/>
    <s v="Daily Sales Import"/>
    <n v="-995.21780000000001"/>
    <n v="995.21780000000001"/>
    <x v="2"/>
    <s v="2210"/>
    <s v="000"/>
    <x v="6"/>
    <x v="2"/>
  </r>
  <r>
    <d v="2013-04-17T00:00:00"/>
    <s v="018-2220-000"/>
    <s v="Beer Sales"/>
    <n v="219.26999999999998"/>
    <n v="0"/>
    <s v="Daily Sales Import"/>
    <n v="-219.26999999999998"/>
    <n v="219.26999999999998"/>
    <x v="2"/>
    <s v="2220"/>
    <s v="000"/>
    <x v="6"/>
    <x v="2"/>
  </r>
  <r>
    <d v="2013-04-17T00:00:00"/>
    <s v="018-2230-000"/>
    <s v="Wine Sales"/>
    <n v="42.753599999999999"/>
    <n v="0"/>
    <s v="Daily Sales Import"/>
    <n v="-42.753599999999999"/>
    <n v="42.753599999999999"/>
    <x v="2"/>
    <s v="2230"/>
    <s v="000"/>
    <x v="6"/>
    <x v="2"/>
  </r>
  <r>
    <d v="2013-04-18T00:00:00"/>
    <s v="018-2100-000"/>
    <s v="Food Sales"/>
    <n v="5127.29"/>
    <n v="0"/>
    <s v="Daily Sales Import"/>
    <n v="-5127.29"/>
    <n v="5127.29"/>
    <x v="2"/>
    <s v="2100"/>
    <s v="000"/>
    <x v="6"/>
    <x v="2"/>
  </r>
  <r>
    <d v="2013-04-18T00:00:00"/>
    <s v="018-2210-000"/>
    <s v="Liquor Sales"/>
    <n v="1030.5440000000001"/>
    <n v="0"/>
    <s v="Daily Sales Import"/>
    <n v="-1030.5440000000001"/>
    <n v="1030.5440000000001"/>
    <x v="2"/>
    <s v="2210"/>
    <s v="000"/>
    <x v="6"/>
    <x v="2"/>
  </r>
  <r>
    <d v="2013-04-18T00:00:00"/>
    <s v="018-2220-000"/>
    <s v="Beer Sales"/>
    <n v="452.40289999999999"/>
    <n v="0"/>
    <s v="Daily Sales Import"/>
    <n v="-452.40289999999999"/>
    <n v="452.40289999999999"/>
    <x v="2"/>
    <s v="2220"/>
    <s v="000"/>
    <x v="6"/>
    <x v="2"/>
  </r>
  <r>
    <d v="2013-04-18T00:00:00"/>
    <s v="018-2230-000"/>
    <s v="Wine Sales"/>
    <n v="46.9161"/>
    <n v="0"/>
    <s v="Daily Sales Import"/>
    <n v="-46.9161"/>
    <n v="46.9161"/>
    <x v="2"/>
    <s v="2230"/>
    <s v="000"/>
    <x v="6"/>
    <x v="2"/>
  </r>
  <r>
    <d v="2013-04-19T00:00:00"/>
    <s v="018-2100-000"/>
    <s v="Food Sales"/>
    <n v="9009.0231000000003"/>
    <n v="0"/>
    <s v="Daily Sales Import"/>
    <n v="-9009.0231000000003"/>
    <n v="9009.0231000000003"/>
    <x v="2"/>
    <s v="2100"/>
    <s v="000"/>
    <x v="6"/>
    <x v="2"/>
  </r>
  <r>
    <d v="2013-04-19T00:00:00"/>
    <s v="018-2210-000"/>
    <s v="Liquor Sales"/>
    <n v="2484.9245000000001"/>
    <n v="0"/>
    <s v="Daily Sales Import"/>
    <n v="-2484.9245000000001"/>
    <n v="2484.9245000000001"/>
    <x v="2"/>
    <s v="2210"/>
    <s v="000"/>
    <x v="6"/>
    <x v="2"/>
  </r>
  <r>
    <d v="2013-04-19T00:00:00"/>
    <s v="018-2220-000"/>
    <s v="Beer Sales"/>
    <n v="469.13279999999997"/>
    <n v="0"/>
    <s v="Daily Sales Import"/>
    <n v="-469.13279999999997"/>
    <n v="469.13279999999997"/>
    <x v="2"/>
    <s v="2220"/>
    <s v="000"/>
    <x v="6"/>
    <x v="2"/>
  </r>
  <r>
    <d v="2013-04-19T00:00:00"/>
    <s v="018-2230-000"/>
    <s v="Wine Sales"/>
    <n v="112.59990000000001"/>
    <n v="0"/>
    <s v="Daily Sales Import"/>
    <n v="-112.59990000000001"/>
    <n v="112.59990000000001"/>
    <x v="2"/>
    <s v="2230"/>
    <s v="000"/>
    <x v="6"/>
    <x v="2"/>
  </r>
  <r>
    <d v="2013-04-20T00:00:00"/>
    <s v="018-2100-000"/>
    <s v="Food Sales"/>
    <n v="15650.432000000001"/>
    <n v="0"/>
    <s v="Daily Sales Import"/>
    <n v="-15650.432000000001"/>
    <n v="15650.432000000001"/>
    <x v="2"/>
    <s v="2100"/>
    <s v="000"/>
    <x v="6"/>
    <x v="2"/>
  </r>
  <r>
    <d v="2013-04-20T00:00:00"/>
    <s v="018-2210-000"/>
    <s v="Liquor Sales"/>
    <n v="4296.2705000000005"/>
    <n v="0"/>
    <s v="Daily Sales Import"/>
    <n v="-4296.2705000000005"/>
    <n v="4296.2705000000005"/>
    <x v="2"/>
    <s v="2210"/>
    <s v="000"/>
    <x v="6"/>
    <x v="2"/>
  </r>
  <r>
    <d v="2013-04-20T00:00:00"/>
    <s v="018-2220-000"/>
    <s v="Beer Sales"/>
    <n v="899.94430000000011"/>
    <n v="0"/>
    <s v="Daily Sales Import"/>
    <n v="-899.94430000000011"/>
    <n v="899.94430000000011"/>
    <x v="2"/>
    <s v="2220"/>
    <s v="000"/>
    <x v="6"/>
    <x v="2"/>
  </r>
  <r>
    <d v="2013-04-20T00:00:00"/>
    <s v="018-2230-000"/>
    <s v="Wine Sales"/>
    <n v="74.18549999999999"/>
    <n v="0"/>
    <s v="Daily Sales Import"/>
    <n v="-74.18549999999999"/>
    <n v="74.18549999999999"/>
    <x v="2"/>
    <s v="2230"/>
    <s v="000"/>
    <x v="6"/>
    <x v="2"/>
  </r>
  <r>
    <d v="2013-04-21T00:00:00"/>
    <s v="018-2100-000"/>
    <s v="Food Sales"/>
    <n v="8727.5105999999996"/>
    <n v="0"/>
    <s v="Daily Sales Import"/>
    <n v="-8727.5105999999996"/>
    <n v="8727.5105999999996"/>
    <x v="2"/>
    <s v="2100"/>
    <s v="000"/>
    <x v="6"/>
    <x v="2"/>
  </r>
  <r>
    <d v="2013-04-21T00:00:00"/>
    <s v="018-2210-000"/>
    <s v="Liquor Sales"/>
    <n v="1241.8535999999999"/>
    <n v="0"/>
    <s v="Daily Sales Import"/>
    <n v="-1241.8535999999999"/>
    <n v="1241.8535999999999"/>
    <x v="2"/>
    <s v="2210"/>
    <s v="000"/>
    <x v="6"/>
    <x v="2"/>
  </r>
  <r>
    <d v="2013-04-21T00:00:00"/>
    <s v="018-2220-000"/>
    <s v="Beer Sales"/>
    <n v="510.4008"/>
    <n v="0"/>
    <s v="Daily Sales Import"/>
    <n v="-510.4008"/>
    <n v="510.4008"/>
    <x v="2"/>
    <s v="2220"/>
    <s v="000"/>
    <x v="6"/>
    <x v="2"/>
  </r>
  <r>
    <d v="2013-04-21T00:00:00"/>
    <s v="018-2230-000"/>
    <s v="Wine Sales"/>
    <n v="39.741599999999998"/>
    <n v="0"/>
    <s v="Daily Sales Import"/>
    <n v="-39.741599999999998"/>
    <n v="39.741599999999998"/>
    <x v="2"/>
    <s v="2230"/>
    <s v="000"/>
    <x v="6"/>
    <x v="2"/>
  </r>
  <r>
    <d v="2013-04-22T00:00:00"/>
    <s v="016-2100-000"/>
    <s v="Food Sales"/>
    <n v="2101.5084999999999"/>
    <n v="0"/>
    <s v="Daily Sales Import"/>
    <n v="-2101.5084999999999"/>
    <n v="2101.5084999999999"/>
    <x v="0"/>
    <s v="2100"/>
    <s v="000"/>
    <x v="6"/>
    <x v="2"/>
  </r>
  <r>
    <d v="2013-04-22T00:00:00"/>
    <s v="016-2210-000"/>
    <s v="Liquor Sales"/>
    <n v="240.68999999999997"/>
    <n v="0"/>
    <s v="Daily Sales Import"/>
    <n v="-240.68999999999997"/>
    <n v="240.68999999999997"/>
    <x v="0"/>
    <s v="2210"/>
    <s v="000"/>
    <x v="6"/>
    <x v="2"/>
  </r>
  <r>
    <d v="2013-04-22T00:00:00"/>
    <s v="016-2220-000"/>
    <s v="Beer Sales"/>
    <n v="67.515000000000001"/>
    <n v="0"/>
    <s v="Daily Sales Import"/>
    <n v="-67.515000000000001"/>
    <n v="67.515000000000001"/>
    <x v="0"/>
    <s v="2220"/>
    <s v="000"/>
    <x v="6"/>
    <x v="2"/>
  </r>
  <r>
    <d v="2013-04-22T00:00:00"/>
    <s v="016-2230-000"/>
    <s v="Wine Sales"/>
    <n v="21.8139"/>
    <n v="0"/>
    <s v="Daily Sales Import"/>
    <n v="-21.8139"/>
    <n v="21.8139"/>
    <x v="0"/>
    <s v="2230"/>
    <s v="000"/>
    <x v="6"/>
    <x v="2"/>
  </r>
  <r>
    <d v="2013-04-23T00:00:00"/>
    <s v="016-2100-000"/>
    <s v="Food Sales"/>
    <n v="9025.7795999999998"/>
    <n v="0"/>
    <s v="Daily Sales Import"/>
    <n v="-9025.7795999999998"/>
    <n v="9025.7795999999998"/>
    <x v="0"/>
    <s v="2100"/>
    <s v="000"/>
    <x v="6"/>
    <x v="2"/>
  </r>
  <r>
    <d v="2013-04-23T00:00:00"/>
    <s v="016-2210-000"/>
    <s v="Liquor Sales"/>
    <n v="2581.5605"/>
    <n v="0"/>
    <s v="Daily Sales Import"/>
    <n v="-2581.5605"/>
    <n v="2581.5605"/>
    <x v="0"/>
    <s v="2210"/>
    <s v="000"/>
    <x v="6"/>
    <x v="2"/>
  </r>
  <r>
    <d v="2013-04-23T00:00:00"/>
    <s v="016-2220-000"/>
    <s v="Beer Sales"/>
    <n v="1015.0577"/>
    <n v="0"/>
    <s v="Daily Sales Import"/>
    <n v="-1015.0577"/>
    <n v="1015.0577"/>
    <x v="0"/>
    <s v="2220"/>
    <s v="000"/>
    <x v="6"/>
    <x v="2"/>
  </r>
  <r>
    <d v="2013-04-23T00:00:00"/>
    <s v="016-2230-000"/>
    <s v="Wine Sales"/>
    <n v="338.14299999999997"/>
    <n v="0"/>
    <s v="Daily Sales Import"/>
    <n v="-338.14299999999997"/>
    <n v="338.14299999999997"/>
    <x v="0"/>
    <s v="2230"/>
    <s v="000"/>
    <x v="6"/>
    <x v="2"/>
  </r>
  <r>
    <d v="2013-04-24T00:00:00"/>
    <s v="016-2100-000"/>
    <s v="Food Sales"/>
    <n v="3390.9011999999998"/>
    <n v="0"/>
    <s v="Daily Sales Import"/>
    <n v="-3390.9011999999998"/>
    <n v="3390.9011999999998"/>
    <x v="0"/>
    <s v="2100"/>
    <s v="000"/>
    <x v="6"/>
    <x v="2"/>
  </r>
  <r>
    <d v="2013-04-24T00:00:00"/>
    <s v="016-2210-000"/>
    <s v="Liquor Sales"/>
    <n v="1146.9272000000001"/>
    <n v="0"/>
    <s v="Daily Sales Import"/>
    <n v="-1146.9272000000001"/>
    <n v="1146.9272000000001"/>
    <x v="0"/>
    <s v="2210"/>
    <s v="000"/>
    <x v="6"/>
    <x v="2"/>
  </r>
  <r>
    <d v="2013-04-24T00:00:00"/>
    <s v="016-2220-000"/>
    <s v="Beer Sales"/>
    <n v="130.92240000000001"/>
    <n v="0"/>
    <s v="Daily Sales Import"/>
    <n v="-130.92240000000001"/>
    <n v="130.92240000000001"/>
    <x v="0"/>
    <s v="2220"/>
    <s v="000"/>
    <x v="6"/>
    <x v="2"/>
  </r>
  <r>
    <d v="2013-04-24T00:00:00"/>
    <s v="016-2230-000"/>
    <s v="Wine Sales"/>
    <n v="61.342400000000012"/>
    <n v="0"/>
    <s v="Daily Sales Import"/>
    <n v="-61.342400000000012"/>
    <n v="61.342400000000012"/>
    <x v="0"/>
    <s v="2230"/>
    <s v="000"/>
    <x v="6"/>
    <x v="2"/>
  </r>
  <r>
    <d v="2013-04-25T00:00:00"/>
    <s v="016-2100-000"/>
    <s v="Food Sales"/>
    <n v="2425.866"/>
    <n v="0"/>
    <s v="Daily Sales Import"/>
    <n v="-2425.866"/>
    <n v="2425.866"/>
    <x v="0"/>
    <s v="2100"/>
    <s v="000"/>
    <x v="6"/>
    <x v="2"/>
  </r>
  <r>
    <d v="2013-04-25T00:00:00"/>
    <s v="016-2210-000"/>
    <s v="Liquor Sales"/>
    <n v="874.10210000000018"/>
    <n v="0"/>
    <s v="Daily Sales Import"/>
    <n v="-874.10210000000018"/>
    <n v="874.10210000000018"/>
    <x v="0"/>
    <s v="2210"/>
    <s v="000"/>
    <x v="6"/>
    <x v="2"/>
  </r>
  <r>
    <d v="2013-04-25T00:00:00"/>
    <s v="016-2220-000"/>
    <s v="Beer Sales"/>
    <n v="195.5772"/>
    <n v="0"/>
    <s v="Daily Sales Import"/>
    <n v="-195.5772"/>
    <n v="195.5772"/>
    <x v="0"/>
    <s v="2220"/>
    <s v="000"/>
    <x v="6"/>
    <x v="2"/>
  </r>
  <r>
    <d v="2013-04-25T00:00:00"/>
    <s v="016-2230-000"/>
    <s v="Wine Sales"/>
    <n v="84.112000000000009"/>
    <n v="0"/>
    <s v="Daily Sales Import"/>
    <n v="-84.112000000000009"/>
    <n v="84.112000000000009"/>
    <x v="0"/>
    <s v="2230"/>
    <s v="000"/>
    <x v="6"/>
    <x v="2"/>
  </r>
  <r>
    <d v="2013-04-26T00:00:00"/>
    <s v="016-2100-000"/>
    <s v="Food Sales"/>
    <n v="7174.6660000000002"/>
    <n v="0"/>
    <s v="Daily Sales Import"/>
    <n v="-7174.6660000000002"/>
    <n v="7174.6660000000002"/>
    <x v="0"/>
    <s v="2100"/>
    <s v="000"/>
    <x v="6"/>
    <x v="2"/>
  </r>
  <r>
    <d v="2013-04-26T00:00:00"/>
    <s v="016-2210-000"/>
    <s v="Liquor Sales"/>
    <n v="2468.0320000000002"/>
    <n v="0"/>
    <s v="Daily Sales Import"/>
    <n v="-2468.0320000000002"/>
    <n v="2468.0320000000002"/>
    <x v="0"/>
    <s v="2210"/>
    <s v="000"/>
    <x v="6"/>
    <x v="2"/>
  </r>
  <r>
    <d v="2013-04-26T00:00:00"/>
    <s v="016-2220-000"/>
    <s v="Beer Sales"/>
    <n v="404.88300000000004"/>
    <n v="0"/>
    <s v="Daily Sales Import"/>
    <n v="-404.88300000000004"/>
    <n v="404.88300000000004"/>
    <x v="0"/>
    <s v="2220"/>
    <s v="000"/>
    <x v="6"/>
    <x v="2"/>
  </r>
  <r>
    <d v="2013-04-26T00:00:00"/>
    <s v="016-2230-000"/>
    <s v="Wine Sales"/>
    <n v="74.51039999999999"/>
    <n v="0"/>
    <s v="Daily Sales Import"/>
    <n v="-74.51039999999999"/>
    <n v="74.51039999999999"/>
    <x v="0"/>
    <s v="2230"/>
    <s v="000"/>
    <x v="6"/>
    <x v="2"/>
  </r>
  <r>
    <d v="2013-04-27T00:00:00"/>
    <s v="016-2100-000"/>
    <s v="Food Sales"/>
    <n v="8861.1849000000002"/>
    <n v="0"/>
    <s v="Daily Sales Import"/>
    <n v="-8861.1849000000002"/>
    <n v="8861.1849000000002"/>
    <x v="0"/>
    <s v="2100"/>
    <s v="000"/>
    <x v="6"/>
    <x v="2"/>
  </r>
  <r>
    <d v="2013-04-27T00:00:00"/>
    <s v="016-2210-000"/>
    <s v="Liquor Sales"/>
    <n v="1932.5736000000002"/>
    <n v="0"/>
    <s v="Daily Sales Import"/>
    <n v="-1932.5736000000002"/>
    <n v="1932.5736000000002"/>
    <x v="0"/>
    <s v="2210"/>
    <s v="000"/>
    <x v="6"/>
    <x v="2"/>
  </r>
  <r>
    <d v="2013-04-27T00:00:00"/>
    <s v="016-2220-000"/>
    <s v="Beer Sales"/>
    <n v="501.79559999999998"/>
    <n v="0"/>
    <s v="Daily Sales Import"/>
    <n v="-501.79559999999998"/>
    <n v="501.79559999999998"/>
    <x v="0"/>
    <s v="2220"/>
    <s v="000"/>
    <x v="6"/>
    <x v="2"/>
  </r>
  <r>
    <d v="2013-04-27T00:00:00"/>
    <s v="016-2230-000"/>
    <s v="Wine Sales"/>
    <n v="109.2234"/>
    <n v="0"/>
    <s v="Daily Sales Import"/>
    <n v="-109.2234"/>
    <n v="109.2234"/>
    <x v="0"/>
    <s v="2230"/>
    <s v="000"/>
    <x v="6"/>
    <x v="2"/>
  </r>
  <r>
    <d v="2013-04-28T00:00:00"/>
    <s v="016-2100-000"/>
    <s v="Food Sales"/>
    <n v="6797.7995999999994"/>
    <n v="0"/>
    <s v="Daily Sales Import"/>
    <n v="-6797.7995999999994"/>
    <n v="6797.7995999999994"/>
    <x v="0"/>
    <s v="2100"/>
    <s v="000"/>
    <x v="6"/>
    <x v="2"/>
  </r>
  <r>
    <d v="2013-04-28T00:00:00"/>
    <s v="016-2210-000"/>
    <s v="Liquor Sales"/>
    <n v="1535.5388"/>
    <n v="0"/>
    <s v="Daily Sales Import"/>
    <n v="-1535.5388"/>
    <n v="1535.5388"/>
    <x v="0"/>
    <s v="2210"/>
    <s v="000"/>
    <x v="6"/>
    <x v="2"/>
  </r>
  <r>
    <d v="2013-04-28T00:00:00"/>
    <s v="016-2220-000"/>
    <s v="Beer Sales"/>
    <n v="306.70949999999999"/>
    <n v="0"/>
    <s v="Daily Sales Import"/>
    <n v="-306.70949999999999"/>
    <n v="306.70949999999999"/>
    <x v="0"/>
    <s v="2220"/>
    <s v="000"/>
    <x v="6"/>
    <x v="2"/>
  </r>
  <r>
    <d v="2013-04-28T00:00:00"/>
    <s v="016-2230-000"/>
    <s v="Wine Sales"/>
    <n v="64.752600000000001"/>
    <n v="0"/>
    <s v="Daily Sales Import"/>
    <n v="-64.752600000000001"/>
    <n v="64.752600000000001"/>
    <x v="0"/>
    <s v="2230"/>
    <s v="000"/>
    <x v="6"/>
    <x v="2"/>
  </r>
  <r>
    <d v="2013-04-22T00:00:00"/>
    <s v="017-2100-000"/>
    <s v="Food Sales"/>
    <n v="5057.1863999999996"/>
    <n v="0"/>
    <s v="Daily Sales Import"/>
    <n v="-5057.1863999999996"/>
    <n v="5057.1863999999996"/>
    <x v="1"/>
    <s v="2100"/>
    <s v="000"/>
    <x v="6"/>
    <x v="2"/>
  </r>
  <r>
    <d v="2013-04-22T00:00:00"/>
    <s v="017-2210-000"/>
    <s v="Liquor Sales"/>
    <n v="805.7885"/>
    <n v="0"/>
    <s v="Daily Sales Import"/>
    <n v="-805.7885"/>
    <n v="805.7885"/>
    <x v="1"/>
    <s v="2210"/>
    <s v="000"/>
    <x v="6"/>
    <x v="2"/>
  </r>
  <r>
    <d v="2013-04-22T00:00:00"/>
    <s v="017-2220-000"/>
    <s v="Beer Sales"/>
    <n v="352.95599999999996"/>
    <n v="0"/>
    <s v="Daily Sales Import"/>
    <n v="-352.95599999999996"/>
    <n v="352.95599999999996"/>
    <x v="1"/>
    <s v="2220"/>
    <s v="000"/>
    <x v="6"/>
    <x v="2"/>
  </r>
  <r>
    <d v="2013-04-22T00:00:00"/>
    <s v="017-2230-000"/>
    <s v="Wine Sales"/>
    <n v="50.0032"/>
    <n v="0"/>
    <s v="Daily Sales Import"/>
    <n v="-50.0032"/>
    <n v="50.0032"/>
    <x v="1"/>
    <s v="2230"/>
    <s v="000"/>
    <x v="6"/>
    <x v="2"/>
  </r>
  <r>
    <d v="2013-04-23T00:00:00"/>
    <s v="017-2100-000"/>
    <s v="Food Sales"/>
    <n v="9662.0148000000008"/>
    <n v="0"/>
    <s v="Daily Sales Import"/>
    <n v="-9662.0148000000008"/>
    <n v="9662.0148000000008"/>
    <x v="1"/>
    <s v="2100"/>
    <s v="000"/>
    <x v="6"/>
    <x v="2"/>
  </r>
  <r>
    <d v="2013-04-23T00:00:00"/>
    <s v="017-2210-000"/>
    <s v="Liquor Sales"/>
    <n v="3219.7087999999999"/>
    <n v="0"/>
    <s v="Daily Sales Import"/>
    <n v="-3219.7087999999999"/>
    <n v="3219.7087999999999"/>
    <x v="1"/>
    <s v="2210"/>
    <s v="000"/>
    <x v="6"/>
    <x v="2"/>
  </r>
  <r>
    <d v="2013-04-23T00:00:00"/>
    <s v="017-2220-000"/>
    <s v="Beer Sales"/>
    <n v="797.11450000000002"/>
    <n v="0"/>
    <s v="Daily Sales Import"/>
    <n v="-797.11450000000002"/>
    <n v="797.11450000000002"/>
    <x v="1"/>
    <s v="2220"/>
    <s v="000"/>
    <x v="6"/>
    <x v="2"/>
  </r>
  <r>
    <d v="2013-04-23T00:00:00"/>
    <s v="017-2230-000"/>
    <s v="Wine Sales"/>
    <n v="293.71239999999995"/>
    <n v="0"/>
    <s v="Daily Sales Import"/>
    <n v="-293.71239999999995"/>
    <n v="293.71239999999995"/>
    <x v="1"/>
    <s v="2230"/>
    <s v="000"/>
    <x v="6"/>
    <x v="2"/>
  </r>
  <r>
    <d v="2013-04-24T00:00:00"/>
    <s v="017-2100-000"/>
    <s v="Food Sales"/>
    <n v="4705.0991999999997"/>
    <n v="0"/>
    <s v="Daily Sales Import"/>
    <n v="-4705.0991999999997"/>
    <n v="4705.0991999999997"/>
    <x v="1"/>
    <s v="2100"/>
    <s v="000"/>
    <x v="6"/>
    <x v="2"/>
  </r>
  <r>
    <d v="2013-04-24T00:00:00"/>
    <s v="017-2210-000"/>
    <s v="Liquor Sales"/>
    <n v="1457.1216000000002"/>
    <n v="0"/>
    <s v="Daily Sales Import"/>
    <n v="-1457.1216000000002"/>
    <n v="1457.1216000000002"/>
    <x v="1"/>
    <s v="2210"/>
    <s v="000"/>
    <x v="6"/>
    <x v="2"/>
  </r>
  <r>
    <d v="2013-04-24T00:00:00"/>
    <s v="017-2220-000"/>
    <s v="Beer Sales"/>
    <n v="591.51959999999997"/>
    <n v="0"/>
    <s v="Daily Sales Import"/>
    <n v="-591.51959999999997"/>
    <n v="591.51959999999997"/>
    <x v="1"/>
    <s v="2220"/>
    <s v="000"/>
    <x v="6"/>
    <x v="2"/>
  </r>
  <r>
    <d v="2013-04-24T00:00:00"/>
    <s v="017-2230-000"/>
    <s v="Wine Sales"/>
    <n v="83.020499999999998"/>
    <n v="0"/>
    <s v="Daily Sales Import"/>
    <n v="-83.020499999999998"/>
    <n v="83.020499999999998"/>
    <x v="1"/>
    <s v="2230"/>
    <s v="000"/>
    <x v="6"/>
    <x v="2"/>
  </r>
  <r>
    <d v="2013-04-25T00:00:00"/>
    <s v="017-2100-000"/>
    <s v="Food Sales"/>
    <n v="7219.2222000000011"/>
    <n v="0"/>
    <s v="Daily Sales Import"/>
    <n v="-7219.2222000000011"/>
    <n v="7219.2222000000011"/>
    <x v="1"/>
    <s v="2100"/>
    <s v="000"/>
    <x v="6"/>
    <x v="2"/>
  </r>
  <r>
    <d v="2013-04-25T00:00:00"/>
    <s v="017-2210-000"/>
    <s v="Liquor Sales"/>
    <n v="1609.9649999999997"/>
    <n v="0"/>
    <s v="Daily Sales Import"/>
    <n v="-1609.9649999999997"/>
    <n v="1609.9649999999997"/>
    <x v="1"/>
    <s v="2210"/>
    <s v="000"/>
    <x v="6"/>
    <x v="2"/>
  </r>
  <r>
    <d v="2013-04-25T00:00:00"/>
    <s v="017-2220-000"/>
    <s v="Beer Sales"/>
    <n v="610.4319999999999"/>
    <n v="0"/>
    <s v="Daily Sales Import"/>
    <n v="-610.4319999999999"/>
    <n v="610.4319999999999"/>
    <x v="1"/>
    <s v="2220"/>
    <s v="000"/>
    <x v="6"/>
    <x v="2"/>
  </r>
  <r>
    <d v="2013-04-25T00:00:00"/>
    <s v="017-2230-000"/>
    <s v="Wine Sales"/>
    <n v="114.70800000000001"/>
    <n v="0"/>
    <s v="Daily Sales Import"/>
    <n v="-114.70800000000001"/>
    <n v="114.70800000000001"/>
    <x v="1"/>
    <s v="2230"/>
    <s v="000"/>
    <x v="6"/>
    <x v="2"/>
  </r>
  <r>
    <d v="2013-04-26T00:00:00"/>
    <s v="017-2100-000"/>
    <s v="Food Sales"/>
    <n v="8025.9840000000004"/>
    <n v="0"/>
    <s v="Daily Sales Import"/>
    <n v="-8025.9840000000004"/>
    <n v="8025.9840000000004"/>
    <x v="1"/>
    <s v="2100"/>
    <s v="000"/>
    <x v="6"/>
    <x v="2"/>
  </r>
  <r>
    <d v="2013-04-26T00:00:00"/>
    <s v="017-2210-000"/>
    <s v="Liquor Sales"/>
    <n v="3251.0324000000005"/>
    <n v="0"/>
    <s v="Daily Sales Import"/>
    <n v="-3251.0324000000005"/>
    <n v="3251.0324000000005"/>
    <x v="1"/>
    <s v="2210"/>
    <s v="000"/>
    <x v="6"/>
    <x v="2"/>
  </r>
  <r>
    <d v="2013-04-26T00:00:00"/>
    <s v="017-2220-000"/>
    <s v="Beer Sales"/>
    <n v="600.45140000000004"/>
    <n v="0"/>
    <s v="Daily Sales Import"/>
    <n v="-600.45140000000004"/>
    <n v="600.45140000000004"/>
    <x v="1"/>
    <s v="2220"/>
    <s v="000"/>
    <x v="6"/>
    <x v="2"/>
  </r>
  <r>
    <d v="2013-04-26T00:00:00"/>
    <s v="017-2230-000"/>
    <s v="Wine Sales"/>
    <n v="169.3956"/>
    <n v="0"/>
    <s v="Daily Sales Import"/>
    <n v="-169.3956"/>
    <n v="169.3956"/>
    <x v="1"/>
    <s v="2230"/>
    <s v="000"/>
    <x v="6"/>
    <x v="2"/>
  </r>
  <r>
    <d v="2013-04-27T00:00:00"/>
    <s v="017-2100-000"/>
    <s v="Food Sales"/>
    <n v="8615.259"/>
    <n v="0"/>
    <s v="Daily Sales Import"/>
    <n v="-8615.259"/>
    <n v="8615.259"/>
    <x v="1"/>
    <s v="2100"/>
    <s v="000"/>
    <x v="6"/>
    <x v="2"/>
  </r>
  <r>
    <d v="2013-04-27T00:00:00"/>
    <s v="017-2210-000"/>
    <s v="Liquor Sales"/>
    <n v="1759.4090000000001"/>
    <n v="0"/>
    <s v="Daily Sales Import"/>
    <n v="-1759.4090000000001"/>
    <n v="1759.4090000000001"/>
    <x v="1"/>
    <s v="2210"/>
    <s v="000"/>
    <x v="6"/>
    <x v="2"/>
  </r>
  <r>
    <d v="2013-04-27T00:00:00"/>
    <s v="017-2220-000"/>
    <s v="Beer Sales"/>
    <n v="505.87749999999994"/>
    <n v="0"/>
    <s v="Daily Sales Import"/>
    <n v="-505.87749999999994"/>
    <n v="505.87749999999994"/>
    <x v="1"/>
    <s v="2220"/>
    <s v="000"/>
    <x v="6"/>
    <x v="2"/>
  </r>
  <r>
    <d v="2013-04-27T00:00:00"/>
    <s v="017-2230-000"/>
    <s v="Wine Sales"/>
    <n v="141.37199999999999"/>
    <n v="0"/>
    <s v="Daily Sales Import"/>
    <n v="-141.37199999999999"/>
    <n v="141.37199999999999"/>
    <x v="1"/>
    <s v="2230"/>
    <s v="000"/>
    <x v="6"/>
    <x v="2"/>
  </r>
  <r>
    <d v="2013-04-28T00:00:00"/>
    <s v="017-2100-000"/>
    <s v="Food Sales"/>
    <n v="4183.9021999999995"/>
    <n v="0"/>
    <s v="Daily Sales Import"/>
    <n v="-4183.9021999999995"/>
    <n v="4183.9021999999995"/>
    <x v="1"/>
    <s v="2100"/>
    <s v="000"/>
    <x v="6"/>
    <x v="2"/>
  </r>
  <r>
    <d v="2013-04-28T00:00:00"/>
    <s v="017-2210-000"/>
    <s v="Liquor Sales"/>
    <n v="599.31760000000008"/>
    <n v="0"/>
    <s v="Daily Sales Import"/>
    <n v="-599.31760000000008"/>
    <n v="599.31760000000008"/>
    <x v="1"/>
    <s v="2210"/>
    <s v="000"/>
    <x v="6"/>
    <x v="2"/>
  </r>
  <r>
    <d v="2013-04-28T00:00:00"/>
    <s v="017-2220-000"/>
    <s v="Beer Sales"/>
    <n v="84.884800000000013"/>
    <n v="0"/>
    <s v="Daily Sales Import"/>
    <n v="-84.884800000000013"/>
    <n v="84.884800000000013"/>
    <x v="1"/>
    <s v="2220"/>
    <s v="000"/>
    <x v="6"/>
    <x v="2"/>
  </r>
  <r>
    <d v="2013-04-28T00:00:00"/>
    <s v="017-2230-000"/>
    <s v="Wine Sales"/>
    <n v="65.832000000000008"/>
    <n v="0"/>
    <s v="Daily Sales Import"/>
    <n v="-65.832000000000008"/>
    <n v="65.832000000000008"/>
    <x v="1"/>
    <s v="2230"/>
    <s v="000"/>
    <x v="6"/>
    <x v="2"/>
  </r>
  <r>
    <d v="2013-04-22T00:00:00"/>
    <s v="018-2100-000"/>
    <s v="Food Sales"/>
    <n v="2209.8944999999999"/>
    <n v="0"/>
    <s v="Daily Sales Import"/>
    <n v="-2209.8944999999999"/>
    <n v="2209.8944999999999"/>
    <x v="2"/>
    <s v="2100"/>
    <s v="000"/>
    <x v="6"/>
    <x v="2"/>
  </r>
  <r>
    <d v="2013-04-22T00:00:00"/>
    <s v="018-2210-000"/>
    <s v="Liquor Sales"/>
    <n v="390.1474"/>
    <n v="0"/>
    <s v="Daily Sales Import"/>
    <n v="-390.1474"/>
    <n v="390.1474"/>
    <x v="2"/>
    <s v="2210"/>
    <s v="000"/>
    <x v="6"/>
    <x v="2"/>
  </r>
  <r>
    <d v="2013-04-22T00:00:00"/>
    <s v="018-2220-000"/>
    <s v="Beer Sales"/>
    <n v="108.7385"/>
    <n v="0"/>
    <s v="Daily Sales Import"/>
    <n v="-108.7385"/>
    <n v="108.7385"/>
    <x v="2"/>
    <s v="2220"/>
    <s v="000"/>
    <x v="6"/>
    <x v="2"/>
  </r>
  <r>
    <d v="2013-04-22T00:00:00"/>
    <s v="018-2230-000"/>
    <s v="Wine Sales"/>
    <n v="36.507000000000005"/>
    <n v="0"/>
    <s v="Daily Sales Import"/>
    <n v="-36.507000000000005"/>
    <n v="36.507000000000005"/>
    <x v="2"/>
    <s v="2230"/>
    <s v="000"/>
    <x v="6"/>
    <x v="2"/>
  </r>
  <r>
    <d v="2013-04-23T00:00:00"/>
    <s v="018-2100-000"/>
    <s v="Food Sales"/>
    <n v="3804.9689999999996"/>
    <n v="0"/>
    <s v="Daily Sales Import"/>
    <n v="-3804.9689999999996"/>
    <n v="3804.9689999999996"/>
    <x v="2"/>
    <s v="2100"/>
    <s v="000"/>
    <x v="6"/>
    <x v="2"/>
  </r>
  <r>
    <d v="2013-04-23T00:00:00"/>
    <s v="018-2210-000"/>
    <s v="Liquor Sales"/>
    <n v="687.69539999999995"/>
    <n v="0"/>
    <s v="Daily Sales Import"/>
    <n v="-687.69539999999995"/>
    <n v="687.69539999999995"/>
    <x v="2"/>
    <s v="2210"/>
    <s v="000"/>
    <x v="6"/>
    <x v="2"/>
  </r>
  <r>
    <d v="2013-04-23T00:00:00"/>
    <s v="018-2220-000"/>
    <s v="Beer Sales"/>
    <n v="108.6751"/>
    <n v="0"/>
    <s v="Daily Sales Import"/>
    <n v="-108.6751"/>
    <n v="108.6751"/>
    <x v="2"/>
    <s v="2220"/>
    <s v="000"/>
    <x v="6"/>
    <x v="2"/>
  </r>
  <r>
    <d v="2013-04-23T00:00:00"/>
    <s v="018-2230-000"/>
    <s v="Wine Sales"/>
    <n v="23.095400000000001"/>
    <n v="0"/>
    <s v="Daily Sales Import"/>
    <n v="-23.095400000000001"/>
    <n v="23.095400000000001"/>
    <x v="2"/>
    <s v="2230"/>
    <s v="000"/>
    <x v="6"/>
    <x v="2"/>
  </r>
  <r>
    <d v="2013-04-24T00:00:00"/>
    <s v="018-2100-000"/>
    <s v="Food Sales"/>
    <n v="4935.8945999999996"/>
    <n v="0"/>
    <s v="Daily Sales Import"/>
    <n v="-4935.8945999999996"/>
    <n v="4935.8945999999996"/>
    <x v="2"/>
    <s v="2100"/>
    <s v="000"/>
    <x v="6"/>
    <x v="2"/>
  </r>
  <r>
    <d v="2013-04-24T00:00:00"/>
    <s v="018-2210-000"/>
    <s v="Liquor Sales"/>
    <n v="932.27039999999988"/>
    <n v="0"/>
    <s v="Daily Sales Import"/>
    <n v="-932.27039999999988"/>
    <n v="932.27039999999988"/>
    <x v="2"/>
    <s v="2210"/>
    <s v="000"/>
    <x v="6"/>
    <x v="2"/>
  </r>
  <r>
    <d v="2013-04-24T00:00:00"/>
    <s v="018-2220-000"/>
    <s v="Beer Sales"/>
    <n v="180.57"/>
    <n v="0"/>
    <s v="Daily Sales Import"/>
    <n v="-180.57"/>
    <n v="180.57"/>
    <x v="2"/>
    <s v="2220"/>
    <s v="000"/>
    <x v="6"/>
    <x v="2"/>
  </r>
  <r>
    <d v="2013-04-24T00:00:00"/>
    <s v="018-2230-000"/>
    <s v="Wine Sales"/>
    <n v="45.233600000000003"/>
    <n v="0"/>
    <s v="Daily Sales Import"/>
    <n v="-45.233600000000003"/>
    <n v="45.233600000000003"/>
    <x v="2"/>
    <s v="2230"/>
    <s v="000"/>
    <x v="6"/>
    <x v="2"/>
  </r>
  <r>
    <d v="2013-04-25T00:00:00"/>
    <s v="018-2100-000"/>
    <s v="Food Sales"/>
    <n v="6008.9507000000003"/>
    <n v="0"/>
    <s v="Daily Sales Import"/>
    <n v="-6008.9507000000003"/>
    <n v="6008.9507000000003"/>
    <x v="2"/>
    <s v="2100"/>
    <s v="000"/>
    <x v="6"/>
    <x v="2"/>
  </r>
  <r>
    <d v="2013-04-25T00:00:00"/>
    <s v="018-2210-000"/>
    <s v="Liquor Sales"/>
    <n v="1024.5983999999999"/>
    <n v="0"/>
    <s v="Daily Sales Import"/>
    <n v="-1024.5983999999999"/>
    <n v="1024.5983999999999"/>
    <x v="2"/>
    <s v="2210"/>
    <s v="000"/>
    <x v="6"/>
    <x v="2"/>
  </r>
  <r>
    <d v="2013-04-25T00:00:00"/>
    <s v="018-2220-000"/>
    <s v="Beer Sales"/>
    <n v="228.64760000000001"/>
    <n v="0"/>
    <s v="Daily Sales Import"/>
    <n v="-228.64760000000001"/>
    <n v="228.64760000000001"/>
    <x v="2"/>
    <s v="2220"/>
    <s v="000"/>
    <x v="6"/>
    <x v="2"/>
  </r>
  <r>
    <d v="2013-04-25T00:00:00"/>
    <s v="018-2230-000"/>
    <s v="Wine Sales"/>
    <n v="16.6205"/>
    <n v="0"/>
    <s v="Daily Sales Import"/>
    <n v="-16.6205"/>
    <n v="16.6205"/>
    <x v="2"/>
    <s v="2230"/>
    <s v="000"/>
    <x v="6"/>
    <x v="2"/>
  </r>
  <r>
    <d v="2013-04-26T00:00:00"/>
    <s v="018-2100-000"/>
    <s v="Food Sales"/>
    <n v="7879.4464000000007"/>
    <n v="0"/>
    <s v="Daily Sales Import"/>
    <n v="-7879.4464000000007"/>
    <n v="7879.4464000000007"/>
    <x v="2"/>
    <s v="2100"/>
    <s v="000"/>
    <x v="6"/>
    <x v="2"/>
  </r>
  <r>
    <d v="2013-04-26T00:00:00"/>
    <s v="018-2210-000"/>
    <s v="Liquor Sales"/>
    <n v="1937.9684999999999"/>
    <n v="0"/>
    <s v="Daily Sales Import"/>
    <n v="-1937.9684999999999"/>
    <n v="1937.9684999999999"/>
    <x v="2"/>
    <s v="2210"/>
    <s v="000"/>
    <x v="6"/>
    <x v="2"/>
  </r>
  <r>
    <d v="2013-04-26T00:00:00"/>
    <s v="018-2220-000"/>
    <s v="Beer Sales"/>
    <n v="576.58260000000007"/>
    <n v="0"/>
    <s v="Daily Sales Import"/>
    <n v="-576.58260000000007"/>
    <n v="576.58260000000007"/>
    <x v="2"/>
    <s v="2220"/>
    <s v="000"/>
    <x v="6"/>
    <x v="2"/>
  </r>
  <r>
    <d v="2013-04-26T00:00:00"/>
    <s v="018-2230-000"/>
    <s v="Wine Sales"/>
    <n v="120.5568"/>
    <n v="0"/>
    <s v="Daily Sales Import"/>
    <n v="-120.5568"/>
    <n v="120.5568"/>
    <x v="2"/>
    <s v="2230"/>
    <s v="000"/>
    <x v="6"/>
    <x v="2"/>
  </r>
  <r>
    <d v="2013-04-27T00:00:00"/>
    <s v="018-2100-000"/>
    <s v="Food Sales"/>
    <n v="17266.016899999999"/>
    <n v="0"/>
    <s v="Daily Sales Import"/>
    <n v="-17266.016899999999"/>
    <n v="17266.016899999999"/>
    <x v="2"/>
    <s v="2100"/>
    <s v="000"/>
    <x v="6"/>
    <x v="2"/>
  </r>
  <r>
    <d v="2013-04-27T00:00:00"/>
    <s v="018-2210-000"/>
    <s v="Liquor Sales"/>
    <n v="4843.5933000000005"/>
    <n v="0"/>
    <s v="Daily Sales Import"/>
    <n v="-4843.5933000000005"/>
    <n v="4843.5933000000005"/>
    <x v="2"/>
    <s v="2210"/>
    <s v="000"/>
    <x v="6"/>
    <x v="2"/>
  </r>
  <r>
    <d v="2013-04-27T00:00:00"/>
    <s v="018-2220-000"/>
    <s v="Beer Sales"/>
    <n v="765.14250000000004"/>
    <n v="0"/>
    <s v="Daily Sales Import"/>
    <n v="-765.14250000000004"/>
    <n v="765.14250000000004"/>
    <x v="2"/>
    <s v="2220"/>
    <s v="000"/>
    <x v="6"/>
    <x v="2"/>
  </r>
  <r>
    <d v="2013-04-27T00:00:00"/>
    <s v="018-2230-000"/>
    <s v="Wine Sales"/>
    <n v="119.6874"/>
    <n v="0"/>
    <s v="Daily Sales Import"/>
    <n v="-119.6874"/>
    <n v="119.6874"/>
    <x v="2"/>
    <s v="2230"/>
    <s v="000"/>
    <x v="6"/>
    <x v="2"/>
  </r>
  <r>
    <d v="2013-04-28T00:00:00"/>
    <s v="018-2100-000"/>
    <s v="Food Sales"/>
    <n v="12064.3614"/>
    <n v="0"/>
    <s v="Daily Sales Import"/>
    <n v="-12064.3614"/>
    <n v="12064.3614"/>
    <x v="2"/>
    <s v="2100"/>
    <s v="000"/>
    <x v="6"/>
    <x v="2"/>
  </r>
  <r>
    <d v="2013-04-28T00:00:00"/>
    <s v="018-2210-000"/>
    <s v="Liquor Sales"/>
    <n v="1835.8481999999999"/>
    <n v="0"/>
    <s v="Daily Sales Import"/>
    <n v="-1835.8481999999999"/>
    <n v="1835.8481999999999"/>
    <x v="2"/>
    <s v="2210"/>
    <s v="000"/>
    <x v="6"/>
    <x v="2"/>
  </r>
  <r>
    <d v="2013-04-28T00:00:00"/>
    <s v="018-2220-000"/>
    <s v="Beer Sales"/>
    <n v="413.12419999999997"/>
    <n v="0"/>
    <s v="Daily Sales Import"/>
    <n v="-413.12419999999997"/>
    <n v="413.12419999999997"/>
    <x v="2"/>
    <s v="2220"/>
    <s v="000"/>
    <x v="6"/>
    <x v="2"/>
  </r>
  <r>
    <d v="2013-04-28T00:00:00"/>
    <s v="018-2230-000"/>
    <s v="Wine Sales"/>
    <n v="177.65290000000002"/>
    <n v="0"/>
    <s v="Daily Sales Import"/>
    <n v="-177.65290000000002"/>
    <n v="177.65290000000002"/>
    <x v="2"/>
    <s v="2230"/>
    <s v="000"/>
    <x v="6"/>
    <x v="2"/>
  </r>
  <r>
    <d v="2013-04-29T00:00:00"/>
    <s v="016-2100-000"/>
    <s v="Food Sales"/>
    <n v="3068.163"/>
    <n v="0"/>
    <s v="Daily Sales Import"/>
    <n v="-3068.163"/>
    <n v="3068.163"/>
    <x v="0"/>
    <s v="2100"/>
    <s v="000"/>
    <x v="6"/>
    <x v="2"/>
  </r>
  <r>
    <d v="2013-04-29T00:00:00"/>
    <s v="016-2210-000"/>
    <s v="Liquor Sales"/>
    <n v="418.16400000000004"/>
    <n v="0"/>
    <s v="Daily Sales Import"/>
    <n v="-418.16400000000004"/>
    <n v="418.16400000000004"/>
    <x v="0"/>
    <s v="2210"/>
    <s v="000"/>
    <x v="6"/>
    <x v="2"/>
  </r>
  <r>
    <d v="2013-04-29T00:00:00"/>
    <s v="016-2220-000"/>
    <s v="Beer Sales"/>
    <n v="125.96849999999999"/>
    <n v="0"/>
    <s v="Daily Sales Import"/>
    <n v="-125.96849999999999"/>
    <n v="125.96849999999999"/>
    <x v="0"/>
    <s v="2220"/>
    <s v="000"/>
    <x v="6"/>
    <x v="2"/>
  </r>
  <r>
    <d v="2013-04-29T00:00:00"/>
    <s v="016-2230-000"/>
    <s v="Wine Sales"/>
    <n v="51.534400000000005"/>
    <n v="0"/>
    <s v="Daily Sales Import"/>
    <n v="-51.534400000000005"/>
    <n v="51.534400000000005"/>
    <x v="0"/>
    <s v="2230"/>
    <s v="000"/>
    <x v="6"/>
    <x v="2"/>
  </r>
  <r>
    <d v="2013-04-30T00:00:00"/>
    <s v="016-2100-000"/>
    <s v="Food Sales"/>
    <n v="7625.1419999999998"/>
    <n v="0"/>
    <s v="Daily Sales Import"/>
    <n v="-7625.1419999999998"/>
    <n v="7625.1419999999998"/>
    <x v="0"/>
    <s v="2100"/>
    <s v="000"/>
    <x v="6"/>
    <x v="2"/>
  </r>
  <r>
    <d v="2013-04-30T00:00:00"/>
    <s v="016-2210-000"/>
    <s v="Liquor Sales"/>
    <n v="2562.5628000000002"/>
    <n v="0"/>
    <s v="Daily Sales Import"/>
    <n v="-2562.5628000000002"/>
    <n v="2562.5628000000002"/>
    <x v="0"/>
    <s v="2210"/>
    <s v="000"/>
    <x v="6"/>
    <x v="2"/>
  </r>
  <r>
    <d v="2013-04-30T00:00:00"/>
    <s v="016-2220-000"/>
    <s v="Beer Sales"/>
    <n v="709.88749999999993"/>
    <n v="0"/>
    <s v="Daily Sales Import"/>
    <n v="-709.88749999999993"/>
    <n v="709.88749999999993"/>
    <x v="0"/>
    <s v="2220"/>
    <s v="000"/>
    <x v="6"/>
    <x v="2"/>
  </r>
  <r>
    <d v="2013-04-30T00:00:00"/>
    <s v="016-2230-000"/>
    <s v="Wine Sales"/>
    <n v="151.33420000000001"/>
    <n v="0"/>
    <s v="Daily Sales Import"/>
    <n v="-151.33420000000001"/>
    <n v="151.33420000000001"/>
    <x v="0"/>
    <s v="2230"/>
    <s v="000"/>
    <x v="6"/>
    <x v="2"/>
  </r>
  <r>
    <d v="2013-05-01T00:00:00"/>
    <s v="016-2100-000"/>
    <s v="Food Sales"/>
    <n v="2785.9962"/>
    <n v="0"/>
    <s v="Daily Sales Import"/>
    <n v="-2785.9962"/>
    <n v="2785.9962"/>
    <x v="0"/>
    <s v="2100"/>
    <s v="000"/>
    <x v="7"/>
    <x v="2"/>
  </r>
  <r>
    <d v="2013-05-01T00:00:00"/>
    <s v="016-2210-000"/>
    <s v="Liquor Sales"/>
    <n v="559.52819999999997"/>
    <n v="0"/>
    <s v="Daily Sales Import"/>
    <n v="-559.52819999999997"/>
    <n v="559.52819999999997"/>
    <x v="0"/>
    <s v="2210"/>
    <s v="000"/>
    <x v="7"/>
    <x v="2"/>
  </r>
  <r>
    <d v="2013-05-01T00:00:00"/>
    <s v="016-2220-000"/>
    <s v="Beer Sales"/>
    <n v="141.12"/>
    <n v="0"/>
    <s v="Daily Sales Import"/>
    <n v="-141.12"/>
    <n v="141.12"/>
    <x v="0"/>
    <s v="2220"/>
    <s v="000"/>
    <x v="7"/>
    <x v="2"/>
  </r>
  <r>
    <d v="2013-05-01T00:00:00"/>
    <s v="016-2230-000"/>
    <s v="Wine Sales"/>
    <n v="82.355000000000004"/>
    <n v="0"/>
    <s v="Daily Sales Import"/>
    <n v="-82.355000000000004"/>
    <n v="82.355000000000004"/>
    <x v="0"/>
    <s v="2230"/>
    <s v="000"/>
    <x v="7"/>
    <x v="2"/>
  </r>
  <r>
    <d v="2013-05-02T00:00:00"/>
    <s v="016-2100-000"/>
    <s v="Food Sales"/>
    <n v="2214.6104000000005"/>
    <n v="0"/>
    <s v="Daily Sales Import"/>
    <n v="-2214.6104000000005"/>
    <n v="2214.6104000000005"/>
    <x v="0"/>
    <s v="2100"/>
    <s v="000"/>
    <x v="7"/>
    <x v="2"/>
  </r>
  <r>
    <d v="2013-05-02T00:00:00"/>
    <s v="016-2210-000"/>
    <s v="Liquor Sales"/>
    <n v="515.1898000000001"/>
    <n v="0"/>
    <s v="Daily Sales Import"/>
    <n v="-515.1898000000001"/>
    <n v="515.1898000000001"/>
    <x v="0"/>
    <s v="2210"/>
    <s v="000"/>
    <x v="7"/>
    <x v="2"/>
  </r>
  <r>
    <d v="2013-05-02T00:00:00"/>
    <s v="016-2220-000"/>
    <s v="Beer Sales"/>
    <n v="133.61670000000001"/>
    <n v="0"/>
    <s v="Daily Sales Import"/>
    <n v="-133.61670000000001"/>
    <n v="133.61670000000001"/>
    <x v="0"/>
    <s v="2220"/>
    <s v="000"/>
    <x v="7"/>
    <x v="2"/>
  </r>
  <r>
    <d v="2013-05-02T00:00:00"/>
    <s v="016-2230-000"/>
    <s v="Wine Sales"/>
    <n v="109.8134"/>
    <n v="0"/>
    <s v="Daily Sales Import"/>
    <n v="-109.8134"/>
    <n v="109.8134"/>
    <x v="0"/>
    <s v="2230"/>
    <s v="000"/>
    <x v="7"/>
    <x v="2"/>
  </r>
  <r>
    <d v="2013-05-03T00:00:00"/>
    <s v="016-2100-000"/>
    <s v="Food Sales"/>
    <n v="6502.0173999999997"/>
    <n v="0"/>
    <s v="Daily Sales Import"/>
    <n v="-6502.0173999999997"/>
    <n v="6502.0173999999997"/>
    <x v="0"/>
    <s v="2100"/>
    <s v="000"/>
    <x v="7"/>
    <x v="2"/>
  </r>
  <r>
    <d v="2013-05-03T00:00:00"/>
    <s v="016-2210-000"/>
    <s v="Liquor Sales"/>
    <n v="1971.1527999999998"/>
    <n v="0"/>
    <s v="Daily Sales Import"/>
    <n v="-1971.1527999999998"/>
    <n v="1971.1527999999998"/>
    <x v="0"/>
    <s v="2210"/>
    <s v="000"/>
    <x v="7"/>
    <x v="2"/>
  </r>
  <r>
    <d v="2013-05-03T00:00:00"/>
    <s v="016-2220-000"/>
    <s v="Beer Sales"/>
    <n v="610.70100000000002"/>
    <n v="0"/>
    <s v="Daily Sales Import"/>
    <n v="-610.70100000000002"/>
    <n v="610.70100000000002"/>
    <x v="0"/>
    <s v="2220"/>
    <s v="000"/>
    <x v="7"/>
    <x v="2"/>
  </r>
  <r>
    <d v="2013-05-03T00:00:00"/>
    <s v="016-2230-000"/>
    <s v="Wine Sales"/>
    <n v="118.31599999999999"/>
    <n v="0"/>
    <s v="Daily Sales Import"/>
    <n v="-118.31599999999999"/>
    <n v="118.31599999999999"/>
    <x v="0"/>
    <s v="2230"/>
    <s v="000"/>
    <x v="7"/>
    <x v="2"/>
  </r>
  <r>
    <d v="2013-05-04T00:00:00"/>
    <s v="016-2100-000"/>
    <s v="Food Sales"/>
    <n v="8445.2999999999993"/>
    <n v="0"/>
    <s v="Daily Sales Import"/>
    <n v="-8445.2999999999993"/>
    <n v="8445.2999999999993"/>
    <x v="0"/>
    <s v="2100"/>
    <s v="000"/>
    <x v="7"/>
    <x v="2"/>
  </r>
  <r>
    <d v="2013-05-04T00:00:00"/>
    <s v="016-2210-000"/>
    <s v="Liquor Sales"/>
    <n v="2295.7559999999999"/>
    <n v="0"/>
    <s v="Daily Sales Import"/>
    <n v="-2295.7559999999999"/>
    <n v="2295.7559999999999"/>
    <x v="0"/>
    <s v="2210"/>
    <s v="000"/>
    <x v="7"/>
    <x v="2"/>
  </r>
  <r>
    <d v="2013-05-04T00:00:00"/>
    <s v="016-2220-000"/>
    <s v="Beer Sales"/>
    <n v="442.92959999999994"/>
    <n v="0"/>
    <s v="Daily Sales Import"/>
    <n v="-442.92959999999994"/>
    <n v="442.92959999999994"/>
    <x v="0"/>
    <s v="2220"/>
    <s v="000"/>
    <x v="7"/>
    <x v="2"/>
  </r>
  <r>
    <d v="2013-05-04T00:00:00"/>
    <s v="016-2230-000"/>
    <s v="Wine Sales"/>
    <n v="90.801000000000002"/>
    <n v="0"/>
    <s v="Daily Sales Import"/>
    <n v="-90.801000000000002"/>
    <n v="90.801000000000002"/>
    <x v="0"/>
    <s v="2230"/>
    <s v="000"/>
    <x v="7"/>
    <x v="2"/>
  </r>
  <r>
    <d v="2013-05-05T00:00:00"/>
    <s v="016-2100-000"/>
    <s v="Food Sales"/>
    <n v="20109.777600000001"/>
    <n v="0"/>
    <s v="Daily Sales Import"/>
    <n v="-20109.777600000001"/>
    <n v="20109.777600000001"/>
    <x v="0"/>
    <s v="2100"/>
    <s v="000"/>
    <x v="7"/>
    <x v="2"/>
  </r>
  <r>
    <d v="2013-05-05T00:00:00"/>
    <s v="016-2210-000"/>
    <s v="Liquor Sales"/>
    <n v="15414.539200000001"/>
    <n v="0"/>
    <s v="Daily Sales Import"/>
    <n v="-15414.539200000001"/>
    <n v="15414.539200000001"/>
    <x v="0"/>
    <s v="2210"/>
    <s v="000"/>
    <x v="7"/>
    <x v="2"/>
  </r>
  <r>
    <d v="2013-05-05T00:00:00"/>
    <s v="016-2220-000"/>
    <s v="Beer Sales"/>
    <n v="7719.9168"/>
    <n v="0"/>
    <s v="Daily Sales Import"/>
    <n v="-7719.9168"/>
    <n v="7719.9168"/>
    <x v="0"/>
    <s v="2220"/>
    <s v="000"/>
    <x v="7"/>
    <x v="2"/>
  </r>
  <r>
    <d v="2013-05-05T00:00:00"/>
    <s v="016-2230-000"/>
    <s v="Wine Sales"/>
    <n v="186.05439999999999"/>
    <n v="0"/>
    <s v="Daily Sales Import"/>
    <n v="-186.05439999999999"/>
    <n v="186.05439999999999"/>
    <x v="0"/>
    <s v="2230"/>
    <s v="000"/>
    <x v="7"/>
    <x v="2"/>
  </r>
  <r>
    <d v="2013-04-29T00:00:00"/>
    <s v="017-2100-000"/>
    <s v="Food Sales"/>
    <n v="3565.5232000000001"/>
    <n v="0"/>
    <s v="Daily Sales Import"/>
    <n v="-3565.5232000000001"/>
    <n v="3565.5232000000001"/>
    <x v="1"/>
    <s v="2100"/>
    <s v="000"/>
    <x v="6"/>
    <x v="2"/>
  </r>
  <r>
    <d v="2013-04-29T00:00:00"/>
    <s v="017-2210-000"/>
    <s v="Liquor Sales"/>
    <n v="839.17439999999999"/>
    <n v="0"/>
    <s v="Daily Sales Import"/>
    <n v="-839.17439999999999"/>
    <n v="839.17439999999999"/>
    <x v="1"/>
    <s v="2210"/>
    <s v="000"/>
    <x v="6"/>
    <x v="2"/>
  </r>
  <r>
    <d v="2013-04-29T00:00:00"/>
    <s v="017-2220-000"/>
    <s v="Beer Sales"/>
    <n v="378.09150000000005"/>
    <n v="0"/>
    <s v="Daily Sales Import"/>
    <n v="-378.09150000000005"/>
    <n v="378.09150000000005"/>
    <x v="1"/>
    <s v="2220"/>
    <s v="000"/>
    <x v="6"/>
    <x v="2"/>
  </r>
  <r>
    <d v="2013-04-29T00:00:00"/>
    <s v="017-2230-000"/>
    <s v="Wine Sales"/>
    <n v="69.667500000000004"/>
    <n v="0"/>
    <s v="Daily Sales Import"/>
    <n v="-69.667500000000004"/>
    <n v="69.667500000000004"/>
    <x v="1"/>
    <s v="2230"/>
    <s v="000"/>
    <x v="6"/>
    <x v="2"/>
  </r>
  <r>
    <d v="2013-04-30T00:00:00"/>
    <s v="017-2100-000"/>
    <s v="Food Sales"/>
    <n v="7077.9385999999995"/>
    <n v="0"/>
    <s v="Daily Sales Import"/>
    <n v="-7077.9385999999995"/>
    <n v="7077.9385999999995"/>
    <x v="1"/>
    <s v="2100"/>
    <s v="000"/>
    <x v="6"/>
    <x v="2"/>
  </r>
  <r>
    <d v="2013-04-30T00:00:00"/>
    <s v="017-2210-000"/>
    <s v="Liquor Sales"/>
    <n v="1889.9024999999999"/>
    <n v="0"/>
    <s v="Daily Sales Import"/>
    <n v="-1889.9024999999999"/>
    <n v="1889.9024999999999"/>
    <x v="1"/>
    <s v="2210"/>
    <s v="000"/>
    <x v="6"/>
    <x v="2"/>
  </r>
  <r>
    <d v="2013-04-30T00:00:00"/>
    <s v="017-2220-000"/>
    <s v="Beer Sales"/>
    <n v="584.31579999999997"/>
    <n v="0"/>
    <s v="Daily Sales Import"/>
    <n v="-584.31579999999997"/>
    <n v="584.31579999999997"/>
    <x v="1"/>
    <s v="2220"/>
    <s v="000"/>
    <x v="6"/>
    <x v="2"/>
  </r>
  <r>
    <d v="2013-04-30T00:00:00"/>
    <s v="017-2230-000"/>
    <s v="Wine Sales"/>
    <n v="157.7962"/>
    <n v="0"/>
    <s v="Daily Sales Import"/>
    <n v="-157.7962"/>
    <n v="157.7962"/>
    <x v="1"/>
    <s v="2230"/>
    <s v="000"/>
    <x v="6"/>
    <x v="2"/>
  </r>
  <r>
    <d v="2013-05-01T00:00:00"/>
    <s v="017-2100-000"/>
    <s v="Food Sales"/>
    <n v="5375.4297999999999"/>
    <n v="0"/>
    <s v="Daily Sales Import"/>
    <n v="-5375.4297999999999"/>
    <n v="5375.4297999999999"/>
    <x v="1"/>
    <s v="2100"/>
    <s v="000"/>
    <x v="7"/>
    <x v="2"/>
  </r>
  <r>
    <d v="2013-05-01T00:00:00"/>
    <s v="017-2210-000"/>
    <s v="Liquor Sales"/>
    <n v="2120.0682000000002"/>
    <n v="0"/>
    <s v="Daily Sales Import"/>
    <n v="-2120.0682000000002"/>
    <n v="2120.0682000000002"/>
    <x v="1"/>
    <s v="2210"/>
    <s v="000"/>
    <x v="7"/>
    <x v="2"/>
  </r>
  <r>
    <d v="2013-05-01T00:00:00"/>
    <s v="017-2220-000"/>
    <s v="Beer Sales"/>
    <n v="694.23559999999998"/>
    <n v="0"/>
    <s v="Daily Sales Import"/>
    <n v="-694.23559999999998"/>
    <n v="694.23559999999998"/>
    <x v="1"/>
    <s v="2220"/>
    <s v="000"/>
    <x v="7"/>
    <x v="2"/>
  </r>
  <r>
    <d v="2013-05-01T00:00:00"/>
    <s v="017-2230-000"/>
    <s v="Wine Sales"/>
    <n v="102.0224"/>
    <n v="0"/>
    <s v="Daily Sales Import"/>
    <n v="-102.0224"/>
    <n v="102.0224"/>
    <x v="1"/>
    <s v="2230"/>
    <s v="000"/>
    <x v="7"/>
    <x v="2"/>
  </r>
  <r>
    <d v="2013-05-02T00:00:00"/>
    <s v="017-2100-000"/>
    <s v="Food Sales"/>
    <n v="5941.3949999999995"/>
    <n v="0"/>
    <s v="Daily Sales Import"/>
    <n v="-5941.3949999999995"/>
    <n v="5941.3949999999995"/>
    <x v="1"/>
    <s v="2100"/>
    <s v="000"/>
    <x v="7"/>
    <x v="2"/>
  </r>
  <r>
    <d v="2013-05-02T00:00:00"/>
    <s v="017-2210-000"/>
    <s v="Liquor Sales"/>
    <n v="2177.7231000000002"/>
    <n v="0"/>
    <s v="Daily Sales Import"/>
    <n v="-2177.7231000000002"/>
    <n v="2177.7231000000002"/>
    <x v="1"/>
    <s v="2210"/>
    <s v="000"/>
    <x v="7"/>
    <x v="2"/>
  </r>
  <r>
    <d v="2013-05-02T00:00:00"/>
    <s v="017-2220-000"/>
    <s v="Beer Sales"/>
    <n v="739.83780000000002"/>
    <n v="0"/>
    <s v="Daily Sales Import"/>
    <n v="-739.83780000000002"/>
    <n v="739.83780000000002"/>
    <x v="1"/>
    <s v="2220"/>
    <s v="000"/>
    <x v="7"/>
    <x v="2"/>
  </r>
  <r>
    <d v="2013-05-02T00:00:00"/>
    <s v="017-2230-000"/>
    <s v="Wine Sales"/>
    <n v="85.161999999999992"/>
    <n v="0"/>
    <s v="Daily Sales Import"/>
    <n v="-85.161999999999992"/>
    <n v="85.161999999999992"/>
    <x v="1"/>
    <s v="2230"/>
    <s v="000"/>
    <x v="7"/>
    <x v="2"/>
  </r>
  <r>
    <d v="2013-05-03T00:00:00"/>
    <s v="017-2100-000"/>
    <s v="Food Sales"/>
    <n v="8936.7408000000014"/>
    <n v="0"/>
    <s v="Daily Sales Import"/>
    <n v="-8936.7408000000014"/>
    <n v="8936.7408000000014"/>
    <x v="1"/>
    <s v="2100"/>
    <s v="000"/>
    <x v="7"/>
    <x v="2"/>
  </r>
  <r>
    <d v="2013-05-03T00:00:00"/>
    <s v="017-2210-000"/>
    <s v="Liquor Sales"/>
    <n v="3058.748"/>
    <n v="0"/>
    <s v="Daily Sales Import"/>
    <n v="-3058.748"/>
    <n v="3058.748"/>
    <x v="1"/>
    <s v="2210"/>
    <s v="000"/>
    <x v="7"/>
    <x v="2"/>
  </r>
  <r>
    <d v="2013-05-03T00:00:00"/>
    <s v="017-2220-000"/>
    <s v="Beer Sales"/>
    <n v="736.35540000000003"/>
    <n v="0"/>
    <s v="Daily Sales Import"/>
    <n v="-736.35540000000003"/>
    <n v="736.35540000000003"/>
    <x v="1"/>
    <s v="2220"/>
    <s v="000"/>
    <x v="7"/>
    <x v="2"/>
  </r>
  <r>
    <d v="2013-05-03T00:00:00"/>
    <s v="017-2230-000"/>
    <s v="Wine Sales"/>
    <n v="84.977999999999994"/>
    <n v="0"/>
    <s v="Daily Sales Import"/>
    <n v="-84.977999999999994"/>
    <n v="84.977999999999994"/>
    <x v="1"/>
    <s v="2230"/>
    <s v="000"/>
    <x v="7"/>
    <x v="2"/>
  </r>
  <r>
    <d v="2013-05-04T00:00:00"/>
    <s v="017-2100-000"/>
    <s v="Food Sales"/>
    <n v="7504.7440000000006"/>
    <n v="0"/>
    <s v="Daily Sales Import"/>
    <n v="-7504.7440000000006"/>
    <n v="7504.7440000000006"/>
    <x v="1"/>
    <s v="2100"/>
    <s v="000"/>
    <x v="7"/>
    <x v="2"/>
  </r>
  <r>
    <d v="2013-05-04T00:00:00"/>
    <s v="017-2210-000"/>
    <s v="Liquor Sales"/>
    <n v="2177.7272000000003"/>
    <n v="0"/>
    <s v="Daily Sales Import"/>
    <n v="-2177.7272000000003"/>
    <n v="2177.7272000000003"/>
    <x v="1"/>
    <s v="2210"/>
    <s v="000"/>
    <x v="7"/>
    <x v="2"/>
  </r>
  <r>
    <d v="2013-05-04T00:00:00"/>
    <s v="017-2220-000"/>
    <s v="Beer Sales"/>
    <n v="476.56440000000003"/>
    <n v="0"/>
    <s v="Daily Sales Import"/>
    <n v="-476.56440000000003"/>
    <n v="476.56440000000003"/>
    <x v="1"/>
    <s v="2220"/>
    <s v="000"/>
    <x v="7"/>
    <x v="2"/>
  </r>
  <r>
    <d v="2013-05-04T00:00:00"/>
    <s v="017-2230-000"/>
    <s v="Wine Sales"/>
    <n v="101.96000000000001"/>
    <n v="0"/>
    <s v="Daily Sales Import"/>
    <n v="-101.96000000000001"/>
    <n v="101.96000000000001"/>
    <x v="1"/>
    <s v="2230"/>
    <s v="000"/>
    <x v="7"/>
    <x v="2"/>
  </r>
  <r>
    <d v="2013-05-05T00:00:00"/>
    <s v="017-2100-000"/>
    <s v="Food Sales"/>
    <n v="14419.2739"/>
    <n v="0"/>
    <s v="Daily Sales Import"/>
    <n v="-14419.2739"/>
    <n v="14419.2739"/>
    <x v="1"/>
    <s v="2100"/>
    <s v="000"/>
    <x v="7"/>
    <x v="2"/>
  </r>
  <r>
    <d v="2013-05-05T00:00:00"/>
    <s v="017-2210-000"/>
    <s v="Liquor Sales"/>
    <n v="8045.6382000000003"/>
    <n v="0"/>
    <s v="Daily Sales Import"/>
    <n v="-8045.6382000000003"/>
    <n v="8045.6382000000003"/>
    <x v="1"/>
    <s v="2210"/>
    <s v="000"/>
    <x v="7"/>
    <x v="2"/>
  </r>
  <r>
    <d v="2013-05-05T00:00:00"/>
    <s v="017-2220-000"/>
    <s v="Beer Sales"/>
    <n v="1349.1576"/>
    <n v="0"/>
    <s v="Daily Sales Import"/>
    <n v="-1349.1576"/>
    <n v="1349.1576"/>
    <x v="1"/>
    <s v="2220"/>
    <s v="000"/>
    <x v="7"/>
    <x v="2"/>
  </r>
  <r>
    <d v="2013-05-05T00:00:00"/>
    <s v="017-2230-000"/>
    <s v="Wine Sales"/>
    <n v="62.839299999999994"/>
    <n v="0"/>
    <s v="Daily Sales Import"/>
    <n v="-62.839299999999994"/>
    <n v="62.839299999999994"/>
    <x v="1"/>
    <s v="2230"/>
    <s v="000"/>
    <x v="7"/>
    <x v="2"/>
  </r>
  <r>
    <d v="2013-04-29T00:00:00"/>
    <s v="018-2100-000"/>
    <s v="Food Sales"/>
    <n v="2635.0073999999995"/>
    <n v="0"/>
    <s v="Daily Sales Import"/>
    <n v="-2635.0073999999995"/>
    <n v="2635.0073999999995"/>
    <x v="2"/>
    <s v="2100"/>
    <s v="000"/>
    <x v="6"/>
    <x v="2"/>
  </r>
  <r>
    <d v="2013-04-29T00:00:00"/>
    <s v="018-2210-000"/>
    <s v="Liquor Sales"/>
    <n v="631.87199999999996"/>
    <n v="0"/>
    <s v="Daily Sales Import"/>
    <n v="-631.87199999999996"/>
    <n v="631.87199999999996"/>
    <x v="2"/>
    <s v="2210"/>
    <s v="000"/>
    <x v="6"/>
    <x v="2"/>
  </r>
  <r>
    <d v="2013-04-29T00:00:00"/>
    <s v="018-2220-000"/>
    <s v="Beer Sales"/>
    <n v="182.69129999999998"/>
    <n v="0"/>
    <s v="Daily Sales Import"/>
    <n v="-182.69129999999998"/>
    <n v="182.69129999999998"/>
    <x v="2"/>
    <s v="2220"/>
    <s v="000"/>
    <x v="6"/>
    <x v="2"/>
  </r>
  <r>
    <d v="2013-04-29T00:00:00"/>
    <s v="018-2230-000"/>
    <s v="Wine Sales"/>
    <n v="15.103200000000001"/>
    <n v="0"/>
    <s v="Daily Sales Import"/>
    <n v="-15.103200000000001"/>
    <n v="15.103200000000001"/>
    <x v="2"/>
    <s v="2230"/>
    <s v="000"/>
    <x v="6"/>
    <x v="2"/>
  </r>
  <r>
    <d v="2013-04-30T00:00:00"/>
    <s v="018-2100-000"/>
    <s v="Food Sales"/>
    <n v="4241.9719999999998"/>
    <n v="0"/>
    <s v="Daily Sales Import"/>
    <n v="-4241.9719999999998"/>
    <n v="4241.9719999999998"/>
    <x v="2"/>
    <s v="2100"/>
    <s v="000"/>
    <x v="6"/>
    <x v="2"/>
  </r>
  <r>
    <d v="2013-04-30T00:00:00"/>
    <s v="018-2210-000"/>
    <s v="Liquor Sales"/>
    <n v="650.81219999999996"/>
    <n v="0"/>
    <s v="Daily Sales Import"/>
    <n v="-650.81219999999996"/>
    <n v="650.81219999999996"/>
    <x v="2"/>
    <s v="2210"/>
    <s v="000"/>
    <x v="6"/>
    <x v="2"/>
  </r>
  <r>
    <d v="2013-04-30T00:00:00"/>
    <s v="018-2220-000"/>
    <s v="Beer Sales"/>
    <n v="164.4564"/>
    <n v="0"/>
    <s v="Daily Sales Import"/>
    <n v="-164.4564"/>
    <n v="164.4564"/>
    <x v="2"/>
    <s v="2220"/>
    <s v="000"/>
    <x v="6"/>
    <x v="2"/>
  </r>
  <r>
    <d v="2013-04-30T00:00:00"/>
    <s v="018-2230-000"/>
    <s v="Wine Sales"/>
    <n v="15.4518"/>
    <n v="0"/>
    <s v="Daily Sales Import"/>
    <n v="-15.4518"/>
    <n v="15.4518"/>
    <x v="2"/>
    <s v="2230"/>
    <s v="000"/>
    <x v="6"/>
    <x v="2"/>
  </r>
  <r>
    <d v="2013-05-01T00:00:00"/>
    <s v="018-2100-000"/>
    <s v="Food Sales"/>
    <n v="5062.8023999999996"/>
    <n v="0"/>
    <s v="Daily Sales Import"/>
    <n v="-5062.8023999999996"/>
    <n v="5062.8023999999996"/>
    <x v="2"/>
    <s v="2100"/>
    <s v="000"/>
    <x v="7"/>
    <x v="2"/>
  </r>
  <r>
    <d v="2013-05-01T00:00:00"/>
    <s v="018-2210-000"/>
    <s v="Liquor Sales"/>
    <n v="1097.0119999999999"/>
    <n v="0"/>
    <s v="Daily Sales Import"/>
    <n v="-1097.0119999999999"/>
    <n v="1097.0119999999999"/>
    <x v="2"/>
    <s v="2210"/>
    <s v="000"/>
    <x v="7"/>
    <x v="2"/>
  </r>
  <r>
    <d v="2013-05-01T00:00:00"/>
    <s v="018-2220-000"/>
    <s v="Beer Sales"/>
    <n v="277.47720000000004"/>
    <n v="0"/>
    <s v="Daily Sales Import"/>
    <n v="-277.47720000000004"/>
    <n v="277.47720000000004"/>
    <x v="2"/>
    <s v="2220"/>
    <s v="000"/>
    <x v="7"/>
    <x v="2"/>
  </r>
  <r>
    <d v="2013-05-01T00:00:00"/>
    <s v="018-2230-000"/>
    <s v="Wine Sales"/>
    <n v="57.922800000000009"/>
    <n v="0"/>
    <s v="Daily Sales Import"/>
    <n v="-57.922800000000009"/>
    <n v="57.922800000000009"/>
    <x v="2"/>
    <s v="2230"/>
    <s v="000"/>
    <x v="7"/>
    <x v="2"/>
  </r>
  <r>
    <d v="2013-05-02T00:00:00"/>
    <s v="018-2100-000"/>
    <s v="Food Sales"/>
    <n v="5525.3432000000003"/>
    <n v="0"/>
    <s v="Daily Sales Import"/>
    <n v="-5525.3432000000003"/>
    <n v="5525.3432000000003"/>
    <x v="2"/>
    <s v="2100"/>
    <s v="000"/>
    <x v="7"/>
    <x v="2"/>
  </r>
  <r>
    <d v="2013-05-02T00:00:00"/>
    <s v="018-2210-000"/>
    <s v="Liquor Sales"/>
    <n v="1085.8452"/>
    <n v="0"/>
    <s v="Daily Sales Import"/>
    <n v="-1085.8452"/>
    <n v="1085.8452"/>
    <x v="2"/>
    <s v="2210"/>
    <s v="000"/>
    <x v="7"/>
    <x v="2"/>
  </r>
  <r>
    <d v="2013-05-02T00:00:00"/>
    <s v="018-2220-000"/>
    <s v="Beer Sales"/>
    <n v="206.64749999999998"/>
    <n v="0"/>
    <s v="Daily Sales Import"/>
    <n v="-206.64749999999998"/>
    <n v="206.64749999999998"/>
    <x v="2"/>
    <s v="2220"/>
    <s v="000"/>
    <x v="7"/>
    <x v="2"/>
  </r>
  <r>
    <d v="2013-05-02T00:00:00"/>
    <s v="018-2230-000"/>
    <s v="Wine Sales"/>
    <n v="6.3920000000000003"/>
    <n v="0"/>
    <s v="Daily Sales Import"/>
    <n v="-6.3920000000000003"/>
    <n v="6.3920000000000003"/>
    <x v="2"/>
    <s v="2230"/>
    <s v="000"/>
    <x v="7"/>
    <x v="2"/>
  </r>
  <r>
    <d v="2013-05-03T00:00:00"/>
    <s v="018-2100-000"/>
    <s v="Food Sales"/>
    <n v="9464.5655999999999"/>
    <n v="0"/>
    <s v="Daily Sales Import"/>
    <n v="-9464.5655999999999"/>
    <n v="9464.5655999999999"/>
    <x v="2"/>
    <s v="2100"/>
    <s v="000"/>
    <x v="7"/>
    <x v="2"/>
  </r>
  <r>
    <d v="2013-05-03T00:00:00"/>
    <s v="018-2210-000"/>
    <s v="Liquor Sales"/>
    <n v="4166.1238000000003"/>
    <n v="0"/>
    <s v="Daily Sales Import"/>
    <n v="-4166.1238000000003"/>
    <n v="4166.1238000000003"/>
    <x v="2"/>
    <s v="2210"/>
    <s v="000"/>
    <x v="7"/>
    <x v="2"/>
  </r>
  <r>
    <d v="2013-05-03T00:00:00"/>
    <s v="018-2220-000"/>
    <s v="Beer Sales"/>
    <n v="958.51859999999999"/>
    <n v="0"/>
    <s v="Daily Sales Import"/>
    <n v="-958.51859999999999"/>
    <n v="958.51859999999999"/>
    <x v="2"/>
    <s v="2220"/>
    <s v="000"/>
    <x v="7"/>
    <x v="2"/>
  </r>
  <r>
    <d v="2013-05-03T00:00:00"/>
    <s v="018-2230-000"/>
    <s v="Wine Sales"/>
    <n v="66.182699999999997"/>
    <n v="0"/>
    <s v="Daily Sales Import"/>
    <n v="-66.182699999999997"/>
    <n v="66.182699999999997"/>
    <x v="2"/>
    <s v="2230"/>
    <s v="000"/>
    <x v="7"/>
    <x v="2"/>
  </r>
  <r>
    <d v="2013-05-04T00:00:00"/>
    <s v="018-2100-000"/>
    <s v="Food Sales"/>
    <n v="15914.0034"/>
    <n v="0"/>
    <s v="Daily Sales Import"/>
    <n v="-15914.0034"/>
    <n v="15914.0034"/>
    <x v="2"/>
    <s v="2100"/>
    <s v="000"/>
    <x v="7"/>
    <x v="2"/>
  </r>
  <r>
    <d v="2013-05-04T00:00:00"/>
    <s v="018-2210-000"/>
    <s v="Liquor Sales"/>
    <n v="3540.9"/>
    <n v="0"/>
    <s v="Daily Sales Import"/>
    <n v="-3540.9"/>
    <n v="3540.9"/>
    <x v="2"/>
    <s v="2210"/>
    <s v="000"/>
    <x v="7"/>
    <x v="2"/>
  </r>
  <r>
    <d v="2013-05-04T00:00:00"/>
    <s v="018-2220-000"/>
    <s v="Beer Sales"/>
    <n v="856.03700000000003"/>
    <n v="0"/>
    <s v="Daily Sales Import"/>
    <n v="-856.03700000000003"/>
    <n v="856.03700000000003"/>
    <x v="2"/>
    <s v="2220"/>
    <s v="000"/>
    <x v="7"/>
    <x v="2"/>
  </r>
  <r>
    <d v="2013-05-04T00:00:00"/>
    <s v="018-2230-000"/>
    <s v="Wine Sales"/>
    <n v="67.002199999999988"/>
    <n v="0"/>
    <s v="Daily Sales Import"/>
    <n v="-67.002199999999988"/>
    <n v="67.002199999999988"/>
    <x v="2"/>
    <s v="2230"/>
    <s v="000"/>
    <x v="7"/>
    <x v="2"/>
  </r>
  <r>
    <d v="2013-05-05T00:00:00"/>
    <s v="018-2100-000"/>
    <s v="Food Sales"/>
    <n v="18601.478999999999"/>
    <n v="0"/>
    <s v="Daily Sales Import"/>
    <n v="-18601.478999999999"/>
    <n v="18601.478999999999"/>
    <x v="2"/>
    <s v="2100"/>
    <s v="000"/>
    <x v="7"/>
    <x v="2"/>
  </r>
  <r>
    <d v="2013-05-05T00:00:00"/>
    <s v="018-2210-000"/>
    <s v="Liquor Sales"/>
    <n v="6007.7828999999992"/>
    <n v="0"/>
    <s v="Daily Sales Import"/>
    <n v="-6007.7828999999992"/>
    <n v="6007.7828999999992"/>
    <x v="2"/>
    <s v="2210"/>
    <s v="000"/>
    <x v="7"/>
    <x v="2"/>
  </r>
  <r>
    <d v="2013-05-05T00:00:00"/>
    <s v="018-2220-000"/>
    <s v="Beer Sales"/>
    <n v="1621.9463999999998"/>
    <n v="0"/>
    <s v="Daily Sales Import"/>
    <n v="-1621.9463999999998"/>
    <n v="1621.9463999999998"/>
    <x v="2"/>
    <s v="2220"/>
    <s v="000"/>
    <x v="7"/>
    <x v="2"/>
  </r>
  <r>
    <d v="2013-05-05T00:00:00"/>
    <s v="018-2230-000"/>
    <s v="Wine Sales"/>
    <n v="91.749800000000008"/>
    <n v="0"/>
    <s v="Daily Sales Import"/>
    <n v="-91.749800000000008"/>
    <n v="91.749800000000008"/>
    <x v="2"/>
    <s v="2230"/>
    <s v="000"/>
    <x v="7"/>
    <x v="2"/>
  </r>
  <r>
    <d v="2013-05-06T00:00:00"/>
    <s v="016-2100-000"/>
    <s v="Food Sales"/>
    <n v="1995.0000000000002"/>
    <n v="0"/>
    <s v="Daily Sales Import"/>
    <n v="-1995.0000000000002"/>
    <n v="1995.0000000000002"/>
    <x v="0"/>
    <s v="2100"/>
    <s v="000"/>
    <x v="7"/>
    <x v="2"/>
  </r>
  <r>
    <d v="2013-05-06T00:00:00"/>
    <s v="016-2210-000"/>
    <s v="Liquor Sales"/>
    <n v="556.14"/>
    <n v="0"/>
    <s v="Daily Sales Import"/>
    <n v="-556.14"/>
    <n v="556.14"/>
    <x v="0"/>
    <s v="2210"/>
    <s v="000"/>
    <x v="7"/>
    <x v="2"/>
  </r>
  <r>
    <d v="2013-05-06T00:00:00"/>
    <s v="016-2220-000"/>
    <s v="Beer Sales"/>
    <n v="202.03649999999999"/>
    <n v="0"/>
    <s v="Daily Sales Import"/>
    <n v="-202.03649999999999"/>
    <n v="202.03649999999999"/>
    <x v="0"/>
    <s v="2220"/>
    <s v="000"/>
    <x v="7"/>
    <x v="2"/>
  </r>
  <r>
    <d v="2013-05-06T00:00:00"/>
    <s v="016-2230-000"/>
    <s v="Wine Sales"/>
    <n v="115.15559999999999"/>
    <n v="0"/>
    <s v="Daily Sales Import"/>
    <n v="-115.15559999999999"/>
    <n v="115.15559999999999"/>
    <x v="0"/>
    <s v="2230"/>
    <s v="000"/>
    <x v="7"/>
    <x v="2"/>
  </r>
  <r>
    <d v="2013-05-07T00:00:00"/>
    <s v="016-2100-000"/>
    <s v="Food Sales"/>
    <n v="7256.3315999999995"/>
    <n v="0"/>
    <s v="Daily Sales Import"/>
    <n v="-7256.3315999999995"/>
    <n v="7256.3315999999995"/>
    <x v="0"/>
    <s v="2100"/>
    <s v="000"/>
    <x v="7"/>
    <x v="2"/>
  </r>
  <r>
    <d v="2013-05-07T00:00:00"/>
    <s v="016-2210-000"/>
    <s v="Liquor Sales"/>
    <n v="1934.6879999999999"/>
    <n v="0"/>
    <s v="Daily Sales Import"/>
    <n v="-1934.6879999999999"/>
    <n v="1934.6879999999999"/>
    <x v="0"/>
    <s v="2210"/>
    <s v="000"/>
    <x v="7"/>
    <x v="2"/>
  </r>
  <r>
    <d v="2013-05-07T00:00:00"/>
    <s v="016-2220-000"/>
    <s v="Beer Sales"/>
    <n v="674.10419999999999"/>
    <n v="0"/>
    <s v="Daily Sales Import"/>
    <n v="-674.10419999999999"/>
    <n v="674.10419999999999"/>
    <x v="0"/>
    <s v="2220"/>
    <s v="000"/>
    <x v="7"/>
    <x v="2"/>
  </r>
  <r>
    <d v="2013-05-07T00:00:00"/>
    <s v="016-2230-000"/>
    <s v="Wine Sales"/>
    <n v="115.16800000000001"/>
    <n v="0"/>
    <s v="Daily Sales Import"/>
    <n v="-115.16800000000001"/>
    <n v="115.16800000000001"/>
    <x v="0"/>
    <s v="2230"/>
    <s v="000"/>
    <x v="7"/>
    <x v="2"/>
  </r>
  <r>
    <d v="2013-05-08T00:00:00"/>
    <s v="016-2100-000"/>
    <s v="Food Sales"/>
    <n v="2158.4360000000001"/>
    <n v="0"/>
    <s v="Daily Sales Import"/>
    <n v="-2158.4360000000001"/>
    <n v="2158.4360000000001"/>
    <x v="0"/>
    <s v="2100"/>
    <s v="000"/>
    <x v="7"/>
    <x v="2"/>
  </r>
  <r>
    <d v="2013-05-08T00:00:00"/>
    <s v="016-2210-000"/>
    <s v="Liquor Sales"/>
    <n v="672.06470000000002"/>
    <n v="0"/>
    <s v="Daily Sales Import"/>
    <n v="-672.06470000000002"/>
    <n v="672.06470000000002"/>
    <x v="0"/>
    <s v="2210"/>
    <s v="000"/>
    <x v="7"/>
    <x v="2"/>
  </r>
  <r>
    <d v="2013-05-08T00:00:00"/>
    <s v="016-2220-000"/>
    <s v="Beer Sales"/>
    <n v="135.11500000000001"/>
    <n v="0"/>
    <s v="Daily Sales Import"/>
    <n v="-135.11500000000001"/>
    <n v="135.11500000000001"/>
    <x v="0"/>
    <s v="2220"/>
    <s v="000"/>
    <x v="7"/>
    <x v="2"/>
  </r>
  <r>
    <d v="2013-05-08T00:00:00"/>
    <s v="016-2230-000"/>
    <s v="Wine Sales"/>
    <n v="56.904299999999992"/>
    <n v="0"/>
    <s v="Daily Sales Import"/>
    <n v="-56.904299999999992"/>
    <n v="56.904299999999992"/>
    <x v="0"/>
    <s v="2230"/>
    <s v="000"/>
    <x v="7"/>
    <x v="2"/>
  </r>
  <r>
    <d v="2013-05-09T00:00:00"/>
    <s v="016-2100-000"/>
    <s v="Food Sales"/>
    <n v="3119.2960000000003"/>
    <n v="0"/>
    <s v="Daily Sales Import"/>
    <n v="-3119.2960000000003"/>
    <n v="3119.2960000000003"/>
    <x v="0"/>
    <s v="2100"/>
    <s v="000"/>
    <x v="7"/>
    <x v="2"/>
  </r>
  <r>
    <d v="2013-05-09T00:00:00"/>
    <s v="016-2210-000"/>
    <s v="Liquor Sales"/>
    <n v="825.01800000000003"/>
    <n v="0"/>
    <s v="Daily Sales Import"/>
    <n v="-825.01800000000003"/>
    <n v="825.01800000000003"/>
    <x v="0"/>
    <s v="2210"/>
    <s v="000"/>
    <x v="7"/>
    <x v="2"/>
  </r>
  <r>
    <d v="2013-05-09T00:00:00"/>
    <s v="016-2220-000"/>
    <s v="Beer Sales"/>
    <n v="155.45910000000001"/>
    <n v="0"/>
    <s v="Daily Sales Import"/>
    <n v="-155.45910000000001"/>
    <n v="155.45910000000001"/>
    <x v="0"/>
    <s v="2220"/>
    <s v="000"/>
    <x v="7"/>
    <x v="2"/>
  </r>
  <r>
    <d v="2013-05-09T00:00:00"/>
    <s v="016-2230-000"/>
    <s v="Wine Sales"/>
    <n v="61.612400000000001"/>
    <n v="0"/>
    <s v="Daily Sales Import"/>
    <n v="-61.612400000000001"/>
    <n v="61.612400000000001"/>
    <x v="0"/>
    <s v="2230"/>
    <s v="000"/>
    <x v="7"/>
    <x v="2"/>
  </r>
  <r>
    <d v="2013-05-10T00:00:00"/>
    <s v="016-2100-000"/>
    <s v="Food Sales"/>
    <n v="4617.8850999999995"/>
    <n v="0"/>
    <s v="Daily Sales Import"/>
    <n v="-4617.8850999999995"/>
    <n v="4617.8850999999995"/>
    <x v="0"/>
    <s v="2100"/>
    <s v="000"/>
    <x v="7"/>
    <x v="2"/>
  </r>
  <r>
    <d v="2013-05-10T00:00:00"/>
    <s v="016-2210-000"/>
    <s v="Liquor Sales"/>
    <n v="1689.4387000000002"/>
    <n v="0"/>
    <s v="Daily Sales Import"/>
    <n v="-1689.4387000000002"/>
    <n v="1689.4387000000002"/>
    <x v="0"/>
    <s v="2210"/>
    <s v="000"/>
    <x v="7"/>
    <x v="2"/>
  </r>
  <r>
    <d v="2013-05-10T00:00:00"/>
    <s v="016-2220-000"/>
    <s v="Beer Sales"/>
    <n v="293.11099999999999"/>
    <n v="0"/>
    <s v="Daily Sales Import"/>
    <n v="-293.11099999999999"/>
    <n v="293.11099999999999"/>
    <x v="0"/>
    <s v="2220"/>
    <s v="000"/>
    <x v="7"/>
    <x v="2"/>
  </r>
  <r>
    <d v="2013-05-10T00:00:00"/>
    <s v="016-2230-000"/>
    <s v="Wine Sales"/>
    <n v="100.492"/>
    <n v="0"/>
    <s v="Daily Sales Import"/>
    <n v="-100.492"/>
    <n v="100.492"/>
    <x v="0"/>
    <s v="2230"/>
    <s v="000"/>
    <x v="7"/>
    <x v="2"/>
  </r>
  <r>
    <d v="2013-05-11T00:00:00"/>
    <s v="016-2100-000"/>
    <s v="Food Sales"/>
    <n v="7668.4793999999993"/>
    <n v="0"/>
    <s v="Daily Sales Import"/>
    <n v="-7668.4793999999993"/>
    <n v="7668.4793999999993"/>
    <x v="0"/>
    <s v="2100"/>
    <s v="000"/>
    <x v="7"/>
    <x v="2"/>
  </r>
  <r>
    <d v="2013-05-11T00:00:00"/>
    <s v="016-2210-000"/>
    <s v="Liquor Sales"/>
    <n v="3025.2222000000002"/>
    <n v="0"/>
    <s v="Daily Sales Import"/>
    <n v="-3025.2222000000002"/>
    <n v="3025.2222000000002"/>
    <x v="0"/>
    <s v="2210"/>
    <s v="000"/>
    <x v="7"/>
    <x v="2"/>
  </r>
  <r>
    <d v="2013-05-11T00:00:00"/>
    <s v="016-2220-000"/>
    <s v="Beer Sales"/>
    <n v="505.85989999999998"/>
    <n v="0"/>
    <s v="Daily Sales Import"/>
    <n v="-505.85989999999998"/>
    <n v="505.85989999999998"/>
    <x v="0"/>
    <s v="2220"/>
    <s v="000"/>
    <x v="7"/>
    <x v="2"/>
  </r>
  <r>
    <d v="2013-05-11T00:00:00"/>
    <s v="016-2230-000"/>
    <s v="Wine Sales"/>
    <n v="121.842"/>
    <n v="0"/>
    <s v="Daily Sales Import"/>
    <n v="-121.842"/>
    <n v="121.842"/>
    <x v="0"/>
    <s v="2230"/>
    <s v="000"/>
    <x v="7"/>
    <x v="2"/>
  </r>
  <r>
    <d v="2013-05-12T00:00:00"/>
    <s v="016-2100-000"/>
    <s v="Food Sales"/>
    <n v="9599.6844000000001"/>
    <n v="0"/>
    <s v="Daily Sales Import"/>
    <n v="-9599.6844000000001"/>
    <n v="9599.6844000000001"/>
    <x v="0"/>
    <s v="2100"/>
    <s v="000"/>
    <x v="7"/>
    <x v="2"/>
  </r>
  <r>
    <d v="2013-05-12T00:00:00"/>
    <s v="016-2210-000"/>
    <s v="Liquor Sales"/>
    <n v="1452.1044000000002"/>
    <n v="0"/>
    <s v="Daily Sales Import"/>
    <n v="-1452.1044000000002"/>
    <n v="1452.1044000000002"/>
    <x v="0"/>
    <s v="2210"/>
    <s v="000"/>
    <x v="7"/>
    <x v="2"/>
  </r>
  <r>
    <d v="2013-05-12T00:00:00"/>
    <s v="016-2220-000"/>
    <s v="Beer Sales"/>
    <n v="328.58280000000002"/>
    <n v="0"/>
    <s v="Daily Sales Import"/>
    <n v="-328.58280000000002"/>
    <n v="328.58280000000002"/>
    <x v="0"/>
    <s v="2220"/>
    <s v="000"/>
    <x v="7"/>
    <x v="2"/>
  </r>
  <r>
    <d v="2013-05-12T00:00:00"/>
    <s v="016-2230-000"/>
    <s v="Wine Sales"/>
    <n v="101.38800000000001"/>
    <n v="0"/>
    <s v="Daily Sales Import"/>
    <n v="-101.38800000000001"/>
    <n v="101.38800000000001"/>
    <x v="0"/>
    <s v="2230"/>
    <s v="000"/>
    <x v="7"/>
    <x v="2"/>
  </r>
  <r>
    <d v="2013-05-06T00:00:00"/>
    <s v="017-2100-000"/>
    <s v="Food Sales"/>
    <n v="4162.241"/>
    <n v="0"/>
    <s v="Daily Sales Import"/>
    <n v="-4162.241"/>
    <n v="4162.241"/>
    <x v="1"/>
    <s v="2100"/>
    <s v="000"/>
    <x v="7"/>
    <x v="2"/>
  </r>
  <r>
    <d v="2013-05-06T00:00:00"/>
    <s v="017-2210-000"/>
    <s v="Liquor Sales"/>
    <n v="853.63199999999995"/>
    <n v="0"/>
    <s v="Daily Sales Import"/>
    <n v="-853.63199999999995"/>
    <n v="853.63199999999995"/>
    <x v="1"/>
    <s v="2210"/>
    <s v="000"/>
    <x v="7"/>
    <x v="2"/>
  </r>
  <r>
    <d v="2013-05-06T00:00:00"/>
    <s v="017-2220-000"/>
    <s v="Beer Sales"/>
    <n v="339.26620000000003"/>
    <n v="0"/>
    <s v="Daily Sales Import"/>
    <n v="-339.26620000000003"/>
    <n v="339.26620000000003"/>
    <x v="1"/>
    <s v="2220"/>
    <s v="000"/>
    <x v="7"/>
    <x v="2"/>
  </r>
  <r>
    <d v="2013-05-06T00:00:00"/>
    <s v="017-2230-000"/>
    <s v="Wine Sales"/>
    <n v="209.988"/>
    <n v="0"/>
    <s v="Daily Sales Import"/>
    <n v="-209.988"/>
    <n v="209.988"/>
    <x v="1"/>
    <s v="2230"/>
    <s v="000"/>
    <x v="7"/>
    <x v="2"/>
  </r>
  <r>
    <d v="2013-05-07T00:00:00"/>
    <s v="017-2100-000"/>
    <s v="Food Sales"/>
    <n v="5374.6514999999999"/>
    <n v="0"/>
    <s v="Daily Sales Import"/>
    <n v="-5374.6514999999999"/>
    <n v="5374.6514999999999"/>
    <x v="1"/>
    <s v="2100"/>
    <s v="000"/>
    <x v="7"/>
    <x v="2"/>
  </r>
  <r>
    <d v="2013-05-07T00:00:00"/>
    <s v="017-2210-000"/>
    <s v="Liquor Sales"/>
    <n v="1404.1393999999998"/>
    <n v="0"/>
    <s v="Daily Sales Import"/>
    <n v="-1404.1393999999998"/>
    <n v="1404.1393999999998"/>
    <x v="1"/>
    <s v="2210"/>
    <s v="000"/>
    <x v="7"/>
    <x v="2"/>
  </r>
  <r>
    <d v="2013-05-07T00:00:00"/>
    <s v="017-2220-000"/>
    <s v="Beer Sales"/>
    <n v="313.97919999999999"/>
    <n v="0"/>
    <s v="Daily Sales Import"/>
    <n v="-313.97919999999999"/>
    <n v="313.97919999999999"/>
    <x v="1"/>
    <s v="2220"/>
    <s v="000"/>
    <x v="7"/>
    <x v="2"/>
  </r>
  <r>
    <d v="2013-05-07T00:00:00"/>
    <s v="017-2230-000"/>
    <s v="Wine Sales"/>
    <n v="118.807"/>
    <n v="0"/>
    <s v="Daily Sales Import"/>
    <n v="-118.807"/>
    <n v="118.807"/>
    <x v="1"/>
    <s v="2230"/>
    <s v="000"/>
    <x v="7"/>
    <x v="2"/>
  </r>
  <r>
    <d v="2013-05-08T00:00:00"/>
    <s v="017-2100-000"/>
    <s v="Food Sales"/>
    <n v="6068.2578000000003"/>
    <n v="0"/>
    <s v="Daily Sales Import"/>
    <n v="-6068.2578000000003"/>
    <n v="6068.2578000000003"/>
    <x v="1"/>
    <s v="2100"/>
    <s v="000"/>
    <x v="7"/>
    <x v="2"/>
  </r>
  <r>
    <d v="2013-05-08T00:00:00"/>
    <s v="017-2210-000"/>
    <s v="Liquor Sales"/>
    <n v="1379.4660000000001"/>
    <n v="0"/>
    <s v="Daily Sales Import"/>
    <n v="-1379.4660000000001"/>
    <n v="1379.4660000000001"/>
    <x v="1"/>
    <s v="2210"/>
    <s v="000"/>
    <x v="7"/>
    <x v="2"/>
  </r>
  <r>
    <d v="2013-05-08T00:00:00"/>
    <s v="017-2220-000"/>
    <s v="Beer Sales"/>
    <n v="516.26250000000005"/>
    <n v="0"/>
    <s v="Daily Sales Import"/>
    <n v="-516.26250000000005"/>
    <n v="516.26250000000005"/>
    <x v="1"/>
    <s v="2220"/>
    <s v="000"/>
    <x v="7"/>
    <x v="2"/>
  </r>
  <r>
    <d v="2013-05-08T00:00:00"/>
    <s v="017-2230-000"/>
    <s v="Wine Sales"/>
    <n v="112.44750000000001"/>
    <n v="0"/>
    <s v="Daily Sales Import"/>
    <n v="-112.44750000000001"/>
    <n v="112.44750000000001"/>
    <x v="1"/>
    <s v="2230"/>
    <s v="000"/>
    <x v="7"/>
    <x v="2"/>
  </r>
  <r>
    <d v="2013-05-09T00:00:00"/>
    <s v="017-2100-000"/>
    <s v="Food Sales"/>
    <n v="6689.0732999999991"/>
    <n v="0"/>
    <s v="Daily Sales Import"/>
    <n v="-6689.0732999999991"/>
    <n v="6689.0732999999991"/>
    <x v="1"/>
    <s v="2100"/>
    <s v="000"/>
    <x v="7"/>
    <x v="2"/>
  </r>
  <r>
    <d v="2013-05-09T00:00:00"/>
    <s v="017-2210-000"/>
    <s v="Liquor Sales"/>
    <n v="2213.3555999999999"/>
    <n v="0"/>
    <s v="Daily Sales Import"/>
    <n v="-2213.3555999999999"/>
    <n v="2213.3555999999999"/>
    <x v="1"/>
    <s v="2210"/>
    <s v="000"/>
    <x v="7"/>
    <x v="2"/>
  </r>
  <r>
    <d v="2013-05-09T00:00:00"/>
    <s v="017-2220-000"/>
    <s v="Beer Sales"/>
    <n v="893.74259999999992"/>
    <n v="0"/>
    <s v="Daily Sales Import"/>
    <n v="-893.74259999999992"/>
    <n v="893.74259999999992"/>
    <x v="1"/>
    <s v="2220"/>
    <s v="000"/>
    <x v="7"/>
    <x v="2"/>
  </r>
  <r>
    <d v="2013-05-09T00:00:00"/>
    <s v="017-2230-000"/>
    <s v="Wine Sales"/>
    <n v="109.4628"/>
    <n v="0"/>
    <s v="Daily Sales Import"/>
    <n v="-109.4628"/>
    <n v="109.4628"/>
    <x v="1"/>
    <s v="2230"/>
    <s v="000"/>
    <x v="7"/>
    <x v="2"/>
  </r>
  <r>
    <d v="2013-05-10T00:00:00"/>
    <s v="017-2100-000"/>
    <s v="Food Sales"/>
    <n v="9434.3028999999988"/>
    <n v="0"/>
    <s v="Daily Sales Import"/>
    <n v="-9434.3028999999988"/>
    <n v="9434.3028999999988"/>
    <x v="1"/>
    <s v="2100"/>
    <s v="000"/>
    <x v="7"/>
    <x v="2"/>
  </r>
  <r>
    <d v="2013-05-10T00:00:00"/>
    <s v="017-2210-000"/>
    <s v="Liquor Sales"/>
    <n v="2569.348"/>
    <n v="0"/>
    <s v="Daily Sales Import"/>
    <n v="-2569.348"/>
    <n v="2569.348"/>
    <x v="1"/>
    <s v="2210"/>
    <s v="000"/>
    <x v="7"/>
    <x v="2"/>
  </r>
  <r>
    <d v="2013-05-10T00:00:00"/>
    <s v="017-2220-000"/>
    <s v="Beer Sales"/>
    <n v="470.80289999999997"/>
    <n v="0"/>
    <s v="Daily Sales Import"/>
    <n v="-470.80289999999997"/>
    <n v="470.80289999999997"/>
    <x v="1"/>
    <s v="2220"/>
    <s v="000"/>
    <x v="7"/>
    <x v="2"/>
  </r>
  <r>
    <d v="2013-05-10T00:00:00"/>
    <s v="017-2230-000"/>
    <s v="Wine Sales"/>
    <n v="213.10979999999998"/>
    <n v="0"/>
    <s v="Daily Sales Import"/>
    <n v="-213.10979999999998"/>
    <n v="213.10979999999998"/>
    <x v="1"/>
    <s v="2230"/>
    <s v="000"/>
    <x v="7"/>
    <x v="2"/>
  </r>
  <r>
    <d v="2013-05-11T00:00:00"/>
    <s v="017-2100-000"/>
    <s v="Food Sales"/>
    <n v="8105.2789999999986"/>
    <n v="0"/>
    <s v="Daily Sales Import"/>
    <n v="-8105.2789999999986"/>
    <n v="8105.2789999999986"/>
    <x v="1"/>
    <s v="2100"/>
    <s v="000"/>
    <x v="7"/>
    <x v="2"/>
  </r>
  <r>
    <d v="2013-05-11T00:00:00"/>
    <s v="017-2210-000"/>
    <s v="Liquor Sales"/>
    <n v="3046.8240000000001"/>
    <n v="0"/>
    <s v="Daily Sales Import"/>
    <n v="-3046.8240000000001"/>
    <n v="3046.8240000000001"/>
    <x v="1"/>
    <s v="2210"/>
    <s v="000"/>
    <x v="7"/>
    <x v="2"/>
  </r>
  <r>
    <d v="2013-05-11T00:00:00"/>
    <s v="017-2220-000"/>
    <s v="Beer Sales"/>
    <n v="560.04139999999995"/>
    <n v="0"/>
    <s v="Daily Sales Import"/>
    <n v="-560.04139999999995"/>
    <n v="560.04139999999995"/>
    <x v="1"/>
    <s v="2220"/>
    <s v="000"/>
    <x v="7"/>
    <x v="2"/>
  </r>
  <r>
    <d v="2013-05-11T00:00:00"/>
    <s v="017-2230-000"/>
    <s v="Wine Sales"/>
    <n v="195.67580000000001"/>
    <n v="0"/>
    <s v="Daily Sales Import"/>
    <n v="-195.67580000000001"/>
    <n v="195.67580000000001"/>
    <x v="1"/>
    <s v="2230"/>
    <s v="000"/>
    <x v="7"/>
    <x v="2"/>
  </r>
  <r>
    <d v="2013-05-12T00:00:00"/>
    <s v="017-2100-000"/>
    <s v="Food Sales"/>
    <n v="8722.3359999999993"/>
    <n v="0"/>
    <s v="Daily Sales Import"/>
    <n v="-8722.3359999999993"/>
    <n v="8722.3359999999993"/>
    <x v="1"/>
    <s v="2100"/>
    <s v="000"/>
    <x v="7"/>
    <x v="2"/>
  </r>
  <r>
    <d v="2013-05-12T00:00:00"/>
    <s v="017-2210-000"/>
    <s v="Liquor Sales"/>
    <n v="2013.384"/>
    <n v="0"/>
    <s v="Daily Sales Import"/>
    <n v="-2013.384"/>
    <n v="2013.384"/>
    <x v="1"/>
    <s v="2210"/>
    <s v="000"/>
    <x v="7"/>
    <x v="2"/>
  </r>
  <r>
    <d v="2013-05-12T00:00:00"/>
    <s v="017-2220-000"/>
    <s v="Beer Sales"/>
    <n v="297.06880000000001"/>
    <n v="0"/>
    <s v="Daily Sales Import"/>
    <n v="-297.06880000000001"/>
    <n v="297.06880000000001"/>
    <x v="1"/>
    <s v="2220"/>
    <s v="000"/>
    <x v="7"/>
    <x v="2"/>
  </r>
  <r>
    <d v="2013-05-12T00:00:00"/>
    <s v="017-2230-000"/>
    <s v="Wine Sales"/>
    <n v="112.5316"/>
    <n v="0"/>
    <s v="Daily Sales Import"/>
    <n v="-112.5316"/>
    <n v="112.5316"/>
    <x v="1"/>
    <s v="2230"/>
    <s v="000"/>
    <x v="7"/>
    <x v="2"/>
  </r>
  <r>
    <d v="2013-05-06T00:00:00"/>
    <s v="018-2100-000"/>
    <s v="Food Sales"/>
    <n v="3537.2921999999999"/>
    <n v="0"/>
    <s v="Daily Sales Import"/>
    <n v="-3537.2921999999999"/>
    <n v="3537.2921999999999"/>
    <x v="2"/>
    <s v="2100"/>
    <s v="000"/>
    <x v="7"/>
    <x v="2"/>
  </r>
  <r>
    <d v="2013-05-06T00:00:00"/>
    <s v="018-2210-000"/>
    <s v="Liquor Sales"/>
    <n v="438.48180000000002"/>
    <n v="0"/>
    <s v="Daily Sales Import"/>
    <n v="-438.48180000000002"/>
    <n v="438.48180000000002"/>
    <x v="2"/>
    <s v="2210"/>
    <s v="000"/>
    <x v="7"/>
    <x v="2"/>
  </r>
  <r>
    <d v="2013-05-06T00:00:00"/>
    <s v="018-2220-000"/>
    <s v="Beer Sales"/>
    <n v="133.18830000000003"/>
    <n v="0"/>
    <s v="Daily Sales Import"/>
    <n v="-133.18830000000003"/>
    <n v="133.18830000000003"/>
    <x v="2"/>
    <s v="2220"/>
    <s v="000"/>
    <x v="7"/>
    <x v="2"/>
  </r>
  <r>
    <d v="2013-05-06T00:00:00"/>
    <s v="018-2230-000"/>
    <s v="Wine Sales"/>
    <n v="10.051399999999997"/>
    <n v="0"/>
    <s v="Daily Sales Import"/>
    <n v="-10.051399999999997"/>
    <n v="10.051399999999997"/>
    <x v="2"/>
    <s v="2230"/>
    <s v="000"/>
    <x v="7"/>
    <x v="2"/>
  </r>
  <r>
    <d v="2013-05-07T00:00:00"/>
    <s v="018-2100-000"/>
    <s v="Food Sales"/>
    <n v="3958.1586000000002"/>
    <n v="0"/>
    <s v="Daily Sales Import"/>
    <n v="-3958.1586000000002"/>
    <n v="3958.1586000000002"/>
    <x v="2"/>
    <s v="2100"/>
    <s v="000"/>
    <x v="7"/>
    <x v="2"/>
  </r>
  <r>
    <d v="2013-05-07T00:00:00"/>
    <s v="018-2210-000"/>
    <s v="Liquor Sales"/>
    <n v="588.11789999999996"/>
    <n v="0"/>
    <s v="Daily Sales Import"/>
    <n v="-588.11789999999996"/>
    <n v="588.11789999999996"/>
    <x v="2"/>
    <s v="2210"/>
    <s v="000"/>
    <x v="7"/>
    <x v="2"/>
  </r>
  <r>
    <d v="2013-05-07T00:00:00"/>
    <s v="018-2220-000"/>
    <s v="Beer Sales"/>
    <n v="199.02959999999999"/>
    <n v="0"/>
    <s v="Daily Sales Import"/>
    <n v="-199.02959999999999"/>
    <n v="199.02959999999999"/>
    <x v="2"/>
    <s v="2220"/>
    <s v="000"/>
    <x v="7"/>
    <x v="2"/>
  </r>
  <r>
    <d v="2013-05-07T00:00:00"/>
    <s v="018-2230-000"/>
    <s v="Wine Sales"/>
    <n v="29.884800000000002"/>
    <n v="0"/>
    <s v="Daily Sales Import"/>
    <n v="-29.884800000000002"/>
    <n v="29.884800000000002"/>
    <x v="2"/>
    <s v="2230"/>
    <s v="000"/>
    <x v="7"/>
    <x v="2"/>
  </r>
  <r>
    <d v="2013-05-08T00:00:00"/>
    <s v="018-2100-000"/>
    <s v="Food Sales"/>
    <n v="4122.4175999999998"/>
    <n v="0"/>
    <s v="Daily Sales Import"/>
    <n v="-4122.4175999999998"/>
    <n v="4122.4175999999998"/>
    <x v="2"/>
    <s v="2100"/>
    <s v="000"/>
    <x v="7"/>
    <x v="2"/>
  </r>
  <r>
    <d v="2013-05-08T00:00:00"/>
    <s v="018-2210-000"/>
    <s v="Liquor Sales"/>
    <n v="920.94309999999996"/>
    <n v="0"/>
    <s v="Daily Sales Import"/>
    <n v="-920.94309999999996"/>
    <n v="920.94309999999996"/>
    <x v="2"/>
    <s v="2210"/>
    <s v="000"/>
    <x v="7"/>
    <x v="2"/>
  </r>
  <r>
    <d v="2013-05-08T00:00:00"/>
    <s v="018-2220-000"/>
    <s v="Beer Sales"/>
    <n v="197.178"/>
    <n v="0"/>
    <s v="Daily Sales Import"/>
    <n v="-197.178"/>
    <n v="197.178"/>
    <x v="2"/>
    <s v="2220"/>
    <s v="000"/>
    <x v="7"/>
    <x v="2"/>
  </r>
  <r>
    <d v="2013-05-08T00:00:00"/>
    <s v="018-2230-000"/>
    <s v="Wine Sales"/>
    <n v="45.132799999999996"/>
    <n v="0"/>
    <s v="Daily Sales Import"/>
    <n v="-45.132799999999996"/>
    <n v="45.132799999999996"/>
    <x v="2"/>
    <s v="2230"/>
    <s v="000"/>
    <x v="7"/>
    <x v="2"/>
  </r>
  <r>
    <d v="2013-05-09T00:00:00"/>
    <s v="018-2100-000"/>
    <s v="Food Sales"/>
    <n v="6168.4187999999995"/>
    <n v="0"/>
    <s v="Daily Sales Import"/>
    <n v="-6168.4187999999995"/>
    <n v="6168.4187999999995"/>
    <x v="2"/>
    <s v="2100"/>
    <s v="000"/>
    <x v="7"/>
    <x v="2"/>
  </r>
  <r>
    <d v="2013-05-09T00:00:00"/>
    <s v="018-2210-000"/>
    <s v="Liquor Sales"/>
    <n v="1296.3852999999999"/>
    <n v="0"/>
    <s v="Daily Sales Import"/>
    <n v="-1296.3852999999999"/>
    <n v="1296.3852999999999"/>
    <x v="2"/>
    <s v="2210"/>
    <s v="000"/>
    <x v="7"/>
    <x v="2"/>
  </r>
  <r>
    <d v="2013-05-09T00:00:00"/>
    <s v="018-2220-000"/>
    <s v="Beer Sales"/>
    <n v="321.02999999999997"/>
    <n v="0"/>
    <s v="Daily Sales Import"/>
    <n v="-321.02999999999997"/>
    <n v="321.02999999999997"/>
    <x v="2"/>
    <s v="2220"/>
    <s v="000"/>
    <x v="7"/>
    <x v="2"/>
  </r>
  <r>
    <d v="2013-05-09T00:00:00"/>
    <s v="018-2230-000"/>
    <s v="Wine Sales"/>
    <n v="100.2229"/>
    <n v="0"/>
    <s v="Daily Sales Import"/>
    <n v="-100.2229"/>
    <n v="100.2229"/>
    <x v="2"/>
    <s v="2230"/>
    <s v="000"/>
    <x v="7"/>
    <x v="2"/>
  </r>
  <r>
    <d v="2013-05-10T00:00:00"/>
    <s v="018-2100-000"/>
    <s v="Food Sales"/>
    <n v="18051.263500000001"/>
    <n v="0"/>
    <s v="Daily Sales Import"/>
    <n v="-18051.263500000001"/>
    <n v="18051.263500000001"/>
    <x v="2"/>
    <s v="2100"/>
    <s v="000"/>
    <x v="7"/>
    <x v="2"/>
  </r>
  <r>
    <d v="2013-05-10T00:00:00"/>
    <s v="018-2210-000"/>
    <s v="Liquor Sales"/>
    <n v="2067.0160000000001"/>
    <n v="0"/>
    <s v="Daily Sales Import"/>
    <n v="-2067.0160000000001"/>
    <n v="2067.0160000000001"/>
    <x v="2"/>
    <s v="2210"/>
    <s v="000"/>
    <x v="7"/>
    <x v="2"/>
  </r>
  <r>
    <d v="2013-05-10T00:00:00"/>
    <s v="018-2220-000"/>
    <s v="Beer Sales"/>
    <n v="990.80250000000001"/>
    <n v="0"/>
    <s v="Daily Sales Import"/>
    <n v="-990.80250000000001"/>
    <n v="990.80250000000001"/>
    <x v="2"/>
    <s v="2220"/>
    <s v="000"/>
    <x v="7"/>
    <x v="2"/>
  </r>
  <r>
    <d v="2013-05-10T00:00:00"/>
    <s v="018-2230-000"/>
    <s v="Wine Sales"/>
    <n v="130"/>
    <n v="0"/>
    <s v="Daily Sales Import"/>
    <n v="-130"/>
    <n v="130"/>
    <x v="2"/>
    <s v="2230"/>
    <s v="000"/>
    <x v="7"/>
    <x v="2"/>
  </r>
  <r>
    <d v="2013-05-11T00:00:00"/>
    <s v="018-2100-000"/>
    <s v="Food Sales"/>
    <n v="21941.3766"/>
    <n v="0"/>
    <s v="Daily Sales Import"/>
    <n v="-21941.3766"/>
    <n v="21941.3766"/>
    <x v="2"/>
    <s v="2100"/>
    <s v="000"/>
    <x v="7"/>
    <x v="2"/>
  </r>
  <r>
    <d v="2013-05-11T00:00:00"/>
    <s v="018-2210-000"/>
    <s v="Liquor Sales"/>
    <n v="3146.136"/>
    <n v="0"/>
    <s v="Daily Sales Import"/>
    <n v="-3146.136"/>
    <n v="3146.136"/>
    <x v="2"/>
    <s v="2210"/>
    <s v="000"/>
    <x v="7"/>
    <x v="2"/>
  </r>
  <r>
    <d v="2013-05-11T00:00:00"/>
    <s v="018-2220-000"/>
    <s v="Beer Sales"/>
    <n v="1179.6576"/>
    <n v="0"/>
    <s v="Daily Sales Import"/>
    <n v="-1179.6576"/>
    <n v="1179.6576"/>
    <x v="2"/>
    <s v="2220"/>
    <s v="000"/>
    <x v="7"/>
    <x v="2"/>
  </r>
  <r>
    <d v="2013-05-11T00:00:00"/>
    <s v="018-2230-000"/>
    <s v="Wine Sales"/>
    <n v="191.36540000000002"/>
    <n v="0"/>
    <s v="Daily Sales Import"/>
    <n v="-191.36540000000002"/>
    <n v="191.36540000000002"/>
    <x v="2"/>
    <s v="2230"/>
    <s v="000"/>
    <x v="7"/>
    <x v="2"/>
  </r>
  <r>
    <d v="2013-05-12T00:00:00"/>
    <s v="018-2100-000"/>
    <s v="Food Sales"/>
    <n v="19474.286599999999"/>
    <n v="0"/>
    <s v="Daily Sales Import"/>
    <n v="-19474.286599999999"/>
    <n v="19474.286599999999"/>
    <x v="2"/>
    <s v="2100"/>
    <s v="000"/>
    <x v="7"/>
    <x v="2"/>
  </r>
  <r>
    <d v="2013-05-12T00:00:00"/>
    <s v="018-2210-000"/>
    <s v="Liquor Sales"/>
    <n v="2499.6972000000001"/>
    <n v="0"/>
    <s v="Daily Sales Import"/>
    <n v="-2499.6972000000001"/>
    <n v="2499.6972000000001"/>
    <x v="2"/>
    <s v="2210"/>
    <s v="000"/>
    <x v="7"/>
    <x v="2"/>
  </r>
  <r>
    <d v="2013-05-12T00:00:00"/>
    <s v="018-2220-000"/>
    <s v="Beer Sales"/>
    <n v="1094.2638999999999"/>
    <n v="0"/>
    <s v="Daily Sales Import"/>
    <n v="-1094.2638999999999"/>
    <n v="1094.2638999999999"/>
    <x v="2"/>
    <s v="2220"/>
    <s v="000"/>
    <x v="7"/>
    <x v="2"/>
  </r>
  <r>
    <d v="2013-05-12T00:00:00"/>
    <s v="018-2230-000"/>
    <s v="Wine Sales"/>
    <n v="128.18960000000001"/>
    <n v="0"/>
    <s v="Daily Sales Import"/>
    <n v="-128.18960000000001"/>
    <n v="128.18960000000001"/>
    <x v="2"/>
    <s v="2230"/>
    <s v="000"/>
    <x v="7"/>
    <x v="2"/>
  </r>
  <r>
    <d v="2013-05-13T00:00:00"/>
    <s v="016-2100-000"/>
    <s v="Food Sales"/>
    <n v="1614.5135999999998"/>
    <n v="0"/>
    <s v="Daily Sales Import"/>
    <n v="-1614.5135999999998"/>
    <n v="1614.5135999999998"/>
    <x v="0"/>
    <s v="2100"/>
    <s v="000"/>
    <x v="7"/>
    <x v="2"/>
  </r>
  <r>
    <d v="2013-05-13T00:00:00"/>
    <s v="016-2210-000"/>
    <s v="Liquor Sales"/>
    <n v="604.572"/>
    <n v="0"/>
    <s v="Daily Sales Import"/>
    <n v="-604.572"/>
    <n v="604.572"/>
    <x v="0"/>
    <s v="2210"/>
    <s v="000"/>
    <x v="7"/>
    <x v="2"/>
  </r>
  <r>
    <d v="2013-05-13T00:00:00"/>
    <s v="016-2220-000"/>
    <s v="Beer Sales"/>
    <n v="157.50909999999999"/>
    <n v="0"/>
    <s v="Daily Sales Import"/>
    <n v="-157.50909999999999"/>
    <n v="157.50909999999999"/>
    <x v="0"/>
    <s v="2220"/>
    <s v="000"/>
    <x v="7"/>
    <x v="2"/>
  </r>
  <r>
    <d v="2013-05-13T00:00:00"/>
    <s v="016-2230-000"/>
    <s v="Wine Sales"/>
    <n v="45.805500000000002"/>
    <n v="0"/>
    <s v="Daily Sales Import"/>
    <n v="-45.805500000000002"/>
    <n v="45.805500000000002"/>
    <x v="0"/>
    <s v="2230"/>
    <s v="000"/>
    <x v="7"/>
    <x v="2"/>
  </r>
  <r>
    <d v="2013-05-14T00:00:00"/>
    <s v="016-2100-000"/>
    <s v="Food Sales"/>
    <n v="7210.6265000000003"/>
    <n v="0"/>
    <s v="Daily Sales Import"/>
    <n v="-7210.6265000000003"/>
    <n v="7210.6265000000003"/>
    <x v="0"/>
    <s v="2100"/>
    <s v="000"/>
    <x v="7"/>
    <x v="2"/>
  </r>
  <r>
    <d v="2013-05-14T00:00:00"/>
    <s v="016-2210-000"/>
    <s v="Liquor Sales"/>
    <n v="3375.4553999999998"/>
    <n v="0"/>
    <s v="Daily Sales Import"/>
    <n v="-3375.4553999999998"/>
    <n v="3375.4553999999998"/>
    <x v="0"/>
    <s v="2210"/>
    <s v="000"/>
    <x v="7"/>
    <x v="2"/>
  </r>
  <r>
    <d v="2013-05-14T00:00:00"/>
    <s v="016-2220-000"/>
    <s v="Beer Sales"/>
    <n v="502.56360000000001"/>
    <n v="0"/>
    <s v="Daily Sales Import"/>
    <n v="-502.56360000000001"/>
    <n v="502.56360000000001"/>
    <x v="0"/>
    <s v="2220"/>
    <s v="000"/>
    <x v="7"/>
    <x v="2"/>
  </r>
  <r>
    <d v="2013-05-14T00:00:00"/>
    <s v="016-2230-000"/>
    <s v="Wine Sales"/>
    <n v="116.127"/>
    <n v="0"/>
    <s v="Daily Sales Import"/>
    <n v="-116.127"/>
    <n v="116.127"/>
    <x v="0"/>
    <s v="2230"/>
    <s v="000"/>
    <x v="7"/>
    <x v="2"/>
  </r>
  <r>
    <d v="2013-05-15T00:00:00"/>
    <s v="016-2100-000"/>
    <s v="Food Sales"/>
    <n v="2243.4918000000002"/>
    <n v="0"/>
    <s v="Daily Sales Import"/>
    <n v="-2243.4918000000002"/>
    <n v="2243.4918000000002"/>
    <x v="0"/>
    <s v="2100"/>
    <s v="000"/>
    <x v="7"/>
    <x v="2"/>
  </r>
  <r>
    <d v="2013-05-15T00:00:00"/>
    <s v="016-2210-000"/>
    <s v="Liquor Sales"/>
    <n v="628.93319999999994"/>
    <n v="0"/>
    <s v="Daily Sales Import"/>
    <n v="-628.93319999999994"/>
    <n v="628.93319999999994"/>
    <x v="0"/>
    <s v="2210"/>
    <s v="000"/>
    <x v="7"/>
    <x v="2"/>
  </r>
  <r>
    <d v="2013-05-15T00:00:00"/>
    <s v="016-2220-000"/>
    <s v="Beer Sales"/>
    <n v="187.65699999999998"/>
    <n v="0"/>
    <s v="Daily Sales Import"/>
    <n v="-187.65699999999998"/>
    <n v="187.65699999999998"/>
    <x v="0"/>
    <s v="2220"/>
    <s v="000"/>
    <x v="7"/>
    <x v="2"/>
  </r>
  <r>
    <d v="2013-05-15T00:00:00"/>
    <s v="016-2230-000"/>
    <s v="Wine Sales"/>
    <n v="26.208599999999997"/>
    <n v="0"/>
    <s v="Daily Sales Import"/>
    <n v="-26.208599999999997"/>
    <n v="26.208599999999997"/>
    <x v="0"/>
    <s v="2230"/>
    <s v="000"/>
    <x v="7"/>
    <x v="2"/>
  </r>
  <r>
    <d v="2013-05-17T00:00:00"/>
    <s v="016-2100-000"/>
    <s v="Food Sales"/>
    <n v="4948.6575000000003"/>
    <n v="0"/>
    <s v="Daily Sales Import"/>
    <n v="-4948.6575000000003"/>
    <n v="4948.6575000000003"/>
    <x v="0"/>
    <s v="2100"/>
    <s v="000"/>
    <x v="7"/>
    <x v="2"/>
  </r>
  <r>
    <d v="2013-05-17T00:00:00"/>
    <s v="016-2210-000"/>
    <s v="Liquor Sales"/>
    <n v="1478.6351999999999"/>
    <n v="0"/>
    <s v="Daily Sales Import"/>
    <n v="-1478.6351999999999"/>
    <n v="1478.6351999999999"/>
    <x v="0"/>
    <s v="2210"/>
    <s v="000"/>
    <x v="7"/>
    <x v="2"/>
  </r>
  <r>
    <d v="2013-05-17T00:00:00"/>
    <s v="016-2220-000"/>
    <s v="Beer Sales"/>
    <n v="250.64040000000003"/>
    <n v="0"/>
    <s v="Daily Sales Import"/>
    <n v="-250.64040000000003"/>
    <n v="250.64040000000003"/>
    <x v="0"/>
    <s v="2220"/>
    <s v="000"/>
    <x v="7"/>
    <x v="2"/>
  </r>
  <r>
    <d v="2013-05-17T00:00:00"/>
    <s v="016-2230-000"/>
    <s v="Wine Sales"/>
    <n v="74.343500000000006"/>
    <n v="0"/>
    <s v="Daily Sales Import"/>
    <n v="-74.343500000000006"/>
    <n v="74.343500000000006"/>
    <x v="0"/>
    <s v="2230"/>
    <s v="000"/>
    <x v="7"/>
    <x v="2"/>
  </r>
  <r>
    <d v="2013-05-18T00:00:00"/>
    <s v="016-2100-000"/>
    <s v="Food Sales"/>
    <n v="5150.9920000000011"/>
    <n v="0"/>
    <s v="Daily Sales Import"/>
    <n v="-5150.9920000000011"/>
    <n v="5150.9920000000011"/>
    <x v="0"/>
    <s v="2100"/>
    <s v="000"/>
    <x v="7"/>
    <x v="2"/>
  </r>
  <r>
    <d v="2013-05-18T00:00:00"/>
    <s v="016-2210-000"/>
    <s v="Liquor Sales"/>
    <n v="1869.9387999999999"/>
    <n v="0"/>
    <s v="Daily Sales Import"/>
    <n v="-1869.9387999999999"/>
    <n v="1869.9387999999999"/>
    <x v="0"/>
    <s v="2210"/>
    <s v="000"/>
    <x v="7"/>
    <x v="2"/>
  </r>
  <r>
    <d v="2013-05-18T00:00:00"/>
    <s v="016-2220-000"/>
    <s v="Beer Sales"/>
    <n v="279.63629999999995"/>
    <n v="0"/>
    <s v="Daily Sales Import"/>
    <n v="-279.63629999999995"/>
    <n v="279.63629999999995"/>
    <x v="0"/>
    <s v="2220"/>
    <s v="000"/>
    <x v="7"/>
    <x v="2"/>
  </r>
  <r>
    <d v="2013-05-18T00:00:00"/>
    <s v="016-2230-000"/>
    <s v="Wine Sales"/>
    <n v="84.975000000000009"/>
    <n v="0"/>
    <s v="Daily Sales Import"/>
    <n v="-84.975000000000009"/>
    <n v="84.975000000000009"/>
    <x v="0"/>
    <s v="2230"/>
    <s v="000"/>
    <x v="7"/>
    <x v="2"/>
  </r>
  <r>
    <d v="2013-05-19T00:00:00"/>
    <s v="016-2100-000"/>
    <s v="Food Sales"/>
    <n v="6808.4967999999999"/>
    <n v="0"/>
    <s v="Daily Sales Import"/>
    <n v="-6808.4967999999999"/>
    <n v="6808.4967999999999"/>
    <x v="0"/>
    <s v="2100"/>
    <s v="000"/>
    <x v="7"/>
    <x v="2"/>
  </r>
  <r>
    <d v="2013-05-19T00:00:00"/>
    <s v="016-2210-000"/>
    <s v="Liquor Sales"/>
    <n v="1731.9390000000001"/>
    <n v="0"/>
    <s v="Daily Sales Import"/>
    <n v="-1731.9390000000001"/>
    <n v="1731.9390000000001"/>
    <x v="0"/>
    <s v="2210"/>
    <s v="000"/>
    <x v="7"/>
    <x v="2"/>
  </r>
  <r>
    <d v="2013-05-19T00:00:00"/>
    <s v="016-2220-000"/>
    <s v="Beer Sales"/>
    <n v="207.69779999999997"/>
    <n v="0"/>
    <s v="Daily Sales Import"/>
    <n v="-207.69779999999997"/>
    <n v="207.69779999999997"/>
    <x v="0"/>
    <s v="2220"/>
    <s v="000"/>
    <x v="7"/>
    <x v="2"/>
  </r>
  <r>
    <d v="2013-05-19T00:00:00"/>
    <s v="016-2230-000"/>
    <s v="Wine Sales"/>
    <n v="66.584999999999994"/>
    <n v="0"/>
    <s v="Daily Sales Import"/>
    <n v="-66.584999999999994"/>
    <n v="66.584999999999994"/>
    <x v="0"/>
    <s v="2230"/>
    <s v="000"/>
    <x v="7"/>
    <x v="2"/>
  </r>
  <r>
    <d v="2013-05-13T00:00:00"/>
    <s v="017-2100-000"/>
    <s v="Food Sales"/>
    <n v="5509.424"/>
    <n v="0"/>
    <s v="Daily Sales Import"/>
    <n v="-5509.424"/>
    <n v="5509.424"/>
    <x v="1"/>
    <s v="2100"/>
    <s v="000"/>
    <x v="7"/>
    <x v="2"/>
  </r>
  <r>
    <d v="2013-05-13T00:00:00"/>
    <s v="017-2210-000"/>
    <s v="Liquor Sales"/>
    <n v="1936.818"/>
    <n v="0"/>
    <s v="Daily Sales Import"/>
    <n v="-1936.818"/>
    <n v="1936.818"/>
    <x v="1"/>
    <s v="2210"/>
    <s v="000"/>
    <x v="7"/>
    <x v="2"/>
  </r>
  <r>
    <d v="2013-05-13T00:00:00"/>
    <s v="017-2220-000"/>
    <s v="Beer Sales"/>
    <n v="316.85519999999997"/>
    <n v="0"/>
    <s v="Daily Sales Import"/>
    <n v="-316.85519999999997"/>
    <n v="316.85519999999997"/>
    <x v="1"/>
    <s v="2220"/>
    <s v="000"/>
    <x v="7"/>
    <x v="2"/>
  </r>
  <r>
    <d v="2013-05-13T00:00:00"/>
    <s v="017-2230-000"/>
    <s v="Wine Sales"/>
    <n v="85.3185"/>
    <n v="0"/>
    <s v="Daily Sales Import"/>
    <n v="-85.3185"/>
    <n v="85.3185"/>
    <x v="1"/>
    <s v="2230"/>
    <s v="000"/>
    <x v="7"/>
    <x v="2"/>
  </r>
  <r>
    <d v="2013-05-14T00:00:00"/>
    <s v="017-2100-000"/>
    <s v="Food Sales"/>
    <n v="4607.4600000000009"/>
    <n v="0"/>
    <s v="Daily Sales Import"/>
    <n v="-4607.4600000000009"/>
    <n v="4607.4600000000009"/>
    <x v="1"/>
    <s v="2100"/>
    <s v="000"/>
    <x v="7"/>
    <x v="2"/>
  </r>
  <r>
    <d v="2013-05-14T00:00:00"/>
    <s v="017-2210-000"/>
    <s v="Liquor Sales"/>
    <n v="2415.0862000000002"/>
    <n v="0"/>
    <s v="Daily Sales Import"/>
    <n v="-2415.0862000000002"/>
    <n v="2415.0862000000002"/>
    <x v="1"/>
    <s v="2210"/>
    <s v="000"/>
    <x v="7"/>
    <x v="2"/>
  </r>
  <r>
    <d v="2013-05-14T00:00:00"/>
    <s v="017-2220-000"/>
    <s v="Beer Sales"/>
    <n v="490.02499999999998"/>
    <n v="0"/>
    <s v="Daily Sales Import"/>
    <n v="-490.02499999999998"/>
    <n v="490.02499999999998"/>
    <x v="1"/>
    <s v="2220"/>
    <s v="000"/>
    <x v="7"/>
    <x v="2"/>
  </r>
  <r>
    <d v="2013-05-14T00:00:00"/>
    <s v="017-2230-000"/>
    <s v="Wine Sales"/>
    <n v="195.27859999999998"/>
    <n v="0"/>
    <s v="Daily Sales Import"/>
    <n v="-195.27859999999998"/>
    <n v="195.27859999999998"/>
    <x v="1"/>
    <s v="2230"/>
    <s v="000"/>
    <x v="7"/>
    <x v="2"/>
  </r>
  <r>
    <d v="2013-05-15T00:00:00"/>
    <s v="017-2100-000"/>
    <s v="Food Sales"/>
    <n v="8361.1213999999982"/>
    <n v="0"/>
    <s v="Daily Sales Import"/>
    <n v="-8361.1213999999982"/>
    <n v="8361.1213999999982"/>
    <x v="1"/>
    <s v="2100"/>
    <s v="000"/>
    <x v="7"/>
    <x v="2"/>
  </r>
  <r>
    <d v="2013-05-15T00:00:00"/>
    <s v="017-2210-000"/>
    <s v="Liquor Sales"/>
    <n v="2291.9072000000001"/>
    <n v="0"/>
    <s v="Daily Sales Import"/>
    <n v="-2291.9072000000001"/>
    <n v="2291.9072000000001"/>
    <x v="1"/>
    <s v="2210"/>
    <s v="000"/>
    <x v="7"/>
    <x v="2"/>
  </r>
  <r>
    <d v="2013-05-15T00:00:00"/>
    <s v="017-2220-000"/>
    <s v="Beer Sales"/>
    <n v="867.80649999999991"/>
    <n v="0"/>
    <s v="Daily Sales Import"/>
    <n v="-867.80649999999991"/>
    <n v="867.80649999999991"/>
    <x v="1"/>
    <s v="2220"/>
    <s v="000"/>
    <x v="7"/>
    <x v="2"/>
  </r>
  <r>
    <d v="2013-05-15T00:00:00"/>
    <s v="017-2230-000"/>
    <s v="Wine Sales"/>
    <n v="53.234400000000001"/>
    <n v="0"/>
    <s v="Daily Sales Import"/>
    <n v="-53.234400000000001"/>
    <n v="53.234400000000001"/>
    <x v="1"/>
    <s v="2230"/>
    <s v="000"/>
    <x v="7"/>
    <x v="2"/>
  </r>
  <r>
    <d v="2013-05-16T00:00:00"/>
    <s v="017-2100-000"/>
    <s v="Food Sales"/>
    <n v="6476.6516000000001"/>
    <n v="0"/>
    <s v="Daily Sales Import"/>
    <n v="-6476.6516000000001"/>
    <n v="6476.6516000000001"/>
    <x v="1"/>
    <s v="2100"/>
    <s v="000"/>
    <x v="7"/>
    <x v="2"/>
  </r>
  <r>
    <d v="2013-05-16T00:00:00"/>
    <s v="017-2210-000"/>
    <s v="Liquor Sales"/>
    <n v="2031.5180000000003"/>
    <n v="0"/>
    <s v="Daily Sales Import"/>
    <n v="-2031.5180000000003"/>
    <n v="2031.5180000000003"/>
    <x v="1"/>
    <s v="2210"/>
    <s v="000"/>
    <x v="7"/>
    <x v="2"/>
  </r>
  <r>
    <d v="2013-05-16T00:00:00"/>
    <s v="017-2220-000"/>
    <s v="Beer Sales"/>
    <n v="728.51189999999997"/>
    <n v="0"/>
    <s v="Daily Sales Import"/>
    <n v="-728.51189999999997"/>
    <n v="728.51189999999997"/>
    <x v="1"/>
    <s v="2220"/>
    <s v="000"/>
    <x v="7"/>
    <x v="2"/>
  </r>
  <r>
    <d v="2013-05-16T00:00:00"/>
    <s v="017-2230-000"/>
    <s v="Wine Sales"/>
    <n v="171.01439999999999"/>
    <n v="0"/>
    <s v="Daily Sales Import"/>
    <n v="-171.01439999999999"/>
    <n v="171.01439999999999"/>
    <x v="1"/>
    <s v="2230"/>
    <s v="000"/>
    <x v="7"/>
    <x v="2"/>
  </r>
  <r>
    <d v="2013-05-17T00:00:00"/>
    <s v="017-2100-000"/>
    <s v="Food Sales"/>
    <n v="7505.2992000000004"/>
    <n v="0"/>
    <s v="Daily Sales Import"/>
    <n v="-7505.2992000000004"/>
    <n v="7505.2992000000004"/>
    <x v="1"/>
    <s v="2100"/>
    <s v="000"/>
    <x v="7"/>
    <x v="2"/>
  </r>
  <r>
    <d v="2013-05-17T00:00:00"/>
    <s v="017-2210-000"/>
    <s v="Liquor Sales"/>
    <n v="3771.7204000000002"/>
    <n v="0"/>
    <s v="Daily Sales Import"/>
    <n v="-3771.7204000000002"/>
    <n v="3771.7204000000002"/>
    <x v="1"/>
    <s v="2210"/>
    <s v="000"/>
    <x v="7"/>
    <x v="2"/>
  </r>
  <r>
    <d v="2013-05-17T00:00:00"/>
    <s v="017-2220-000"/>
    <s v="Beer Sales"/>
    <n v="644.65919999999994"/>
    <n v="0"/>
    <s v="Daily Sales Import"/>
    <n v="-644.65919999999994"/>
    <n v="644.65919999999994"/>
    <x v="1"/>
    <s v="2220"/>
    <s v="000"/>
    <x v="7"/>
    <x v="2"/>
  </r>
  <r>
    <d v="2013-05-17T00:00:00"/>
    <s v="017-2230-000"/>
    <s v="Wine Sales"/>
    <n v="209.50120000000001"/>
    <n v="0"/>
    <s v="Daily Sales Import"/>
    <n v="-209.50120000000001"/>
    <n v="209.50120000000001"/>
    <x v="1"/>
    <s v="2230"/>
    <s v="000"/>
    <x v="7"/>
    <x v="2"/>
  </r>
  <r>
    <d v="2013-05-18T00:00:00"/>
    <s v="017-2100-000"/>
    <s v="Food Sales"/>
    <n v="7875.0355999999992"/>
    <n v="0"/>
    <s v="Daily Sales Import"/>
    <n v="-7875.0355999999992"/>
    <n v="7875.0355999999992"/>
    <x v="1"/>
    <s v="2100"/>
    <s v="000"/>
    <x v="7"/>
    <x v="2"/>
  </r>
  <r>
    <d v="2013-05-18T00:00:00"/>
    <s v="017-2210-000"/>
    <s v="Liquor Sales"/>
    <n v="1941.8335000000002"/>
    <n v="0"/>
    <s v="Daily Sales Import"/>
    <n v="-1941.8335000000002"/>
    <n v="1941.8335000000002"/>
    <x v="1"/>
    <s v="2210"/>
    <s v="000"/>
    <x v="7"/>
    <x v="2"/>
  </r>
  <r>
    <d v="2013-05-18T00:00:00"/>
    <s v="017-2220-000"/>
    <s v="Beer Sales"/>
    <n v="216.09840000000003"/>
    <n v="0"/>
    <s v="Daily Sales Import"/>
    <n v="-216.09840000000003"/>
    <n v="216.09840000000003"/>
    <x v="1"/>
    <s v="2220"/>
    <s v="000"/>
    <x v="7"/>
    <x v="2"/>
  </r>
  <r>
    <d v="2013-05-18T00:00:00"/>
    <s v="017-2230-000"/>
    <s v="Wine Sales"/>
    <n v="123.77250000000001"/>
    <n v="0"/>
    <s v="Daily Sales Import"/>
    <n v="-123.77250000000001"/>
    <n v="123.77250000000001"/>
    <x v="1"/>
    <s v="2230"/>
    <s v="000"/>
    <x v="7"/>
    <x v="2"/>
  </r>
  <r>
    <d v="2013-05-19T00:00:00"/>
    <s v="017-2100-000"/>
    <s v="Food Sales"/>
    <n v="5006.3631999999998"/>
    <n v="0"/>
    <s v="Daily Sales Import"/>
    <n v="-5006.3631999999998"/>
    <n v="5006.3631999999998"/>
    <x v="1"/>
    <s v="2100"/>
    <s v="000"/>
    <x v="7"/>
    <x v="2"/>
  </r>
  <r>
    <d v="2013-05-19T00:00:00"/>
    <s v="017-2210-000"/>
    <s v="Liquor Sales"/>
    <n v="929.97719999999993"/>
    <n v="0"/>
    <s v="Daily Sales Import"/>
    <n v="-929.97719999999993"/>
    <n v="929.97719999999993"/>
    <x v="1"/>
    <s v="2210"/>
    <s v="000"/>
    <x v="7"/>
    <x v="2"/>
  </r>
  <r>
    <d v="2013-05-19T00:00:00"/>
    <s v="017-2220-000"/>
    <s v="Beer Sales"/>
    <n v="156.374"/>
    <n v="0"/>
    <s v="Daily Sales Import"/>
    <n v="-156.374"/>
    <n v="156.374"/>
    <x v="1"/>
    <s v="2220"/>
    <s v="000"/>
    <x v="7"/>
    <x v="2"/>
  </r>
  <r>
    <d v="2013-05-19T00:00:00"/>
    <s v="017-2230-000"/>
    <s v="Wine Sales"/>
    <n v="58.672000000000004"/>
    <n v="0"/>
    <s v="Daily Sales Import"/>
    <n v="-58.672000000000004"/>
    <n v="58.672000000000004"/>
    <x v="1"/>
    <s v="2230"/>
    <s v="000"/>
    <x v="7"/>
    <x v="2"/>
  </r>
  <r>
    <d v="2013-05-13T00:00:00"/>
    <s v="018-2100-000"/>
    <s v="Food Sales"/>
    <n v="3944.34"/>
    <n v="0"/>
    <s v="Daily Sales Import"/>
    <n v="-3944.34"/>
    <n v="3944.34"/>
    <x v="2"/>
    <s v="2100"/>
    <s v="000"/>
    <x v="7"/>
    <x v="2"/>
  </r>
  <r>
    <d v="2013-05-13T00:00:00"/>
    <s v="018-2210-000"/>
    <s v="Liquor Sales"/>
    <n v="617.85239999999999"/>
    <n v="0"/>
    <s v="Daily Sales Import"/>
    <n v="-617.85239999999999"/>
    <n v="617.85239999999999"/>
    <x v="2"/>
    <s v="2210"/>
    <s v="000"/>
    <x v="7"/>
    <x v="2"/>
  </r>
  <r>
    <d v="2013-05-13T00:00:00"/>
    <s v="018-2220-000"/>
    <s v="Beer Sales"/>
    <n v="140.7859"/>
    <n v="0"/>
    <s v="Daily Sales Import"/>
    <n v="-140.7859"/>
    <n v="140.7859"/>
    <x v="2"/>
    <s v="2220"/>
    <s v="000"/>
    <x v="7"/>
    <x v="2"/>
  </r>
  <r>
    <d v="2013-05-14T00:00:00"/>
    <s v="018-2100-000"/>
    <s v="Food Sales"/>
    <n v="5053.4800000000005"/>
    <n v="0"/>
    <s v="Daily Sales Import"/>
    <n v="-5053.4800000000005"/>
    <n v="5053.4800000000005"/>
    <x v="2"/>
    <s v="2100"/>
    <s v="000"/>
    <x v="7"/>
    <x v="2"/>
  </r>
  <r>
    <d v="2013-05-14T00:00:00"/>
    <s v="018-2210-000"/>
    <s v="Liquor Sales"/>
    <n v="733.48080000000004"/>
    <n v="0"/>
    <s v="Daily Sales Import"/>
    <n v="-733.48080000000004"/>
    <n v="733.48080000000004"/>
    <x v="2"/>
    <s v="2210"/>
    <s v="000"/>
    <x v="7"/>
    <x v="2"/>
  </r>
  <r>
    <d v="2013-05-14T00:00:00"/>
    <s v="018-2220-000"/>
    <s v="Beer Sales"/>
    <n v="273.73079999999999"/>
    <n v="0"/>
    <s v="Daily Sales Import"/>
    <n v="-273.73079999999999"/>
    <n v="273.73079999999999"/>
    <x v="2"/>
    <s v="2220"/>
    <s v="000"/>
    <x v="7"/>
    <x v="2"/>
  </r>
  <r>
    <d v="2013-05-14T00:00:00"/>
    <s v="018-2230-000"/>
    <s v="Wine Sales"/>
    <n v="6.9222999999999999"/>
    <n v="0"/>
    <s v="Daily Sales Import"/>
    <n v="-6.9222999999999999"/>
    <n v="6.9222999999999999"/>
    <x v="2"/>
    <s v="2230"/>
    <s v="000"/>
    <x v="7"/>
    <x v="2"/>
  </r>
  <r>
    <d v="2013-05-15T00:00:00"/>
    <s v="018-2100-000"/>
    <s v="Food Sales"/>
    <n v="4440.0095999999994"/>
    <n v="0"/>
    <s v="Daily Sales Import"/>
    <n v="-4440.0095999999994"/>
    <n v="4440.0095999999994"/>
    <x v="2"/>
    <s v="2100"/>
    <s v="000"/>
    <x v="7"/>
    <x v="2"/>
  </r>
  <r>
    <d v="2013-05-15T00:00:00"/>
    <s v="018-2210-000"/>
    <s v="Liquor Sales"/>
    <n v="1351.2578000000001"/>
    <n v="0"/>
    <s v="Daily Sales Import"/>
    <n v="-1351.2578000000001"/>
    <n v="1351.2578000000001"/>
    <x v="2"/>
    <s v="2210"/>
    <s v="000"/>
    <x v="7"/>
    <x v="2"/>
  </r>
  <r>
    <d v="2013-05-15T00:00:00"/>
    <s v="018-2220-000"/>
    <s v="Beer Sales"/>
    <n v="338.745"/>
    <n v="0"/>
    <s v="Daily Sales Import"/>
    <n v="-338.745"/>
    <n v="338.745"/>
    <x v="2"/>
    <s v="2220"/>
    <s v="000"/>
    <x v="7"/>
    <x v="2"/>
  </r>
  <r>
    <d v="2013-05-15T00:00:00"/>
    <s v="018-2230-000"/>
    <s v="Wine Sales"/>
    <n v="40.408999999999999"/>
    <n v="0"/>
    <s v="Daily Sales Import"/>
    <n v="-40.408999999999999"/>
    <n v="40.408999999999999"/>
    <x v="2"/>
    <s v="2230"/>
    <s v="000"/>
    <x v="7"/>
    <x v="2"/>
  </r>
  <r>
    <d v="2013-05-16T00:00:00"/>
    <s v="018-2100-000"/>
    <s v="Food Sales"/>
    <n v="6372.1307999999999"/>
    <n v="0"/>
    <s v="Daily Sales Import"/>
    <n v="-6372.1307999999999"/>
    <n v="6372.1307999999999"/>
    <x v="2"/>
    <s v="2100"/>
    <s v="000"/>
    <x v="7"/>
    <x v="2"/>
  </r>
  <r>
    <d v="2013-05-16T00:00:00"/>
    <s v="018-2210-000"/>
    <s v="Liquor Sales"/>
    <n v="1131.7608"/>
    <n v="0"/>
    <s v="Daily Sales Import"/>
    <n v="-1131.7608"/>
    <n v="1131.7608"/>
    <x v="2"/>
    <s v="2210"/>
    <s v="000"/>
    <x v="7"/>
    <x v="2"/>
  </r>
  <r>
    <d v="2013-05-16T00:00:00"/>
    <s v="018-2220-000"/>
    <s v="Beer Sales"/>
    <n v="263.24700000000001"/>
    <n v="0"/>
    <s v="Daily Sales Import"/>
    <n v="-263.24700000000001"/>
    <n v="263.24700000000001"/>
    <x v="2"/>
    <s v="2220"/>
    <s v="000"/>
    <x v="7"/>
    <x v="2"/>
  </r>
  <r>
    <d v="2013-05-16T00:00:00"/>
    <s v="018-2230-000"/>
    <s v="Wine Sales"/>
    <n v="109.69199999999999"/>
    <n v="0"/>
    <s v="Daily Sales Import"/>
    <n v="-109.69199999999999"/>
    <n v="109.69199999999999"/>
    <x v="2"/>
    <s v="2230"/>
    <s v="000"/>
    <x v="7"/>
    <x v="2"/>
  </r>
  <r>
    <d v="2013-05-17T00:00:00"/>
    <s v="018-2100-000"/>
    <s v="Food Sales"/>
    <n v="13780.570399999999"/>
    <n v="0"/>
    <s v="Daily Sales Import"/>
    <n v="-13780.570399999999"/>
    <n v="13780.570399999999"/>
    <x v="2"/>
    <s v="2100"/>
    <s v="000"/>
    <x v="7"/>
    <x v="2"/>
  </r>
  <r>
    <d v="2013-05-17T00:00:00"/>
    <s v="018-2210-000"/>
    <s v="Liquor Sales"/>
    <n v="3043.3202999999999"/>
    <n v="0"/>
    <s v="Daily Sales Import"/>
    <n v="-3043.3202999999999"/>
    <n v="3043.3202999999999"/>
    <x v="2"/>
    <s v="2210"/>
    <s v="000"/>
    <x v="7"/>
    <x v="2"/>
  </r>
  <r>
    <d v="2013-05-17T00:00:00"/>
    <s v="018-2220-000"/>
    <s v="Beer Sales"/>
    <n v="914.40269999999998"/>
    <n v="0"/>
    <s v="Daily Sales Import"/>
    <n v="-914.40269999999998"/>
    <n v="914.40269999999998"/>
    <x v="2"/>
    <s v="2220"/>
    <s v="000"/>
    <x v="7"/>
    <x v="2"/>
  </r>
  <r>
    <d v="2013-05-17T00:00:00"/>
    <s v="018-2230-000"/>
    <s v="Wine Sales"/>
    <n v="108.92819999999999"/>
    <n v="0"/>
    <s v="Daily Sales Import"/>
    <n v="-108.92819999999999"/>
    <n v="108.92819999999999"/>
    <x v="2"/>
    <s v="2230"/>
    <s v="000"/>
    <x v="7"/>
    <x v="2"/>
  </r>
  <r>
    <d v="2013-05-18T00:00:00"/>
    <s v="018-2100-000"/>
    <s v="Food Sales"/>
    <n v="12765.54"/>
    <n v="0"/>
    <s v="Daily Sales Import"/>
    <n v="-12765.54"/>
    <n v="12765.54"/>
    <x v="2"/>
    <s v="2100"/>
    <s v="000"/>
    <x v="7"/>
    <x v="2"/>
  </r>
  <r>
    <d v="2013-05-18T00:00:00"/>
    <s v="018-2210-000"/>
    <s v="Liquor Sales"/>
    <n v="2822.7718999999997"/>
    <n v="0"/>
    <s v="Daily Sales Import"/>
    <n v="-2822.7718999999997"/>
    <n v="2822.7718999999997"/>
    <x v="2"/>
    <s v="2210"/>
    <s v="000"/>
    <x v="7"/>
    <x v="2"/>
  </r>
  <r>
    <d v="2013-05-18T00:00:00"/>
    <s v="018-2220-000"/>
    <s v="Beer Sales"/>
    <n v="523.72640000000001"/>
    <n v="0"/>
    <s v="Daily Sales Import"/>
    <n v="-523.72640000000001"/>
    <n v="523.72640000000001"/>
    <x v="2"/>
    <s v="2220"/>
    <s v="000"/>
    <x v="7"/>
    <x v="2"/>
  </r>
  <r>
    <d v="2013-05-18T00:00:00"/>
    <s v="018-2230-000"/>
    <s v="Wine Sales"/>
    <n v="78.570900000000009"/>
    <n v="0"/>
    <s v="Daily Sales Import"/>
    <n v="-78.570900000000009"/>
    <n v="78.570900000000009"/>
    <x v="2"/>
    <s v="2230"/>
    <s v="000"/>
    <x v="7"/>
    <x v="2"/>
  </r>
  <r>
    <d v="2013-05-19T00:00:00"/>
    <s v="018-2100-000"/>
    <s v="Food Sales"/>
    <n v="10892.0856"/>
    <n v="0"/>
    <s v="Daily Sales Import"/>
    <n v="-10892.0856"/>
    <n v="10892.0856"/>
    <x v="2"/>
    <s v="2100"/>
    <s v="000"/>
    <x v="7"/>
    <x v="2"/>
  </r>
  <r>
    <d v="2013-05-19T00:00:00"/>
    <s v="018-2210-000"/>
    <s v="Liquor Sales"/>
    <n v="1953.4851000000001"/>
    <n v="0"/>
    <s v="Daily Sales Import"/>
    <n v="-1953.4851000000001"/>
    <n v="1953.4851000000001"/>
    <x v="2"/>
    <s v="2210"/>
    <s v="000"/>
    <x v="7"/>
    <x v="2"/>
  </r>
  <r>
    <d v="2013-05-19T00:00:00"/>
    <s v="018-2220-000"/>
    <s v="Beer Sales"/>
    <n v="634.37779999999998"/>
    <n v="0"/>
    <s v="Daily Sales Import"/>
    <n v="-634.37779999999998"/>
    <n v="634.37779999999998"/>
    <x v="2"/>
    <s v="2220"/>
    <s v="000"/>
    <x v="7"/>
    <x v="2"/>
  </r>
  <r>
    <d v="2013-05-19T00:00:00"/>
    <s v="018-2230-000"/>
    <s v="Wine Sales"/>
    <n v="154.83520000000001"/>
    <n v="0"/>
    <s v="Daily Sales Import"/>
    <n v="-154.83520000000001"/>
    <n v="154.83520000000001"/>
    <x v="2"/>
    <s v="2230"/>
    <s v="000"/>
    <x v="7"/>
    <x v="2"/>
  </r>
  <r>
    <d v="2013-05-20T00:00:00"/>
    <s v="016-2100-000"/>
    <s v="Food Sales"/>
    <n v="2484.2334000000001"/>
    <n v="0"/>
    <s v="Daily Sales Import"/>
    <n v="-2484.2334000000001"/>
    <n v="2484.2334000000001"/>
    <x v="0"/>
    <s v="2100"/>
    <s v="000"/>
    <x v="7"/>
    <x v="2"/>
  </r>
  <r>
    <d v="2013-05-20T00:00:00"/>
    <s v="016-2210-000"/>
    <s v="Liquor Sales"/>
    <n v="733.73580000000004"/>
    <n v="0"/>
    <s v="Daily Sales Import"/>
    <n v="-733.73580000000004"/>
    <n v="733.73580000000004"/>
    <x v="0"/>
    <s v="2210"/>
    <s v="000"/>
    <x v="7"/>
    <x v="2"/>
  </r>
  <r>
    <d v="2013-05-20T00:00:00"/>
    <s v="016-2220-000"/>
    <s v="Beer Sales"/>
    <n v="168.06329999999997"/>
    <n v="0"/>
    <s v="Daily Sales Import"/>
    <n v="-168.06329999999997"/>
    <n v="168.06329999999997"/>
    <x v="0"/>
    <s v="2220"/>
    <s v="000"/>
    <x v="7"/>
    <x v="2"/>
  </r>
  <r>
    <d v="2013-05-20T00:00:00"/>
    <s v="016-2230-000"/>
    <s v="Wine Sales"/>
    <n v="51.180799999999998"/>
    <n v="0"/>
    <s v="Daily Sales Import"/>
    <n v="-51.180799999999998"/>
    <n v="51.180799999999998"/>
    <x v="0"/>
    <s v="2230"/>
    <s v="000"/>
    <x v="7"/>
    <x v="2"/>
  </r>
  <r>
    <d v="2013-05-21T00:00:00"/>
    <s v="016-2100-000"/>
    <s v="Food Sales"/>
    <n v="5324.0478999999996"/>
    <n v="0"/>
    <s v="Daily Sales Import"/>
    <n v="-5324.0478999999996"/>
    <n v="5324.0478999999996"/>
    <x v="0"/>
    <s v="2100"/>
    <s v="000"/>
    <x v="7"/>
    <x v="2"/>
  </r>
  <r>
    <d v="2013-05-21T00:00:00"/>
    <s v="016-2210-000"/>
    <s v="Liquor Sales"/>
    <n v="2371.2768000000001"/>
    <n v="0"/>
    <s v="Daily Sales Import"/>
    <n v="-2371.2768000000001"/>
    <n v="2371.2768000000001"/>
    <x v="0"/>
    <s v="2210"/>
    <s v="000"/>
    <x v="7"/>
    <x v="2"/>
  </r>
  <r>
    <d v="2013-05-21T00:00:00"/>
    <s v="016-2220-000"/>
    <s v="Beer Sales"/>
    <n v="896.24480000000005"/>
    <n v="0"/>
    <s v="Daily Sales Import"/>
    <n v="-896.24480000000005"/>
    <n v="896.24480000000005"/>
    <x v="0"/>
    <s v="2220"/>
    <s v="000"/>
    <x v="7"/>
    <x v="2"/>
  </r>
  <r>
    <d v="2013-05-21T00:00:00"/>
    <s v="016-2230-000"/>
    <s v="Wine Sales"/>
    <n v="89.641500000000008"/>
    <n v="0"/>
    <s v="Daily Sales Import"/>
    <n v="-89.641500000000008"/>
    <n v="89.641500000000008"/>
    <x v="0"/>
    <s v="2230"/>
    <s v="000"/>
    <x v="7"/>
    <x v="2"/>
  </r>
  <r>
    <d v="2013-05-22T00:00:00"/>
    <s v="016-2100-000"/>
    <s v="Food Sales"/>
    <n v="2399.2458999999999"/>
    <n v="0"/>
    <s v="Daily Sales Import"/>
    <n v="-2399.2458999999999"/>
    <n v="2399.2458999999999"/>
    <x v="0"/>
    <s v="2100"/>
    <s v="000"/>
    <x v="7"/>
    <x v="2"/>
  </r>
  <r>
    <d v="2013-05-22T00:00:00"/>
    <s v="016-2210-000"/>
    <s v="Liquor Sales"/>
    <n v="710.32800000000009"/>
    <n v="0"/>
    <s v="Daily Sales Import"/>
    <n v="-710.32800000000009"/>
    <n v="710.32800000000009"/>
    <x v="0"/>
    <s v="2210"/>
    <s v="000"/>
    <x v="7"/>
    <x v="2"/>
  </r>
  <r>
    <d v="2013-05-22T00:00:00"/>
    <s v="016-2220-000"/>
    <s v="Beer Sales"/>
    <n v="149.98769999999999"/>
    <n v="0"/>
    <s v="Daily Sales Import"/>
    <n v="-149.98769999999999"/>
    <n v="149.98769999999999"/>
    <x v="0"/>
    <s v="2220"/>
    <s v="000"/>
    <x v="7"/>
    <x v="2"/>
  </r>
  <r>
    <d v="2013-05-22T00:00:00"/>
    <s v="016-2230-000"/>
    <s v="Wine Sales"/>
    <n v="78.733199999999997"/>
    <n v="0"/>
    <s v="Daily Sales Import"/>
    <n v="-78.733199999999997"/>
    <n v="78.733199999999997"/>
    <x v="0"/>
    <s v="2230"/>
    <s v="000"/>
    <x v="7"/>
    <x v="2"/>
  </r>
  <r>
    <d v="2013-05-23T00:00:00"/>
    <s v="016-2100-000"/>
    <s v="Food Sales"/>
    <n v="3218.81"/>
    <n v="0"/>
    <s v="Daily Sales Import"/>
    <n v="-3218.81"/>
    <n v="3218.81"/>
    <x v="0"/>
    <s v="2100"/>
    <s v="000"/>
    <x v="7"/>
    <x v="2"/>
  </r>
  <r>
    <d v="2013-05-23T00:00:00"/>
    <s v="016-2210-000"/>
    <s v="Liquor Sales"/>
    <n v="934.93679999999995"/>
    <n v="0"/>
    <s v="Daily Sales Import"/>
    <n v="-934.93679999999995"/>
    <n v="934.93679999999995"/>
    <x v="0"/>
    <s v="2210"/>
    <s v="000"/>
    <x v="7"/>
    <x v="2"/>
  </r>
  <r>
    <d v="2013-05-23T00:00:00"/>
    <s v="016-2220-000"/>
    <s v="Beer Sales"/>
    <n v="139.55200000000002"/>
    <n v="0"/>
    <s v="Daily Sales Import"/>
    <n v="-139.55200000000002"/>
    <n v="139.55200000000002"/>
    <x v="0"/>
    <s v="2220"/>
    <s v="000"/>
    <x v="7"/>
    <x v="2"/>
  </r>
  <r>
    <d v="2013-05-23T00:00:00"/>
    <s v="016-2230-000"/>
    <s v="Wine Sales"/>
    <n v="51.936299999999996"/>
    <n v="0"/>
    <s v="Daily Sales Import"/>
    <n v="-51.936299999999996"/>
    <n v="51.936299999999996"/>
    <x v="0"/>
    <s v="2230"/>
    <s v="000"/>
    <x v="7"/>
    <x v="2"/>
  </r>
  <r>
    <d v="2013-05-24T00:00:00"/>
    <s v="016-2100-000"/>
    <s v="Food Sales"/>
    <n v="8455.3657999999996"/>
    <n v="0"/>
    <s v="Daily Sales Import"/>
    <n v="-8455.3657999999996"/>
    <n v="8455.3657999999996"/>
    <x v="0"/>
    <s v="2100"/>
    <s v="000"/>
    <x v="7"/>
    <x v="2"/>
  </r>
  <r>
    <d v="2013-05-24T00:00:00"/>
    <s v="016-2210-000"/>
    <s v="Liquor Sales"/>
    <n v="1692.1671999999999"/>
    <n v="0"/>
    <s v="Daily Sales Import"/>
    <n v="-1692.1671999999999"/>
    <n v="1692.1671999999999"/>
    <x v="0"/>
    <s v="2210"/>
    <s v="000"/>
    <x v="7"/>
    <x v="2"/>
  </r>
  <r>
    <d v="2013-05-24T00:00:00"/>
    <s v="016-2220-000"/>
    <s v="Beer Sales"/>
    <n v="568.1825"/>
    <n v="0"/>
    <s v="Daily Sales Import"/>
    <n v="-568.1825"/>
    <n v="568.1825"/>
    <x v="0"/>
    <s v="2220"/>
    <s v="000"/>
    <x v="7"/>
    <x v="2"/>
  </r>
  <r>
    <d v="2013-05-24T00:00:00"/>
    <s v="016-2230-000"/>
    <s v="Wine Sales"/>
    <n v="263.40989999999999"/>
    <n v="0"/>
    <s v="Daily Sales Import"/>
    <n v="-263.40989999999999"/>
    <n v="263.40989999999999"/>
    <x v="0"/>
    <s v="2230"/>
    <s v="000"/>
    <x v="7"/>
    <x v="2"/>
  </r>
  <r>
    <d v="2013-05-25T00:00:00"/>
    <s v="016-2100-000"/>
    <s v="Food Sales"/>
    <n v="9409.8984"/>
    <n v="0"/>
    <s v="Daily Sales Import"/>
    <n v="-9409.8984"/>
    <n v="9409.8984"/>
    <x v="0"/>
    <s v="2100"/>
    <s v="000"/>
    <x v="7"/>
    <x v="2"/>
  </r>
  <r>
    <d v="2013-05-25T00:00:00"/>
    <s v="016-2210-000"/>
    <s v="Liquor Sales"/>
    <n v="2759.9414999999999"/>
    <n v="0"/>
    <s v="Daily Sales Import"/>
    <n v="-2759.9414999999999"/>
    <n v="2759.9414999999999"/>
    <x v="0"/>
    <s v="2210"/>
    <s v="000"/>
    <x v="7"/>
    <x v="2"/>
  </r>
  <r>
    <d v="2013-05-25T00:00:00"/>
    <s v="016-2220-000"/>
    <s v="Beer Sales"/>
    <n v="306.81420000000003"/>
    <n v="0"/>
    <s v="Daily Sales Import"/>
    <n v="-306.81420000000003"/>
    <n v="306.81420000000003"/>
    <x v="0"/>
    <s v="2220"/>
    <s v="000"/>
    <x v="7"/>
    <x v="2"/>
  </r>
  <r>
    <d v="2013-05-25T00:00:00"/>
    <s v="016-2230-000"/>
    <s v="Wine Sales"/>
    <n v="115.74160000000001"/>
    <n v="0"/>
    <s v="Daily Sales Import"/>
    <n v="-115.74160000000001"/>
    <n v="115.74160000000001"/>
    <x v="0"/>
    <s v="2230"/>
    <s v="000"/>
    <x v="7"/>
    <x v="2"/>
  </r>
  <r>
    <d v="2013-05-26T00:00:00"/>
    <s v="016-2100-000"/>
    <s v="Food Sales"/>
    <n v="6949.3040000000001"/>
    <n v="0"/>
    <s v="Daily Sales Import"/>
    <n v="-6949.3040000000001"/>
    <n v="6949.3040000000001"/>
    <x v="0"/>
    <s v="2100"/>
    <s v="000"/>
    <x v="7"/>
    <x v="2"/>
  </r>
  <r>
    <d v="2013-05-26T00:00:00"/>
    <s v="016-2210-000"/>
    <s v="Liquor Sales"/>
    <n v="1759.5340000000003"/>
    <n v="0"/>
    <s v="Daily Sales Import"/>
    <n v="-1759.5340000000003"/>
    <n v="1759.5340000000003"/>
    <x v="0"/>
    <s v="2210"/>
    <s v="000"/>
    <x v="7"/>
    <x v="2"/>
  </r>
  <r>
    <d v="2013-05-26T00:00:00"/>
    <s v="016-2220-000"/>
    <s v="Beer Sales"/>
    <n v="224.98629999999997"/>
    <n v="0"/>
    <s v="Daily Sales Import"/>
    <n v="-224.98629999999997"/>
    <n v="224.98629999999997"/>
    <x v="0"/>
    <s v="2220"/>
    <s v="000"/>
    <x v="7"/>
    <x v="2"/>
  </r>
  <r>
    <d v="2013-05-26T00:00:00"/>
    <s v="016-2230-000"/>
    <s v="Wine Sales"/>
    <n v="84.600899999999996"/>
    <n v="0"/>
    <s v="Daily Sales Import"/>
    <n v="-84.600899999999996"/>
    <n v="84.600899999999996"/>
    <x v="0"/>
    <s v="2230"/>
    <s v="000"/>
    <x v="7"/>
    <x v="2"/>
  </r>
  <r>
    <d v="2013-05-20T00:00:00"/>
    <s v="017-2100-000"/>
    <s v="Food Sales"/>
    <n v="5255.2589000000007"/>
    <n v="0"/>
    <s v="Daily Sales Import"/>
    <n v="-5255.2589000000007"/>
    <n v="5255.2589000000007"/>
    <x v="1"/>
    <s v="2100"/>
    <s v="000"/>
    <x v="7"/>
    <x v="2"/>
  </r>
  <r>
    <d v="2013-05-20T00:00:00"/>
    <s v="017-2210-000"/>
    <s v="Liquor Sales"/>
    <n v="3147.6896000000002"/>
    <n v="0"/>
    <s v="Daily Sales Import"/>
    <n v="-3147.6896000000002"/>
    <n v="3147.6896000000002"/>
    <x v="1"/>
    <s v="2210"/>
    <s v="000"/>
    <x v="7"/>
    <x v="2"/>
  </r>
  <r>
    <d v="2013-05-20T00:00:00"/>
    <s v="017-2220-000"/>
    <s v="Beer Sales"/>
    <n v="364.03299999999996"/>
    <n v="0"/>
    <s v="Daily Sales Import"/>
    <n v="-364.03299999999996"/>
    <n v="364.03299999999996"/>
    <x v="1"/>
    <s v="2220"/>
    <s v="000"/>
    <x v="7"/>
    <x v="2"/>
  </r>
  <r>
    <d v="2013-05-20T00:00:00"/>
    <s v="017-2230-000"/>
    <s v="Wine Sales"/>
    <n v="187.33270000000002"/>
    <n v="0"/>
    <s v="Daily Sales Import"/>
    <n v="-187.33270000000002"/>
    <n v="187.33270000000002"/>
    <x v="1"/>
    <s v="2230"/>
    <s v="000"/>
    <x v="7"/>
    <x v="2"/>
  </r>
  <r>
    <d v="2013-05-21T00:00:00"/>
    <s v="017-2100-000"/>
    <s v="Food Sales"/>
    <n v="6998.9128000000001"/>
    <n v="0"/>
    <s v="Daily Sales Import"/>
    <n v="-6998.9128000000001"/>
    <n v="6998.9128000000001"/>
    <x v="1"/>
    <s v="2100"/>
    <s v="000"/>
    <x v="7"/>
    <x v="2"/>
  </r>
  <r>
    <d v="2013-05-21T00:00:00"/>
    <s v="017-2210-000"/>
    <s v="Liquor Sales"/>
    <n v="1729.0493000000001"/>
    <n v="0"/>
    <s v="Daily Sales Import"/>
    <n v="-1729.0493000000001"/>
    <n v="1729.0493000000001"/>
    <x v="1"/>
    <s v="2210"/>
    <s v="000"/>
    <x v="7"/>
    <x v="2"/>
  </r>
  <r>
    <d v="2013-05-21T00:00:00"/>
    <s v="017-2220-000"/>
    <s v="Beer Sales"/>
    <n v="368.1216"/>
    <n v="0"/>
    <s v="Daily Sales Import"/>
    <n v="-368.1216"/>
    <n v="368.1216"/>
    <x v="1"/>
    <s v="2220"/>
    <s v="000"/>
    <x v="7"/>
    <x v="2"/>
  </r>
  <r>
    <d v="2013-05-21T00:00:00"/>
    <s v="017-2230-000"/>
    <s v="Wine Sales"/>
    <n v="137.0478"/>
    <n v="0"/>
    <s v="Daily Sales Import"/>
    <n v="-137.0478"/>
    <n v="137.0478"/>
    <x v="1"/>
    <s v="2230"/>
    <s v="000"/>
    <x v="7"/>
    <x v="2"/>
  </r>
  <r>
    <d v="2013-05-22T00:00:00"/>
    <s v="017-2100-000"/>
    <s v="Food Sales"/>
    <n v="7079.1947999999993"/>
    <n v="0"/>
    <s v="Daily Sales Import"/>
    <n v="-7079.1947999999993"/>
    <n v="7079.1947999999993"/>
    <x v="1"/>
    <s v="2100"/>
    <s v="000"/>
    <x v="7"/>
    <x v="2"/>
  </r>
  <r>
    <d v="2013-05-22T00:00:00"/>
    <s v="017-2210-000"/>
    <s v="Liquor Sales"/>
    <n v="1988.1680000000001"/>
    <n v="0"/>
    <s v="Daily Sales Import"/>
    <n v="-1988.1680000000001"/>
    <n v="1988.1680000000001"/>
    <x v="1"/>
    <s v="2210"/>
    <s v="000"/>
    <x v="7"/>
    <x v="2"/>
  </r>
  <r>
    <d v="2013-05-22T00:00:00"/>
    <s v="017-2220-000"/>
    <s v="Beer Sales"/>
    <n v="422.61599999999999"/>
    <n v="0"/>
    <s v="Daily Sales Import"/>
    <n v="-422.61599999999999"/>
    <n v="422.61599999999999"/>
    <x v="1"/>
    <s v="2220"/>
    <s v="000"/>
    <x v="7"/>
    <x v="2"/>
  </r>
  <r>
    <d v="2013-05-22T00:00:00"/>
    <s v="017-2230-000"/>
    <s v="Wine Sales"/>
    <n v="92.137499999999989"/>
    <n v="0"/>
    <s v="Daily Sales Import"/>
    <n v="-92.137499999999989"/>
    <n v="92.137499999999989"/>
    <x v="1"/>
    <s v="2230"/>
    <s v="000"/>
    <x v="7"/>
    <x v="2"/>
  </r>
  <r>
    <d v="2013-05-23T00:00:00"/>
    <s v="017-2100-000"/>
    <s v="Food Sales"/>
    <n v="6436.3151999999991"/>
    <n v="0"/>
    <s v="Daily Sales Import"/>
    <n v="-6436.3151999999991"/>
    <n v="6436.3151999999991"/>
    <x v="1"/>
    <s v="2100"/>
    <s v="000"/>
    <x v="7"/>
    <x v="2"/>
  </r>
  <r>
    <d v="2013-05-23T00:00:00"/>
    <s v="017-2210-000"/>
    <s v="Liquor Sales"/>
    <n v="2390.7599999999998"/>
    <n v="0"/>
    <s v="Daily Sales Import"/>
    <n v="-2390.7599999999998"/>
    <n v="2390.7599999999998"/>
    <x v="1"/>
    <s v="2210"/>
    <s v="000"/>
    <x v="7"/>
    <x v="2"/>
  </r>
  <r>
    <d v="2013-05-23T00:00:00"/>
    <s v="017-2220-000"/>
    <s v="Beer Sales"/>
    <n v="576.58320000000003"/>
    <n v="0"/>
    <s v="Daily Sales Import"/>
    <n v="-576.58320000000003"/>
    <n v="576.58320000000003"/>
    <x v="1"/>
    <s v="2220"/>
    <s v="000"/>
    <x v="7"/>
    <x v="2"/>
  </r>
  <r>
    <d v="2013-05-23T00:00:00"/>
    <s v="017-2230-000"/>
    <s v="Wine Sales"/>
    <n v="52.570800000000006"/>
    <n v="0"/>
    <s v="Daily Sales Import"/>
    <n v="-52.570800000000006"/>
    <n v="52.570800000000006"/>
    <x v="1"/>
    <s v="2230"/>
    <s v="000"/>
    <x v="7"/>
    <x v="2"/>
  </r>
  <r>
    <d v="2013-05-24T00:00:00"/>
    <s v="017-2100-000"/>
    <s v="Food Sales"/>
    <n v="8538.2142999999996"/>
    <n v="0"/>
    <s v="Daily Sales Import"/>
    <n v="-8538.2142999999996"/>
    <n v="8538.2142999999996"/>
    <x v="1"/>
    <s v="2100"/>
    <s v="000"/>
    <x v="7"/>
    <x v="2"/>
  </r>
  <r>
    <d v="2013-05-24T00:00:00"/>
    <s v="017-2210-000"/>
    <s v="Liquor Sales"/>
    <n v="2518.5042000000003"/>
    <n v="0"/>
    <s v="Daily Sales Import"/>
    <n v="-2518.5042000000003"/>
    <n v="2518.5042000000003"/>
    <x v="1"/>
    <s v="2210"/>
    <s v="000"/>
    <x v="7"/>
    <x v="2"/>
  </r>
  <r>
    <d v="2013-05-24T00:00:00"/>
    <s v="017-2220-000"/>
    <s v="Beer Sales"/>
    <n v="256.66739999999999"/>
    <n v="0"/>
    <s v="Daily Sales Import"/>
    <n v="-256.66739999999999"/>
    <n v="256.66739999999999"/>
    <x v="1"/>
    <s v="2220"/>
    <s v="000"/>
    <x v="7"/>
    <x v="2"/>
  </r>
  <r>
    <d v="2013-05-24T00:00:00"/>
    <s v="017-2230-000"/>
    <s v="Wine Sales"/>
    <n v="103.30240000000001"/>
    <n v="0"/>
    <s v="Daily Sales Import"/>
    <n v="-103.30240000000001"/>
    <n v="103.30240000000001"/>
    <x v="1"/>
    <s v="2230"/>
    <s v="000"/>
    <x v="7"/>
    <x v="2"/>
  </r>
  <r>
    <d v="2013-05-25T00:00:00"/>
    <s v="017-2100-000"/>
    <s v="Food Sales"/>
    <n v="6522.8160000000007"/>
    <n v="0"/>
    <s v="Daily Sales Import"/>
    <n v="-6522.8160000000007"/>
    <n v="6522.8160000000007"/>
    <x v="1"/>
    <s v="2100"/>
    <s v="000"/>
    <x v="7"/>
    <x v="2"/>
  </r>
  <r>
    <d v="2013-05-25T00:00:00"/>
    <s v="017-2210-000"/>
    <s v="Liquor Sales"/>
    <n v="1738.8820000000001"/>
    <n v="0"/>
    <s v="Daily Sales Import"/>
    <n v="-1738.8820000000001"/>
    <n v="1738.8820000000001"/>
    <x v="1"/>
    <s v="2210"/>
    <s v="000"/>
    <x v="7"/>
    <x v="2"/>
  </r>
  <r>
    <d v="2013-05-25T00:00:00"/>
    <s v="017-2220-000"/>
    <s v="Beer Sales"/>
    <n v="204.85920000000002"/>
    <n v="0"/>
    <s v="Daily Sales Import"/>
    <n v="-204.85920000000002"/>
    <n v="204.85920000000002"/>
    <x v="1"/>
    <s v="2220"/>
    <s v="000"/>
    <x v="7"/>
    <x v="2"/>
  </r>
  <r>
    <d v="2013-05-25T00:00:00"/>
    <s v="017-2230-000"/>
    <s v="Wine Sales"/>
    <n v="19.5245"/>
    <n v="0"/>
    <s v="Daily Sales Import"/>
    <n v="-19.5245"/>
    <n v="19.5245"/>
    <x v="1"/>
    <s v="2230"/>
    <s v="000"/>
    <x v="7"/>
    <x v="2"/>
  </r>
  <r>
    <d v="2013-05-26T00:00:00"/>
    <s v="017-2100-000"/>
    <s v="Food Sales"/>
    <n v="4413.7151999999996"/>
    <n v="0"/>
    <s v="Daily Sales Import"/>
    <n v="-4413.7151999999996"/>
    <n v="4413.7151999999996"/>
    <x v="1"/>
    <s v="2100"/>
    <s v="000"/>
    <x v="7"/>
    <x v="2"/>
  </r>
  <r>
    <d v="2013-05-26T00:00:00"/>
    <s v="017-2210-000"/>
    <s v="Liquor Sales"/>
    <n v="1609.414"/>
    <n v="0"/>
    <s v="Daily Sales Import"/>
    <n v="-1609.414"/>
    <n v="1609.414"/>
    <x v="1"/>
    <s v="2210"/>
    <s v="000"/>
    <x v="7"/>
    <x v="2"/>
  </r>
  <r>
    <d v="2013-05-26T00:00:00"/>
    <s v="017-2220-000"/>
    <s v="Beer Sales"/>
    <n v="244.39170000000001"/>
    <n v="0"/>
    <s v="Daily Sales Import"/>
    <n v="-244.39170000000001"/>
    <n v="244.39170000000001"/>
    <x v="1"/>
    <s v="2220"/>
    <s v="000"/>
    <x v="7"/>
    <x v="2"/>
  </r>
  <r>
    <d v="2013-05-26T00:00:00"/>
    <s v="017-2230-000"/>
    <s v="Wine Sales"/>
    <n v="49.070499999999996"/>
    <n v="0"/>
    <s v="Daily Sales Import"/>
    <n v="-49.070499999999996"/>
    <n v="49.070499999999996"/>
    <x v="1"/>
    <s v="2230"/>
    <s v="000"/>
    <x v="7"/>
    <x v="2"/>
  </r>
  <r>
    <d v="2013-05-20T00:00:00"/>
    <s v="018-2100-000"/>
    <s v="Food Sales"/>
    <n v="5148.3666000000003"/>
    <n v="0"/>
    <s v="Daily Sales Import"/>
    <n v="-5148.3666000000003"/>
    <n v="5148.3666000000003"/>
    <x v="2"/>
    <s v="2100"/>
    <s v="000"/>
    <x v="7"/>
    <x v="2"/>
  </r>
  <r>
    <d v="2013-05-20T00:00:00"/>
    <s v="018-2210-000"/>
    <s v="Liquor Sales"/>
    <n v="981.56679999999994"/>
    <n v="0"/>
    <s v="Daily Sales Import"/>
    <n v="-981.56679999999994"/>
    <n v="981.56679999999994"/>
    <x v="2"/>
    <s v="2210"/>
    <s v="000"/>
    <x v="7"/>
    <x v="2"/>
  </r>
  <r>
    <d v="2013-05-20T00:00:00"/>
    <s v="018-2220-000"/>
    <s v="Beer Sales"/>
    <n v="153.07050000000001"/>
    <n v="0"/>
    <s v="Daily Sales Import"/>
    <n v="-153.07050000000001"/>
    <n v="153.07050000000001"/>
    <x v="2"/>
    <s v="2220"/>
    <s v="000"/>
    <x v="7"/>
    <x v="2"/>
  </r>
  <r>
    <d v="2013-05-20T00:00:00"/>
    <s v="018-2230-000"/>
    <s v="Wine Sales"/>
    <n v="48.755699999999997"/>
    <n v="0"/>
    <s v="Daily Sales Import"/>
    <n v="-48.755699999999997"/>
    <n v="48.755699999999997"/>
    <x v="2"/>
    <s v="2230"/>
    <s v="000"/>
    <x v="7"/>
    <x v="2"/>
  </r>
  <r>
    <d v="2013-05-21T00:00:00"/>
    <s v="018-2100-000"/>
    <s v="Food Sales"/>
    <n v="4621.8711000000003"/>
    <n v="0"/>
    <s v="Daily Sales Import"/>
    <n v="-4621.8711000000003"/>
    <n v="4621.8711000000003"/>
    <x v="2"/>
    <s v="2100"/>
    <s v="000"/>
    <x v="7"/>
    <x v="2"/>
  </r>
  <r>
    <d v="2013-05-21T00:00:00"/>
    <s v="018-2210-000"/>
    <s v="Liquor Sales"/>
    <n v="633.63760000000013"/>
    <n v="0"/>
    <s v="Daily Sales Import"/>
    <n v="-633.63760000000013"/>
    <n v="633.63760000000013"/>
    <x v="2"/>
    <s v="2210"/>
    <s v="000"/>
    <x v="7"/>
    <x v="2"/>
  </r>
  <r>
    <d v="2013-05-21T00:00:00"/>
    <s v="018-2220-000"/>
    <s v="Beer Sales"/>
    <n v="168.58240000000004"/>
    <n v="0"/>
    <s v="Daily Sales Import"/>
    <n v="-168.58240000000004"/>
    <n v="168.58240000000004"/>
    <x v="2"/>
    <s v="2220"/>
    <s v="000"/>
    <x v="7"/>
    <x v="2"/>
  </r>
  <r>
    <d v="2013-05-21T00:00:00"/>
    <s v="018-2230-000"/>
    <s v="Wine Sales"/>
    <n v="11.594299999999999"/>
    <n v="0"/>
    <s v="Daily Sales Import"/>
    <n v="-11.594299999999999"/>
    <n v="11.594299999999999"/>
    <x v="2"/>
    <s v="2230"/>
    <s v="000"/>
    <x v="7"/>
    <x v="2"/>
  </r>
  <r>
    <d v="2013-05-22T00:00:00"/>
    <s v="018-2100-000"/>
    <s v="Food Sales"/>
    <n v="5223.3852000000006"/>
    <n v="0"/>
    <s v="Daily Sales Import"/>
    <n v="-5223.3852000000006"/>
    <n v="5223.3852000000006"/>
    <x v="2"/>
    <s v="2100"/>
    <s v="000"/>
    <x v="7"/>
    <x v="2"/>
  </r>
  <r>
    <d v="2013-05-22T00:00:00"/>
    <s v="018-2210-000"/>
    <s v="Liquor Sales"/>
    <n v="793.95619999999997"/>
    <n v="0"/>
    <s v="Daily Sales Import"/>
    <n v="-793.95619999999997"/>
    <n v="793.95619999999997"/>
    <x v="2"/>
    <s v="2210"/>
    <s v="000"/>
    <x v="7"/>
    <x v="2"/>
  </r>
  <r>
    <d v="2013-05-22T00:00:00"/>
    <s v="018-2220-000"/>
    <s v="Beer Sales"/>
    <n v="239.46450000000002"/>
    <n v="0"/>
    <s v="Daily Sales Import"/>
    <n v="-239.46450000000002"/>
    <n v="239.46450000000002"/>
    <x v="2"/>
    <s v="2220"/>
    <s v="000"/>
    <x v="7"/>
    <x v="2"/>
  </r>
  <r>
    <d v="2013-05-22T00:00:00"/>
    <s v="018-2230-000"/>
    <s v="Wine Sales"/>
    <n v="32.795400000000001"/>
    <n v="0"/>
    <s v="Daily Sales Import"/>
    <n v="-32.795400000000001"/>
    <n v="32.795400000000001"/>
    <x v="2"/>
    <s v="2230"/>
    <s v="000"/>
    <x v="7"/>
    <x v="2"/>
  </r>
  <r>
    <d v="2013-05-23T00:00:00"/>
    <s v="018-2100-000"/>
    <s v="Food Sales"/>
    <n v="4809.7275"/>
    <n v="0"/>
    <s v="Daily Sales Import"/>
    <n v="-4809.7275"/>
    <n v="4809.7275"/>
    <x v="2"/>
    <s v="2100"/>
    <s v="000"/>
    <x v="7"/>
    <x v="2"/>
  </r>
  <r>
    <d v="2013-05-23T00:00:00"/>
    <s v="018-2210-000"/>
    <s v="Liquor Sales"/>
    <n v="836.88340000000005"/>
    <n v="0"/>
    <s v="Daily Sales Import"/>
    <n v="-836.88340000000005"/>
    <n v="836.88340000000005"/>
    <x v="2"/>
    <s v="2210"/>
    <s v="000"/>
    <x v="7"/>
    <x v="2"/>
  </r>
  <r>
    <d v="2013-05-23T00:00:00"/>
    <s v="018-2220-000"/>
    <s v="Beer Sales"/>
    <n v="160.185"/>
    <n v="0"/>
    <s v="Daily Sales Import"/>
    <n v="-160.185"/>
    <n v="160.185"/>
    <x v="2"/>
    <s v="2220"/>
    <s v="000"/>
    <x v="7"/>
    <x v="2"/>
  </r>
  <r>
    <d v="2013-05-23T00:00:00"/>
    <s v="018-2230-000"/>
    <s v="Wine Sales"/>
    <n v="50.993700000000004"/>
    <n v="0"/>
    <s v="Daily Sales Import"/>
    <n v="-50.993700000000004"/>
    <n v="50.993700000000004"/>
    <x v="2"/>
    <s v="2230"/>
    <s v="000"/>
    <x v="7"/>
    <x v="2"/>
  </r>
  <r>
    <d v="2013-05-24T00:00:00"/>
    <s v="018-2100-000"/>
    <s v="Food Sales"/>
    <n v="10307.816000000001"/>
    <n v="0"/>
    <s v="Daily Sales Import"/>
    <n v="-10307.816000000001"/>
    <n v="10307.816000000001"/>
    <x v="2"/>
    <s v="2100"/>
    <s v="000"/>
    <x v="7"/>
    <x v="2"/>
  </r>
  <r>
    <d v="2013-05-24T00:00:00"/>
    <s v="018-2210-000"/>
    <s v="Liquor Sales"/>
    <n v="2548.9631999999997"/>
    <n v="0"/>
    <s v="Daily Sales Import"/>
    <n v="-2548.9631999999997"/>
    <n v="2548.9631999999997"/>
    <x v="2"/>
    <s v="2210"/>
    <s v="000"/>
    <x v="7"/>
    <x v="2"/>
  </r>
  <r>
    <d v="2013-05-24T00:00:00"/>
    <s v="018-2220-000"/>
    <s v="Beer Sales"/>
    <n v="581.51299999999992"/>
    <n v="0"/>
    <s v="Daily Sales Import"/>
    <n v="-581.51299999999992"/>
    <n v="581.51299999999992"/>
    <x v="2"/>
    <s v="2220"/>
    <s v="000"/>
    <x v="7"/>
    <x v="2"/>
  </r>
  <r>
    <d v="2013-05-24T00:00:00"/>
    <s v="018-2230-000"/>
    <s v="Wine Sales"/>
    <n v="117.84779999999999"/>
    <n v="0"/>
    <s v="Daily Sales Import"/>
    <n v="-117.84779999999999"/>
    <n v="117.84779999999999"/>
    <x v="2"/>
    <s v="2230"/>
    <s v="000"/>
    <x v="7"/>
    <x v="2"/>
  </r>
  <r>
    <d v="2013-05-25T00:00:00"/>
    <s v="018-2100-000"/>
    <s v="Food Sales"/>
    <n v="11100.5375"/>
    <n v="0"/>
    <s v="Daily Sales Import"/>
    <n v="-11100.5375"/>
    <n v="11100.5375"/>
    <x v="2"/>
    <s v="2100"/>
    <s v="000"/>
    <x v="7"/>
    <x v="2"/>
  </r>
  <r>
    <d v="2013-05-25T00:00:00"/>
    <s v="018-2210-000"/>
    <s v="Liquor Sales"/>
    <n v="3643.6383000000001"/>
    <n v="0"/>
    <s v="Daily Sales Import"/>
    <n v="-3643.6383000000001"/>
    <n v="3643.6383000000001"/>
    <x v="2"/>
    <s v="2210"/>
    <s v="000"/>
    <x v="7"/>
    <x v="2"/>
  </r>
  <r>
    <d v="2013-05-25T00:00:00"/>
    <s v="018-2220-000"/>
    <s v="Beer Sales"/>
    <n v="692.01279999999997"/>
    <n v="0"/>
    <s v="Daily Sales Import"/>
    <n v="-692.01279999999997"/>
    <n v="692.01279999999997"/>
    <x v="2"/>
    <s v="2220"/>
    <s v="000"/>
    <x v="7"/>
    <x v="2"/>
  </r>
  <r>
    <d v="2013-05-25T00:00:00"/>
    <s v="018-2230-000"/>
    <s v="Wine Sales"/>
    <n v="38.1678"/>
    <n v="0"/>
    <s v="Daily Sales Import"/>
    <n v="-38.1678"/>
    <n v="38.1678"/>
    <x v="2"/>
    <s v="2230"/>
    <s v="000"/>
    <x v="7"/>
    <x v="2"/>
  </r>
  <r>
    <d v="2013-05-26T00:00:00"/>
    <s v="018-2100-000"/>
    <s v="Food Sales"/>
    <n v="9771.1851999999999"/>
    <n v="0"/>
    <s v="Daily Sales Import"/>
    <n v="-9771.1851999999999"/>
    <n v="9771.1851999999999"/>
    <x v="2"/>
    <s v="2100"/>
    <s v="000"/>
    <x v="7"/>
    <x v="2"/>
  </r>
  <r>
    <d v="2013-05-26T00:00:00"/>
    <s v="018-2210-000"/>
    <s v="Liquor Sales"/>
    <n v="1440.7848000000001"/>
    <n v="0"/>
    <s v="Daily Sales Import"/>
    <n v="-1440.7848000000001"/>
    <n v="1440.7848000000001"/>
    <x v="2"/>
    <s v="2210"/>
    <s v="000"/>
    <x v="7"/>
    <x v="2"/>
  </r>
  <r>
    <d v="2013-05-26T00:00:00"/>
    <s v="018-2220-000"/>
    <s v="Beer Sales"/>
    <n v="522.80280000000005"/>
    <n v="0"/>
    <s v="Daily Sales Import"/>
    <n v="-522.80280000000005"/>
    <n v="522.80280000000005"/>
    <x v="2"/>
    <s v="2220"/>
    <s v="000"/>
    <x v="7"/>
    <x v="2"/>
  </r>
  <r>
    <d v="2013-05-26T00:00:00"/>
    <s v="018-2230-000"/>
    <s v="Wine Sales"/>
    <n v="120.5856"/>
    <n v="0"/>
    <s v="Daily Sales Import"/>
    <n v="-120.5856"/>
    <n v="120.5856"/>
    <x v="2"/>
    <s v="2230"/>
    <s v="000"/>
    <x v="7"/>
    <x v="2"/>
  </r>
  <r>
    <d v="2013-05-16T00:00:00"/>
    <s v="016-2100-000"/>
    <s v="Food Sales"/>
    <n v="2954.1182999999996"/>
    <n v="0"/>
    <s v="Daily Sales Import"/>
    <n v="-2954.1182999999996"/>
    <n v="2954.1182999999996"/>
    <x v="0"/>
    <s v="2100"/>
    <s v="000"/>
    <x v="7"/>
    <x v="2"/>
  </r>
  <r>
    <d v="2013-05-16T00:00:00"/>
    <s v="016-2210-000"/>
    <s v="Liquor Sales"/>
    <n v="959.56470000000002"/>
    <n v="0"/>
    <s v="Daily Sales Import"/>
    <n v="-959.56470000000002"/>
    <n v="959.56470000000002"/>
    <x v="0"/>
    <s v="2210"/>
    <s v="000"/>
    <x v="7"/>
    <x v="2"/>
  </r>
  <r>
    <d v="2013-05-16T00:00:00"/>
    <s v="016-2220-000"/>
    <s v="Beer Sales"/>
    <n v="77.621499999999997"/>
    <n v="0"/>
    <s v="Daily Sales Import"/>
    <n v="-77.621499999999997"/>
    <n v="77.621499999999997"/>
    <x v="0"/>
    <s v="2220"/>
    <s v="000"/>
    <x v="7"/>
    <x v="2"/>
  </r>
  <r>
    <d v="2013-05-16T00:00:00"/>
    <s v="016-2230-000"/>
    <s v="Wine Sales"/>
    <n v="53.193199999999997"/>
    <n v="0"/>
    <s v="Daily Sales Import"/>
    <n v="-53.193199999999997"/>
    <n v="53.193199999999997"/>
    <x v="0"/>
    <s v="2230"/>
    <s v="000"/>
    <x v="7"/>
    <x v="2"/>
  </r>
  <r>
    <d v="2013-05-27T00:00:00"/>
    <s v="016-2100-000"/>
    <s v="Food Sales"/>
    <n v="3286.4179999999997"/>
    <n v="0"/>
    <s v="Daily Sales Import"/>
    <n v="-3286.4179999999997"/>
    <n v="3286.4179999999997"/>
    <x v="0"/>
    <s v="2100"/>
    <s v="000"/>
    <x v="7"/>
    <x v="2"/>
  </r>
  <r>
    <d v="2013-05-27T00:00:00"/>
    <s v="016-2210-000"/>
    <s v="Liquor Sales"/>
    <n v="935.27199999999993"/>
    <n v="0"/>
    <s v="Daily Sales Import"/>
    <n v="-935.27199999999993"/>
    <n v="935.27199999999993"/>
    <x v="0"/>
    <s v="2210"/>
    <s v="000"/>
    <x v="7"/>
    <x v="2"/>
  </r>
  <r>
    <d v="2013-05-27T00:00:00"/>
    <s v="016-2220-000"/>
    <s v="Beer Sales"/>
    <n v="180.93600000000001"/>
    <n v="0"/>
    <s v="Daily Sales Import"/>
    <n v="-180.93600000000001"/>
    <n v="180.93600000000001"/>
    <x v="0"/>
    <s v="2220"/>
    <s v="000"/>
    <x v="7"/>
    <x v="2"/>
  </r>
  <r>
    <d v="2013-05-27T00:00:00"/>
    <s v="016-2230-000"/>
    <s v="Wine Sales"/>
    <n v="115.4478"/>
    <n v="0"/>
    <s v="Daily Sales Import"/>
    <n v="-115.4478"/>
    <n v="115.4478"/>
    <x v="0"/>
    <s v="2230"/>
    <s v="000"/>
    <x v="7"/>
    <x v="2"/>
  </r>
  <r>
    <d v="2013-05-28T00:00:00"/>
    <s v="016-2100-000"/>
    <s v="Food Sales"/>
    <n v="4988.9143999999997"/>
    <n v="0"/>
    <s v="Daily Sales Import"/>
    <n v="-4988.9143999999997"/>
    <n v="4988.9143999999997"/>
    <x v="0"/>
    <s v="2100"/>
    <s v="000"/>
    <x v="7"/>
    <x v="2"/>
  </r>
  <r>
    <d v="2013-05-28T00:00:00"/>
    <s v="016-2210-000"/>
    <s v="Liquor Sales"/>
    <n v="1475.4204"/>
    <n v="0"/>
    <s v="Daily Sales Import"/>
    <n v="-1475.4204"/>
    <n v="1475.4204"/>
    <x v="0"/>
    <s v="2210"/>
    <s v="000"/>
    <x v="7"/>
    <x v="2"/>
  </r>
  <r>
    <d v="2013-05-28T00:00:00"/>
    <s v="016-2220-000"/>
    <s v="Beer Sales"/>
    <n v="448.57"/>
    <n v="0"/>
    <s v="Daily Sales Import"/>
    <n v="-448.57"/>
    <n v="448.57"/>
    <x v="0"/>
    <s v="2220"/>
    <s v="000"/>
    <x v="7"/>
    <x v="2"/>
  </r>
  <r>
    <d v="2013-05-28T00:00:00"/>
    <s v="016-2230-000"/>
    <s v="Wine Sales"/>
    <n v="66.913499999999999"/>
    <n v="0"/>
    <s v="Daily Sales Import"/>
    <n v="-66.913499999999999"/>
    <n v="66.913499999999999"/>
    <x v="0"/>
    <s v="2230"/>
    <s v="000"/>
    <x v="7"/>
    <x v="2"/>
  </r>
  <r>
    <d v="2013-05-29T00:00:00"/>
    <s v="016-2100-000"/>
    <s v="Food Sales"/>
    <n v="2941.143"/>
    <n v="0"/>
    <s v="Daily Sales Import"/>
    <n v="-2941.143"/>
    <n v="2941.143"/>
    <x v="0"/>
    <s v="2100"/>
    <s v="000"/>
    <x v="7"/>
    <x v="2"/>
  </r>
  <r>
    <d v="2013-05-29T00:00:00"/>
    <s v="016-2210-000"/>
    <s v="Liquor Sales"/>
    <n v="631.28560000000004"/>
    <n v="0"/>
    <s v="Daily Sales Import"/>
    <n v="-631.28560000000004"/>
    <n v="631.28560000000004"/>
    <x v="0"/>
    <s v="2210"/>
    <s v="000"/>
    <x v="7"/>
    <x v="2"/>
  </r>
  <r>
    <d v="2013-05-29T00:00:00"/>
    <s v="016-2220-000"/>
    <s v="Beer Sales"/>
    <n v="105.74940000000001"/>
    <n v="0"/>
    <s v="Daily Sales Import"/>
    <n v="-105.74940000000001"/>
    <n v="105.74940000000001"/>
    <x v="0"/>
    <s v="2220"/>
    <s v="000"/>
    <x v="7"/>
    <x v="2"/>
  </r>
  <r>
    <d v="2013-05-29T00:00:00"/>
    <s v="016-2230-000"/>
    <s v="Wine Sales"/>
    <n v="61.347200000000001"/>
    <n v="0"/>
    <s v="Daily Sales Import"/>
    <n v="-61.347200000000001"/>
    <n v="61.347200000000001"/>
    <x v="0"/>
    <s v="2230"/>
    <s v="000"/>
    <x v="7"/>
    <x v="2"/>
  </r>
  <r>
    <d v="2013-05-30T00:00:00"/>
    <s v="016-2100-000"/>
    <s v="Food Sales"/>
    <n v="2100.9602999999997"/>
    <n v="0"/>
    <s v="Daily Sales Import"/>
    <n v="-2100.9602999999997"/>
    <n v="2100.9602999999997"/>
    <x v="0"/>
    <s v="2100"/>
    <s v="000"/>
    <x v="7"/>
    <x v="2"/>
  </r>
  <r>
    <d v="2013-05-30T00:00:00"/>
    <s v="016-2210-000"/>
    <s v="Liquor Sales"/>
    <n v="783.39300000000003"/>
    <n v="0"/>
    <s v="Daily Sales Import"/>
    <n v="-783.39300000000003"/>
    <n v="783.39300000000003"/>
    <x v="0"/>
    <s v="2210"/>
    <s v="000"/>
    <x v="7"/>
    <x v="2"/>
  </r>
  <r>
    <d v="2013-05-30T00:00:00"/>
    <s v="016-2220-000"/>
    <s v="Beer Sales"/>
    <n v="149.80440000000002"/>
    <n v="0"/>
    <s v="Daily Sales Import"/>
    <n v="-149.80440000000002"/>
    <n v="149.80440000000002"/>
    <x v="0"/>
    <s v="2220"/>
    <s v="000"/>
    <x v="7"/>
    <x v="2"/>
  </r>
  <r>
    <d v="2013-05-30T00:00:00"/>
    <s v="016-2230-000"/>
    <s v="Wine Sales"/>
    <n v="30.786300000000001"/>
    <n v="0"/>
    <s v="Daily Sales Import"/>
    <n v="-30.786300000000001"/>
    <n v="30.786300000000001"/>
    <x v="0"/>
    <s v="2230"/>
    <s v="000"/>
    <x v="7"/>
    <x v="2"/>
  </r>
  <r>
    <d v="2013-05-31T00:00:00"/>
    <s v="016-2100-000"/>
    <s v="Food Sales"/>
    <n v="5957.913599999999"/>
    <n v="0"/>
    <s v="Daily Sales Import"/>
    <n v="-5957.913599999999"/>
    <n v="5957.913599999999"/>
    <x v="0"/>
    <s v="2100"/>
    <s v="000"/>
    <x v="7"/>
    <x v="2"/>
  </r>
  <r>
    <d v="2013-05-31T00:00:00"/>
    <s v="016-2210-000"/>
    <s v="Liquor Sales"/>
    <n v="1878.5316000000003"/>
    <n v="0"/>
    <s v="Daily Sales Import"/>
    <n v="-1878.5316000000003"/>
    <n v="1878.5316000000003"/>
    <x v="0"/>
    <s v="2210"/>
    <s v="000"/>
    <x v="7"/>
    <x v="2"/>
  </r>
  <r>
    <d v="2013-05-31T00:00:00"/>
    <s v="016-2220-000"/>
    <s v="Beer Sales"/>
    <n v="376.30799999999999"/>
    <n v="0"/>
    <s v="Daily Sales Import"/>
    <n v="-376.30799999999999"/>
    <n v="376.30799999999999"/>
    <x v="0"/>
    <s v="2220"/>
    <s v="000"/>
    <x v="7"/>
    <x v="2"/>
  </r>
  <r>
    <d v="2013-05-31T00:00:00"/>
    <s v="016-2230-000"/>
    <s v="Wine Sales"/>
    <n v="107.4392"/>
    <n v="0"/>
    <s v="Daily Sales Import"/>
    <n v="-107.4392"/>
    <n v="107.4392"/>
    <x v="0"/>
    <s v="2230"/>
    <s v="000"/>
    <x v="7"/>
    <x v="2"/>
  </r>
  <r>
    <d v="2013-06-01T00:00:00"/>
    <s v="016-2100-000"/>
    <s v="Food Sales"/>
    <n v="5469.1482999999998"/>
    <n v="0"/>
    <s v="Daily Sales Import"/>
    <n v="-5469.1482999999998"/>
    <n v="5469.1482999999998"/>
    <x v="0"/>
    <s v="2100"/>
    <s v="000"/>
    <x v="8"/>
    <x v="2"/>
  </r>
  <r>
    <d v="2013-06-01T00:00:00"/>
    <s v="016-2210-000"/>
    <s v="Liquor Sales"/>
    <n v="1886.5050000000001"/>
    <n v="0"/>
    <s v="Daily Sales Import"/>
    <n v="-1886.5050000000001"/>
    <n v="1886.5050000000001"/>
    <x v="0"/>
    <s v="2210"/>
    <s v="000"/>
    <x v="8"/>
    <x v="2"/>
  </r>
  <r>
    <d v="2013-06-01T00:00:00"/>
    <s v="016-2220-000"/>
    <s v="Beer Sales"/>
    <n v="299.5127"/>
    <n v="0"/>
    <s v="Daily Sales Import"/>
    <n v="-299.5127"/>
    <n v="299.5127"/>
    <x v="0"/>
    <s v="2220"/>
    <s v="000"/>
    <x v="8"/>
    <x v="2"/>
  </r>
  <r>
    <d v="2013-06-01T00:00:00"/>
    <s v="016-2230-000"/>
    <s v="Wine Sales"/>
    <n v="171.51349999999999"/>
    <n v="0"/>
    <s v="Daily Sales Import"/>
    <n v="-171.51349999999999"/>
    <n v="171.51349999999999"/>
    <x v="0"/>
    <s v="2230"/>
    <s v="000"/>
    <x v="8"/>
    <x v="2"/>
  </r>
  <r>
    <d v="2013-06-02T00:00:00"/>
    <s v="016-2100-000"/>
    <s v="Food Sales"/>
    <n v="5108.2125999999998"/>
    <n v="0"/>
    <s v="Daily Sales Import"/>
    <n v="-5108.2125999999998"/>
    <n v="5108.2125999999998"/>
    <x v="0"/>
    <s v="2100"/>
    <s v="000"/>
    <x v="8"/>
    <x v="2"/>
  </r>
  <r>
    <d v="2013-06-02T00:00:00"/>
    <s v="016-2210-000"/>
    <s v="Liquor Sales"/>
    <n v="1644.9069"/>
    <n v="0"/>
    <s v="Daily Sales Import"/>
    <n v="-1644.9069"/>
    <n v="1644.9069"/>
    <x v="0"/>
    <s v="2210"/>
    <s v="000"/>
    <x v="8"/>
    <x v="2"/>
  </r>
  <r>
    <d v="2013-06-02T00:00:00"/>
    <s v="016-2220-000"/>
    <s v="Beer Sales"/>
    <n v="308.40479999999997"/>
    <n v="0"/>
    <s v="Daily Sales Import"/>
    <n v="-308.40479999999997"/>
    <n v="308.40479999999997"/>
    <x v="0"/>
    <s v="2220"/>
    <s v="000"/>
    <x v="8"/>
    <x v="2"/>
  </r>
  <r>
    <d v="2013-06-02T00:00:00"/>
    <s v="016-2230-000"/>
    <s v="Wine Sales"/>
    <n v="103.05120000000001"/>
    <n v="0"/>
    <s v="Daily Sales Import"/>
    <n v="-103.05120000000001"/>
    <n v="103.05120000000001"/>
    <x v="0"/>
    <s v="2230"/>
    <s v="000"/>
    <x v="8"/>
    <x v="2"/>
  </r>
  <r>
    <d v="2013-05-27T00:00:00"/>
    <s v="017-2100-000"/>
    <s v="Food Sales"/>
    <n v="3853.7464"/>
    <n v="0"/>
    <s v="Daily Sales Import"/>
    <n v="-3853.7464"/>
    <n v="3853.7464"/>
    <x v="1"/>
    <s v="2100"/>
    <s v="000"/>
    <x v="7"/>
    <x v="2"/>
  </r>
  <r>
    <d v="2013-05-27T00:00:00"/>
    <s v="017-2210-000"/>
    <s v="Liquor Sales"/>
    <n v="959.80560000000003"/>
    <n v="0"/>
    <s v="Daily Sales Import"/>
    <n v="-959.80560000000003"/>
    <n v="959.80560000000003"/>
    <x v="1"/>
    <s v="2210"/>
    <s v="000"/>
    <x v="7"/>
    <x v="2"/>
  </r>
  <r>
    <d v="2013-05-27T00:00:00"/>
    <s v="017-2220-000"/>
    <s v="Beer Sales"/>
    <n v="160.7079"/>
    <n v="0"/>
    <s v="Daily Sales Import"/>
    <n v="-160.7079"/>
    <n v="160.7079"/>
    <x v="1"/>
    <s v="2220"/>
    <s v="000"/>
    <x v="7"/>
    <x v="2"/>
  </r>
  <r>
    <d v="2013-05-27T00:00:00"/>
    <s v="017-2230-000"/>
    <s v="Wine Sales"/>
    <n v="26.72"/>
    <n v="0"/>
    <s v="Daily Sales Import"/>
    <n v="-26.72"/>
    <n v="26.72"/>
    <x v="1"/>
    <s v="2230"/>
    <s v="000"/>
    <x v="7"/>
    <x v="2"/>
  </r>
  <r>
    <d v="2013-05-28T00:00:00"/>
    <s v="017-2100-000"/>
    <s v="Food Sales"/>
    <n v="4620.8924999999999"/>
    <n v="0"/>
    <s v="Daily Sales Import"/>
    <n v="-4620.8924999999999"/>
    <n v="4620.8924999999999"/>
    <x v="1"/>
    <s v="2100"/>
    <s v="000"/>
    <x v="7"/>
    <x v="2"/>
  </r>
  <r>
    <d v="2013-05-28T00:00:00"/>
    <s v="017-2210-000"/>
    <s v="Liquor Sales"/>
    <n v="622.91419999999994"/>
    <n v="0"/>
    <s v="Daily Sales Import"/>
    <n v="-622.91419999999994"/>
    <n v="622.91419999999994"/>
    <x v="1"/>
    <s v="2210"/>
    <s v="000"/>
    <x v="7"/>
    <x v="2"/>
  </r>
  <r>
    <d v="2013-05-28T00:00:00"/>
    <s v="017-2220-000"/>
    <s v="Beer Sales"/>
    <n v="368.67559999999997"/>
    <n v="0"/>
    <s v="Daily Sales Import"/>
    <n v="-368.67559999999997"/>
    <n v="368.67559999999997"/>
    <x v="1"/>
    <s v="2220"/>
    <s v="000"/>
    <x v="7"/>
    <x v="2"/>
  </r>
  <r>
    <d v="2013-05-28T00:00:00"/>
    <s v="017-2230-000"/>
    <s v="Wine Sales"/>
    <n v="71.528599999999997"/>
    <n v="0"/>
    <s v="Daily Sales Import"/>
    <n v="-71.528599999999997"/>
    <n v="71.528599999999997"/>
    <x v="1"/>
    <s v="2230"/>
    <s v="000"/>
    <x v="7"/>
    <x v="2"/>
  </r>
  <r>
    <d v="2013-05-29T00:00:00"/>
    <s v="017-2100-000"/>
    <s v="Food Sales"/>
    <n v="6327.8663999999999"/>
    <n v="0"/>
    <s v="Daily Sales Import"/>
    <n v="-6327.8663999999999"/>
    <n v="6327.8663999999999"/>
    <x v="1"/>
    <s v="2100"/>
    <s v="000"/>
    <x v="7"/>
    <x v="2"/>
  </r>
  <r>
    <d v="2013-05-29T00:00:00"/>
    <s v="017-2210-000"/>
    <s v="Liquor Sales"/>
    <n v="2031.1824000000001"/>
    <n v="0"/>
    <s v="Daily Sales Import"/>
    <n v="-2031.1824000000001"/>
    <n v="2031.1824000000001"/>
    <x v="1"/>
    <s v="2210"/>
    <s v="000"/>
    <x v="7"/>
    <x v="2"/>
  </r>
  <r>
    <d v="2013-05-29T00:00:00"/>
    <s v="017-2220-000"/>
    <s v="Beer Sales"/>
    <n v="484.15320000000003"/>
    <n v="0"/>
    <s v="Daily Sales Import"/>
    <n v="-484.15320000000003"/>
    <n v="484.15320000000003"/>
    <x v="1"/>
    <s v="2220"/>
    <s v="000"/>
    <x v="7"/>
    <x v="2"/>
  </r>
  <r>
    <d v="2013-05-29T00:00:00"/>
    <s v="017-2230-000"/>
    <s v="Wine Sales"/>
    <n v="169.065"/>
    <n v="0"/>
    <s v="Daily Sales Import"/>
    <n v="-169.065"/>
    <n v="169.065"/>
    <x v="1"/>
    <s v="2230"/>
    <s v="000"/>
    <x v="7"/>
    <x v="2"/>
  </r>
  <r>
    <d v="2013-05-30T00:00:00"/>
    <s v="017-2100-000"/>
    <s v="Food Sales"/>
    <n v="4749.7864"/>
    <n v="0"/>
    <s v="Daily Sales Import"/>
    <n v="-4749.7864"/>
    <n v="4749.7864"/>
    <x v="1"/>
    <s v="2100"/>
    <s v="000"/>
    <x v="7"/>
    <x v="2"/>
  </r>
  <r>
    <d v="2013-05-30T00:00:00"/>
    <s v="017-2210-000"/>
    <s v="Liquor Sales"/>
    <n v="1190.713"/>
    <n v="0"/>
    <s v="Daily Sales Import"/>
    <n v="-1190.713"/>
    <n v="1190.713"/>
    <x v="1"/>
    <s v="2210"/>
    <s v="000"/>
    <x v="7"/>
    <x v="2"/>
  </r>
  <r>
    <d v="2013-05-30T00:00:00"/>
    <s v="017-2220-000"/>
    <s v="Beer Sales"/>
    <n v="362.82400000000001"/>
    <n v="0"/>
    <s v="Daily Sales Import"/>
    <n v="-362.82400000000001"/>
    <n v="362.82400000000001"/>
    <x v="1"/>
    <s v="2220"/>
    <s v="000"/>
    <x v="7"/>
    <x v="2"/>
  </r>
  <r>
    <d v="2013-05-30T00:00:00"/>
    <s v="017-2230-000"/>
    <s v="Wine Sales"/>
    <n v="86.89800000000001"/>
    <n v="0"/>
    <s v="Daily Sales Import"/>
    <n v="-86.89800000000001"/>
    <n v="86.89800000000001"/>
    <x v="1"/>
    <s v="2230"/>
    <s v="000"/>
    <x v="7"/>
    <x v="2"/>
  </r>
  <r>
    <d v="2013-05-31T00:00:00"/>
    <s v="017-2100-000"/>
    <s v="Food Sales"/>
    <n v="9302.0925000000007"/>
    <n v="0"/>
    <s v="Daily Sales Import"/>
    <n v="-9302.0925000000007"/>
    <n v="9302.0925000000007"/>
    <x v="1"/>
    <s v="2100"/>
    <s v="000"/>
    <x v="7"/>
    <x v="2"/>
  </r>
  <r>
    <d v="2013-05-31T00:00:00"/>
    <s v="017-2210-000"/>
    <s v="Liquor Sales"/>
    <n v="3518.4636999999998"/>
    <n v="0"/>
    <s v="Daily Sales Import"/>
    <n v="-3518.4636999999998"/>
    <n v="3518.4636999999998"/>
    <x v="1"/>
    <s v="2210"/>
    <s v="000"/>
    <x v="7"/>
    <x v="2"/>
  </r>
  <r>
    <d v="2013-05-31T00:00:00"/>
    <s v="017-2220-000"/>
    <s v="Beer Sales"/>
    <n v="503.43919999999997"/>
    <n v="0"/>
    <s v="Daily Sales Import"/>
    <n v="-503.43919999999997"/>
    <n v="503.43919999999997"/>
    <x v="1"/>
    <s v="2220"/>
    <s v="000"/>
    <x v="7"/>
    <x v="2"/>
  </r>
  <r>
    <d v="2013-05-31T00:00:00"/>
    <s v="017-2230-000"/>
    <s v="Wine Sales"/>
    <n v="63.178500000000007"/>
    <n v="0"/>
    <s v="Daily Sales Import"/>
    <n v="-63.178500000000007"/>
    <n v="63.178500000000007"/>
    <x v="1"/>
    <s v="2230"/>
    <s v="000"/>
    <x v="7"/>
    <x v="2"/>
  </r>
  <r>
    <d v="2013-06-01T00:00:00"/>
    <s v="017-2100-000"/>
    <s v="Food Sales"/>
    <n v="5181.6244999999999"/>
    <n v="0"/>
    <s v="Daily Sales Import"/>
    <n v="-5181.6244999999999"/>
    <n v="5181.6244999999999"/>
    <x v="1"/>
    <s v="2100"/>
    <s v="000"/>
    <x v="8"/>
    <x v="2"/>
  </r>
  <r>
    <d v="2013-06-01T00:00:00"/>
    <s v="017-2210-000"/>
    <s v="Liquor Sales"/>
    <n v="1570.1565000000001"/>
    <n v="0"/>
    <s v="Daily Sales Import"/>
    <n v="-1570.1565000000001"/>
    <n v="1570.1565000000001"/>
    <x v="1"/>
    <s v="2210"/>
    <s v="000"/>
    <x v="8"/>
    <x v="2"/>
  </r>
  <r>
    <d v="2013-06-01T00:00:00"/>
    <s v="017-2220-000"/>
    <s v="Beer Sales"/>
    <n v="270.69390000000004"/>
    <n v="0"/>
    <s v="Daily Sales Import"/>
    <n v="-270.69390000000004"/>
    <n v="270.69390000000004"/>
    <x v="1"/>
    <s v="2220"/>
    <s v="000"/>
    <x v="8"/>
    <x v="2"/>
  </r>
  <r>
    <d v="2013-06-01T00:00:00"/>
    <s v="017-2230-000"/>
    <s v="Wine Sales"/>
    <n v="82.6965"/>
    <n v="0"/>
    <s v="Daily Sales Import"/>
    <n v="-82.6965"/>
    <n v="82.6965"/>
    <x v="1"/>
    <s v="2230"/>
    <s v="000"/>
    <x v="8"/>
    <x v="2"/>
  </r>
  <r>
    <d v="2013-06-02T00:00:00"/>
    <s v="017-2100-000"/>
    <s v="Food Sales"/>
    <n v="5630.5430999999999"/>
    <n v="0"/>
    <s v="Daily Sales Import"/>
    <n v="-5630.5430999999999"/>
    <n v="5630.5430999999999"/>
    <x v="1"/>
    <s v="2100"/>
    <s v="000"/>
    <x v="8"/>
    <x v="2"/>
  </r>
  <r>
    <d v="2013-06-02T00:00:00"/>
    <s v="017-2210-000"/>
    <s v="Liquor Sales"/>
    <n v="919.1318"/>
    <n v="0"/>
    <s v="Daily Sales Import"/>
    <n v="-919.1318"/>
    <n v="919.1318"/>
    <x v="1"/>
    <s v="2210"/>
    <s v="000"/>
    <x v="8"/>
    <x v="2"/>
  </r>
  <r>
    <d v="2013-06-02T00:00:00"/>
    <s v="017-2220-000"/>
    <s v="Beer Sales"/>
    <n v="184.45769999999999"/>
    <n v="0"/>
    <s v="Daily Sales Import"/>
    <n v="-184.45769999999999"/>
    <n v="184.45769999999999"/>
    <x v="1"/>
    <s v="2220"/>
    <s v="000"/>
    <x v="8"/>
    <x v="2"/>
  </r>
  <r>
    <d v="2013-06-02T00:00:00"/>
    <s v="017-2230-000"/>
    <s v="Wine Sales"/>
    <n v="63.537600000000005"/>
    <n v="0"/>
    <s v="Daily Sales Import"/>
    <n v="-63.537600000000005"/>
    <n v="63.537600000000005"/>
    <x v="1"/>
    <s v="2230"/>
    <s v="000"/>
    <x v="8"/>
    <x v="2"/>
  </r>
  <r>
    <d v="2013-05-27T00:00:00"/>
    <s v="018-2100-000"/>
    <s v="Food Sales"/>
    <n v="8683.8804"/>
    <n v="0"/>
    <s v="Daily Sales Import"/>
    <n v="-8683.8804"/>
    <n v="8683.8804"/>
    <x v="2"/>
    <s v="2100"/>
    <s v="000"/>
    <x v="7"/>
    <x v="2"/>
  </r>
  <r>
    <d v="2013-05-27T00:00:00"/>
    <s v="018-2210-000"/>
    <s v="Liquor Sales"/>
    <n v="1139.838"/>
    <n v="0"/>
    <s v="Daily Sales Import"/>
    <n v="-1139.838"/>
    <n v="1139.838"/>
    <x v="2"/>
    <s v="2210"/>
    <s v="000"/>
    <x v="7"/>
    <x v="2"/>
  </r>
  <r>
    <d v="2013-05-27T00:00:00"/>
    <s v="018-2220-000"/>
    <s v="Beer Sales"/>
    <n v="328.07119999999998"/>
    <n v="0"/>
    <s v="Daily Sales Import"/>
    <n v="-328.07119999999998"/>
    <n v="328.07119999999998"/>
    <x v="2"/>
    <s v="2220"/>
    <s v="000"/>
    <x v="7"/>
    <x v="2"/>
  </r>
  <r>
    <d v="2013-05-27T00:00:00"/>
    <s v="018-2230-000"/>
    <s v="Wine Sales"/>
    <n v="9.752600000000001"/>
    <n v="0"/>
    <s v="Daily Sales Import"/>
    <n v="-9.752600000000001"/>
    <n v="9.752600000000001"/>
    <x v="2"/>
    <s v="2230"/>
    <s v="000"/>
    <x v="7"/>
    <x v="2"/>
  </r>
  <r>
    <d v="2013-05-28T00:00:00"/>
    <s v="018-2100-000"/>
    <s v="Food Sales"/>
    <n v="4729.7744999999995"/>
    <n v="0"/>
    <s v="Daily Sales Import"/>
    <n v="-4729.7744999999995"/>
    <n v="4729.7744999999995"/>
    <x v="2"/>
    <s v="2100"/>
    <s v="000"/>
    <x v="7"/>
    <x v="2"/>
  </r>
  <r>
    <d v="2013-05-28T00:00:00"/>
    <s v="018-2210-000"/>
    <s v="Liquor Sales"/>
    <n v="535.59359999999992"/>
    <n v="0"/>
    <s v="Daily Sales Import"/>
    <n v="-535.59359999999992"/>
    <n v="535.59359999999992"/>
    <x v="2"/>
    <s v="2210"/>
    <s v="000"/>
    <x v="7"/>
    <x v="2"/>
  </r>
  <r>
    <d v="2013-05-28T00:00:00"/>
    <s v="018-2220-000"/>
    <s v="Beer Sales"/>
    <n v="138.447"/>
    <n v="0"/>
    <s v="Daily Sales Import"/>
    <n v="-138.447"/>
    <n v="138.447"/>
    <x v="2"/>
    <s v="2220"/>
    <s v="000"/>
    <x v="7"/>
    <x v="2"/>
  </r>
  <r>
    <d v="2013-05-28T00:00:00"/>
    <s v="018-2230-000"/>
    <s v="Wine Sales"/>
    <n v="15.282999999999999"/>
    <n v="0"/>
    <s v="Daily Sales Import"/>
    <n v="-15.282999999999999"/>
    <n v="15.282999999999999"/>
    <x v="2"/>
    <s v="2230"/>
    <s v="000"/>
    <x v="7"/>
    <x v="2"/>
  </r>
  <r>
    <d v="2013-05-29T00:00:00"/>
    <s v="018-2100-000"/>
    <s v="Food Sales"/>
    <n v="6002.1894000000002"/>
    <n v="0"/>
    <s v="Daily Sales Import"/>
    <n v="-6002.1894000000002"/>
    <n v="6002.1894000000002"/>
    <x v="2"/>
    <s v="2100"/>
    <s v="000"/>
    <x v="7"/>
    <x v="2"/>
  </r>
  <r>
    <d v="2013-05-29T00:00:00"/>
    <s v="018-2210-000"/>
    <s v="Liquor Sales"/>
    <n v="1361.7329999999999"/>
    <n v="0"/>
    <s v="Daily Sales Import"/>
    <n v="-1361.7329999999999"/>
    <n v="1361.7329999999999"/>
    <x v="2"/>
    <s v="2210"/>
    <s v="000"/>
    <x v="7"/>
    <x v="2"/>
  </r>
  <r>
    <d v="2013-05-29T00:00:00"/>
    <s v="018-2220-000"/>
    <s v="Beer Sales"/>
    <n v="204.77670000000001"/>
    <n v="0"/>
    <s v="Daily Sales Import"/>
    <n v="-204.77670000000001"/>
    <n v="204.77670000000001"/>
    <x v="2"/>
    <s v="2220"/>
    <s v="000"/>
    <x v="7"/>
    <x v="2"/>
  </r>
  <r>
    <d v="2013-05-29T00:00:00"/>
    <s v="018-2230-000"/>
    <s v="Wine Sales"/>
    <n v="24.9314"/>
    <n v="0"/>
    <s v="Daily Sales Import"/>
    <n v="-24.9314"/>
    <n v="24.9314"/>
    <x v="2"/>
    <s v="2230"/>
    <s v="000"/>
    <x v="7"/>
    <x v="2"/>
  </r>
  <r>
    <d v="2013-05-30T00:00:00"/>
    <s v="018-2100-000"/>
    <s v="Food Sales"/>
    <n v="4600.3610999999992"/>
    <n v="0"/>
    <s v="Daily Sales Import"/>
    <n v="-4600.3610999999992"/>
    <n v="4600.3610999999992"/>
    <x v="2"/>
    <s v="2100"/>
    <s v="000"/>
    <x v="7"/>
    <x v="2"/>
  </r>
  <r>
    <d v="2013-05-30T00:00:00"/>
    <s v="018-2210-000"/>
    <s v="Liquor Sales"/>
    <n v="1286.0411999999999"/>
    <n v="0"/>
    <s v="Daily Sales Import"/>
    <n v="-1286.0411999999999"/>
    <n v="1286.0411999999999"/>
    <x v="2"/>
    <s v="2210"/>
    <s v="000"/>
    <x v="7"/>
    <x v="2"/>
  </r>
  <r>
    <d v="2013-05-30T00:00:00"/>
    <s v="018-2220-000"/>
    <s v="Beer Sales"/>
    <n v="265.19320000000005"/>
    <n v="0"/>
    <s v="Daily Sales Import"/>
    <n v="-265.19320000000005"/>
    <n v="265.19320000000005"/>
    <x v="2"/>
    <s v="2220"/>
    <s v="000"/>
    <x v="7"/>
    <x v="2"/>
  </r>
  <r>
    <d v="2013-05-30T00:00:00"/>
    <s v="018-2230-000"/>
    <s v="Wine Sales"/>
    <n v="27.188700000000001"/>
    <n v="0"/>
    <s v="Daily Sales Import"/>
    <n v="-27.188700000000001"/>
    <n v="27.188700000000001"/>
    <x v="2"/>
    <s v="2230"/>
    <s v="000"/>
    <x v="7"/>
    <x v="2"/>
  </r>
  <r>
    <d v="2013-05-31T00:00:00"/>
    <s v="018-2100-000"/>
    <s v="Food Sales"/>
    <n v="13566.9"/>
    <n v="0"/>
    <s v="Daily Sales Import"/>
    <n v="-13566.9"/>
    <n v="13566.9"/>
    <x v="2"/>
    <s v="2100"/>
    <s v="000"/>
    <x v="7"/>
    <x v="2"/>
  </r>
  <r>
    <d v="2013-05-31T00:00:00"/>
    <s v="018-2210-000"/>
    <s v="Liquor Sales"/>
    <n v="2730.15"/>
    <n v="0"/>
    <s v="Daily Sales Import"/>
    <n v="-2730.15"/>
    <n v="2730.15"/>
    <x v="2"/>
    <s v="2210"/>
    <s v="000"/>
    <x v="7"/>
    <x v="2"/>
  </r>
  <r>
    <d v="2013-05-31T00:00:00"/>
    <s v="018-2220-000"/>
    <s v="Beer Sales"/>
    <n v="516.14380000000006"/>
    <n v="0"/>
    <s v="Daily Sales Import"/>
    <n v="-516.14380000000006"/>
    <n v="516.14380000000006"/>
    <x v="2"/>
    <s v="2220"/>
    <s v="000"/>
    <x v="7"/>
    <x v="2"/>
  </r>
  <r>
    <d v="2013-05-31T00:00:00"/>
    <s v="018-2230-000"/>
    <s v="Wine Sales"/>
    <n v="42.242699999999999"/>
    <n v="0"/>
    <s v="Daily Sales Import"/>
    <n v="-42.242699999999999"/>
    <n v="42.242699999999999"/>
    <x v="2"/>
    <s v="2230"/>
    <s v="000"/>
    <x v="7"/>
    <x v="2"/>
  </r>
  <r>
    <d v="2013-06-01T00:00:00"/>
    <s v="018-2100-000"/>
    <s v="Food Sales"/>
    <n v="13837.941199999999"/>
    <n v="0"/>
    <s v="Daily Sales Import"/>
    <n v="-13837.941199999999"/>
    <n v="13837.941199999999"/>
    <x v="2"/>
    <s v="2100"/>
    <s v="000"/>
    <x v="8"/>
    <x v="2"/>
  </r>
  <r>
    <d v="2013-06-01T00:00:00"/>
    <s v="018-2210-000"/>
    <s v="Liquor Sales"/>
    <n v="4336.8320000000003"/>
    <n v="0"/>
    <s v="Daily Sales Import"/>
    <n v="-4336.8320000000003"/>
    <n v="4336.8320000000003"/>
    <x v="2"/>
    <s v="2210"/>
    <s v="000"/>
    <x v="8"/>
    <x v="2"/>
  </r>
  <r>
    <d v="2013-06-01T00:00:00"/>
    <s v="018-2220-000"/>
    <s v="Beer Sales"/>
    <n v="703.59659999999997"/>
    <n v="0"/>
    <s v="Daily Sales Import"/>
    <n v="-703.59659999999997"/>
    <n v="703.59659999999997"/>
    <x v="2"/>
    <s v="2220"/>
    <s v="000"/>
    <x v="8"/>
    <x v="2"/>
  </r>
  <r>
    <d v="2013-06-01T00:00:00"/>
    <s v="018-2230-000"/>
    <s v="Wine Sales"/>
    <n v="78.301799999999986"/>
    <n v="0"/>
    <s v="Daily Sales Import"/>
    <n v="-78.301799999999986"/>
    <n v="78.301799999999986"/>
    <x v="2"/>
    <s v="2230"/>
    <s v="000"/>
    <x v="8"/>
    <x v="2"/>
  </r>
  <r>
    <d v="2013-06-02T00:00:00"/>
    <s v="018-2100-000"/>
    <s v="Food Sales"/>
    <n v="14660.6967"/>
    <n v="0"/>
    <s v="Daily Sales Import"/>
    <n v="-14660.6967"/>
    <n v="14660.6967"/>
    <x v="2"/>
    <s v="2100"/>
    <s v="000"/>
    <x v="8"/>
    <x v="2"/>
  </r>
  <r>
    <d v="2013-06-02T00:00:00"/>
    <s v="018-2210-000"/>
    <s v="Liquor Sales"/>
    <n v="2019.9460999999999"/>
    <n v="0"/>
    <s v="Daily Sales Import"/>
    <n v="-2019.9460999999999"/>
    <n v="2019.9460999999999"/>
    <x v="2"/>
    <s v="2210"/>
    <s v="000"/>
    <x v="8"/>
    <x v="2"/>
  </r>
  <r>
    <d v="2013-06-02T00:00:00"/>
    <s v="018-2220-000"/>
    <s v="Beer Sales"/>
    <n v="462.34550000000002"/>
    <n v="0"/>
    <s v="Daily Sales Import"/>
    <n v="-462.34550000000002"/>
    <n v="462.34550000000002"/>
    <x v="2"/>
    <s v="2220"/>
    <s v="000"/>
    <x v="8"/>
    <x v="2"/>
  </r>
  <r>
    <d v="2013-06-02T00:00:00"/>
    <s v="018-2230-000"/>
    <s v="Wine Sales"/>
    <n v="63.4465"/>
    <n v="0"/>
    <s v="Daily Sales Import"/>
    <n v="-63.4465"/>
    <n v="63.4465"/>
    <x v="2"/>
    <s v="2230"/>
    <s v="000"/>
    <x v="8"/>
    <x v="2"/>
  </r>
  <r>
    <d v="2013-06-03T00:00:00"/>
    <s v="016-2100-000"/>
    <s v="Food Sales"/>
    <n v="2114.3137999999999"/>
    <n v="0"/>
    <s v="Daily Sales Import"/>
    <n v="-2114.3137999999999"/>
    <n v="2114.3137999999999"/>
    <x v="0"/>
    <s v="2100"/>
    <s v="000"/>
    <x v="8"/>
    <x v="2"/>
  </r>
  <r>
    <d v="2013-06-03T00:00:00"/>
    <s v="016-2210-000"/>
    <s v="Liquor Sales"/>
    <n v="586.57199999999989"/>
    <n v="0"/>
    <s v="Daily Sales Import"/>
    <n v="-586.57199999999989"/>
    <n v="586.57199999999989"/>
    <x v="0"/>
    <s v="2210"/>
    <s v="000"/>
    <x v="8"/>
    <x v="2"/>
  </r>
  <r>
    <d v="2013-06-03T00:00:00"/>
    <s v="016-2220-000"/>
    <s v="Beer Sales"/>
    <n v="63.804000000000002"/>
    <n v="0"/>
    <s v="Daily Sales Import"/>
    <n v="-63.804000000000002"/>
    <n v="63.804000000000002"/>
    <x v="0"/>
    <s v="2220"/>
    <s v="000"/>
    <x v="8"/>
    <x v="2"/>
  </r>
  <r>
    <d v="2013-06-03T00:00:00"/>
    <s v="016-2230-000"/>
    <s v="Wine Sales"/>
    <n v="18.05"/>
    <n v="0"/>
    <s v="Daily Sales Import"/>
    <n v="-18.05"/>
    <n v="18.05"/>
    <x v="0"/>
    <s v="2230"/>
    <s v="000"/>
    <x v="8"/>
    <x v="2"/>
  </r>
  <r>
    <d v="2013-06-04T00:00:00"/>
    <s v="016-2100-000"/>
    <s v="Food Sales"/>
    <n v="6297.7638999999999"/>
    <n v="0"/>
    <s v="Daily Sales Import"/>
    <n v="-6297.7638999999999"/>
    <n v="6297.7638999999999"/>
    <x v="0"/>
    <s v="2100"/>
    <s v="000"/>
    <x v="8"/>
    <x v="2"/>
  </r>
  <r>
    <d v="2013-06-04T00:00:00"/>
    <s v="016-2210-000"/>
    <s v="Liquor Sales"/>
    <n v="2497.3560000000002"/>
    <n v="0"/>
    <s v="Daily Sales Import"/>
    <n v="-2497.3560000000002"/>
    <n v="2497.3560000000002"/>
    <x v="0"/>
    <s v="2210"/>
    <s v="000"/>
    <x v="8"/>
    <x v="2"/>
  </r>
  <r>
    <d v="2013-06-04T00:00:00"/>
    <s v="016-2220-000"/>
    <s v="Beer Sales"/>
    <n v="651.89250000000004"/>
    <n v="0"/>
    <s v="Daily Sales Import"/>
    <n v="-651.89250000000004"/>
    <n v="651.89250000000004"/>
    <x v="0"/>
    <s v="2220"/>
    <s v="000"/>
    <x v="8"/>
    <x v="2"/>
  </r>
  <r>
    <d v="2013-06-04T00:00:00"/>
    <s v="016-2230-000"/>
    <s v="Wine Sales"/>
    <n v="66.033500000000004"/>
    <n v="0"/>
    <s v="Daily Sales Import"/>
    <n v="-66.033500000000004"/>
    <n v="66.033500000000004"/>
    <x v="0"/>
    <s v="2230"/>
    <s v="000"/>
    <x v="8"/>
    <x v="2"/>
  </r>
  <r>
    <d v="2013-06-05T00:00:00"/>
    <s v="016-2100-000"/>
    <s v="Food Sales"/>
    <n v="2565.7764000000002"/>
    <n v="0"/>
    <s v="Daily Sales Import"/>
    <n v="-2565.7764000000002"/>
    <n v="2565.7764000000002"/>
    <x v="0"/>
    <s v="2100"/>
    <s v="000"/>
    <x v="8"/>
    <x v="2"/>
  </r>
  <r>
    <d v="2013-06-05T00:00:00"/>
    <s v="016-2210-000"/>
    <s v="Liquor Sales"/>
    <n v="1370.097"/>
    <n v="0"/>
    <s v="Daily Sales Import"/>
    <n v="-1370.097"/>
    <n v="1370.097"/>
    <x v="0"/>
    <s v="2210"/>
    <s v="000"/>
    <x v="8"/>
    <x v="2"/>
  </r>
  <r>
    <d v="2013-06-05T00:00:00"/>
    <s v="016-2220-000"/>
    <s v="Beer Sales"/>
    <n v="315.62619999999998"/>
    <n v="0"/>
    <s v="Daily Sales Import"/>
    <n v="-315.62619999999998"/>
    <n v="315.62619999999998"/>
    <x v="0"/>
    <s v="2220"/>
    <s v="000"/>
    <x v="8"/>
    <x v="2"/>
  </r>
  <r>
    <d v="2013-06-05T00:00:00"/>
    <s v="016-2230-000"/>
    <s v="Wine Sales"/>
    <n v="114.01599999999999"/>
    <n v="0"/>
    <s v="Daily Sales Import"/>
    <n v="-114.01599999999999"/>
    <n v="114.01599999999999"/>
    <x v="0"/>
    <s v="2230"/>
    <s v="000"/>
    <x v="8"/>
    <x v="2"/>
  </r>
  <r>
    <d v="2013-06-06T00:00:00"/>
    <s v="016-2100-000"/>
    <s v="Food Sales"/>
    <n v="2926.9026000000003"/>
    <n v="0"/>
    <s v="Daily Sales Import"/>
    <n v="-2926.9026000000003"/>
    <n v="2926.9026000000003"/>
    <x v="0"/>
    <s v="2100"/>
    <s v="000"/>
    <x v="8"/>
    <x v="2"/>
  </r>
  <r>
    <d v="2013-06-06T00:00:00"/>
    <s v="016-2210-000"/>
    <s v="Liquor Sales"/>
    <n v="999.61849999999993"/>
    <n v="0"/>
    <s v="Daily Sales Import"/>
    <n v="-999.61849999999993"/>
    <n v="999.61849999999993"/>
    <x v="0"/>
    <s v="2210"/>
    <s v="000"/>
    <x v="8"/>
    <x v="2"/>
  </r>
  <r>
    <d v="2013-06-06T00:00:00"/>
    <s v="016-2220-000"/>
    <s v="Beer Sales"/>
    <n v="153.84330000000003"/>
    <n v="0"/>
    <s v="Daily Sales Import"/>
    <n v="-153.84330000000003"/>
    <n v="153.84330000000003"/>
    <x v="0"/>
    <s v="2220"/>
    <s v="000"/>
    <x v="8"/>
    <x v="2"/>
  </r>
  <r>
    <d v="2013-06-06T00:00:00"/>
    <s v="016-2230-000"/>
    <s v="Wine Sales"/>
    <n v="35.226199999999999"/>
    <n v="0"/>
    <s v="Daily Sales Import"/>
    <n v="-35.226199999999999"/>
    <n v="35.226199999999999"/>
    <x v="0"/>
    <s v="2230"/>
    <s v="000"/>
    <x v="8"/>
    <x v="2"/>
  </r>
  <r>
    <d v="2013-06-07T00:00:00"/>
    <s v="016-2100-000"/>
    <s v="Food Sales"/>
    <n v="3980.2092000000002"/>
    <n v="0"/>
    <s v="Daily Sales Import"/>
    <n v="-3980.2092000000002"/>
    <n v="3980.2092000000002"/>
    <x v="0"/>
    <s v="2100"/>
    <s v="000"/>
    <x v="8"/>
    <x v="2"/>
  </r>
  <r>
    <d v="2013-06-07T00:00:00"/>
    <s v="016-2210-000"/>
    <s v="Liquor Sales"/>
    <n v="1397.8156000000001"/>
    <n v="0"/>
    <s v="Daily Sales Import"/>
    <n v="-1397.8156000000001"/>
    <n v="1397.8156000000001"/>
    <x v="0"/>
    <s v="2210"/>
    <s v="000"/>
    <x v="8"/>
    <x v="2"/>
  </r>
  <r>
    <d v="2013-06-07T00:00:00"/>
    <s v="016-2220-000"/>
    <s v="Beer Sales"/>
    <n v="203.63249999999999"/>
    <n v="0"/>
    <s v="Daily Sales Import"/>
    <n v="-203.63249999999999"/>
    <n v="203.63249999999999"/>
    <x v="0"/>
    <s v="2220"/>
    <s v="000"/>
    <x v="8"/>
    <x v="2"/>
  </r>
  <r>
    <d v="2013-06-07T00:00:00"/>
    <s v="016-2230-000"/>
    <s v="Wine Sales"/>
    <n v="16.967099999999999"/>
    <n v="0"/>
    <s v="Daily Sales Import"/>
    <n v="-16.967099999999999"/>
    <n v="16.967099999999999"/>
    <x v="0"/>
    <s v="2230"/>
    <s v="000"/>
    <x v="8"/>
    <x v="2"/>
  </r>
  <r>
    <d v="2013-06-08T00:00:00"/>
    <s v="016-2100-000"/>
    <s v="Food Sales"/>
    <n v="7703.7632000000003"/>
    <n v="0"/>
    <s v="Daily Sales Import"/>
    <n v="-7703.7632000000003"/>
    <n v="7703.7632000000003"/>
    <x v="0"/>
    <s v="2100"/>
    <s v="000"/>
    <x v="8"/>
    <x v="2"/>
  </r>
  <r>
    <d v="2013-06-08T00:00:00"/>
    <s v="016-2210-000"/>
    <s v="Liquor Sales"/>
    <n v="3032.5329999999994"/>
    <n v="0"/>
    <s v="Daily Sales Import"/>
    <n v="-3032.5329999999994"/>
    <n v="3032.5329999999994"/>
    <x v="0"/>
    <s v="2210"/>
    <s v="000"/>
    <x v="8"/>
    <x v="2"/>
  </r>
  <r>
    <d v="2013-06-08T00:00:00"/>
    <s v="016-2220-000"/>
    <s v="Beer Sales"/>
    <n v="568.6146"/>
    <n v="0"/>
    <s v="Daily Sales Import"/>
    <n v="-568.6146"/>
    <n v="568.6146"/>
    <x v="0"/>
    <s v="2220"/>
    <s v="000"/>
    <x v="8"/>
    <x v="2"/>
  </r>
  <r>
    <d v="2013-06-08T00:00:00"/>
    <s v="016-2230-000"/>
    <s v="Wine Sales"/>
    <n v="155.06820000000002"/>
    <n v="0"/>
    <s v="Daily Sales Import"/>
    <n v="-155.06820000000002"/>
    <n v="155.06820000000002"/>
    <x v="0"/>
    <s v="2230"/>
    <s v="000"/>
    <x v="8"/>
    <x v="2"/>
  </r>
  <r>
    <d v="2013-06-09T00:00:00"/>
    <s v="016-2100-000"/>
    <s v="Food Sales"/>
    <n v="3807.0239999999999"/>
    <n v="0"/>
    <s v="Daily Sales Import"/>
    <n v="-3807.0239999999999"/>
    <n v="3807.0239999999999"/>
    <x v="0"/>
    <s v="2100"/>
    <s v="000"/>
    <x v="8"/>
    <x v="2"/>
  </r>
  <r>
    <d v="2013-06-09T00:00:00"/>
    <s v="016-2210-000"/>
    <s v="Liquor Sales"/>
    <n v="1406.86"/>
    <n v="0"/>
    <s v="Daily Sales Import"/>
    <n v="-1406.86"/>
    <n v="1406.86"/>
    <x v="0"/>
    <s v="2210"/>
    <s v="000"/>
    <x v="8"/>
    <x v="2"/>
  </r>
  <r>
    <d v="2013-06-09T00:00:00"/>
    <s v="016-2220-000"/>
    <s v="Beer Sales"/>
    <n v="201.57479999999998"/>
    <n v="0"/>
    <s v="Daily Sales Import"/>
    <n v="-201.57479999999998"/>
    <n v="201.57479999999998"/>
    <x v="0"/>
    <s v="2220"/>
    <s v="000"/>
    <x v="8"/>
    <x v="2"/>
  </r>
  <r>
    <d v="2013-06-09T00:00:00"/>
    <s v="016-2230-000"/>
    <s v="Wine Sales"/>
    <n v="117.33810000000001"/>
    <n v="0"/>
    <s v="Daily Sales Import"/>
    <n v="-117.33810000000001"/>
    <n v="117.33810000000001"/>
    <x v="0"/>
    <s v="2230"/>
    <s v="000"/>
    <x v="8"/>
    <x v="2"/>
  </r>
  <r>
    <d v="2013-06-03T00:00:00"/>
    <s v="017-2100-000"/>
    <s v="Food Sales"/>
    <n v="3401.7239999999997"/>
    <n v="0"/>
    <s v="Daily Sales Import"/>
    <n v="-3401.7239999999997"/>
    <n v="3401.7239999999997"/>
    <x v="1"/>
    <s v="2100"/>
    <s v="000"/>
    <x v="8"/>
    <x v="2"/>
  </r>
  <r>
    <d v="2013-06-03T00:00:00"/>
    <s v="017-2210-000"/>
    <s v="Liquor Sales"/>
    <n v="680.92769999999996"/>
    <n v="0"/>
    <s v="Daily Sales Import"/>
    <n v="-680.92769999999996"/>
    <n v="680.92769999999996"/>
    <x v="1"/>
    <s v="2210"/>
    <s v="000"/>
    <x v="8"/>
    <x v="2"/>
  </r>
  <r>
    <d v="2013-06-03T00:00:00"/>
    <s v="017-2220-000"/>
    <s v="Beer Sales"/>
    <n v="155.75319999999999"/>
    <n v="0"/>
    <s v="Daily Sales Import"/>
    <n v="-155.75319999999999"/>
    <n v="155.75319999999999"/>
    <x v="1"/>
    <s v="2220"/>
    <s v="000"/>
    <x v="8"/>
    <x v="2"/>
  </r>
  <r>
    <d v="2013-06-03T00:00:00"/>
    <s v="017-2230-000"/>
    <s v="Wine Sales"/>
    <n v="101.9738"/>
    <n v="0"/>
    <s v="Daily Sales Import"/>
    <n v="-101.9738"/>
    <n v="101.9738"/>
    <x v="1"/>
    <s v="2230"/>
    <s v="000"/>
    <x v="8"/>
    <x v="2"/>
  </r>
  <r>
    <d v="2013-06-04T00:00:00"/>
    <s v="017-2100-000"/>
    <s v="Food Sales"/>
    <n v="6615.2898999999998"/>
    <n v="0"/>
    <s v="Daily Sales Import"/>
    <n v="-6615.2898999999998"/>
    <n v="6615.2898999999998"/>
    <x v="1"/>
    <s v="2100"/>
    <s v="000"/>
    <x v="8"/>
    <x v="2"/>
  </r>
  <r>
    <d v="2013-06-04T00:00:00"/>
    <s v="017-2210-000"/>
    <s v="Liquor Sales"/>
    <n v="1211.9956999999999"/>
    <n v="0"/>
    <s v="Daily Sales Import"/>
    <n v="-1211.9956999999999"/>
    <n v="1211.9956999999999"/>
    <x v="1"/>
    <s v="2210"/>
    <s v="000"/>
    <x v="8"/>
    <x v="2"/>
  </r>
  <r>
    <d v="2013-06-04T00:00:00"/>
    <s v="017-2220-000"/>
    <s v="Beer Sales"/>
    <n v="539.1844000000001"/>
    <n v="0"/>
    <s v="Daily Sales Import"/>
    <n v="-539.1844000000001"/>
    <n v="539.1844000000001"/>
    <x v="1"/>
    <s v="2220"/>
    <s v="000"/>
    <x v="8"/>
    <x v="2"/>
  </r>
  <r>
    <d v="2013-06-04T00:00:00"/>
    <s v="017-2230-000"/>
    <s v="Wine Sales"/>
    <n v="178.29599999999999"/>
    <n v="0"/>
    <s v="Daily Sales Import"/>
    <n v="-178.29599999999999"/>
    <n v="178.29599999999999"/>
    <x v="1"/>
    <s v="2230"/>
    <s v="000"/>
    <x v="8"/>
    <x v="2"/>
  </r>
  <r>
    <d v="2013-06-05T00:00:00"/>
    <s v="017-2100-000"/>
    <s v="Food Sales"/>
    <n v="7303.4296000000004"/>
    <n v="0"/>
    <s v="Daily Sales Import"/>
    <n v="-7303.4296000000004"/>
    <n v="7303.4296000000004"/>
    <x v="1"/>
    <s v="2100"/>
    <s v="000"/>
    <x v="8"/>
    <x v="2"/>
  </r>
  <r>
    <d v="2013-06-05T00:00:00"/>
    <s v="017-2210-000"/>
    <s v="Liquor Sales"/>
    <n v="1299.3416"/>
    <n v="0"/>
    <s v="Daily Sales Import"/>
    <n v="-1299.3416"/>
    <n v="1299.3416"/>
    <x v="1"/>
    <s v="2210"/>
    <s v="000"/>
    <x v="8"/>
    <x v="2"/>
  </r>
  <r>
    <d v="2013-06-05T00:00:00"/>
    <s v="017-2220-000"/>
    <s v="Beer Sales"/>
    <n v="707.94950000000006"/>
    <n v="0"/>
    <s v="Daily Sales Import"/>
    <n v="-707.94950000000006"/>
    <n v="707.94950000000006"/>
    <x v="1"/>
    <s v="2220"/>
    <s v="000"/>
    <x v="8"/>
    <x v="2"/>
  </r>
  <r>
    <d v="2013-06-05T00:00:00"/>
    <s v="017-2230-000"/>
    <s v="Wine Sales"/>
    <n v="105.41760000000001"/>
    <n v="0"/>
    <s v="Daily Sales Import"/>
    <n v="-105.41760000000001"/>
    <n v="105.41760000000001"/>
    <x v="1"/>
    <s v="2230"/>
    <s v="000"/>
    <x v="8"/>
    <x v="2"/>
  </r>
  <r>
    <d v="2013-06-06T00:00:00"/>
    <s v="017-2100-000"/>
    <s v="Food Sales"/>
    <n v="5055.2172"/>
    <n v="0"/>
    <s v="Daily Sales Import"/>
    <n v="-5055.2172"/>
    <n v="5055.2172"/>
    <x v="1"/>
    <s v="2100"/>
    <s v="000"/>
    <x v="8"/>
    <x v="2"/>
  </r>
  <r>
    <d v="2013-06-06T00:00:00"/>
    <s v="017-2210-000"/>
    <s v="Liquor Sales"/>
    <n v="1602.6119999999999"/>
    <n v="0"/>
    <s v="Daily Sales Import"/>
    <n v="-1602.6119999999999"/>
    <n v="1602.6119999999999"/>
    <x v="1"/>
    <s v="2210"/>
    <s v="000"/>
    <x v="8"/>
    <x v="2"/>
  </r>
  <r>
    <d v="2013-06-06T00:00:00"/>
    <s v="017-2220-000"/>
    <s v="Beer Sales"/>
    <n v="261.86939999999998"/>
    <n v="0"/>
    <s v="Daily Sales Import"/>
    <n v="-261.86939999999998"/>
    <n v="261.86939999999998"/>
    <x v="1"/>
    <s v="2220"/>
    <s v="000"/>
    <x v="8"/>
    <x v="2"/>
  </r>
  <r>
    <d v="2013-06-06T00:00:00"/>
    <s v="017-2230-000"/>
    <s v="Wine Sales"/>
    <n v="219.55500000000001"/>
    <n v="0"/>
    <s v="Daily Sales Import"/>
    <n v="-219.55500000000001"/>
    <n v="219.55500000000001"/>
    <x v="1"/>
    <s v="2230"/>
    <s v="000"/>
    <x v="8"/>
    <x v="2"/>
  </r>
  <r>
    <d v="2013-06-07T00:00:00"/>
    <s v="017-2100-000"/>
    <s v="Food Sales"/>
    <n v="8940.6996999999992"/>
    <n v="0"/>
    <s v="Daily Sales Import"/>
    <n v="-8940.6996999999992"/>
    <n v="8940.6996999999992"/>
    <x v="1"/>
    <s v="2100"/>
    <s v="000"/>
    <x v="8"/>
    <x v="2"/>
  </r>
  <r>
    <d v="2013-06-07T00:00:00"/>
    <s v="017-2210-000"/>
    <s v="Liquor Sales"/>
    <n v="3246.0883000000003"/>
    <n v="0"/>
    <s v="Daily Sales Import"/>
    <n v="-3246.0883000000003"/>
    <n v="3246.0883000000003"/>
    <x v="1"/>
    <s v="2210"/>
    <s v="000"/>
    <x v="8"/>
    <x v="2"/>
  </r>
  <r>
    <d v="2013-06-07T00:00:00"/>
    <s v="017-2220-000"/>
    <s v="Beer Sales"/>
    <n v="451.47480000000002"/>
    <n v="0"/>
    <s v="Daily Sales Import"/>
    <n v="-451.47480000000002"/>
    <n v="451.47480000000002"/>
    <x v="1"/>
    <s v="2220"/>
    <s v="000"/>
    <x v="8"/>
    <x v="2"/>
  </r>
  <r>
    <d v="2013-06-07T00:00:00"/>
    <s v="017-2230-000"/>
    <s v="Wine Sales"/>
    <n v="99.212800000000016"/>
    <n v="0"/>
    <s v="Daily Sales Import"/>
    <n v="-99.212800000000016"/>
    <n v="99.212800000000016"/>
    <x v="1"/>
    <s v="2230"/>
    <s v="000"/>
    <x v="8"/>
    <x v="2"/>
  </r>
  <r>
    <d v="2013-06-08T00:00:00"/>
    <s v="017-2100-000"/>
    <s v="Food Sales"/>
    <n v="9695.9871999999996"/>
    <n v="0"/>
    <s v="Daily Sales Import"/>
    <n v="-9695.9871999999996"/>
    <n v="9695.9871999999996"/>
    <x v="1"/>
    <s v="2100"/>
    <s v="000"/>
    <x v="8"/>
    <x v="2"/>
  </r>
  <r>
    <d v="2013-06-08T00:00:00"/>
    <s v="017-2210-000"/>
    <s v="Liquor Sales"/>
    <n v="1852.0064000000002"/>
    <n v="0"/>
    <s v="Daily Sales Import"/>
    <n v="-1852.0064000000002"/>
    <n v="1852.0064000000002"/>
    <x v="1"/>
    <s v="2210"/>
    <s v="000"/>
    <x v="8"/>
    <x v="2"/>
  </r>
  <r>
    <d v="2013-06-08T00:00:00"/>
    <s v="017-2220-000"/>
    <s v="Beer Sales"/>
    <n v="330.02749999999997"/>
    <n v="0"/>
    <s v="Daily Sales Import"/>
    <n v="-330.02749999999997"/>
    <n v="330.02749999999997"/>
    <x v="1"/>
    <s v="2220"/>
    <s v="000"/>
    <x v="8"/>
    <x v="2"/>
  </r>
  <r>
    <d v="2013-06-08T00:00:00"/>
    <s v="017-2230-000"/>
    <s v="Wine Sales"/>
    <n v="16.979600000000001"/>
    <n v="0"/>
    <s v="Daily Sales Import"/>
    <n v="-16.979600000000001"/>
    <n v="16.979600000000001"/>
    <x v="1"/>
    <s v="2230"/>
    <s v="000"/>
    <x v="8"/>
    <x v="2"/>
  </r>
  <r>
    <d v="2013-06-09T00:00:00"/>
    <s v="017-2100-000"/>
    <s v="Food Sales"/>
    <n v="6668.4992000000002"/>
    <n v="0"/>
    <s v="Daily Sales Import"/>
    <n v="-6668.4992000000002"/>
    <n v="6668.4992000000002"/>
    <x v="1"/>
    <s v="2100"/>
    <s v="000"/>
    <x v="8"/>
    <x v="2"/>
  </r>
  <r>
    <d v="2013-06-09T00:00:00"/>
    <s v="017-2210-000"/>
    <s v="Liquor Sales"/>
    <n v="795.0302999999999"/>
    <n v="0"/>
    <s v="Daily Sales Import"/>
    <n v="-795.0302999999999"/>
    <n v="795.0302999999999"/>
    <x v="1"/>
    <s v="2210"/>
    <s v="000"/>
    <x v="8"/>
    <x v="2"/>
  </r>
  <r>
    <d v="2013-06-09T00:00:00"/>
    <s v="017-2220-000"/>
    <s v="Beer Sales"/>
    <n v="140.43120000000002"/>
    <n v="0"/>
    <s v="Daily Sales Import"/>
    <n v="-140.43120000000002"/>
    <n v="140.43120000000002"/>
    <x v="1"/>
    <s v="2220"/>
    <s v="000"/>
    <x v="8"/>
    <x v="2"/>
  </r>
  <r>
    <d v="2013-06-09T00:00:00"/>
    <s v="017-2230-000"/>
    <s v="Wine Sales"/>
    <n v="118.12230000000002"/>
    <n v="0"/>
    <s v="Daily Sales Import"/>
    <n v="-118.12230000000002"/>
    <n v="118.12230000000002"/>
    <x v="1"/>
    <s v="2230"/>
    <s v="000"/>
    <x v="8"/>
    <x v="2"/>
  </r>
  <r>
    <d v="2013-06-03T00:00:00"/>
    <s v="018-2100-000"/>
    <s v="Food Sales"/>
    <n v="4133.5411999999997"/>
    <n v="0"/>
    <s v="Daily Sales Import"/>
    <n v="-4133.5411999999997"/>
    <n v="4133.5411999999997"/>
    <x v="2"/>
    <s v="2100"/>
    <s v="000"/>
    <x v="8"/>
    <x v="2"/>
  </r>
  <r>
    <d v="2013-06-03T00:00:00"/>
    <s v="018-2210-000"/>
    <s v="Liquor Sales"/>
    <n v="565.69440000000009"/>
    <n v="0"/>
    <s v="Daily Sales Import"/>
    <n v="-565.69440000000009"/>
    <n v="565.69440000000009"/>
    <x v="2"/>
    <s v="2210"/>
    <s v="000"/>
    <x v="8"/>
    <x v="2"/>
  </r>
  <r>
    <d v="2013-06-03T00:00:00"/>
    <s v="018-2220-000"/>
    <s v="Beer Sales"/>
    <n v="81.575299999999999"/>
    <n v="0"/>
    <s v="Daily Sales Import"/>
    <n v="-81.575299999999999"/>
    <n v="81.575299999999999"/>
    <x v="2"/>
    <s v="2220"/>
    <s v="000"/>
    <x v="8"/>
    <x v="2"/>
  </r>
  <r>
    <d v="2013-06-03T00:00:00"/>
    <s v="018-2230-000"/>
    <s v="Wine Sales"/>
    <n v="27.027200000000001"/>
    <n v="0"/>
    <s v="Daily Sales Import"/>
    <n v="-27.027200000000001"/>
    <n v="27.027200000000001"/>
    <x v="2"/>
    <s v="2230"/>
    <s v="000"/>
    <x v="8"/>
    <x v="2"/>
  </r>
  <r>
    <d v="2013-06-04T00:00:00"/>
    <s v="018-2100-000"/>
    <s v="Food Sales"/>
    <n v="4940.3436000000002"/>
    <n v="0"/>
    <s v="Daily Sales Import"/>
    <n v="-4940.3436000000002"/>
    <n v="4940.3436000000002"/>
    <x v="2"/>
    <s v="2100"/>
    <s v="000"/>
    <x v="8"/>
    <x v="2"/>
  </r>
  <r>
    <d v="2013-06-04T00:00:00"/>
    <s v="018-2210-000"/>
    <s v="Liquor Sales"/>
    <n v="860.30010000000004"/>
    <n v="0"/>
    <s v="Daily Sales Import"/>
    <n v="-860.30010000000004"/>
    <n v="860.30010000000004"/>
    <x v="2"/>
    <s v="2210"/>
    <s v="000"/>
    <x v="8"/>
    <x v="2"/>
  </r>
  <r>
    <d v="2013-06-04T00:00:00"/>
    <s v="018-2220-000"/>
    <s v="Beer Sales"/>
    <n v="173.46359999999999"/>
    <n v="0"/>
    <s v="Daily Sales Import"/>
    <n v="-173.46359999999999"/>
    <n v="173.46359999999999"/>
    <x v="2"/>
    <s v="2220"/>
    <s v="000"/>
    <x v="8"/>
    <x v="2"/>
  </r>
  <r>
    <d v="2013-06-04T00:00:00"/>
    <s v="018-2230-000"/>
    <s v="Wine Sales"/>
    <n v="71.391599999999997"/>
    <n v="0"/>
    <s v="Daily Sales Import"/>
    <n v="-71.391599999999997"/>
    <n v="71.391599999999997"/>
    <x v="2"/>
    <s v="2230"/>
    <s v="000"/>
    <x v="8"/>
    <x v="2"/>
  </r>
  <r>
    <d v="2013-06-05T00:00:00"/>
    <s v="018-2100-000"/>
    <s v="Food Sales"/>
    <n v="7243.6588000000002"/>
    <n v="0"/>
    <s v="Daily Sales Import"/>
    <n v="-7243.6588000000002"/>
    <n v="7243.6588000000002"/>
    <x v="2"/>
    <s v="2100"/>
    <s v="000"/>
    <x v="8"/>
    <x v="2"/>
  </r>
  <r>
    <d v="2013-06-05T00:00:00"/>
    <s v="018-2210-000"/>
    <s v="Liquor Sales"/>
    <n v="752.7632000000001"/>
    <n v="0"/>
    <s v="Daily Sales Import"/>
    <n v="-752.7632000000001"/>
    <n v="752.7632000000001"/>
    <x v="2"/>
    <s v="2210"/>
    <s v="000"/>
    <x v="8"/>
    <x v="2"/>
  </r>
  <r>
    <d v="2013-06-05T00:00:00"/>
    <s v="018-2220-000"/>
    <s v="Beer Sales"/>
    <n v="224.38109999999998"/>
    <n v="0"/>
    <s v="Daily Sales Import"/>
    <n v="-224.38109999999998"/>
    <n v="224.38109999999998"/>
    <x v="2"/>
    <s v="2220"/>
    <s v="000"/>
    <x v="8"/>
    <x v="2"/>
  </r>
  <r>
    <d v="2013-06-05T00:00:00"/>
    <s v="018-2230-000"/>
    <s v="Wine Sales"/>
    <n v="81.070400000000006"/>
    <n v="0"/>
    <s v="Daily Sales Import"/>
    <n v="-81.070400000000006"/>
    <n v="81.070400000000006"/>
    <x v="2"/>
    <s v="2230"/>
    <s v="000"/>
    <x v="8"/>
    <x v="2"/>
  </r>
  <r>
    <d v="2013-06-06T00:00:00"/>
    <s v="018-2100-000"/>
    <s v="Food Sales"/>
    <n v="3030.4937"/>
    <n v="0"/>
    <s v="Daily Sales Import"/>
    <n v="-3030.4937"/>
    <n v="3030.4937"/>
    <x v="2"/>
    <s v="2100"/>
    <s v="000"/>
    <x v="8"/>
    <x v="2"/>
  </r>
  <r>
    <d v="2013-06-06T00:00:00"/>
    <s v="018-2210-000"/>
    <s v="Liquor Sales"/>
    <n v="530.63679999999999"/>
    <n v="0"/>
    <s v="Daily Sales Import"/>
    <n v="-530.63679999999999"/>
    <n v="530.63679999999999"/>
    <x v="2"/>
    <s v="2210"/>
    <s v="000"/>
    <x v="8"/>
    <x v="2"/>
  </r>
  <r>
    <d v="2013-06-06T00:00:00"/>
    <s v="018-2220-000"/>
    <s v="Beer Sales"/>
    <n v="146.95129999999997"/>
    <n v="0"/>
    <s v="Daily Sales Import"/>
    <n v="-146.95129999999997"/>
    <n v="146.95129999999997"/>
    <x v="2"/>
    <s v="2220"/>
    <s v="000"/>
    <x v="8"/>
    <x v="2"/>
  </r>
  <r>
    <d v="2013-06-06T00:00:00"/>
    <s v="018-2230-000"/>
    <s v="Wine Sales"/>
    <n v="9.8890000000000011"/>
    <n v="0"/>
    <s v="Daily Sales Import"/>
    <n v="-9.8890000000000011"/>
    <n v="9.8890000000000011"/>
    <x v="2"/>
    <s v="2230"/>
    <s v="000"/>
    <x v="8"/>
    <x v="2"/>
  </r>
  <r>
    <d v="2013-06-07T00:00:00"/>
    <s v="018-2100-000"/>
    <s v="Food Sales"/>
    <n v="9368.9652999999998"/>
    <n v="0"/>
    <s v="Daily Sales Import"/>
    <n v="-9368.9652999999998"/>
    <n v="9368.9652999999998"/>
    <x v="2"/>
    <s v="2100"/>
    <s v="000"/>
    <x v="8"/>
    <x v="2"/>
  </r>
  <r>
    <d v="2013-06-07T00:00:00"/>
    <s v="018-2210-000"/>
    <s v="Liquor Sales"/>
    <n v="1729.6713000000002"/>
    <n v="0"/>
    <s v="Daily Sales Import"/>
    <n v="-1729.6713000000002"/>
    <n v="1729.6713000000002"/>
    <x v="2"/>
    <s v="2210"/>
    <s v="000"/>
    <x v="8"/>
    <x v="2"/>
  </r>
  <r>
    <d v="2013-06-07T00:00:00"/>
    <s v="018-2220-000"/>
    <s v="Beer Sales"/>
    <n v="480.63"/>
    <n v="0"/>
    <s v="Daily Sales Import"/>
    <n v="-480.63"/>
    <n v="480.63"/>
    <x v="2"/>
    <s v="2220"/>
    <s v="000"/>
    <x v="8"/>
    <x v="2"/>
  </r>
  <r>
    <d v="2013-06-07T00:00:00"/>
    <s v="018-2230-000"/>
    <s v="Wine Sales"/>
    <n v="61.715500000000006"/>
    <n v="0"/>
    <s v="Daily Sales Import"/>
    <n v="-61.715500000000006"/>
    <n v="61.715500000000006"/>
    <x v="2"/>
    <s v="2230"/>
    <s v="000"/>
    <x v="8"/>
    <x v="2"/>
  </r>
  <r>
    <d v="2013-06-08T00:00:00"/>
    <s v="018-2100-000"/>
    <s v="Food Sales"/>
    <n v="16411.78"/>
    <n v="0"/>
    <s v="Daily Sales Import"/>
    <n v="-16411.78"/>
    <n v="16411.78"/>
    <x v="2"/>
    <s v="2100"/>
    <s v="000"/>
    <x v="8"/>
    <x v="2"/>
  </r>
  <r>
    <d v="2013-06-08T00:00:00"/>
    <s v="018-2210-000"/>
    <s v="Liquor Sales"/>
    <n v="3146.3738999999996"/>
    <n v="0"/>
    <s v="Daily Sales Import"/>
    <n v="-3146.3738999999996"/>
    <n v="3146.3738999999996"/>
    <x v="2"/>
    <s v="2210"/>
    <s v="000"/>
    <x v="8"/>
    <x v="2"/>
  </r>
  <r>
    <d v="2013-06-08T00:00:00"/>
    <s v="018-2220-000"/>
    <s v="Beer Sales"/>
    <n v="1141.92"/>
    <n v="0"/>
    <s v="Daily Sales Import"/>
    <n v="-1141.92"/>
    <n v="1141.92"/>
    <x v="2"/>
    <s v="2220"/>
    <s v="000"/>
    <x v="8"/>
    <x v="2"/>
  </r>
  <r>
    <d v="2013-06-08T00:00:00"/>
    <s v="018-2230-000"/>
    <s v="Wine Sales"/>
    <n v="180.6344"/>
    <n v="0"/>
    <s v="Daily Sales Import"/>
    <n v="-180.6344"/>
    <n v="180.6344"/>
    <x v="2"/>
    <s v="2230"/>
    <s v="000"/>
    <x v="8"/>
    <x v="2"/>
  </r>
  <r>
    <d v="2013-06-09T00:00:00"/>
    <s v="018-2100-000"/>
    <s v="Food Sales"/>
    <n v="7985.9844000000003"/>
    <n v="0"/>
    <s v="Daily Sales Import"/>
    <n v="-7985.9844000000003"/>
    <n v="7985.9844000000003"/>
    <x v="2"/>
    <s v="2100"/>
    <s v="000"/>
    <x v="8"/>
    <x v="2"/>
  </r>
  <r>
    <d v="2013-06-09T00:00:00"/>
    <s v="018-2210-000"/>
    <s v="Liquor Sales"/>
    <n v="1131.6419999999998"/>
    <n v="0"/>
    <s v="Daily Sales Import"/>
    <n v="-1131.6419999999998"/>
    <n v="1131.6419999999998"/>
    <x v="2"/>
    <s v="2210"/>
    <s v="000"/>
    <x v="8"/>
    <x v="2"/>
  </r>
  <r>
    <d v="2013-06-09T00:00:00"/>
    <s v="018-2220-000"/>
    <s v="Beer Sales"/>
    <n v="456.98599999999993"/>
    <n v="0"/>
    <s v="Daily Sales Import"/>
    <n v="-456.98599999999993"/>
    <n v="456.98599999999993"/>
    <x v="2"/>
    <s v="2220"/>
    <s v="000"/>
    <x v="8"/>
    <x v="2"/>
  </r>
  <r>
    <d v="2013-06-09T00:00:00"/>
    <s v="018-2230-000"/>
    <s v="Wine Sales"/>
    <n v="28.8855"/>
    <n v="0"/>
    <s v="Daily Sales Import"/>
    <n v="-28.8855"/>
    <n v="28.8855"/>
    <x v="2"/>
    <s v="2230"/>
    <s v="000"/>
    <x v="8"/>
    <x v="2"/>
  </r>
  <r>
    <d v="2013-06-10T00:00:00"/>
    <s v="016-2100-000"/>
    <s v="Food Sales"/>
    <n v="1948.4605000000001"/>
    <n v="0"/>
    <s v="Daily Sales Import"/>
    <n v="-1948.4605000000001"/>
    <n v="1948.4605000000001"/>
    <x v="0"/>
    <s v="2100"/>
    <s v="000"/>
    <x v="8"/>
    <x v="2"/>
  </r>
  <r>
    <d v="2013-06-10T00:00:00"/>
    <s v="016-2210-000"/>
    <s v="Liquor Sales"/>
    <n v="676.70680000000004"/>
    <n v="0"/>
    <s v="Daily Sales Import"/>
    <n v="-676.70680000000004"/>
    <n v="676.70680000000004"/>
    <x v="0"/>
    <s v="2210"/>
    <s v="000"/>
    <x v="8"/>
    <x v="2"/>
  </r>
  <r>
    <d v="2013-06-10T00:00:00"/>
    <s v="016-2220-000"/>
    <s v="Beer Sales"/>
    <n v="159.80840000000001"/>
    <n v="0"/>
    <s v="Daily Sales Import"/>
    <n v="-159.80840000000001"/>
    <n v="159.80840000000001"/>
    <x v="0"/>
    <s v="2220"/>
    <s v="000"/>
    <x v="8"/>
    <x v="2"/>
  </r>
  <r>
    <d v="2013-06-10T00:00:00"/>
    <s v="016-2230-000"/>
    <s v="Wine Sales"/>
    <n v="32.340000000000003"/>
    <n v="0"/>
    <s v="Daily Sales Import"/>
    <n v="-32.340000000000003"/>
    <n v="32.340000000000003"/>
    <x v="0"/>
    <s v="2230"/>
    <s v="000"/>
    <x v="8"/>
    <x v="2"/>
  </r>
  <r>
    <d v="2013-06-11T00:00:00"/>
    <s v="016-2100-000"/>
    <s v="Food Sales"/>
    <n v="6312.9924000000001"/>
    <n v="0"/>
    <s v="Daily Sales Import"/>
    <n v="-6312.9924000000001"/>
    <n v="6312.9924000000001"/>
    <x v="0"/>
    <s v="2100"/>
    <s v="000"/>
    <x v="8"/>
    <x v="2"/>
  </r>
  <r>
    <d v="2013-06-11T00:00:00"/>
    <s v="016-2210-000"/>
    <s v="Liquor Sales"/>
    <n v="1671.3686"/>
    <n v="0"/>
    <s v="Daily Sales Import"/>
    <n v="-1671.3686"/>
    <n v="1671.3686"/>
    <x v="0"/>
    <s v="2210"/>
    <s v="000"/>
    <x v="8"/>
    <x v="2"/>
  </r>
  <r>
    <d v="2013-06-11T00:00:00"/>
    <s v="016-2220-000"/>
    <s v="Beer Sales"/>
    <n v="710.06599999999992"/>
    <n v="0"/>
    <s v="Daily Sales Import"/>
    <n v="-710.06599999999992"/>
    <n v="710.06599999999992"/>
    <x v="0"/>
    <s v="2220"/>
    <s v="000"/>
    <x v="8"/>
    <x v="2"/>
  </r>
  <r>
    <d v="2013-06-11T00:00:00"/>
    <s v="016-2230-000"/>
    <s v="Wine Sales"/>
    <n v="102.04810000000001"/>
    <n v="0"/>
    <s v="Daily Sales Import"/>
    <n v="-102.04810000000001"/>
    <n v="102.04810000000001"/>
    <x v="0"/>
    <s v="2230"/>
    <s v="000"/>
    <x v="8"/>
    <x v="2"/>
  </r>
  <r>
    <d v="2013-06-12T00:00:00"/>
    <s v="016-2100-000"/>
    <s v="Food Sales"/>
    <n v="2112.2592"/>
    <n v="0"/>
    <s v="Daily Sales Import"/>
    <n v="-2112.2592"/>
    <n v="2112.2592"/>
    <x v="0"/>
    <s v="2100"/>
    <s v="000"/>
    <x v="8"/>
    <x v="2"/>
  </r>
  <r>
    <d v="2013-06-12T00:00:00"/>
    <s v="016-2210-000"/>
    <s v="Liquor Sales"/>
    <n v="915.25620000000004"/>
    <n v="0"/>
    <s v="Daily Sales Import"/>
    <n v="-915.25620000000004"/>
    <n v="915.25620000000004"/>
    <x v="0"/>
    <s v="2210"/>
    <s v="000"/>
    <x v="8"/>
    <x v="2"/>
  </r>
  <r>
    <d v="2013-06-12T00:00:00"/>
    <s v="016-2220-000"/>
    <s v="Beer Sales"/>
    <n v="603.28399999999999"/>
    <n v="0"/>
    <s v="Daily Sales Import"/>
    <n v="-603.28399999999999"/>
    <n v="603.28399999999999"/>
    <x v="0"/>
    <s v="2220"/>
    <s v="000"/>
    <x v="8"/>
    <x v="2"/>
  </r>
  <r>
    <d v="2013-06-12T00:00:00"/>
    <s v="016-2230-000"/>
    <s v="Wine Sales"/>
    <n v="72.624000000000009"/>
    <n v="0"/>
    <s v="Daily Sales Import"/>
    <n v="-72.624000000000009"/>
    <n v="72.624000000000009"/>
    <x v="0"/>
    <s v="2230"/>
    <s v="000"/>
    <x v="8"/>
    <x v="2"/>
  </r>
  <r>
    <d v="2013-06-13T00:00:00"/>
    <s v="016-2100-000"/>
    <s v="Food Sales"/>
    <n v="2733.3208000000004"/>
    <n v="0"/>
    <s v="Daily Sales Import"/>
    <n v="-2733.3208000000004"/>
    <n v="2733.3208000000004"/>
    <x v="0"/>
    <s v="2100"/>
    <s v="000"/>
    <x v="8"/>
    <x v="2"/>
  </r>
  <r>
    <d v="2013-06-13T00:00:00"/>
    <s v="016-2210-000"/>
    <s v="Liquor Sales"/>
    <n v="982.74219999999991"/>
    <n v="0"/>
    <s v="Daily Sales Import"/>
    <n v="-982.74219999999991"/>
    <n v="982.74219999999991"/>
    <x v="0"/>
    <s v="2210"/>
    <s v="000"/>
    <x v="8"/>
    <x v="2"/>
  </r>
  <r>
    <d v="2013-06-13T00:00:00"/>
    <s v="016-2220-000"/>
    <s v="Beer Sales"/>
    <n v="145.53700000000001"/>
    <n v="0"/>
    <s v="Daily Sales Import"/>
    <n v="-145.53700000000001"/>
    <n v="145.53700000000001"/>
    <x v="0"/>
    <s v="2220"/>
    <s v="000"/>
    <x v="8"/>
    <x v="2"/>
  </r>
  <r>
    <d v="2013-06-13T00:00:00"/>
    <s v="016-2230-000"/>
    <s v="Wine Sales"/>
    <n v="64.279800000000009"/>
    <n v="0"/>
    <s v="Daily Sales Import"/>
    <n v="-64.279800000000009"/>
    <n v="64.279800000000009"/>
    <x v="0"/>
    <s v="2230"/>
    <s v="000"/>
    <x v="8"/>
    <x v="2"/>
  </r>
  <r>
    <d v="2013-06-14T00:00:00"/>
    <s v="016-2100-000"/>
    <s v="Food Sales"/>
    <n v="5083.1402999999991"/>
    <n v="0"/>
    <s v="Daily Sales Import"/>
    <n v="-5083.1402999999991"/>
    <n v="5083.1402999999991"/>
    <x v="0"/>
    <s v="2100"/>
    <s v="000"/>
    <x v="8"/>
    <x v="2"/>
  </r>
  <r>
    <d v="2013-06-14T00:00:00"/>
    <s v="016-2210-000"/>
    <s v="Liquor Sales"/>
    <n v="1474.2953999999997"/>
    <n v="0"/>
    <s v="Daily Sales Import"/>
    <n v="-1474.2953999999997"/>
    <n v="1474.2953999999997"/>
    <x v="0"/>
    <s v="2210"/>
    <s v="000"/>
    <x v="8"/>
    <x v="2"/>
  </r>
  <r>
    <d v="2013-06-14T00:00:00"/>
    <s v="016-2220-000"/>
    <s v="Beer Sales"/>
    <n v="327.05419999999998"/>
    <n v="0"/>
    <s v="Daily Sales Import"/>
    <n v="-327.05419999999998"/>
    <n v="327.05419999999998"/>
    <x v="0"/>
    <s v="2220"/>
    <s v="000"/>
    <x v="8"/>
    <x v="2"/>
  </r>
  <r>
    <d v="2013-06-14T00:00:00"/>
    <s v="016-2230-000"/>
    <s v="Wine Sales"/>
    <n v="121.30559999999998"/>
    <n v="0"/>
    <s v="Daily Sales Import"/>
    <n v="-121.30559999999998"/>
    <n v="121.30559999999998"/>
    <x v="0"/>
    <s v="2230"/>
    <s v="000"/>
    <x v="8"/>
    <x v="2"/>
  </r>
  <r>
    <d v="2013-06-15T00:00:00"/>
    <s v="016-2100-000"/>
    <s v="Food Sales"/>
    <n v="8505.2268000000004"/>
    <n v="0"/>
    <s v="Daily Sales Import"/>
    <n v="-8505.2268000000004"/>
    <n v="8505.2268000000004"/>
    <x v="0"/>
    <s v="2100"/>
    <s v="000"/>
    <x v="8"/>
    <x v="2"/>
  </r>
  <r>
    <d v="2013-06-15T00:00:00"/>
    <s v="016-2210-000"/>
    <s v="Liquor Sales"/>
    <n v="1726.9771999999998"/>
    <n v="0"/>
    <s v="Daily Sales Import"/>
    <n v="-1726.9771999999998"/>
    <n v="1726.9771999999998"/>
    <x v="0"/>
    <s v="2210"/>
    <s v="000"/>
    <x v="8"/>
    <x v="2"/>
  </r>
  <r>
    <d v="2013-06-15T00:00:00"/>
    <s v="016-2220-000"/>
    <s v="Beer Sales"/>
    <n v="469.28809999999999"/>
    <n v="0"/>
    <s v="Daily Sales Import"/>
    <n v="-469.28809999999999"/>
    <n v="469.28809999999999"/>
    <x v="0"/>
    <s v="2220"/>
    <s v="000"/>
    <x v="8"/>
    <x v="2"/>
  </r>
  <r>
    <d v="2013-06-15T00:00:00"/>
    <s v="016-2230-000"/>
    <s v="Wine Sales"/>
    <n v="164.13120000000001"/>
    <n v="0"/>
    <s v="Daily Sales Import"/>
    <n v="-164.13120000000001"/>
    <n v="164.13120000000001"/>
    <x v="0"/>
    <s v="2230"/>
    <s v="000"/>
    <x v="8"/>
    <x v="2"/>
  </r>
  <r>
    <d v="2013-06-16T00:00:00"/>
    <s v="016-2100-000"/>
    <s v="Food Sales"/>
    <n v="8916.1514999999999"/>
    <n v="0"/>
    <s v="Daily Sales Import"/>
    <n v="-8916.1514999999999"/>
    <n v="8916.1514999999999"/>
    <x v="0"/>
    <s v="2100"/>
    <s v="000"/>
    <x v="8"/>
    <x v="2"/>
  </r>
  <r>
    <d v="2013-06-16T00:00:00"/>
    <s v="016-2210-000"/>
    <s v="Liquor Sales"/>
    <n v="1994.4743000000001"/>
    <n v="0"/>
    <s v="Daily Sales Import"/>
    <n v="-1994.4743000000001"/>
    <n v="1994.4743000000001"/>
    <x v="0"/>
    <s v="2210"/>
    <s v="000"/>
    <x v="8"/>
    <x v="2"/>
  </r>
  <r>
    <d v="2013-06-16T00:00:00"/>
    <s v="016-2220-000"/>
    <s v="Beer Sales"/>
    <n v="413.54640000000001"/>
    <n v="0"/>
    <s v="Daily Sales Import"/>
    <n v="-413.54640000000001"/>
    <n v="413.54640000000001"/>
    <x v="0"/>
    <s v="2220"/>
    <s v="000"/>
    <x v="8"/>
    <x v="2"/>
  </r>
  <r>
    <d v="2013-06-16T00:00:00"/>
    <s v="016-2230-000"/>
    <s v="Wine Sales"/>
    <n v="84.090500000000006"/>
    <n v="0"/>
    <s v="Daily Sales Import"/>
    <n v="-84.090500000000006"/>
    <n v="84.090500000000006"/>
    <x v="0"/>
    <s v="2230"/>
    <s v="000"/>
    <x v="8"/>
    <x v="2"/>
  </r>
  <r>
    <d v="2013-06-10T00:00:00"/>
    <s v="017-2100-000"/>
    <s v="Food Sales"/>
    <n v="3640.0774000000001"/>
    <n v="0"/>
    <s v="Daily Sales Import"/>
    <n v="-3640.0774000000001"/>
    <n v="3640.0774000000001"/>
    <x v="1"/>
    <s v="2100"/>
    <s v="000"/>
    <x v="8"/>
    <x v="2"/>
  </r>
  <r>
    <d v="2013-06-10T00:00:00"/>
    <s v="017-2210-000"/>
    <s v="Liquor Sales"/>
    <n v="759.86820000000012"/>
    <n v="0"/>
    <s v="Daily Sales Import"/>
    <n v="-759.86820000000012"/>
    <n v="759.86820000000012"/>
    <x v="1"/>
    <s v="2210"/>
    <s v="000"/>
    <x v="8"/>
    <x v="2"/>
  </r>
  <r>
    <d v="2013-06-10T00:00:00"/>
    <s v="017-2220-000"/>
    <s v="Beer Sales"/>
    <n v="209.51339999999999"/>
    <n v="0"/>
    <s v="Daily Sales Import"/>
    <n v="-209.51339999999999"/>
    <n v="209.51339999999999"/>
    <x v="1"/>
    <s v="2220"/>
    <s v="000"/>
    <x v="8"/>
    <x v="2"/>
  </r>
  <r>
    <d v="2013-06-10T00:00:00"/>
    <s v="017-2230-000"/>
    <s v="Wine Sales"/>
    <n v="73.3536"/>
    <n v="0"/>
    <s v="Daily Sales Import"/>
    <n v="-73.3536"/>
    <n v="73.3536"/>
    <x v="1"/>
    <s v="2230"/>
    <s v="000"/>
    <x v="8"/>
    <x v="2"/>
  </r>
  <r>
    <d v="2013-06-11T00:00:00"/>
    <s v="017-2100-000"/>
    <s v="Food Sales"/>
    <n v="6597.7631999999994"/>
    <n v="0"/>
    <s v="Daily Sales Import"/>
    <n v="-6597.7631999999994"/>
    <n v="6597.7631999999994"/>
    <x v="1"/>
    <s v="2100"/>
    <s v="000"/>
    <x v="8"/>
    <x v="2"/>
  </r>
  <r>
    <d v="2013-06-11T00:00:00"/>
    <s v="017-2210-000"/>
    <s v="Liquor Sales"/>
    <n v="1365.8792000000003"/>
    <n v="0"/>
    <s v="Daily Sales Import"/>
    <n v="-1365.8792000000003"/>
    <n v="1365.8792000000003"/>
    <x v="1"/>
    <s v="2210"/>
    <s v="000"/>
    <x v="8"/>
    <x v="2"/>
  </r>
  <r>
    <d v="2013-06-11T00:00:00"/>
    <s v="017-2220-000"/>
    <s v="Beer Sales"/>
    <n v="813.26249999999993"/>
    <n v="0"/>
    <s v="Daily Sales Import"/>
    <n v="-813.26249999999993"/>
    <n v="813.26249999999993"/>
    <x v="1"/>
    <s v="2220"/>
    <s v="000"/>
    <x v="8"/>
    <x v="2"/>
  </r>
  <r>
    <d v="2013-06-11T00:00:00"/>
    <s v="017-2230-000"/>
    <s v="Wine Sales"/>
    <n v="98.951999999999984"/>
    <n v="0"/>
    <s v="Daily Sales Import"/>
    <n v="-98.951999999999984"/>
    <n v="98.951999999999984"/>
    <x v="1"/>
    <s v="2230"/>
    <s v="000"/>
    <x v="8"/>
    <x v="2"/>
  </r>
  <r>
    <d v="2013-06-12T00:00:00"/>
    <s v="017-2100-000"/>
    <s v="Food Sales"/>
    <n v="7134.5039999999999"/>
    <n v="0"/>
    <s v="Daily Sales Import"/>
    <n v="-7134.5039999999999"/>
    <n v="7134.5039999999999"/>
    <x v="1"/>
    <s v="2100"/>
    <s v="000"/>
    <x v="8"/>
    <x v="2"/>
  </r>
  <r>
    <d v="2013-06-12T00:00:00"/>
    <s v="017-2210-000"/>
    <s v="Liquor Sales"/>
    <n v="1999.8498"/>
    <n v="0"/>
    <s v="Daily Sales Import"/>
    <n v="-1999.8498"/>
    <n v="1999.8498"/>
    <x v="1"/>
    <s v="2210"/>
    <s v="000"/>
    <x v="8"/>
    <x v="2"/>
  </r>
  <r>
    <d v="2013-06-12T00:00:00"/>
    <s v="017-2220-000"/>
    <s v="Beer Sales"/>
    <n v="435.98559999999998"/>
    <n v="0"/>
    <s v="Daily Sales Import"/>
    <n v="-435.98559999999998"/>
    <n v="435.98559999999998"/>
    <x v="1"/>
    <s v="2220"/>
    <s v="000"/>
    <x v="8"/>
    <x v="2"/>
  </r>
  <r>
    <d v="2013-06-12T00:00:00"/>
    <s v="017-2230-000"/>
    <s v="Wine Sales"/>
    <n v="121.91550000000001"/>
    <n v="0"/>
    <s v="Daily Sales Import"/>
    <n v="-121.91550000000001"/>
    <n v="121.91550000000001"/>
    <x v="1"/>
    <s v="2230"/>
    <s v="000"/>
    <x v="8"/>
    <x v="2"/>
  </r>
  <r>
    <d v="2013-06-13T00:00:00"/>
    <s v="017-2100-000"/>
    <s v="Food Sales"/>
    <n v="6434.2200999999995"/>
    <n v="0"/>
    <s v="Daily Sales Import"/>
    <n v="-6434.2200999999995"/>
    <n v="6434.2200999999995"/>
    <x v="1"/>
    <s v="2100"/>
    <s v="000"/>
    <x v="8"/>
    <x v="2"/>
  </r>
  <r>
    <d v="2013-06-13T00:00:00"/>
    <s v="017-2210-000"/>
    <s v="Liquor Sales"/>
    <n v="1787.9740000000002"/>
    <n v="0"/>
    <s v="Daily Sales Import"/>
    <n v="-1787.9740000000002"/>
    <n v="1787.9740000000002"/>
    <x v="1"/>
    <s v="2210"/>
    <s v="000"/>
    <x v="8"/>
    <x v="2"/>
  </r>
  <r>
    <d v="2013-06-13T00:00:00"/>
    <s v="017-2220-000"/>
    <s v="Beer Sales"/>
    <n v="911.79099999999994"/>
    <n v="0"/>
    <s v="Daily Sales Import"/>
    <n v="-911.79099999999994"/>
    <n v="911.79099999999994"/>
    <x v="1"/>
    <s v="2220"/>
    <s v="000"/>
    <x v="8"/>
    <x v="2"/>
  </r>
  <r>
    <d v="2013-06-13T00:00:00"/>
    <s v="017-2230-000"/>
    <s v="Wine Sales"/>
    <n v="195.9975"/>
    <n v="0"/>
    <s v="Daily Sales Import"/>
    <n v="-195.9975"/>
    <n v="195.9975"/>
    <x v="1"/>
    <s v="2230"/>
    <s v="000"/>
    <x v="8"/>
    <x v="2"/>
  </r>
  <r>
    <d v="2013-06-14T00:00:00"/>
    <s v="017-2100-000"/>
    <s v="Food Sales"/>
    <n v="10623.740399999999"/>
    <n v="0"/>
    <s v="Daily Sales Import"/>
    <n v="-10623.740399999999"/>
    <n v="10623.740399999999"/>
    <x v="1"/>
    <s v="2100"/>
    <s v="000"/>
    <x v="8"/>
    <x v="2"/>
  </r>
  <r>
    <d v="2013-06-14T00:00:00"/>
    <s v="017-2210-000"/>
    <s v="Liquor Sales"/>
    <n v="3094.0914000000002"/>
    <n v="0"/>
    <s v="Daily Sales Import"/>
    <n v="-3094.0914000000002"/>
    <n v="3094.0914000000002"/>
    <x v="1"/>
    <s v="2210"/>
    <s v="000"/>
    <x v="8"/>
    <x v="2"/>
  </r>
  <r>
    <d v="2013-06-14T00:00:00"/>
    <s v="017-2220-000"/>
    <s v="Beer Sales"/>
    <n v="435.65099999999995"/>
    <n v="0"/>
    <s v="Daily Sales Import"/>
    <n v="-435.65099999999995"/>
    <n v="435.65099999999995"/>
    <x v="1"/>
    <s v="2220"/>
    <s v="000"/>
    <x v="8"/>
    <x v="2"/>
  </r>
  <r>
    <d v="2013-06-14T00:00:00"/>
    <s v="017-2230-000"/>
    <s v="Wine Sales"/>
    <n v="154.32419999999999"/>
    <n v="0"/>
    <s v="Daily Sales Import"/>
    <n v="-154.32419999999999"/>
    <n v="154.32419999999999"/>
    <x v="1"/>
    <s v="2230"/>
    <s v="000"/>
    <x v="8"/>
    <x v="2"/>
  </r>
  <r>
    <d v="2013-06-15T00:00:00"/>
    <s v="017-2100-000"/>
    <s v="Food Sales"/>
    <n v="7470.5990000000002"/>
    <n v="0"/>
    <s v="Daily Sales Import"/>
    <n v="-7470.5990000000002"/>
    <n v="7470.5990000000002"/>
    <x v="1"/>
    <s v="2100"/>
    <s v="000"/>
    <x v="8"/>
    <x v="2"/>
  </r>
  <r>
    <d v="2013-06-15T00:00:00"/>
    <s v="017-2210-000"/>
    <s v="Liquor Sales"/>
    <n v="1925.182"/>
    <n v="0"/>
    <s v="Daily Sales Import"/>
    <n v="-1925.182"/>
    <n v="1925.182"/>
    <x v="1"/>
    <s v="2210"/>
    <s v="000"/>
    <x v="8"/>
    <x v="2"/>
  </r>
  <r>
    <d v="2013-06-15T00:00:00"/>
    <s v="017-2220-000"/>
    <s v="Beer Sales"/>
    <n v="375.30599999999998"/>
    <n v="0"/>
    <s v="Daily Sales Import"/>
    <n v="-375.30599999999998"/>
    <n v="375.30599999999998"/>
    <x v="1"/>
    <s v="2220"/>
    <s v="000"/>
    <x v="8"/>
    <x v="2"/>
  </r>
  <r>
    <d v="2013-06-15T00:00:00"/>
    <s v="017-2230-000"/>
    <s v="Wine Sales"/>
    <n v="47.374200000000002"/>
    <n v="0"/>
    <s v="Daily Sales Import"/>
    <n v="-47.374200000000002"/>
    <n v="47.374200000000002"/>
    <x v="1"/>
    <s v="2230"/>
    <s v="000"/>
    <x v="8"/>
    <x v="2"/>
  </r>
  <r>
    <d v="2013-06-16T00:00:00"/>
    <s v="017-2100-000"/>
    <s v="Food Sales"/>
    <n v="7356.3074999999999"/>
    <n v="0"/>
    <s v="Daily Sales Import"/>
    <n v="-7356.3074999999999"/>
    <n v="7356.3074999999999"/>
    <x v="1"/>
    <s v="2100"/>
    <s v="000"/>
    <x v="8"/>
    <x v="2"/>
  </r>
  <r>
    <d v="2013-06-16T00:00:00"/>
    <s v="017-2210-000"/>
    <s v="Liquor Sales"/>
    <n v="1149.4079999999999"/>
    <n v="0"/>
    <s v="Daily Sales Import"/>
    <n v="-1149.4079999999999"/>
    <n v="1149.4079999999999"/>
    <x v="1"/>
    <s v="2210"/>
    <s v="000"/>
    <x v="8"/>
    <x v="2"/>
  </r>
  <r>
    <d v="2013-06-16T00:00:00"/>
    <s v="017-2220-000"/>
    <s v="Beer Sales"/>
    <n v="245.79720000000003"/>
    <n v="0"/>
    <s v="Daily Sales Import"/>
    <n v="-245.79720000000003"/>
    <n v="245.79720000000003"/>
    <x v="1"/>
    <s v="2220"/>
    <s v="000"/>
    <x v="8"/>
    <x v="2"/>
  </r>
  <r>
    <d v="2013-06-16T00:00:00"/>
    <s v="017-2230-000"/>
    <s v="Wine Sales"/>
    <n v="61.164300000000004"/>
    <n v="0"/>
    <s v="Daily Sales Import"/>
    <n v="-61.164300000000004"/>
    <n v="61.164300000000004"/>
    <x v="1"/>
    <s v="2230"/>
    <s v="000"/>
    <x v="8"/>
    <x v="2"/>
  </r>
  <r>
    <d v="2013-06-10T00:00:00"/>
    <s v="018-2100-000"/>
    <s v="Food Sales"/>
    <n v="3488.3029999999999"/>
    <n v="0"/>
    <s v="Daily Sales Import"/>
    <n v="-3488.3029999999999"/>
    <n v="3488.3029999999999"/>
    <x v="2"/>
    <s v="2100"/>
    <s v="000"/>
    <x v="8"/>
    <x v="2"/>
  </r>
  <r>
    <d v="2013-06-10T00:00:00"/>
    <s v="018-2210-000"/>
    <s v="Liquor Sales"/>
    <n v="851.72270000000015"/>
    <n v="0"/>
    <s v="Daily Sales Import"/>
    <n v="-851.72270000000015"/>
    <n v="851.72270000000015"/>
    <x v="2"/>
    <s v="2210"/>
    <s v="000"/>
    <x v="8"/>
    <x v="2"/>
  </r>
  <r>
    <d v="2013-06-10T00:00:00"/>
    <s v="018-2220-000"/>
    <s v="Beer Sales"/>
    <n v="92.624000000000009"/>
    <n v="0"/>
    <s v="Daily Sales Import"/>
    <n v="-92.624000000000009"/>
    <n v="92.624000000000009"/>
    <x v="2"/>
    <s v="2220"/>
    <s v="000"/>
    <x v="8"/>
    <x v="2"/>
  </r>
  <r>
    <d v="2013-06-10T00:00:00"/>
    <s v="018-2230-000"/>
    <s v="Wine Sales"/>
    <n v="10.458299999999999"/>
    <n v="0"/>
    <s v="Daily Sales Import"/>
    <n v="-10.458299999999999"/>
    <n v="10.458299999999999"/>
    <x v="2"/>
    <s v="2230"/>
    <s v="000"/>
    <x v="8"/>
    <x v="2"/>
  </r>
  <r>
    <d v="2013-06-11T00:00:00"/>
    <s v="018-2100-000"/>
    <s v="Food Sales"/>
    <n v="4595.4276"/>
    <n v="0"/>
    <s v="Daily Sales Import"/>
    <n v="-4595.4276"/>
    <n v="4595.4276"/>
    <x v="2"/>
    <s v="2100"/>
    <s v="000"/>
    <x v="8"/>
    <x v="2"/>
  </r>
  <r>
    <d v="2013-06-11T00:00:00"/>
    <s v="018-2210-000"/>
    <s v="Liquor Sales"/>
    <n v="954.92520000000013"/>
    <n v="0"/>
    <s v="Daily Sales Import"/>
    <n v="-954.92520000000013"/>
    <n v="954.92520000000013"/>
    <x v="2"/>
    <s v="2210"/>
    <s v="000"/>
    <x v="8"/>
    <x v="2"/>
  </r>
  <r>
    <d v="2013-06-11T00:00:00"/>
    <s v="018-2220-000"/>
    <s v="Beer Sales"/>
    <n v="271.863"/>
    <n v="0"/>
    <s v="Daily Sales Import"/>
    <n v="-271.863"/>
    <n v="271.863"/>
    <x v="2"/>
    <s v="2220"/>
    <s v="000"/>
    <x v="8"/>
    <x v="2"/>
  </r>
  <r>
    <d v="2013-06-11T00:00:00"/>
    <s v="018-2230-000"/>
    <s v="Wine Sales"/>
    <n v="33.207999999999998"/>
    <n v="0"/>
    <s v="Daily Sales Import"/>
    <n v="-33.207999999999998"/>
    <n v="33.207999999999998"/>
    <x v="2"/>
    <s v="2230"/>
    <s v="000"/>
    <x v="8"/>
    <x v="2"/>
  </r>
  <r>
    <d v="2013-06-12T00:00:00"/>
    <s v="018-2100-000"/>
    <s v="Food Sales"/>
    <n v="6829.3079999999991"/>
    <n v="0"/>
    <s v="Daily Sales Import"/>
    <n v="-6829.3079999999991"/>
    <n v="6829.3079999999991"/>
    <x v="2"/>
    <s v="2100"/>
    <s v="000"/>
    <x v="8"/>
    <x v="2"/>
  </r>
  <r>
    <d v="2013-06-12T00:00:00"/>
    <s v="018-2210-000"/>
    <s v="Liquor Sales"/>
    <n v="1016.0964"/>
    <n v="0"/>
    <s v="Daily Sales Import"/>
    <n v="-1016.0964"/>
    <n v="1016.0964"/>
    <x v="2"/>
    <s v="2210"/>
    <s v="000"/>
    <x v="8"/>
    <x v="2"/>
  </r>
  <r>
    <d v="2013-06-12T00:00:00"/>
    <s v="018-2220-000"/>
    <s v="Beer Sales"/>
    <n v="276.88799999999998"/>
    <n v="0"/>
    <s v="Daily Sales Import"/>
    <n v="-276.88799999999998"/>
    <n v="276.88799999999998"/>
    <x v="2"/>
    <s v="2220"/>
    <s v="000"/>
    <x v="8"/>
    <x v="2"/>
  </r>
  <r>
    <d v="2013-06-12T00:00:00"/>
    <s v="018-2230-000"/>
    <s v="Wine Sales"/>
    <n v="81.451799999999992"/>
    <n v="0"/>
    <s v="Daily Sales Import"/>
    <n v="-81.451799999999992"/>
    <n v="81.451799999999992"/>
    <x v="2"/>
    <s v="2230"/>
    <s v="000"/>
    <x v="8"/>
    <x v="2"/>
  </r>
  <r>
    <d v="2013-06-13T00:00:00"/>
    <s v="018-2100-000"/>
    <s v="Food Sales"/>
    <n v="4641.3883999999998"/>
    <n v="0"/>
    <s v="Daily Sales Import"/>
    <n v="-4641.3883999999998"/>
    <n v="4641.3883999999998"/>
    <x v="2"/>
    <s v="2100"/>
    <s v="000"/>
    <x v="8"/>
    <x v="2"/>
  </r>
  <r>
    <d v="2013-06-13T00:00:00"/>
    <s v="018-2210-000"/>
    <s v="Liquor Sales"/>
    <n v="1186.1623999999999"/>
    <n v="0"/>
    <s v="Daily Sales Import"/>
    <n v="-1186.1623999999999"/>
    <n v="1186.1623999999999"/>
    <x v="2"/>
    <s v="2210"/>
    <s v="000"/>
    <x v="8"/>
    <x v="2"/>
  </r>
  <r>
    <d v="2013-06-13T00:00:00"/>
    <s v="018-2220-000"/>
    <s v="Beer Sales"/>
    <n v="320.58879999999999"/>
    <n v="0"/>
    <s v="Daily Sales Import"/>
    <n v="-320.58879999999999"/>
    <n v="320.58879999999999"/>
    <x v="2"/>
    <s v="2220"/>
    <s v="000"/>
    <x v="8"/>
    <x v="2"/>
  </r>
  <r>
    <d v="2013-06-13T00:00:00"/>
    <s v="018-2230-000"/>
    <s v="Wine Sales"/>
    <n v="43.011600000000001"/>
    <n v="0"/>
    <s v="Daily Sales Import"/>
    <n v="-43.011600000000001"/>
    <n v="43.011600000000001"/>
    <x v="2"/>
    <s v="2230"/>
    <s v="000"/>
    <x v="8"/>
    <x v="2"/>
  </r>
  <r>
    <d v="2013-06-14T00:00:00"/>
    <s v="018-2100-000"/>
    <s v="Food Sales"/>
    <n v="10290.220600000001"/>
    <n v="0"/>
    <s v="Daily Sales Import"/>
    <n v="-10290.220600000001"/>
    <n v="10290.220600000001"/>
    <x v="2"/>
    <s v="2100"/>
    <s v="000"/>
    <x v="8"/>
    <x v="2"/>
  </r>
  <r>
    <d v="2013-06-14T00:00:00"/>
    <s v="018-2210-000"/>
    <s v="Liquor Sales"/>
    <n v="3515.5889999999999"/>
    <n v="0"/>
    <s v="Daily Sales Import"/>
    <n v="-3515.5889999999999"/>
    <n v="3515.5889999999999"/>
    <x v="2"/>
    <s v="2210"/>
    <s v="000"/>
    <x v="8"/>
    <x v="2"/>
  </r>
  <r>
    <d v="2013-06-14T00:00:00"/>
    <s v="018-2220-000"/>
    <s v="Beer Sales"/>
    <n v="1085.9736"/>
    <n v="0"/>
    <s v="Daily Sales Import"/>
    <n v="-1085.9736"/>
    <n v="1085.9736"/>
    <x v="2"/>
    <s v="2220"/>
    <s v="000"/>
    <x v="8"/>
    <x v="2"/>
  </r>
  <r>
    <d v="2013-06-14T00:00:00"/>
    <s v="018-2230-000"/>
    <s v="Wine Sales"/>
    <n v="77.238"/>
    <n v="0"/>
    <s v="Daily Sales Import"/>
    <n v="-77.238"/>
    <n v="77.238"/>
    <x v="2"/>
    <s v="2230"/>
    <s v="000"/>
    <x v="8"/>
    <x v="2"/>
  </r>
  <r>
    <d v="2013-06-15T00:00:00"/>
    <s v="018-2100-000"/>
    <s v="Food Sales"/>
    <n v="16945.616000000002"/>
    <n v="0"/>
    <s v="Daily Sales Import"/>
    <n v="-16945.616000000002"/>
    <n v="16945.616000000002"/>
    <x v="2"/>
    <s v="2100"/>
    <s v="000"/>
    <x v="8"/>
    <x v="2"/>
  </r>
  <r>
    <d v="2013-06-15T00:00:00"/>
    <s v="018-2210-000"/>
    <s v="Liquor Sales"/>
    <n v="3287.1224999999999"/>
    <n v="0"/>
    <s v="Daily Sales Import"/>
    <n v="-3287.1224999999999"/>
    <n v="3287.1224999999999"/>
    <x v="2"/>
    <s v="2210"/>
    <s v="000"/>
    <x v="8"/>
    <x v="2"/>
  </r>
  <r>
    <d v="2013-06-15T00:00:00"/>
    <s v="018-2220-000"/>
    <s v="Beer Sales"/>
    <n v="680.47199999999987"/>
    <n v="0"/>
    <s v="Daily Sales Import"/>
    <n v="-680.47199999999987"/>
    <n v="680.47199999999987"/>
    <x v="2"/>
    <s v="2220"/>
    <s v="000"/>
    <x v="8"/>
    <x v="2"/>
  </r>
  <r>
    <d v="2013-06-15T00:00:00"/>
    <s v="018-2230-000"/>
    <s v="Wine Sales"/>
    <n v="96.912000000000006"/>
    <n v="0"/>
    <s v="Daily Sales Import"/>
    <n v="-96.912000000000006"/>
    <n v="96.912000000000006"/>
    <x v="2"/>
    <s v="2230"/>
    <s v="000"/>
    <x v="8"/>
    <x v="2"/>
  </r>
  <r>
    <d v="2013-06-16T00:00:00"/>
    <s v="018-2100-000"/>
    <s v="Food Sales"/>
    <n v="18505.004399999998"/>
    <n v="0"/>
    <s v="Daily Sales Import"/>
    <n v="-18505.004399999998"/>
    <n v="18505.004399999998"/>
    <x v="2"/>
    <s v="2100"/>
    <s v="000"/>
    <x v="8"/>
    <x v="2"/>
  </r>
  <r>
    <d v="2013-06-16T00:00:00"/>
    <s v="018-2210-000"/>
    <s v="Liquor Sales"/>
    <n v="2631.15"/>
    <n v="0"/>
    <s v="Daily Sales Import"/>
    <n v="-2631.15"/>
    <n v="2631.15"/>
    <x v="2"/>
    <s v="2210"/>
    <s v="000"/>
    <x v="8"/>
    <x v="2"/>
  </r>
  <r>
    <d v="2013-06-16T00:00:00"/>
    <s v="018-2220-000"/>
    <s v="Beer Sales"/>
    <n v="574.03559999999993"/>
    <n v="0"/>
    <s v="Daily Sales Import"/>
    <n v="-574.03559999999993"/>
    <n v="574.03559999999993"/>
    <x v="2"/>
    <s v="2220"/>
    <s v="000"/>
    <x v="8"/>
    <x v="2"/>
  </r>
  <r>
    <d v="2013-06-16T00:00:00"/>
    <s v="018-2230-000"/>
    <s v="Wine Sales"/>
    <n v="122.6324"/>
    <n v="0"/>
    <s v="Daily Sales Import"/>
    <n v="-122.6324"/>
    <n v="122.6324"/>
    <x v="2"/>
    <s v="2230"/>
    <s v="000"/>
    <x v="8"/>
    <x v="2"/>
  </r>
  <r>
    <d v="2013-06-17T00:00:00"/>
    <s v="016-2100-000"/>
    <s v="Food Sales"/>
    <n v="3511.6354000000001"/>
    <n v="0"/>
    <s v="Daily Sales Import"/>
    <n v="-3511.6354000000001"/>
    <n v="3511.6354000000001"/>
    <x v="0"/>
    <s v="2100"/>
    <s v="000"/>
    <x v="8"/>
    <x v="2"/>
  </r>
  <r>
    <d v="2013-06-17T00:00:00"/>
    <s v="016-2210-000"/>
    <s v="Liquor Sales"/>
    <n v="790.08690000000001"/>
    <n v="0"/>
    <s v="Daily Sales Import"/>
    <n v="-790.08690000000001"/>
    <n v="790.08690000000001"/>
    <x v="0"/>
    <s v="2210"/>
    <s v="000"/>
    <x v="8"/>
    <x v="2"/>
  </r>
  <r>
    <d v="2013-06-17T00:00:00"/>
    <s v="016-2220-000"/>
    <s v="Beer Sales"/>
    <n v="211.22379999999995"/>
    <n v="0"/>
    <s v="Daily Sales Import"/>
    <n v="-211.22379999999995"/>
    <n v="211.22379999999995"/>
    <x v="0"/>
    <s v="2220"/>
    <s v="000"/>
    <x v="8"/>
    <x v="2"/>
  </r>
  <r>
    <d v="2013-06-17T00:00:00"/>
    <s v="016-2230-000"/>
    <s v="Wine Sales"/>
    <n v="6.3920000000000003"/>
    <n v="0"/>
    <s v="Daily Sales Import"/>
    <n v="-6.3920000000000003"/>
    <n v="6.3920000000000003"/>
    <x v="0"/>
    <s v="2230"/>
    <s v="000"/>
    <x v="8"/>
    <x v="2"/>
  </r>
  <r>
    <d v="2013-06-18T00:00:00"/>
    <s v="016-2100-000"/>
    <s v="Food Sales"/>
    <n v="6591.9892"/>
    <n v="0"/>
    <s v="Daily Sales Import"/>
    <n v="-6591.9892"/>
    <n v="6591.9892"/>
    <x v="0"/>
    <s v="2100"/>
    <s v="000"/>
    <x v="8"/>
    <x v="2"/>
  </r>
  <r>
    <d v="2013-06-18T00:00:00"/>
    <s v="016-2210-000"/>
    <s v="Liquor Sales"/>
    <n v="1624.7963999999999"/>
    <n v="0"/>
    <s v="Daily Sales Import"/>
    <n v="-1624.7963999999999"/>
    <n v="1624.7963999999999"/>
    <x v="0"/>
    <s v="2210"/>
    <s v="000"/>
    <x v="8"/>
    <x v="2"/>
  </r>
  <r>
    <d v="2013-06-18T00:00:00"/>
    <s v="016-2220-000"/>
    <s v="Beer Sales"/>
    <n v="700.03440000000001"/>
    <n v="0"/>
    <s v="Daily Sales Import"/>
    <n v="-700.03440000000001"/>
    <n v="700.03440000000001"/>
    <x v="0"/>
    <s v="2220"/>
    <s v="000"/>
    <x v="8"/>
    <x v="2"/>
  </r>
  <r>
    <d v="2013-06-18T00:00:00"/>
    <s v="016-2230-000"/>
    <s v="Wine Sales"/>
    <n v="112.456"/>
    <n v="0"/>
    <s v="Daily Sales Import"/>
    <n v="-112.456"/>
    <n v="112.456"/>
    <x v="0"/>
    <s v="2230"/>
    <s v="000"/>
    <x v="8"/>
    <x v="2"/>
  </r>
  <r>
    <d v="2013-06-19T00:00:00"/>
    <s v="016-2100-000"/>
    <s v="Food Sales"/>
    <n v="3651.5994000000001"/>
    <n v="0"/>
    <s v="Daily Sales Import"/>
    <n v="-3651.5994000000001"/>
    <n v="3651.5994000000001"/>
    <x v="0"/>
    <s v="2100"/>
    <s v="000"/>
    <x v="8"/>
    <x v="2"/>
  </r>
  <r>
    <d v="2013-06-19T00:00:00"/>
    <s v="016-2210-000"/>
    <s v="Liquor Sales"/>
    <n v="952.14210000000003"/>
    <n v="0"/>
    <s v="Daily Sales Import"/>
    <n v="-952.14210000000003"/>
    <n v="952.14210000000003"/>
    <x v="0"/>
    <s v="2210"/>
    <s v="000"/>
    <x v="8"/>
    <x v="2"/>
  </r>
  <r>
    <d v="2013-06-19T00:00:00"/>
    <s v="016-2220-000"/>
    <s v="Beer Sales"/>
    <n v="243.77759999999998"/>
    <n v="0"/>
    <s v="Daily Sales Import"/>
    <n v="-243.77759999999998"/>
    <n v="243.77759999999998"/>
    <x v="0"/>
    <s v="2220"/>
    <s v="000"/>
    <x v="8"/>
    <x v="2"/>
  </r>
  <r>
    <d v="2013-06-19T00:00:00"/>
    <s v="016-2230-000"/>
    <s v="Wine Sales"/>
    <n v="104.99049999999998"/>
    <n v="0"/>
    <s v="Daily Sales Import"/>
    <n v="-104.99049999999998"/>
    <n v="104.99049999999998"/>
    <x v="0"/>
    <s v="2230"/>
    <s v="000"/>
    <x v="8"/>
    <x v="2"/>
  </r>
  <r>
    <d v="2013-06-20T00:00:00"/>
    <s v="016-2100-000"/>
    <s v="Food Sales"/>
    <n v="2828.0358000000001"/>
    <n v="0"/>
    <s v="Daily Sales Import"/>
    <n v="-2828.0358000000001"/>
    <n v="2828.0358000000001"/>
    <x v="0"/>
    <s v="2100"/>
    <s v="000"/>
    <x v="8"/>
    <x v="2"/>
  </r>
  <r>
    <d v="2013-06-20T00:00:00"/>
    <s v="016-2210-000"/>
    <s v="Liquor Sales"/>
    <n v="639.03680000000008"/>
    <n v="0"/>
    <s v="Daily Sales Import"/>
    <n v="-639.03680000000008"/>
    <n v="639.03680000000008"/>
    <x v="0"/>
    <s v="2210"/>
    <s v="000"/>
    <x v="8"/>
    <x v="2"/>
  </r>
  <r>
    <d v="2013-06-20T00:00:00"/>
    <s v="016-2220-000"/>
    <s v="Beer Sales"/>
    <n v="204.6035"/>
    <n v="0"/>
    <s v="Daily Sales Import"/>
    <n v="-204.6035"/>
    <n v="204.6035"/>
    <x v="0"/>
    <s v="2220"/>
    <s v="000"/>
    <x v="8"/>
    <x v="2"/>
  </r>
  <r>
    <d v="2013-06-20T00:00:00"/>
    <s v="016-2230-000"/>
    <s v="Wine Sales"/>
    <n v="48.948599999999992"/>
    <n v="0"/>
    <s v="Daily Sales Import"/>
    <n v="-48.948599999999992"/>
    <n v="48.948599999999992"/>
    <x v="0"/>
    <s v="2230"/>
    <s v="000"/>
    <x v="8"/>
    <x v="2"/>
  </r>
  <r>
    <d v="2013-06-21T00:00:00"/>
    <s v="016-2100-000"/>
    <s v="Food Sales"/>
    <n v="6235.4931999999999"/>
    <n v="0"/>
    <s v="Daily Sales Import"/>
    <n v="-6235.4931999999999"/>
    <n v="6235.4931999999999"/>
    <x v="0"/>
    <s v="2100"/>
    <s v="000"/>
    <x v="8"/>
    <x v="2"/>
  </r>
  <r>
    <d v="2013-06-21T00:00:00"/>
    <s v="016-2210-000"/>
    <s v="Liquor Sales"/>
    <n v="1470.7368000000001"/>
    <n v="0"/>
    <s v="Daily Sales Import"/>
    <n v="-1470.7368000000001"/>
    <n v="1470.7368000000001"/>
    <x v="0"/>
    <s v="2210"/>
    <s v="000"/>
    <x v="8"/>
    <x v="2"/>
  </r>
  <r>
    <d v="2013-06-21T00:00:00"/>
    <s v="016-2220-000"/>
    <s v="Beer Sales"/>
    <n v="159.06150000000002"/>
    <n v="0"/>
    <s v="Daily Sales Import"/>
    <n v="-159.06150000000002"/>
    <n v="159.06150000000002"/>
    <x v="0"/>
    <s v="2220"/>
    <s v="000"/>
    <x v="8"/>
    <x v="2"/>
  </r>
  <r>
    <d v="2013-06-21T00:00:00"/>
    <s v="016-2230-000"/>
    <s v="Wine Sales"/>
    <n v="118.77"/>
    <n v="0"/>
    <s v="Daily Sales Import"/>
    <n v="-118.77"/>
    <n v="118.77"/>
    <x v="0"/>
    <s v="2230"/>
    <s v="000"/>
    <x v="8"/>
    <x v="2"/>
  </r>
  <r>
    <d v="2013-06-22T00:00:00"/>
    <s v="016-2100-000"/>
    <s v="Food Sales"/>
    <n v="9085.8768"/>
    <n v="0"/>
    <s v="Daily Sales Import"/>
    <n v="-9085.8768"/>
    <n v="9085.8768"/>
    <x v="0"/>
    <s v="2100"/>
    <s v="000"/>
    <x v="8"/>
    <x v="2"/>
  </r>
  <r>
    <d v="2013-06-22T00:00:00"/>
    <s v="016-2210-000"/>
    <s v="Liquor Sales"/>
    <n v="2521.3049999999998"/>
    <n v="0"/>
    <s v="Daily Sales Import"/>
    <n v="-2521.3049999999998"/>
    <n v="2521.3049999999998"/>
    <x v="0"/>
    <s v="2210"/>
    <s v="000"/>
    <x v="8"/>
    <x v="2"/>
  </r>
  <r>
    <d v="2013-06-22T00:00:00"/>
    <s v="016-2220-000"/>
    <s v="Beer Sales"/>
    <n v="369.06320000000005"/>
    <n v="0"/>
    <s v="Daily Sales Import"/>
    <n v="-369.06320000000005"/>
    <n v="369.06320000000005"/>
    <x v="0"/>
    <s v="2220"/>
    <s v="000"/>
    <x v="8"/>
    <x v="2"/>
  </r>
  <r>
    <d v="2013-06-22T00:00:00"/>
    <s v="016-2230-000"/>
    <s v="Wine Sales"/>
    <n v="233.85509999999999"/>
    <n v="0"/>
    <s v="Daily Sales Import"/>
    <n v="-233.85509999999999"/>
    <n v="233.85509999999999"/>
    <x v="0"/>
    <s v="2230"/>
    <s v="000"/>
    <x v="8"/>
    <x v="2"/>
  </r>
  <r>
    <d v="2013-06-23T00:00:00"/>
    <s v="016-2100-000"/>
    <s v="Food Sales"/>
    <n v="4906.1000999999997"/>
    <n v="0"/>
    <s v="Daily Sales Import"/>
    <n v="-4906.1000999999997"/>
    <n v="4906.1000999999997"/>
    <x v="0"/>
    <s v="2100"/>
    <s v="000"/>
    <x v="8"/>
    <x v="2"/>
  </r>
  <r>
    <d v="2013-06-23T00:00:00"/>
    <s v="016-2210-000"/>
    <s v="Liquor Sales"/>
    <n v="1302.0129999999999"/>
    <n v="0"/>
    <s v="Daily Sales Import"/>
    <n v="-1302.0129999999999"/>
    <n v="1302.0129999999999"/>
    <x v="0"/>
    <s v="2210"/>
    <s v="000"/>
    <x v="8"/>
    <x v="2"/>
  </r>
  <r>
    <d v="2013-06-23T00:00:00"/>
    <s v="016-2220-000"/>
    <s v="Beer Sales"/>
    <n v="175.98890000000003"/>
    <n v="0"/>
    <s v="Daily Sales Import"/>
    <n v="-175.98890000000003"/>
    <n v="175.98890000000003"/>
    <x v="0"/>
    <s v="2220"/>
    <s v="000"/>
    <x v="8"/>
    <x v="2"/>
  </r>
  <r>
    <d v="2013-06-23T00:00:00"/>
    <s v="016-2230-000"/>
    <s v="Wine Sales"/>
    <n v="122.47560000000001"/>
    <n v="0"/>
    <s v="Daily Sales Import"/>
    <n v="-122.47560000000001"/>
    <n v="122.47560000000001"/>
    <x v="0"/>
    <s v="2230"/>
    <s v="000"/>
    <x v="8"/>
    <x v="2"/>
  </r>
  <r>
    <d v="2013-06-17T00:00:00"/>
    <s v="017-2100-000"/>
    <s v="Food Sales"/>
    <n v="6308.8455000000004"/>
    <n v="0"/>
    <s v="Daily Sales Import"/>
    <n v="-6308.8455000000004"/>
    <n v="6308.8455000000004"/>
    <x v="1"/>
    <s v="2100"/>
    <s v="000"/>
    <x v="8"/>
    <x v="2"/>
  </r>
  <r>
    <d v="2013-06-17T00:00:00"/>
    <s v="017-2210-000"/>
    <s v="Liquor Sales"/>
    <n v="688.87699999999995"/>
    <n v="0"/>
    <s v="Daily Sales Import"/>
    <n v="-688.87699999999995"/>
    <n v="688.87699999999995"/>
    <x v="1"/>
    <s v="2210"/>
    <s v="000"/>
    <x v="8"/>
    <x v="2"/>
  </r>
  <r>
    <d v="2013-06-17T00:00:00"/>
    <s v="017-2220-000"/>
    <s v="Beer Sales"/>
    <n v="277.40010000000001"/>
    <n v="0"/>
    <s v="Daily Sales Import"/>
    <n v="-277.40010000000001"/>
    <n v="277.40010000000001"/>
    <x v="1"/>
    <s v="2220"/>
    <s v="000"/>
    <x v="8"/>
    <x v="2"/>
  </r>
  <r>
    <d v="2013-06-17T00:00:00"/>
    <s v="017-2230-000"/>
    <s v="Wine Sales"/>
    <n v="31.546400000000002"/>
    <n v="0"/>
    <s v="Daily Sales Import"/>
    <n v="-31.546400000000002"/>
    <n v="31.546400000000002"/>
    <x v="1"/>
    <s v="2230"/>
    <s v="000"/>
    <x v="8"/>
    <x v="2"/>
  </r>
  <r>
    <d v="2013-06-18T00:00:00"/>
    <s v="017-2100-000"/>
    <s v="Food Sales"/>
    <n v="4537.9026000000003"/>
    <n v="0"/>
    <s v="Daily Sales Import"/>
    <n v="-4537.9026000000003"/>
    <n v="4537.9026000000003"/>
    <x v="1"/>
    <s v="2100"/>
    <s v="000"/>
    <x v="8"/>
    <x v="2"/>
  </r>
  <r>
    <d v="2013-06-18T00:00:00"/>
    <s v="017-2210-000"/>
    <s v="Liquor Sales"/>
    <n v="2119.4991999999997"/>
    <n v="0"/>
    <s v="Daily Sales Import"/>
    <n v="-2119.4991999999997"/>
    <n v="2119.4991999999997"/>
    <x v="1"/>
    <s v="2210"/>
    <s v="000"/>
    <x v="8"/>
    <x v="2"/>
  </r>
  <r>
    <d v="2013-06-18T00:00:00"/>
    <s v="017-2220-000"/>
    <s v="Beer Sales"/>
    <n v="435.51200000000006"/>
    <n v="0"/>
    <s v="Daily Sales Import"/>
    <n v="-435.51200000000006"/>
    <n v="435.51200000000006"/>
    <x v="1"/>
    <s v="2220"/>
    <s v="000"/>
    <x v="8"/>
    <x v="2"/>
  </r>
  <r>
    <d v="2013-06-18T00:00:00"/>
    <s v="017-2230-000"/>
    <s v="Wine Sales"/>
    <n v="199.0625"/>
    <n v="0"/>
    <s v="Daily Sales Import"/>
    <n v="-199.0625"/>
    <n v="199.0625"/>
    <x v="1"/>
    <s v="2230"/>
    <s v="000"/>
    <x v="8"/>
    <x v="2"/>
  </r>
  <r>
    <d v="2013-06-19T00:00:00"/>
    <s v="017-2100-000"/>
    <s v="Food Sales"/>
    <n v="7985.9507000000003"/>
    <n v="0"/>
    <s v="Daily Sales Import"/>
    <n v="-7985.9507000000003"/>
    <n v="7985.9507000000003"/>
    <x v="1"/>
    <s v="2100"/>
    <s v="000"/>
    <x v="8"/>
    <x v="2"/>
  </r>
  <r>
    <d v="2013-06-19T00:00:00"/>
    <s v="017-2210-000"/>
    <s v="Liquor Sales"/>
    <n v="1027.5705"/>
    <n v="0"/>
    <s v="Daily Sales Import"/>
    <n v="-1027.5705"/>
    <n v="1027.5705"/>
    <x v="1"/>
    <s v="2210"/>
    <s v="000"/>
    <x v="8"/>
    <x v="2"/>
  </r>
  <r>
    <d v="2013-06-19T00:00:00"/>
    <s v="017-2220-000"/>
    <s v="Beer Sales"/>
    <n v="294.69760000000002"/>
    <n v="0"/>
    <s v="Daily Sales Import"/>
    <n v="-294.69760000000002"/>
    <n v="294.69760000000002"/>
    <x v="1"/>
    <s v="2220"/>
    <s v="000"/>
    <x v="8"/>
    <x v="2"/>
  </r>
  <r>
    <d v="2013-06-19T00:00:00"/>
    <s v="017-2230-000"/>
    <s v="Wine Sales"/>
    <n v="103.86919999999999"/>
    <n v="0"/>
    <s v="Daily Sales Import"/>
    <n v="-103.86919999999999"/>
    <n v="103.86919999999999"/>
    <x v="1"/>
    <s v="2230"/>
    <s v="000"/>
    <x v="8"/>
    <x v="2"/>
  </r>
  <r>
    <d v="2013-06-20T00:00:00"/>
    <s v="017-2100-000"/>
    <s v="Food Sales"/>
    <n v="7967.2152000000006"/>
    <n v="0"/>
    <s v="Daily Sales Import"/>
    <n v="-7967.2152000000006"/>
    <n v="7967.2152000000006"/>
    <x v="1"/>
    <s v="2100"/>
    <s v="000"/>
    <x v="8"/>
    <x v="2"/>
  </r>
  <r>
    <d v="2013-06-20T00:00:00"/>
    <s v="017-2210-000"/>
    <s v="Liquor Sales"/>
    <n v="1362.1272000000001"/>
    <n v="0"/>
    <s v="Daily Sales Import"/>
    <n v="-1362.1272000000001"/>
    <n v="1362.1272000000001"/>
    <x v="1"/>
    <s v="2210"/>
    <s v="000"/>
    <x v="8"/>
    <x v="2"/>
  </r>
  <r>
    <d v="2013-06-20T00:00:00"/>
    <s v="017-2220-000"/>
    <s v="Beer Sales"/>
    <n v="605.89409999999998"/>
    <n v="0"/>
    <s v="Daily Sales Import"/>
    <n v="-605.89409999999998"/>
    <n v="605.89409999999998"/>
    <x v="1"/>
    <s v="2220"/>
    <s v="000"/>
    <x v="8"/>
    <x v="2"/>
  </r>
  <r>
    <d v="2013-06-20T00:00:00"/>
    <s v="017-2230-000"/>
    <s v="Wine Sales"/>
    <n v="183.85640000000001"/>
    <n v="0"/>
    <s v="Daily Sales Import"/>
    <n v="-183.85640000000001"/>
    <n v="183.85640000000001"/>
    <x v="1"/>
    <s v="2230"/>
    <s v="000"/>
    <x v="8"/>
    <x v="2"/>
  </r>
  <r>
    <d v="2013-06-21T00:00:00"/>
    <s v="017-2100-000"/>
    <s v="Food Sales"/>
    <n v="8270.2103999999999"/>
    <n v="0"/>
    <s v="Daily Sales Import"/>
    <n v="-8270.2103999999999"/>
    <n v="8270.2103999999999"/>
    <x v="1"/>
    <s v="2100"/>
    <s v="000"/>
    <x v="8"/>
    <x v="2"/>
  </r>
  <r>
    <d v="2013-06-21T00:00:00"/>
    <s v="017-2210-000"/>
    <s v="Liquor Sales"/>
    <n v="2384.1728999999996"/>
    <n v="0"/>
    <s v="Daily Sales Import"/>
    <n v="-2384.1728999999996"/>
    <n v="2384.1728999999996"/>
    <x v="1"/>
    <s v="2210"/>
    <s v="000"/>
    <x v="8"/>
    <x v="2"/>
  </r>
  <r>
    <d v="2013-06-21T00:00:00"/>
    <s v="017-2220-000"/>
    <s v="Beer Sales"/>
    <n v="361.26"/>
    <n v="0"/>
    <s v="Daily Sales Import"/>
    <n v="-361.26"/>
    <n v="361.26"/>
    <x v="1"/>
    <s v="2220"/>
    <s v="000"/>
    <x v="8"/>
    <x v="2"/>
  </r>
  <r>
    <d v="2013-06-21T00:00:00"/>
    <s v="017-2230-000"/>
    <s v="Wine Sales"/>
    <n v="80.567999999999998"/>
    <n v="0"/>
    <s v="Daily Sales Import"/>
    <n v="-80.567999999999998"/>
    <n v="80.567999999999998"/>
    <x v="1"/>
    <s v="2230"/>
    <s v="000"/>
    <x v="8"/>
    <x v="2"/>
  </r>
  <r>
    <d v="2013-06-22T00:00:00"/>
    <s v="017-2100-000"/>
    <s v="Food Sales"/>
    <n v="8403.768"/>
    <n v="0"/>
    <s v="Daily Sales Import"/>
    <n v="-8403.768"/>
    <n v="8403.768"/>
    <x v="1"/>
    <s v="2100"/>
    <s v="000"/>
    <x v="8"/>
    <x v="2"/>
  </r>
  <r>
    <d v="2013-06-22T00:00:00"/>
    <s v="017-2210-000"/>
    <s v="Liquor Sales"/>
    <n v="2822.6802000000002"/>
    <n v="0"/>
    <s v="Daily Sales Import"/>
    <n v="-2822.6802000000002"/>
    <n v="2822.6802000000002"/>
    <x v="1"/>
    <s v="2210"/>
    <s v="000"/>
    <x v="8"/>
    <x v="2"/>
  </r>
  <r>
    <d v="2013-06-22T00:00:00"/>
    <s v="017-2220-000"/>
    <s v="Beer Sales"/>
    <n v="330.7484"/>
    <n v="0"/>
    <s v="Daily Sales Import"/>
    <n v="-330.7484"/>
    <n v="330.7484"/>
    <x v="1"/>
    <s v="2220"/>
    <s v="000"/>
    <x v="8"/>
    <x v="2"/>
  </r>
  <r>
    <d v="2013-06-22T00:00:00"/>
    <s v="017-2230-000"/>
    <s v="Wine Sales"/>
    <n v="51.219000000000001"/>
    <n v="0"/>
    <s v="Daily Sales Import"/>
    <n v="-51.219000000000001"/>
    <n v="51.219000000000001"/>
    <x v="1"/>
    <s v="2230"/>
    <s v="000"/>
    <x v="8"/>
    <x v="2"/>
  </r>
  <r>
    <d v="2013-06-23T00:00:00"/>
    <s v="017-2100-000"/>
    <s v="Food Sales"/>
    <n v="5269.0679999999993"/>
    <n v="0"/>
    <s v="Daily Sales Import"/>
    <n v="-5269.0679999999993"/>
    <n v="5269.0679999999993"/>
    <x v="1"/>
    <s v="2100"/>
    <s v="000"/>
    <x v="8"/>
    <x v="2"/>
  </r>
  <r>
    <d v="2013-06-23T00:00:00"/>
    <s v="017-2210-000"/>
    <s v="Liquor Sales"/>
    <n v="1292.2668000000001"/>
    <n v="0"/>
    <s v="Daily Sales Import"/>
    <n v="-1292.2668000000001"/>
    <n v="1292.2668000000001"/>
    <x v="1"/>
    <s v="2210"/>
    <s v="000"/>
    <x v="8"/>
    <x v="2"/>
  </r>
  <r>
    <d v="2013-06-23T00:00:00"/>
    <s v="017-2220-000"/>
    <s v="Beer Sales"/>
    <n v="251.38740000000001"/>
    <n v="0"/>
    <s v="Daily Sales Import"/>
    <n v="-251.38740000000001"/>
    <n v="251.38740000000001"/>
    <x v="1"/>
    <s v="2220"/>
    <s v="000"/>
    <x v="8"/>
    <x v="2"/>
  </r>
  <r>
    <d v="2013-06-23T00:00:00"/>
    <s v="017-2230-000"/>
    <s v="Wine Sales"/>
    <n v="99.164400000000015"/>
    <n v="0"/>
    <s v="Daily Sales Import"/>
    <n v="-99.164400000000015"/>
    <n v="99.164400000000015"/>
    <x v="1"/>
    <s v="2230"/>
    <s v="000"/>
    <x v="8"/>
    <x v="2"/>
  </r>
  <r>
    <d v="2013-06-17T00:00:00"/>
    <s v="018-2100-000"/>
    <s v="Food Sales"/>
    <n v="5904.2253999999994"/>
    <n v="0"/>
    <s v="Daily Sales Import"/>
    <n v="-5904.2253999999994"/>
    <n v="5904.2253999999994"/>
    <x v="2"/>
    <s v="2100"/>
    <s v="000"/>
    <x v="8"/>
    <x v="2"/>
  </r>
  <r>
    <d v="2013-06-17T00:00:00"/>
    <s v="018-2210-000"/>
    <s v="Liquor Sales"/>
    <n v="1134.9013"/>
    <n v="0"/>
    <s v="Daily Sales Import"/>
    <n v="-1134.9013"/>
    <n v="1134.9013"/>
    <x v="2"/>
    <s v="2210"/>
    <s v="000"/>
    <x v="8"/>
    <x v="2"/>
  </r>
  <r>
    <d v="2013-06-17T00:00:00"/>
    <s v="018-2220-000"/>
    <s v="Beer Sales"/>
    <n v="269.892"/>
    <n v="0"/>
    <s v="Daily Sales Import"/>
    <n v="-269.892"/>
    <n v="269.892"/>
    <x v="2"/>
    <s v="2220"/>
    <s v="000"/>
    <x v="8"/>
    <x v="2"/>
  </r>
  <r>
    <d v="2013-06-17T00:00:00"/>
    <s v="018-2230-000"/>
    <s v="Wine Sales"/>
    <n v="46.921600000000005"/>
    <n v="0"/>
    <s v="Daily Sales Import"/>
    <n v="-46.921600000000005"/>
    <n v="46.921600000000005"/>
    <x v="2"/>
    <s v="2230"/>
    <s v="000"/>
    <x v="8"/>
    <x v="2"/>
  </r>
  <r>
    <d v="2013-06-18T00:00:00"/>
    <s v="018-2100-000"/>
    <s v="Food Sales"/>
    <n v="6286.7699999999995"/>
    <n v="0"/>
    <s v="Daily Sales Import"/>
    <n v="-6286.7699999999995"/>
    <n v="6286.7699999999995"/>
    <x v="2"/>
    <s v="2100"/>
    <s v="000"/>
    <x v="8"/>
    <x v="2"/>
  </r>
  <r>
    <d v="2013-06-18T00:00:00"/>
    <s v="018-2210-000"/>
    <s v="Liquor Sales"/>
    <n v="831.22149999999988"/>
    <n v="0"/>
    <s v="Daily Sales Import"/>
    <n v="-831.22149999999988"/>
    <n v="831.22149999999988"/>
    <x v="2"/>
    <s v="2210"/>
    <s v="000"/>
    <x v="8"/>
    <x v="2"/>
  </r>
  <r>
    <d v="2013-06-18T00:00:00"/>
    <s v="018-2220-000"/>
    <s v="Beer Sales"/>
    <n v="255.11760000000001"/>
    <n v="0"/>
    <s v="Daily Sales Import"/>
    <n v="-255.11760000000001"/>
    <n v="255.11760000000001"/>
    <x v="2"/>
    <s v="2220"/>
    <s v="000"/>
    <x v="8"/>
    <x v="2"/>
  </r>
  <r>
    <d v="2013-06-18T00:00:00"/>
    <s v="018-2230-000"/>
    <s v="Wine Sales"/>
    <n v="31.718399999999995"/>
    <n v="0"/>
    <s v="Daily Sales Import"/>
    <n v="-31.718399999999995"/>
    <n v="31.718399999999995"/>
    <x v="2"/>
    <s v="2230"/>
    <s v="000"/>
    <x v="8"/>
    <x v="2"/>
  </r>
  <r>
    <d v="2013-06-19T00:00:00"/>
    <s v="018-2100-000"/>
    <s v="Food Sales"/>
    <n v="4593.6099999999997"/>
    <n v="0"/>
    <s v="Daily Sales Import"/>
    <n v="-4593.6099999999997"/>
    <n v="4593.6099999999997"/>
    <x v="2"/>
    <s v="2100"/>
    <s v="000"/>
    <x v="8"/>
    <x v="2"/>
  </r>
  <r>
    <d v="2013-06-19T00:00:00"/>
    <s v="018-2210-000"/>
    <s v="Liquor Sales"/>
    <n v="956.38019999999983"/>
    <n v="0"/>
    <s v="Daily Sales Import"/>
    <n v="-956.38019999999983"/>
    <n v="956.38019999999983"/>
    <x v="2"/>
    <s v="2210"/>
    <s v="000"/>
    <x v="8"/>
    <x v="2"/>
  </r>
  <r>
    <d v="2013-06-19T00:00:00"/>
    <s v="018-2220-000"/>
    <s v="Beer Sales"/>
    <n v="205.5361"/>
    <n v="0"/>
    <s v="Daily Sales Import"/>
    <n v="-205.5361"/>
    <n v="205.5361"/>
    <x v="2"/>
    <s v="2220"/>
    <s v="000"/>
    <x v="8"/>
    <x v="2"/>
  </r>
  <r>
    <d v="2013-06-19T00:00:00"/>
    <s v="018-2230-000"/>
    <s v="Wine Sales"/>
    <n v="65.497599999999991"/>
    <n v="0"/>
    <s v="Daily Sales Import"/>
    <n v="-65.497599999999991"/>
    <n v="65.497599999999991"/>
    <x v="2"/>
    <s v="2230"/>
    <s v="000"/>
    <x v="8"/>
    <x v="2"/>
  </r>
  <r>
    <d v="2013-06-20T00:00:00"/>
    <s v="018-2100-000"/>
    <s v="Food Sales"/>
    <n v="5591.0010000000011"/>
    <n v="0"/>
    <s v="Daily Sales Import"/>
    <n v="-5591.0010000000011"/>
    <n v="5591.0010000000011"/>
    <x v="2"/>
    <s v="2100"/>
    <s v="000"/>
    <x v="8"/>
    <x v="2"/>
  </r>
  <r>
    <d v="2013-06-20T00:00:00"/>
    <s v="018-2210-000"/>
    <s v="Liquor Sales"/>
    <n v="1416.9666"/>
    <n v="0"/>
    <s v="Daily Sales Import"/>
    <n v="-1416.9666"/>
    <n v="1416.9666"/>
    <x v="2"/>
    <s v="2210"/>
    <s v="000"/>
    <x v="8"/>
    <x v="2"/>
  </r>
  <r>
    <d v="2013-06-20T00:00:00"/>
    <s v="018-2220-000"/>
    <s v="Beer Sales"/>
    <n v="217.55399999999997"/>
    <n v="0"/>
    <s v="Daily Sales Import"/>
    <n v="-217.55399999999997"/>
    <n v="217.55399999999997"/>
    <x v="2"/>
    <s v="2220"/>
    <s v="000"/>
    <x v="8"/>
    <x v="2"/>
  </r>
  <r>
    <d v="2013-06-20T00:00:00"/>
    <s v="018-2230-000"/>
    <s v="Wine Sales"/>
    <n v="56.832599999999999"/>
    <n v="0"/>
    <s v="Daily Sales Import"/>
    <n v="-56.832599999999999"/>
    <n v="56.832599999999999"/>
    <x v="2"/>
    <s v="2230"/>
    <s v="000"/>
    <x v="8"/>
    <x v="2"/>
  </r>
  <r>
    <d v="2013-06-21T00:00:00"/>
    <s v="018-2100-000"/>
    <s v="Food Sales"/>
    <n v="9465.1712000000007"/>
    <n v="0"/>
    <s v="Daily Sales Import"/>
    <n v="-9465.1712000000007"/>
    <n v="9465.1712000000007"/>
    <x v="2"/>
    <s v="2100"/>
    <s v="000"/>
    <x v="8"/>
    <x v="2"/>
  </r>
  <r>
    <d v="2013-06-21T00:00:00"/>
    <s v="018-2210-000"/>
    <s v="Liquor Sales"/>
    <n v="3002.3090999999999"/>
    <n v="0"/>
    <s v="Daily Sales Import"/>
    <n v="-3002.3090999999999"/>
    <n v="3002.3090999999999"/>
    <x v="2"/>
    <s v="2210"/>
    <s v="000"/>
    <x v="8"/>
    <x v="2"/>
  </r>
  <r>
    <d v="2013-06-21T00:00:00"/>
    <s v="018-2220-000"/>
    <s v="Beer Sales"/>
    <n v="782.51880000000006"/>
    <n v="0"/>
    <s v="Daily Sales Import"/>
    <n v="-782.51880000000006"/>
    <n v="782.51880000000006"/>
    <x v="2"/>
    <s v="2220"/>
    <s v="000"/>
    <x v="8"/>
    <x v="2"/>
  </r>
  <r>
    <d v="2013-06-21T00:00:00"/>
    <s v="018-2230-000"/>
    <s v="Wine Sales"/>
    <n v="135.13999999999999"/>
    <n v="0"/>
    <s v="Daily Sales Import"/>
    <n v="-135.13999999999999"/>
    <n v="135.13999999999999"/>
    <x v="2"/>
    <s v="2230"/>
    <s v="000"/>
    <x v="8"/>
    <x v="2"/>
  </r>
  <r>
    <d v="2013-06-22T00:00:00"/>
    <s v="018-2100-000"/>
    <s v="Food Sales"/>
    <n v="13183.114"/>
    <n v="0"/>
    <s v="Daily Sales Import"/>
    <n v="-13183.114"/>
    <n v="13183.114"/>
    <x v="2"/>
    <s v="2100"/>
    <s v="000"/>
    <x v="8"/>
    <x v="2"/>
  </r>
  <r>
    <d v="2013-06-22T00:00:00"/>
    <s v="018-2210-000"/>
    <s v="Liquor Sales"/>
    <n v="3572.6064000000001"/>
    <n v="0"/>
    <s v="Daily Sales Import"/>
    <n v="-3572.6064000000001"/>
    <n v="3572.6064000000001"/>
    <x v="2"/>
    <s v="2210"/>
    <s v="000"/>
    <x v="8"/>
    <x v="2"/>
  </r>
  <r>
    <d v="2013-06-22T00:00:00"/>
    <s v="018-2220-000"/>
    <s v="Beer Sales"/>
    <n v="580.20479999999998"/>
    <n v="0"/>
    <s v="Daily Sales Import"/>
    <n v="-580.20479999999998"/>
    <n v="580.20479999999998"/>
    <x v="2"/>
    <s v="2220"/>
    <s v="000"/>
    <x v="8"/>
    <x v="2"/>
  </r>
  <r>
    <d v="2013-06-22T00:00:00"/>
    <s v="018-2230-000"/>
    <s v="Wine Sales"/>
    <n v="68.001900000000006"/>
    <n v="0"/>
    <s v="Daily Sales Import"/>
    <n v="-68.001900000000006"/>
    <n v="68.001900000000006"/>
    <x v="2"/>
    <s v="2230"/>
    <s v="000"/>
    <x v="8"/>
    <x v="2"/>
  </r>
  <r>
    <d v="2013-06-23T00:00:00"/>
    <s v="018-2100-000"/>
    <s v="Food Sales"/>
    <n v="8213.4822000000004"/>
    <n v="0"/>
    <s v="Daily Sales Import"/>
    <n v="-8213.4822000000004"/>
    <n v="8213.4822000000004"/>
    <x v="2"/>
    <s v="2100"/>
    <s v="000"/>
    <x v="8"/>
    <x v="2"/>
  </r>
  <r>
    <d v="2013-06-23T00:00:00"/>
    <s v="018-2210-000"/>
    <s v="Liquor Sales"/>
    <n v="1113.6033"/>
    <n v="0"/>
    <s v="Daily Sales Import"/>
    <n v="-1113.6033"/>
    <n v="1113.6033"/>
    <x v="2"/>
    <s v="2210"/>
    <s v="000"/>
    <x v="8"/>
    <x v="2"/>
  </r>
  <r>
    <d v="2013-06-23T00:00:00"/>
    <s v="018-2220-000"/>
    <s v="Beer Sales"/>
    <n v="347.536"/>
    <n v="0"/>
    <s v="Daily Sales Import"/>
    <n v="-347.536"/>
    <n v="347.536"/>
    <x v="2"/>
    <s v="2220"/>
    <s v="000"/>
    <x v="8"/>
    <x v="2"/>
  </r>
  <r>
    <d v="2013-06-23T00:00:00"/>
    <s v="018-2230-000"/>
    <s v="Wine Sales"/>
    <n v="96.282000000000011"/>
    <n v="0"/>
    <s v="Daily Sales Import"/>
    <n v="-96.282000000000011"/>
    <n v="96.282000000000011"/>
    <x v="2"/>
    <s v="2230"/>
    <s v="000"/>
    <x v="8"/>
    <x v="2"/>
  </r>
  <r>
    <d v="2013-06-24T00:00:00"/>
    <s v="016-2100-000"/>
    <s v="Food Sales"/>
    <n v="2313.7365999999997"/>
    <n v="0"/>
    <s v="Daily Sales Import"/>
    <n v="-2313.7365999999997"/>
    <n v="2313.7365999999997"/>
    <x v="0"/>
    <s v="2100"/>
    <s v="000"/>
    <x v="8"/>
    <x v="2"/>
  </r>
  <r>
    <d v="2013-06-24T00:00:00"/>
    <s v="016-2210-000"/>
    <s v="Liquor Sales"/>
    <n v="463.11840000000007"/>
    <n v="0"/>
    <s v="Daily Sales Import"/>
    <n v="-463.11840000000007"/>
    <n v="463.11840000000007"/>
    <x v="0"/>
    <s v="2210"/>
    <s v="000"/>
    <x v="8"/>
    <x v="2"/>
  </r>
  <r>
    <d v="2013-06-24T00:00:00"/>
    <s v="016-2220-000"/>
    <s v="Beer Sales"/>
    <n v="140.72400000000002"/>
    <n v="0"/>
    <s v="Daily Sales Import"/>
    <n v="-140.72400000000002"/>
    <n v="140.72400000000002"/>
    <x v="0"/>
    <s v="2220"/>
    <s v="000"/>
    <x v="8"/>
    <x v="2"/>
  </r>
  <r>
    <d v="2013-06-24T00:00:00"/>
    <s v="016-2230-000"/>
    <s v="Wine Sales"/>
    <n v="61.148999999999994"/>
    <n v="0"/>
    <s v="Daily Sales Import"/>
    <n v="-61.148999999999994"/>
    <n v="61.148999999999994"/>
    <x v="0"/>
    <s v="2230"/>
    <s v="000"/>
    <x v="8"/>
    <x v="2"/>
  </r>
  <r>
    <d v="2013-06-25T00:00:00"/>
    <s v="016-2100-000"/>
    <s v="Food Sales"/>
    <n v="7353.0828000000001"/>
    <n v="0"/>
    <s v="Daily Sales Import"/>
    <n v="-7353.0828000000001"/>
    <n v="7353.0828000000001"/>
    <x v="0"/>
    <s v="2100"/>
    <s v="000"/>
    <x v="8"/>
    <x v="2"/>
  </r>
  <r>
    <d v="2013-06-25T00:00:00"/>
    <s v="016-2210-000"/>
    <s v="Liquor Sales"/>
    <n v="2909.3490000000002"/>
    <n v="0"/>
    <s v="Daily Sales Import"/>
    <n v="-2909.3490000000002"/>
    <n v="2909.3490000000002"/>
    <x v="0"/>
    <s v="2210"/>
    <s v="000"/>
    <x v="8"/>
    <x v="2"/>
  </r>
  <r>
    <d v="2013-06-25T00:00:00"/>
    <s v="016-2220-000"/>
    <s v="Beer Sales"/>
    <n v="954.91779999999994"/>
    <n v="0"/>
    <s v="Daily Sales Import"/>
    <n v="-954.91779999999994"/>
    <n v="954.91779999999994"/>
    <x v="0"/>
    <s v="2220"/>
    <s v="000"/>
    <x v="8"/>
    <x v="2"/>
  </r>
  <r>
    <d v="2013-06-25T00:00:00"/>
    <s v="016-2230-000"/>
    <s v="Wine Sales"/>
    <n v="156.37639999999999"/>
    <n v="0"/>
    <s v="Daily Sales Import"/>
    <n v="-156.37639999999999"/>
    <n v="156.37639999999999"/>
    <x v="0"/>
    <s v="2230"/>
    <s v="000"/>
    <x v="8"/>
    <x v="2"/>
  </r>
  <r>
    <d v="2013-06-26T00:00:00"/>
    <s v="016-2100-000"/>
    <s v="Food Sales"/>
    <n v="2848.1862999999998"/>
    <n v="0"/>
    <s v="Daily Sales Import"/>
    <n v="-2848.1862999999998"/>
    <n v="2848.1862999999998"/>
    <x v="0"/>
    <s v="2100"/>
    <s v="000"/>
    <x v="8"/>
    <x v="2"/>
  </r>
  <r>
    <d v="2013-06-26T00:00:00"/>
    <s v="016-2210-000"/>
    <s v="Liquor Sales"/>
    <n v="597.71280000000002"/>
    <n v="0"/>
    <s v="Daily Sales Import"/>
    <n v="-597.71280000000002"/>
    <n v="597.71280000000002"/>
    <x v="0"/>
    <s v="2210"/>
    <s v="000"/>
    <x v="8"/>
    <x v="2"/>
  </r>
  <r>
    <d v="2013-06-26T00:00:00"/>
    <s v="016-2220-000"/>
    <s v="Beer Sales"/>
    <n v="132.93600000000001"/>
    <n v="0"/>
    <s v="Daily Sales Import"/>
    <n v="-132.93600000000001"/>
    <n v="132.93600000000001"/>
    <x v="0"/>
    <s v="2220"/>
    <s v="000"/>
    <x v="8"/>
    <x v="2"/>
  </r>
  <r>
    <d v="2013-06-26T00:00:00"/>
    <s v="016-2230-000"/>
    <s v="Wine Sales"/>
    <n v="54.404000000000011"/>
    <n v="0"/>
    <s v="Daily Sales Import"/>
    <n v="-54.404000000000011"/>
    <n v="54.404000000000011"/>
    <x v="0"/>
    <s v="2230"/>
    <s v="000"/>
    <x v="8"/>
    <x v="2"/>
  </r>
  <r>
    <d v="2013-06-27T00:00:00"/>
    <s v="016-2100-000"/>
    <s v="Food Sales"/>
    <n v="3589.7043000000003"/>
    <n v="0"/>
    <s v="Daily Sales Import"/>
    <n v="-3589.7043000000003"/>
    <n v="3589.7043000000003"/>
    <x v="0"/>
    <s v="2100"/>
    <s v="000"/>
    <x v="8"/>
    <x v="2"/>
  </r>
  <r>
    <d v="2013-06-27T00:00:00"/>
    <s v="016-2210-000"/>
    <s v="Liquor Sales"/>
    <n v="934.13059999999984"/>
    <n v="0"/>
    <s v="Daily Sales Import"/>
    <n v="-934.13059999999984"/>
    <n v="934.13059999999984"/>
    <x v="0"/>
    <s v="2210"/>
    <s v="000"/>
    <x v="8"/>
    <x v="2"/>
  </r>
  <r>
    <d v="2013-06-27T00:00:00"/>
    <s v="016-2220-000"/>
    <s v="Beer Sales"/>
    <n v="192.57750000000001"/>
    <n v="0"/>
    <s v="Daily Sales Import"/>
    <n v="-192.57750000000001"/>
    <n v="192.57750000000001"/>
    <x v="0"/>
    <s v="2220"/>
    <s v="000"/>
    <x v="8"/>
    <x v="2"/>
  </r>
  <r>
    <d v="2013-06-27T00:00:00"/>
    <s v="016-2230-000"/>
    <s v="Wine Sales"/>
    <n v="121.595"/>
    <n v="0"/>
    <s v="Daily Sales Import"/>
    <n v="-121.595"/>
    <n v="121.595"/>
    <x v="0"/>
    <s v="2230"/>
    <s v="000"/>
    <x v="8"/>
    <x v="2"/>
  </r>
  <r>
    <d v="2013-06-28T00:00:00"/>
    <s v="016-2100-000"/>
    <s v="Food Sales"/>
    <n v="4605.2728000000006"/>
    <n v="0"/>
    <s v="Daily Sales Import"/>
    <n v="-4605.2728000000006"/>
    <n v="4605.2728000000006"/>
    <x v="0"/>
    <s v="2100"/>
    <s v="000"/>
    <x v="8"/>
    <x v="2"/>
  </r>
  <r>
    <d v="2013-06-28T00:00:00"/>
    <s v="016-2210-000"/>
    <s v="Liquor Sales"/>
    <n v="1601.5719999999999"/>
    <n v="0"/>
    <s v="Daily Sales Import"/>
    <n v="-1601.5719999999999"/>
    <n v="1601.5719999999999"/>
    <x v="0"/>
    <s v="2210"/>
    <s v="000"/>
    <x v="8"/>
    <x v="2"/>
  </r>
  <r>
    <d v="2013-06-28T00:00:00"/>
    <s v="016-2220-000"/>
    <s v="Beer Sales"/>
    <n v="314.041"/>
    <n v="0"/>
    <s v="Daily Sales Import"/>
    <n v="-314.041"/>
    <n v="314.041"/>
    <x v="0"/>
    <s v="2220"/>
    <s v="000"/>
    <x v="8"/>
    <x v="2"/>
  </r>
  <r>
    <d v="2013-06-28T00:00:00"/>
    <s v="016-2230-000"/>
    <s v="Wine Sales"/>
    <n v="185.74709999999999"/>
    <n v="0"/>
    <s v="Daily Sales Import"/>
    <n v="-185.74709999999999"/>
    <n v="185.74709999999999"/>
    <x v="0"/>
    <s v="2230"/>
    <s v="000"/>
    <x v="8"/>
    <x v="2"/>
  </r>
  <r>
    <d v="2013-06-29T00:00:00"/>
    <s v="016-2100-000"/>
    <s v="Food Sales"/>
    <n v="5924.5416999999998"/>
    <n v="0"/>
    <s v="Daily Sales Import"/>
    <n v="-5924.5416999999998"/>
    <n v="5924.5416999999998"/>
    <x v="0"/>
    <s v="2100"/>
    <s v="000"/>
    <x v="8"/>
    <x v="2"/>
  </r>
  <r>
    <d v="2013-06-29T00:00:00"/>
    <s v="016-2210-000"/>
    <s v="Liquor Sales"/>
    <n v="1354.4561999999999"/>
    <n v="0"/>
    <s v="Daily Sales Import"/>
    <n v="-1354.4561999999999"/>
    <n v="1354.4561999999999"/>
    <x v="0"/>
    <s v="2210"/>
    <s v="000"/>
    <x v="8"/>
    <x v="2"/>
  </r>
  <r>
    <d v="2013-06-29T00:00:00"/>
    <s v="016-2220-000"/>
    <s v="Beer Sales"/>
    <n v="355.07120000000003"/>
    <n v="0"/>
    <s v="Daily Sales Import"/>
    <n v="-355.07120000000003"/>
    <n v="355.07120000000003"/>
    <x v="0"/>
    <s v="2220"/>
    <s v="000"/>
    <x v="8"/>
    <x v="2"/>
  </r>
  <r>
    <d v="2013-06-29T00:00:00"/>
    <s v="016-2230-000"/>
    <s v="Wine Sales"/>
    <n v="43.749200000000002"/>
    <n v="0"/>
    <s v="Daily Sales Import"/>
    <n v="-43.749200000000002"/>
    <n v="43.749200000000002"/>
    <x v="0"/>
    <s v="2230"/>
    <s v="000"/>
    <x v="8"/>
    <x v="2"/>
  </r>
  <r>
    <d v="2013-06-30T00:00:00"/>
    <s v="016-2100-000"/>
    <s v="Food Sales"/>
    <n v="5634.3468000000003"/>
    <n v="0"/>
    <s v="Daily Sales Import"/>
    <n v="-5634.3468000000003"/>
    <n v="5634.3468000000003"/>
    <x v="0"/>
    <s v="2100"/>
    <s v="000"/>
    <x v="8"/>
    <x v="2"/>
  </r>
  <r>
    <d v="2013-06-30T00:00:00"/>
    <s v="016-2210-000"/>
    <s v="Liquor Sales"/>
    <n v="1043.2296000000001"/>
    <n v="0"/>
    <s v="Daily Sales Import"/>
    <n v="-1043.2296000000001"/>
    <n v="1043.2296000000001"/>
    <x v="0"/>
    <s v="2210"/>
    <s v="000"/>
    <x v="8"/>
    <x v="2"/>
  </r>
  <r>
    <d v="2013-06-30T00:00:00"/>
    <s v="016-2220-000"/>
    <s v="Beer Sales"/>
    <n v="158.3194"/>
    <n v="0"/>
    <s v="Daily Sales Import"/>
    <n v="-158.3194"/>
    <n v="158.3194"/>
    <x v="0"/>
    <s v="2220"/>
    <s v="000"/>
    <x v="8"/>
    <x v="2"/>
  </r>
  <r>
    <d v="2013-06-30T00:00:00"/>
    <s v="016-2230-000"/>
    <s v="Wine Sales"/>
    <n v="75.314400000000006"/>
    <n v="0"/>
    <s v="Daily Sales Import"/>
    <n v="-75.314400000000006"/>
    <n v="75.314400000000006"/>
    <x v="0"/>
    <s v="2230"/>
    <s v="000"/>
    <x v="8"/>
    <x v="2"/>
  </r>
  <r>
    <d v="2013-06-24T00:00:00"/>
    <s v="017-2100-000"/>
    <s v="Food Sales"/>
    <n v="3823.8984000000005"/>
    <n v="0"/>
    <s v="Daily Sales Import"/>
    <n v="-3823.8984000000005"/>
    <n v="3823.8984000000005"/>
    <x v="1"/>
    <s v="2100"/>
    <s v="000"/>
    <x v="8"/>
    <x v="2"/>
  </r>
  <r>
    <d v="2013-06-24T00:00:00"/>
    <s v="017-2210-000"/>
    <s v="Liquor Sales"/>
    <n v="934.8818"/>
    <n v="0"/>
    <s v="Daily Sales Import"/>
    <n v="-934.8818"/>
    <n v="934.8818"/>
    <x v="1"/>
    <s v="2210"/>
    <s v="000"/>
    <x v="8"/>
    <x v="2"/>
  </r>
  <r>
    <d v="2013-06-24T00:00:00"/>
    <s v="017-2220-000"/>
    <s v="Beer Sales"/>
    <n v="158.98979999999997"/>
    <n v="0"/>
    <s v="Daily Sales Import"/>
    <n v="-158.98979999999997"/>
    <n v="158.98979999999997"/>
    <x v="1"/>
    <s v="2220"/>
    <s v="000"/>
    <x v="8"/>
    <x v="2"/>
  </r>
  <r>
    <d v="2013-06-24T00:00:00"/>
    <s v="017-2230-000"/>
    <s v="Wine Sales"/>
    <n v="68.662199999999984"/>
    <n v="0"/>
    <s v="Daily Sales Import"/>
    <n v="-68.662199999999984"/>
    <n v="68.662199999999984"/>
    <x v="1"/>
    <s v="2230"/>
    <s v="000"/>
    <x v="8"/>
    <x v="2"/>
  </r>
  <r>
    <d v="2013-06-25T00:00:00"/>
    <s v="017-2100-000"/>
    <s v="Food Sales"/>
    <n v="5290.3296"/>
    <n v="0"/>
    <s v="Daily Sales Import"/>
    <n v="-5290.3296"/>
    <n v="5290.3296"/>
    <x v="1"/>
    <s v="2100"/>
    <s v="000"/>
    <x v="8"/>
    <x v="2"/>
  </r>
  <r>
    <d v="2013-06-25T00:00:00"/>
    <s v="017-2210-000"/>
    <s v="Liquor Sales"/>
    <n v="1439.8184000000001"/>
    <n v="0"/>
    <s v="Daily Sales Import"/>
    <n v="-1439.8184000000001"/>
    <n v="1439.8184000000001"/>
    <x v="1"/>
    <s v="2210"/>
    <s v="000"/>
    <x v="8"/>
    <x v="2"/>
  </r>
  <r>
    <d v="2013-06-25T00:00:00"/>
    <s v="017-2220-000"/>
    <s v="Beer Sales"/>
    <n v="494.24699999999996"/>
    <n v="0"/>
    <s v="Daily Sales Import"/>
    <n v="-494.24699999999996"/>
    <n v="494.24699999999996"/>
    <x v="1"/>
    <s v="2220"/>
    <s v="000"/>
    <x v="8"/>
    <x v="2"/>
  </r>
  <r>
    <d v="2013-06-25T00:00:00"/>
    <s v="017-2230-000"/>
    <s v="Wine Sales"/>
    <n v="191.04599999999999"/>
    <n v="0"/>
    <s v="Daily Sales Import"/>
    <n v="-191.04599999999999"/>
    <n v="191.04599999999999"/>
    <x v="1"/>
    <s v="2230"/>
    <s v="000"/>
    <x v="8"/>
    <x v="2"/>
  </r>
  <r>
    <d v="2013-06-26T00:00:00"/>
    <s v="017-2100-000"/>
    <s v="Food Sales"/>
    <n v="7303.0601999999999"/>
    <n v="0"/>
    <s v="Daily Sales Import"/>
    <n v="-7303.0601999999999"/>
    <n v="7303.0601999999999"/>
    <x v="1"/>
    <s v="2100"/>
    <s v="000"/>
    <x v="8"/>
    <x v="2"/>
  </r>
  <r>
    <d v="2013-06-26T00:00:00"/>
    <s v="017-2210-000"/>
    <s v="Liquor Sales"/>
    <n v="1827.9878000000001"/>
    <n v="0"/>
    <s v="Daily Sales Import"/>
    <n v="-1827.9878000000001"/>
    <n v="1827.9878000000001"/>
    <x v="1"/>
    <s v="2210"/>
    <s v="000"/>
    <x v="8"/>
    <x v="2"/>
  </r>
  <r>
    <d v="2013-06-26T00:00:00"/>
    <s v="017-2220-000"/>
    <s v="Beer Sales"/>
    <n v="383.05919999999998"/>
    <n v="0"/>
    <s v="Daily Sales Import"/>
    <n v="-383.05919999999998"/>
    <n v="383.05919999999998"/>
    <x v="1"/>
    <s v="2220"/>
    <s v="000"/>
    <x v="8"/>
    <x v="2"/>
  </r>
  <r>
    <d v="2013-06-26T00:00:00"/>
    <s v="017-2230-000"/>
    <s v="Wine Sales"/>
    <n v="138.83760000000001"/>
    <n v="0"/>
    <s v="Daily Sales Import"/>
    <n v="-138.83760000000001"/>
    <n v="138.83760000000001"/>
    <x v="1"/>
    <s v="2230"/>
    <s v="000"/>
    <x v="8"/>
    <x v="2"/>
  </r>
  <r>
    <d v="2013-06-27T00:00:00"/>
    <s v="017-2100-000"/>
    <s v="Food Sales"/>
    <n v="7337.3549999999996"/>
    <n v="0"/>
    <s v="Daily Sales Import"/>
    <n v="-7337.3549999999996"/>
    <n v="7337.3549999999996"/>
    <x v="1"/>
    <s v="2100"/>
    <s v="000"/>
    <x v="8"/>
    <x v="2"/>
  </r>
  <r>
    <d v="2013-06-27T00:00:00"/>
    <s v="017-2210-000"/>
    <s v="Liquor Sales"/>
    <n v="2399.9535000000001"/>
    <n v="0"/>
    <s v="Daily Sales Import"/>
    <n v="-2399.9535000000001"/>
    <n v="2399.9535000000001"/>
    <x v="1"/>
    <s v="2210"/>
    <s v="000"/>
    <x v="8"/>
    <x v="2"/>
  </r>
  <r>
    <d v="2013-06-27T00:00:00"/>
    <s v="017-2220-000"/>
    <s v="Beer Sales"/>
    <n v="836.10630000000003"/>
    <n v="0"/>
    <s v="Daily Sales Import"/>
    <n v="-836.10630000000003"/>
    <n v="836.10630000000003"/>
    <x v="1"/>
    <s v="2220"/>
    <s v="000"/>
    <x v="8"/>
    <x v="2"/>
  </r>
  <r>
    <d v="2013-06-27T00:00:00"/>
    <s v="017-2230-000"/>
    <s v="Wine Sales"/>
    <n v="133.52670000000001"/>
    <n v="0"/>
    <s v="Daily Sales Import"/>
    <n v="-133.52670000000001"/>
    <n v="133.52670000000001"/>
    <x v="1"/>
    <s v="2230"/>
    <s v="000"/>
    <x v="8"/>
    <x v="2"/>
  </r>
  <r>
    <d v="2013-06-28T00:00:00"/>
    <s v="017-2100-000"/>
    <s v="Food Sales"/>
    <n v="9819.4856999999993"/>
    <n v="0"/>
    <s v="Daily Sales Import"/>
    <n v="-9819.4856999999993"/>
    <n v="9819.4856999999993"/>
    <x v="1"/>
    <s v="2100"/>
    <s v="000"/>
    <x v="8"/>
    <x v="2"/>
  </r>
  <r>
    <d v="2013-06-28T00:00:00"/>
    <s v="017-2210-000"/>
    <s v="Liquor Sales"/>
    <n v="2719.558"/>
    <n v="0"/>
    <s v="Daily Sales Import"/>
    <n v="-2719.558"/>
    <n v="2719.558"/>
    <x v="1"/>
    <s v="2210"/>
    <s v="000"/>
    <x v="8"/>
    <x v="2"/>
  </r>
  <r>
    <d v="2013-06-28T00:00:00"/>
    <s v="017-2220-000"/>
    <s v="Beer Sales"/>
    <n v="560.19690000000003"/>
    <n v="0"/>
    <s v="Daily Sales Import"/>
    <n v="-560.19690000000003"/>
    <n v="560.19690000000003"/>
    <x v="1"/>
    <s v="2220"/>
    <s v="000"/>
    <x v="8"/>
    <x v="2"/>
  </r>
  <r>
    <d v="2013-06-28T00:00:00"/>
    <s v="017-2230-000"/>
    <s v="Wine Sales"/>
    <n v="142.45999999999998"/>
    <n v="0"/>
    <s v="Daily Sales Import"/>
    <n v="-142.45999999999998"/>
    <n v="142.45999999999998"/>
    <x v="1"/>
    <s v="2230"/>
    <s v="000"/>
    <x v="8"/>
    <x v="2"/>
  </r>
  <r>
    <d v="2013-06-29T00:00:00"/>
    <s v="017-2100-000"/>
    <s v="Food Sales"/>
    <n v="6800.7019"/>
    <n v="0"/>
    <s v="Daily Sales Import"/>
    <n v="-6800.7019"/>
    <n v="6800.7019"/>
    <x v="1"/>
    <s v="2100"/>
    <s v="000"/>
    <x v="8"/>
    <x v="2"/>
  </r>
  <r>
    <d v="2013-06-29T00:00:00"/>
    <s v="017-2210-000"/>
    <s v="Liquor Sales"/>
    <n v="1695.8447999999999"/>
    <n v="0"/>
    <s v="Daily Sales Import"/>
    <n v="-1695.8447999999999"/>
    <n v="1695.8447999999999"/>
    <x v="1"/>
    <s v="2210"/>
    <s v="000"/>
    <x v="8"/>
    <x v="2"/>
  </r>
  <r>
    <d v="2013-06-29T00:00:00"/>
    <s v="017-2220-000"/>
    <s v="Beer Sales"/>
    <n v="328.34159999999997"/>
    <n v="0"/>
    <s v="Daily Sales Import"/>
    <n v="-328.34159999999997"/>
    <n v="328.34159999999997"/>
    <x v="1"/>
    <s v="2220"/>
    <s v="000"/>
    <x v="8"/>
    <x v="2"/>
  </r>
  <r>
    <d v="2013-06-29T00:00:00"/>
    <s v="017-2230-000"/>
    <s v="Wine Sales"/>
    <n v="56.02239999999999"/>
    <n v="0"/>
    <s v="Daily Sales Import"/>
    <n v="-56.02239999999999"/>
    <n v="56.02239999999999"/>
    <x v="1"/>
    <s v="2230"/>
    <s v="000"/>
    <x v="8"/>
    <x v="2"/>
  </r>
  <r>
    <d v="2013-06-30T00:00:00"/>
    <s v="017-2100-000"/>
    <s v="Food Sales"/>
    <n v="6643.9364000000005"/>
    <n v="0"/>
    <s v="Daily Sales Import"/>
    <n v="-6643.9364000000005"/>
    <n v="6643.9364000000005"/>
    <x v="1"/>
    <s v="2100"/>
    <s v="000"/>
    <x v="8"/>
    <x v="2"/>
  </r>
  <r>
    <d v="2013-06-30T00:00:00"/>
    <s v="017-2210-000"/>
    <s v="Liquor Sales"/>
    <n v="951.98400000000004"/>
    <n v="0"/>
    <s v="Daily Sales Import"/>
    <n v="-951.98400000000004"/>
    <n v="951.98400000000004"/>
    <x v="1"/>
    <s v="2210"/>
    <s v="000"/>
    <x v="8"/>
    <x v="2"/>
  </r>
  <r>
    <d v="2013-06-30T00:00:00"/>
    <s v="017-2220-000"/>
    <s v="Beer Sales"/>
    <n v="294.32800000000003"/>
    <n v="0"/>
    <s v="Daily Sales Import"/>
    <n v="-294.32800000000003"/>
    <n v="294.32800000000003"/>
    <x v="1"/>
    <s v="2220"/>
    <s v="000"/>
    <x v="8"/>
    <x v="2"/>
  </r>
  <r>
    <d v="2013-06-30T00:00:00"/>
    <s v="017-2230-000"/>
    <s v="Wine Sales"/>
    <n v="110.02680000000001"/>
    <n v="0"/>
    <s v="Daily Sales Import"/>
    <n v="-110.02680000000001"/>
    <n v="110.02680000000001"/>
    <x v="1"/>
    <s v="2230"/>
    <s v="000"/>
    <x v="8"/>
    <x v="2"/>
  </r>
  <r>
    <d v="2013-06-24T00:00:00"/>
    <s v="018-2100-000"/>
    <s v="Food Sales"/>
    <n v="3560.0320000000002"/>
    <n v="0"/>
    <s v="Daily Sales Import"/>
    <n v="-3560.0320000000002"/>
    <n v="3560.0320000000002"/>
    <x v="2"/>
    <s v="2100"/>
    <s v="000"/>
    <x v="8"/>
    <x v="2"/>
  </r>
  <r>
    <d v="2013-06-24T00:00:00"/>
    <s v="018-2210-000"/>
    <s v="Liquor Sales"/>
    <n v="633.05200000000013"/>
    <n v="0"/>
    <s v="Daily Sales Import"/>
    <n v="-633.05200000000013"/>
    <n v="633.05200000000013"/>
    <x v="2"/>
    <s v="2210"/>
    <s v="000"/>
    <x v="8"/>
    <x v="2"/>
  </r>
  <r>
    <d v="2013-06-24T00:00:00"/>
    <s v="018-2220-000"/>
    <s v="Beer Sales"/>
    <n v="190.20960000000002"/>
    <n v="0"/>
    <s v="Daily Sales Import"/>
    <n v="-190.20960000000002"/>
    <n v="190.20960000000002"/>
    <x v="2"/>
    <s v="2220"/>
    <s v="000"/>
    <x v="8"/>
    <x v="2"/>
  </r>
  <r>
    <d v="2013-06-24T00:00:00"/>
    <s v="018-2230-000"/>
    <s v="Wine Sales"/>
    <n v="40.252200000000002"/>
    <n v="0"/>
    <s v="Daily Sales Import"/>
    <n v="-40.252200000000002"/>
    <n v="40.252200000000002"/>
    <x v="2"/>
    <s v="2230"/>
    <s v="000"/>
    <x v="8"/>
    <x v="2"/>
  </r>
  <r>
    <d v="2013-06-25T00:00:00"/>
    <s v="018-2100-000"/>
    <s v="Food Sales"/>
    <n v="3533.4242999999997"/>
    <n v="0"/>
    <s v="Daily Sales Import"/>
    <n v="-3533.4242999999997"/>
    <n v="3533.4242999999997"/>
    <x v="2"/>
    <s v="2100"/>
    <s v="000"/>
    <x v="8"/>
    <x v="2"/>
  </r>
  <r>
    <d v="2013-06-25T00:00:00"/>
    <s v="018-2210-000"/>
    <s v="Liquor Sales"/>
    <n v="709.65899999999988"/>
    <n v="0"/>
    <s v="Daily Sales Import"/>
    <n v="-709.65899999999988"/>
    <n v="709.65899999999988"/>
    <x v="2"/>
    <s v="2210"/>
    <s v="000"/>
    <x v="8"/>
    <x v="2"/>
  </r>
  <r>
    <d v="2013-06-25T00:00:00"/>
    <s v="018-2220-000"/>
    <s v="Beer Sales"/>
    <n v="309.82319999999999"/>
    <n v="0"/>
    <s v="Daily Sales Import"/>
    <n v="-309.82319999999999"/>
    <n v="309.82319999999999"/>
    <x v="2"/>
    <s v="2220"/>
    <s v="000"/>
    <x v="8"/>
    <x v="2"/>
  </r>
  <r>
    <d v="2013-06-25T00:00:00"/>
    <s v="018-2230-000"/>
    <s v="Wine Sales"/>
    <n v="79.6053"/>
    <n v="0"/>
    <s v="Daily Sales Import"/>
    <n v="-79.6053"/>
    <n v="79.6053"/>
    <x v="2"/>
    <s v="2230"/>
    <s v="000"/>
    <x v="8"/>
    <x v="2"/>
  </r>
  <r>
    <d v="2013-06-26T00:00:00"/>
    <s v="018-2100-000"/>
    <s v="Food Sales"/>
    <n v="5492.0168000000003"/>
    <n v="0"/>
    <s v="Daily Sales Import"/>
    <n v="-5492.0168000000003"/>
    <n v="5492.0168000000003"/>
    <x v="2"/>
    <s v="2100"/>
    <s v="000"/>
    <x v="8"/>
    <x v="2"/>
  </r>
  <r>
    <d v="2013-06-26T00:00:00"/>
    <s v="018-2210-000"/>
    <s v="Liquor Sales"/>
    <n v="883.74329999999986"/>
    <n v="0"/>
    <s v="Daily Sales Import"/>
    <n v="-883.74329999999986"/>
    <n v="883.74329999999986"/>
    <x v="2"/>
    <s v="2210"/>
    <s v="000"/>
    <x v="8"/>
    <x v="2"/>
  </r>
  <r>
    <d v="2013-06-26T00:00:00"/>
    <s v="018-2220-000"/>
    <s v="Beer Sales"/>
    <n v="451.80099999999999"/>
    <n v="0"/>
    <s v="Daily Sales Import"/>
    <n v="-451.80099999999999"/>
    <n v="451.80099999999999"/>
    <x v="2"/>
    <s v="2220"/>
    <s v="000"/>
    <x v="8"/>
    <x v="2"/>
  </r>
  <r>
    <d v="2013-06-26T00:00:00"/>
    <s v="018-2230-000"/>
    <s v="Wine Sales"/>
    <n v="69.292299999999997"/>
    <n v="0"/>
    <s v="Daily Sales Import"/>
    <n v="-69.292299999999997"/>
    <n v="69.292299999999997"/>
    <x v="2"/>
    <s v="2230"/>
    <s v="000"/>
    <x v="8"/>
    <x v="2"/>
  </r>
  <r>
    <d v="2013-06-27T00:00:00"/>
    <s v="018-2100-000"/>
    <s v="Food Sales"/>
    <n v="5310.5236999999997"/>
    <n v="0"/>
    <s v="Daily Sales Import"/>
    <n v="-5310.5236999999997"/>
    <n v="5310.5236999999997"/>
    <x v="2"/>
    <s v="2100"/>
    <s v="000"/>
    <x v="8"/>
    <x v="2"/>
  </r>
  <r>
    <d v="2013-06-27T00:00:00"/>
    <s v="018-2210-000"/>
    <s v="Liquor Sales"/>
    <n v="1264.7103"/>
    <n v="0"/>
    <s v="Daily Sales Import"/>
    <n v="-1264.7103"/>
    <n v="1264.7103"/>
    <x v="2"/>
    <s v="2210"/>
    <s v="000"/>
    <x v="8"/>
    <x v="2"/>
  </r>
  <r>
    <d v="2013-06-27T00:00:00"/>
    <s v="018-2220-000"/>
    <s v="Beer Sales"/>
    <n v="425.48869999999999"/>
    <n v="0"/>
    <s v="Daily Sales Import"/>
    <n v="-425.48869999999999"/>
    <n v="425.48869999999999"/>
    <x v="2"/>
    <s v="2220"/>
    <s v="000"/>
    <x v="8"/>
    <x v="2"/>
  </r>
  <r>
    <d v="2013-06-27T00:00:00"/>
    <s v="018-2230-000"/>
    <s v="Wine Sales"/>
    <n v="54.924199999999999"/>
    <n v="0"/>
    <s v="Daily Sales Import"/>
    <n v="-54.924199999999999"/>
    <n v="54.924199999999999"/>
    <x v="2"/>
    <s v="2230"/>
    <s v="000"/>
    <x v="8"/>
    <x v="2"/>
  </r>
  <r>
    <d v="2013-06-28T00:00:00"/>
    <s v="018-2100-000"/>
    <s v="Food Sales"/>
    <n v="8213.7909999999993"/>
    <n v="0"/>
    <s v="Daily Sales Import"/>
    <n v="-8213.7909999999993"/>
    <n v="8213.7909999999993"/>
    <x v="2"/>
    <s v="2100"/>
    <s v="000"/>
    <x v="8"/>
    <x v="2"/>
  </r>
  <r>
    <d v="2013-06-28T00:00:00"/>
    <s v="018-2210-000"/>
    <s v="Liquor Sales"/>
    <n v="2467.3308000000002"/>
    <n v="0"/>
    <s v="Daily Sales Import"/>
    <n v="-2467.3308000000002"/>
    <n v="2467.3308000000002"/>
    <x v="2"/>
    <s v="2210"/>
    <s v="000"/>
    <x v="8"/>
    <x v="2"/>
  </r>
  <r>
    <d v="2013-06-28T00:00:00"/>
    <s v="018-2220-000"/>
    <s v="Beer Sales"/>
    <n v="686.56459999999993"/>
    <n v="0"/>
    <s v="Daily Sales Import"/>
    <n v="-686.56459999999993"/>
    <n v="686.56459999999993"/>
    <x v="2"/>
    <s v="2220"/>
    <s v="000"/>
    <x v="8"/>
    <x v="2"/>
  </r>
  <r>
    <d v="2013-06-28T00:00:00"/>
    <s v="018-2230-000"/>
    <s v="Wine Sales"/>
    <n v="104.05199999999999"/>
    <n v="0"/>
    <s v="Daily Sales Import"/>
    <n v="-104.05199999999999"/>
    <n v="104.05199999999999"/>
    <x v="2"/>
    <s v="2230"/>
    <s v="000"/>
    <x v="8"/>
    <x v="2"/>
  </r>
  <r>
    <d v="2013-06-29T00:00:00"/>
    <s v="018-2100-000"/>
    <s v="Food Sales"/>
    <n v="10691.915999999999"/>
    <n v="0"/>
    <s v="Daily Sales Import"/>
    <n v="-10691.915999999999"/>
    <n v="10691.915999999999"/>
    <x v="2"/>
    <s v="2100"/>
    <s v="000"/>
    <x v="8"/>
    <x v="2"/>
  </r>
  <r>
    <d v="2013-06-29T00:00:00"/>
    <s v="018-2210-000"/>
    <s v="Liquor Sales"/>
    <n v="2796.8616000000002"/>
    <n v="0"/>
    <s v="Daily Sales Import"/>
    <n v="-2796.8616000000002"/>
    <n v="2796.8616000000002"/>
    <x v="2"/>
    <s v="2210"/>
    <s v="000"/>
    <x v="8"/>
    <x v="2"/>
  </r>
  <r>
    <d v="2013-06-29T00:00:00"/>
    <s v="018-2220-000"/>
    <s v="Beer Sales"/>
    <n v="578.37599999999998"/>
    <n v="0"/>
    <s v="Daily Sales Import"/>
    <n v="-578.37599999999998"/>
    <n v="578.37599999999998"/>
    <x v="2"/>
    <s v="2220"/>
    <s v="000"/>
    <x v="8"/>
    <x v="2"/>
  </r>
  <r>
    <d v="2013-06-29T00:00:00"/>
    <s v="018-2230-000"/>
    <s v="Wine Sales"/>
    <n v="34.839999999999996"/>
    <n v="0"/>
    <s v="Daily Sales Import"/>
    <n v="-34.839999999999996"/>
    <n v="34.839999999999996"/>
    <x v="2"/>
    <s v="2230"/>
    <s v="000"/>
    <x v="8"/>
    <x v="2"/>
  </r>
  <r>
    <d v="2013-06-30T00:00:00"/>
    <s v="018-2100-000"/>
    <s v="Food Sales"/>
    <n v="11726.928000000002"/>
    <n v="0"/>
    <s v="Daily Sales Import"/>
    <n v="-11726.928000000002"/>
    <n v="11726.928000000002"/>
    <x v="2"/>
    <s v="2100"/>
    <s v="000"/>
    <x v="8"/>
    <x v="2"/>
  </r>
  <r>
    <d v="2013-06-30T00:00:00"/>
    <s v="018-2210-000"/>
    <s v="Liquor Sales"/>
    <n v="1386.615"/>
    <n v="0"/>
    <s v="Daily Sales Import"/>
    <n v="-1386.615"/>
    <n v="1386.615"/>
    <x v="2"/>
    <s v="2210"/>
    <s v="000"/>
    <x v="8"/>
    <x v="2"/>
  </r>
  <r>
    <d v="2013-06-30T00:00:00"/>
    <s v="018-2220-000"/>
    <s v="Beer Sales"/>
    <n v="257.024"/>
    <n v="0"/>
    <s v="Daily Sales Import"/>
    <n v="-257.024"/>
    <n v="257.024"/>
    <x v="2"/>
    <s v="2220"/>
    <s v="000"/>
    <x v="8"/>
    <x v="2"/>
  </r>
  <r>
    <d v="2013-06-30T00:00:00"/>
    <s v="018-2230-000"/>
    <s v="Wine Sales"/>
    <n v="150.518"/>
    <n v="0"/>
    <s v="Daily Sales Import"/>
    <n v="-150.518"/>
    <n v="150.518"/>
    <x v="2"/>
    <s v="2230"/>
    <s v="000"/>
    <x v="8"/>
    <x v="2"/>
  </r>
  <r>
    <d v="2013-07-01T00:00:00"/>
    <s v="016-2100-000"/>
    <s v="Food Sales"/>
    <n v="3946.0456000000004"/>
    <n v="0"/>
    <s v="Daily Sales Import"/>
    <n v="-3946.0456000000004"/>
    <n v="3946.0456000000004"/>
    <x v="0"/>
    <s v="2100"/>
    <s v="000"/>
    <x v="9"/>
    <x v="2"/>
  </r>
  <r>
    <d v="2013-07-01T00:00:00"/>
    <s v="016-2210-000"/>
    <s v="Liquor Sales"/>
    <n v="879.98470000000009"/>
    <n v="0"/>
    <s v="Daily Sales Import"/>
    <n v="-879.98470000000009"/>
    <n v="879.98470000000009"/>
    <x v="0"/>
    <s v="2210"/>
    <s v="000"/>
    <x v="9"/>
    <x v="2"/>
  </r>
  <r>
    <d v="2013-07-01T00:00:00"/>
    <s v="016-2220-000"/>
    <s v="Beer Sales"/>
    <n v="190.30870000000002"/>
    <n v="0"/>
    <s v="Daily Sales Import"/>
    <n v="-190.30870000000002"/>
    <n v="190.30870000000002"/>
    <x v="0"/>
    <s v="2220"/>
    <s v="000"/>
    <x v="9"/>
    <x v="2"/>
  </r>
  <r>
    <d v="2013-07-01T00:00:00"/>
    <s v="016-2230-000"/>
    <s v="Wine Sales"/>
    <n v="68.339200000000005"/>
    <n v="0"/>
    <s v="Daily Sales Import"/>
    <n v="-68.339200000000005"/>
    <n v="68.339200000000005"/>
    <x v="0"/>
    <s v="2230"/>
    <s v="000"/>
    <x v="9"/>
    <x v="2"/>
  </r>
  <r>
    <d v="2013-07-02T00:00:00"/>
    <s v="016-2100-000"/>
    <s v="Food Sales"/>
    <n v="8358.3755000000001"/>
    <n v="0"/>
    <s v="Daily Sales Import"/>
    <n v="-8358.3755000000001"/>
    <n v="8358.3755000000001"/>
    <x v="0"/>
    <s v="2100"/>
    <s v="000"/>
    <x v="9"/>
    <x v="2"/>
  </r>
  <r>
    <d v="2013-07-02T00:00:00"/>
    <s v="016-2210-000"/>
    <s v="Liquor Sales"/>
    <n v="2258.3824"/>
    <n v="0"/>
    <s v="Daily Sales Import"/>
    <n v="-2258.3824"/>
    <n v="2258.3824"/>
    <x v="0"/>
    <s v="2210"/>
    <s v="000"/>
    <x v="9"/>
    <x v="2"/>
  </r>
  <r>
    <d v="2013-07-02T00:00:00"/>
    <s v="016-2220-000"/>
    <s v="Beer Sales"/>
    <n v="673.01609999999994"/>
    <n v="0"/>
    <s v="Daily Sales Import"/>
    <n v="-673.01609999999994"/>
    <n v="673.01609999999994"/>
    <x v="0"/>
    <s v="2220"/>
    <s v="000"/>
    <x v="9"/>
    <x v="2"/>
  </r>
  <r>
    <d v="2013-07-02T00:00:00"/>
    <s v="016-2230-000"/>
    <s v="Wine Sales"/>
    <n v="130.05369999999999"/>
    <n v="0"/>
    <s v="Daily Sales Import"/>
    <n v="-130.05369999999999"/>
    <n v="130.05369999999999"/>
    <x v="0"/>
    <s v="2230"/>
    <s v="000"/>
    <x v="9"/>
    <x v="2"/>
  </r>
  <r>
    <d v="2013-07-03T00:00:00"/>
    <s v="016-2100-000"/>
    <s v="Food Sales"/>
    <n v="3317.8405000000002"/>
    <n v="0"/>
    <s v="Daily Sales Import"/>
    <n v="-3317.8405000000002"/>
    <n v="3317.8405000000002"/>
    <x v="0"/>
    <s v="2100"/>
    <s v="000"/>
    <x v="9"/>
    <x v="2"/>
  </r>
  <r>
    <d v="2013-07-03T00:00:00"/>
    <s v="016-2210-000"/>
    <s v="Liquor Sales"/>
    <n v="1516.3908999999999"/>
    <n v="0"/>
    <s v="Daily Sales Import"/>
    <n v="-1516.3908999999999"/>
    <n v="1516.3908999999999"/>
    <x v="0"/>
    <s v="2210"/>
    <s v="000"/>
    <x v="9"/>
    <x v="2"/>
  </r>
  <r>
    <d v="2013-07-03T00:00:00"/>
    <s v="016-2220-000"/>
    <s v="Beer Sales"/>
    <n v="284.60699999999997"/>
    <n v="0"/>
    <s v="Daily Sales Import"/>
    <n v="-284.60699999999997"/>
    <n v="284.60699999999997"/>
    <x v="0"/>
    <s v="2220"/>
    <s v="000"/>
    <x v="9"/>
    <x v="2"/>
  </r>
  <r>
    <d v="2013-07-03T00:00:00"/>
    <s v="016-2230-000"/>
    <s v="Wine Sales"/>
    <n v="51.704999999999998"/>
    <n v="0"/>
    <s v="Daily Sales Import"/>
    <n v="-51.704999999999998"/>
    <n v="51.704999999999998"/>
    <x v="0"/>
    <s v="2230"/>
    <s v="000"/>
    <x v="9"/>
    <x v="2"/>
  </r>
  <r>
    <d v="2013-07-04T00:00:00"/>
    <s v="016-2100-000"/>
    <s v="Food Sales"/>
    <n v="3769.74"/>
    <n v="0"/>
    <s v="Daily Sales Import"/>
    <n v="-3769.74"/>
    <n v="3769.74"/>
    <x v="0"/>
    <s v="2100"/>
    <s v="000"/>
    <x v="9"/>
    <x v="2"/>
  </r>
  <r>
    <d v="2013-07-04T00:00:00"/>
    <s v="016-2210-000"/>
    <s v="Liquor Sales"/>
    <n v="1197.9780000000001"/>
    <n v="0"/>
    <s v="Daily Sales Import"/>
    <n v="-1197.9780000000001"/>
    <n v="1197.9780000000001"/>
    <x v="0"/>
    <s v="2210"/>
    <s v="000"/>
    <x v="9"/>
    <x v="2"/>
  </r>
  <r>
    <d v="2013-07-04T00:00:00"/>
    <s v="016-2220-000"/>
    <s v="Beer Sales"/>
    <n v="253.24"/>
    <n v="0"/>
    <s v="Daily Sales Import"/>
    <n v="-253.24"/>
    <n v="253.24"/>
    <x v="0"/>
    <s v="2220"/>
    <s v="000"/>
    <x v="9"/>
    <x v="2"/>
  </r>
  <r>
    <d v="2013-07-04T00:00:00"/>
    <s v="016-2230-000"/>
    <s v="Wine Sales"/>
    <n v="87.651200000000003"/>
    <n v="0"/>
    <s v="Daily Sales Import"/>
    <n v="-87.651200000000003"/>
    <n v="87.651200000000003"/>
    <x v="0"/>
    <s v="2230"/>
    <s v="000"/>
    <x v="9"/>
    <x v="2"/>
  </r>
  <r>
    <d v="2013-07-05T00:00:00"/>
    <s v="016-2100-000"/>
    <s v="Food Sales"/>
    <n v="5997.9680000000008"/>
    <n v="0"/>
    <s v="Daily Sales Import"/>
    <n v="-5997.9680000000008"/>
    <n v="5997.9680000000008"/>
    <x v="0"/>
    <s v="2100"/>
    <s v="000"/>
    <x v="9"/>
    <x v="2"/>
  </r>
  <r>
    <d v="2013-07-05T00:00:00"/>
    <s v="016-2210-000"/>
    <s v="Liquor Sales"/>
    <n v="1092.1489999999999"/>
    <n v="0"/>
    <s v="Daily Sales Import"/>
    <n v="-1092.1489999999999"/>
    <n v="1092.1489999999999"/>
    <x v="0"/>
    <s v="2210"/>
    <s v="000"/>
    <x v="9"/>
    <x v="2"/>
  </r>
  <r>
    <d v="2013-07-05T00:00:00"/>
    <s v="016-2220-000"/>
    <s v="Beer Sales"/>
    <n v="218.52599999999998"/>
    <n v="0"/>
    <s v="Daily Sales Import"/>
    <n v="-218.52599999999998"/>
    <n v="218.52599999999998"/>
    <x v="0"/>
    <s v="2220"/>
    <s v="000"/>
    <x v="9"/>
    <x v="2"/>
  </r>
  <r>
    <d v="2013-07-05T00:00:00"/>
    <s v="016-2230-000"/>
    <s v="Wine Sales"/>
    <n v="114.15160000000002"/>
    <n v="0"/>
    <s v="Daily Sales Import"/>
    <n v="-114.15160000000002"/>
    <n v="114.15160000000002"/>
    <x v="0"/>
    <s v="2230"/>
    <s v="000"/>
    <x v="9"/>
    <x v="2"/>
  </r>
  <r>
    <d v="2013-07-06T00:00:00"/>
    <s v="016-2100-000"/>
    <s v="Food Sales"/>
    <n v="4774.8904000000002"/>
    <n v="0"/>
    <s v="Daily Sales Import"/>
    <n v="-4774.8904000000002"/>
    <n v="4774.8904000000002"/>
    <x v="0"/>
    <s v="2100"/>
    <s v="000"/>
    <x v="9"/>
    <x v="2"/>
  </r>
  <r>
    <d v="2013-07-06T00:00:00"/>
    <s v="016-2210-000"/>
    <s v="Liquor Sales"/>
    <n v="1862.0822999999998"/>
    <n v="0"/>
    <s v="Daily Sales Import"/>
    <n v="-1862.0822999999998"/>
    <n v="1862.0822999999998"/>
    <x v="0"/>
    <s v="2210"/>
    <s v="000"/>
    <x v="9"/>
    <x v="2"/>
  </r>
  <r>
    <d v="2013-07-06T00:00:00"/>
    <s v="016-2220-000"/>
    <s v="Beer Sales"/>
    <n v="284.7704"/>
    <n v="0"/>
    <s v="Daily Sales Import"/>
    <n v="-284.7704"/>
    <n v="284.7704"/>
    <x v="0"/>
    <s v="2220"/>
    <s v="000"/>
    <x v="9"/>
    <x v="2"/>
  </r>
  <r>
    <d v="2013-07-06T00:00:00"/>
    <s v="016-2230-000"/>
    <s v="Wine Sales"/>
    <n v="74.9375"/>
    <n v="0"/>
    <s v="Daily Sales Import"/>
    <n v="-74.9375"/>
    <n v="74.9375"/>
    <x v="0"/>
    <s v="2230"/>
    <s v="000"/>
    <x v="9"/>
    <x v="2"/>
  </r>
  <r>
    <d v="2013-07-07T00:00:00"/>
    <s v="016-2100-000"/>
    <s v="Food Sales"/>
    <n v="6897.7363000000005"/>
    <n v="0"/>
    <s v="Daily Sales Import"/>
    <n v="-6897.7363000000005"/>
    <n v="6897.7363000000005"/>
    <x v="0"/>
    <s v="2100"/>
    <s v="000"/>
    <x v="9"/>
    <x v="2"/>
  </r>
  <r>
    <d v="2013-07-07T00:00:00"/>
    <s v="016-2210-000"/>
    <s v="Liquor Sales"/>
    <n v="1284.9459999999999"/>
    <n v="0"/>
    <s v="Daily Sales Import"/>
    <n v="-1284.9459999999999"/>
    <n v="1284.9459999999999"/>
    <x v="0"/>
    <s v="2210"/>
    <s v="000"/>
    <x v="9"/>
    <x v="2"/>
  </r>
  <r>
    <d v="2013-07-07T00:00:00"/>
    <s v="016-2220-000"/>
    <s v="Beer Sales"/>
    <n v="281.0136"/>
    <n v="0"/>
    <s v="Daily Sales Import"/>
    <n v="-281.0136"/>
    <n v="281.0136"/>
    <x v="0"/>
    <s v="2220"/>
    <s v="000"/>
    <x v="9"/>
    <x v="2"/>
  </r>
  <r>
    <d v="2013-07-07T00:00:00"/>
    <s v="016-2230-000"/>
    <s v="Wine Sales"/>
    <n v="161.83860000000001"/>
    <n v="0"/>
    <s v="Daily Sales Import"/>
    <n v="-161.83860000000001"/>
    <n v="161.83860000000001"/>
    <x v="0"/>
    <s v="2230"/>
    <s v="000"/>
    <x v="9"/>
    <x v="2"/>
  </r>
  <r>
    <d v="2013-07-01T00:00:00"/>
    <s v="017-2100-000"/>
    <s v="Food Sales"/>
    <n v="4305.1320000000005"/>
    <n v="0"/>
    <s v="Daily Sales Import"/>
    <n v="-4305.1320000000005"/>
    <n v="4305.1320000000005"/>
    <x v="1"/>
    <s v="2100"/>
    <s v="000"/>
    <x v="9"/>
    <x v="2"/>
  </r>
  <r>
    <d v="2013-07-01T00:00:00"/>
    <s v="017-2210-000"/>
    <s v="Liquor Sales"/>
    <n v="1075.4562000000001"/>
    <n v="0"/>
    <s v="Daily Sales Import"/>
    <n v="-1075.4562000000001"/>
    <n v="1075.4562000000001"/>
    <x v="1"/>
    <s v="2210"/>
    <s v="000"/>
    <x v="9"/>
    <x v="2"/>
  </r>
  <r>
    <d v="2013-07-01T00:00:00"/>
    <s v="017-2220-000"/>
    <s v="Beer Sales"/>
    <n v="167.47900000000001"/>
    <n v="0"/>
    <s v="Daily Sales Import"/>
    <n v="-167.47900000000001"/>
    <n v="167.47900000000001"/>
    <x v="1"/>
    <s v="2220"/>
    <s v="000"/>
    <x v="9"/>
    <x v="2"/>
  </r>
  <r>
    <d v="2013-07-01T00:00:00"/>
    <s v="017-2230-000"/>
    <s v="Wine Sales"/>
    <n v="60.83"/>
    <n v="0"/>
    <s v="Daily Sales Import"/>
    <n v="-60.83"/>
    <n v="60.83"/>
    <x v="1"/>
    <s v="2230"/>
    <s v="000"/>
    <x v="9"/>
    <x v="2"/>
  </r>
  <r>
    <d v="2013-07-02T00:00:00"/>
    <s v="017-2100-000"/>
    <s v="Food Sales"/>
    <n v="6052.884"/>
    <n v="0"/>
    <s v="Daily Sales Import"/>
    <n v="-6052.884"/>
    <n v="6052.884"/>
    <x v="1"/>
    <s v="2100"/>
    <s v="000"/>
    <x v="9"/>
    <x v="2"/>
  </r>
  <r>
    <d v="2013-07-02T00:00:00"/>
    <s v="017-2210-000"/>
    <s v="Liquor Sales"/>
    <n v="1686.828"/>
    <n v="0"/>
    <s v="Daily Sales Import"/>
    <n v="-1686.828"/>
    <n v="1686.828"/>
    <x v="1"/>
    <s v="2210"/>
    <s v="000"/>
    <x v="9"/>
    <x v="2"/>
  </r>
  <r>
    <d v="2013-07-02T00:00:00"/>
    <s v="017-2220-000"/>
    <s v="Beer Sales"/>
    <n v="653.92920000000004"/>
    <n v="0"/>
    <s v="Daily Sales Import"/>
    <n v="-653.92920000000004"/>
    <n v="653.92920000000004"/>
    <x v="1"/>
    <s v="2220"/>
    <s v="000"/>
    <x v="9"/>
    <x v="2"/>
  </r>
  <r>
    <d v="2013-07-02T00:00:00"/>
    <s v="017-2230-000"/>
    <s v="Wine Sales"/>
    <n v="12.9048"/>
    <n v="0"/>
    <s v="Daily Sales Import"/>
    <n v="-12.9048"/>
    <n v="12.9048"/>
    <x v="1"/>
    <s v="2230"/>
    <s v="000"/>
    <x v="9"/>
    <x v="2"/>
  </r>
  <r>
    <d v="2013-07-03T00:00:00"/>
    <s v="017-2100-000"/>
    <s v="Food Sales"/>
    <n v="5093.1408000000001"/>
    <n v="0"/>
    <s v="Daily Sales Import"/>
    <n v="-5093.1408000000001"/>
    <n v="5093.1408000000001"/>
    <x v="1"/>
    <s v="2100"/>
    <s v="000"/>
    <x v="9"/>
    <x v="2"/>
  </r>
  <r>
    <d v="2013-07-03T00:00:00"/>
    <s v="017-2210-000"/>
    <s v="Liquor Sales"/>
    <n v="1550.0927999999999"/>
    <n v="0"/>
    <s v="Daily Sales Import"/>
    <n v="-1550.0927999999999"/>
    <n v="1550.0927999999999"/>
    <x v="1"/>
    <s v="2210"/>
    <s v="000"/>
    <x v="9"/>
    <x v="2"/>
  </r>
  <r>
    <d v="2013-07-03T00:00:00"/>
    <s v="017-2220-000"/>
    <s v="Beer Sales"/>
    <n v="284.99480000000005"/>
    <n v="0"/>
    <s v="Daily Sales Import"/>
    <n v="-284.99480000000005"/>
    <n v="284.99480000000005"/>
    <x v="1"/>
    <s v="2220"/>
    <s v="000"/>
    <x v="9"/>
    <x v="2"/>
  </r>
  <r>
    <d v="2013-07-03T00:00:00"/>
    <s v="017-2230-000"/>
    <s v="Wine Sales"/>
    <n v="49.142599999999995"/>
    <n v="0"/>
    <s v="Daily Sales Import"/>
    <n v="-49.142599999999995"/>
    <n v="49.142599999999995"/>
    <x v="1"/>
    <s v="2230"/>
    <s v="000"/>
    <x v="9"/>
    <x v="2"/>
  </r>
  <r>
    <d v="2013-07-04T00:00:00"/>
    <s v="017-2100-000"/>
    <s v="Food Sales"/>
    <n v="6304.1268"/>
    <n v="0"/>
    <s v="Daily Sales Import"/>
    <n v="-6304.1268"/>
    <n v="6304.1268"/>
    <x v="1"/>
    <s v="2100"/>
    <s v="000"/>
    <x v="9"/>
    <x v="2"/>
  </r>
  <r>
    <d v="2013-07-04T00:00:00"/>
    <s v="017-2210-000"/>
    <s v="Liquor Sales"/>
    <n v="1175.1080000000002"/>
    <n v="0"/>
    <s v="Daily Sales Import"/>
    <n v="-1175.1080000000002"/>
    <n v="1175.1080000000002"/>
    <x v="1"/>
    <s v="2210"/>
    <s v="000"/>
    <x v="9"/>
    <x v="2"/>
  </r>
  <r>
    <d v="2013-07-04T00:00:00"/>
    <s v="017-2220-000"/>
    <s v="Beer Sales"/>
    <n v="289.2765"/>
    <n v="0"/>
    <s v="Daily Sales Import"/>
    <n v="-289.2765"/>
    <n v="289.2765"/>
    <x v="1"/>
    <s v="2220"/>
    <s v="000"/>
    <x v="9"/>
    <x v="2"/>
  </r>
  <r>
    <d v="2013-07-04T00:00:00"/>
    <s v="017-2230-000"/>
    <s v="Wine Sales"/>
    <n v="100.47629999999999"/>
    <n v="0"/>
    <s v="Daily Sales Import"/>
    <n v="-100.47629999999999"/>
    <n v="100.47629999999999"/>
    <x v="1"/>
    <s v="2230"/>
    <s v="000"/>
    <x v="9"/>
    <x v="2"/>
  </r>
  <r>
    <d v="2013-07-05T00:00:00"/>
    <s v="017-2100-000"/>
    <s v="Food Sales"/>
    <n v="7570.4198999999999"/>
    <n v="0"/>
    <s v="Daily Sales Import"/>
    <n v="-7570.4198999999999"/>
    <n v="7570.4198999999999"/>
    <x v="1"/>
    <s v="2100"/>
    <s v="000"/>
    <x v="9"/>
    <x v="2"/>
  </r>
  <r>
    <d v="2013-07-05T00:00:00"/>
    <s v="017-2210-000"/>
    <s v="Liquor Sales"/>
    <n v="1408.8233999999998"/>
    <n v="0"/>
    <s v="Daily Sales Import"/>
    <n v="-1408.8233999999998"/>
    <n v="1408.8233999999998"/>
    <x v="1"/>
    <s v="2210"/>
    <s v="000"/>
    <x v="9"/>
    <x v="2"/>
  </r>
  <r>
    <d v="2013-07-05T00:00:00"/>
    <s v="017-2220-000"/>
    <s v="Beer Sales"/>
    <n v="509.49120000000005"/>
    <n v="0"/>
    <s v="Daily Sales Import"/>
    <n v="-509.49120000000005"/>
    <n v="509.49120000000005"/>
    <x v="1"/>
    <s v="2220"/>
    <s v="000"/>
    <x v="9"/>
    <x v="2"/>
  </r>
  <r>
    <d v="2013-07-05T00:00:00"/>
    <s v="017-2230-000"/>
    <s v="Wine Sales"/>
    <n v="104.181"/>
    <n v="0"/>
    <s v="Daily Sales Import"/>
    <n v="-104.181"/>
    <n v="104.181"/>
    <x v="1"/>
    <s v="2230"/>
    <s v="000"/>
    <x v="9"/>
    <x v="2"/>
  </r>
  <r>
    <d v="2013-07-06T00:00:00"/>
    <s v="017-2100-000"/>
    <s v="Food Sales"/>
    <n v="6745.4759999999997"/>
    <n v="0"/>
    <s v="Daily Sales Import"/>
    <n v="-6745.4759999999997"/>
    <n v="6745.4759999999997"/>
    <x v="1"/>
    <s v="2100"/>
    <s v="000"/>
    <x v="9"/>
    <x v="2"/>
  </r>
  <r>
    <d v="2013-07-06T00:00:00"/>
    <s v="017-2210-000"/>
    <s v="Liquor Sales"/>
    <n v="2268.3969000000002"/>
    <n v="0"/>
    <s v="Daily Sales Import"/>
    <n v="-2268.3969000000002"/>
    <n v="2268.3969000000002"/>
    <x v="1"/>
    <s v="2210"/>
    <s v="000"/>
    <x v="9"/>
    <x v="2"/>
  </r>
  <r>
    <d v="2013-07-06T00:00:00"/>
    <s v="017-2220-000"/>
    <s v="Beer Sales"/>
    <n v="424.86750000000001"/>
    <n v="0"/>
    <s v="Daily Sales Import"/>
    <n v="-424.86750000000001"/>
    <n v="424.86750000000001"/>
    <x v="1"/>
    <s v="2220"/>
    <s v="000"/>
    <x v="9"/>
    <x v="2"/>
  </r>
  <r>
    <d v="2013-07-06T00:00:00"/>
    <s v="017-2230-000"/>
    <s v="Wine Sales"/>
    <n v="215.5472"/>
    <n v="0"/>
    <s v="Daily Sales Import"/>
    <n v="-215.5472"/>
    <n v="215.5472"/>
    <x v="1"/>
    <s v="2230"/>
    <s v="000"/>
    <x v="9"/>
    <x v="2"/>
  </r>
  <r>
    <d v="2013-07-07T00:00:00"/>
    <s v="017-2100-000"/>
    <s v="Food Sales"/>
    <n v="5478.1289999999999"/>
    <n v="0"/>
    <s v="Daily Sales Import"/>
    <n v="-5478.1289999999999"/>
    <n v="5478.1289999999999"/>
    <x v="1"/>
    <s v="2100"/>
    <s v="000"/>
    <x v="9"/>
    <x v="2"/>
  </r>
  <r>
    <d v="2013-07-07T00:00:00"/>
    <s v="017-2210-000"/>
    <s v="Liquor Sales"/>
    <n v="1301.6528000000001"/>
    <n v="0"/>
    <s v="Daily Sales Import"/>
    <n v="-1301.6528000000001"/>
    <n v="1301.6528000000001"/>
    <x v="1"/>
    <s v="2210"/>
    <s v="000"/>
    <x v="9"/>
    <x v="2"/>
  </r>
  <r>
    <d v="2013-07-07T00:00:00"/>
    <s v="017-2220-000"/>
    <s v="Beer Sales"/>
    <n v="163.99799999999999"/>
    <n v="0"/>
    <s v="Daily Sales Import"/>
    <n v="-163.99799999999999"/>
    <n v="163.99799999999999"/>
    <x v="1"/>
    <s v="2220"/>
    <s v="000"/>
    <x v="9"/>
    <x v="2"/>
  </r>
  <r>
    <d v="2013-07-07T00:00:00"/>
    <s v="017-2230-000"/>
    <s v="Wine Sales"/>
    <n v="51.921299999999995"/>
    <n v="0"/>
    <s v="Daily Sales Import"/>
    <n v="-51.921299999999995"/>
    <n v="51.921299999999995"/>
    <x v="1"/>
    <s v="2230"/>
    <s v="000"/>
    <x v="9"/>
    <x v="2"/>
  </r>
  <r>
    <d v="2013-07-01T00:00:00"/>
    <s v="018-2100-000"/>
    <s v="Food Sales"/>
    <n v="4853.6866"/>
    <n v="0"/>
    <s v="Daily Sales Import"/>
    <n v="-4853.6866"/>
    <n v="4853.6866"/>
    <x v="2"/>
    <s v="2100"/>
    <s v="000"/>
    <x v="9"/>
    <x v="2"/>
  </r>
  <r>
    <d v="2013-07-01T00:00:00"/>
    <s v="018-2210-000"/>
    <s v="Liquor Sales"/>
    <n v="579.88980000000004"/>
    <n v="0"/>
    <s v="Daily Sales Import"/>
    <n v="-579.88980000000004"/>
    <n v="579.88980000000004"/>
    <x v="2"/>
    <s v="2210"/>
    <s v="000"/>
    <x v="9"/>
    <x v="2"/>
  </r>
  <r>
    <d v="2013-07-01T00:00:00"/>
    <s v="018-2220-000"/>
    <s v="Beer Sales"/>
    <n v="187.4229"/>
    <n v="0"/>
    <s v="Daily Sales Import"/>
    <n v="-187.4229"/>
    <n v="187.4229"/>
    <x v="2"/>
    <s v="2220"/>
    <s v="000"/>
    <x v="9"/>
    <x v="2"/>
  </r>
  <r>
    <d v="2013-07-01T00:00:00"/>
    <s v="018-2230-000"/>
    <s v="Wine Sales"/>
    <n v="16.3386"/>
    <n v="0"/>
    <s v="Daily Sales Import"/>
    <n v="-16.3386"/>
    <n v="16.3386"/>
    <x v="2"/>
    <s v="2230"/>
    <s v="000"/>
    <x v="9"/>
    <x v="2"/>
  </r>
  <r>
    <d v="2013-07-02T00:00:00"/>
    <s v="018-2100-000"/>
    <s v="Food Sales"/>
    <n v="4851.0150000000003"/>
    <n v="0"/>
    <s v="Daily Sales Import"/>
    <n v="-4851.0150000000003"/>
    <n v="4851.0150000000003"/>
    <x v="2"/>
    <s v="2100"/>
    <s v="000"/>
    <x v="9"/>
    <x v="2"/>
  </r>
  <r>
    <d v="2013-07-02T00:00:00"/>
    <s v="018-2210-000"/>
    <s v="Liquor Sales"/>
    <n v="839.75199999999995"/>
    <n v="0"/>
    <s v="Daily Sales Import"/>
    <n v="-839.75199999999995"/>
    <n v="839.75199999999995"/>
    <x v="2"/>
    <s v="2210"/>
    <s v="000"/>
    <x v="9"/>
    <x v="2"/>
  </r>
  <r>
    <d v="2013-07-02T00:00:00"/>
    <s v="018-2220-000"/>
    <s v="Beer Sales"/>
    <n v="350.149"/>
    <n v="0"/>
    <s v="Daily Sales Import"/>
    <n v="-350.149"/>
    <n v="350.149"/>
    <x v="2"/>
    <s v="2220"/>
    <s v="000"/>
    <x v="9"/>
    <x v="2"/>
  </r>
  <r>
    <d v="2013-07-02T00:00:00"/>
    <s v="018-2230-000"/>
    <s v="Wine Sales"/>
    <n v="21.865200000000002"/>
    <n v="0"/>
    <s v="Daily Sales Import"/>
    <n v="-21.865200000000002"/>
    <n v="21.865200000000002"/>
    <x v="2"/>
    <s v="2230"/>
    <s v="000"/>
    <x v="9"/>
    <x v="2"/>
  </r>
  <r>
    <d v="2013-07-03T00:00:00"/>
    <s v="018-2100-000"/>
    <s v="Food Sales"/>
    <n v="6843.2111999999997"/>
    <n v="0"/>
    <s v="Daily Sales Import"/>
    <n v="-6843.2111999999997"/>
    <n v="6843.2111999999997"/>
    <x v="2"/>
    <s v="2100"/>
    <s v="000"/>
    <x v="9"/>
    <x v="2"/>
  </r>
  <r>
    <d v="2013-07-03T00:00:00"/>
    <s v="018-2210-000"/>
    <s v="Liquor Sales"/>
    <n v="1380.06"/>
    <n v="0"/>
    <s v="Daily Sales Import"/>
    <n v="-1380.06"/>
    <n v="1380.06"/>
    <x v="2"/>
    <s v="2210"/>
    <s v="000"/>
    <x v="9"/>
    <x v="2"/>
  </r>
  <r>
    <d v="2013-07-03T00:00:00"/>
    <s v="018-2220-000"/>
    <s v="Beer Sales"/>
    <n v="350.15170000000001"/>
    <n v="0"/>
    <s v="Daily Sales Import"/>
    <n v="-350.15170000000001"/>
    <n v="350.15170000000001"/>
    <x v="2"/>
    <s v="2220"/>
    <s v="000"/>
    <x v="9"/>
    <x v="2"/>
  </r>
  <r>
    <d v="2013-07-03T00:00:00"/>
    <s v="018-2230-000"/>
    <s v="Wine Sales"/>
    <n v="28.831199999999995"/>
    <n v="0"/>
    <s v="Daily Sales Import"/>
    <n v="-28.831199999999995"/>
    <n v="28.831199999999995"/>
    <x v="2"/>
    <s v="2230"/>
    <s v="000"/>
    <x v="9"/>
    <x v="2"/>
  </r>
  <r>
    <d v="2013-07-04T00:00:00"/>
    <s v="018-2100-000"/>
    <s v="Food Sales"/>
    <n v="8267.7706999999991"/>
    <n v="0"/>
    <s v="Daily Sales Import"/>
    <n v="-8267.7706999999991"/>
    <n v="8267.7706999999991"/>
    <x v="2"/>
    <s v="2100"/>
    <s v="000"/>
    <x v="9"/>
    <x v="2"/>
  </r>
  <r>
    <d v="2013-07-04T00:00:00"/>
    <s v="018-2210-000"/>
    <s v="Liquor Sales"/>
    <n v="1349.0182000000002"/>
    <n v="0"/>
    <s v="Daily Sales Import"/>
    <n v="-1349.0182000000002"/>
    <n v="1349.0182000000002"/>
    <x v="2"/>
    <s v="2210"/>
    <s v="000"/>
    <x v="9"/>
    <x v="2"/>
  </r>
  <r>
    <d v="2013-07-04T00:00:00"/>
    <s v="018-2220-000"/>
    <s v="Beer Sales"/>
    <n v="307.16840000000002"/>
    <n v="0"/>
    <s v="Daily Sales Import"/>
    <n v="-307.16840000000002"/>
    <n v="307.16840000000002"/>
    <x v="2"/>
    <s v="2220"/>
    <s v="000"/>
    <x v="9"/>
    <x v="2"/>
  </r>
  <r>
    <d v="2013-07-04T00:00:00"/>
    <s v="018-2230-000"/>
    <s v="Wine Sales"/>
    <n v="15.808000000000002"/>
    <n v="0"/>
    <s v="Daily Sales Import"/>
    <n v="-15.808000000000002"/>
    <n v="15.808000000000002"/>
    <x v="2"/>
    <s v="2230"/>
    <s v="000"/>
    <x v="9"/>
    <x v="2"/>
  </r>
  <r>
    <d v="2013-07-05T00:00:00"/>
    <s v="018-2100-000"/>
    <s v="Food Sales"/>
    <n v="12037.7894"/>
    <n v="0"/>
    <s v="Daily Sales Import"/>
    <n v="-12037.7894"/>
    <n v="12037.7894"/>
    <x v="2"/>
    <s v="2100"/>
    <s v="000"/>
    <x v="9"/>
    <x v="2"/>
  </r>
  <r>
    <d v="2013-07-05T00:00:00"/>
    <s v="018-2210-000"/>
    <s v="Liquor Sales"/>
    <n v="2666.2262999999998"/>
    <n v="0"/>
    <s v="Daily Sales Import"/>
    <n v="-2666.2262999999998"/>
    <n v="2666.2262999999998"/>
    <x v="2"/>
    <s v="2210"/>
    <s v="000"/>
    <x v="9"/>
    <x v="2"/>
  </r>
  <r>
    <d v="2013-07-05T00:00:00"/>
    <s v="018-2220-000"/>
    <s v="Beer Sales"/>
    <n v="582.41960000000006"/>
    <n v="0"/>
    <s v="Daily Sales Import"/>
    <n v="-582.41960000000006"/>
    <n v="582.41960000000006"/>
    <x v="2"/>
    <s v="2220"/>
    <s v="000"/>
    <x v="9"/>
    <x v="2"/>
  </r>
  <r>
    <d v="2013-07-05T00:00:00"/>
    <s v="018-2230-000"/>
    <s v="Wine Sales"/>
    <n v="40.846400000000003"/>
    <n v="0"/>
    <s v="Daily Sales Import"/>
    <n v="-40.846400000000003"/>
    <n v="40.846400000000003"/>
    <x v="2"/>
    <s v="2230"/>
    <s v="000"/>
    <x v="9"/>
    <x v="2"/>
  </r>
  <r>
    <d v="2013-07-06T00:00:00"/>
    <s v="018-2100-000"/>
    <s v="Food Sales"/>
    <n v="11800.2384"/>
    <n v="0"/>
    <s v="Daily Sales Import"/>
    <n v="-11800.2384"/>
    <n v="11800.2384"/>
    <x v="2"/>
    <s v="2100"/>
    <s v="000"/>
    <x v="9"/>
    <x v="2"/>
  </r>
  <r>
    <d v="2013-07-06T00:00:00"/>
    <s v="018-2210-000"/>
    <s v="Liquor Sales"/>
    <n v="2084.4450000000002"/>
    <n v="0"/>
    <s v="Daily Sales Import"/>
    <n v="-2084.4450000000002"/>
    <n v="2084.4450000000002"/>
    <x v="2"/>
    <s v="2210"/>
    <s v="000"/>
    <x v="9"/>
    <x v="2"/>
  </r>
  <r>
    <d v="2013-07-06T00:00:00"/>
    <s v="018-2220-000"/>
    <s v="Beer Sales"/>
    <n v="760.66679999999997"/>
    <n v="0"/>
    <s v="Daily Sales Import"/>
    <n v="-760.66679999999997"/>
    <n v="760.66679999999997"/>
    <x v="2"/>
    <s v="2220"/>
    <s v="000"/>
    <x v="9"/>
    <x v="2"/>
  </r>
  <r>
    <d v="2013-07-06T00:00:00"/>
    <s v="018-2230-000"/>
    <s v="Wine Sales"/>
    <n v="50.667700000000004"/>
    <n v="0"/>
    <s v="Daily Sales Import"/>
    <n v="-50.667700000000004"/>
    <n v="50.667700000000004"/>
    <x v="2"/>
    <s v="2230"/>
    <s v="000"/>
    <x v="9"/>
    <x v="2"/>
  </r>
  <r>
    <d v="2013-07-07T00:00:00"/>
    <s v="018-2100-000"/>
    <s v="Food Sales"/>
    <n v="8205.7569999999996"/>
    <n v="0"/>
    <s v="Daily Sales Import"/>
    <n v="-8205.7569999999996"/>
    <n v="8205.7569999999996"/>
    <x v="2"/>
    <s v="2100"/>
    <s v="000"/>
    <x v="9"/>
    <x v="2"/>
  </r>
  <r>
    <d v="2013-07-07T00:00:00"/>
    <s v="018-2210-000"/>
    <s v="Liquor Sales"/>
    <n v="1613.6849999999999"/>
    <n v="0"/>
    <s v="Daily Sales Import"/>
    <n v="-1613.6849999999999"/>
    <n v="1613.6849999999999"/>
    <x v="2"/>
    <s v="2210"/>
    <s v="000"/>
    <x v="9"/>
    <x v="2"/>
  </r>
  <r>
    <d v="2013-07-07T00:00:00"/>
    <s v="018-2220-000"/>
    <s v="Beer Sales"/>
    <n v="218.59200000000001"/>
    <n v="0"/>
    <s v="Daily Sales Import"/>
    <n v="-218.59200000000001"/>
    <n v="218.59200000000001"/>
    <x v="2"/>
    <s v="2220"/>
    <s v="000"/>
    <x v="9"/>
    <x v="2"/>
  </r>
  <r>
    <d v="2013-07-07T00:00:00"/>
    <s v="018-2230-000"/>
    <s v="Wine Sales"/>
    <n v="82.133200000000002"/>
    <n v="0"/>
    <s v="Daily Sales Import"/>
    <n v="-82.133200000000002"/>
    <n v="82.133200000000002"/>
    <x v="2"/>
    <s v="2230"/>
    <s v="000"/>
    <x v="9"/>
    <x v="2"/>
  </r>
  <r>
    <d v="2013-07-08T00:00:00"/>
    <s v="016-2100-000"/>
    <s v="Food Sales"/>
    <n v="2250.1772000000001"/>
    <n v="0"/>
    <s v="Daily Sales Import"/>
    <n v="-2250.1772000000001"/>
    <n v="2250.1772000000001"/>
    <x v="0"/>
    <s v="2100"/>
    <s v="000"/>
    <x v="9"/>
    <x v="2"/>
  </r>
  <r>
    <d v="2013-07-08T00:00:00"/>
    <s v="016-2210-000"/>
    <s v="Liquor Sales"/>
    <n v="398.88720000000001"/>
    <n v="0"/>
    <s v="Daily Sales Import"/>
    <n v="-398.88720000000001"/>
    <n v="398.88720000000001"/>
    <x v="0"/>
    <s v="2210"/>
    <s v="000"/>
    <x v="9"/>
    <x v="2"/>
  </r>
  <r>
    <d v="2013-07-08T00:00:00"/>
    <s v="016-2220-000"/>
    <s v="Beer Sales"/>
    <n v="72.578800000000001"/>
    <n v="0"/>
    <s v="Daily Sales Import"/>
    <n v="-72.578800000000001"/>
    <n v="72.578800000000001"/>
    <x v="0"/>
    <s v="2220"/>
    <s v="000"/>
    <x v="9"/>
    <x v="2"/>
  </r>
  <r>
    <d v="2013-07-08T00:00:00"/>
    <s v="016-2230-000"/>
    <s v="Wine Sales"/>
    <n v="109.5857"/>
    <n v="0"/>
    <s v="Daily Sales Import"/>
    <n v="-109.5857"/>
    <n v="109.5857"/>
    <x v="0"/>
    <s v="2230"/>
    <s v="000"/>
    <x v="9"/>
    <x v="2"/>
  </r>
  <r>
    <d v="2013-07-09T00:00:00"/>
    <s v="016-2100-000"/>
    <s v="Food Sales"/>
    <n v="6879.4055999999991"/>
    <n v="0"/>
    <s v="Daily Sales Import"/>
    <n v="-6879.4055999999991"/>
    <n v="6879.4055999999991"/>
    <x v="0"/>
    <s v="2100"/>
    <s v="000"/>
    <x v="9"/>
    <x v="2"/>
  </r>
  <r>
    <d v="2013-07-09T00:00:00"/>
    <s v="016-2210-000"/>
    <s v="Liquor Sales"/>
    <n v="1972.68"/>
    <n v="0"/>
    <s v="Daily Sales Import"/>
    <n v="-1972.68"/>
    <n v="1972.68"/>
    <x v="0"/>
    <s v="2210"/>
    <s v="000"/>
    <x v="9"/>
    <x v="2"/>
  </r>
  <r>
    <d v="2013-07-09T00:00:00"/>
    <s v="016-2220-000"/>
    <s v="Beer Sales"/>
    <n v="1116.6207000000002"/>
    <n v="0"/>
    <s v="Daily Sales Import"/>
    <n v="-1116.6207000000002"/>
    <n v="1116.6207000000002"/>
    <x v="0"/>
    <s v="2220"/>
    <s v="000"/>
    <x v="9"/>
    <x v="2"/>
  </r>
  <r>
    <d v="2013-07-09T00:00:00"/>
    <s v="016-2230-000"/>
    <s v="Wine Sales"/>
    <n v="107.52719999999999"/>
    <n v="0"/>
    <s v="Daily Sales Import"/>
    <n v="-107.52719999999999"/>
    <n v="107.52719999999999"/>
    <x v="0"/>
    <s v="2230"/>
    <s v="000"/>
    <x v="9"/>
    <x v="2"/>
  </r>
  <r>
    <d v="2013-07-10T00:00:00"/>
    <s v="016-2100-000"/>
    <s v="Food Sales"/>
    <n v="2393.4592000000002"/>
    <n v="0"/>
    <s v="Daily Sales Import"/>
    <n v="-2393.4592000000002"/>
    <n v="2393.4592000000002"/>
    <x v="0"/>
    <s v="2100"/>
    <s v="000"/>
    <x v="9"/>
    <x v="2"/>
  </r>
  <r>
    <d v="2013-07-10T00:00:00"/>
    <s v="016-2210-000"/>
    <s v="Liquor Sales"/>
    <n v="447.98150000000004"/>
    <n v="0"/>
    <s v="Daily Sales Import"/>
    <n v="-447.98150000000004"/>
    <n v="447.98150000000004"/>
    <x v="0"/>
    <s v="2210"/>
    <s v="000"/>
    <x v="9"/>
    <x v="2"/>
  </r>
  <r>
    <d v="2013-07-10T00:00:00"/>
    <s v="016-2220-000"/>
    <s v="Beer Sales"/>
    <n v="83.869699999999995"/>
    <n v="0"/>
    <s v="Daily Sales Import"/>
    <n v="-83.869699999999995"/>
    <n v="83.869699999999995"/>
    <x v="0"/>
    <s v="2220"/>
    <s v="000"/>
    <x v="9"/>
    <x v="2"/>
  </r>
  <r>
    <d v="2013-07-10T00:00:00"/>
    <s v="016-2230-000"/>
    <s v="Wine Sales"/>
    <n v="68.563599999999994"/>
    <n v="0"/>
    <s v="Daily Sales Import"/>
    <n v="-68.563599999999994"/>
    <n v="68.563599999999994"/>
    <x v="0"/>
    <s v="2230"/>
    <s v="000"/>
    <x v="9"/>
    <x v="2"/>
  </r>
  <r>
    <d v="2013-07-11T00:00:00"/>
    <s v="016-2100-000"/>
    <s v="Food Sales"/>
    <n v="3491.7973999999999"/>
    <n v="0"/>
    <s v="Daily Sales Import"/>
    <n v="-3491.7973999999999"/>
    <n v="3491.7973999999999"/>
    <x v="0"/>
    <s v="2100"/>
    <s v="000"/>
    <x v="9"/>
    <x v="2"/>
  </r>
  <r>
    <d v="2013-07-11T00:00:00"/>
    <s v="016-2210-000"/>
    <s v="Liquor Sales"/>
    <n v="687.14"/>
    <n v="0"/>
    <s v="Daily Sales Import"/>
    <n v="-687.14"/>
    <n v="687.14"/>
    <x v="0"/>
    <s v="2210"/>
    <s v="000"/>
    <x v="9"/>
    <x v="2"/>
  </r>
  <r>
    <d v="2013-07-11T00:00:00"/>
    <s v="016-2220-000"/>
    <s v="Beer Sales"/>
    <n v="102.19560000000001"/>
    <n v="0"/>
    <s v="Daily Sales Import"/>
    <n v="-102.19560000000001"/>
    <n v="102.19560000000001"/>
    <x v="0"/>
    <s v="2220"/>
    <s v="000"/>
    <x v="9"/>
    <x v="2"/>
  </r>
  <r>
    <d v="2013-07-11T00:00:00"/>
    <s v="016-2230-000"/>
    <s v="Wine Sales"/>
    <n v="59.6676"/>
    <n v="0"/>
    <s v="Daily Sales Import"/>
    <n v="-59.6676"/>
    <n v="59.6676"/>
    <x v="0"/>
    <s v="2230"/>
    <s v="000"/>
    <x v="9"/>
    <x v="2"/>
  </r>
  <r>
    <d v="2013-07-12T00:00:00"/>
    <s v="016-2100-000"/>
    <s v="Food Sales"/>
    <n v="4025.9856000000004"/>
    <n v="0"/>
    <s v="Daily Sales Import"/>
    <n v="-4025.9856000000004"/>
    <n v="4025.9856000000004"/>
    <x v="0"/>
    <s v="2100"/>
    <s v="000"/>
    <x v="9"/>
    <x v="2"/>
  </r>
  <r>
    <d v="2013-07-12T00:00:00"/>
    <s v="016-2210-000"/>
    <s v="Liquor Sales"/>
    <n v="1712.7329999999999"/>
    <n v="0"/>
    <s v="Daily Sales Import"/>
    <n v="-1712.7329999999999"/>
    <n v="1712.7329999999999"/>
    <x v="0"/>
    <s v="2210"/>
    <s v="000"/>
    <x v="9"/>
    <x v="2"/>
  </r>
  <r>
    <d v="2013-07-12T00:00:00"/>
    <s v="016-2220-000"/>
    <s v="Beer Sales"/>
    <n v="216.83130000000003"/>
    <n v="0"/>
    <s v="Daily Sales Import"/>
    <n v="-216.83130000000003"/>
    <n v="216.83130000000003"/>
    <x v="0"/>
    <s v="2220"/>
    <s v="000"/>
    <x v="9"/>
    <x v="2"/>
  </r>
  <r>
    <d v="2013-07-12T00:00:00"/>
    <s v="016-2230-000"/>
    <s v="Wine Sales"/>
    <n v="103.9285"/>
    <n v="0"/>
    <s v="Daily Sales Import"/>
    <n v="-103.9285"/>
    <n v="103.9285"/>
    <x v="0"/>
    <s v="2230"/>
    <s v="000"/>
    <x v="9"/>
    <x v="2"/>
  </r>
  <r>
    <d v="2013-07-13T00:00:00"/>
    <s v="016-2100-000"/>
    <s v="Food Sales"/>
    <n v="6113.9584000000004"/>
    <n v="0"/>
    <s v="Daily Sales Import"/>
    <n v="-6113.9584000000004"/>
    <n v="6113.9584000000004"/>
    <x v="0"/>
    <s v="2100"/>
    <s v="000"/>
    <x v="9"/>
    <x v="2"/>
  </r>
  <r>
    <d v="2013-07-13T00:00:00"/>
    <s v="016-2210-000"/>
    <s v="Liquor Sales"/>
    <n v="1702.845"/>
    <n v="0"/>
    <s v="Daily Sales Import"/>
    <n v="-1702.845"/>
    <n v="1702.845"/>
    <x v="0"/>
    <s v="2210"/>
    <s v="000"/>
    <x v="9"/>
    <x v="2"/>
  </r>
  <r>
    <d v="2013-07-13T00:00:00"/>
    <s v="016-2220-000"/>
    <s v="Beer Sales"/>
    <n v="292.23079999999999"/>
    <n v="0"/>
    <s v="Daily Sales Import"/>
    <n v="-292.23079999999999"/>
    <n v="292.23079999999999"/>
    <x v="0"/>
    <s v="2220"/>
    <s v="000"/>
    <x v="9"/>
    <x v="2"/>
  </r>
  <r>
    <d v="2013-07-13T00:00:00"/>
    <s v="016-2230-000"/>
    <s v="Wine Sales"/>
    <n v="122.53289999999998"/>
    <n v="0"/>
    <s v="Daily Sales Import"/>
    <n v="-122.53289999999998"/>
    <n v="122.53289999999998"/>
    <x v="0"/>
    <s v="2230"/>
    <s v="000"/>
    <x v="9"/>
    <x v="2"/>
  </r>
  <r>
    <d v="2013-07-14T00:00:00"/>
    <s v="016-2100-000"/>
    <s v="Food Sales"/>
    <n v="5604.1596"/>
    <n v="0"/>
    <s v="Daily Sales Import"/>
    <n v="-5604.1596"/>
    <n v="5604.1596"/>
    <x v="0"/>
    <s v="2100"/>
    <s v="000"/>
    <x v="9"/>
    <x v="2"/>
  </r>
  <r>
    <d v="2013-07-14T00:00:00"/>
    <s v="016-2210-000"/>
    <s v="Liquor Sales"/>
    <n v="1542.3155999999999"/>
    <n v="0"/>
    <s v="Daily Sales Import"/>
    <n v="-1542.3155999999999"/>
    <n v="1542.3155999999999"/>
    <x v="0"/>
    <s v="2210"/>
    <s v="000"/>
    <x v="9"/>
    <x v="2"/>
  </r>
  <r>
    <d v="2013-07-14T00:00:00"/>
    <s v="016-2220-000"/>
    <s v="Beer Sales"/>
    <n v="212.81210000000002"/>
    <n v="0"/>
    <s v="Daily Sales Import"/>
    <n v="-212.81210000000002"/>
    <n v="212.81210000000002"/>
    <x v="0"/>
    <s v="2220"/>
    <s v="000"/>
    <x v="9"/>
    <x v="2"/>
  </r>
  <r>
    <d v="2013-07-14T00:00:00"/>
    <s v="016-2230-000"/>
    <s v="Wine Sales"/>
    <n v="43.425900000000006"/>
    <n v="0"/>
    <s v="Daily Sales Import"/>
    <n v="-43.425900000000006"/>
    <n v="43.425900000000006"/>
    <x v="0"/>
    <s v="2230"/>
    <s v="000"/>
    <x v="9"/>
    <x v="2"/>
  </r>
  <r>
    <d v="2013-07-08T00:00:00"/>
    <s v="017-2100-000"/>
    <s v="Food Sales"/>
    <n v="4328.3306000000002"/>
    <n v="0"/>
    <s v="Daily Sales Import"/>
    <n v="-4328.3306000000002"/>
    <n v="4328.3306000000002"/>
    <x v="1"/>
    <s v="2100"/>
    <s v="000"/>
    <x v="9"/>
    <x v="2"/>
  </r>
  <r>
    <d v="2013-07-08T00:00:00"/>
    <s v="017-2210-000"/>
    <s v="Liquor Sales"/>
    <n v="1379.7729999999999"/>
    <n v="0"/>
    <s v="Daily Sales Import"/>
    <n v="-1379.7729999999999"/>
    <n v="1379.7729999999999"/>
    <x v="1"/>
    <s v="2210"/>
    <s v="000"/>
    <x v="9"/>
    <x v="2"/>
  </r>
  <r>
    <d v="2013-07-08T00:00:00"/>
    <s v="017-2220-000"/>
    <s v="Beer Sales"/>
    <n v="439.58039999999994"/>
    <n v="0"/>
    <s v="Daily Sales Import"/>
    <n v="-439.58039999999994"/>
    <n v="439.58039999999994"/>
    <x v="1"/>
    <s v="2220"/>
    <s v="000"/>
    <x v="9"/>
    <x v="2"/>
  </r>
  <r>
    <d v="2013-07-08T00:00:00"/>
    <s v="017-2230-000"/>
    <s v="Wine Sales"/>
    <n v="33.24"/>
    <n v="0"/>
    <s v="Daily Sales Import"/>
    <n v="-33.24"/>
    <n v="33.24"/>
    <x v="1"/>
    <s v="2230"/>
    <s v="000"/>
    <x v="9"/>
    <x v="2"/>
  </r>
  <r>
    <d v="2013-07-09T00:00:00"/>
    <s v="017-2100-000"/>
    <s v="Food Sales"/>
    <n v="6685.9192000000003"/>
    <n v="0"/>
    <s v="Daily Sales Import"/>
    <n v="-6685.9192000000003"/>
    <n v="6685.9192000000003"/>
    <x v="1"/>
    <s v="2100"/>
    <s v="000"/>
    <x v="9"/>
    <x v="2"/>
  </r>
  <r>
    <d v="2013-07-09T00:00:00"/>
    <s v="017-2210-000"/>
    <s v="Liquor Sales"/>
    <n v="1264.0168999999999"/>
    <n v="0"/>
    <s v="Daily Sales Import"/>
    <n v="-1264.0168999999999"/>
    <n v="1264.0168999999999"/>
    <x v="1"/>
    <s v="2210"/>
    <s v="000"/>
    <x v="9"/>
    <x v="2"/>
  </r>
  <r>
    <d v="2013-07-09T00:00:00"/>
    <s v="017-2220-000"/>
    <s v="Beer Sales"/>
    <n v="479.79750000000001"/>
    <n v="0"/>
    <s v="Daily Sales Import"/>
    <n v="-479.79750000000001"/>
    <n v="479.79750000000001"/>
    <x v="1"/>
    <s v="2220"/>
    <s v="000"/>
    <x v="9"/>
    <x v="2"/>
  </r>
  <r>
    <d v="2013-07-09T00:00:00"/>
    <s v="017-2230-000"/>
    <s v="Wine Sales"/>
    <n v="61.705600000000004"/>
    <n v="0"/>
    <s v="Daily Sales Import"/>
    <n v="-61.705600000000004"/>
    <n v="61.705600000000004"/>
    <x v="1"/>
    <s v="2230"/>
    <s v="000"/>
    <x v="9"/>
    <x v="2"/>
  </r>
  <r>
    <d v="2013-07-10T00:00:00"/>
    <s v="017-2100-000"/>
    <s v="Food Sales"/>
    <n v="5954.0027"/>
    <n v="0"/>
    <s v="Daily Sales Import"/>
    <n v="-5954.0027"/>
    <n v="5954.0027"/>
    <x v="1"/>
    <s v="2100"/>
    <s v="000"/>
    <x v="9"/>
    <x v="2"/>
  </r>
  <r>
    <d v="2013-07-10T00:00:00"/>
    <s v="017-2210-000"/>
    <s v="Liquor Sales"/>
    <n v="1590.5608"/>
    <n v="0"/>
    <s v="Daily Sales Import"/>
    <n v="-1590.5608"/>
    <n v="1590.5608"/>
    <x v="1"/>
    <s v="2210"/>
    <s v="000"/>
    <x v="9"/>
    <x v="2"/>
  </r>
  <r>
    <d v="2013-07-10T00:00:00"/>
    <s v="017-2220-000"/>
    <s v="Beer Sales"/>
    <n v="548.37250000000006"/>
    <n v="0"/>
    <s v="Daily Sales Import"/>
    <n v="-548.37250000000006"/>
    <n v="548.37250000000006"/>
    <x v="1"/>
    <s v="2220"/>
    <s v="000"/>
    <x v="9"/>
    <x v="2"/>
  </r>
  <r>
    <d v="2013-07-10T00:00:00"/>
    <s v="017-2230-000"/>
    <s v="Wine Sales"/>
    <n v="111.35239999999999"/>
    <n v="0"/>
    <s v="Daily Sales Import"/>
    <n v="-111.35239999999999"/>
    <n v="111.35239999999999"/>
    <x v="1"/>
    <s v="2230"/>
    <s v="000"/>
    <x v="9"/>
    <x v="2"/>
  </r>
  <r>
    <d v="2013-07-11T00:00:00"/>
    <s v="017-2100-000"/>
    <s v="Food Sales"/>
    <n v="8101.5108"/>
    <n v="0"/>
    <s v="Daily Sales Import"/>
    <n v="-8101.5108"/>
    <n v="8101.5108"/>
    <x v="1"/>
    <s v="2100"/>
    <s v="000"/>
    <x v="9"/>
    <x v="2"/>
  </r>
  <r>
    <d v="2013-07-11T00:00:00"/>
    <s v="017-2210-000"/>
    <s v="Liquor Sales"/>
    <n v="1930.9585999999997"/>
    <n v="0"/>
    <s v="Daily Sales Import"/>
    <n v="-1930.9585999999997"/>
    <n v="1930.9585999999997"/>
    <x v="1"/>
    <s v="2210"/>
    <s v="000"/>
    <x v="9"/>
    <x v="2"/>
  </r>
  <r>
    <d v="2013-07-11T00:00:00"/>
    <s v="017-2220-000"/>
    <s v="Beer Sales"/>
    <n v="657.64139999999998"/>
    <n v="0"/>
    <s v="Daily Sales Import"/>
    <n v="-657.64139999999998"/>
    <n v="657.64139999999998"/>
    <x v="1"/>
    <s v="2220"/>
    <s v="000"/>
    <x v="9"/>
    <x v="2"/>
  </r>
  <r>
    <d v="2013-07-11T00:00:00"/>
    <s v="017-2230-000"/>
    <s v="Wine Sales"/>
    <n v="108.80799999999999"/>
    <n v="0"/>
    <s v="Daily Sales Import"/>
    <n v="-108.80799999999999"/>
    <n v="108.80799999999999"/>
    <x v="1"/>
    <s v="2230"/>
    <s v="000"/>
    <x v="9"/>
    <x v="2"/>
  </r>
  <r>
    <d v="2013-07-12T00:00:00"/>
    <s v="017-2100-000"/>
    <s v="Food Sales"/>
    <n v="9160.5971999999983"/>
    <n v="0"/>
    <s v="Daily Sales Import"/>
    <n v="-9160.5971999999983"/>
    <n v="9160.5971999999983"/>
    <x v="1"/>
    <s v="2100"/>
    <s v="000"/>
    <x v="9"/>
    <x v="2"/>
  </r>
  <r>
    <d v="2013-07-12T00:00:00"/>
    <s v="017-2210-000"/>
    <s v="Liquor Sales"/>
    <n v="2410.0063"/>
    <n v="0"/>
    <s v="Daily Sales Import"/>
    <n v="-2410.0063"/>
    <n v="2410.0063"/>
    <x v="1"/>
    <s v="2210"/>
    <s v="000"/>
    <x v="9"/>
    <x v="2"/>
  </r>
  <r>
    <d v="2013-07-12T00:00:00"/>
    <s v="017-2220-000"/>
    <s v="Beer Sales"/>
    <n v="556.28820000000007"/>
    <n v="0"/>
    <s v="Daily Sales Import"/>
    <n v="-556.28820000000007"/>
    <n v="556.28820000000007"/>
    <x v="1"/>
    <s v="2220"/>
    <s v="000"/>
    <x v="9"/>
    <x v="2"/>
  </r>
  <r>
    <d v="2013-07-12T00:00:00"/>
    <s v="017-2230-000"/>
    <s v="Wine Sales"/>
    <n v="68.474800000000002"/>
    <n v="0"/>
    <s v="Daily Sales Import"/>
    <n v="-68.474800000000002"/>
    <n v="68.474800000000002"/>
    <x v="1"/>
    <s v="2230"/>
    <s v="000"/>
    <x v="9"/>
    <x v="2"/>
  </r>
  <r>
    <d v="2013-07-13T00:00:00"/>
    <s v="017-2100-000"/>
    <s v="Food Sales"/>
    <n v="7642.7532999999994"/>
    <n v="0"/>
    <s v="Daily Sales Import"/>
    <n v="-7642.7532999999994"/>
    <n v="7642.7532999999994"/>
    <x v="1"/>
    <s v="2100"/>
    <s v="000"/>
    <x v="9"/>
    <x v="2"/>
  </r>
  <r>
    <d v="2013-07-13T00:00:00"/>
    <s v="017-2210-000"/>
    <s v="Liquor Sales"/>
    <n v="1313.8400000000001"/>
    <n v="0"/>
    <s v="Daily Sales Import"/>
    <n v="-1313.8400000000001"/>
    <n v="1313.8400000000001"/>
    <x v="1"/>
    <s v="2210"/>
    <s v="000"/>
    <x v="9"/>
    <x v="2"/>
  </r>
  <r>
    <d v="2013-07-13T00:00:00"/>
    <s v="017-2220-000"/>
    <s v="Beer Sales"/>
    <n v="273.084"/>
    <n v="0"/>
    <s v="Daily Sales Import"/>
    <n v="-273.084"/>
    <n v="273.084"/>
    <x v="1"/>
    <s v="2220"/>
    <s v="000"/>
    <x v="9"/>
    <x v="2"/>
  </r>
  <r>
    <d v="2013-07-13T00:00:00"/>
    <s v="017-2230-000"/>
    <s v="Wine Sales"/>
    <n v="42.426000000000002"/>
    <n v="0"/>
    <s v="Daily Sales Import"/>
    <n v="-42.426000000000002"/>
    <n v="42.426000000000002"/>
    <x v="1"/>
    <s v="2230"/>
    <s v="000"/>
    <x v="9"/>
    <x v="2"/>
  </r>
  <r>
    <d v="2013-07-14T00:00:00"/>
    <s v="017-2100-000"/>
    <s v="Food Sales"/>
    <n v="4993.076"/>
    <n v="0"/>
    <s v="Daily Sales Import"/>
    <n v="-4993.076"/>
    <n v="4993.076"/>
    <x v="1"/>
    <s v="2100"/>
    <s v="000"/>
    <x v="9"/>
    <x v="2"/>
  </r>
  <r>
    <d v="2013-07-14T00:00:00"/>
    <s v="017-2210-000"/>
    <s v="Liquor Sales"/>
    <n v="1155.3672000000001"/>
    <n v="0"/>
    <s v="Daily Sales Import"/>
    <n v="-1155.3672000000001"/>
    <n v="1155.3672000000001"/>
    <x v="1"/>
    <s v="2210"/>
    <s v="000"/>
    <x v="9"/>
    <x v="2"/>
  </r>
  <r>
    <d v="2013-07-14T00:00:00"/>
    <s v="017-2220-000"/>
    <s v="Beer Sales"/>
    <n v="216.46949999999998"/>
    <n v="0"/>
    <s v="Daily Sales Import"/>
    <n v="-216.46949999999998"/>
    <n v="216.46949999999998"/>
    <x v="1"/>
    <s v="2220"/>
    <s v="000"/>
    <x v="9"/>
    <x v="2"/>
  </r>
  <r>
    <d v="2013-07-14T00:00:00"/>
    <s v="017-2230-000"/>
    <s v="Wine Sales"/>
    <n v="60.515099999999997"/>
    <n v="0"/>
    <s v="Daily Sales Import"/>
    <n v="-60.515099999999997"/>
    <n v="60.515099999999997"/>
    <x v="1"/>
    <s v="2230"/>
    <s v="000"/>
    <x v="9"/>
    <x v="2"/>
  </r>
  <r>
    <d v="2013-07-08T00:00:00"/>
    <s v="018-2100-000"/>
    <s v="Food Sales"/>
    <n v="5071.1025999999993"/>
    <n v="0"/>
    <s v="Daily Sales Import"/>
    <n v="-5071.1025999999993"/>
    <n v="5071.1025999999993"/>
    <x v="2"/>
    <s v="2100"/>
    <s v="000"/>
    <x v="9"/>
    <x v="2"/>
  </r>
  <r>
    <d v="2013-07-08T00:00:00"/>
    <s v="018-2210-000"/>
    <s v="Liquor Sales"/>
    <n v="796.84140000000002"/>
    <n v="0"/>
    <s v="Daily Sales Import"/>
    <n v="-796.84140000000002"/>
    <n v="796.84140000000002"/>
    <x v="2"/>
    <s v="2210"/>
    <s v="000"/>
    <x v="9"/>
    <x v="2"/>
  </r>
  <r>
    <d v="2013-07-08T00:00:00"/>
    <s v="018-2220-000"/>
    <s v="Beer Sales"/>
    <n v="223.2216"/>
    <n v="0"/>
    <s v="Daily Sales Import"/>
    <n v="-223.2216"/>
    <n v="223.2216"/>
    <x v="2"/>
    <s v="2220"/>
    <s v="000"/>
    <x v="9"/>
    <x v="2"/>
  </r>
  <r>
    <d v="2013-07-08T00:00:00"/>
    <s v="018-2230-000"/>
    <s v="Wine Sales"/>
    <n v="26.761500000000002"/>
    <n v="0"/>
    <s v="Daily Sales Import"/>
    <n v="-26.761500000000002"/>
    <n v="26.761500000000002"/>
    <x v="2"/>
    <s v="2230"/>
    <s v="000"/>
    <x v="9"/>
    <x v="2"/>
  </r>
  <r>
    <d v="2013-07-09T00:00:00"/>
    <s v="018-2100-000"/>
    <s v="Food Sales"/>
    <n v="3785.7518999999998"/>
    <n v="0"/>
    <s v="Daily Sales Import"/>
    <n v="-3785.7518999999998"/>
    <n v="3785.7518999999998"/>
    <x v="2"/>
    <s v="2100"/>
    <s v="000"/>
    <x v="9"/>
    <x v="2"/>
  </r>
  <r>
    <d v="2013-07-09T00:00:00"/>
    <s v="018-2210-000"/>
    <s v="Liquor Sales"/>
    <n v="797.33949999999993"/>
    <n v="0"/>
    <s v="Daily Sales Import"/>
    <n v="-797.33949999999993"/>
    <n v="797.33949999999993"/>
    <x v="2"/>
    <s v="2210"/>
    <s v="000"/>
    <x v="9"/>
    <x v="2"/>
  </r>
  <r>
    <d v="2013-07-09T00:00:00"/>
    <s v="018-2220-000"/>
    <s v="Beer Sales"/>
    <n v="282.76650000000001"/>
    <n v="0"/>
    <s v="Daily Sales Import"/>
    <n v="-282.76650000000001"/>
    <n v="282.76650000000001"/>
    <x v="2"/>
    <s v="2220"/>
    <s v="000"/>
    <x v="9"/>
    <x v="2"/>
  </r>
  <r>
    <d v="2013-07-10T00:00:00"/>
    <s v="018-2100-000"/>
    <s v="Food Sales"/>
    <n v="4643.5024000000003"/>
    <n v="0"/>
    <s v="Daily Sales Import"/>
    <n v="-4643.5024000000003"/>
    <n v="4643.5024000000003"/>
    <x v="2"/>
    <s v="2100"/>
    <s v="000"/>
    <x v="9"/>
    <x v="2"/>
  </r>
  <r>
    <d v="2013-07-10T00:00:00"/>
    <s v="018-2210-000"/>
    <s v="Liquor Sales"/>
    <n v="763.68050000000005"/>
    <n v="0"/>
    <s v="Daily Sales Import"/>
    <n v="-763.68050000000005"/>
    <n v="763.68050000000005"/>
    <x v="2"/>
    <s v="2210"/>
    <s v="000"/>
    <x v="9"/>
    <x v="2"/>
  </r>
  <r>
    <d v="2013-07-10T00:00:00"/>
    <s v="018-2220-000"/>
    <s v="Beer Sales"/>
    <n v="385.66079999999999"/>
    <n v="0"/>
    <s v="Daily Sales Import"/>
    <n v="-385.66079999999999"/>
    <n v="385.66079999999999"/>
    <x v="2"/>
    <s v="2220"/>
    <s v="000"/>
    <x v="9"/>
    <x v="2"/>
  </r>
  <r>
    <d v="2013-07-10T00:00:00"/>
    <s v="018-2230-000"/>
    <s v="Wine Sales"/>
    <n v="48.191600000000008"/>
    <n v="0"/>
    <s v="Daily Sales Import"/>
    <n v="-48.191600000000008"/>
    <n v="48.191600000000008"/>
    <x v="2"/>
    <s v="2230"/>
    <s v="000"/>
    <x v="9"/>
    <x v="2"/>
  </r>
  <r>
    <d v="2013-07-11T00:00:00"/>
    <s v="018-2100-000"/>
    <s v="Food Sales"/>
    <n v="5287.7055"/>
    <n v="0"/>
    <s v="Daily Sales Import"/>
    <n v="-5287.7055"/>
    <n v="5287.7055"/>
    <x v="2"/>
    <s v="2100"/>
    <s v="000"/>
    <x v="9"/>
    <x v="2"/>
  </r>
  <r>
    <d v="2013-07-11T00:00:00"/>
    <s v="018-2210-000"/>
    <s v="Liquor Sales"/>
    <n v="1191.664"/>
    <n v="0"/>
    <s v="Daily Sales Import"/>
    <n v="-1191.664"/>
    <n v="1191.664"/>
    <x v="2"/>
    <s v="2210"/>
    <s v="000"/>
    <x v="9"/>
    <x v="2"/>
  </r>
  <r>
    <d v="2013-07-11T00:00:00"/>
    <s v="018-2220-000"/>
    <s v="Beer Sales"/>
    <n v="355.83699999999999"/>
    <n v="0"/>
    <s v="Daily Sales Import"/>
    <n v="-355.83699999999999"/>
    <n v="355.83699999999999"/>
    <x v="2"/>
    <s v="2220"/>
    <s v="000"/>
    <x v="9"/>
    <x v="2"/>
  </r>
  <r>
    <d v="2013-07-11T00:00:00"/>
    <s v="018-2230-000"/>
    <s v="Wine Sales"/>
    <n v="8.4505999999999997"/>
    <n v="0"/>
    <s v="Daily Sales Import"/>
    <n v="-8.4505999999999997"/>
    <n v="8.4505999999999997"/>
    <x v="2"/>
    <s v="2230"/>
    <s v="000"/>
    <x v="9"/>
    <x v="2"/>
  </r>
  <r>
    <d v="2013-07-12T00:00:00"/>
    <s v="018-2100-000"/>
    <s v="Food Sales"/>
    <n v="9768.5818999999992"/>
    <n v="0"/>
    <s v="Daily Sales Import"/>
    <n v="-9768.5818999999992"/>
    <n v="9768.5818999999992"/>
    <x v="2"/>
    <s v="2100"/>
    <s v="000"/>
    <x v="9"/>
    <x v="2"/>
  </r>
  <r>
    <d v="2013-07-12T00:00:00"/>
    <s v="018-2210-000"/>
    <s v="Liquor Sales"/>
    <n v="3178.6573000000003"/>
    <n v="0"/>
    <s v="Daily Sales Import"/>
    <n v="-3178.6573000000003"/>
    <n v="3178.6573000000003"/>
    <x v="2"/>
    <s v="2210"/>
    <s v="000"/>
    <x v="9"/>
    <x v="2"/>
  </r>
  <r>
    <d v="2013-07-12T00:00:00"/>
    <s v="018-2220-000"/>
    <s v="Beer Sales"/>
    <n v="682.19100000000003"/>
    <n v="0"/>
    <s v="Daily Sales Import"/>
    <n v="-682.19100000000003"/>
    <n v="682.19100000000003"/>
    <x v="2"/>
    <s v="2220"/>
    <s v="000"/>
    <x v="9"/>
    <x v="2"/>
  </r>
  <r>
    <d v="2013-07-12T00:00:00"/>
    <s v="018-2230-000"/>
    <s v="Wine Sales"/>
    <n v="196.4872"/>
    <n v="0"/>
    <s v="Daily Sales Import"/>
    <n v="-196.4872"/>
    <n v="196.4872"/>
    <x v="2"/>
    <s v="2230"/>
    <s v="000"/>
    <x v="9"/>
    <x v="2"/>
  </r>
  <r>
    <d v="2013-07-13T00:00:00"/>
    <s v="018-2100-000"/>
    <s v="Food Sales"/>
    <n v="16046.238600000001"/>
    <n v="0"/>
    <s v="Daily Sales Import"/>
    <n v="-16046.238600000001"/>
    <n v="16046.238600000001"/>
    <x v="2"/>
    <s v="2100"/>
    <s v="000"/>
    <x v="9"/>
    <x v="2"/>
  </r>
  <r>
    <d v="2013-07-13T00:00:00"/>
    <s v="018-2210-000"/>
    <s v="Liquor Sales"/>
    <n v="3153.7862"/>
    <n v="0"/>
    <s v="Daily Sales Import"/>
    <n v="-3153.7862"/>
    <n v="3153.7862"/>
    <x v="2"/>
    <s v="2210"/>
    <s v="000"/>
    <x v="9"/>
    <x v="2"/>
  </r>
  <r>
    <d v="2013-07-13T00:00:00"/>
    <s v="018-2220-000"/>
    <s v="Beer Sales"/>
    <n v="812.05599999999993"/>
    <n v="0"/>
    <s v="Daily Sales Import"/>
    <n v="-812.05599999999993"/>
    <n v="812.05599999999993"/>
    <x v="2"/>
    <s v="2220"/>
    <s v="000"/>
    <x v="9"/>
    <x v="2"/>
  </r>
  <r>
    <d v="2013-07-13T00:00:00"/>
    <s v="018-2230-000"/>
    <s v="Wine Sales"/>
    <n v="95.602500000000006"/>
    <n v="0"/>
    <s v="Daily Sales Import"/>
    <n v="-95.602500000000006"/>
    <n v="95.602500000000006"/>
    <x v="2"/>
    <s v="2230"/>
    <s v="000"/>
    <x v="9"/>
    <x v="2"/>
  </r>
  <r>
    <d v="2013-07-14T00:00:00"/>
    <s v="018-2100-000"/>
    <s v="Food Sales"/>
    <n v="13418.5695"/>
    <n v="0"/>
    <s v="Daily Sales Import"/>
    <n v="-13418.5695"/>
    <n v="13418.5695"/>
    <x v="2"/>
    <s v="2100"/>
    <s v="000"/>
    <x v="9"/>
    <x v="2"/>
  </r>
  <r>
    <d v="2013-07-14T00:00:00"/>
    <s v="018-2210-000"/>
    <s v="Liquor Sales"/>
    <n v="2250.8213000000001"/>
    <n v="0"/>
    <s v="Daily Sales Import"/>
    <n v="-2250.8213000000001"/>
    <n v="2250.8213000000001"/>
    <x v="2"/>
    <s v="2210"/>
    <s v="000"/>
    <x v="9"/>
    <x v="2"/>
  </r>
  <r>
    <d v="2013-07-14T00:00:00"/>
    <s v="018-2220-000"/>
    <s v="Beer Sales"/>
    <n v="416.78699999999998"/>
    <n v="0"/>
    <s v="Daily Sales Import"/>
    <n v="-416.78699999999998"/>
    <n v="416.78699999999998"/>
    <x v="2"/>
    <s v="2220"/>
    <s v="000"/>
    <x v="9"/>
    <x v="2"/>
  </r>
  <r>
    <d v="2013-07-14T00:00:00"/>
    <s v="018-2230-000"/>
    <s v="Wine Sales"/>
    <n v="25.157000000000004"/>
    <n v="0"/>
    <s v="Daily Sales Import"/>
    <n v="-25.157000000000004"/>
    <n v="25.157000000000004"/>
    <x v="2"/>
    <s v="2230"/>
    <s v="000"/>
    <x v="9"/>
    <x v="2"/>
  </r>
  <r>
    <d v="2013-07-15T00:00:00"/>
    <s v="016-2100-000"/>
    <s v="Food Sales"/>
    <n v="3657.9239999999995"/>
    <n v="0"/>
    <s v="Daily Sales Import"/>
    <n v="-3657.9239999999995"/>
    <n v="3657.9239999999995"/>
    <x v="0"/>
    <s v="2100"/>
    <s v="000"/>
    <x v="9"/>
    <x v="2"/>
  </r>
  <r>
    <d v="2013-07-15T00:00:00"/>
    <s v="016-2210-000"/>
    <s v="Liquor Sales"/>
    <n v="694.20039999999995"/>
    <n v="0"/>
    <s v="Daily Sales Import"/>
    <n v="-694.20039999999995"/>
    <n v="694.20039999999995"/>
    <x v="0"/>
    <s v="2210"/>
    <s v="000"/>
    <x v="9"/>
    <x v="2"/>
  </r>
  <r>
    <d v="2013-07-15T00:00:00"/>
    <s v="016-2220-000"/>
    <s v="Beer Sales"/>
    <n v="167.04"/>
    <n v="0"/>
    <s v="Daily Sales Import"/>
    <n v="-167.04"/>
    <n v="167.04"/>
    <x v="0"/>
    <s v="2220"/>
    <s v="000"/>
    <x v="9"/>
    <x v="2"/>
  </r>
  <r>
    <d v="2013-07-15T00:00:00"/>
    <s v="016-2230-000"/>
    <s v="Wine Sales"/>
    <n v="27.231799999999996"/>
    <n v="0"/>
    <s v="Daily Sales Import"/>
    <n v="-27.231799999999996"/>
    <n v="27.231799999999996"/>
    <x v="0"/>
    <s v="2230"/>
    <s v="000"/>
    <x v="9"/>
    <x v="2"/>
  </r>
  <r>
    <d v="2013-07-16T00:00:00"/>
    <s v="016-2100-000"/>
    <s v="Food Sales"/>
    <n v="7892.5"/>
    <n v="0"/>
    <s v="Daily Sales Import"/>
    <n v="-7892.5"/>
    <n v="7892.5"/>
    <x v="0"/>
    <s v="2100"/>
    <s v="000"/>
    <x v="9"/>
    <x v="2"/>
  </r>
  <r>
    <d v="2013-07-16T00:00:00"/>
    <s v="016-2210-000"/>
    <s v="Liquor Sales"/>
    <n v="3330.6555000000003"/>
    <n v="0"/>
    <s v="Daily Sales Import"/>
    <n v="-3330.6555000000003"/>
    <n v="3330.6555000000003"/>
    <x v="0"/>
    <s v="2210"/>
    <s v="000"/>
    <x v="9"/>
    <x v="2"/>
  </r>
  <r>
    <d v="2013-07-16T00:00:00"/>
    <s v="016-2220-000"/>
    <s v="Beer Sales"/>
    <n v="776.79200000000003"/>
    <n v="0"/>
    <s v="Daily Sales Import"/>
    <n v="-776.79200000000003"/>
    <n v="776.79200000000003"/>
    <x v="0"/>
    <s v="2220"/>
    <s v="000"/>
    <x v="9"/>
    <x v="2"/>
  </r>
  <r>
    <d v="2013-07-16T00:00:00"/>
    <s v="016-2230-000"/>
    <s v="Wine Sales"/>
    <n v="145.36079999999998"/>
    <n v="0"/>
    <s v="Daily Sales Import"/>
    <n v="-145.36079999999998"/>
    <n v="145.36079999999998"/>
    <x v="0"/>
    <s v="2230"/>
    <s v="000"/>
    <x v="9"/>
    <x v="2"/>
  </r>
  <r>
    <d v="2013-07-17T00:00:00"/>
    <s v="016-2100-000"/>
    <s v="Food Sales"/>
    <n v="2429.5463999999997"/>
    <n v="0"/>
    <s v="Daily Sales Import"/>
    <n v="-2429.5463999999997"/>
    <n v="2429.5463999999997"/>
    <x v="0"/>
    <s v="2100"/>
    <s v="000"/>
    <x v="9"/>
    <x v="2"/>
  </r>
  <r>
    <d v="2013-07-17T00:00:00"/>
    <s v="016-2210-000"/>
    <s v="Liquor Sales"/>
    <n v="536.63760000000002"/>
    <n v="0"/>
    <s v="Daily Sales Import"/>
    <n v="-536.63760000000002"/>
    <n v="536.63760000000002"/>
    <x v="0"/>
    <s v="2210"/>
    <s v="000"/>
    <x v="9"/>
    <x v="2"/>
  </r>
  <r>
    <d v="2013-07-17T00:00:00"/>
    <s v="016-2220-000"/>
    <s v="Beer Sales"/>
    <n v="120.8296"/>
    <n v="0"/>
    <s v="Daily Sales Import"/>
    <n v="-120.8296"/>
    <n v="120.8296"/>
    <x v="0"/>
    <s v="2220"/>
    <s v="000"/>
    <x v="9"/>
    <x v="2"/>
  </r>
  <r>
    <d v="2013-07-17T00:00:00"/>
    <s v="016-2230-000"/>
    <s v="Wine Sales"/>
    <n v="44.125499999999995"/>
    <n v="0"/>
    <s v="Daily Sales Import"/>
    <n v="-44.125499999999995"/>
    <n v="44.125499999999995"/>
    <x v="0"/>
    <s v="2230"/>
    <s v="000"/>
    <x v="9"/>
    <x v="2"/>
  </r>
  <r>
    <d v="2013-07-18T00:00:00"/>
    <s v="016-2100-000"/>
    <s v="Food Sales"/>
    <n v="2271.7314999999999"/>
    <n v="0"/>
    <s v="Daily Sales Import"/>
    <n v="-2271.7314999999999"/>
    <n v="2271.7314999999999"/>
    <x v="0"/>
    <s v="2100"/>
    <s v="000"/>
    <x v="9"/>
    <x v="2"/>
  </r>
  <r>
    <d v="2013-07-18T00:00:00"/>
    <s v="016-2210-000"/>
    <s v="Liquor Sales"/>
    <n v="675.90599999999995"/>
    <n v="0"/>
    <s v="Daily Sales Import"/>
    <n v="-675.90599999999995"/>
    <n v="675.90599999999995"/>
    <x v="0"/>
    <s v="2210"/>
    <s v="000"/>
    <x v="9"/>
    <x v="2"/>
  </r>
  <r>
    <d v="2013-07-18T00:00:00"/>
    <s v="016-2220-000"/>
    <s v="Beer Sales"/>
    <n v="153.16320000000002"/>
    <n v="0"/>
    <s v="Daily Sales Import"/>
    <n v="-153.16320000000002"/>
    <n v="153.16320000000002"/>
    <x v="0"/>
    <s v="2220"/>
    <s v="000"/>
    <x v="9"/>
    <x v="2"/>
  </r>
  <r>
    <d v="2013-07-18T00:00:00"/>
    <s v="016-2230-000"/>
    <s v="Wine Sales"/>
    <n v="80.246999999999986"/>
    <n v="0"/>
    <s v="Daily Sales Import"/>
    <n v="-80.246999999999986"/>
    <n v="80.246999999999986"/>
    <x v="0"/>
    <s v="2230"/>
    <s v="000"/>
    <x v="9"/>
    <x v="2"/>
  </r>
  <r>
    <d v="2013-07-19T00:00:00"/>
    <s v="016-2100-000"/>
    <s v="Food Sales"/>
    <n v="6960.3963000000003"/>
    <n v="0"/>
    <s v="Daily Sales Import"/>
    <n v="-6960.3963000000003"/>
    <n v="6960.3963000000003"/>
    <x v="0"/>
    <s v="2100"/>
    <s v="000"/>
    <x v="9"/>
    <x v="2"/>
  </r>
  <r>
    <d v="2013-07-19T00:00:00"/>
    <s v="016-2210-000"/>
    <s v="Liquor Sales"/>
    <n v="1706.7982000000002"/>
    <n v="0"/>
    <s v="Daily Sales Import"/>
    <n v="-1706.7982000000002"/>
    <n v="1706.7982000000002"/>
    <x v="0"/>
    <s v="2210"/>
    <s v="000"/>
    <x v="9"/>
    <x v="2"/>
  </r>
  <r>
    <d v="2013-07-19T00:00:00"/>
    <s v="016-2220-000"/>
    <s v="Beer Sales"/>
    <n v="384.78000000000003"/>
    <n v="0"/>
    <s v="Daily Sales Import"/>
    <n v="-384.78000000000003"/>
    <n v="384.78000000000003"/>
    <x v="0"/>
    <s v="2220"/>
    <s v="000"/>
    <x v="9"/>
    <x v="2"/>
  </r>
  <r>
    <d v="2013-07-19T00:00:00"/>
    <s v="016-2230-000"/>
    <s v="Wine Sales"/>
    <n v="122.32000000000001"/>
    <n v="0"/>
    <s v="Daily Sales Import"/>
    <n v="-122.32000000000001"/>
    <n v="122.32000000000001"/>
    <x v="0"/>
    <s v="2230"/>
    <s v="000"/>
    <x v="9"/>
    <x v="2"/>
  </r>
  <r>
    <d v="2013-07-20T00:00:00"/>
    <s v="016-2100-000"/>
    <s v="Food Sales"/>
    <n v="5719.4941999999992"/>
    <n v="0"/>
    <s v="Daily Sales Import"/>
    <n v="-5719.4941999999992"/>
    <n v="5719.4941999999992"/>
    <x v="0"/>
    <s v="2100"/>
    <s v="000"/>
    <x v="9"/>
    <x v="2"/>
  </r>
  <r>
    <d v="2013-07-20T00:00:00"/>
    <s v="016-2210-000"/>
    <s v="Liquor Sales"/>
    <n v="2571.8889999999997"/>
    <n v="0"/>
    <s v="Daily Sales Import"/>
    <n v="-2571.8889999999997"/>
    <n v="2571.8889999999997"/>
    <x v="0"/>
    <s v="2210"/>
    <s v="000"/>
    <x v="9"/>
    <x v="2"/>
  </r>
  <r>
    <d v="2013-07-20T00:00:00"/>
    <s v="016-2220-000"/>
    <s v="Beer Sales"/>
    <n v="551.08409999999992"/>
    <n v="0"/>
    <s v="Daily Sales Import"/>
    <n v="-551.08409999999992"/>
    <n v="551.08409999999992"/>
    <x v="0"/>
    <s v="2220"/>
    <s v="000"/>
    <x v="9"/>
    <x v="2"/>
  </r>
  <r>
    <d v="2013-07-20T00:00:00"/>
    <s v="016-2230-000"/>
    <s v="Wine Sales"/>
    <n v="90.175600000000003"/>
    <n v="0"/>
    <s v="Daily Sales Import"/>
    <n v="-90.175600000000003"/>
    <n v="90.175600000000003"/>
    <x v="0"/>
    <s v="2230"/>
    <s v="000"/>
    <x v="9"/>
    <x v="2"/>
  </r>
  <r>
    <d v="2013-07-21T00:00:00"/>
    <s v="016-2100-000"/>
    <s v="Food Sales"/>
    <n v="5083.4637000000002"/>
    <n v="0"/>
    <s v="Daily Sales Import"/>
    <n v="-5083.4637000000002"/>
    <n v="5083.4637000000002"/>
    <x v="0"/>
    <s v="2100"/>
    <s v="000"/>
    <x v="9"/>
    <x v="2"/>
  </r>
  <r>
    <d v="2013-07-21T00:00:00"/>
    <s v="016-2210-000"/>
    <s v="Liquor Sales"/>
    <n v="685.95839999999998"/>
    <n v="0"/>
    <s v="Daily Sales Import"/>
    <n v="-685.95839999999998"/>
    <n v="685.95839999999998"/>
    <x v="0"/>
    <s v="2210"/>
    <s v="000"/>
    <x v="9"/>
    <x v="2"/>
  </r>
  <r>
    <d v="2013-07-21T00:00:00"/>
    <s v="016-2220-000"/>
    <s v="Beer Sales"/>
    <n v="164.81300000000002"/>
    <n v="0"/>
    <s v="Daily Sales Import"/>
    <n v="-164.81300000000002"/>
    <n v="164.81300000000002"/>
    <x v="0"/>
    <s v="2220"/>
    <s v="000"/>
    <x v="9"/>
    <x v="2"/>
  </r>
  <r>
    <d v="2013-07-21T00:00:00"/>
    <s v="016-2230-000"/>
    <s v="Wine Sales"/>
    <n v="59.008799999999994"/>
    <n v="0"/>
    <s v="Daily Sales Import"/>
    <n v="-59.008799999999994"/>
    <n v="59.008799999999994"/>
    <x v="0"/>
    <s v="2230"/>
    <s v="000"/>
    <x v="9"/>
    <x v="2"/>
  </r>
  <r>
    <d v="2013-07-15T00:00:00"/>
    <s v="017-2100-000"/>
    <s v="Food Sales"/>
    <n v="4210.6122000000005"/>
    <n v="0"/>
    <s v="Daily Sales Import"/>
    <n v="-4210.6122000000005"/>
    <n v="4210.6122000000005"/>
    <x v="1"/>
    <s v="2100"/>
    <s v="000"/>
    <x v="9"/>
    <x v="2"/>
  </r>
  <r>
    <d v="2013-07-15T00:00:00"/>
    <s v="017-2210-000"/>
    <s v="Liquor Sales"/>
    <n v="1367.8117"/>
    <n v="0"/>
    <s v="Daily Sales Import"/>
    <n v="-1367.8117"/>
    <n v="1367.8117"/>
    <x v="1"/>
    <s v="2210"/>
    <s v="000"/>
    <x v="9"/>
    <x v="2"/>
  </r>
  <r>
    <d v="2013-07-15T00:00:00"/>
    <s v="017-2220-000"/>
    <s v="Beer Sales"/>
    <n v="386.72789999999998"/>
    <n v="0"/>
    <s v="Daily Sales Import"/>
    <n v="-386.72789999999998"/>
    <n v="386.72789999999998"/>
    <x v="1"/>
    <s v="2220"/>
    <s v="000"/>
    <x v="9"/>
    <x v="2"/>
  </r>
  <r>
    <d v="2013-07-15T00:00:00"/>
    <s v="017-2230-000"/>
    <s v="Wine Sales"/>
    <n v="120.91860000000001"/>
    <n v="0"/>
    <s v="Daily Sales Import"/>
    <n v="-120.91860000000001"/>
    <n v="120.91860000000001"/>
    <x v="1"/>
    <s v="2230"/>
    <s v="000"/>
    <x v="9"/>
    <x v="2"/>
  </r>
  <r>
    <d v="2013-07-16T00:00:00"/>
    <s v="017-2100-000"/>
    <s v="Food Sales"/>
    <n v="8297.0872999999992"/>
    <n v="0"/>
    <s v="Daily Sales Import"/>
    <n v="-8297.0872999999992"/>
    <n v="8297.0872999999992"/>
    <x v="1"/>
    <s v="2100"/>
    <s v="000"/>
    <x v="9"/>
    <x v="2"/>
  </r>
  <r>
    <d v="2013-07-16T00:00:00"/>
    <s v="017-2210-000"/>
    <s v="Liquor Sales"/>
    <n v="1632.8766000000001"/>
    <n v="0"/>
    <s v="Daily Sales Import"/>
    <n v="-1632.8766000000001"/>
    <n v="1632.8766000000001"/>
    <x v="1"/>
    <s v="2210"/>
    <s v="000"/>
    <x v="9"/>
    <x v="2"/>
  </r>
  <r>
    <d v="2013-07-16T00:00:00"/>
    <s v="017-2220-000"/>
    <s v="Beer Sales"/>
    <n v="838.22019999999998"/>
    <n v="0"/>
    <s v="Daily Sales Import"/>
    <n v="-838.22019999999998"/>
    <n v="838.22019999999998"/>
    <x v="1"/>
    <s v="2220"/>
    <s v="000"/>
    <x v="9"/>
    <x v="2"/>
  </r>
  <r>
    <d v="2013-07-16T00:00:00"/>
    <s v="017-2230-000"/>
    <s v="Wine Sales"/>
    <n v="195.12520000000001"/>
    <n v="0"/>
    <s v="Daily Sales Import"/>
    <n v="-195.12520000000001"/>
    <n v="195.12520000000001"/>
    <x v="1"/>
    <s v="2230"/>
    <s v="000"/>
    <x v="9"/>
    <x v="2"/>
  </r>
  <r>
    <d v="2013-07-17T00:00:00"/>
    <s v="017-2100-000"/>
    <s v="Food Sales"/>
    <n v="7691.2264000000005"/>
    <n v="0"/>
    <s v="Daily Sales Import"/>
    <n v="-7691.2264000000005"/>
    <n v="7691.2264000000005"/>
    <x v="1"/>
    <s v="2100"/>
    <s v="000"/>
    <x v="9"/>
    <x v="2"/>
  </r>
  <r>
    <d v="2013-07-17T00:00:00"/>
    <s v="017-2210-000"/>
    <s v="Liquor Sales"/>
    <n v="1513.0518"/>
    <n v="0"/>
    <s v="Daily Sales Import"/>
    <n v="-1513.0518"/>
    <n v="1513.0518"/>
    <x v="1"/>
    <s v="2210"/>
    <s v="000"/>
    <x v="9"/>
    <x v="2"/>
  </r>
  <r>
    <d v="2013-07-17T00:00:00"/>
    <s v="017-2220-000"/>
    <s v="Beer Sales"/>
    <n v="762.02840000000015"/>
    <n v="0"/>
    <s v="Daily Sales Import"/>
    <n v="-762.02840000000015"/>
    <n v="762.02840000000015"/>
    <x v="1"/>
    <s v="2220"/>
    <s v="000"/>
    <x v="9"/>
    <x v="2"/>
  </r>
  <r>
    <d v="2013-07-17T00:00:00"/>
    <s v="017-2230-000"/>
    <s v="Wine Sales"/>
    <n v="80.992800000000003"/>
    <n v="0"/>
    <s v="Daily Sales Import"/>
    <n v="-80.992800000000003"/>
    <n v="80.992800000000003"/>
    <x v="1"/>
    <s v="2230"/>
    <s v="000"/>
    <x v="9"/>
    <x v="2"/>
  </r>
  <r>
    <d v="2013-07-18T00:00:00"/>
    <s v="017-2100-000"/>
    <s v="Food Sales"/>
    <n v="4966.7438999999995"/>
    <n v="0"/>
    <s v="Daily Sales Import"/>
    <n v="-4966.7438999999995"/>
    <n v="4966.7438999999995"/>
    <x v="1"/>
    <s v="2100"/>
    <s v="000"/>
    <x v="9"/>
    <x v="2"/>
  </r>
  <r>
    <d v="2013-07-18T00:00:00"/>
    <s v="017-2210-000"/>
    <s v="Liquor Sales"/>
    <n v="1357.9520000000002"/>
    <n v="0"/>
    <s v="Daily Sales Import"/>
    <n v="-1357.9520000000002"/>
    <n v="1357.9520000000002"/>
    <x v="1"/>
    <s v="2210"/>
    <s v="000"/>
    <x v="9"/>
    <x v="2"/>
  </r>
  <r>
    <d v="2013-07-18T00:00:00"/>
    <s v="017-2220-000"/>
    <s v="Beer Sales"/>
    <n v="654.33759999999995"/>
    <n v="0"/>
    <s v="Daily Sales Import"/>
    <n v="-654.33759999999995"/>
    <n v="654.33759999999995"/>
    <x v="1"/>
    <s v="2220"/>
    <s v="000"/>
    <x v="9"/>
    <x v="2"/>
  </r>
  <r>
    <d v="2013-07-18T00:00:00"/>
    <s v="017-2230-000"/>
    <s v="Wine Sales"/>
    <n v="169.24179999999998"/>
    <n v="0"/>
    <s v="Daily Sales Import"/>
    <n v="-169.24179999999998"/>
    <n v="169.24179999999998"/>
    <x v="1"/>
    <s v="2230"/>
    <s v="000"/>
    <x v="9"/>
    <x v="2"/>
  </r>
  <r>
    <d v="2013-07-19T00:00:00"/>
    <s v="017-2100-000"/>
    <s v="Food Sales"/>
    <n v="10541.903399999999"/>
    <n v="0"/>
    <s v="Daily Sales Import"/>
    <n v="-10541.903399999999"/>
    <n v="10541.903399999999"/>
    <x v="1"/>
    <s v="2100"/>
    <s v="000"/>
    <x v="9"/>
    <x v="2"/>
  </r>
  <r>
    <d v="2013-07-19T00:00:00"/>
    <s v="017-2210-000"/>
    <s v="Liquor Sales"/>
    <n v="2173.0842000000002"/>
    <n v="0"/>
    <s v="Daily Sales Import"/>
    <n v="-2173.0842000000002"/>
    <n v="2173.0842000000002"/>
    <x v="1"/>
    <s v="2210"/>
    <s v="000"/>
    <x v="9"/>
    <x v="2"/>
  </r>
  <r>
    <d v="2013-07-19T00:00:00"/>
    <s v="017-2220-000"/>
    <s v="Beer Sales"/>
    <n v="413.91160000000002"/>
    <n v="0"/>
    <s v="Daily Sales Import"/>
    <n v="-413.91160000000002"/>
    <n v="413.91160000000002"/>
    <x v="1"/>
    <s v="2220"/>
    <s v="000"/>
    <x v="9"/>
    <x v="2"/>
  </r>
  <r>
    <d v="2013-07-19T00:00:00"/>
    <s v="017-2230-000"/>
    <s v="Wine Sales"/>
    <n v="66.039300000000011"/>
    <n v="0"/>
    <s v="Daily Sales Import"/>
    <n v="-66.039300000000011"/>
    <n v="66.039300000000011"/>
    <x v="1"/>
    <s v="2230"/>
    <s v="000"/>
    <x v="9"/>
    <x v="2"/>
  </r>
  <r>
    <d v="2013-07-20T00:00:00"/>
    <s v="017-2100-000"/>
    <s v="Food Sales"/>
    <n v="5403.7682999999997"/>
    <n v="0"/>
    <s v="Daily Sales Import"/>
    <n v="-5403.7682999999997"/>
    <n v="5403.7682999999997"/>
    <x v="1"/>
    <s v="2100"/>
    <s v="000"/>
    <x v="9"/>
    <x v="2"/>
  </r>
  <r>
    <d v="2013-07-20T00:00:00"/>
    <s v="017-2210-000"/>
    <s v="Liquor Sales"/>
    <n v="1131.5248000000001"/>
    <n v="0"/>
    <s v="Daily Sales Import"/>
    <n v="-1131.5248000000001"/>
    <n v="1131.5248000000001"/>
    <x v="1"/>
    <s v="2210"/>
    <s v="000"/>
    <x v="9"/>
    <x v="2"/>
  </r>
  <r>
    <d v="2013-07-20T00:00:00"/>
    <s v="017-2220-000"/>
    <s v="Beer Sales"/>
    <n v="225.50400000000002"/>
    <n v="0"/>
    <s v="Daily Sales Import"/>
    <n v="-225.50400000000002"/>
    <n v="225.50400000000002"/>
    <x v="1"/>
    <s v="2220"/>
    <s v="000"/>
    <x v="9"/>
    <x v="2"/>
  </r>
  <r>
    <d v="2013-07-20T00:00:00"/>
    <s v="017-2230-000"/>
    <s v="Wine Sales"/>
    <n v="106.26870000000001"/>
    <n v="0"/>
    <s v="Daily Sales Import"/>
    <n v="-106.26870000000001"/>
    <n v="106.26870000000001"/>
    <x v="1"/>
    <s v="2230"/>
    <s v="000"/>
    <x v="9"/>
    <x v="2"/>
  </r>
  <r>
    <d v="2013-07-21T00:00:00"/>
    <s v="017-2100-000"/>
    <s v="Food Sales"/>
    <n v="5418.8324999999995"/>
    <n v="0"/>
    <s v="Daily Sales Import"/>
    <n v="-5418.8324999999995"/>
    <n v="5418.8324999999995"/>
    <x v="1"/>
    <s v="2100"/>
    <s v="000"/>
    <x v="9"/>
    <x v="2"/>
  </r>
  <r>
    <d v="2013-07-21T00:00:00"/>
    <s v="017-2210-000"/>
    <s v="Liquor Sales"/>
    <n v="1303.8813"/>
    <n v="0"/>
    <s v="Daily Sales Import"/>
    <n v="-1303.8813"/>
    <n v="1303.8813"/>
    <x v="1"/>
    <s v="2210"/>
    <s v="000"/>
    <x v="9"/>
    <x v="2"/>
  </r>
  <r>
    <d v="2013-07-21T00:00:00"/>
    <s v="017-2220-000"/>
    <s v="Beer Sales"/>
    <n v="303.24120000000005"/>
    <n v="0"/>
    <s v="Daily Sales Import"/>
    <n v="-303.24120000000005"/>
    <n v="303.24120000000005"/>
    <x v="1"/>
    <s v="2220"/>
    <s v="000"/>
    <x v="9"/>
    <x v="2"/>
  </r>
  <r>
    <d v="2013-07-21T00:00:00"/>
    <s v="017-2230-000"/>
    <s v="Wine Sales"/>
    <n v="67.065299999999993"/>
    <n v="0"/>
    <s v="Daily Sales Import"/>
    <n v="-67.065299999999993"/>
    <n v="67.065299999999993"/>
    <x v="1"/>
    <s v="2230"/>
    <s v="000"/>
    <x v="9"/>
    <x v="2"/>
  </r>
  <r>
    <d v="2013-07-15T00:00:00"/>
    <s v="018-2100-000"/>
    <s v="Food Sales"/>
    <n v="4881.7223999999997"/>
    <n v="0"/>
    <s v="Daily Sales Import"/>
    <n v="-4881.7223999999997"/>
    <n v="4881.7223999999997"/>
    <x v="2"/>
    <s v="2100"/>
    <s v="000"/>
    <x v="9"/>
    <x v="2"/>
  </r>
  <r>
    <d v="2013-07-15T00:00:00"/>
    <s v="018-2210-000"/>
    <s v="Liquor Sales"/>
    <n v="737.10450000000014"/>
    <n v="0"/>
    <s v="Daily Sales Import"/>
    <n v="-737.10450000000014"/>
    <n v="737.10450000000014"/>
    <x v="2"/>
    <s v="2210"/>
    <s v="000"/>
    <x v="9"/>
    <x v="2"/>
  </r>
  <r>
    <d v="2013-07-15T00:00:00"/>
    <s v="018-2220-000"/>
    <s v="Beer Sales"/>
    <n v="193.79859999999999"/>
    <n v="0"/>
    <s v="Daily Sales Import"/>
    <n v="-193.79859999999999"/>
    <n v="193.79859999999999"/>
    <x v="2"/>
    <s v="2220"/>
    <s v="000"/>
    <x v="9"/>
    <x v="2"/>
  </r>
  <r>
    <d v="2013-07-15T00:00:00"/>
    <s v="018-2230-000"/>
    <s v="Wine Sales"/>
    <n v="26.991"/>
    <n v="0"/>
    <s v="Daily Sales Import"/>
    <n v="-26.991"/>
    <n v="26.991"/>
    <x v="2"/>
    <s v="2230"/>
    <s v="000"/>
    <x v="9"/>
    <x v="2"/>
  </r>
  <r>
    <d v="2013-07-16T00:00:00"/>
    <s v="018-2100-000"/>
    <s v="Food Sales"/>
    <n v="4653.009"/>
    <n v="0"/>
    <s v="Daily Sales Import"/>
    <n v="-4653.009"/>
    <n v="4653.009"/>
    <x v="2"/>
    <s v="2100"/>
    <s v="000"/>
    <x v="9"/>
    <x v="2"/>
  </r>
  <r>
    <d v="2013-07-16T00:00:00"/>
    <s v="018-2210-000"/>
    <s v="Liquor Sales"/>
    <n v="1081.7760000000001"/>
    <n v="0"/>
    <s v="Daily Sales Import"/>
    <n v="-1081.7760000000001"/>
    <n v="1081.7760000000001"/>
    <x v="2"/>
    <s v="2210"/>
    <s v="000"/>
    <x v="9"/>
    <x v="2"/>
  </r>
  <r>
    <d v="2013-07-16T00:00:00"/>
    <s v="018-2220-000"/>
    <s v="Beer Sales"/>
    <n v="324.80760000000004"/>
    <n v="0"/>
    <s v="Daily Sales Import"/>
    <n v="-324.80760000000004"/>
    <n v="324.80760000000004"/>
    <x v="2"/>
    <s v="2220"/>
    <s v="000"/>
    <x v="9"/>
    <x v="2"/>
  </r>
  <r>
    <d v="2013-07-16T00:00:00"/>
    <s v="018-2230-000"/>
    <s v="Wine Sales"/>
    <n v="36.325999999999993"/>
    <n v="0"/>
    <s v="Daily Sales Import"/>
    <n v="-36.325999999999993"/>
    <n v="36.325999999999993"/>
    <x v="2"/>
    <s v="2230"/>
    <s v="000"/>
    <x v="9"/>
    <x v="2"/>
  </r>
  <r>
    <d v="2013-07-17T00:00:00"/>
    <s v="018-2100-000"/>
    <s v="Food Sales"/>
    <n v="4160.8168000000005"/>
    <n v="0"/>
    <s v="Daily Sales Import"/>
    <n v="-4160.8168000000005"/>
    <n v="4160.8168000000005"/>
    <x v="2"/>
    <s v="2100"/>
    <s v="000"/>
    <x v="9"/>
    <x v="2"/>
  </r>
  <r>
    <d v="2013-07-17T00:00:00"/>
    <s v="018-2210-000"/>
    <s v="Liquor Sales"/>
    <n v="1122.3784000000001"/>
    <n v="0"/>
    <s v="Daily Sales Import"/>
    <n v="-1122.3784000000001"/>
    <n v="1122.3784000000001"/>
    <x v="2"/>
    <s v="2210"/>
    <s v="000"/>
    <x v="9"/>
    <x v="2"/>
  </r>
  <r>
    <d v="2013-07-17T00:00:00"/>
    <s v="018-2220-000"/>
    <s v="Beer Sales"/>
    <n v="251.38960000000003"/>
    <n v="0"/>
    <s v="Daily Sales Import"/>
    <n v="-251.38960000000003"/>
    <n v="251.38960000000003"/>
    <x v="2"/>
    <s v="2220"/>
    <s v="000"/>
    <x v="9"/>
    <x v="2"/>
  </r>
  <r>
    <d v="2013-07-17T00:00:00"/>
    <s v="018-2230-000"/>
    <s v="Wine Sales"/>
    <n v="37.665199999999999"/>
    <n v="0"/>
    <s v="Daily Sales Import"/>
    <n v="-37.665199999999999"/>
    <n v="37.665199999999999"/>
    <x v="2"/>
    <s v="2230"/>
    <s v="000"/>
    <x v="9"/>
    <x v="2"/>
  </r>
  <r>
    <d v="2013-07-18T00:00:00"/>
    <s v="018-2100-000"/>
    <s v="Food Sales"/>
    <n v="4616.2542999999996"/>
    <n v="0"/>
    <s v="Daily Sales Import"/>
    <n v="-4616.2542999999996"/>
    <n v="4616.2542999999996"/>
    <x v="2"/>
    <s v="2100"/>
    <s v="000"/>
    <x v="9"/>
    <x v="2"/>
  </r>
  <r>
    <d v="2013-07-18T00:00:00"/>
    <s v="018-2210-000"/>
    <s v="Liquor Sales"/>
    <n v="1112.3904"/>
    <n v="0"/>
    <s v="Daily Sales Import"/>
    <n v="-1112.3904"/>
    <n v="1112.3904"/>
    <x v="2"/>
    <s v="2210"/>
    <s v="000"/>
    <x v="9"/>
    <x v="2"/>
  </r>
  <r>
    <d v="2013-07-18T00:00:00"/>
    <s v="018-2220-000"/>
    <s v="Beer Sales"/>
    <n v="383.65230000000003"/>
    <n v="0"/>
    <s v="Daily Sales Import"/>
    <n v="-383.65230000000003"/>
    <n v="383.65230000000003"/>
    <x v="2"/>
    <s v="2220"/>
    <s v="000"/>
    <x v="9"/>
    <x v="2"/>
  </r>
  <r>
    <d v="2013-07-18T00:00:00"/>
    <s v="018-2230-000"/>
    <s v="Wine Sales"/>
    <n v="61.170200000000001"/>
    <n v="0"/>
    <s v="Daily Sales Import"/>
    <n v="-61.170200000000001"/>
    <n v="61.170200000000001"/>
    <x v="2"/>
    <s v="2230"/>
    <s v="000"/>
    <x v="9"/>
    <x v="2"/>
  </r>
  <r>
    <d v="2013-07-19T00:00:00"/>
    <s v="018-2100-000"/>
    <s v="Food Sales"/>
    <n v="6455.0915000000005"/>
    <n v="0"/>
    <s v="Daily Sales Import"/>
    <n v="-6455.0915000000005"/>
    <n v="6455.0915000000005"/>
    <x v="2"/>
    <s v="2100"/>
    <s v="000"/>
    <x v="9"/>
    <x v="2"/>
  </r>
  <r>
    <d v="2013-07-19T00:00:00"/>
    <s v="018-2210-000"/>
    <s v="Liquor Sales"/>
    <n v="2120.3910000000001"/>
    <n v="0"/>
    <s v="Daily Sales Import"/>
    <n v="-2120.3910000000001"/>
    <n v="2120.3910000000001"/>
    <x v="2"/>
    <s v="2210"/>
    <s v="000"/>
    <x v="9"/>
    <x v="2"/>
  </r>
  <r>
    <d v="2013-07-19T00:00:00"/>
    <s v="018-2220-000"/>
    <s v="Beer Sales"/>
    <n v="688.125"/>
    <n v="0"/>
    <s v="Daily Sales Import"/>
    <n v="-688.125"/>
    <n v="688.125"/>
    <x v="2"/>
    <s v="2220"/>
    <s v="000"/>
    <x v="9"/>
    <x v="2"/>
  </r>
  <r>
    <d v="2013-07-19T00:00:00"/>
    <s v="018-2230-000"/>
    <s v="Wine Sales"/>
    <n v="78.856800000000007"/>
    <n v="0"/>
    <s v="Daily Sales Import"/>
    <n v="-78.856800000000007"/>
    <n v="78.856800000000007"/>
    <x v="2"/>
    <s v="2230"/>
    <s v="000"/>
    <x v="9"/>
    <x v="2"/>
  </r>
  <r>
    <d v="2013-07-20T00:00:00"/>
    <s v="018-2100-000"/>
    <s v="Food Sales"/>
    <n v="14424.731100000003"/>
    <n v="0"/>
    <s v="Daily Sales Import"/>
    <n v="-14424.731100000003"/>
    <n v="14424.731100000003"/>
    <x v="2"/>
    <s v="2100"/>
    <s v="000"/>
    <x v="9"/>
    <x v="2"/>
  </r>
  <r>
    <d v="2013-07-20T00:00:00"/>
    <s v="018-2210-000"/>
    <s v="Liquor Sales"/>
    <n v="4038.7438000000002"/>
    <n v="0"/>
    <s v="Daily Sales Import"/>
    <n v="-4038.7438000000002"/>
    <n v="4038.7438000000002"/>
    <x v="2"/>
    <s v="2210"/>
    <s v="000"/>
    <x v="9"/>
    <x v="2"/>
  </r>
  <r>
    <d v="2013-07-20T00:00:00"/>
    <s v="018-2220-000"/>
    <s v="Beer Sales"/>
    <n v="785.34599999999989"/>
    <n v="0"/>
    <s v="Daily Sales Import"/>
    <n v="-785.34599999999989"/>
    <n v="785.34599999999989"/>
    <x v="2"/>
    <s v="2220"/>
    <s v="000"/>
    <x v="9"/>
    <x v="2"/>
  </r>
  <r>
    <d v="2013-07-20T00:00:00"/>
    <s v="018-2230-000"/>
    <s v="Wine Sales"/>
    <n v="48.333599999999997"/>
    <n v="0"/>
    <s v="Daily Sales Import"/>
    <n v="-48.333599999999997"/>
    <n v="48.333599999999997"/>
    <x v="2"/>
    <s v="2230"/>
    <s v="000"/>
    <x v="9"/>
    <x v="2"/>
  </r>
  <r>
    <d v="2013-07-21T00:00:00"/>
    <s v="018-2100-000"/>
    <s v="Food Sales"/>
    <n v="11018.103999999999"/>
    <n v="0"/>
    <s v="Daily Sales Import"/>
    <n v="-11018.103999999999"/>
    <n v="11018.103999999999"/>
    <x v="2"/>
    <s v="2100"/>
    <s v="000"/>
    <x v="9"/>
    <x v="2"/>
  </r>
  <r>
    <d v="2013-07-21T00:00:00"/>
    <s v="018-2210-000"/>
    <s v="Liquor Sales"/>
    <n v="1151.3238000000001"/>
    <n v="0"/>
    <s v="Daily Sales Import"/>
    <n v="-1151.3238000000001"/>
    <n v="1151.3238000000001"/>
    <x v="2"/>
    <s v="2210"/>
    <s v="000"/>
    <x v="9"/>
    <x v="2"/>
  </r>
  <r>
    <d v="2013-07-21T00:00:00"/>
    <s v="018-2220-000"/>
    <s v="Beer Sales"/>
    <n v="352.90300000000002"/>
    <n v="0"/>
    <s v="Daily Sales Import"/>
    <n v="-352.90300000000002"/>
    <n v="352.90300000000002"/>
    <x v="2"/>
    <s v="2220"/>
    <s v="000"/>
    <x v="9"/>
    <x v="2"/>
  </r>
  <r>
    <d v="2013-07-21T00:00:00"/>
    <s v="018-2230-000"/>
    <s v="Wine Sales"/>
    <n v="69.663399999999996"/>
    <n v="0"/>
    <s v="Daily Sales Import"/>
    <n v="-69.663399999999996"/>
    <n v="69.663399999999996"/>
    <x v="2"/>
    <s v="2230"/>
    <s v="000"/>
    <x v="9"/>
    <x v="2"/>
  </r>
  <r>
    <d v="2013-07-15T00:00:00"/>
    <s v="019-2100-000"/>
    <s v="Food Sales"/>
    <n v="4701.7483999999995"/>
    <n v="0"/>
    <s v="Daily Sales Import"/>
    <n v="-4701.7483999999995"/>
    <n v="4701.7483999999995"/>
    <x v="3"/>
    <s v="2100"/>
    <s v="000"/>
    <x v="9"/>
    <x v="2"/>
  </r>
  <r>
    <d v="2013-07-15T00:00:00"/>
    <s v="019-2210-000"/>
    <s v="Liquor Sales"/>
    <n v="1062.72"/>
    <n v="0"/>
    <s v="Daily Sales Import"/>
    <n v="-1062.72"/>
    <n v="1062.72"/>
    <x v="3"/>
    <s v="2210"/>
    <s v="000"/>
    <x v="9"/>
    <x v="2"/>
  </r>
  <r>
    <d v="2013-07-15T00:00:00"/>
    <s v="019-2220-000"/>
    <s v="Beer Sales"/>
    <n v="243.51599999999999"/>
    <n v="0"/>
    <s v="Daily Sales Import"/>
    <n v="-243.51599999999999"/>
    <n v="243.51599999999999"/>
    <x v="3"/>
    <s v="2220"/>
    <s v="000"/>
    <x v="9"/>
    <x v="2"/>
  </r>
  <r>
    <d v="2013-07-15T00:00:00"/>
    <s v="019-2230-000"/>
    <s v="Wine Sales"/>
    <n v="41.315300000000001"/>
    <n v="0"/>
    <s v="Daily Sales Import"/>
    <n v="-41.315300000000001"/>
    <n v="41.315300000000001"/>
    <x v="3"/>
    <s v="2230"/>
    <s v="000"/>
    <x v="9"/>
    <x v="2"/>
  </r>
  <r>
    <d v="2013-07-16T00:00:00"/>
    <s v="019-2100-000"/>
    <s v="Food Sales"/>
    <n v="5853.5727999999999"/>
    <n v="0"/>
    <s v="Daily Sales Import"/>
    <n v="-5853.5727999999999"/>
    <n v="5853.5727999999999"/>
    <x v="3"/>
    <s v="2100"/>
    <s v="000"/>
    <x v="9"/>
    <x v="2"/>
  </r>
  <r>
    <d v="2013-07-16T00:00:00"/>
    <s v="019-2210-000"/>
    <s v="Liquor Sales"/>
    <n v="2278.2669999999998"/>
    <n v="0"/>
    <s v="Daily Sales Import"/>
    <n v="-2278.2669999999998"/>
    <n v="2278.2669999999998"/>
    <x v="3"/>
    <s v="2210"/>
    <s v="000"/>
    <x v="9"/>
    <x v="2"/>
  </r>
  <r>
    <d v="2013-07-16T00:00:00"/>
    <s v="019-2220-000"/>
    <s v="Beer Sales"/>
    <n v="261.65750000000003"/>
    <n v="0"/>
    <s v="Daily Sales Import"/>
    <n v="-261.65750000000003"/>
    <n v="261.65750000000003"/>
    <x v="3"/>
    <s v="2220"/>
    <s v="000"/>
    <x v="9"/>
    <x v="2"/>
  </r>
  <r>
    <d v="2013-07-16T00:00:00"/>
    <s v="019-2230-000"/>
    <s v="Wine Sales"/>
    <n v="112.366"/>
    <n v="0"/>
    <s v="Daily Sales Import"/>
    <n v="-112.366"/>
    <n v="112.366"/>
    <x v="3"/>
    <s v="2230"/>
    <s v="000"/>
    <x v="9"/>
    <x v="2"/>
  </r>
  <r>
    <d v="2013-07-17T00:00:00"/>
    <s v="019-2100-000"/>
    <s v="Food Sales"/>
    <n v="4750.2302"/>
    <n v="0"/>
    <s v="Daily Sales Import"/>
    <n v="-4750.2302"/>
    <n v="4750.2302"/>
    <x v="3"/>
    <s v="2100"/>
    <s v="000"/>
    <x v="9"/>
    <x v="2"/>
  </r>
  <r>
    <d v="2013-07-17T00:00:00"/>
    <s v="019-2210-000"/>
    <s v="Liquor Sales"/>
    <n v="1001.0454"/>
    <n v="0"/>
    <s v="Daily Sales Import"/>
    <n v="-1001.0454"/>
    <n v="1001.0454"/>
    <x v="3"/>
    <s v="2210"/>
    <s v="000"/>
    <x v="9"/>
    <x v="2"/>
  </r>
  <r>
    <d v="2013-07-17T00:00:00"/>
    <s v="019-2220-000"/>
    <s v="Beer Sales"/>
    <n v="293.16160000000002"/>
    <n v="0"/>
    <s v="Daily Sales Import"/>
    <n v="-293.16160000000002"/>
    <n v="293.16160000000002"/>
    <x v="3"/>
    <s v="2220"/>
    <s v="000"/>
    <x v="9"/>
    <x v="2"/>
  </r>
  <r>
    <d v="2013-07-17T00:00:00"/>
    <s v="019-2230-000"/>
    <s v="Wine Sales"/>
    <n v="35.562599999999996"/>
    <n v="0"/>
    <s v="Daily Sales Import"/>
    <n v="-35.562599999999996"/>
    <n v="35.562599999999996"/>
    <x v="3"/>
    <s v="2230"/>
    <s v="000"/>
    <x v="9"/>
    <x v="2"/>
  </r>
  <r>
    <d v="2013-07-18T00:00:00"/>
    <s v="019-2100-000"/>
    <s v="Food Sales"/>
    <n v="4307.4075000000003"/>
    <n v="0"/>
    <s v="Daily Sales Import"/>
    <n v="-4307.4075000000003"/>
    <n v="4307.4075000000003"/>
    <x v="3"/>
    <s v="2100"/>
    <s v="000"/>
    <x v="9"/>
    <x v="2"/>
  </r>
  <r>
    <d v="2013-07-18T00:00:00"/>
    <s v="019-2210-000"/>
    <s v="Liquor Sales"/>
    <n v="1601.6847999999998"/>
    <n v="0"/>
    <s v="Daily Sales Import"/>
    <n v="-1601.6847999999998"/>
    <n v="1601.6847999999998"/>
    <x v="3"/>
    <s v="2210"/>
    <s v="000"/>
    <x v="9"/>
    <x v="2"/>
  </r>
  <r>
    <d v="2013-07-18T00:00:00"/>
    <s v="019-2220-000"/>
    <s v="Beer Sales"/>
    <n v="419.13900000000001"/>
    <n v="0"/>
    <s v="Daily Sales Import"/>
    <n v="-419.13900000000001"/>
    <n v="419.13900000000001"/>
    <x v="3"/>
    <s v="2220"/>
    <s v="000"/>
    <x v="9"/>
    <x v="2"/>
  </r>
  <r>
    <d v="2013-07-18T00:00:00"/>
    <s v="019-2230-000"/>
    <s v="Wine Sales"/>
    <n v="63.134999999999998"/>
    <n v="0"/>
    <s v="Daily Sales Import"/>
    <n v="-63.134999999999998"/>
    <n v="63.134999999999998"/>
    <x v="3"/>
    <s v="2230"/>
    <s v="000"/>
    <x v="9"/>
    <x v="2"/>
  </r>
  <r>
    <d v="2013-07-19T00:00:00"/>
    <s v="019-2100-000"/>
    <s v="Food Sales"/>
    <n v="5598.0414000000001"/>
    <n v="0"/>
    <s v="Daily Sales Import"/>
    <n v="-5598.0414000000001"/>
    <n v="5598.0414000000001"/>
    <x v="3"/>
    <s v="2100"/>
    <s v="000"/>
    <x v="9"/>
    <x v="2"/>
  </r>
  <r>
    <d v="2013-07-19T00:00:00"/>
    <s v="019-2210-000"/>
    <s v="Liquor Sales"/>
    <n v="2583.4596999999999"/>
    <n v="0"/>
    <s v="Daily Sales Import"/>
    <n v="-2583.4596999999999"/>
    <n v="2583.4596999999999"/>
    <x v="3"/>
    <s v="2210"/>
    <s v="000"/>
    <x v="9"/>
    <x v="2"/>
  </r>
  <r>
    <d v="2013-07-19T00:00:00"/>
    <s v="019-2220-000"/>
    <s v="Beer Sales"/>
    <n v="438.37200000000001"/>
    <n v="0"/>
    <s v="Daily Sales Import"/>
    <n v="-438.37200000000001"/>
    <n v="438.37200000000001"/>
    <x v="3"/>
    <s v="2220"/>
    <s v="000"/>
    <x v="9"/>
    <x v="2"/>
  </r>
  <r>
    <d v="2013-07-19T00:00:00"/>
    <s v="019-2230-000"/>
    <s v="Wine Sales"/>
    <n v="75.114000000000004"/>
    <n v="0"/>
    <s v="Daily Sales Import"/>
    <n v="-75.114000000000004"/>
    <n v="75.114000000000004"/>
    <x v="3"/>
    <s v="2230"/>
    <s v="000"/>
    <x v="9"/>
    <x v="2"/>
  </r>
  <r>
    <d v="2013-07-20T00:00:00"/>
    <s v="019-2100-000"/>
    <s v="Food Sales"/>
    <n v="4805.2759999999998"/>
    <n v="0"/>
    <s v="Daily Sales Import"/>
    <n v="-4805.2759999999998"/>
    <n v="4805.2759999999998"/>
    <x v="3"/>
    <s v="2100"/>
    <s v="000"/>
    <x v="9"/>
    <x v="2"/>
  </r>
  <r>
    <d v="2013-07-20T00:00:00"/>
    <s v="019-2210-000"/>
    <s v="Liquor Sales"/>
    <n v="2479.8912"/>
    <n v="0"/>
    <s v="Daily Sales Import"/>
    <n v="-2479.8912"/>
    <n v="2479.8912"/>
    <x v="3"/>
    <s v="2210"/>
    <s v="000"/>
    <x v="9"/>
    <x v="2"/>
  </r>
  <r>
    <d v="2013-07-20T00:00:00"/>
    <s v="019-2220-000"/>
    <s v="Beer Sales"/>
    <n v="372.32650000000001"/>
    <n v="0"/>
    <s v="Daily Sales Import"/>
    <n v="-372.32650000000001"/>
    <n v="372.32650000000001"/>
    <x v="3"/>
    <s v="2220"/>
    <s v="000"/>
    <x v="9"/>
    <x v="2"/>
  </r>
  <r>
    <d v="2013-07-20T00:00:00"/>
    <s v="019-2230-000"/>
    <s v="Wine Sales"/>
    <n v="25.798500000000001"/>
    <n v="0"/>
    <s v="Daily Sales Import"/>
    <n v="-25.798500000000001"/>
    <n v="25.798500000000001"/>
    <x v="3"/>
    <s v="2230"/>
    <s v="000"/>
    <x v="9"/>
    <x v="2"/>
  </r>
  <r>
    <d v="2013-07-21T00:00:00"/>
    <s v="019-2100-000"/>
    <s v="Food Sales"/>
    <n v="4612.4791999999998"/>
    <n v="0"/>
    <s v="Daily Sales Import"/>
    <n v="-4612.4791999999998"/>
    <n v="4612.4791999999998"/>
    <x v="3"/>
    <s v="2100"/>
    <s v="000"/>
    <x v="9"/>
    <x v="2"/>
  </r>
  <r>
    <d v="2013-07-21T00:00:00"/>
    <s v="019-2210-000"/>
    <s v="Liquor Sales"/>
    <n v="1461.894"/>
    <n v="0"/>
    <s v="Daily Sales Import"/>
    <n v="-1461.894"/>
    <n v="1461.894"/>
    <x v="3"/>
    <s v="2210"/>
    <s v="000"/>
    <x v="9"/>
    <x v="2"/>
  </r>
  <r>
    <d v="2013-07-21T00:00:00"/>
    <s v="019-2220-000"/>
    <s v="Beer Sales"/>
    <n v="303.67099999999999"/>
    <n v="0"/>
    <s v="Daily Sales Import"/>
    <n v="-303.67099999999999"/>
    <n v="303.67099999999999"/>
    <x v="3"/>
    <s v="2220"/>
    <s v="000"/>
    <x v="9"/>
    <x v="2"/>
  </r>
  <r>
    <d v="2013-07-21T00:00:00"/>
    <s v="019-2230-000"/>
    <s v="Wine Sales"/>
    <n v="70.975799999999992"/>
    <n v="0"/>
    <s v="Daily Sales Import"/>
    <n v="-70.975799999999992"/>
    <n v="70.975799999999992"/>
    <x v="3"/>
    <s v="2230"/>
    <s v="000"/>
    <x v="9"/>
    <x v="2"/>
  </r>
  <r>
    <d v="2013-07-22T00:00:00"/>
    <s v="016-2100-000"/>
    <s v="Food Sales"/>
    <n v="1675.5907"/>
    <n v="0"/>
    <s v="Daily Sales Import"/>
    <n v="-1675.5907"/>
    <n v="1675.5907"/>
    <x v="0"/>
    <s v="2100"/>
    <s v="000"/>
    <x v="9"/>
    <x v="2"/>
  </r>
  <r>
    <d v="2013-07-22T00:00:00"/>
    <s v="016-2210-000"/>
    <s v="Liquor Sales"/>
    <n v="359.58780000000002"/>
    <n v="0"/>
    <s v="Daily Sales Import"/>
    <n v="-359.58780000000002"/>
    <n v="359.58780000000002"/>
    <x v="0"/>
    <s v="2210"/>
    <s v="000"/>
    <x v="9"/>
    <x v="2"/>
  </r>
  <r>
    <d v="2013-07-22T00:00:00"/>
    <s v="016-2220-000"/>
    <s v="Beer Sales"/>
    <n v="70.707799999999992"/>
    <n v="0"/>
    <s v="Daily Sales Import"/>
    <n v="-70.707799999999992"/>
    <n v="70.707799999999992"/>
    <x v="0"/>
    <s v="2220"/>
    <s v="000"/>
    <x v="9"/>
    <x v="2"/>
  </r>
  <r>
    <d v="2013-07-22T00:00:00"/>
    <s v="016-2230-000"/>
    <s v="Wine Sales"/>
    <n v="53.777599999999993"/>
    <n v="0"/>
    <s v="Daily Sales Import"/>
    <n v="-53.777599999999993"/>
    <n v="53.777599999999993"/>
    <x v="0"/>
    <s v="2230"/>
    <s v="000"/>
    <x v="9"/>
    <x v="2"/>
  </r>
  <r>
    <d v="2013-07-23T00:00:00"/>
    <s v="016-2100-000"/>
    <s v="Food Sales"/>
    <n v="5901.4475000000002"/>
    <n v="0"/>
    <s v="Daily Sales Import"/>
    <n v="-5901.4475000000002"/>
    <n v="5901.4475000000002"/>
    <x v="0"/>
    <s v="2100"/>
    <s v="000"/>
    <x v="9"/>
    <x v="2"/>
  </r>
  <r>
    <d v="2013-07-23T00:00:00"/>
    <s v="016-2210-000"/>
    <s v="Liquor Sales"/>
    <n v="2284.7346000000002"/>
    <n v="0"/>
    <s v="Daily Sales Import"/>
    <n v="-2284.7346000000002"/>
    <n v="2284.7346000000002"/>
    <x v="0"/>
    <s v="2210"/>
    <s v="000"/>
    <x v="9"/>
    <x v="2"/>
  </r>
  <r>
    <d v="2013-07-23T00:00:00"/>
    <s v="016-2220-000"/>
    <s v="Beer Sales"/>
    <n v="781.47"/>
    <n v="0"/>
    <s v="Daily Sales Import"/>
    <n v="-781.47"/>
    <n v="781.47"/>
    <x v="0"/>
    <s v="2220"/>
    <s v="000"/>
    <x v="9"/>
    <x v="2"/>
  </r>
  <r>
    <d v="2013-07-23T00:00:00"/>
    <s v="016-2230-000"/>
    <s v="Wine Sales"/>
    <n v="119.97719999999998"/>
    <n v="0"/>
    <s v="Daily Sales Import"/>
    <n v="-119.97719999999998"/>
    <n v="119.97719999999998"/>
    <x v="0"/>
    <s v="2230"/>
    <s v="000"/>
    <x v="9"/>
    <x v="2"/>
  </r>
  <r>
    <d v="2013-07-24T00:00:00"/>
    <s v="016-2100-000"/>
    <s v="Food Sales"/>
    <n v="2417.2485999999999"/>
    <n v="0"/>
    <s v="Daily Sales Import"/>
    <n v="-2417.2485999999999"/>
    <n v="2417.2485999999999"/>
    <x v="0"/>
    <s v="2100"/>
    <s v="000"/>
    <x v="9"/>
    <x v="2"/>
  </r>
  <r>
    <d v="2013-07-24T00:00:00"/>
    <s v="016-2210-000"/>
    <s v="Liquor Sales"/>
    <n v="813.35649999999998"/>
    <n v="0"/>
    <s v="Daily Sales Import"/>
    <n v="-813.35649999999998"/>
    <n v="813.35649999999998"/>
    <x v="0"/>
    <s v="2210"/>
    <s v="000"/>
    <x v="9"/>
    <x v="2"/>
  </r>
  <r>
    <d v="2013-07-24T00:00:00"/>
    <s v="016-2220-000"/>
    <s v="Beer Sales"/>
    <n v="221.27399999999997"/>
    <n v="0"/>
    <s v="Daily Sales Import"/>
    <n v="-221.27399999999997"/>
    <n v="221.27399999999997"/>
    <x v="0"/>
    <s v="2220"/>
    <s v="000"/>
    <x v="9"/>
    <x v="2"/>
  </r>
  <r>
    <d v="2013-07-24T00:00:00"/>
    <s v="016-2230-000"/>
    <s v="Wine Sales"/>
    <n v="29.887"/>
    <n v="0"/>
    <s v="Daily Sales Import"/>
    <n v="-29.887"/>
    <n v="29.887"/>
    <x v="0"/>
    <s v="2230"/>
    <s v="000"/>
    <x v="9"/>
    <x v="2"/>
  </r>
  <r>
    <d v="2013-07-25T00:00:00"/>
    <s v="016-2100-000"/>
    <s v="Food Sales"/>
    <n v="4639.7240000000002"/>
    <n v="0"/>
    <s v="Daily Sales Import"/>
    <n v="-4639.7240000000002"/>
    <n v="4639.7240000000002"/>
    <x v="0"/>
    <s v="2100"/>
    <s v="000"/>
    <x v="9"/>
    <x v="2"/>
  </r>
  <r>
    <d v="2013-07-25T00:00:00"/>
    <s v="016-2210-000"/>
    <s v="Liquor Sales"/>
    <n v="969.77250000000004"/>
    <n v="0"/>
    <s v="Daily Sales Import"/>
    <n v="-969.77250000000004"/>
    <n v="969.77250000000004"/>
    <x v="0"/>
    <s v="2210"/>
    <s v="000"/>
    <x v="9"/>
    <x v="2"/>
  </r>
  <r>
    <d v="2013-07-25T00:00:00"/>
    <s v="016-2220-000"/>
    <s v="Beer Sales"/>
    <n v="279.04250000000002"/>
    <n v="0"/>
    <s v="Daily Sales Import"/>
    <n v="-279.04250000000002"/>
    <n v="279.04250000000002"/>
    <x v="0"/>
    <s v="2220"/>
    <s v="000"/>
    <x v="9"/>
    <x v="2"/>
  </r>
  <r>
    <d v="2013-07-25T00:00:00"/>
    <s v="016-2230-000"/>
    <s v="Wine Sales"/>
    <n v="65.162399999999991"/>
    <n v="0"/>
    <s v="Daily Sales Import"/>
    <n v="-65.162399999999991"/>
    <n v="65.162399999999991"/>
    <x v="0"/>
    <s v="2230"/>
    <s v="000"/>
    <x v="9"/>
    <x v="2"/>
  </r>
  <r>
    <d v="2013-07-26T00:00:00"/>
    <s v="016-2100-000"/>
    <s v="Food Sales"/>
    <n v="5738.9714999999997"/>
    <n v="0"/>
    <s v="Daily Sales Import"/>
    <n v="-5738.9714999999997"/>
    <n v="5738.9714999999997"/>
    <x v="0"/>
    <s v="2100"/>
    <s v="000"/>
    <x v="9"/>
    <x v="2"/>
  </r>
  <r>
    <d v="2013-07-26T00:00:00"/>
    <s v="016-2210-000"/>
    <s v="Liquor Sales"/>
    <n v="1809.4183999999998"/>
    <n v="0"/>
    <s v="Daily Sales Import"/>
    <n v="-1809.4183999999998"/>
    <n v="1809.4183999999998"/>
    <x v="0"/>
    <s v="2210"/>
    <s v="000"/>
    <x v="9"/>
    <x v="2"/>
  </r>
  <r>
    <d v="2013-07-26T00:00:00"/>
    <s v="016-2220-000"/>
    <s v="Beer Sales"/>
    <n v="234.41759999999999"/>
    <n v="0"/>
    <s v="Daily Sales Import"/>
    <n v="-234.41759999999999"/>
    <n v="234.41759999999999"/>
    <x v="0"/>
    <s v="2220"/>
    <s v="000"/>
    <x v="9"/>
    <x v="2"/>
  </r>
  <r>
    <d v="2013-07-26T00:00:00"/>
    <s v="016-2230-000"/>
    <s v="Wine Sales"/>
    <n v="94.133499999999984"/>
    <n v="0"/>
    <s v="Daily Sales Import"/>
    <n v="-94.133499999999984"/>
    <n v="94.133499999999984"/>
    <x v="0"/>
    <s v="2230"/>
    <s v="000"/>
    <x v="9"/>
    <x v="2"/>
  </r>
  <r>
    <d v="2013-07-27T00:00:00"/>
    <s v="016-2100-000"/>
    <s v="Food Sales"/>
    <n v="9602.9939999999988"/>
    <n v="0"/>
    <s v="Daily Sales Import"/>
    <n v="-9602.9939999999988"/>
    <n v="9602.9939999999988"/>
    <x v="0"/>
    <s v="2100"/>
    <s v="000"/>
    <x v="9"/>
    <x v="2"/>
  </r>
  <r>
    <d v="2013-07-27T00:00:00"/>
    <s v="016-2210-000"/>
    <s v="Liquor Sales"/>
    <n v="3578.3323999999993"/>
    <n v="0"/>
    <s v="Daily Sales Import"/>
    <n v="-3578.3323999999993"/>
    <n v="3578.3323999999993"/>
    <x v="0"/>
    <s v="2210"/>
    <s v="000"/>
    <x v="9"/>
    <x v="2"/>
  </r>
  <r>
    <d v="2013-07-27T00:00:00"/>
    <s v="016-2220-000"/>
    <s v="Beer Sales"/>
    <n v="634.74709999999993"/>
    <n v="0"/>
    <s v="Daily Sales Import"/>
    <n v="-634.74709999999993"/>
    <n v="634.74709999999993"/>
    <x v="0"/>
    <s v="2220"/>
    <s v="000"/>
    <x v="9"/>
    <x v="2"/>
  </r>
  <r>
    <d v="2013-07-27T00:00:00"/>
    <s v="016-2230-000"/>
    <s v="Wine Sales"/>
    <n v="212.73559999999998"/>
    <n v="0"/>
    <s v="Daily Sales Import"/>
    <n v="-212.73559999999998"/>
    <n v="212.73559999999998"/>
    <x v="0"/>
    <s v="2230"/>
    <s v="000"/>
    <x v="9"/>
    <x v="2"/>
  </r>
  <r>
    <d v="2013-07-28T00:00:00"/>
    <s v="016-2100-000"/>
    <s v="Food Sales"/>
    <n v="4536.1008000000002"/>
    <n v="0"/>
    <s v="Daily Sales Import"/>
    <n v="-4536.1008000000002"/>
    <n v="4536.1008000000002"/>
    <x v="0"/>
    <s v="2100"/>
    <s v="000"/>
    <x v="9"/>
    <x v="2"/>
  </r>
  <r>
    <d v="2013-07-28T00:00:00"/>
    <s v="016-2210-000"/>
    <s v="Liquor Sales"/>
    <n v="821.74930000000006"/>
    <n v="0"/>
    <s v="Daily Sales Import"/>
    <n v="-821.74930000000006"/>
    <n v="821.74930000000006"/>
    <x v="0"/>
    <s v="2210"/>
    <s v="000"/>
    <x v="9"/>
    <x v="2"/>
  </r>
  <r>
    <d v="2013-07-28T00:00:00"/>
    <s v="016-2220-000"/>
    <s v="Beer Sales"/>
    <n v="147.39680000000001"/>
    <n v="0"/>
    <s v="Daily Sales Import"/>
    <n v="-147.39680000000001"/>
    <n v="147.39680000000001"/>
    <x v="0"/>
    <s v="2220"/>
    <s v="000"/>
    <x v="9"/>
    <x v="2"/>
  </r>
  <r>
    <d v="2013-07-28T00:00:00"/>
    <s v="016-2230-000"/>
    <s v="Wine Sales"/>
    <n v="34.010399999999997"/>
    <n v="0"/>
    <s v="Daily Sales Import"/>
    <n v="-34.010399999999997"/>
    <n v="34.010399999999997"/>
    <x v="0"/>
    <s v="2230"/>
    <s v="000"/>
    <x v="9"/>
    <x v="2"/>
  </r>
  <r>
    <d v="2013-07-22T00:00:00"/>
    <s v="017-2100-000"/>
    <s v="Food Sales"/>
    <n v="5805.3980000000001"/>
    <n v="0"/>
    <s v="Daily Sales Import"/>
    <n v="-5805.3980000000001"/>
    <n v="5805.3980000000001"/>
    <x v="1"/>
    <s v="2100"/>
    <s v="000"/>
    <x v="9"/>
    <x v="2"/>
  </r>
  <r>
    <d v="2013-07-22T00:00:00"/>
    <s v="017-2210-000"/>
    <s v="Liquor Sales"/>
    <n v="1521.5424"/>
    <n v="0"/>
    <s v="Daily Sales Import"/>
    <n v="-1521.5424"/>
    <n v="1521.5424"/>
    <x v="1"/>
    <s v="2210"/>
    <s v="000"/>
    <x v="9"/>
    <x v="2"/>
  </r>
  <r>
    <d v="2013-07-22T00:00:00"/>
    <s v="017-2220-000"/>
    <s v="Beer Sales"/>
    <n v="566.19330000000002"/>
    <n v="0"/>
    <s v="Daily Sales Import"/>
    <n v="-566.19330000000002"/>
    <n v="566.19330000000002"/>
    <x v="1"/>
    <s v="2220"/>
    <s v="000"/>
    <x v="9"/>
    <x v="2"/>
  </r>
  <r>
    <d v="2013-07-22T00:00:00"/>
    <s v="017-2230-000"/>
    <s v="Wine Sales"/>
    <n v="124.45299999999999"/>
    <n v="0"/>
    <s v="Daily Sales Import"/>
    <n v="-124.45299999999999"/>
    <n v="124.45299999999999"/>
    <x v="1"/>
    <s v="2230"/>
    <s v="000"/>
    <x v="9"/>
    <x v="2"/>
  </r>
  <r>
    <d v="2013-07-23T00:00:00"/>
    <s v="017-2100-000"/>
    <s v="Food Sales"/>
    <n v="7318.2993000000006"/>
    <n v="0"/>
    <s v="Daily Sales Import"/>
    <n v="-7318.2993000000006"/>
    <n v="7318.2993000000006"/>
    <x v="1"/>
    <s v="2100"/>
    <s v="000"/>
    <x v="9"/>
    <x v="2"/>
  </r>
  <r>
    <d v="2013-07-23T00:00:00"/>
    <s v="017-2210-000"/>
    <s v="Liquor Sales"/>
    <n v="1396.9998000000001"/>
    <n v="0"/>
    <s v="Daily Sales Import"/>
    <n v="-1396.9998000000001"/>
    <n v="1396.9998000000001"/>
    <x v="1"/>
    <s v="2210"/>
    <s v="000"/>
    <x v="9"/>
    <x v="2"/>
  </r>
  <r>
    <d v="2013-07-23T00:00:00"/>
    <s v="017-2220-000"/>
    <s v="Beer Sales"/>
    <n v="438.34000000000003"/>
    <n v="0"/>
    <s v="Daily Sales Import"/>
    <n v="-438.34000000000003"/>
    <n v="438.34000000000003"/>
    <x v="1"/>
    <s v="2220"/>
    <s v="000"/>
    <x v="9"/>
    <x v="2"/>
  </r>
  <r>
    <d v="2013-07-23T00:00:00"/>
    <s v="017-2230-000"/>
    <s v="Wine Sales"/>
    <n v="145.26719999999997"/>
    <n v="0"/>
    <s v="Daily Sales Import"/>
    <n v="-145.26719999999997"/>
    <n v="145.26719999999997"/>
    <x v="1"/>
    <s v="2230"/>
    <s v="000"/>
    <x v="9"/>
    <x v="2"/>
  </r>
  <r>
    <d v="2013-07-24T00:00:00"/>
    <s v="017-2100-000"/>
    <s v="Food Sales"/>
    <n v="6103.4064000000008"/>
    <n v="0"/>
    <s v="Daily Sales Import"/>
    <n v="-6103.4064000000008"/>
    <n v="6103.4064000000008"/>
    <x v="1"/>
    <s v="2100"/>
    <s v="000"/>
    <x v="9"/>
    <x v="2"/>
  </r>
  <r>
    <d v="2013-07-24T00:00:00"/>
    <s v="017-2210-000"/>
    <s v="Liquor Sales"/>
    <n v="2203.4565000000002"/>
    <n v="0"/>
    <s v="Daily Sales Import"/>
    <n v="-2203.4565000000002"/>
    <n v="2203.4565000000002"/>
    <x v="1"/>
    <s v="2210"/>
    <s v="000"/>
    <x v="9"/>
    <x v="2"/>
  </r>
  <r>
    <d v="2013-07-24T00:00:00"/>
    <s v="017-2220-000"/>
    <s v="Beer Sales"/>
    <n v="988.42399999999998"/>
    <n v="0"/>
    <s v="Daily Sales Import"/>
    <n v="-988.42399999999998"/>
    <n v="988.42399999999998"/>
    <x v="1"/>
    <s v="2220"/>
    <s v="000"/>
    <x v="9"/>
    <x v="2"/>
  </r>
  <r>
    <d v="2013-07-24T00:00:00"/>
    <s v="017-2230-000"/>
    <s v="Wine Sales"/>
    <n v="123.1276"/>
    <n v="0"/>
    <s v="Daily Sales Import"/>
    <n v="-123.1276"/>
    <n v="123.1276"/>
    <x v="1"/>
    <s v="2230"/>
    <s v="000"/>
    <x v="9"/>
    <x v="2"/>
  </r>
  <r>
    <d v="2013-07-25T00:00:00"/>
    <s v="017-2100-000"/>
    <s v="Food Sales"/>
    <n v="4506.6890000000003"/>
    <n v="0"/>
    <s v="Daily Sales Import"/>
    <n v="-4506.6890000000003"/>
    <n v="4506.6890000000003"/>
    <x v="1"/>
    <s v="2100"/>
    <s v="000"/>
    <x v="9"/>
    <x v="2"/>
  </r>
  <r>
    <d v="2013-07-25T00:00:00"/>
    <s v="017-2210-000"/>
    <s v="Liquor Sales"/>
    <n v="1826.6498000000001"/>
    <n v="0"/>
    <s v="Daily Sales Import"/>
    <n v="-1826.6498000000001"/>
    <n v="1826.6498000000001"/>
    <x v="1"/>
    <s v="2210"/>
    <s v="000"/>
    <x v="9"/>
    <x v="2"/>
  </r>
  <r>
    <d v="2013-07-25T00:00:00"/>
    <s v="017-2220-000"/>
    <s v="Beer Sales"/>
    <n v="481.32049999999998"/>
    <n v="0"/>
    <s v="Daily Sales Import"/>
    <n v="-481.32049999999998"/>
    <n v="481.32049999999998"/>
    <x v="1"/>
    <s v="2220"/>
    <s v="000"/>
    <x v="9"/>
    <x v="2"/>
  </r>
  <r>
    <d v="2013-07-25T00:00:00"/>
    <s v="017-2230-000"/>
    <s v="Wine Sales"/>
    <n v="146.39200000000002"/>
    <n v="0"/>
    <s v="Daily Sales Import"/>
    <n v="-146.39200000000002"/>
    <n v="146.39200000000002"/>
    <x v="1"/>
    <s v="2230"/>
    <s v="000"/>
    <x v="9"/>
    <x v="2"/>
  </r>
  <r>
    <d v="2013-07-26T00:00:00"/>
    <s v="017-2100-000"/>
    <s v="Food Sales"/>
    <n v="8087.8643999999995"/>
    <n v="0"/>
    <s v="Daily Sales Import"/>
    <n v="-8087.8643999999995"/>
    <n v="8087.8643999999995"/>
    <x v="1"/>
    <s v="2100"/>
    <s v="000"/>
    <x v="9"/>
    <x v="2"/>
  </r>
  <r>
    <d v="2013-07-26T00:00:00"/>
    <s v="017-2210-000"/>
    <s v="Liquor Sales"/>
    <n v="2724.3643999999999"/>
    <n v="0"/>
    <s v="Daily Sales Import"/>
    <n v="-2724.3643999999999"/>
    <n v="2724.3643999999999"/>
    <x v="1"/>
    <s v="2210"/>
    <s v="000"/>
    <x v="9"/>
    <x v="2"/>
  </r>
  <r>
    <d v="2013-07-26T00:00:00"/>
    <s v="017-2220-000"/>
    <s v="Beer Sales"/>
    <n v="662.52420000000006"/>
    <n v="0"/>
    <s v="Daily Sales Import"/>
    <n v="-662.52420000000006"/>
    <n v="662.52420000000006"/>
    <x v="1"/>
    <s v="2220"/>
    <s v="000"/>
    <x v="9"/>
    <x v="2"/>
  </r>
  <r>
    <d v="2013-07-26T00:00:00"/>
    <s v="017-2230-000"/>
    <s v="Wine Sales"/>
    <n v="61.684999999999995"/>
    <n v="0"/>
    <s v="Daily Sales Import"/>
    <n v="-61.684999999999995"/>
    <n v="61.684999999999995"/>
    <x v="1"/>
    <s v="2230"/>
    <s v="000"/>
    <x v="9"/>
    <x v="2"/>
  </r>
  <r>
    <d v="2013-07-27T00:00:00"/>
    <s v="017-2100-000"/>
    <s v="Food Sales"/>
    <n v="7731.061200000001"/>
    <n v="0"/>
    <s v="Daily Sales Import"/>
    <n v="-7731.061200000001"/>
    <n v="7731.061200000001"/>
    <x v="1"/>
    <s v="2100"/>
    <s v="000"/>
    <x v="9"/>
    <x v="2"/>
  </r>
  <r>
    <d v="2013-07-27T00:00:00"/>
    <s v="017-2210-000"/>
    <s v="Liquor Sales"/>
    <n v="2146.0289999999995"/>
    <n v="0"/>
    <s v="Daily Sales Import"/>
    <n v="-2146.0289999999995"/>
    <n v="2146.0289999999995"/>
    <x v="1"/>
    <s v="2210"/>
    <s v="000"/>
    <x v="9"/>
    <x v="2"/>
  </r>
  <r>
    <d v="2013-07-27T00:00:00"/>
    <s v="017-2220-000"/>
    <s v="Beer Sales"/>
    <n v="380.23919999999998"/>
    <n v="0"/>
    <s v="Daily Sales Import"/>
    <n v="-380.23919999999998"/>
    <n v="380.23919999999998"/>
    <x v="1"/>
    <s v="2220"/>
    <s v="000"/>
    <x v="9"/>
    <x v="2"/>
  </r>
  <r>
    <d v="2013-07-27T00:00:00"/>
    <s v="017-2230-000"/>
    <s v="Wine Sales"/>
    <n v="59.968899999999998"/>
    <n v="0"/>
    <s v="Daily Sales Import"/>
    <n v="-59.968899999999998"/>
    <n v="59.968899999999998"/>
    <x v="1"/>
    <s v="2230"/>
    <s v="000"/>
    <x v="9"/>
    <x v="2"/>
  </r>
  <r>
    <d v="2013-07-28T00:00:00"/>
    <s v="017-2100-000"/>
    <s v="Food Sales"/>
    <n v="3505.5636000000004"/>
    <n v="0"/>
    <s v="Daily Sales Import"/>
    <n v="-3505.5636000000004"/>
    <n v="3505.5636000000004"/>
    <x v="1"/>
    <s v="2100"/>
    <s v="000"/>
    <x v="9"/>
    <x v="2"/>
  </r>
  <r>
    <d v="2013-07-28T00:00:00"/>
    <s v="017-2210-000"/>
    <s v="Liquor Sales"/>
    <n v="959.63279999999997"/>
    <n v="0"/>
    <s v="Daily Sales Import"/>
    <n v="-959.63279999999997"/>
    <n v="959.63279999999997"/>
    <x v="1"/>
    <s v="2210"/>
    <s v="000"/>
    <x v="9"/>
    <x v="2"/>
  </r>
  <r>
    <d v="2013-07-28T00:00:00"/>
    <s v="017-2220-000"/>
    <s v="Beer Sales"/>
    <n v="185.929"/>
    <n v="0"/>
    <s v="Daily Sales Import"/>
    <n v="-185.929"/>
    <n v="185.929"/>
    <x v="1"/>
    <s v="2220"/>
    <s v="000"/>
    <x v="9"/>
    <x v="2"/>
  </r>
  <r>
    <d v="2013-07-28T00:00:00"/>
    <s v="017-2230-000"/>
    <s v="Wine Sales"/>
    <n v="61.308000000000007"/>
    <n v="0"/>
    <s v="Daily Sales Import"/>
    <n v="-61.308000000000007"/>
    <n v="61.308000000000007"/>
    <x v="1"/>
    <s v="2230"/>
    <s v="000"/>
    <x v="9"/>
    <x v="2"/>
  </r>
  <r>
    <d v="2013-07-22T00:00:00"/>
    <s v="018-2100-000"/>
    <s v="Food Sales"/>
    <n v="4639.4304000000002"/>
    <n v="0"/>
    <s v="Daily Sales Import"/>
    <n v="-4639.4304000000002"/>
    <n v="4639.4304000000002"/>
    <x v="2"/>
    <s v="2100"/>
    <s v="000"/>
    <x v="9"/>
    <x v="2"/>
  </r>
  <r>
    <d v="2013-07-22T00:00:00"/>
    <s v="018-2210-000"/>
    <s v="Liquor Sales"/>
    <n v="494.25900000000007"/>
    <n v="0"/>
    <s v="Daily Sales Import"/>
    <n v="-494.25900000000007"/>
    <n v="494.25900000000007"/>
    <x v="2"/>
    <s v="2210"/>
    <s v="000"/>
    <x v="9"/>
    <x v="2"/>
  </r>
  <r>
    <d v="2013-07-22T00:00:00"/>
    <s v="018-2220-000"/>
    <s v="Beer Sales"/>
    <n v="235.14280000000002"/>
    <n v="0"/>
    <s v="Daily Sales Import"/>
    <n v="-235.14280000000002"/>
    <n v="235.14280000000002"/>
    <x v="2"/>
    <s v="2220"/>
    <s v="000"/>
    <x v="9"/>
    <x v="2"/>
  </r>
  <r>
    <d v="2013-07-23T00:00:00"/>
    <s v="018-2100-000"/>
    <s v="Food Sales"/>
    <n v="6194.6544000000004"/>
    <n v="0"/>
    <s v="Daily Sales Import"/>
    <n v="-6194.6544000000004"/>
    <n v="6194.6544000000004"/>
    <x v="2"/>
    <s v="2100"/>
    <s v="000"/>
    <x v="9"/>
    <x v="2"/>
  </r>
  <r>
    <d v="2013-07-23T00:00:00"/>
    <s v="018-2210-000"/>
    <s v="Liquor Sales"/>
    <n v="998.5397999999999"/>
    <n v="0"/>
    <s v="Daily Sales Import"/>
    <n v="-998.5397999999999"/>
    <n v="998.5397999999999"/>
    <x v="2"/>
    <s v="2210"/>
    <s v="000"/>
    <x v="9"/>
    <x v="2"/>
  </r>
  <r>
    <d v="2013-07-23T00:00:00"/>
    <s v="018-2220-000"/>
    <s v="Beer Sales"/>
    <n v="244.90790000000001"/>
    <n v="0"/>
    <s v="Daily Sales Import"/>
    <n v="-244.90790000000001"/>
    <n v="244.90790000000001"/>
    <x v="2"/>
    <s v="2220"/>
    <s v="000"/>
    <x v="9"/>
    <x v="2"/>
  </r>
  <r>
    <d v="2013-07-23T00:00:00"/>
    <s v="018-2230-000"/>
    <s v="Wine Sales"/>
    <n v="47.325800000000001"/>
    <n v="0"/>
    <s v="Daily Sales Import"/>
    <n v="-47.325800000000001"/>
    <n v="47.325800000000001"/>
    <x v="2"/>
    <s v="2230"/>
    <s v="000"/>
    <x v="9"/>
    <x v="2"/>
  </r>
  <r>
    <d v="2013-07-24T00:00:00"/>
    <s v="018-2100-000"/>
    <s v="Food Sales"/>
    <n v="5680.9282000000003"/>
    <n v="0"/>
    <s v="Daily Sales Import"/>
    <n v="-5680.9282000000003"/>
    <n v="5680.9282000000003"/>
    <x v="2"/>
    <s v="2100"/>
    <s v="000"/>
    <x v="9"/>
    <x v="2"/>
  </r>
  <r>
    <d v="2013-07-24T00:00:00"/>
    <s v="018-2210-000"/>
    <s v="Liquor Sales"/>
    <n v="1723.4888000000001"/>
    <n v="0"/>
    <s v="Daily Sales Import"/>
    <n v="-1723.4888000000001"/>
    <n v="1723.4888000000001"/>
    <x v="2"/>
    <s v="2210"/>
    <s v="000"/>
    <x v="9"/>
    <x v="2"/>
  </r>
  <r>
    <d v="2013-07-24T00:00:00"/>
    <s v="018-2220-000"/>
    <s v="Beer Sales"/>
    <n v="267.50119999999998"/>
    <n v="0"/>
    <s v="Daily Sales Import"/>
    <n v="-267.50119999999998"/>
    <n v="267.50119999999998"/>
    <x v="2"/>
    <s v="2220"/>
    <s v="000"/>
    <x v="9"/>
    <x v="2"/>
  </r>
  <r>
    <d v="2013-07-24T00:00:00"/>
    <s v="018-2230-000"/>
    <s v="Wine Sales"/>
    <n v="16.739100000000001"/>
    <n v="0"/>
    <s v="Daily Sales Import"/>
    <n v="-16.739100000000001"/>
    <n v="16.739100000000001"/>
    <x v="2"/>
    <s v="2230"/>
    <s v="000"/>
    <x v="9"/>
    <x v="2"/>
  </r>
  <r>
    <d v="2013-07-25T00:00:00"/>
    <s v="018-2100-000"/>
    <s v="Food Sales"/>
    <n v="7472.8932000000004"/>
    <n v="0"/>
    <s v="Daily Sales Import"/>
    <n v="-7472.8932000000004"/>
    <n v="7472.8932000000004"/>
    <x v="2"/>
    <s v="2100"/>
    <s v="000"/>
    <x v="9"/>
    <x v="2"/>
  </r>
  <r>
    <d v="2013-07-25T00:00:00"/>
    <s v="018-2210-000"/>
    <s v="Liquor Sales"/>
    <n v="1239.1028000000001"/>
    <n v="0"/>
    <s v="Daily Sales Import"/>
    <n v="-1239.1028000000001"/>
    <n v="1239.1028000000001"/>
    <x v="2"/>
    <s v="2210"/>
    <s v="000"/>
    <x v="9"/>
    <x v="2"/>
  </r>
  <r>
    <d v="2013-07-25T00:00:00"/>
    <s v="018-2220-000"/>
    <s v="Beer Sales"/>
    <n v="321.2672"/>
    <n v="0"/>
    <s v="Daily Sales Import"/>
    <n v="-321.2672"/>
    <n v="321.2672"/>
    <x v="2"/>
    <s v="2220"/>
    <s v="000"/>
    <x v="9"/>
    <x v="2"/>
  </r>
  <r>
    <d v="2013-07-25T00:00:00"/>
    <s v="018-2230-000"/>
    <s v="Wine Sales"/>
    <n v="48.079499999999996"/>
    <n v="0"/>
    <s v="Daily Sales Import"/>
    <n v="-48.079499999999996"/>
    <n v="48.079499999999996"/>
    <x v="2"/>
    <s v="2230"/>
    <s v="000"/>
    <x v="9"/>
    <x v="2"/>
  </r>
  <r>
    <d v="2013-07-26T00:00:00"/>
    <s v="018-2100-000"/>
    <s v="Food Sales"/>
    <n v="11186.829"/>
    <n v="0"/>
    <s v="Daily Sales Import"/>
    <n v="-11186.829"/>
    <n v="11186.829"/>
    <x v="2"/>
    <s v="2100"/>
    <s v="000"/>
    <x v="9"/>
    <x v="2"/>
  </r>
  <r>
    <d v="2013-07-26T00:00:00"/>
    <s v="018-2210-000"/>
    <s v="Liquor Sales"/>
    <n v="2257.4331000000002"/>
    <n v="0"/>
    <s v="Daily Sales Import"/>
    <n v="-2257.4331000000002"/>
    <n v="2257.4331000000002"/>
    <x v="2"/>
    <s v="2210"/>
    <s v="000"/>
    <x v="9"/>
    <x v="2"/>
  </r>
  <r>
    <d v="2013-07-26T00:00:00"/>
    <s v="018-2220-000"/>
    <s v="Beer Sales"/>
    <n v="480.91550000000001"/>
    <n v="0"/>
    <s v="Daily Sales Import"/>
    <n v="-480.91550000000001"/>
    <n v="480.91550000000001"/>
    <x v="2"/>
    <s v="2220"/>
    <s v="000"/>
    <x v="9"/>
    <x v="2"/>
  </r>
  <r>
    <d v="2013-07-26T00:00:00"/>
    <s v="018-2230-000"/>
    <s v="Wine Sales"/>
    <n v="61.565999999999995"/>
    <n v="0"/>
    <s v="Daily Sales Import"/>
    <n v="-61.565999999999995"/>
    <n v="61.565999999999995"/>
    <x v="2"/>
    <s v="2230"/>
    <s v="000"/>
    <x v="9"/>
    <x v="2"/>
  </r>
  <r>
    <d v="2013-07-27T00:00:00"/>
    <s v="018-2100-000"/>
    <s v="Food Sales"/>
    <n v="11425.2912"/>
    <n v="0"/>
    <s v="Daily Sales Import"/>
    <n v="-11425.2912"/>
    <n v="11425.2912"/>
    <x v="2"/>
    <s v="2100"/>
    <s v="000"/>
    <x v="9"/>
    <x v="2"/>
  </r>
  <r>
    <d v="2013-07-27T00:00:00"/>
    <s v="018-2210-000"/>
    <s v="Liquor Sales"/>
    <n v="2449.7883000000002"/>
    <n v="0"/>
    <s v="Daily Sales Import"/>
    <n v="-2449.7883000000002"/>
    <n v="2449.7883000000002"/>
    <x v="2"/>
    <s v="2210"/>
    <s v="000"/>
    <x v="9"/>
    <x v="2"/>
  </r>
  <r>
    <d v="2013-07-27T00:00:00"/>
    <s v="018-2220-000"/>
    <s v="Beer Sales"/>
    <n v="715.26"/>
    <n v="0"/>
    <s v="Daily Sales Import"/>
    <n v="-715.26"/>
    <n v="715.26"/>
    <x v="2"/>
    <s v="2220"/>
    <s v="000"/>
    <x v="9"/>
    <x v="2"/>
  </r>
  <r>
    <d v="2013-07-27T00:00:00"/>
    <s v="018-2230-000"/>
    <s v="Wine Sales"/>
    <n v="114.5355"/>
    <n v="0"/>
    <s v="Daily Sales Import"/>
    <n v="-114.5355"/>
    <n v="114.5355"/>
    <x v="2"/>
    <s v="2230"/>
    <s v="000"/>
    <x v="9"/>
    <x v="2"/>
  </r>
  <r>
    <d v="2013-07-28T00:00:00"/>
    <s v="018-2100-000"/>
    <s v="Food Sales"/>
    <n v="9679.1034"/>
    <n v="0"/>
    <s v="Daily Sales Import"/>
    <n v="-9679.1034"/>
    <n v="9679.1034"/>
    <x v="2"/>
    <s v="2100"/>
    <s v="000"/>
    <x v="9"/>
    <x v="2"/>
  </r>
  <r>
    <d v="2013-07-28T00:00:00"/>
    <s v="018-2210-000"/>
    <s v="Liquor Sales"/>
    <n v="1374.8449000000001"/>
    <n v="0"/>
    <s v="Daily Sales Import"/>
    <n v="-1374.8449000000001"/>
    <n v="1374.8449000000001"/>
    <x v="2"/>
    <s v="2210"/>
    <s v="000"/>
    <x v="9"/>
    <x v="2"/>
  </r>
  <r>
    <d v="2013-07-28T00:00:00"/>
    <s v="018-2220-000"/>
    <s v="Beer Sales"/>
    <n v="251.89439999999999"/>
    <n v="0"/>
    <s v="Daily Sales Import"/>
    <n v="-251.89439999999999"/>
    <n v="251.89439999999999"/>
    <x v="2"/>
    <s v="2220"/>
    <s v="000"/>
    <x v="9"/>
    <x v="2"/>
  </r>
  <r>
    <d v="2013-07-28T00:00:00"/>
    <s v="018-2230-000"/>
    <s v="Wine Sales"/>
    <n v="46.648000000000003"/>
    <n v="0"/>
    <s v="Daily Sales Import"/>
    <n v="-46.648000000000003"/>
    <n v="46.648000000000003"/>
    <x v="2"/>
    <s v="2230"/>
    <s v="000"/>
    <x v="9"/>
    <x v="2"/>
  </r>
  <r>
    <d v="2013-07-22T00:00:00"/>
    <s v="019-2100-000"/>
    <s v="Food Sales"/>
    <n v="3902.5429999999992"/>
    <n v="0"/>
    <s v="Daily Sales Import"/>
    <n v="-3902.5429999999992"/>
    <n v="3902.5429999999992"/>
    <x v="3"/>
    <s v="2100"/>
    <s v="000"/>
    <x v="9"/>
    <x v="2"/>
  </r>
  <r>
    <d v="2013-07-22T00:00:00"/>
    <s v="019-2210-000"/>
    <s v="Liquor Sales"/>
    <n v="814.83480000000009"/>
    <n v="0"/>
    <s v="Daily Sales Import"/>
    <n v="-814.83480000000009"/>
    <n v="814.83480000000009"/>
    <x v="3"/>
    <s v="2210"/>
    <s v="000"/>
    <x v="9"/>
    <x v="2"/>
  </r>
  <r>
    <d v="2013-07-22T00:00:00"/>
    <s v="019-2220-000"/>
    <s v="Beer Sales"/>
    <n v="144.17280000000002"/>
    <n v="0"/>
    <s v="Daily Sales Import"/>
    <n v="-144.17280000000002"/>
    <n v="144.17280000000002"/>
    <x v="3"/>
    <s v="2220"/>
    <s v="000"/>
    <x v="9"/>
    <x v="2"/>
  </r>
  <r>
    <d v="2013-07-22T00:00:00"/>
    <s v="019-2230-000"/>
    <s v="Wine Sales"/>
    <n v="57.595199999999998"/>
    <n v="0"/>
    <s v="Daily Sales Import"/>
    <n v="-57.595199999999998"/>
    <n v="57.595199999999998"/>
    <x v="3"/>
    <s v="2230"/>
    <s v="000"/>
    <x v="9"/>
    <x v="2"/>
  </r>
  <r>
    <d v="2013-07-23T00:00:00"/>
    <s v="019-2100-000"/>
    <s v="Food Sales"/>
    <n v="5068.8747999999996"/>
    <n v="0"/>
    <s v="Daily Sales Import"/>
    <n v="-5068.8747999999996"/>
    <n v="5068.8747999999996"/>
    <x v="3"/>
    <s v="2100"/>
    <s v="000"/>
    <x v="9"/>
    <x v="2"/>
  </r>
  <r>
    <d v="2013-07-23T00:00:00"/>
    <s v="019-2210-000"/>
    <s v="Liquor Sales"/>
    <n v="1021.2644"/>
    <n v="0"/>
    <s v="Daily Sales Import"/>
    <n v="-1021.2644"/>
    <n v="1021.2644"/>
    <x v="3"/>
    <s v="2210"/>
    <s v="000"/>
    <x v="9"/>
    <x v="2"/>
  </r>
  <r>
    <d v="2013-07-23T00:00:00"/>
    <s v="019-2220-000"/>
    <s v="Beer Sales"/>
    <n v="171.62400000000002"/>
    <n v="0"/>
    <s v="Daily Sales Import"/>
    <n v="-171.62400000000002"/>
    <n v="171.62400000000002"/>
    <x v="3"/>
    <s v="2220"/>
    <s v="000"/>
    <x v="9"/>
    <x v="2"/>
  </r>
  <r>
    <d v="2013-07-23T00:00:00"/>
    <s v="019-2230-000"/>
    <s v="Wine Sales"/>
    <n v="10.1556"/>
    <n v="0"/>
    <s v="Daily Sales Import"/>
    <n v="-10.1556"/>
    <n v="10.1556"/>
    <x v="3"/>
    <s v="2230"/>
    <s v="000"/>
    <x v="9"/>
    <x v="2"/>
  </r>
  <r>
    <d v="2013-07-24T00:00:00"/>
    <s v="019-2100-000"/>
    <s v="Food Sales"/>
    <n v="5144.7674999999999"/>
    <n v="0"/>
    <s v="Daily Sales Import"/>
    <n v="-5144.7674999999999"/>
    <n v="5144.7674999999999"/>
    <x v="3"/>
    <s v="2100"/>
    <s v="000"/>
    <x v="9"/>
    <x v="2"/>
  </r>
  <r>
    <d v="2013-07-24T00:00:00"/>
    <s v="019-2210-000"/>
    <s v="Liquor Sales"/>
    <n v="1133.2728"/>
    <n v="0"/>
    <s v="Daily Sales Import"/>
    <n v="-1133.2728"/>
    <n v="1133.2728"/>
    <x v="3"/>
    <s v="2210"/>
    <s v="000"/>
    <x v="9"/>
    <x v="2"/>
  </r>
  <r>
    <d v="2013-07-24T00:00:00"/>
    <s v="019-2220-000"/>
    <s v="Beer Sales"/>
    <n v="211.16600000000003"/>
    <n v="0"/>
    <s v="Daily Sales Import"/>
    <n v="-211.16600000000003"/>
    <n v="211.16600000000003"/>
    <x v="3"/>
    <s v="2220"/>
    <s v="000"/>
    <x v="9"/>
    <x v="2"/>
  </r>
  <r>
    <d v="2013-07-24T00:00:00"/>
    <s v="019-2230-000"/>
    <s v="Wine Sales"/>
    <n v="41.951199999999993"/>
    <n v="0"/>
    <s v="Daily Sales Import"/>
    <n v="-41.951199999999993"/>
    <n v="41.951199999999993"/>
    <x v="3"/>
    <s v="2230"/>
    <s v="000"/>
    <x v="9"/>
    <x v="2"/>
  </r>
  <r>
    <d v="2013-07-25T00:00:00"/>
    <s v="019-2100-000"/>
    <s v="Food Sales"/>
    <n v="5758.5420000000004"/>
    <n v="0"/>
    <s v="Daily Sales Import"/>
    <n v="-5758.5420000000004"/>
    <n v="5758.5420000000004"/>
    <x v="3"/>
    <s v="2100"/>
    <s v="000"/>
    <x v="9"/>
    <x v="2"/>
  </r>
  <r>
    <d v="2013-07-25T00:00:00"/>
    <s v="019-2210-000"/>
    <s v="Liquor Sales"/>
    <n v="1484.1591000000001"/>
    <n v="0"/>
    <s v="Daily Sales Import"/>
    <n v="-1484.1591000000001"/>
    <n v="1484.1591000000001"/>
    <x v="3"/>
    <s v="2210"/>
    <s v="000"/>
    <x v="9"/>
    <x v="2"/>
  </r>
  <r>
    <d v="2013-07-25T00:00:00"/>
    <s v="019-2220-000"/>
    <s v="Beer Sales"/>
    <n v="242.87500000000003"/>
    <n v="0"/>
    <s v="Daily Sales Import"/>
    <n v="-242.87500000000003"/>
    <n v="242.87500000000003"/>
    <x v="3"/>
    <s v="2220"/>
    <s v="000"/>
    <x v="9"/>
    <x v="2"/>
  </r>
  <r>
    <d v="2013-07-25T00:00:00"/>
    <s v="019-2230-000"/>
    <s v="Wine Sales"/>
    <n v="39.573"/>
    <n v="0"/>
    <s v="Daily Sales Import"/>
    <n v="-39.573"/>
    <n v="39.573"/>
    <x v="3"/>
    <s v="2230"/>
    <s v="000"/>
    <x v="9"/>
    <x v="2"/>
  </r>
  <r>
    <d v="2013-07-26T00:00:00"/>
    <s v="019-2100-000"/>
    <s v="Food Sales"/>
    <n v="7460.3288000000002"/>
    <n v="0"/>
    <s v="Daily Sales Import"/>
    <n v="-7460.3288000000002"/>
    <n v="7460.3288000000002"/>
    <x v="3"/>
    <s v="2100"/>
    <s v="000"/>
    <x v="9"/>
    <x v="2"/>
  </r>
  <r>
    <d v="2013-07-26T00:00:00"/>
    <s v="019-2210-000"/>
    <s v="Liquor Sales"/>
    <n v="3333.8851000000004"/>
    <n v="0"/>
    <s v="Daily Sales Import"/>
    <n v="-3333.8851000000004"/>
    <n v="3333.8851000000004"/>
    <x v="3"/>
    <s v="2210"/>
    <s v="000"/>
    <x v="9"/>
    <x v="2"/>
  </r>
  <r>
    <d v="2013-07-26T00:00:00"/>
    <s v="019-2220-000"/>
    <s v="Beer Sales"/>
    <n v="363.97800000000001"/>
    <n v="0"/>
    <s v="Daily Sales Import"/>
    <n v="-363.97800000000001"/>
    <n v="363.97800000000001"/>
    <x v="3"/>
    <s v="2220"/>
    <s v="000"/>
    <x v="9"/>
    <x v="2"/>
  </r>
  <r>
    <d v="2013-07-26T00:00:00"/>
    <s v="019-2230-000"/>
    <s v="Wine Sales"/>
    <n v="64.428000000000011"/>
    <n v="0"/>
    <s v="Daily Sales Import"/>
    <n v="-64.428000000000011"/>
    <n v="64.428000000000011"/>
    <x v="3"/>
    <s v="2230"/>
    <s v="000"/>
    <x v="9"/>
    <x v="2"/>
  </r>
  <r>
    <d v="2013-07-27T00:00:00"/>
    <s v="019-2100-000"/>
    <s v="Food Sales"/>
    <n v="5619.7256999999991"/>
    <n v="0"/>
    <s v="Daily Sales Import"/>
    <n v="-5619.7256999999991"/>
    <n v="5619.7256999999991"/>
    <x v="3"/>
    <s v="2100"/>
    <s v="000"/>
    <x v="9"/>
    <x v="2"/>
  </r>
  <r>
    <d v="2013-07-27T00:00:00"/>
    <s v="019-2210-000"/>
    <s v="Liquor Sales"/>
    <n v="2516.0158000000001"/>
    <n v="0"/>
    <s v="Daily Sales Import"/>
    <n v="-2516.0158000000001"/>
    <n v="2516.0158000000001"/>
    <x v="3"/>
    <s v="2210"/>
    <s v="000"/>
    <x v="9"/>
    <x v="2"/>
  </r>
  <r>
    <d v="2013-07-27T00:00:00"/>
    <s v="019-2220-000"/>
    <s v="Beer Sales"/>
    <n v="527.95399999999995"/>
    <n v="0"/>
    <s v="Daily Sales Import"/>
    <n v="-527.95399999999995"/>
    <n v="527.95399999999995"/>
    <x v="3"/>
    <s v="2220"/>
    <s v="000"/>
    <x v="9"/>
    <x v="2"/>
  </r>
  <r>
    <d v="2013-07-27T00:00:00"/>
    <s v="019-2230-000"/>
    <s v="Wine Sales"/>
    <n v="86.977399999999989"/>
    <n v="0"/>
    <s v="Daily Sales Import"/>
    <n v="-86.977399999999989"/>
    <n v="86.977399999999989"/>
    <x v="3"/>
    <s v="2230"/>
    <s v="000"/>
    <x v="9"/>
    <x v="2"/>
  </r>
  <r>
    <d v="2013-07-28T00:00:00"/>
    <s v="019-2100-000"/>
    <s v="Food Sales"/>
    <n v="4931.8191999999999"/>
    <n v="0"/>
    <s v="Daily Sales Import"/>
    <n v="-4931.8191999999999"/>
    <n v="4931.8191999999999"/>
    <x v="3"/>
    <s v="2100"/>
    <s v="000"/>
    <x v="9"/>
    <x v="2"/>
  </r>
  <r>
    <d v="2013-07-28T00:00:00"/>
    <s v="019-2210-000"/>
    <s v="Liquor Sales"/>
    <n v="1256.5992000000001"/>
    <n v="0"/>
    <s v="Daily Sales Import"/>
    <n v="-1256.5992000000001"/>
    <n v="1256.5992000000001"/>
    <x v="3"/>
    <s v="2210"/>
    <s v="000"/>
    <x v="9"/>
    <x v="2"/>
  </r>
  <r>
    <d v="2013-07-28T00:00:00"/>
    <s v="019-2220-000"/>
    <s v="Beer Sales"/>
    <n v="312.67600000000004"/>
    <n v="0"/>
    <s v="Daily Sales Import"/>
    <n v="-312.67600000000004"/>
    <n v="312.67600000000004"/>
    <x v="3"/>
    <s v="2220"/>
    <s v="000"/>
    <x v="9"/>
    <x v="2"/>
  </r>
  <r>
    <d v="2013-07-28T00:00:00"/>
    <s v="019-2230-000"/>
    <s v="Wine Sales"/>
    <n v="129.0795"/>
    <n v="0"/>
    <s v="Daily Sales Import"/>
    <n v="-129.0795"/>
    <n v="129.0795"/>
    <x v="3"/>
    <s v="2230"/>
    <s v="000"/>
    <x v="9"/>
    <x v="2"/>
  </r>
  <r>
    <d v="2013-07-29T00:00:00"/>
    <s v="016-2100-000"/>
    <s v="Food Sales"/>
    <n v="1774.2144000000001"/>
    <n v="0"/>
    <s v="Daily Sales Import"/>
    <n v="-1774.2144000000001"/>
    <n v="1774.2144000000001"/>
    <x v="0"/>
    <s v="2100"/>
    <s v="000"/>
    <x v="9"/>
    <x v="2"/>
  </r>
  <r>
    <d v="2013-07-29T00:00:00"/>
    <s v="016-2210-000"/>
    <s v="Liquor Sales"/>
    <n v="334.04789999999997"/>
    <n v="0"/>
    <s v="Daily Sales Import"/>
    <n v="-334.04789999999997"/>
    <n v="334.04789999999997"/>
    <x v="0"/>
    <s v="2210"/>
    <s v="000"/>
    <x v="9"/>
    <x v="2"/>
  </r>
  <r>
    <d v="2013-07-29T00:00:00"/>
    <s v="016-2220-000"/>
    <s v="Beer Sales"/>
    <n v="99.626199999999997"/>
    <n v="0"/>
    <s v="Daily Sales Import"/>
    <n v="-99.626199999999997"/>
    <n v="99.626199999999997"/>
    <x v="0"/>
    <s v="2220"/>
    <s v="000"/>
    <x v="9"/>
    <x v="2"/>
  </r>
  <r>
    <d v="2013-07-29T00:00:00"/>
    <s v="016-2230-000"/>
    <s v="Wine Sales"/>
    <n v="60.837299999999999"/>
    <n v="0"/>
    <s v="Daily Sales Import"/>
    <n v="-60.837299999999999"/>
    <n v="60.837299999999999"/>
    <x v="0"/>
    <s v="2230"/>
    <s v="000"/>
    <x v="9"/>
    <x v="2"/>
  </r>
  <r>
    <d v="2013-07-30T00:00:00"/>
    <s v="016-2100-000"/>
    <s v="Food Sales"/>
    <n v="7427.6513999999997"/>
    <n v="0"/>
    <s v="Daily Sales Import"/>
    <n v="-7427.6513999999997"/>
    <n v="7427.6513999999997"/>
    <x v="0"/>
    <s v="2100"/>
    <s v="000"/>
    <x v="9"/>
    <x v="2"/>
  </r>
  <r>
    <d v="2013-07-30T00:00:00"/>
    <s v="016-2210-000"/>
    <s v="Liquor Sales"/>
    <n v="2574.2586000000001"/>
    <n v="0"/>
    <s v="Daily Sales Import"/>
    <n v="-2574.2586000000001"/>
    <n v="2574.2586000000001"/>
    <x v="0"/>
    <s v="2210"/>
    <s v="000"/>
    <x v="9"/>
    <x v="2"/>
  </r>
  <r>
    <d v="2013-07-30T00:00:00"/>
    <s v="016-2220-000"/>
    <s v="Beer Sales"/>
    <n v="590.82799999999997"/>
    <n v="0"/>
    <s v="Daily Sales Import"/>
    <n v="-590.82799999999997"/>
    <n v="590.82799999999997"/>
    <x v="0"/>
    <s v="2220"/>
    <s v="000"/>
    <x v="9"/>
    <x v="2"/>
  </r>
  <r>
    <d v="2013-07-30T00:00:00"/>
    <s v="016-2230-000"/>
    <s v="Wine Sales"/>
    <n v="171.32499999999999"/>
    <n v="0"/>
    <s v="Daily Sales Import"/>
    <n v="-171.32499999999999"/>
    <n v="171.32499999999999"/>
    <x v="0"/>
    <s v="2230"/>
    <s v="000"/>
    <x v="9"/>
    <x v="2"/>
  </r>
  <r>
    <d v="2013-07-31T00:00:00"/>
    <s v="016-2100-000"/>
    <s v="Food Sales"/>
    <n v="3555.8250000000003"/>
    <n v="0"/>
    <s v="Daily Sales Import"/>
    <n v="-3555.8250000000003"/>
    <n v="3555.8250000000003"/>
    <x v="0"/>
    <s v="2100"/>
    <s v="000"/>
    <x v="9"/>
    <x v="2"/>
  </r>
  <r>
    <d v="2013-07-31T00:00:00"/>
    <s v="016-2210-000"/>
    <s v="Liquor Sales"/>
    <n v="580.82749999999999"/>
    <n v="0"/>
    <s v="Daily Sales Import"/>
    <n v="-580.82749999999999"/>
    <n v="580.82749999999999"/>
    <x v="0"/>
    <s v="2210"/>
    <s v="000"/>
    <x v="9"/>
    <x v="2"/>
  </r>
  <r>
    <d v="2013-07-31T00:00:00"/>
    <s v="016-2220-000"/>
    <s v="Beer Sales"/>
    <n v="165.33540000000002"/>
    <n v="0"/>
    <s v="Daily Sales Import"/>
    <n v="-165.33540000000002"/>
    <n v="165.33540000000002"/>
    <x v="0"/>
    <s v="2220"/>
    <s v="000"/>
    <x v="9"/>
    <x v="2"/>
  </r>
  <r>
    <d v="2013-07-31T00:00:00"/>
    <s v="016-2230-000"/>
    <s v="Wine Sales"/>
    <n v="61.475999999999992"/>
    <n v="0"/>
    <s v="Daily Sales Import"/>
    <n v="-61.475999999999992"/>
    <n v="61.475999999999992"/>
    <x v="0"/>
    <s v="2230"/>
    <s v="000"/>
    <x v="9"/>
    <x v="2"/>
  </r>
  <r>
    <d v="2013-08-01T00:00:00"/>
    <s v="016-2100-000"/>
    <s v="Food Sales"/>
    <n v="4459.1670000000004"/>
    <n v="0"/>
    <s v="Daily Sales Import"/>
    <n v="-4459.1670000000004"/>
    <n v="4459.1670000000004"/>
    <x v="0"/>
    <s v="2100"/>
    <s v="000"/>
    <x v="10"/>
    <x v="2"/>
  </r>
  <r>
    <d v="2013-08-01T00:00:00"/>
    <s v="016-2210-000"/>
    <s v="Liquor Sales"/>
    <n v="1172.8148999999999"/>
    <n v="0"/>
    <s v="Daily Sales Import"/>
    <n v="-1172.8148999999999"/>
    <n v="1172.8148999999999"/>
    <x v="0"/>
    <s v="2210"/>
    <s v="000"/>
    <x v="10"/>
    <x v="2"/>
  </r>
  <r>
    <d v="2013-08-01T00:00:00"/>
    <s v="016-2220-000"/>
    <s v="Beer Sales"/>
    <n v="95.991500000000002"/>
    <n v="0"/>
    <s v="Daily Sales Import"/>
    <n v="-95.991500000000002"/>
    <n v="95.991500000000002"/>
    <x v="0"/>
    <s v="2220"/>
    <s v="000"/>
    <x v="10"/>
    <x v="2"/>
  </r>
  <r>
    <d v="2013-08-01T00:00:00"/>
    <s v="016-2230-000"/>
    <s v="Wine Sales"/>
    <n v="38.472000000000001"/>
    <n v="0"/>
    <s v="Daily Sales Import"/>
    <n v="-38.472000000000001"/>
    <n v="38.472000000000001"/>
    <x v="0"/>
    <s v="2230"/>
    <s v="000"/>
    <x v="10"/>
    <x v="2"/>
  </r>
  <r>
    <d v="2013-08-02T00:00:00"/>
    <s v="016-2100-000"/>
    <s v="Food Sales"/>
    <n v="5026.6013000000003"/>
    <n v="0"/>
    <s v="Daily Sales Import"/>
    <n v="-5026.6013000000003"/>
    <n v="5026.6013000000003"/>
    <x v="0"/>
    <s v="2100"/>
    <s v="000"/>
    <x v="10"/>
    <x v="2"/>
  </r>
  <r>
    <d v="2013-08-02T00:00:00"/>
    <s v="016-2210-000"/>
    <s v="Liquor Sales"/>
    <n v="2037.7280000000001"/>
    <n v="0"/>
    <s v="Daily Sales Import"/>
    <n v="-2037.7280000000001"/>
    <n v="2037.7280000000001"/>
    <x v="0"/>
    <s v="2210"/>
    <s v="000"/>
    <x v="10"/>
    <x v="2"/>
  </r>
  <r>
    <d v="2013-08-02T00:00:00"/>
    <s v="016-2220-000"/>
    <s v="Beer Sales"/>
    <n v="408.23900000000003"/>
    <n v="0"/>
    <s v="Daily Sales Import"/>
    <n v="-408.23900000000003"/>
    <n v="408.23900000000003"/>
    <x v="0"/>
    <s v="2220"/>
    <s v="000"/>
    <x v="10"/>
    <x v="2"/>
  </r>
  <r>
    <d v="2013-08-02T00:00:00"/>
    <s v="016-2230-000"/>
    <s v="Wine Sales"/>
    <n v="273.35520000000002"/>
    <n v="0"/>
    <s v="Daily Sales Import"/>
    <n v="-273.35520000000002"/>
    <n v="273.35520000000002"/>
    <x v="0"/>
    <s v="2230"/>
    <s v="000"/>
    <x v="10"/>
    <x v="2"/>
  </r>
  <r>
    <d v="2013-08-03T00:00:00"/>
    <s v="016-2100-000"/>
    <s v="Food Sales"/>
    <n v="6776.0784000000003"/>
    <n v="0"/>
    <s v="Daily Sales Import"/>
    <n v="-6776.0784000000003"/>
    <n v="6776.0784000000003"/>
    <x v="0"/>
    <s v="2100"/>
    <s v="000"/>
    <x v="10"/>
    <x v="2"/>
  </r>
  <r>
    <d v="2013-08-03T00:00:00"/>
    <s v="016-2210-000"/>
    <s v="Liquor Sales"/>
    <n v="1730.8080999999997"/>
    <n v="0"/>
    <s v="Daily Sales Import"/>
    <n v="-1730.8080999999997"/>
    <n v="1730.8080999999997"/>
    <x v="0"/>
    <s v="2210"/>
    <s v="000"/>
    <x v="10"/>
    <x v="2"/>
  </r>
  <r>
    <d v="2013-08-03T00:00:00"/>
    <s v="016-2220-000"/>
    <s v="Beer Sales"/>
    <n v="252.2944"/>
    <n v="0"/>
    <s v="Daily Sales Import"/>
    <n v="-252.2944"/>
    <n v="252.2944"/>
    <x v="0"/>
    <s v="2220"/>
    <s v="000"/>
    <x v="10"/>
    <x v="2"/>
  </r>
  <r>
    <d v="2013-08-03T00:00:00"/>
    <s v="016-2230-000"/>
    <s v="Wine Sales"/>
    <n v="165.01680000000002"/>
    <n v="0"/>
    <s v="Daily Sales Import"/>
    <n v="-165.01680000000002"/>
    <n v="165.01680000000002"/>
    <x v="0"/>
    <s v="2230"/>
    <s v="000"/>
    <x v="10"/>
    <x v="2"/>
  </r>
  <r>
    <d v="2013-08-04T00:00:00"/>
    <s v="016-2100-000"/>
    <s v="Food Sales"/>
    <n v="5641.8389999999999"/>
    <n v="0"/>
    <s v="Daily Sales Import"/>
    <n v="-5641.8389999999999"/>
    <n v="5641.8389999999999"/>
    <x v="0"/>
    <s v="2100"/>
    <s v="000"/>
    <x v="10"/>
    <x v="2"/>
  </r>
  <r>
    <d v="2013-08-04T00:00:00"/>
    <s v="016-2210-000"/>
    <s v="Liquor Sales"/>
    <n v="827.45820000000003"/>
    <n v="0"/>
    <s v="Daily Sales Import"/>
    <n v="-827.45820000000003"/>
    <n v="827.45820000000003"/>
    <x v="0"/>
    <s v="2210"/>
    <s v="000"/>
    <x v="10"/>
    <x v="2"/>
  </r>
  <r>
    <d v="2013-08-04T00:00:00"/>
    <s v="016-2220-000"/>
    <s v="Beer Sales"/>
    <n v="171.02"/>
    <n v="0"/>
    <s v="Daily Sales Import"/>
    <n v="-171.02"/>
    <n v="171.02"/>
    <x v="0"/>
    <s v="2220"/>
    <s v="000"/>
    <x v="10"/>
    <x v="2"/>
  </r>
  <r>
    <d v="2013-08-04T00:00:00"/>
    <s v="016-2230-000"/>
    <s v="Wine Sales"/>
    <n v="97.374200000000002"/>
    <n v="0"/>
    <s v="Daily Sales Import"/>
    <n v="-97.374200000000002"/>
    <n v="97.374200000000002"/>
    <x v="0"/>
    <s v="2230"/>
    <s v="000"/>
    <x v="10"/>
    <x v="2"/>
  </r>
  <r>
    <d v="2013-07-29T00:00:00"/>
    <s v="017-2100-000"/>
    <s v="Food Sales"/>
    <n v="5365.3145000000004"/>
    <n v="0"/>
    <s v="Daily Sales Import"/>
    <n v="-5365.3145000000004"/>
    <n v="5365.3145000000004"/>
    <x v="1"/>
    <s v="2100"/>
    <s v="000"/>
    <x v="9"/>
    <x v="2"/>
  </r>
  <r>
    <d v="2013-07-29T00:00:00"/>
    <s v="017-2210-000"/>
    <s v="Liquor Sales"/>
    <n v="595.81779999999992"/>
    <n v="0"/>
    <s v="Daily Sales Import"/>
    <n v="-595.81779999999992"/>
    <n v="595.81779999999992"/>
    <x v="1"/>
    <s v="2210"/>
    <s v="000"/>
    <x v="9"/>
    <x v="2"/>
  </r>
  <r>
    <d v="2013-07-29T00:00:00"/>
    <s v="017-2220-000"/>
    <s v="Beer Sales"/>
    <n v="281.16159999999996"/>
    <n v="0"/>
    <s v="Daily Sales Import"/>
    <n v="-281.16159999999996"/>
    <n v="281.16159999999996"/>
    <x v="1"/>
    <s v="2220"/>
    <s v="000"/>
    <x v="9"/>
    <x v="2"/>
  </r>
  <r>
    <d v="2013-07-29T00:00:00"/>
    <s v="017-2230-000"/>
    <s v="Wine Sales"/>
    <n v="85.64370000000001"/>
    <n v="0"/>
    <s v="Daily Sales Import"/>
    <n v="-85.64370000000001"/>
    <n v="85.64370000000001"/>
    <x v="1"/>
    <s v="2230"/>
    <s v="000"/>
    <x v="9"/>
    <x v="2"/>
  </r>
  <r>
    <d v="2013-07-30T00:00:00"/>
    <s v="017-2100-000"/>
    <s v="Food Sales"/>
    <n v="6213.7608000000009"/>
    <n v="0"/>
    <s v="Daily Sales Import"/>
    <n v="-6213.7608000000009"/>
    <n v="6213.7608000000009"/>
    <x v="1"/>
    <s v="2100"/>
    <s v="000"/>
    <x v="9"/>
    <x v="2"/>
  </r>
  <r>
    <d v="2013-07-30T00:00:00"/>
    <s v="017-2210-000"/>
    <s v="Liquor Sales"/>
    <n v="1212.6007"/>
    <n v="0"/>
    <s v="Daily Sales Import"/>
    <n v="-1212.6007"/>
    <n v="1212.6007"/>
    <x v="1"/>
    <s v="2210"/>
    <s v="000"/>
    <x v="9"/>
    <x v="2"/>
  </r>
  <r>
    <d v="2013-07-30T00:00:00"/>
    <s v="017-2220-000"/>
    <s v="Beer Sales"/>
    <n v="594.80340000000001"/>
    <n v="0"/>
    <s v="Daily Sales Import"/>
    <n v="-594.80340000000001"/>
    <n v="594.80340000000001"/>
    <x v="1"/>
    <s v="2220"/>
    <s v="000"/>
    <x v="9"/>
    <x v="2"/>
  </r>
  <r>
    <d v="2013-07-30T00:00:00"/>
    <s v="017-2230-000"/>
    <s v="Wine Sales"/>
    <n v="131.10069999999999"/>
    <n v="0"/>
    <s v="Daily Sales Import"/>
    <n v="-131.10069999999999"/>
    <n v="131.10069999999999"/>
    <x v="1"/>
    <s v="2230"/>
    <s v="000"/>
    <x v="9"/>
    <x v="2"/>
  </r>
  <r>
    <d v="2013-07-31T00:00:00"/>
    <s v="017-2100-000"/>
    <s v="Food Sales"/>
    <n v="9138.7386999999999"/>
    <n v="0"/>
    <s v="Daily Sales Import"/>
    <n v="-9138.7386999999999"/>
    <n v="9138.7386999999999"/>
    <x v="1"/>
    <s v="2100"/>
    <s v="000"/>
    <x v="9"/>
    <x v="2"/>
  </r>
  <r>
    <d v="2013-07-31T00:00:00"/>
    <s v="017-2210-000"/>
    <s v="Liquor Sales"/>
    <n v="2886.3589999999999"/>
    <n v="0"/>
    <s v="Daily Sales Import"/>
    <n v="-2886.3589999999999"/>
    <n v="2886.3589999999999"/>
    <x v="1"/>
    <s v="2210"/>
    <s v="000"/>
    <x v="9"/>
    <x v="2"/>
  </r>
  <r>
    <d v="2013-07-31T00:00:00"/>
    <s v="017-2220-000"/>
    <s v="Beer Sales"/>
    <n v="620.20920000000001"/>
    <n v="0"/>
    <s v="Daily Sales Import"/>
    <n v="-620.20920000000001"/>
    <n v="620.20920000000001"/>
    <x v="1"/>
    <s v="2220"/>
    <s v="000"/>
    <x v="9"/>
    <x v="2"/>
  </r>
  <r>
    <d v="2013-07-31T00:00:00"/>
    <s v="017-2230-000"/>
    <s v="Wine Sales"/>
    <n v="133.5042"/>
    <n v="0"/>
    <s v="Daily Sales Import"/>
    <n v="-133.5042"/>
    <n v="133.5042"/>
    <x v="1"/>
    <s v="2230"/>
    <s v="000"/>
    <x v="9"/>
    <x v="2"/>
  </r>
  <r>
    <d v="2013-08-01T00:00:00"/>
    <s v="017-2100-000"/>
    <s v="Food Sales"/>
    <n v="6430.2065999999995"/>
    <n v="0"/>
    <s v="Daily Sales Import"/>
    <n v="-6430.2065999999995"/>
    <n v="6430.2065999999995"/>
    <x v="1"/>
    <s v="2100"/>
    <s v="000"/>
    <x v="10"/>
    <x v="2"/>
  </r>
  <r>
    <d v="2013-08-01T00:00:00"/>
    <s v="017-2210-000"/>
    <s v="Liquor Sales"/>
    <n v="1955.0934000000002"/>
    <n v="0"/>
    <s v="Daily Sales Import"/>
    <n v="-1955.0934000000002"/>
    <n v="1955.0934000000002"/>
    <x v="1"/>
    <s v="2210"/>
    <s v="000"/>
    <x v="10"/>
    <x v="2"/>
  </r>
  <r>
    <d v="2013-08-01T00:00:00"/>
    <s v="017-2220-000"/>
    <s v="Beer Sales"/>
    <n v="373.80850000000004"/>
    <n v="0"/>
    <s v="Daily Sales Import"/>
    <n v="-373.80850000000004"/>
    <n v="373.80850000000004"/>
    <x v="1"/>
    <s v="2220"/>
    <s v="000"/>
    <x v="10"/>
    <x v="2"/>
  </r>
  <r>
    <d v="2013-08-01T00:00:00"/>
    <s v="017-2230-000"/>
    <s v="Wine Sales"/>
    <n v="61.705800000000004"/>
    <n v="0"/>
    <s v="Daily Sales Import"/>
    <n v="-61.705800000000004"/>
    <n v="61.705800000000004"/>
    <x v="1"/>
    <s v="2230"/>
    <s v="000"/>
    <x v="10"/>
    <x v="2"/>
  </r>
  <r>
    <d v="2013-08-02T00:00:00"/>
    <s v="017-2100-000"/>
    <s v="Food Sales"/>
    <n v="8477.4382000000005"/>
    <n v="0"/>
    <s v="Daily Sales Import"/>
    <n v="-8477.4382000000005"/>
    <n v="8477.4382000000005"/>
    <x v="1"/>
    <s v="2100"/>
    <s v="000"/>
    <x v="10"/>
    <x v="2"/>
  </r>
  <r>
    <d v="2013-08-02T00:00:00"/>
    <s v="017-2210-000"/>
    <s v="Liquor Sales"/>
    <n v="3209.9499000000005"/>
    <n v="0"/>
    <s v="Daily Sales Import"/>
    <n v="-3209.9499000000005"/>
    <n v="3209.9499000000005"/>
    <x v="1"/>
    <s v="2210"/>
    <s v="000"/>
    <x v="10"/>
    <x v="2"/>
  </r>
  <r>
    <d v="2013-08-02T00:00:00"/>
    <s v="017-2220-000"/>
    <s v="Beer Sales"/>
    <n v="702.42060000000004"/>
    <n v="0"/>
    <s v="Daily Sales Import"/>
    <n v="-702.42060000000004"/>
    <n v="702.42060000000004"/>
    <x v="1"/>
    <s v="2220"/>
    <s v="000"/>
    <x v="10"/>
    <x v="2"/>
  </r>
  <r>
    <d v="2013-08-02T00:00:00"/>
    <s v="017-2230-000"/>
    <s v="Wine Sales"/>
    <n v="85.391500000000008"/>
    <n v="0"/>
    <s v="Daily Sales Import"/>
    <n v="-85.391500000000008"/>
    <n v="85.391500000000008"/>
    <x v="1"/>
    <s v="2230"/>
    <s v="000"/>
    <x v="10"/>
    <x v="2"/>
  </r>
  <r>
    <d v="2013-08-03T00:00:00"/>
    <s v="017-2100-000"/>
    <s v="Food Sales"/>
    <n v="8507.7630000000008"/>
    <n v="0"/>
    <s v="Daily Sales Import"/>
    <n v="-8507.7630000000008"/>
    <n v="8507.7630000000008"/>
    <x v="1"/>
    <s v="2100"/>
    <s v="000"/>
    <x v="10"/>
    <x v="2"/>
  </r>
  <r>
    <d v="2013-08-03T00:00:00"/>
    <s v="017-2210-000"/>
    <s v="Liquor Sales"/>
    <n v="1103.4415999999999"/>
    <n v="0"/>
    <s v="Daily Sales Import"/>
    <n v="-1103.4415999999999"/>
    <n v="1103.4415999999999"/>
    <x v="1"/>
    <s v="2210"/>
    <s v="000"/>
    <x v="10"/>
    <x v="2"/>
  </r>
  <r>
    <d v="2013-08-03T00:00:00"/>
    <s v="017-2220-000"/>
    <s v="Beer Sales"/>
    <n v="200.67600000000004"/>
    <n v="0"/>
    <s v="Daily Sales Import"/>
    <n v="-200.67600000000004"/>
    <n v="200.67600000000004"/>
    <x v="1"/>
    <s v="2220"/>
    <s v="000"/>
    <x v="10"/>
    <x v="2"/>
  </r>
  <r>
    <d v="2013-08-03T00:00:00"/>
    <s v="017-2230-000"/>
    <s v="Wine Sales"/>
    <n v="41.090499999999999"/>
    <n v="0"/>
    <s v="Daily Sales Import"/>
    <n v="-41.090499999999999"/>
    <n v="41.090499999999999"/>
    <x v="1"/>
    <s v="2230"/>
    <s v="000"/>
    <x v="10"/>
    <x v="2"/>
  </r>
  <r>
    <d v="2013-08-04T00:00:00"/>
    <s v="017-2100-000"/>
    <s v="Food Sales"/>
    <n v="4117.4565999999995"/>
    <n v="0"/>
    <s v="Daily Sales Import"/>
    <n v="-4117.4565999999995"/>
    <n v="4117.4565999999995"/>
    <x v="1"/>
    <s v="2100"/>
    <s v="000"/>
    <x v="10"/>
    <x v="2"/>
  </r>
  <r>
    <d v="2013-08-04T00:00:00"/>
    <s v="017-2210-000"/>
    <s v="Liquor Sales"/>
    <n v="1066.5840000000001"/>
    <n v="0"/>
    <s v="Daily Sales Import"/>
    <n v="-1066.5840000000001"/>
    <n v="1066.5840000000001"/>
    <x v="1"/>
    <s v="2210"/>
    <s v="000"/>
    <x v="10"/>
    <x v="2"/>
  </r>
  <r>
    <d v="2013-08-04T00:00:00"/>
    <s v="017-2220-000"/>
    <s v="Beer Sales"/>
    <n v="138.8588"/>
    <n v="0"/>
    <s v="Daily Sales Import"/>
    <n v="-138.8588"/>
    <n v="138.8588"/>
    <x v="1"/>
    <s v="2220"/>
    <s v="000"/>
    <x v="10"/>
    <x v="2"/>
  </r>
  <r>
    <d v="2013-08-04T00:00:00"/>
    <s v="017-2230-000"/>
    <s v="Wine Sales"/>
    <n v="58.450699999999998"/>
    <n v="0"/>
    <s v="Daily Sales Import"/>
    <n v="-58.450699999999998"/>
    <n v="58.450699999999998"/>
    <x v="1"/>
    <s v="2230"/>
    <s v="000"/>
    <x v="10"/>
    <x v="2"/>
  </r>
  <r>
    <d v="2013-07-29T00:00:00"/>
    <s v="018-2100-000"/>
    <s v="Food Sales"/>
    <n v="4478.4061000000002"/>
    <n v="0"/>
    <s v="Daily Sales Import"/>
    <n v="-4478.4061000000002"/>
    <n v="4478.4061000000002"/>
    <x v="2"/>
    <s v="2100"/>
    <s v="000"/>
    <x v="9"/>
    <x v="2"/>
  </r>
  <r>
    <d v="2013-07-29T00:00:00"/>
    <s v="018-2210-000"/>
    <s v="Liquor Sales"/>
    <n v="630.8424"/>
    <n v="0"/>
    <s v="Daily Sales Import"/>
    <n v="-630.8424"/>
    <n v="630.8424"/>
    <x v="2"/>
    <s v="2210"/>
    <s v="000"/>
    <x v="9"/>
    <x v="2"/>
  </r>
  <r>
    <d v="2013-07-29T00:00:00"/>
    <s v="018-2220-000"/>
    <s v="Beer Sales"/>
    <n v="288.6823"/>
    <n v="0"/>
    <s v="Daily Sales Import"/>
    <n v="-288.6823"/>
    <n v="288.6823"/>
    <x v="2"/>
    <s v="2220"/>
    <s v="000"/>
    <x v="9"/>
    <x v="2"/>
  </r>
  <r>
    <d v="2013-07-29T00:00:00"/>
    <s v="018-2230-000"/>
    <s v="Wine Sales"/>
    <n v="45.336599999999997"/>
    <n v="0"/>
    <s v="Daily Sales Import"/>
    <n v="-45.336599999999997"/>
    <n v="45.336599999999997"/>
    <x v="2"/>
    <s v="2230"/>
    <s v="000"/>
    <x v="9"/>
    <x v="2"/>
  </r>
  <r>
    <d v="2013-07-30T00:00:00"/>
    <s v="018-2100-000"/>
    <s v="Food Sales"/>
    <n v="6312.598"/>
    <n v="0"/>
    <s v="Daily Sales Import"/>
    <n v="-6312.598"/>
    <n v="6312.598"/>
    <x v="2"/>
    <s v="2100"/>
    <s v="000"/>
    <x v="9"/>
    <x v="2"/>
  </r>
  <r>
    <d v="2013-07-30T00:00:00"/>
    <s v="018-2210-000"/>
    <s v="Liquor Sales"/>
    <n v="1153.0039999999999"/>
    <n v="0"/>
    <s v="Daily Sales Import"/>
    <n v="-1153.0039999999999"/>
    <n v="1153.0039999999999"/>
    <x v="2"/>
    <s v="2210"/>
    <s v="000"/>
    <x v="9"/>
    <x v="2"/>
  </r>
  <r>
    <d v="2013-07-30T00:00:00"/>
    <s v="018-2220-000"/>
    <s v="Beer Sales"/>
    <n v="173.42080000000001"/>
    <n v="0"/>
    <s v="Daily Sales Import"/>
    <n v="-173.42080000000001"/>
    <n v="173.42080000000001"/>
    <x v="2"/>
    <s v="2220"/>
    <s v="000"/>
    <x v="9"/>
    <x v="2"/>
  </r>
  <r>
    <d v="2013-07-30T00:00:00"/>
    <s v="018-2230-000"/>
    <s v="Wine Sales"/>
    <n v="50.101800000000004"/>
    <n v="0"/>
    <s v="Daily Sales Import"/>
    <n v="-50.101800000000004"/>
    <n v="50.101800000000004"/>
    <x v="2"/>
    <s v="2230"/>
    <s v="000"/>
    <x v="9"/>
    <x v="2"/>
  </r>
  <r>
    <d v="2013-07-31T00:00:00"/>
    <s v="018-2100-000"/>
    <s v="Food Sales"/>
    <n v="3805.6415999999995"/>
    <n v="0"/>
    <s v="Daily Sales Import"/>
    <n v="-3805.6415999999995"/>
    <n v="3805.6415999999995"/>
    <x v="2"/>
    <s v="2100"/>
    <s v="000"/>
    <x v="9"/>
    <x v="2"/>
  </r>
  <r>
    <d v="2013-07-31T00:00:00"/>
    <s v="018-2210-000"/>
    <s v="Liquor Sales"/>
    <n v="710.44960000000015"/>
    <n v="0"/>
    <s v="Daily Sales Import"/>
    <n v="-710.44960000000015"/>
    <n v="710.44960000000015"/>
    <x v="2"/>
    <s v="2210"/>
    <s v="000"/>
    <x v="9"/>
    <x v="2"/>
  </r>
  <r>
    <d v="2013-07-31T00:00:00"/>
    <s v="018-2220-000"/>
    <s v="Beer Sales"/>
    <n v="313.94159999999999"/>
    <n v="0"/>
    <s v="Daily Sales Import"/>
    <n v="-313.94159999999999"/>
    <n v="313.94159999999999"/>
    <x v="2"/>
    <s v="2220"/>
    <s v="000"/>
    <x v="9"/>
    <x v="2"/>
  </r>
  <r>
    <d v="2013-07-31T00:00:00"/>
    <s v="018-2230-000"/>
    <s v="Wine Sales"/>
    <n v="31.222100000000005"/>
    <n v="0"/>
    <s v="Daily Sales Import"/>
    <n v="-31.222100000000005"/>
    <n v="31.222100000000005"/>
    <x v="2"/>
    <s v="2230"/>
    <s v="000"/>
    <x v="9"/>
    <x v="2"/>
  </r>
  <r>
    <d v="2013-08-01T00:00:00"/>
    <s v="018-2100-000"/>
    <s v="Food Sales"/>
    <n v="6108.3022000000001"/>
    <n v="0"/>
    <s v="Daily Sales Import"/>
    <n v="-6108.3022000000001"/>
    <n v="6108.3022000000001"/>
    <x v="2"/>
    <s v="2100"/>
    <s v="000"/>
    <x v="10"/>
    <x v="2"/>
  </r>
  <r>
    <d v="2013-08-01T00:00:00"/>
    <s v="018-2210-000"/>
    <s v="Liquor Sales"/>
    <n v="1292.8081"/>
    <n v="0"/>
    <s v="Daily Sales Import"/>
    <n v="-1292.8081"/>
    <n v="1292.8081"/>
    <x v="2"/>
    <s v="2210"/>
    <s v="000"/>
    <x v="10"/>
    <x v="2"/>
  </r>
  <r>
    <d v="2013-08-01T00:00:00"/>
    <s v="018-2220-000"/>
    <s v="Beer Sales"/>
    <n v="427.47200000000004"/>
    <n v="0"/>
    <s v="Daily Sales Import"/>
    <n v="-427.47200000000004"/>
    <n v="427.47200000000004"/>
    <x v="2"/>
    <s v="2220"/>
    <s v="000"/>
    <x v="10"/>
    <x v="2"/>
  </r>
  <r>
    <d v="2013-08-01T00:00:00"/>
    <s v="018-2230-000"/>
    <s v="Wine Sales"/>
    <n v="20.276799999999998"/>
    <n v="0"/>
    <s v="Daily Sales Import"/>
    <n v="-20.276799999999998"/>
    <n v="20.276799999999998"/>
    <x v="2"/>
    <s v="2230"/>
    <s v="000"/>
    <x v="10"/>
    <x v="2"/>
  </r>
  <r>
    <d v="2013-08-02T00:00:00"/>
    <s v="018-2100-000"/>
    <s v="Food Sales"/>
    <n v="9762.3556000000008"/>
    <n v="0"/>
    <s v="Daily Sales Import"/>
    <n v="-9762.3556000000008"/>
    <n v="9762.3556000000008"/>
    <x v="2"/>
    <s v="2100"/>
    <s v="000"/>
    <x v="10"/>
    <x v="2"/>
  </r>
  <r>
    <d v="2013-08-02T00:00:00"/>
    <s v="018-2210-000"/>
    <s v="Liquor Sales"/>
    <n v="2305.3669"/>
    <n v="0"/>
    <s v="Daily Sales Import"/>
    <n v="-2305.3669"/>
    <n v="2305.3669"/>
    <x v="2"/>
    <s v="2210"/>
    <s v="000"/>
    <x v="10"/>
    <x v="2"/>
  </r>
  <r>
    <d v="2013-08-02T00:00:00"/>
    <s v="018-2220-000"/>
    <s v="Beer Sales"/>
    <n v="965.84580000000005"/>
    <n v="0"/>
    <s v="Daily Sales Import"/>
    <n v="-965.84580000000005"/>
    <n v="965.84580000000005"/>
    <x v="2"/>
    <s v="2220"/>
    <s v="000"/>
    <x v="10"/>
    <x v="2"/>
  </r>
  <r>
    <d v="2013-08-02T00:00:00"/>
    <s v="018-2230-000"/>
    <s v="Wine Sales"/>
    <n v="105.57559999999999"/>
    <n v="0"/>
    <s v="Daily Sales Import"/>
    <n v="-105.57559999999999"/>
    <n v="105.57559999999999"/>
    <x v="2"/>
    <s v="2230"/>
    <s v="000"/>
    <x v="10"/>
    <x v="2"/>
  </r>
  <r>
    <d v="2013-08-03T00:00:00"/>
    <s v="018-2100-000"/>
    <s v="Food Sales"/>
    <n v="14295.800500000001"/>
    <n v="0"/>
    <s v="Daily Sales Import"/>
    <n v="-14295.800500000001"/>
    <n v="14295.800500000001"/>
    <x v="2"/>
    <s v="2100"/>
    <s v="000"/>
    <x v="10"/>
    <x v="2"/>
  </r>
  <r>
    <d v="2013-08-03T00:00:00"/>
    <s v="018-2210-000"/>
    <s v="Liquor Sales"/>
    <n v="2504.1932999999999"/>
    <n v="0"/>
    <s v="Daily Sales Import"/>
    <n v="-2504.1932999999999"/>
    <n v="2504.1932999999999"/>
    <x v="2"/>
    <s v="2210"/>
    <s v="000"/>
    <x v="10"/>
    <x v="2"/>
  </r>
  <r>
    <d v="2013-08-03T00:00:00"/>
    <s v="018-2220-000"/>
    <s v="Beer Sales"/>
    <n v="644.68200000000002"/>
    <n v="0"/>
    <s v="Daily Sales Import"/>
    <n v="-644.68200000000002"/>
    <n v="644.68200000000002"/>
    <x v="2"/>
    <s v="2220"/>
    <s v="000"/>
    <x v="10"/>
    <x v="2"/>
  </r>
  <r>
    <d v="2013-08-03T00:00:00"/>
    <s v="018-2230-000"/>
    <s v="Wine Sales"/>
    <n v="166.5146"/>
    <n v="0"/>
    <s v="Daily Sales Import"/>
    <n v="-166.5146"/>
    <n v="166.5146"/>
    <x v="2"/>
    <s v="2230"/>
    <s v="000"/>
    <x v="10"/>
    <x v="2"/>
  </r>
  <r>
    <d v="2013-08-04T00:00:00"/>
    <s v="018-2100-000"/>
    <s v="Food Sales"/>
    <n v="8898.5720000000001"/>
    <n v="0"/>
    <s v="Daily Sales Import"/>
    <n v="-8898.5720000000001"/>
    <n v="8898.5720000000001"/>
    <x v="2"/>
    <s v="2100"/>
    <s v="000"/>
    <x v="10"/>
    <x v="2"/>
  </r>
  <r>
    <d v="2013-08-04T00:00:00"/>
    <s v="018-2210-000"/>
    <s v="Liquor Sales"/>
    <n v="1689.6243000000002"/>
    <n v="0"/>
    <s v="Daily Sales Import"/>
    <n v="-1689.6243000000002"/>
    <n v="1689.6243000000002"/>
    <x v="2"/>
    <s v="2210"/>
    <s v="000"/>
    <x v="10"/>
    <x v="2"/>
  </r>
  <r>
    <d v="2013-08-04T00:00:00"/>
    <s v="018-2220-000"/>
    <s v="Beer Sales"/>
    <n v="299.03579999999999"/>
    <n v="0"/>
    <s v="Daily Sales Import"/>
    <n v="-299.03579999999999"/>
    <n v="299.03579999999999"/>
    <x v="2"/>
    <s v="2220"/>
    <s v="000"/>
    <x v="10"/>
    <x v="2"/>
  </r>
  <r>
    <d v="2013-08-04T00:00:00"/>
    <s v="018-2230-000"/>
    <s v="Wine Sales"/>
    <n v="81.675599999999989"/>
    <n v="0"/>
    <s v="Daily Sales Import"/>
    <n v="-81.675599999999989"/>
    <n v="81.675599999999989"/>
    <x v="2"/>
    <s v="2230"/>
    <s v="000"/>
    <x v="10"/>
    <x v="2"/>
  </r>
  <r>
    <d v="2013-07-29T00:00:00"/>
    <s v="019-2100-000"/>
    <s v="Food Sales"/>
    <n v="3426.7878999999998"/>
    <n v="0"/>
    <s v="Daily Sales Import"/>
    <n v="-3426.7878999999998"/>
    <n v="3426.7878999999998"/>
    <x v="3"/>
    <s v="2100"/>
    <s v="000"/>
    <x v="9"/>
    <x v="2"/>
  </r>
  <r>
    <d v="2013-07-29T00:00:00"/>
    <s v="019-2210-000"/>
    <s v="Liquor Sales"/>
    <n v="932.58600000000001"/>
    <n v="0"/>
    <s v="Daily Sales Import"/>
    <n v="-932.58600000000001"/>
    <n v="932.58600000000001"/>
    <x v="3"/>
    <s v="2210"/>
    <s v="000"/>
    <x v="9"/>
    <x v="2"/>
  </r>
  <r>
    <d v="2013-07-29T00:00:00"/>
    <s v="019-2220-000"/>
    <s v="Beer Sales"/>
    <n v="172.56959999999998"/>
    <n v="0"/>
    <s v="Daily Sales Import"/>
    <n v="-172.56959999999998"/>
    <n v="172.56959999999998"/>
    <x v="3"/>
    <s v="2220"/>
    <s v="000"/>
    <x v="9"/>
    <x v="2"/>
  </r>
  <r>
    <d v="2013-07-29T00:00:00"/>
    <s v="019-2230-000"/>
    <s v="Wine Sales"/>
    <n v="19.2423"/>
    <n v="0"/>
    <s v="Daily Sales Import"/>
    <n v="-19.2423"/>
    <n v="19.2423"/>
    <x v="3"/>
    <s v="2230"/>
    <s v="000"/>
    <x v="9"/>
    <x v="2"/>
  </r>
  <r>
    <d v="2013-07-30T00:00:00"/>
    <s v="019-2100-000"/>
    <s v="Food Sales"/>
    <n v="4050.3982000000001"/>
    <n v="0"/>
    <s v="Daily Sales Import"/>
    <n v="-4050.3982000000001"/>
    <n v="4050.3982000000001"/>
    <x v="3"/>
    <s v="2100"/>
    <s v="000"/>
    <x v="9"/>
    <x v="2"/>
  </r>
  <r>
    <d v="2013-07-30T00:00:00"/>
    <s v="019-2210-000"/>
    <s v="Liquor Sales"/>
    <n v="1077.5544"/>
    <n v="0"/>
    <s v="Daily Sales Import"/>
    <n v="-1077.5544"/>
    <n v="1077.5544"/>
    <x v="3"/>
    <s v="2210"/>
    <s v="000"/>
    <x v="9"/>
    <x v="2"/>
  </r>
  <r>
    <d v="2013-07-30T00:00:00"/>
    <s v="019-2220-000"/>
    <s v="Beer Sales"/>
    <n v="119.66900000000001"/>
    <n v="0"/>
    <s v="Daily Sales Import"/>
    <n v="-119.66900000000001"/>
    <n v="119.66900000000001"/>
    <x v="3"/>
    <s v="2220"/>
    <s v="000"/>
    <x v="9"/>
    <x v="2"/>
  </r>
  <r>
    <d v="2013-07-30T00:00:00"/>
    <s v="019-2230-000"/>
    <s v="Wine Sales"/>
    <n v="81.43419999999999"/>
    <n v="0"/>
    <s v="Daily Sales Import"/>
    <n v="-81.43419999999999"/>
    <n v="81.43419999999999"/>
    <x v="3"/>
    <s v="2230"/>
    <s v="000"/>
    <x v="9"/>
    <x v="2"/>
  </r>
  <r>
    <d v="2013-07-31T00:00:00"/>
    <s v="019-2100-000"/>
    <s v="Food Sales"/>
    <n v="4292.8242"/>
    <n v="0"/>
    <s v="Daily Sales Import"/>
    <n v="-4292.8242"/>
    <n v="4292.8242"/>
    <x v="3"/>
    <s v="2100"/>
    <s v="000"/>
    <x v="9"/>
    <x v="2"/>
  </r>
  <r>
    <d v="2013-07-31T00:00:00"/>
    <s v="019-2210-000"/>
    <s v="Liquor Sales"/>
    <n v="1357.7655"/>
    <n v="0"/>
    <s v="Daily Sales Import"/>
    <n v="-1357.7655"/>
    <n v="1357.7655"/>
    <x v="3"/>
    <s v="2210"/>
    <s v="000"/>
    <x v="9"/>
    <x v="2"/>
  </r>
  <r>
    <d v="2013-07-31T00:00:00"/>
    <s v="019-2220-000"/>
    <s v="Beer Sales"/>
    <n v="240.00479999999996"/>
    <n v="0"/>
    <s v="Daily Sales Import"/>
    <n v="-240.00479999999996"/>
    <n v="240.00479999999996"/>
    <x v="3"/>
    <s v="2220"/>
    <s v="000"/>
    <x v="9"/>
    <x v="2"/>
  </r>
  <r>
    <d v="2013-07-31T00:00:00"/>
    <s v="019-2230-000"/>
    <s v="Wine Sales"/>
    <n v="57.367799999999995"/>
    <n v="0"/>
    <s v="Daily Sales Import"/>
    <n v="-57.367799999999995"/>
    <n v="57.367799999999995"/>
    <x v="3"/>
    <s v="2230"/>
    <s v="000"/>
    <x v="9"/>
    <x v="2"/>
  </r>
  <r>
    <d v="2013-08-01T00:00:00"/>
    <s v="019-2100-000"/>
    <s v="Food Sales"/>
    <n v="3750.8508000000002"/>
    <n v="0"/>
    <s v="Daily Sales Import"/>
    <n v="-3750.8508000000002"/>
    <n v="3750.8508000000002"/>
    <x v="3"/>
    <s v="2100"/>
    <s v="000"/>
    <x v="10"/>
    <x v="2"/>
  </r>
  <r>
    <d v="2013-08-01T00:00:00"/>
    <s v="019-2210-000"/>
    <s v="Liquor Sales"/>
    <n v="1509.8843999999999"/>
    <n v="0"/>
    <s v="Daily Sales Import"/>
    <n v="-1509.8843999999999"/>
    <n v="1509.8843999999999"/>
    <x v="3"/>
    <s v="2210"/>
    <s v="000"/>
    <x v="10"/>
    <x v="2"/>
  </r>
  <r>
    <d v="2013-08-01T00:00:00"/>
    <s v="019-2220-000"/>
    <s v="Beer Sales"/>
    <n v="284.85540000000003"/>
    <n v="0"/>
    <s v="Daily Sales Import"/>
    <n v="-284.85540000000003"/>
    <n v="284.85540000000003"/>
    <x v="3"/>
    <s v="2220"/>
    <s v="000"/>
    <x v="10"/>
    <x v="2"/>
  </r>
  <r>
    <d v="2013-08-01T00:00:00"/>
    <s v="019-2230-000"/>
    <s v="Wine Sales"/>
    <n v="13.2286"/>
    <n v="0"/>
    <s v="Daily Sales Import"/>
    <n v="-13.2286"/>
    <n v="13.2286"/>
    <x v="3"/>
    <s v="2230"/>
    <s v="000"/>
    <x v="10"/>
    <x v="2"/>
  </r>
  <r>
    <d v="2013-08-02T00:00:00"/>
    <s v="019-2100-000"/>
    <s v="Food Sales"/>
    <n v="5350.7739999999994"/>
    <n v="0"/>
    <s v="Daily Sales Import"/>
    <n v="-5350.7739999999994"/>
    <n v="5350.7739999999994"/>
    <x v="3"/>
    <s v="2100"/>
    <s v="000"/>
    <x v="10"/>
    <x v="2"/>
  </r>
  <r>
    <d v="2013-08-02T00:00:00"/>
    <s v="019-2210-000"/>
    <s v="Liquor Sales"/>
    <n v="2130.9490000000001"/>
    <n v="0"/>
    <s v="Daily Sales Import"/>
    <n v="-2130.9490000000001"/>
    <n v="2130.9490000000001"/>
    <x v="3"/>
    <s v="2210"/>
    <s v="000"/>
    <x v="10"/>
    <x v="2"/>
  </r>
  <r>
    <d v="2013-08-02T00:00:00"/>
    <s v="019-2220-000"/>
    <s v="Beer Sales"/>
    <n v="604.63130000000001"/>
    <n v="0"/>
    <s v="Daily Sales Import"/>
    <n v="-604.63130000000001"/>
    <n v="604.63130000000001"/>
    <x v="3"/>
    <s v="2220"/>
    <s v="000"/>
    <x v="10"/>
    <x v="2"/>
  </r>
  <r>
    <d v="2013-08-02T00:00:00"/>
    <s v="019-2230-000"/>
    <s v="Wine Sales"/>
    <n v="70.114000000000004"/>
    <n v="0"/>
    <s v="Daily Sales Import"/>
    <n v="-70.114000000000004"/>
    <n v="70.114000000000004"/>
    <x v="3"/>
    <s v="2230"/>
    <s v="000"/>
    <x v="10"/>
    <x v="2"/>
  </r>
  <r>
    <d v="2013-08-03T00:00:00"/>
    <s v="019-2100-000"/>
    <s v="Food Sales"/>
    <n v="6456.8062"/>
    <n v="0"/>
    <s v="Daily Sales Import"/>
    <n v="-6456.8062"/>
    <n v="6456.8062"/>
    <x v="3"/>
    <s v="2100"/>
    <s v="000"/>
    <x v="10"/>
    <x v="2"/>
  </r>
  <r>
    <d v="2013-08-03T00:00:00"/>
    <s v="019-2210-000"/>
    <s v="Liquor Sales"/>
    <n v="2858.2803000000004"/>
    <n v="0"/>
    <s v="Daily Sales Import"/>
    <n v="-2858.2803000000004"/>
    <n v="2858.2803000000004"/>
    <x v="3"/>
    <s v="2210"/>
    <s v="000"/>
    <x v="10"/>
    <x v="2"/>
  </r>
  <r>
    <d v="2013-08-03T00:00:00"/>
    <s v="019-2220-000"/>
    <s v="Beer Sales"/>
    <n v="565.01280000000008"/>
    <n v="0"/>
    <s v="Daily Sales Import"/>
    <n v="-565.01280000000008"/>
    <n v="565.01280000000008"/>
    <x v="3"/>
    <s v="2220"/>
    <s v="000"/>
    <x v="10"/>
    <x v="2"/>
  </r>
  <r>
    <d v="2013-08-03T00:00:00"/>
    <s v="019-2230-000"/>
    <s v="Wine Sales"/>
    <n v="96.074999999999989"/>
    <n v="0"/>
    <s v="Daily Sales Import"/>
    <n v="-96.074999999999989"/>
    <n v="96.074999999999989"/>
    <x v="3"/>
    <s v="2230"/>
    <s v="000"/>
    <x v="10"/>
    <x v="2"/>
  </r>
  <r>
    <d v="2013-08-04T00:00:00"/>
    <s v="019-2100-000"/>
    <s v="Food Sales"/>
    <n v="4214.4785999999995"/>
    <n v="0"/>
    <s v="Daily Sales Import"/>
    <n v="-4214.4785999999995"/>
    <n v="4214.4785999999995"/>
    <x v="3"/>
    <s v="2100"/>
    <s v="000"/>
    <x v="10"/>
    <x v="2"/>
  </r>
  <r>
    <d v="2013-08-04T00:00:00"/>
    <s v="019-2210-000"/>
    <s v="Liquor Sales"/>
    <n v="1117.9559999999999"/>
    <n v="0"/>
    <s v="Daily Sales Import"/>
    <n v="-1117.9559999999999"/>
    <n v="1117.9559999999999"/>
    <x v="3"/>
    <s v="2210"/>
    <s v="000"/>
    <x v="10"/>
    <x v="2"/>
  </r>
  <r>
    <d v="2013-08-04T00:00:00"/>
    <s v="019-2220-000"/>
    <s v="Beer Sales"/>
    <n v="372.56450000000001"/>
    <n v="0"/>
    <s v="Daily Sales Import"/>
    <n v="-372.56450000000001"/>
    <n v="372.56450000000001"/>
    <x v="3"/>
    <s v="2220"/>
    <s v="000"/>
    <x v="10"/>
    <x v="2"/>
  </r>
  <r>
    <d v="2013-08-04T00:00:00"/>
    <s v="019-2230-000"/>
    <s v="Wine Sales"/>
    <n v="56.379400000000004"/>
    <n v="0"/>
    <s v="Daily Sales Import"/>
    <n v="-56.379400000000004"/>
    <n v="56.379400000000004"/>
    <x v="3"/>
    <s v="2230"/>
    <s v="000"/>
    <x v="10"/>
    <x v="2"/>
  </r>
  <r>
    <d v="2013-08-05T00:00:00"/>
    <s v="016-2100-000"/>
    <s v="Food Sales"/>
    <n v="1811.7963"/>
    <n v="0"/>
    <s v="Daily Sales Import"/>
    <n v="-1811.7963"/>
    <n v="1811.7963"/>
    <x v="0"/>
    <s v="2100"/>
    <s v="000"/>
    <x v="10"/>
    <x v="2"/>
  </r>
  <r>
    <d v="2013-08-05T00:00:00"/>
    <s v="016-2210-000"/>
    <s v="Liquor Sales"/>
    <n v="464.94719999999995"/>
    <n v="0"/>
    <s v="Daily Sales Import"/>
    <n v="-464.94719999999995"/>
    <n v="464.94719999999995"/>
    <x v="0"/>
    <s v="2210"/>
    <s v="000"/>
    <x v="10"/>
    <x v="2"/>
  </r>
  <r>
    <d v="2013-08-05T00:00:00"/>
    <s v="016-2220-000"/>
    <s v="Beer Sales"/>
    <n v="177.23699999999999"/>
    <n v="0"/>
    <s v="Daily Sales Import"/>
    <n v="-177.23699999999999"/>
    <n v="177.23699999999999"/>
    <x v="0"/>
    <s v="2220"/>
    <s v="000"/>
    <x v="10"/>
    <x v="2"/>
  </r>
  <r>
    <d v="2013-08-05T00:00:00"/>
    <s v="016-2230-000"/>
    <s v="Wine Sales"/>
    <n v="38.893799999999999"/>
    <n v="0"/>
    <s v="Daily Sales Import"/>
    <n v="-38.893799999999999"/>
    <n v="38.893799999999999"/>
    <x v="0"/>
    <s v="2230"/>
    <s v="000"/>
    <x v="10"/>
    <x v="2"/>
  </r>
  <r>
    <d v="2013-08-06T00:00:00"/>
    <s v="016-2100-000"/>
    <s v="Food Sales"/>
    <n v="6731.9723999999997"/>
    <n v="0"/>
    <s v="Daily Sales Import"/>
    <n v="-6731.9723999999997"/>
    <n v="6731.9723999999997"/>
    <x v="0"/>
    <s v="2100"/>
    <s v="000"/>
    <x v="10"/>
    <x v="2"/>
  </r>
  <r>
    <d v="2013-08-06T00:00:00"/>
    <s v="016-2210-000"/>
    <s v="Liquor Sales"/>
    <n v="2247.9655000000002"/>
    <n v="0"/>
    <s v="Daily Sales Import"/>
    <n v="-2247.9655000000002"/>
    <n v="2247.9655000000002"/>
    <x v="0"/>
    <s v="2210"/>
    <s v="000"/>
    <x v="10"/>
    <x v="2"/>
  </r>
  <r>
    <d v="2013-08-06T00:00:00"/>
    <s v="016-2220-000"/>
    <s v="Beer Sales"/>
    <n v="1132.5695000000001"/>
    <n v="0"/>
    <s v="Daily Sales Import"/>
    <n v="-1132.5695000000001"/>
    <n v="1132.5695000000001"/>
    <x v="0"/>
    <s v="2220"/>
    <s v="000"/>
    <x v="10"/>
    <x v="2"/>
  </r>
  <r>
    <d v="2013-08-06T00:00:00"/>
    <s v="016-2230-000"/>
    <s v="Wine Sales"/>
    <n v="67.591999999999999"/>
    <n v="0"/>
    <s v="Daily Sales Import"/>
    <n v="-67.591999999999999"/>
    <n v="67.591999999999999"/>
    <x v="0"/>
    <s v="2230"/>
    <s v="000"/>
    <x v="10"/>
    <x v="2"/>
  </r>
  <r>
    <d v="2013-08-07T00:00:00"/>
    <s v="016-2100-000"/>
    <s v="Food Sales"/>
    <n v="3037.6853000000001"/>
    <n v="0"/>
    <s v="Daily Sales Import"/>
    <n v="-3037.6853000000001"/>
    <n v="3037.6853000000001"/>
    <x v="0"/>
    <s v="2100"/>
    <s v="000"/>
    <x v="10"/>
    <x v="2"/>
  </r>
  <r>
    <d v="2013-08-07T00:00:00"/>
    <s v="016-2210-000"/>
    <s v="Liquor Sales"/>
    <n v="493.21799999999996"/>
    <n v="0"/>
    <s v="Daily Sales Import"/>
    <n v="-493.21799999999996"/>
    <n v="493.21799999999996"/>
    <x v="0"/>
    <s v="2210"/>
    <s v="000"/>
    <x v="10"/>
    <x v="2"/>
  </r>
  <r>
    <d v="2013-08-07T00:00:00"/>
    <s v="016-2220-000"/>
    <s v="Beer Sales"/>
    <n v="140.59199999999998"/>
    <n v="0"/>
    <s v="Daily Sales Import"/>
    <n v="-140.59199999999998"/>
    <n v="140.59199999999998"/>
    <x v="0"/>
    <s v="2220"/>
    <s v="000"/>
    <x v="10"/>
    <x v="2"/>
  </r>
  <r>
    <d v="2013-08-07T00:00:00"/>
    <s v="016-2230-000"/>
    <s v="Wine Sales"/>
    <n v="80.15979999999999"/>
    <n v="0"/>
    <s v="Daily Sales Import"/>
    <n v="-80.15979999999999"/>
    <n v="80.15979999999999"/>
    <x v="0"/>
    <s v="2230"/>
    <s v="000"/>
    <x v="10"/>
    <x v="2"/>
  </r>
  <r>
    <d v="2013-08-08T00:00:00"/>
    <s v="016-2100-000"/>
    <s v="Food Sales"/>
    <n v="2799.8223999999996"/>
    <n v="0"/>
    <s v="Daily Sales Import"/>
    <n v="-2799.8223999999996"/>
    <n v="2799.8223999999996"/>
    <x v="0"/>
    <s v="2100"/>
    <s v="000"/>
    <x v="10"/>
    <x v="2"/>
  </r>
  <r>
    <d v="2013-08-08T00:00:00"/>
    <s v="016-2210-000"/>
    <s v="Liquor Sales"/>
    <n v="1111.5081"/>
    <n v="0"/>
    <s v="Daily Sales Import"/>
    <n v="-1111.5081"/>
    <n v="1111.5081"/>
    <x v="0"/>
    <s v="2210"/>
    <s v="000"/>
    <x v="10"/>
    <x v="2"/>
  </r>
  <r>
    <d v="2013-08-08T00:00:00"/>
    <s v="016-2220-000"/>
    <s v="Beer Sales"/>
    <n v="139.6499"/>
    <n v="0"/>
    <s v="Daily Sales Import"/>
    <n v="-139.6499"/>
    <n v="139.6499"/>
    <x v="0"/>
    <s v="2220"/>
    <s v="000"/>
    <x v="10"/>
    <x v="2"/>
  </r>
  <r>
    <d v="2013-08-08T00:00:00"/>
    <s v="016-2230-000"/>
    <s v="Wine Sales"/>
    <n v="97.665000000000006"/>
    <n v="0"/>
    <s v="Daily Sales Import"/>
    <n v="-97.665000000000006"/>
    <n v="97.665000000000006"/>
    <x v="0"/>
    <s v="2230"/>
    <s v="000"/>
    <x v="10"/>
    <x v="2"/>
  </r>
  <r>
    <d v="2013-08-09T00:00:00"/>
    <s v="016-2100-000"/>
    <s v="Food Sales"/>
    <n v="5795.5419000000002"/>
    <n v="0"/>
    <s v="Daily Sales Import"/>
    <n v="-5795.5419000000002"/>
    <n v="5795.5419000000002"/>
    <x v="0"/>
    <s v="2100"/>
    <s v="000"/>
    <x v="10"/>
    <x v="2"/>
  </r>
  <r>
    <d v="2013-08-09T00:00:00"/>
    <s v="016-2210-000"/>
    <s v="Liquor Sales"/>
    <n v="1791.0881999999999"/>
    <n v="0"/>
    <s v="Daily Sales Import"/>
    <n v="-1791.0881999999999"/>
    <n v="1791.0881999999999"/>
    <x v="0"/>
    <s v="2210"/>
    <s v="000"/>
    <x v="10"/>
    <x v="2"/>
  </r>
  <r>
    <d v="2013-08-09T00:00:00"/>
    <s v="016-2220-000"/>
    <s v="Beer Sales"/>
    <n v="367.72130000000004"/>
    <n v="0"/>
    <s v="Daily Sales Import"/>
    <n v="-367.72130000000004"/>
    <n v="367.72130000000004"/>
    <x v="0"/>
    <s v="2220"/>
    <s v="000"/>
    <x v="10"/>
    <x v="2"/>
  </r>
  <r>
    <d v="2013-08-09T00:00:00"/>
    <s v="016-2230-000"/>
    <s v="Wine Sales"/>
    <n v="146.20760000000001"/>
    <n v="0"/>
    <s v="Daily Sales Import"/>
    <n v="-146.20760000000001"/>
    <n v="146.20760000000001"/>
    <x v="0"/>
    <s v="2230"/>
    <s v="000"/>
    <x v="10"/>
    <x v="2"/>
  </r>
  <r>
    <d v="2013-08-10T00:00:00"/>
    <s v="016-2100-000"/>
    <s v="Food Sales"/>
    <n v="7555.4154000000008"/>
    <n v="0"/>
    <s v="Daily Sales Import"/>
    <n v="-7555.4154000000008"/>
    <n v="7555.4154000000008"/>
    <x v="0"/>
    <s v="2100"/>
    <s v="000"/>
    <x v="10"/>
    <x v="2"/>
  </r>
  <r>
    <d v="2013-08-10T00:00:00"/>
    <s v="016-2210-000"/>
    <s v="Liquor Sales"/>
    <n v="1975.0400000000002"/>
    <n v="0"/>
    <s v="Daily Sales Import"/>
    <n v="-1975.0400000000002"/>
    <n v="1975.0400000000002"/>
    <x v="0"/>
    <s v="2210"/>
    <s v="000"/>
    <x v="10"/>
    <x v="2"/>
  </r>
  <r>
    <d v="2013-08-10T00:00:00"/>
    <s v="016-2220-000"/>
    <s v="Beer Sales"/>
    <n v="302.91520000000003"/>
    <n v="0"/>
    <s v="Daily Sales Import"/>
    <n v="-302.91520000000003"/>
    <n v="302.91520000000003"/>
    <x v="0"/>
    <s v="2220"/>
    <s v="000"/>
    <x v="10"/>
    <x v="2"/>
  </r>
  <r>
    <d v="2013-08-10T00:00:00"/>
    <s v="016-2230-000"/>
    <s v="Wine Sales"/>
    <n v="160.33200000000002"/>
    <n v="0"/>
    <s v="Daily Sales Import"/>
    <n v="-160.33200000000002"/>
    <n v="160.33200000000002"/>
    <x v="0"/>
    <s v="2230"/>
    <s v="000"/>
    <x v="10"/>
    <x v="2"/>
  </r>
  <r>
    <d v="2013-08-11T00:00:00"/>
    <s v="016-2100-000"/>
    <s v="Food Sales"/>
    <n v="4463.3653000000004"/>
    <n v="0"/>
    <s v="Daily Sales Import"/>
    <n v="-4463.3653000000004"/>
    <n v="4463.3653000000004"/>
    <x v="0"/>
    <s v="2100"/>
    <s v="000"/>
    <x v="10"/>
    <x v="2"/>
  </r>
  <r>
    <d v="2013-08-11T00:00:00"/>
    <s v="016-2210-000"/>
    <s v="Liquor Sales"/>
    <n v="765.04960000000005"/>
    <n v="0"/>
    <s v="Daily Sales Import"/>
    <n v="-765.04960000000005"/>
    <n v="765.04960000000005"/>
    <x v="0"/>
    <s v="2210"/>
    <s v="000"/>
    <x v="10"/>
    <x v="2"/>
  </r>
  <r>
    <d v="2013-08-11T00:00:00"/>
    <s v="016-2220-000"/>
    <s v="Beer Sales"/>
    <n v="306.33840000000004"/>
    <n v="0"/>
    <s v="Daily Sales Import"/>
    <n v="-306.33840000000004"/>
    <n v="306.33840000000004"/>
    <x v="0"/>
    <s v="2220"/>
    <s v="000"/>
    <x v="10"/>
    <x v="2"/>
  </r>
  <r>
    <d v="2013-08-11T00:00:00"/>
    <s v="016-2230-000"/>
    <s v="Wine Sales"/>
    <n v="123.705"/>
    <n v="0"/>
    <s v="Daily Sales Import"/>
    <n v="-123.705"/>
    <n v="123.705"/>
    <x v="0"/>
    <s v="2230"/>
    <s v="000"/>
    <x v="10"/>
    <x v="2"/>
  </r>
  <r>
    <d v="2013-08-05T00:00:00"/>
    <s v="017-2100-000"/>
    <s v="Food Sales"/>
    <n v="5510.9782000000005"/>
    <n v="0"/>
    <s v="Daily Sales Import"/>
    <n v="-5510.9782000000005"/>
    <n v="5510.9782000000005"/>
    <x v="1"/>
    <s v="2100"/>
    <s v="000"/>
    <x v="10"/>
    <x v="2"/>
  </r>
  <r>
    <d v="2013-08-05T00:00:00"/>
    <s v="017-2210-000"/>
    <s v="Liquor Sales"/>
    <n v="1320.6762000000001"/>
    <n v="0"/>
    <s v="Daily Sales Import"/>
    <n v="-1320.6762000000001"/>
    <n v="1320.6762000000001"/>
    <x v="1"/>
    <s v="2210"/>
    <s v="000"/>
    <x v="10"/>
    <x v="2"/>
  </r>
  <r>
    <d v="2013-08-05T00:00:00"/>
    <s v="017-2220-000"/>
    <s v="Beer Sales"/>
    <n v="321.642"/>
    <n v="0"/>
    <s v="Daily Sales Import"/>
    <n v="-321.642"/>
    <n v="321.642"/>
    <x v="1"/>
    <s v="2220"/>
    <s v="000"/>
    <x v="10"/>
    <x v="2"/>
  </r>
  <r>
    <d v="2013-08-05T00:00:00"/>
    <s v="017-2230-000"/>
    <s v="Wine Sales"/>
    <n v="153.08000000000001"/>
    <n v="0"/>
    <s v="Daily Sales Import"/>
    <n v="-153.08000000000001"/>
    <n v="153.08000000000001"/>
    <x v="1"/>
    <s v="2230"/>
    <s v="000"/>
    <x v="10"/>
    <x v="2"/>
  </r>
  <r>
    <d v="2013-08-06T00:00:00"/>
    <s v="017-2100-000"/>
    <s v="Food Sales"/>
    <n v="5422.2965999999997"/>
    <n v="0"/>
    <s v="Daily Sales Import"/>
    <n v="-5422.2965999999997"/>
    <n v="5422.2965999999997"/>
    <x v="1"/>
    <s v="2100"/>
    <s v="000"/>
    <x v="10"/>
    <x v="2"/>
  </r>
  <r>
    <d v="2013-08-06T00:00:00"/>
    <s v="017-2210-000"/>
    <s v="Liquor Sales"/>
    <n v="1124.8576"/>
    <n v="0"/>
    <s v="Daily Sales Import"/>
    <n v="-1124.8576"/>
    <n v="1124.8576"/>
    <x v="1"/>
    <s v="2210"/>
    <s v="000"/>
    <x v="10"/>
    <x v="2"/>
  </r>
  <r>
    <d v="2013-08-06T00:00:00"/>
    <s v="017-2220-000"/>
    <s v="Beer Sales"/>
    <n v="526.12379999999996"/>
    <n v="0"/>
    <s v="Daily Sales Import"/>
    <n v="-526.12379999999996"/>
    <n v="526.12379999999996"/>
    <x v="1"/>
    <s v="2220"/>
    <s v="000"/>
    <x v="10"/>
    <x v="2"/>
  </r>
  <r>
    <d v="2013-08-06T00:00:00"/>
    <s v="017-2230-000"/>
    <s v="Wine Sales"/>
    <n v="159.65709999999999"/>
    <n v="0"/>
    <s v="Daily Sales Import"/>
    <n v="-159.65709999999999"/>
    <n v="159.65709999999999"/>
    <x v="1"/>
    <s v="2230"/>
    <s v="000"/>
    <x v="10"/>
    <x v="2"/>
  </r>
  <r>
    <d v="2013-08-07T00:00:00"/>
    <s v="017-2100-000"/>
    <s v="Food Sales"/>
    <n v="4911.2575999999999"/>
    <n v="0"/>
    <s v="Daily Sales Import"/>
    <n v="-4911.2575999999999"/>
    <n v="4911.2575999999999"/>
    <x v="1"/>
    <s v="2100"/>
    <s v="000"/>
    <x v="10"/>
    <x v="2"/>
  </r>
  <r>
    <d v="2013-08-07T00:00:00"/>
    <s v="017-2210-000"/>
    <s v="Liquor Sales"/>
    <n v="1331.5119999999999"/>
    <n v="0"/>
    <s v="Daily Sales Import"/>
    <n v="-1331.5119999999999"/>
    <n v="1331.5119999999999"/>
    <x v="1"/>
    <s v="2210"/>
    <s v="000"/>
    <x v="10"/>
    <x v="2"/>
  </r>
  <r>
    <d v="2013-08-07T00:00:00"/>
    <s v="017-2220-000"/>
    <s v="Beer Sales"/>
    <n v="307.45439999999996"/>
    <n v="0"/>
    <s v="Daily Sales Import"/>
    <n v="-307.45439999999996"/>
    <n v="307.45439999999996"/>
    <x v="1"/>
    <s v="2220"/>
    <s v="000"/>
    <x v="10"/>
    <x v="2"/>
  </r>
  <r>
    <d v="2013-08-07T00:00:00"/>
    <s v="017-2230-000"/>
    <s v="Wine Sales"/>
    <n v="64.336699999999993"/>
    <n v="0"/>
    <s v="Daily Sales Import"/>
    <n v="-64.336699999999993"/>
    <n v="64.336699999999993"/>
    <x v="1"/>
    <s v="2230"/>
    <s v="000"/>
    <x v="10"/>
    <x v="2"/>
  </r>
  <r>
    <d v="2013-08-08T00:00:00"/>
    <s v="017-2100-000"/>
    <s v="Food Sales"/>
    <n v="4541.7905000000001"/>
    <n v="0"/>
    <s v="Daily Sales Import"/>
    <n v="-4541.7905000000001"/>
    <n v="4541.7905000000001"/>
    <x v="1"/>
    <s v="2100"/>
    <s v="000"/>
    <x v="10"/>
    <x v="2"/>
  </r>
  <r>
    <d v="2013-08-08T00:00:00"/>
    <s v="017-2210-000"/>
    <s v="Liquor Sales"/>
    <n v="1406.652"/>
    <n v="0"/>
    <s v="Daily Sales Import"/>
    <n v="-1406.652"/>
    <n v="1406.652"/>
    <x v="1"/>
    <s v="2210"/>
    <s v="000"/>
    <x v="10"/>
    <x v="2"/>
  </r>
  <r>
    <d v="2013-08-08T00:00:00"/>
    <s v="017-2220-000"/>
    <s v="Beer Sales"/>
    <n v="723.12450000000001"/>
    <n v="0"/>
    <s v="Daily Sales Import"/>
    <n v="-723.12450000000001"/>
    <n v="723.12450000000001"/>
    <x v="1"/>
    <s v="2220"/>
    <s v="000"/>
    <x v="10"/>
    <x v="2"/>
  </r>
  <r>
    <d v="2013-08-08T00:00:00"/>
    <s v="017-2230-000"/>
    <s v="Wine Sales"/>
    <n v="158.77950000000001"/>
    <n v="0"/>
    <s v="Daily Sales Import"/>
    <n v="-158.77950000000001"/>
    <n v="158.77950000000001"/>
    <x v="1"/>
    <s v="2230"/>
    <s v="000"/>
    <x v="10"/>
    <x v="2"/>
  </r>
  <r>
    <d v="2013-08-09T00:00:00"/>
    <s v="017-2100-000"/>
    <s v="Food Sales"/>
    <n v="9935.115600000001"/>
    <n v="0"/>
    <s v="Daily Sales Import"/>
    <n v="-9935.115600000001"/>
    <n v="9935.115600000001"/>
    <x v="1"/>
    <s v="2100"/>
    <s v="000"/>
    <x v="10"/>
    <x v="2"/>
  </r>
  <r>
    <d v="2013-08-09T00:00:00"/>
    <s v="017-2210-000"/>
    <s v="Liquor Sales"/>
    <n v="2127.1536000000001"/>
    <n v="0"/>
    <s v="Daily Sales Import"/>
    <n v="-2127.1536000000001"/>
    <n v="2127.1536000000001"/>
    <x v="1"/>
    <s v="2210"/>
    <s v="000"/>
    <x v="10"/>
    <x v="2"/>
  </r>
  <r>
    <d v="2013-08-09T00:00:00"/>
    <s v="017-2220-000"/>
    <s v="Beer Sales"/>
    <n v="423.9"/>
    <n v="0"/>
    <s v="Daily Sales Import"/>
    <n v="-423.9"/>
    <n v="423.9"/>
    <x v="1"/>
    <s v="2220"/>
    <s v="000"/>
    <x v="10"/>
    <x v="2"/>
  </r>
  <r>
    <d v="2013-08-09T00:00:00"/>
    <s v="017-2230-000"/>
    <s v="Wine Sales"/>
    <n v="105.33070000000001"/>
    <n v="0"/>
    <s v="Daily Sales Import"/>
    <n v="-105.33070000000001"/>
    <n v="105.33070000000001"/>
    <x v="1"/>
    <s v="2230"/>
    <s v="000"/>
    <x v="10"/>
    <x v="2"/>
  </r>
  <r>
    <d v="2013-08-10T00:00:00"/>
    <s v="017-2100-000"/>
    <s v="Food Sales"/>
    <n v="6591.0909999999994"/>
    <n v="0"/>
    <s v="Daily Sales Import"/>
    <n v="-6591.0909999999994"/>
    <n v="6591.0909999999994"/>
    <x v="1"/>
    <s v="2100"/>
    <s v="000"/>
    <x v="10"/>
    <x v="2"/>
  </r>
  <r>
    <d v="2013-08-10T00:00:00"/>
    <s v="017-2210-000"/>
    <s v="Liquor Sales"/>
    <n v="3318.23"/>
    <n v="0"/>
    <s v="Daily Sales Import"/>
    <n v="-3318.23"/>
    <n v="3318.23"/>
    <x v="1"/>
    <s v="2210"/>
    <s v="000"/>
    <x v="10"/>
    <x v="2"/>
  </r>
  <r>
    <d v="2013-08-10T00:00:00"/>
    <s v="017-2220-000"/>
    <s v="Beer Sales"/>
    <n v="760.87150000000008"/>
    <n v="0"/>
    <s v="Daily Sales Import"/>
    <n v="-760.87150000000008"/>
    <n v="760.87150000000008"/>
    <x v="1"/>
    <s v="2220"/>
    <s v="000"/>
    <x v="10"/>
    <x v="2"/>
  </r>
  <r>
    <d v="2013-08-10T00:00:00"/>
    <s v="017-2230-000"/>
    <s v="Wine Sales"/>
    <n v="142.39500000000001"/>
    <n v="0"/>
    <s v="Daily Sales Import"/>
    <n v="-142.39500000000001"/>
    <n v="142.39500000000001"/>
    <x v="1"/>
    <s v="2230"/>
    <s v="000"/>
    <x v="10"/>
    <x v="2"/>
  </r>
  <r>
    <d v="2013-08-11T00:00:00"/>
    <s v="017-2100-000"/>
    <s v="Food Sales"/>
    <n v="5807.0349999999999"/>
    <n v="0"/>
    <s v="Daily Sales Import"/>
    <n v="-5807.0349999999999"/>
    <n v="5807.0349999999999"/>
    <x v="1"/>
    <s v="2100"/>
    <s v="000"/>
    <x v="10"/>
    <x v="2"/>
  </r>
  <r>
    <d v="2013-08-11T00:00:00"/>
    <s v="017-2210-000"/>
    <s v="Liquor Sales"/>
    <n v="878.64479999999992"/>
    <n v="0"/>
    <s v="Daily Sales Import"/>
    <n v="-878.64479999999992"/>
    <n v="878.64479999999992"/>
    <x v="1"/>
    <s v="2210"/>
    <s v="000"/>
    <x v="10"/>
    <x v="2"/>
  </r>
  <r>
    <d v="2013-08-11T00:00:00"/>
    <s v="017-2220-000"/>
    <s v="Beer Sales"/>
    <n v="164.96550000000002"/>
    <n v="0"/>
    <s v="Daily Sales Import"/>
    <n v="-164.96550000000002"/>
    <n v="164.96550000000002"/>
    <x v="1"/>
    <s v="2220"/>
    <s v="000"/>
    <x v="10"/>
    <x v="2"/>
  </r>
  <r>
    <d v="2013-08-11T00:00:00"/>
    <s v="017-2230-000"/>
    <s v="Wine Sales"/>
    <n v="77.540400000000005"/>
    <n v="0"/>
    <s v="Daily Sales Import"/>
    <n v="-77.540400000000005"/>
    <n v="77.540400000000005"/>
    <x v="1"/>
    <s v="2230"/>
    <s v="000"/>
    <x v="10"/>
    <x v="2"/>
  </r>
  <r>
    <d v="2013-08-05T00:00:00"/>
    <s v="018-2100-000"/>
    <s v="Food Sales"/>
    <n v="3713.58"/>
    <n v="0"/>
    <s v="Daily Sales Import"/>
    <n v="-3713.58"/>
    <n v="3713.58"/>
    <x v="2"/>
    <s v="2100"/>
    <s v="000"/>
    <x v="10"/>
    <x v="2"/>
  </r>
  <r>
    <d v="2013-08-05T00:00:00"/>
    <s v="018-2210-000"/>
    <s v="Liquor Sales"/>
    <n v="718.08119999999997"/>
    <n v="0"/>
    <s v="Daily Sales Import"/>
    <n v="-718.08119999999997"/>
    <n v="718.08119999999997"/>
    <x v="2"/>
    <s v="2210"/>
    <s v="000"/>
    <x v="10"/>
    <x v="2"/>
  </r>
  <r>
    <d v="2013-08-05T00:00:00"/>
    <s v="018-2220-000"/>
    <s v="Beer Sales"/>
    <n v="223.995"/>
    <n v="0"/>
    <s v="Daily Sales Import"/>
    <n v="-223.995"/>
    <n v="223.995"/>
    <x v="2"/>
    <s v="2220"/>
    <s v="000"/>
    <x v="10"/>
    <x v="2"/>
  </r>
  <r>
    <d v="2013-08-05T00:00:00"/>
    <s v="018-2230-000"/>
    <s v="Wine Sales"/>
    <n v="42.947399999999995"/>
    <n v="0"/>
    <s v="Daily Sales Import"/>
    <n v="-42.947399999999995"/>
    <n v="42.947399999999995"/>
    <x v="2"/>
    <s v="2230"/>
    <s v="000"/>
    <x v="10"/>
    <x v="2"/>
  </r>
  <r>
    <d v="2013-08-06T00:00:00"/>
    <s v="018-2100-000"/>
    <s v="Food Sales"/>
    <n v="5061.4255999999996"/>
    <n v="0"/>
    <s v="Daily Sales Import"/>
    <n v="-5061.4255999999996"/>
    <n v="5061.4255999999996"/>
    <x v="2"/>
    <s v="2100"/>
    <s v="000"/>
    <x v="10"/>
    <x v="2"/>
  </r>
  <r>
    <d v="2013-08-06T00:00:00"/>
    <s v="018-2210-000"/>
    <s v="Liquor Sales"/>
    <n v="1024.6904999999999"/>
    <n v="0"/>
    <s v="Daily Sales Import"/>
    <n v="-1024.6904999999999"/>
    <n v="1024.6904999999999"/>
    <x v="2"/>
    <s v="2210"/>
    <s v="000"/>
    <x v="10"/>
    <x v="2"/>
  </r>
  <r>
    <d v="2013-08-06T00:00:00"/>
    <s v="018-2220-000"/>
    <s v="Beer Sales"/>
    <n v="221.81050000000002"/>
    <n v="0"/>
    <s v="Daily Sales Import"/>
    <n v="-221.81050000000002"/>
    <n v="221.81050000000002"/>
    <x v="2"/>
    <s v="2220"/>
    <s v="000"/>
    <x v="10"/>
    <x v="2"/>
  </r>
  <r>
    <d v="2013-08-06T00:00:00"/>
    <s v="018-2230-000"/>
    <s v="Wine Sales"/>
    <n v="47.916000000000004"/>
    <n v="0"/>
    <s v="Daily Sales Import"/>
    <n v="-47.916000000000004"/>
    <n v="47.916000000000004"/>
    <x v="2"/>
    <s v="2230"/>
    <s v="000"/>
    <x v="10"/>
    <x v="2"/>
  </r>
  <r>
    <d v="2013-08-07T00:00:00"/>
    <s v="018-2100-000"/>
    <s v="Food Sales"/>
    <n v="5024.9623000000001"/>
    <n v="0"/>
    <s v="Daily Sales Import"/>
    <n v="-5024.9623000000001"/>
    <n v="5024.9623000000001"/>
    <x v="2"/>
    <s v="2100"/>
    <s v="000"/>
    <x v="10"/>
    <x v="2"/>
  </r>
  <r>
    <d v="2013-08-07T00:00:00"/>
    <s v="018-2210-000"/>
    <s v="Liquor Sales"/>
    <n v="937.01760000000002"/>
    <n v="0"/>
    <s v="Daily Sales Import"/>
    <n v="-937.01760000000002"/>
    <n v="937.01760000000002"/>
    <x v="2"/>
    <s v="2210"/>
    <s v="000"/>
    <x v="10"/>
    <x v="2"/>
  </r>
  <r>
    <d v="2013-08-07T00:00:00"/>
    <s v="018-2220-000"/>
    <s v="Beer Sales"/>
    <n v="165.41630000000001"/>
    <n v="0"/>
    <s v="Daily Sales Import"/>
    <n v="-165.41630000000001"/>
    <n v="165.41630000000001"/>
    <x v="2"/>
    <s v="2220"/>
    <s v="000"/>
    <x v="10"/>
    <x v="2"/>
  </r>
  <r>
    <d v="2013-08-07T00:00:00"/>
    <s v="018-2230-000"/>
    <s v="Wine Sales"/>
    <n v="57.386199999999995"/>
    <n v="0"/>
    <s v="Daily Sales Import"/>
    <n v="-57.386199999999995"/>
    <n v="57.386199999999995"/>
    <x v="2"/>
    <s v="2230"/>
    <s v="000"/>
    <x v="10"/>
    <x v="2"/>
  </r>
  <r>
    <d v="2013-08-08T00:00:00"/>
    <s v="018-2100-000"/>
    <s v="Food Sales"/>
    <n v="4653.7396000000008"/>
    <n v="0"/>
    <s v="Daily Sales Import"/>
    <n v="-4653.7396000000008"/>
    <n v="4653.7396000000008"/>
    <x v="2"/>
    <s v="2100"/>
    <s v="000"/>
    <x v="10"/>
    <x v="2"/>
  </r>
  <r>
    <d v="2013-08-08T00:00:00"/>
    <s v="018-2210-000"/>
    <s v="Liquor Sales"/>
    <n v="790.96960000000001"/>
    <n v="0"/>
    <s v="Daily Sales Import"/>
    <n v="-790.96960000000001"/>
    <n v="790.96960000000001"/>
    <x v="2"/>
    <s v="2210"/>
    <s v="000"/>
    <x v="10"/>
    <x v="2"/>
  </r>
  <r>
    <d v="2013-08-08T00:00:00"/>
    <s v="018-2220-000"/>
    <s v="Beer Sales"/>
    <n v="360.78899999999999"/>
    <n v="0"/>
    <s v="Daily Sales Import"/>
    <n v="-360.78899999999999"/>
    <n v="360.78899999999999"/>
    <x v="2"/>
    <s v="2220"/>
    <s v="000"/>
    <x v="10"/>
    <x v="2"/>
  </r>
  <r>
    <d v="2013-08-08T00:00:00"/>
    <s v="018-2230-000"/>
    <s v="Wine Sales"/>
    <n v="19.558000000000003"/>
    <n v="0"/>
    <s v="Daily Sales Import"/>
    <n v="-19.558000000000003"/>
    <n v="19.558000000000003"/>
    <x v="2"/>
    <s v="2230"/>
    <s v="000"/>
    <x v="10"/>
    <x v="2"/>
  </r>
  <r>
    <d v="2013-08-09T00:00:00"/>
    <s v="018-2100-000"/>
    <s v="Food Sales"/>
    <n v="11980.130799999999"/>
    <n v="0"/>
    <s v="Daily Sales Import"/>
    <n v="-11980.130799999999"/>
    <n v="11980.130799999999"/>
    <x v="2"/>
    <s v="2100"/>
    <s v="000"/>
    <x v="10"/>
    <x v="2"/>
  </r>
  <r>
    <d v="2013-08-09T00:00:00"/>
    <s v="018-2210-000"/>
    <s v="Liquor Sales"/>
    <n v="2043.6135999999999"/>
    <n v="0"/>
    <s v="Daily Sales Import"/>
    <n v="-2043.6135999999999"/>
    <n v="2043.6135999999999"/>
    <x v="2"/>
    <s v="2210"/>
    <s v="000"/>
    <x v="10"/>
    <x v="2"/>
  </r>
  <r>
    <d v="2013-08-09T00:00:00"/>
    <s v="018-2220-000"/>
    <s v="Beer Sales"/>
    <n v="399.27069999999998"/>
    <n v="0"/>
    <s v="Daily Sales Import"/>
    <n v="-399.27069999999998"/>
    <n v="399.27069999999998"/>
    <x v="2"/>
    <s v="2220"/>
    <s v="000"/>
    <x v="10"/>
    <x v="2"/>
  </r>
  <r>
    <d v="2013-08-09T00:00:00"/>
    <s v="018-2230-000"/>
    <s v="Wine Sales"/>
    <n v="58.571000000000005"/>
    <n v="0"/>
    <s v="Daily Sales Import"/>
    <n v="-58.571000000000005"/>
    <n v="58.571000000000005"/>
    <x v="2"/>
    <s v="2230"/>
    <s v="000"/>
    <x v="10"/>
    <x v="2"/>
  </r>
  <r>
    <d v="2013-08-10T00:00:00"/>
    <s v="018-2100-000"/>
    <s v="Food Sales"/>
    <n v="9852.8924999999999"/>
    <n v="0"/>
    <s v="Daily Sales Import"/>
    <n v="-9852.8924999999999"/>
    <n v="9852.8924999999999"/>
    <x v="2"/>
    <s v="2100"/>
    <s v="000"/>
    <x v="10"/>
    <x v="2"/>
  </r>
  <r>
    <d v="2013-08-10T00:00:00"/>
    <s v="018-2210-000"/>
    <s v="Liquor Sales"/>
    <n v="3422.1440000000002"/>
    <n v="0"/>
    <s v="Daily Sales Import"/>
    <n v="-3422.1440000000002"/>
    <n v="3422.1440000000002"/>
    <x v="2"/>
    <s v="2210"/>
    <s v="000"/>
    <x v="10"/>
    <x v="2"/>
  </r>
  <r>
    <d v="2013-08-10T00:00:00"/>
    <s v="018-2220-000"/>
    <s v="Beer Sales"/>
    <n v="941.31700000000001"/>
    <n v="0"/>
    <s v="Daily Sales Import"/>
    <n v="-941.31700000000001"/>
    <n v="941.31700000000001"/>
    <x v="2"/>
    <s v="2220"/>
    <s v="000"/>
    <x v="10"/>
    <x v="2"/>
  </r>
  <r>
    <d v="2013-08-10T00:00:00"/>
    <s v="018-2230-000"/>
    <s v="Wine Sales"/>
    <n v="142.88939999999999"/>
    <n v="0"/>
    <s v="Daily Sales Import"/>
    <n v="-142.88939999999999"/>
    <n v="142.88939999999999"/>
    <x v="2"/>
    <s v="2230"/>
    <s v="000"/>
    <x v="10"/>
    <x v="2"/>
  </r>
  <r>
    <d v="2013-08-11T00:00:00"/>
    <s v="018-2100-000"/>
    <s v="Food Sales"/>
    <n v="7999.0353999999998"/>
    <n v="0"/>
    <s v="Daily Sales Import"/>
    <n v="-7999.0353999999998"/>
    <n v="7999.0353999999998"/>
    <x v="2"/>
    <s v="2100"/>
    <s v="000"/>
    <x v="10"/>
    <x v="2"/>
  </r>
  <r>
    <d v="2013-08-11T00:00:00"/>
    <s v="018-2210-000"/>
    <s v="Liquor Sales"/>
    <n v="1681.8419999999999"/>
    <n v="0"/>
    <s v="Daily Sales Import"/>
    <n v="-1681.8419999999999"/>
    <n v="1681.8419999999999"/>
    <x v="2"/>
    <s v="2210"/>
    <s v="000"/>
    <x v="10"/>
    <x v="2"/>
  </r>
  <r>
    <d v="2013-08-11T00:00:00"/>
    <s v="018-2220-000"/>
    <s v="Beer Sales"/>
    <n v="318.2876"/>
    <n v="0"/>
    <s v="Daily Sales Import"/>
    <n v="-318.2876"/>
    <n v="318.2876"/>
    <x v="2"/>
    <s v="2220"/>
    <s v="000"/>
    <x v="10"/>
    <x v="2"/>
  </r>
  <r>
    <d v="2013-08-11T00:00:00"/>
    <s v="018-2230-000"/>
    <s v="Wine Sales"/>
    <n v="112.09949999999999"/>
    <n v="0"/>
    <s v="Daily Sales Import"/>
    <n v="-112.09949999999999"/>
    <n v="112.09949999999999"/>
    <x v="2"/>
    <s v="2230"/>
    <s v="000"/>
    <x v="10"/>
    <x v="2"/>
  </r>
  <r>
    <d v="2013-08-05T00:00:00"/>
    <s v="019-2100-000"/>
    <s v="Food Sales"/>
    <n v="3808.6204999999995"/>
    <n v="0"/>
    <s v="Daily Sales Import"/>
    <n v="-3808.6204999999995"/>
    <n v="3808.6204999999995"/>
    <x v="3"/>
    <s v="2100"/>
    <s v="000"/>
    <x v="10"/>
    <x v="2"/>
  </r>
  <r>
    <d v="2013-08-05T00:00:00"/>
    <s v="019-2210-000"/>
    <s v="Liquor Sales"/>
    <n v="435.15079999999995"/>
    <n v="0"/>
    <s v="Daily Sales Import"/>
    <n v="-435.15079999999995"/>
    <n v="435.15079999999995"/>
    <x v="3"/>
    <s v="2210"/>
    <s v="000"/>
    <x v="10"/>
    <x v="2"/>
  </r>
  <r>
    <d v="2013-08-05T00:00:00"/>
    <s v="019-2220-000"/>
    <s v="Beer Sales"/>
    <n v="365.03959999999995"/>
    <n v="0"/>
    <s v="Daily Sales Import"/>
    <n v="-365.03959999999995"/>
    <n v="365.03959999999995"/>
    <x v="3"/>
    <s v="2220"/>
    <s v="000"/>
    <x v="10"/>
    <x v="2"/>
  </r>
  <r>
    <d v="2013-08-05T00:00:00"/>
    <s v="019-2230-000"/>
    <s v="Wine Sales"/>
    <n v="10.323799999999999"/>
    <n v="0"/>
    <s v="Daily Sales Import"/>
    <n v="-10.323799999999999"/>
    <n v="10.323799999999999"/>
    <x v="3"/>
    <s v="2230"/>
    <s v="000"/>
    <x v="10"/>
    <x v="2"/>
  </r>
  <r>
    <d v="2013-08-06T00:00:00"/>
    <s v="019-2100-000"/>
    <s v="Food Sales"/>
    <n v="5036.2920000000004"/>
    <n v="0"/>
    <s v="Daily Sales Import"/>
    <n v="-5036.2920000000004"/>
    <n v="5036.2920000000004"/>
    <x v="3"/>
    <s v="2100"/>
    <s v="000"/>
    <x v="10"/>
    <x v="2"/>
  </r>
  <r>
    <d v="2013-08-06T00:00:00"/>
    <s v="019-2210-000"/>
    <s v="Liquor Sales"/>
    <n v="2100.4979000000003"/>
    <n v="0"/>
    <s v="Daily Sales Import"/>
    <n v="-2100.4979000000003"/>
    <n v="2100.4979000000003"/>
    <x v="3"/>
    <s v="2210"/>
    <s v="000"/>
    <x v="10"/>
    <x v="2"/>
  </r>
  <r>
    <d v="2013-08-06T00:00:00"/>
    <s v="019-2220-000"/>
    <s v="Beer Sales"/>
    <n v="442.13929999999999"/>
    <n v="0"/>
    <s v="Daily Sales Import"/>
    <n v="-442.13929999999999"/>
    <n v="442.13929999999999"/>
    <x v="3"/>
    <s v="2220"/>
    <s v="000"/>
    <x v="10"/>
    <x v="2"/>
  </r>
  <r>
    <d v="2013-08-06T00:00:00"/>
    <s v="019-2230-000"/>
    <s v="Wine Sales"/>
    <n v="60.6"/>
    <n v="0"/>
    <s v="Daily Sales Import"/>
    <n v="-60.6"/>
    <n v="60.6"/>
    <x v="3"/>
    <s v="2230"/>
    <s v="000"/>
    <x v="10"/>
    <x v="2"/>
  </r>
  <r>
    <d v="2013-08-07T00:00:00"/>
    <s v="019-2100-000"/>
    <s v="Food Sales"/>
    <n v="5789.1995999999999"/>
    <n v="0"/>
    <s v="Daily Sales Import"/>
    <n v="-5789.1995999999999"/>
    <n v="5789.1995999999999"/>
    <x v="3"/>
    <s v="2100"/>
    <s v="000"/>
    <x v="10"/>
    <x v="2"/>
  </r>
  <r>
    <d v="2013-08-07T00:00:00"/>
    <s v="019-2210-000"/>
    <s v="Liquor Sales"/>
    <n v="1512.6197999999999"/>
    <n v="0"/>
    <s v="Daily Sales Import"/>
    <n v="-1512.6197999999999"/>
    <n v="1512.6197999999999"/>
    <x v="3"/>
    <s v="2210"/>
    <s v="000"/>
    <x v="10"/>
    <x v="2"/>
  </r>
  <r>
    <d v="2013-08-07T00:00:00"/>
    <s v="019-2220-000"/>
    <s v="Beer Sales"/>
    <n v="273.74080000000004"/>
    <n v="0"/>
    <s v="Daily Sales Import"/>
    <n v="-273.74080000000004"/>
    <n v="273.74080000000004"/>
    <x v="3"/>
    <s v="2220"/>
    <s v="000"/>
    <x v="10"/>
    <x v="2"/>
  </r>
  <r>
    <d v="2013-08-07T00:00:00"/>
    <s v="019-2230-000"/>
    <s v="Wine Sales"/>
    <n v="68.741400000000013"/>
    <n v="0"/>
    <s v="Daily Sales Import"/>
    <n v="-68.741400000000013"/>
    <n v="68.741400000000013"/>
    <x v="3"/>
    <s v="2230"/>
    <s v="000"/>
    <x v="10"/>
    <x v="2"/>
  </r>
  <r>
    <d v="2013-08-08T00:00:00"/>
    <s v="019-2100-000"/>
    <s v="Food Sales"/>
    <n v="5165.3779999999997"/>
    <n v="0"/>
    <s v="Daily Sales Import"/>
    <n v="-5165.3779999999997"/>
    <n v="5165.3779999999997"/>
    <x v="3"/>
    <s v="2100"/>
    <s v="000"/>
    <x v="10"/>
    <x v="2"/>
  </r>
  <r>
    <d v="2013-08-08T00:00:00"/>
    <s v="019-2210-000"/>
    <s v="Liquor Sales"/>
    <n v="1039.6094000000001"/>
    <n v="0"/>
    <s v="Daily Sales Import"/>
    <n v="-1039.6094000000001"/>
    <n v="1039.6094000000001"/>
    <x v="3"/>
    <s v="2210"/>
    <s v="000"/>
    <x v="10"/>
    <x v="2"/>
  </r>
  <r>
    <d v="2013-08-08T00:00:00"/>
    <s v="019-2220-000"/>
    <s v="Beer Sales"/>
    <n v="299.88819999999998"/>
    <n v="0"/>
    <s v="Daily Sales Import"/>
    <n v="-299.88819999999998"/>
    <n v="299.88819999999998"/>
    <x v="3"/>
    <s v="2220"/>
    <s v="000"/>
    <x v="10"/>
    <x v="2"/>
  </r>
  <r>
    <d v="2013-08-08T00:00:00"/>
    <s v="019-2230-000"/>
    <s v="Wine Sales"/>
    <n v="67.086000000000013"/>
    <n v="0"/>
    <s v="Daily Sales Import"/>
    <n v="-67.086000000000013"/>
    <n v="67.086000000000013"/>
    <x v="3"/>
    <s v="2230"/>
    <s v="000"/>
    <x v="10"/>
    <x v="2"/>
  </r>
  <r>
    <d v="2013-08-09T00:00:00"/>
    <s v="019-2100-000"/>
    <s v="Food Sales"/>
    <n v="6813.6485999999995"/>
    <n v="0"/>
    <s v="Daily Sales Import"/>
    <n v="-6813.6485999999995"/>
    <n v="6813.6485999999995"/>
    <x v="3"/>
    <s v="2100"/>
    <s v="000"/>
    <x v="10"/>
    <x v="2"/>
  </r>
  <r>
    <d v="2013-08-09T00:00:00"/>
    <s v="019-2210-000"/>
    <s v="Liquor Sales"/>
    <n v="1710.5072999999998"/>
    <n v="0"/>
    <s v="Daily Sales Import"/>
    <n v="-1710.5072999999998"/>
    <n v="1710.5072999999998"/>
    <x v="3"/>
    <s v="2210"/>
    <s v="000"/>
    <x v="10"/>
    <x v="2"/>
  </r>
  <r>
    <d v="2013-08-09T00:00:00"/>
    <s v="019-2220-000"/>
    <s v="Beer Sales"/>
    <n v="490.03500000000003"/>
    <n v="0"/>
    <s v="Daily Sales Import"/>
    <n v="-490.03500000000003"/>
    <n v="490.03500000000003"/>
    <x v="3"/>
    <s v="2220"/>
    <s v="000"/>
    <x v="10"/>
    <x v="2"/>
  </r>
  <r>
    <d v="2013-08-09T00:00:00"/>
    <s v="019-2230-000"/>
    <s v="Wine Sales"/>
    <n v="71.394400000000005"/>
    <n v="0"/>
    <s v="Daily Sales Import"/>
    <n v="-71.394400000000005"/>
    <n v="71.394400000000005"/>
    <x v="3"/>
    <s v="2230"/>
    <s v="000"/>
    <x v="10"/>
    <x v="2"/>
  </r>
  <r>
    <d v="2013-08-10T00:00:00"/>
    <s v="019-2100-000"/>
    <s v="Food Sales"/>
    <n v="6398.8391999999994"/>
    <n v="0"/>
    <s v="Daily Sales Import"/>
    <n v="-6398.8391999999994"/>
    <n v="6398.8391999999994"/>
    <x v="3"/>
    <s v="2100"/>
    <s v="000"/>
    <x v="10"/>
    <x v="2"/>
  </r>
  <r>
    <d v="2013-08-10T00:00:00"/>
    <s v="019-2210-000"/>
    <s v="Liquor Sales"/>
    <n v="2707.1968000000002"/>
    <n v="0"/>
    <s v="Daily Sales Import"/>
    <n v="-2707.1968000000002"/>
    <n v="2707.1968000000002"/>
    <x v="3"/>
    <s v="2210"/>
    <s v="000"/>
    <x v="10"/>
    <x v="2"/>
  </r>
  <r>
    <d v="2013-08-10T00:00:00"/>
    <s v="019-2220-000"/>
    <s v="Beer Sales"/>
    <n v="484.48500000000001"/>
    <n v="0"/>
    <s v="Daily Sales Import"/>
    <n v="-484.48500000000001"/>
    <n v="484.48500000000001"/>
    <x v="3"/>
    <s v="2220"/>
    <s v="000"/>
    <x v="10"/>
    <x v="2"/>
  </r>
  <r>
    <d v="2013-08-10T00:00:00"/>
    <s v="019-2230-000"/>
    <s v="Wine Sales"/>
    <n v="64.415999999999997"/>
    <n v="0"/>
    <s v="Daily Sales Import"/>
    <n v="-64.415999999999997"/>
    <n v="64.415999999999997"/>
    <x v="3"/>
    <s v="2230"/>
    <s v="000"/>
    <x v="10"/>
    <x v="2"/>
  </r>
  <r>
    <d v="2013-08-11T00:00:00"/>
    <s v="019-2100-000"/>
    <s v="Food Sales"/>
    <n v="3897.6937999999996"/>
    <n v="0"/>
    <s v="Daily Sales Import"/>
    <n v="-3897.6937999999996"/>
    <n v="3897.6937999999996"/>
    <x v="3"/>
    <s v="2100"/>
    <s v="000"/>
    <x v="10"/>
    <x v="2"/>
  </r>
  <r>
    <d v="2013-08-11T00:00:00"/>
    <s v="019-2210-000"/>
    <s v="Liquor Sales"/>
    <n v="954.85109999999997"/>
    <n v="0"/>
    <s v="Daily Sales Import"/>
    <n v="-954.85109999999997"/>
    <n v="954.85109999999997"/>
    <x v="3"/>
    <s v="2210"/>
    <s v="000"/>
    <x v="10"/>
    <x v="2"/>
  </r>
  <r>
    <d v="2013-08-11T00:00:00"/>
    <s v="019-2220-000"/>
    <s v="Beer Sales"/>
    <n v="120.74720000000002"/>
    <n v="0"/>
    <s v="Daily Sales Import"/>
    <n v="-120.74720000000002"/>
    <n v="120.74720000000002"/>
    <x v="3"/>
    <s v="2220"/>
    <s v="000"/>
    <x v="10"/>
    <x v="2"/>
  </r>
  <r>
    <d v="2013-08-11T00:00:00"/>
    <s v="019-2230-000"/>
    <s v="Wine Sales"/>
    <n v="64.585999999999999"/>
    <n v="0"/>
    <s v="Daily Sales Import"/>
    <n v="-64.585999999999999"/>
    <n v="64.585999999999999"/>
    <x v="3"/>
    <s v="2230"/>
    <s v="000"/>
    <x v="10"/>
    <x v="2"/>
  </r>
  <r>
    <d v="2013-08-12T00:00:00"/>
    <s v="016-2100-000"/>
    <s v="Food Sales"/>
    <n v="3849.4879999999998"/>
    <n v="0"/>
    <s v="Daily Sales Import"/>
    <n v="-3849.4879999999998"/>
    <n v="3849.4879999999998"/>
    <x v="0"/>
    <s v="2100"/>
    <s v="000"/>
    <x v="10"/>
    <x v="2"/>
  </r>
  <r>
    <d v="2013-08-12T00:00:00"/>
    <s v="016-2210-000"/>
    <s v="Liquor Sales"/>
    <n v="455.88990000000001"/>
    <n v="0"/>
    <s v="Daily Sales Import"/>
    <n v="-455.88990000000001"/>
    <n v="455.88990000000001"/>
    <x v="0"/>
    <s v="2210"/>
    <s v="000"/>
    <x v="10"/>
    <x v="2"/>
  </r>
  <r>
    <d v="2013-08-12T00:00:00"/>
    <s v="016-2220-000"/>
    <s v="Beer Sales"/>
    <n v="148.6148"/>
    <n v="0"/>
    <s v="Daily Sales Import"/>
    <n v="-148.6148"/>
    <n v="148.6148"/>
    <x v="0"/>
    <s v="2220"/>
    <s v="000"/>
    <x v="10"/>
    <x v="2"/>
  </r>
  <r>
    <d v="2013-08-12T00:00:00"/>
    <s v="016-2230-000"/>
    <s v="Wine Sales"/>
    <n v="52.959200000000003"/>
    <n v="0"/>
    <s v="Daily Sales Import"/>
    <n v="-52.959200000000003"/>
    <n v="52.959200000000003"/>
    <x v="0"/>
    <s v="2230"/>
    <s v="000"/>
    <x v="10"/>
    <x v="2"/>
  </r>
  <r>
    <d v="2013-08-13T00:00:00"/>
    <s v="016-2100-000"/>
    <s v="Food Sales"/>
    <n v="6703.5407999999998"/>
    <n v="0"/>
    <s v="Daily Sales Import"/>
    <n v="-6703.5407999999998"/>
    <n v="6703.5407999999998"/>
    <x v="0"/>
    <s v="2100"/>
    <s v="000"/>
    <x v="10"/>
    <x v="2"/>
  </r>
  <r>
    <d v="2013-08-13T00:00:00"/>
    <s v="016-2210-000"/>
    <s v="Liquor Sales"/>
    <n v="2441.5484999999999"/>
    <n v="0"/>
    <s v="Daily Sales Import"/>
    <n v="-2441.5484999999999"/>
    <n v="2441.5484999999999"/>
    <x v="0"/>
    <s v="2210"/>
    <s v="000"/>
    <x v="10"/>
    <x v="2"/>
  </r>
  <r>
    <d v="2013-08-13T00:00:00"/>
    <s v="016-2220-000"/>
    <s v="Beer Sales"/>
    <n v="806.08920000000001"/>
    <n v="0"/>
    <s v="Daily Sales Import"/>
    <n v="-806.08920000000001"/>
    <n v="806.08920000000001"/>
    <x v="0"/>
    <s v="2220"/>
    <s v="000"/>
    <x v="10"/>
    <x v="2"/>
  </r>
  <r>
    <d v="2013-08-13T00:00:00"/>
    <s v="016-2230-000"/>
    <s v="Wine Sales"/>
    <n v="211.93199999999999"/>
    <n v="0"/>
    <s v="Daily Sales Import"/>
    <n v="-211.93199999999999"/>
    <n v="211.93199999999999"/>
    <x v="0"/>
    <s v="2230"/>
    <s v="000"/>
    <x v="10"/>
    <x v="2"/>
  </r>
  <r>
    <d v="2013-08-14T00:00:00"/>
    <s v="016-2100-000"/>
    <s v="Food Sales"/>
    <n v="2778.1949999999997"/>
    <n v="0"/>
    <s v="Daily Sales Import"/>
    <n v="-2778.1949999999997"/>
    <n v="2778.1949999999997"/>
    <x v="0"/>
    <s v="2100"/>
    <s v="000"/>
    <x v="10"/>
    <x v="2"/>
  </r>
  <r>
    <d v="2013-08-14T00:00:00"/>
    <s v="016-2210-000"/>
    <s v="Liquor Sales"/>
    <n v="869.31709999999987"/>
    <n v="0"/>
    <s v="Daily Sales Import"/>
    <n v="-869.31709999999987"/>
    <n v="869.31709999999987"/>
    <x v="0"/>
    <s v="2210"/>
    <s v="000"/>
    <x v="10"/>
    <x v="2"/>
  </r>
  <r>
    <d v="2013-08-14T00:00:00"/>
    <s v="016-2220-000"/>
    <s v="Beer Sales"/>
    <n v="113.1456"/>
    <n v="0"/>
    <s v="Daily Sales Import"/>
    <n v="-113.1456"/>
    <n v="113.1456"/>
    <x v="0"/>
    <s v="2220"/>
    <s v="000"/>
    <x v="10"/>
    <x v="2"/>
  </r>
  <r>
    <d v="2013-08-14T00:00:00"/>
    <s v="016-2230-000"/>
    <s v="Wine Sales"/>
    <n v="18.965399999999999"/>
    <n v="0"/>
    <s v="Daily Sales Import"/>
    <n v="-18.965399999999999"/>
    <n v="18.965399999999999"/>
    <x v="0"/>
    <s v="2230"/>
    <s v="000"/>
    <x v="10"/>
    <x v="2"/>
  </r>
  <r>
    <d v="2013-08-15T00:00:00"/>
    <s v="016-2100-000"/>
    <s v="Food Sales"/>
    <n v="3760.5156000000002"/>
    <n v="0"/>
    <s v="Daily Sales Import"/>
    <n v="-3760.5156000000002"/>
    <n v="3760.5156000000002"/>
    <x v="0"/>
    <s v="2100"/>
    <s v="000"/>
    <x v="10"/>
    <x v="2"/>
  </r>
  <r>
    <d v="2013-08-15T00:00:00"/>
    <s v="016-2210-000"/>
    <s v="Liquor Sales"/>
    <n v="938.17019999999991"/>
    <n v="0"/>
    <s v="Daily Sales Import"/>
    <n v="-938.17019999999991"/>
    <n v="938.17019999999991"/>
    <x v="0"/>
    <s v="2210"/>
    <s v="000"/>
    <x v="10"/>
    <x v="2"/>
  </r>
  <r>
    <d v="2013-08-15T00:00:00"/>
    <s v="016-2220-000"/>
    <s v="Beer Sales"/>
    <n v="174.01799999999997"/>
    <n v="0"/>
    <s v="Daily Sales Import"/>
    <n v="-174.01799999999997"/>
    <n v="174.01799999999997"/>
    <x v="0"/>
    <s v="2220"/>
    <s v="000"/>
    <x v="10"/>
    <x v="2"/>
  </r>
  <r>
    <d v="2013-08-15T00:00:00"/>
    <s v="016-2230-000"/>
    <s v="Wine Sales"/>
    <n v="75.471900000000005"/>
    <n v="0"/>
    <s v="Daily Sales Import"/>
    <n v="-75.471900000000005"/>
    <n v="75.471900000000005"/>
    <x v="0"/>
    <s v="2230"/>
    <s v="000"/>
    <x v="10"/>
    <x v="2"/>
  </r>
  <r>
    <d v="2013-08-16T00:00:00"/>
    <s v="016-2100-000"/>
    <s v="Food Sales"/>
    <n v="3819.6480000000006"/>
    <n v="0"/>
    <s v="Daily Sales Import"/>
    <n v="-3819.6480000000006"/>
    <n v="3819.6480000000006"/>
    <x v="0"/>
    <s v="2100"/>
    <s v="000"/>
    <x v="10"/>
    <x v="2"/>
  </r>
  <r>
    <d v="2013-08-16T00:00:00"/>
    <s v="016-2210-000"/>
    <s v="Liquor Sales"/>
    <n v="1258.2008999999998"/>
    <n v="0"/>
    <s v="Daily Sales Import"/>
    <n v="-1258.2008999999998"/>
    <n v="1258.2008999999998"/>
    <x v="0"/>
    <s v="2210"/>
    <s v="000"/>
    <x v="10"/>
    <x v="2"/>
  </r>
  <r>
    <d v="2013-08-16T00:00:00"/>
    <s v="016-2220-000"/>
    <s v="Beer Sales"/>
    <n v="258.74869999999999"/>
    <n v="0"/>
    <s v="Daily Sales Import"/>
    <n v="-258.74869999999999"/>
    <n v="258.74869999999999"/>
    <x v="0"/>
    <s v="2220"/>
    <s v="000"/>
    <x v="10"/>
    <x v="2"/>
  </r>
  <r>
    <d v="2013-08-16T00:00:00"/>
    <s v="016-2230-000"/>
    <s v="Wine Sales"/>
    <n v="72.744000000000014"/>
    <n v="0"/>
    <s v="Daily Sales Import"/>
    <n v="-72.744000000000014"/>
    <n v="72.744000000000014"/>
    <x v="0"/>
    <s v="2230"/>
    <s v="000"/>
    <x v="10"/>
    <x v="2"/>
  </r>
  <r>
    <d v="2013-08-17T00:00:00"/>
    <s v="016-2100-000"/>
    <s v="Food Sales"/>
    <n v="8295.448699999999"/>
    <n v="0"/>
    <s v="Daily Sales Import"/>
    <n v="-8295.448699999999"/>
    <n v="8295.448699999999"/>
    <x v="0"/>
    <s v="2100"/>
    <s v="000"/>
    <x v="10"/>
    <x v="2"/>
  </r>
  <r>
    <d v="2013-08-17T00:00:00"/>
    <s v="016-2210-000"/>
    <s v="Liquor Sales"/>
    <n v="2568.3216000000002"/>
    <n v="0"/>
    <s v="Daily Sales Import"/>
    <n v="-2568.3216000000002"/>
    <n v="2568.3216000000002"/>
    <x v="0"/>
    <s v="2210"/>
    <s v="000"/>
    <x v="10"/>
    <x v="2"/>
  </r>
  <r>
    <d v="2013-08-17T00:00:00"/>
    <s v="016-2220-000"/>
    <s v="Beer Sales"/>
    <n v="421.00440000000003"/>
    <n v="0"/>
    <s v="Daily Sales Import"/>
    <n v="-421.00440000000003"/>
    <n v="421.00440000000003"/>
    <x v="0"/>
    <s v="2220"/>
    <s v="000"/>
    <x v="10"/>
    <x v="2"/>
  </r>
  <r>
    <d v="2013-08-17T00:00:00"/>
    <s v="016-2230-000"/>
    <s v="Wine Sales"/>
    <n v="63.128"/>
    <n v="0"/>
    <s v="Daily Sales Import"/>
    <n v="-63.128"/>
    <n v="63.128"/>
    <x v="0"/>
    <s v="2230"/>
    <s v="000"/>
    <x v="10"/>
    <x v="2"/>
  </r>
  <r>
    <d v="2013-08-18T00:00:00"/>
    <s v="016-2100-000"/>
    <s v="Food Sales"/>
    <n v="5188.5743999999995"/>
    <n v="0"/>
    <s v="Daily Sales Import"/>
    <n v="-5188.5743999999995"/>
    <n v="5188.5743999999995"/>
    <x v="0"/>
    <s v="2100"/>
    <s v="000"/>
    <x v="10"/>
    <x v="2"/>
  </r>
  <r>
    <d v="2013-08-18T00:00:00"/>
    <s v="016-2210-000"/>
    <s v="Liquor Sales"/>
    <n v="696.30000000000007"/>
    <n v="0"/>
    <s v="Daily Sales Import"/>
    <n v="-696.30000000000007"/>
    <n v="696.30000000000007"/>
    <x v="0"/>
    <s v="2210"/>
    <s v="000"/>
    <x v="10"/>
    <x v="2"/>
  </r>
  <r>
    <d v="2013-08-18T00:00:00"/>
    <s v="016-2220-000"/>
    <s v="Beer Sales"/>
    <n v="165.2236"/>
    <n v="0"/>
    <s v="Daily Sales Import"/>
    <n v="-165.2236"/>
    <n v="165.2236"/>
    <x v="0"/>
    <s v="2220"/>
    <s v="000"/>
    <x v="10"/>
    <x v="2"/>
  </r>
  <r>
    <d v="2013-08-18T00:00:00"/>
    <s v="016-2230-000"/>
    <s v="Wine Sales"/>
    <n v="105.8032"/>
    <n v="0"/>
    <s v="Daily Sales Import"/>
    <n v="-105.8032"/>
    <n v="105.8032"/>
    <x v="0"/>
    <s v="2230"/>
    <s v="000"/>
    <x v="10"/>
    <x v="2"/>
  </r>
  <r>
    <d v="2013-08-12T00:00:00"/>
    <s v="017-2100-000"/>
    <s v="Food Sales"/>
    <n v="5100.1523999999999"/>
    <n v="0"/>
    <s v="Daily Sales Import"/>
    <n v="-5100.1523999999999"/>
    <n v="5100.1523999999999"/>
    <x v="1"/>
    <s v="2100"/>
    <s v="000"/>
    <x v="10"/>
    <x v="2"/>
  </r>
  <r>
    <d v="2013-08-12T00:00:00"/>
    <s v="017-2210-000"/>
    <s v="Liquor Sales"/>
    <n v="648.72280000000001"/>
    <n v="0"/>
    <s v="Daily Sales Import"/>
    <n v="-648.72280000000001"/>
    <n v="648.72280000000001"/>
    <x v="1"/>
    <s v="2210"/>
    <s v="000"/>
    <x v="10"/>
    <x v="2"/>
  </r>
  <r>
    <d v="2013-08-12T00:00:00"/>
    <s v="017-2220-000"/>
    <s v="Beer Sales"/>
    <n v="214.39870000000002"/>
    <n v="0"/>
    <s v="Daily Sales Import"/>
    <n v="-214.39870000000002"/>
    <n v="214.39870000000002"/>
    <x v="1"/>
    <s v="2220"/>
    <s v="000"/>
    <x v="10"/>
    <x v="2"/>
  </r>
  <r>
    <d v="2013-08-12T00:00:00"/>
    <s v="017-2230-000"/>
    <s v="Wine Sales"/>
    <n v="108.4725"/>
    <n v="0"/>
    <s v="Daily Sales Import"/>
    <n v="-108.4725"/>
    <n v="108.4725"/>
    <x v="1"/>
    <s v="2230"/>
    <s v="000"/>
    <x v="10"/>
    <x v="2"/>
  </r>
  <r>
    <d v="2013-08-13T00:00:00"/>
    <s v="017-2100-000"/>
    <s v="Food Sales"/>
    <n v="5615.296800000001"/>
    <n v="0"/>
    <s v="Daily Sales Import"/>
    <n v="-5615.296800000001"/>
    <n v="5615.296800000001"/>
    <x v="1"/>
    <s v="2100"/>
    <s v="000"/>
    <x v="10"/>
    <x v="2"/>
  </r>
  <r>
    <d v="2013-08-13T00:00:00"/>
    <s v="017-2210-000"/>
    <s v="Liquor Sales"/>
    <n v="1944.2880000000002"/>
    <n v="0"/>
    <s v="Daily Sales Import"/>
    <n v="-1944.2880000000002"/>
    <n v="1944.2880000000002"/>
    <x v="1"/>
    <s v="2210"/>
    <s v="000"/>
    <x v="10"/>
    <x v="2"/>
  </r>
  <r>
    <d v="2013-08-13T00:00:00"/>
    <s v="017-2220-000"/>
    <s v="Beer Sales"/>
    <n v="751.98199999999986"/>
    <n v="0"/>
    <s v="Daily Sales Import"/>
    <n v="-751.98199999999986"/>
    <n v="751.98199999999986"/>
    <x v="1"/>
    <s v="2220"/>
    <s v="000"/>
    <x v="10"/>
    <x v="2"/>
  </r>
  <r>
    <d v="2013-08-13T00:00:00"/>
    <s v="017-2230-000"/>
    <s v="Wine Sales"/>
    <n v="158.05600000000001"/>
    <n v="0"/>
    <s v="Daily Sales Import"/>
    <n v="-158.05600000000001"/>
    <n v="158.05600000000001"/>
    <x v="1"/>
    <s v="2230"/>
    <s v="000"/>
    <x v="10"/>
    <x v="2"/>
  </r>
  <r>
    <d v="2013-08-14T00:00:00"/>
    <s v="017-2100-000"/>
    <s v="Food Sales"/>
    <n v="6784.6720000000005"/>
    <n v="0"/>
    <s v="Daily Sales Import"/>
    <n v="-6784.6720000000005"/>
    <n v="6784.6720000000005"/>
    <x v="1"/>
    <s v="2100"/>
    <s v="000"/>
    <x v="10"/>
    <x v="2"/>
  </r>
  <r>
    <d v="2013-08-14T00:00:00"/>
    <s v="017-2210-000"/>
    <s v="Liquor Sales"/>
    <n v="1641.2808"/>
    <n v="0"/>
    <s v="Daily Sales Import"/>
    <n v="-1641.2808"/>
    <n v="1641.2808"/>
    <x v="1"/>
    <s v="2210"/>
    <s v="000"/>
    <x v="10"/>
    <x v="2"/>
  </r>
  <r>
    <d v="2013-08-14T00:00:00"/>
    <s v="017-2220-000"/>
    <s v="Beer Sales"/>
    <n v="422.01000000000005"/>
    <n v="0"/>
    <s v="Daily Sales Import"/>
    <n v="-422.01000000000005"/>
    <n v="422.01000000000005"/>
    <x v="1"/>
    <s v="2220"/>
    <s v="000"/>
    <x v="10"/>
    <x v="2"/>
  </r>
  <r>
    <d v="2013-08-14T00:00:00"/>
    <s v="017-2230-000"/>
    <s v="Wine Sales"/>
    <n v="61.559999999999995"/>
    <n v="0"/>
    <s v="Daily Sales Import"/>
    <n v="-61.559999999999995"/>
    <n v="61.559999999999995"/>
    <x v="1"/>
    <s v="2230"/>
    <s v="000"/>
    <x v="10"/>
    <x v="2"/>
  </r>
  <r>
    <d v="2013-08-15T00:00:00"/>
    <s v="017-2100-000"/>
    <s v="Food Sales"/>
    <n v="8248.0863999999983"/>
    <n v="0"/>
    <s v="Daily Sales Import"/>
    <n v="-8248.0863999999983"/>
    <n v="8248.0863999999983"/>
    <x v="1"/>
    <s v="2100"/>
    <s v="000"/>
    <x v="10"/>
    <x v="2"/>
  </r>
  <r>
    <d v="2013-08-15T00:00:00"/>
    <s v="017-2210-000"/>
    <s v="Liquor Sales"/>
    <n v="3105.5563000000002"/>
    <n v="0"/>
    <s v="Daily Sales Import"/>
    <n v="-3105.5563000000002"/>
    <n v="3105.5563000000002"/>
    <x v="1"/>
    <s v="2210"/>
    <s v="000"/>
    <x v="10"/>
    <x v="2"/>
  </r>
  <r>
    <d v="2013-08-15T00:00:00"/>
    <s v="017-2220-000"/>
    <s v="Beer Sales"/>
    <n v="541.99159999999995"/>
    <n v="0"/>
    <s v="Daily Sales Import"/>
    <n v="-541.99159999999995"/>
    <n v="541.99159999999995"/>
    <x v="1"/>
    <s v="2220"/>
    <s v="000"/>
    <x v="10"/>
    <x v="2"/>
  </r>
  <r>
    <d v="2013-08-15T00:00:00"/>
    <s v="017-2230-000"/>
    <s v="Wine Sales"/>
    <n v="160.70140000000001"/>
    <n v="0"/>
    <s v="Daily Sales Import"/>
    <n v="-160.70140000000001"/>
    <n v="160.70140000000001"/>
    <x v="1"/>
    <s v="2230"/>
    <s v="000"/>
    <x v="10"/>
    <x v="2"/>
  </r>
  <r>
    <d v="2013-08-16T00:00:00"/>
    <s v="017-2100-000"/>
    <s v="Food Sales"/>
    <n v="9269.8945999999996"/>
    <n v="0"/>
    <s v="Daily Sales Import"/>
    <n v="-9269.8945999999996"/>
    <n v="9269.8945999999996"/>
    <x v="1"/>
    <s v="2100"/>
    <s v="000"/>
    <x v="10"/>
    <x v="2"/>
  </r>
  <r>
    <d v="2013-08-16T00:00:00"/>
    <s v="017-2210-000"/>
    <s v="Liquor Sales"/>
    <n v="1837.8322999999998"/>
    <n v="0"/>
    <s v="Daily Sales Import"/>
    <n v="-1837.8322999999998"/>
    <n v="1837.8322999999998"/>
    <x v="1"/>
    <s v="2210"/>
    <s v="000"/>
    <x v="10"/>
    <x v="2"/>
  </r>
  <r>
    <d v="2013-08-16T00:00:00"/>
    <s v="017-2220-000"/>
    <s v="Beer Sales"/>
    <n v="557.40150000000006"/>
    <n v="0"/>
    <s v="Daily Sales Import"/>
    <n v="-557.40150000000006"/>
    <n v="557.40150000000006"/>
    <x v="1"/>
    <s v="2220"/>
    <s v="000"/>
    <x v="10"/>
    <x v="2"/>
  </r>
  <r>
    <d v="2013-08-16T00:00:00"/>
    <s v="017-2230-000"/>
    <s v="Wine Sales"/>
    <n v="95.192499999999995"/>
    <n v="0"/>
    <s v="Daily Sales Import"/>
    <n v="-95.192499999999995"/>
    <n v="95.192499999999995"/>
    <x v="1"/>
    <s v="2230"/>
    <s v="000"/>
    <x v="10"/>
    <x v="2"/>
  </r>
  <r>
    <d v="2013-08-17T00:00:00"/>
    <s v="017-2100-000"/>
    <s v="Food Sales"/>
    <n v="7345.0847999999996"/>
    <n v="0"/>
    <s v="Daily Sales Import"/>
    <n v="-7345.0847999999996"/>
    <n v="7345.0847999999996"/>
    <x v="1"/>
    <s v="2100"/>
    <s v="000"/>
    <x v="10"/>
    <x v="2"/>
  </r>
  <r>
    <d v="2013-08-17T00:00:00"/>
    <s v="017-2210-000"/>
    <s v="Liquor Sales"/>
    <n v="1631.1120000000001"/>
    <n v="0"/>
    <s v="Daily Sales Import"/>
    <n v="-1631.1120000000001"/>
    <n v="1631.1120000000001"/>
    <x v="1"/>
    <s v="2210"/>
    <s v="000"/>
    <x v="10"/>
    <x v="2"/>
  </r>
  <r>
    <d v="2013-08-17T00:00:00"/>
    <s v="017-2220-000"/>
    <s v="Beer Sales"/>
    <n v="385.24919999999997"/>
    <n v="0"/>
    <s v="Daily Sales Import"/>
    <n v="-385.24919999999997"/>
    <n v="385.24919999999997"/>
    <x v="1"/>
    <s v="2220"/>
    <s v="000"/>
    <x v="10"/>
    <x v="2"/>
  </r>
  <r>
    <d v="2013-08-17T00:00:00"/>
    <s v="017-2230-000"/>
    <s v="Wine Sales"/>
    <n v="167.12639999999999"/>
    <n v="0"/>
    <s v="Daily Sales Import"/>
    <n v="-167.12639999999999"/>
    <n v="167.12639999999999"/>
    <x v="1"/>
    <s v="2230"/>
    <s v="000"/>
    <x v="10"/>
    <x v="2"/>
  </r>
  <r>
    <d v="2013-08-18T00:00:00"/>
    <s v="017-2100-000"/>
    <s v="Food Sales"/>
    <n v="5945.4213000000009"/>
    <n v="0"/>
    <s v="Daily Sales Import"/>
    <n v="-5945.4213000000009"/>
    <n v="5945.4213000000009"/>
    <x v="1"/>
    <s v="2100"/>
    <s v="000"/>
    <x v="10"/>
    <x v="2"/>
  </r>
  <r>
    <d v="2013-08-18T00:00:00"/>
    <s v="017-2210-000"/>
    <s v="Liquor Sales"/>
    <n v="852.048"/>
    <n v="0"/>
    <s v="Daily Sales Import"/>
    <n v="-852.048"/>
    <n v="852.048"/>
    <x v="1"/>
    <s v="2210"/>
    <s v="000"/>
    <x v="10"/>
    <x v="2"/>
  </r>
  <r>
    <d v="2013-08-18T00:00:00"/>
    <s v="017-2220-000"/>
    <s v="Beer Sales"/>
    <n v="179.5718"/>
    <n v="0"/>
    <s v="Daily Sales Import"/>
    <n v="-179.5718"/>
    <n v="179.5718"/>
    <x v="1"/>
    <s v="2220"/>
    <s v="000"/>
    <x v="10"/>
    <x v="2"/>
  </r>
  <r>
    <d v="2013-08-18T00:00:00"/>
    <s v="017-2230-000"/>
    <s v="Wine Sales"/>
    <n v="114.31040000000002"/>
    <n v="0"/>
    <s v="Daily Sales Import"/>
    <n v="-114.31040000000002"/>
    <n v="114.31040000000002"/>
    <x v="1"/>
    <s v="2230"/>
    <s v="000"/>
    <x v="10"/>
    <x v="2"/>
  </r>
  <r>
    <d v="2013-08-12T00:00:00"/>
    <s v="018-2100-000"/>
    <s v="Food Sales"/>
    <n v="5222.0216"/>
    <n v="0"/>
    <s v="Daily Sales Import"/>
    <n v="-5222.0216"/>
    <n v="5222.0216"/>
    <x v="2"/>
    <s v="2100"/>
    <s v="000"/>
    <x v="10"/>
    <x v="2"/>
  </r>
  <r>
    <d v="2013-08-12T00:00:00"/>
    <s v="018-2210-000"/>
    <s v="Liquor Sales"/>
    <n v="880.04420000000005"/>
    <n v="0"/>
    <s v="Daily Sales Import"/>
    <n v="-880.04420000000005"/>
    <n v="880.04420000000005"/>
    <x v="2"/>
    <s v="2210"/>
    <s v="000"/>
    <x v="10"/>
    <x v="2"/>
  </r>
  <r>
    <d v="2013-08-12T00:00:00"/>
    <s v="018-2220-000"/>
    <s v="Beer Sales"/>
    <n v="254.53640000000001"/>
    <n v="0"/>
    <s v="Daily Sales Import"/>
    <n v="-254.53640000000001"/>
    <n v="254.53640000000001"/>
    <x v="2"/>
    <s v="2220"/>
    <s v="000"/>
    <x v="10"/>
    <x v="2"/>
  </r>
  <r>
    <d v="2013-08-12T00:00:00"/>
    <s v="018-2230-000"/>
    <s v="Wine Sales"/>
    <n v="12.2752"/>
    <n v="0"/>
    <s v="Daily Sales Import"/>
    <n v="-12.2752"/>
    <n v="12.2752"/>
    <x v="2"/>
    <s v="2230"/>
    <s v="000"/>
    <x v="10"/>
    <x v="2"/>
  </r>
  <r>
    <d v="2013-08-13T00:00:00"/>
    <s v="018-2100-000"/>
    <s v="Food Sales"/>
    <n v="5966.9268000000002"/>
    <n v="0"/>
    <s v="Daily Sales Import"/>
    <n v="-5966.9268000000002"/>
    <n v="5966.9268000000002"/>
    <x v="2"/>
    <s v="2100"/>
    <s v="000"/>
    <x v="10"/>
    <x v="2"/>
  </r>
  <r>
    <d v="2013-08-13T00:00:00"/>
    <s v="018-2210-000"/>
    <s v="Liquor Sales"/>
    <n v="1020.9318000000001"/>
    <n v="0"/>
    <s v="Daily Sales Import"/>
    <n v="-1020.9318000000001"/>
    <n v="1020.9318000000001"/>
    <x v="2"/>
    <s v="2210"/>
    <s v="000"/>
    <x v="10"/>
    <x v="2"/>
  </r>
  <r>
    <d v="2013-08-13T00:00:00"/>
    <s v="018-2220-000"/>
    <s v="Beer Sales"/>
    <n v="149.44999999999999"/>
    <n v="0"/>
    <s v="Daily Sales Import"/>
    <n v="-149.44999999999999"/>
    <n v="149.44999999999999"/>
    <x v="2"/>
    <s v="2220"/>
    <s v="000"/>
    <x v="10"/>
    <x v="2"/>
  </r>
  <r>
    <d v="2013-08-13T00:00:00"/>
    <s v="018-2230-000"/>
    <s v="Wine Sales"/>
    <n v="35.191500000000005"/>
    <n v="0"/>
    <s v="Daily Sales Import"/>
    <n v="-35.191500000000005"/>
    <n v="35.191500000000005"/>
    <x v="2"/>
    <s v="2230"/>
    <s v="000"/>
    <x v="10"/>
    <x v="2"/>
  </r>
  <r>
    <d v="2013-08-14T00:00:00"/>
    <s v="018-2100-000"/>
    <s v="Food Sales"/>
    <n v="4218.643"/>
    <n v="0"/>
    <s v="Daily Sales Import"/>
    <n v="-4218.643"/>
    <n v="4218.643"/>
    <x v="2"/>
    <s v="2100"/>
    <s v="000"/>
    <x v="10"/>
    <x v="2"/>
  </r>
  <r>
    <d v="2013-08-14T00:00:00"/>
    <s v="018-2210-000"/>
    <s v="Liquor Sales"/>
    <n v="1049.9481999999998"/>
    <n v="0"/>
    <s v="Daily Sales Import"/>
    <n v="-1049.9481999999998"/>
    <n v="1049.9481999999998"/>
    <x v="2"/>
    <s v="2210"/>
    <s v="000"/>
    <x v="10"/>
    <x v="2"/>
  </r>
  <r>
    <d v="2013-08-14T00:00:00"/>
    <s v="018-2220-000"/>
    <s v="Beer Sales"/>
    <n v="220.09899999999999"/>
    <n v="0"/>
    <s v="Daily Sales Import"/>
    <n v="-220.09899999999999"/>
    <n v="220.09899999999999"/>
    <x v="2"/>
    <s v="2220"/>
    <s v="000"/>
    <x v="10"/>
    <x v="2"/>
  </r>
  <r>
    <d v="2013-08-14T00:00:00"/>
    <s v="018-2230-000"/>
    <s v="Wine Sales"/>
    <n v="82.070499999999996"/>
    <n v="0"/>
    <s v="Daily Sales Import"/>
    <n v="-82.070499999999996"/>
    <n v="82.070499999999996"/>
    <x v="2"/>
    <s v="2230"/>
    <s v="000"/>
    <x v="10"/>
    <x v="2"/>
  </r>
  <r>
    <d v="2013-08-15T00:00:00"/>
    <s v="018-2100-000"/>
    <s v="Food Sales"/>
    <n v="6388.5828000000001"/>
    <n v="0"/>
    <s v="Daily Sales Import"/>
    <n v="-6388.5828000000001"/>
    <n v="6388.5828000000001"/>
    <x v="2"/>
    <s v="2100"/>
    <s v="000"/>
    <x v="10"/>
    <x v="2"/>
  </r>
  <r>
    <d v="2013-08-15T00:00:00"/>
    <s v="018-2210-000"/>
    <s v="Liquor Sales"/>
    <n v="1301.2169999999999"/>
    <n v="0"/>
    <s v="Daily Sales Import"/>
    <n v="-1301.2169999999999"/>
    <n v="1301.2169999999999"/>
    <x v="2"/>
    <s v="2210"/>
    <s v="000"/>
    <x v="10"/>
    <x v="2"/>
  </r>
  <r>
    <d v="2013-08-15T00:00:00"/>
    <s v="018-2220-000"/>
    <s v="Beer Sales"/>
    <n v="372.80279999999999"/>
    <n v="0"/>
    <s v="Daily Sales Import"/>
    <n v="-372.80279999999999"/>
    <n v="372.80279999999999"/>
    <x v="2"/>
    <s v="2220"/>
    <s v="000"/>
    <x v="10"/>
    <x v="2"/>
  </r>
  <r>
    <d v="2013-08-15T00:00:00"/>
    <s v="018-2230-000"/>
    <s v="Wine Sales"/>
    <n v="123.55200000000001"/>
    <n v="0"/>
    <s v="Daily Sales Import"/>
    <n v="-123.55200000000001"/>
    <n v="123.55200000000001"/>
    <x v="2"/>
    <s v="2230"/>
    <s v="000"/>
    <x v="10"/>
    <x v="2"/>
  </r>
  <r>
    <d v="2013-08-16T00:00:00"/>
    <s v="018-2100-000"/>
    <s v="Food Sales"/>
    <n v="9384.0840000000007"/>
    <n v="0"/>
    <s v="Daily Sales Import"/>
    <n v="-9384.0840000000007"/>
    <n v="9384.0840000000007"/>
    <x v="2"/>
    <s v="2100"/>
    <s v="000"/>
    <x v="10"/>
    <x v="2"/>
  </r>
  <r>
    <d v="2013-08-16T00:00:00"/>
    <s v="018-2210-000"/>
    <s v="Liquor Sales"/>
    <n v="2800.1790000000001"/>
    <n v="0"/>
    <s v="Daily Sales Import"/>
    <n v="-2800.1790000000001"/>
    <n v="2800.1790000000001"/>
    <x v="2"/>
    <s v="2210"/>
    <s v="000"/>
    <x v="10"/>
    <x v="2"/>
  </r>
  <r>
    <d v="2013-08-16T00:00:00"/>
    <s v="018-2220-000"/>
    <s v="Beer Sales"/>
    <n v="540.78499999999997"/>
    <n v="0"/>
    <s v="Daily Sales Import"/>
    <n v="-540.78499999999997"/>
    <n v="540.78499999999997"/>
    <x v="2"/>
    <s v="2220"/>
    <s v="000"/>
    <x v="10"/>
    <x v="2"/>
  </r>
  <r>
    <d v="2013-08-16T00:00:00"/>
    <s v="018-2230-000"/>
    <s v="Wine Sales"/>
    <n v="153.74089999999998"/>
    <n v="0"/>
    <s v="Daily Sales Import"/>
    <n v="-153.74089999999998"/>
    <n v="153.74089999999998"/>
    <x v="2"/>
    <s v="2230"/>
    <s v="000"/>
    <x v="10"/>
    <x v="2"/>
  </r>
  <r>
    <d v="2013-08-17T00:00:00"/>
    <s v="018-2100-000"/>
    <s v="Food Sales"/>
    <n v="11742.8588"/>
    <n v="0"/>
    <s v="Daily Sales Import"/>
    <n v="-11742.8588"/>
    <n v="11742.8588"/>
    <x v="2"/>
    <s v="2100"/>
    <s v="000"/>
    <x v="10"/>
    <x v="2"/>
  </r>
  <r>
    <d v="2013-08-17T00:00:00"/>
    <s v="018-2210-000"/>
    <s v="Liquor Sales"/>
    <n v="2183.6230999999998"/>
    <n v="0"/>
    <s v="Daily Sales Import"/>
    <n v="-2183.6230999999998"/>
    <n v="2183.6230999999998"/>
    <x v="2"/>
    <s v="2210"/>
    <s v="000"/>
    <x v="10"/>
    <x v="2"/>
  </r>
  <r>
    <d v="2013-08-17T00:00:00"/>
    <s v="018-2220-000"/>
    <s v="Beer Sales"/>
    <n v="676.27699999999993"/>
    <n v="0"/>
    <s v="Daily Sales Import"/>
    <n v="-676.27699999999993"/>
    <n v="676.27699999999993"/>
    <x v="2"/>
    <s v="2220"/>
    <s v="000"/>
    <x v="10"/>
    <x v="2"/>
  </r>
  <r>
    <d v="2013-08-17T00:00:00"/>
    <s v="018-2230-000"/>
    <s v="Wine Sales"/>
    <n v="148.16800000000001"/>
    <n v="0"/>
    <s v="Daily Sales Import"/>
    <n v="-148.16800000000001"/>
    <n v="148.16800000000001"/>
    <x v="2"/>
    <s v="2230"/>
    <s v="000"/>
    <x v="10"/>
    <x v="2"/>
  </r>
  <r>
    <d v="2013-08-18T00:00:00"/>
    <s v="018-2100-000"/>
    <s v="Food Sales"/>
    <n v="7957.0839999999998"/>
    <n v="0"/>
    <s v="Daily Sales Import"/>
    <n v="-7957.0839999999998"/>
    <n v="7957.0839999999998"/>
    <x v="2"/>
    <s v="2100"/>
    <s v="000"/>
    <x v="10"/>
    <x v="2"/>
  </r>
  <r>
    <d v="2013-08-18T00:00:00"/>
    <s v="018-2210-000"/>
    <s v="Liquor Sales"/>
    <n v="1288.4255999999998"/>
    <n v="0"/>
    <s v="Daily Sales Import"/>
    <n v="-1288.4255999999998"/>
    <n v="1288.4255999999998"/>
    <x v="2"/>
    <s v="2210"/>
    <s v="000"/>
    <x v="10"/>
    <x v="2"/>
  </r>
  <r>
    <d v="2013-08-18T00:00:00"/>
    <s v="018-2220-000"/>
    <s v="Beer Sales"/>
    <n v="249.54999999999998"/>
    <n v="0"/>
    <s v="Daily Sales Import"/>
    <n v="-249.54999999999998"/>
    <n v="249.54999999999998"/>
    <x v="2"/>
    <s v="2220"/>
    <s v="000"/>
    <x v="10"/>
    <x v="2"/>
  </r>
  <r>
    <d v="2013-08-18T00:00:00"/>
    <s v="018-2230-000"/>
    <s v="Wine Sales"/>
    <n v="56.312199999999997"/>
    <n v="0"/>
    <s v="Daily Sales Import"/>
    <n v="-56.312199999999997"/>
    <n v="56.312199999999997"/>
    <x v="2"/>
    <s v="2230"/>
    <s v="000"/>
    <x v="10"/>
    <x v="2"/>
  </r>
  <r>
    <d v="2013-08-12T00:00:00"/>
    <s v="019-2100-000"/>
    <s v="Food Sales"/>
    <n v="2443.6496000000002"/>
    <n v="0"/>
    <s v="Daily Sales Import"/>
    <n v="-2443.6496000000002"/>
    <n v="2443.6496000000002"/>
    <x v="3"/>
    <s v="2100"/>
    <s v="000"/>
    <x v="10"/>
    <x v="2"/>
  </r>
  <r>
    <d v="2013-08-12T00:00:00"/>
    <s v="019-2210-000"/>
    <s v="Liquor Sales"/>
    <n v="613.98960000000011"/>
    <n v="0"/>
    <s v="Daily Sales Import"/>
    <n v="-613.98960000000011"/>
    <n v="613.98960000000011"/>
    <x v="3"/>
    <s v="2210"/>
    <s v="000"/>
    <x v="10"/>
    <x v="2"/>
  </r>
  <r>
    <d v="2013-08-12T00:00:00"/>
    <s v="019-2220-000"/>
    <s v="Beer Sales"/>
    <n v="161.76"/>
    <n v="0"/>
    <s v="Daily Sales Import"/>
    <n v="-161.76"/>
    <n v="161.76"/>
    <x v="3"/>
    <s v="2220"/>
    <s v="000"/>
    <x v="10"/>
    <x v="2"/>
  </r>
  <r>
    <d v="2013-08-12T00:00:00"/>
    <s v="019-2230-000"/>
    <s v="Wine Sales"/>
    <n v="11.9422"/>
    <n v="0"/>
    <s v="Daily Sales Import"/>
    <n v="-11.9422"/>
    <n v="11.9422"/>
    <x v="3"/>
    <s v="2230"/>
    <s v="000"/>
    <x v="10"/>
    <x v="2"/>
  </r>
  <r>
    <d v="2013-08-13T00:00:00"/>
    <s v="019-2100-000"/>
    <s v="Food Sales"/>
    <n v="3352.0803999999998"/>
    <n v="0"/>
    <s v="Daily Sales Import"/>
    <n v="-3352.0803999999998"/>
    <n v="3352.0803999999998"/>
    <x v="3"/>
    <s v="2100"/>
    <s v="000"/>
    <x v="10"/>
    <x v="2"/>
  </r>
  <r>
    <d v="2013-08-13T00:00:00"/>
    <s v="019-2210-000"/>
    <s v="Liquor Sales"/>
    <n v="925.76700000000017"/>
    <n v="0"/>
    <s v="Daily Sales Import"/>
    <n v="-925.76700000000017"/>
    <n v="925.76700000000017"/>
    <x v="3"/>
    <s v="2210"/>
    <s v="000"/>
    <x v="10"/>
    <x v="2"/>
  </r>
  <r>
    <d v="2013-08-13T00:00:00"/>
    <s v="019-2220-000"/>
    <s v="Beer Sales"/>
    <n v="241.21800000000002"/>
    <n v="0"/>
    <s v="Daily Sales Import"/>
    <n v="-241.21800000000002"/>
    <n v="241.21800000000002"/>
    <x v="3"/>
    <s v="2220"/>
    <s v="000"/>
    <x v="10"/>
    <x v="2"/>
  </r>
  <r>
    <d v="2013-08-13T00:00:00"/>
    <s v="019-2230-000"/>
    <s v="Wine Sales"/>
    <n v="71.999200000000002"/>
    <n v="0"/>
    <s v="Daily Sales Import"/>
    <n v="-71.999200000000002"/>
    <n v="71.999200000000002"/>
    <x v="3"/>
    <s v="2230"/>
    <s v="000"/>
    <x v="10"/>
    <x v="2"/>
  </r>
  <r>
    <d v="2013-08-14T00:00:00"/>
    <s v="019-2100-000"/>
    <s v="Food Sales"/>
    <n v="4200.7047000000002"/>
    <n v="0"/>
    <s v="Daily Sales Import"/>
    <n v="-4200.7047000000002"/>
    <n v="4200.7047000000002"/>
    <x v="3"/>
    <s v="2100"/>
    <s v="000"/>
    <x v="10"/>
    <x v="2"/>
  </r>
  <r>
    <d v="2013-08-14T00:00:00"/>
    <s v="019-2210-000"/>
    <s v="Liquor Sales"/>
    <n v="1065.6504"/>
    <n v="0"/>
    <s v="Daily Sales Import"/>
    <n v="-1065.6504"/>
    <n v="1065.6504"/>
    <x v="3"/>
    <s v="2210"/>
    <s v="000"/>
    <x v="10"/>
    <x v="2"/>
  </r>
  <r>
    <d v="2013-08-14T00:00:00"/>
    <s v="019-2220-000"/>
    <s v="Beer Sales"/>
    <n v="172.07680000000002"/>
    <n v="0"/>
    <s v="Daily Sales Import"/>
    <n v="-172.07680000000002"/>
    <n v="172.07680000000002"/>
    <x v="3"/>
    <s v="2220"/>
    <s v="000"/>
    <x v="10"/>
    <x v="2"/>
  </r>
  <r>
    <d v="2013-08-14T00:00:00"/>
    <s v="019-2230-000"/>
    <s v="Wine Sales"/>
    <n v="29.2744"/>
    <n v="0"/>
    <s v="Daily Sales Import"/>
    <n v="-29.2744"/>
    <n v="29.2744"/>
    <x v="3"/>
    <s v="2230"/>
    <s v="000"/>
    <x v="10"/>
    <x v="2"/>
  </r>
  <r>
    <d v="2013-08-15T00:00:00"/>
    <s v="019-2100-000"/>
    <s v="Food Sales"/>
    <n v="3859.9659000000006"/>
    <n v="0"/>
    <s v="Daily Sales Import"/>
    <n v="-3859.9659000000006"/>
    <n v="3859.9659000000006"/>
    <x v="3"/>
    <s v="2100"/>
    <s v="000"/>
    <x v="10"/>
    <x v="2"/>
  </r>
  <r>
    <d v="2013-08-15T00:00:00"/>
    <s v="019-2210-000"/>
    <s v="Liquor Sales"/>
    <n v="1159.876"/>
    <n v="0"/>
    <s v="Daily Sales Import"/>
    <n v="-1159.876"/>
    <n v="1159.876"/>
    <x v="3"/>
    <s v="2210"/>
    <s v="000"/>
    <x v="10"/>
    <x v="2"/>
  </r>
  <r>
    <d v="2013-08-15T00:00:00"/>
    <s v="019-2220-000"/>
    <s v="Beer Sales"/>
    <n v="244.45499999999998"/>
    <n v="0"/>
    <s v="Daily Sales Import"/>
    <n v="-244.45499999999998"/>
    <n v="244.45499999999998"/>
    <x v="3"/>
    <s v="2220"/>
    <s v="000"/>
    <x v="10"/>
    <x v="2"/>
  </r>
  <r>
    <d v="2013-08-15T00:00:00"/>
    <s v="019-2230-000"/>
    <s v="Wine Sales"/>
    <n v="51.348199999999999"/>
    <n v="0"/>
    <s v="Daily Sales Import"/>
    <n v="-51.348199999999999"/>
    <n v="51.348199999999999"/>
    <x v="3"/>
    <s v="2230"/>
    <s v="000"/>
    <x v="10"/>
    <x v="2"/>
  </r>
  <r>
    <d v="2013-08-16T00:00:00"/>
    <s v="019-2100-000"/>
    <s v="Food Sales"/>
    <n v="5930.2650000000003"/>
    <n v="0"/>
    <s v="Daily Sales Import"/>
    <n v="-5930.2650000000003"/>
    <n v="5930.2650000000003"/>
    <x v="3"/>
    <s v="2100"/>
    <s v="000"/>
    <x v="10"/>
    <x v="2"/>
  </r>
  <r>
    <d v="2013-08-16T00:00:00"/>
    <s v="019-2210-000"/>
    <s v="Liquor Sales"/>
    <n v="3104.3007000000002"/>
    <n v="0"/>
    <s v="Daily Sales Import"/>
    <n v="-3104.3007000000002"/>
    <n v="3104.3007000000002"/>
    <x v="3"/>
    <s v="2210"/>
    <s v="000"/>
    <x v="10"/>
    <x v="2"/>
  </r>
  <r>
    <d v="2013-08-16T00:00:00"/>
    <s v="019-2220-000"/>
    <s v="Beer Sales"/>
    <n v="380.50740000000002"/>
    <n v="0"/>
    <s v="Daily Sales Import"/>
    <n v="-380.50740000000002"/>
    <n v="380.50740000000002"/>
    <x v="3"/>
    <s v="2220"/>
    <s v="000"/>
    <x v="10"/>
    <x v="2"/>
  </r>
  <r>
    <d v="2013-08-16T00:00:00"/>
    <s v="019-2230-000"/>
    <s v="Wine Sales"/>
    <n v="73.708799999999997"/>
    <n v="0"/>
    <s v="Daily Sales Import"/>
    <n v="-73.708799999999997"/>
    <n v="73.708799999999997"/>
    <x v="3"/>
    <s v="2230"/>
    <s v="000"/>
    <x v="10"/>
    <x v="2"/>
  </r>
  <r>
    <d v="2013-08-17T00:00:00"/>
    <s v="019-2100-000"/>
    <s v="Food Sales"/>
    <n v="7382.2241999999997"/>
    <n v="0"/>
    <s v="Daily Sales Import"/>
    <n v="-7382.2241999999997"/>
    <n v="7382.2241999999997"/>
    <x v="3"/>
    <s v="2100"/>
    <s v="000"/>
    <x v="10"/>
    <x v="2"/>
  </r>
  <r>
    <d v="2013-08-17T00:00:00"/>
    <s v="019-2210-000"/>
    <s v="Liquor Sales"/>
    <n v="3066.7647999999999"/>
    <n v="0"/>
    <s v="Daily Sales Import"/>
    <n v="-3066.7647999999999"/>
    <n v="3066.7647999999999"/>
    <x v="3"/>
    <s v="2210"/>
    <s v="000"/>
    <x v="10"/>
    <x v="2"/>
  </r>
  <r>
    <d v="2013-08-17T00:00:00"/>
    <s v="019-2220-000"/>
    <s v="Beer Sales"/>
    <n v="587.18340000000001"/>
    <n v="0"/>
    <s v="Daily Sales Import"/>
    <n v="-587.18340000000001"/>
    <n v="587.18340000000001"/>
    <x v="3"/>
    <s v="2220"/>
    <s v="000"/>
    <x v="10"/>
    <x v="2"/>
  </r>
  <r>
    <d v="2013-08-17T00:00:00"/>
    <s v="019-2230-000"/>
    <s v="Wine Sales"/>
    <n v="105.5564"/>
    <n v="0"/>
    <s v="Daily Sales Import"/>
    <n v="-105.5564"/>
    <n v="105.5564"/>
    <x v="3"/>
    <s v="2230"/>
    <s v="000"/>
    <x v="10"/>
    <x v="2"/>
  </r>
  <r>
    <d v="2013-08-18T00:00:00"/>
    <s v="019-2100-000"/>
    <s v="Food Sales"/>
    <n v="2883.3713999999995"/>
    <n v="0"/>
    <s v="Daily Sales Import"/>
    <n v="-2883.3713999999995"/>
    <n v="2883.3713999999995"/>
    <x v="3"/>
    <s v="2100"/>
    <s v="000"/>
    <x v="10"/>
    <x v="2"/>
  </r>
  <r>
    <d v="2013-08-18T00:00:00"/>
    <s v="019-2210-000"/>
    <s v="Liquor Sales"/>
    <n v="983.90980000000002"/>
    <n v="0"/>
    <s v="Daily Sales Import"/>
    <n v="-983.90980000000002"/>
    <n v="983.90980000000002"/>
    <x v="3"/>
    <s v="2210"/>
    <s v="000"/>
    <x v="10"/>
    <x v="2"/>
  </r>
  <r>
    <d v="2013-08-18T00:00:00"/>
    <s v="019-2220-000"/>
    <s v="Beer Sales"/>
    <n v="238.53659999999999"/>
    <n v="0"/>
    <s v="Daily Sales Import"/>
    <n v="-238.53659999999999"/>
    <n v="238.53659999999999"/>
    <x v="3"/>
    <s v="2220"/>
    <s v="000"/>
    <x v="10"/>
    <x v="2"/>
  </r>
  <r>
    <d v="2013-08-18T00:00:00"/>
    <s v="019-2230-000"/>
    <s v="Wine Sales"/>
    <n v="207.39930000000001"/>
    <n v="0"/>
    <s v="Daily Sales Import"/>
    <n v="-207.39930000000001"/>
    <n v="207.39930000000001"/>
    <x v="3"/>
    <s v="2230"/>
    <s v="000"/>
    <x v="10"/>
    <x v="2"/>
  </r>
  <r>
    <d v="2013-08-19T00:00:00"/>
    <s v="016-2100-000"/>
    <s v="Food Sales"/>
    <n v="1639.3328000000001"/>
    <n v="0"/>
    <s v="Daily Sales Import"/>
    <n v="-1639.3328000000001"/>
    <n v="1639.3328000000001"/>
    <x v="0"/>
    <s v="2100"/>
    <s v="000"/>
    <x v="10"/>
    <x v="2"/>
  </r>
  <r>
    <d v="2013-08-19T00:00:00"/>
    <s v="016-2210-000"/>
    <s v="Liquor Sales"/>
    <n v="476.00079999999997"/>
    <n v="0"/>
    <s v="Daily Sales Import"/>
    <n v="-476.00079999999997"/>
    <n v="476.00079999999997"/>
    <x v="0"/>
    <s v="2210"/>
    <s v="000"/>
    <x v="10"/>
    <x v="2"/>
  </r>
  <r>
    <d v="2013-08-19T00:00:00"/>
    <s v="016-2220-000"/>
    <s v="Beer Sales"/>
    <n v="74.46759999999999"/>
    <n v="0"/>
    <s v="Daily Sales Import"/>
    <n v="-74.46759999999999"/>
    <n v="74.46759999999999"/>
    <x v="0"/>
    <s v="2220"/>
    <s v="000"/>
    <x v="10"/>
    <x v="2"/>
  </r>
  <r>
    <d v="2013-08-19T00:00:00"/>
    <s v="016-2230-000"/>
    <s v="Wine Sales"/>
    <n v="38.029500000000006"/>
    <n v="0"/>
    <s v="Daily Sales Import"/>
    <n v="-38.029500000000006"/>
    <n v="38.029500000000006"/>
    <x v="0"/>
    <s v="2230"/>
    <s v="000"/>
    <x v="10"/>
    <x v="2"/>
  </r>
  <r>
    <d v="2013-08-20T00:00:00"/>
    <s v="016-2100-000"/>
    <s v="Food Sales"/>
    <n v="8463.3912"/>
    <n v="0"/>
    <s v="Daily Sales Import"/>
    <n v="-8463.3912"/>
    <n v="8463.3912"/>
    <x v="0"/>
    <s v="2100"/>
    <s v="000"/>
    <x v="10"/>
    <x v="2"/>
  </r>
  <r>
    <d v="2013-08-20T00:00:00"/>
    <s v="016-2210-000"/>
    <s v="Liquor Sales"/>
    <n v="3086.9785999999999"/>
    <n v="0"/>
    <s v="Daily Sales Import"/>
    <n v="-3086.9785999999999"/>
    <n v="3086.9785999999999"/>
    <x v="0"/>
    <s v="2210"/>
    <s v="000"/>
    <x v="10"/>
    <x v="2"/>
  </r>
  <r>
    <d v="2013-08-20T00:00:00"/>
    <s v="016-2220-000"/>
    <s v="Beer Sales"/>
    <n v="882.32910000000004"/>
    <n v="0"/>
    <s v="Daily Sales Import"/>
    <n v="-882.32910000000004"/>
    <n v="882.32910000000004"/>
    <x v="0"/>
    <s v="2220"/>
    <s v="000"/>
    <x v="10"/>
    <x v="2"/>
  </r>
  <r>
    <d v="2013-08-20T00:00:00"/>
    <s v="016-2230-000"/>
    <s v="Wine Sales"/>
    <n v="84.155600000000007"/>
    <n v="0"/>
    <s v="Daily Sales Import"/>
    <n v="-84.155600000000007"/>
    <n v="84.155600000000007"/>
    <x v="0"/>
    <s v="2230"/>
    <s v="000"/>
    <x v="10"/>
    <x v="2"/>
  </r>
  <r>
    <d v="2013-08-21T00:00:00"/>
    <s v="016-2100-000"/>
    <s v="Food Sales"/>
    <n v="1880.1419999999998"/>
    <n v="0"/>
    <s v="Daily Sales Import"/>
    <n v="-1880.1419999999998"/>
    <n v="1880.1419999999998"/>
    <x v="0"/>
    <s v="2100"/>
    <s v="000"/>
    <x v="10"/>
    <x v="2"/>
  </r>
  <r>
    <d v="2013-08-21T00:00:00"/>
    <s v="016-2210-000"/>
    <s v="Liquor Sales"/>
    <n v="688.66590000000008"/>
    <n v="0"/>
    <s v="Daily Sales Import"/>
    <n v="-688.66590000000008"/>
    <n v="688.66590000000008"/>
    <x v="0"/>
    <s v="2210"/>
    <s v="000"/>
    <x v="10"/>
    <x v="2"/>
  </r>
  <r>
    <d v="2013-08-21T00:00:00"/>
    <s v="016-2220-000"/>
    <s v="Beer Sales"/>
    <n v="128.8022"/>
    <n v="0"/>
    <s v="Daily Sales Import"/>
    <n v="-128.8022"/>
    <n v="128.8022"/>
    <x v="0"/>
    <s v="2220"/>
    <s v="000"/>
    <x v="10"/>
    <x v="2"/>
  </r>
  <r>
    <d v="2013-08-21T00:00:00"/>
    <s v="016-2230-000"/>
    <s v="Wine Sales"/>
    <n v="36.524499999999996"/>
    <n v="0"/>
    <s v="Daily Sales Import"/>
    <n v="-36.524499999999996"/>
    <n v="36.524499999999996"/>
    <x v="0"/>
    <s v="2230"/>
    <s v="000"/>
    <x v="10"/>
    <x v="2"/>
  </r>
  <r>
    <d v="2013-08-22T00:00:00"/>
    <s v="016-2100-000"/>
    <s v="Food Sales"/>
    <n v="2781.4944"/>
    <n v="0"/>
    <s v="Daily Sales Import"/>
    <n v="-2781.4944"/>
    <n v="2781.4944"/>
    <x v="0"/>
    <s v="2100"/>
    <s v="000"/>
    <x v="10"/>
    <x v="2"/>
  </r>
  <r>
    <d v="2013-08-22T00:00:00"/>
    <s v="016-2210-000"/>
    <s v="Liquor Sales"/>
    <n v="830.61720000000003"/>
    <n v="0"/>
    <s v="Daily Sales Import"/>
    <n v="-830.61720000000003"/>
    <n v="830.61720000000003"/>
    <x v="0"/>
    <s v="2210"/>
    <s v="000"/>
    <x v="10"/>
    <x v="2"/>
  </r>
  <r>
    <d v="2013-08-22T00:00:00"/>
    <s v="016-2220-000"/>
    <s v="Beer Sales"/>
    <n v="123.37050000000001"/>
    <n v="0"/>
    <s v="Daily Sales Import"/>
    <n v="-123.37050000000001"/>
    <n v="123.37050000000001"/>
    <x v="0"/>
    <s v="2220"/>
    <s v="000"/>
    <x v="10"/>
    <x v="2"/>
  </r>
  <r>
    <d v="2013-08-22T00:00:00"/>
    <s v="016-2230-000"/>
    <s v="Wine Sales"/>
    <n v="19.5"/>
    <n v="0"/>
    <s v="Daily Sales Import"/>
    <n v="-19.5"/>
    <n v="19.5"/>
    <x v="0"/>
    <s v="2230"/>
    <s v="000"/>
    <x v="10"/>
    <x v="2"/>
  </r>
  <r>
    <d v="2013-08-23T00:00:00"/>
    <s v="016-2100-000"/>
    <s v="Food Sales"/>
    <n v="7833.2133000000003"/>
    <n v="0"/>
    <s v="Daily Sales Import"/>
    <n v="-7833.2133000000003"/>
    <n v="7833.2133000000003"/>
    <x v="0"/>
    <s v="2100"/>
    <s v="000"/>
    <x v="10"/>
    <x v="2"/>
  </r>
  <r>
    <d v="2013-08-23T00:00:00"/>
    <s v="016-2210-000"/>
    <s v="Liquor Sales"/>
    <n v="1590.0192000000002"/>
    <n v="0"/>
    <s v="Daily Sales Import"/>
    <n v="-1590.0192000000002"/>
    <n v="1590.0192000000002"/>
    <x v="0"/>
    <s v="2210"/>
    <s v="000"/>
    <x v="10"/>
    <x v="2"/>
  </r>
  <r>
    <d v="2013-08-23T00:00:00"/>
    <s v="016-2220-000"/>
    <s v="Beer Sales"/>
    <n v="591.96399999999994"/>
    <n v="0"/>
    <s v="Daily Sales Import"/>
    <n v="-591.96399999999994"/>
    <n v="591.96399999999994"/>
    <x v="0"/>
    <s v="2220"/>
    <s v="000"/>
    <x v="10"/>
    <x v="2"/>
  </r>
  <r>
    <d v="2013-08-23T00:00:00"/>
    <s v="016-2230-000"/>
    <s v="Wine Sales"/>
    <n v="160.00300000000001"/>
    <n v="0"/>
    <s v="Daily Sales Import"/>
    <n v="-160.00300000000001"/>
    <n v="160.00300000000001"/>
    <x v="0"/>
    <s v="2230"/>
    <s v="000"/>
    <x v="10"/>
    <x v="2"/>
  </r>
  <r>
    <d v="2013-08-24T00:00:00"/>
    <s v="016-2100-000"/>
    <s v="Food Sales"/>
    <n v="7974.9434000000001"/>
    <n v="0"/>
    <s v="Daily Sales Import"/>
    <n v="-7974.9434000000001"/>
    <n v="7974.9434000000001"/>
    <x v="0"/>
    <s v="2100"/>
    <s v="000"/>
    <x v="10"/>
    <x v="2"/>
  </r>
  <r>
    <d v="2013-08-24T00:00:00"/>
    <s v="016-2210-000"/>
    <s v="Liquor Sales"/>
    <n v="2225.0927999999999"/>
    <n v="0"/>
    <s v="Daily Sales Import"/>
    <n v="-2225.0927999999999"/>
    <n v="2225.0927999999999"/>
    <x v="0"/>
    <s v="2210"/>
    <s v="000"/>
    <x v="10"/>
    <x v="2"/>
  </r>
  <r>
    <d v="2013-08-24T00:00:00"/>
    <s v="016-2220-000"/>
    <s v="Beer Sales"/>
    <n v="322.09200000000004"/>
    <n v="0"/>
    <s v="Daily Sales Import"/>
    <n v="-322.09200000000004"/>
    <n v="322.09200000000004"/>
    <x v="0"/>
    <s v="2220"/>
    <s v="000"/>
    <x v="10"/>
    <x v="2"/>
  </r>
  <r>
    <d v="2013-08-24T00:00:00"/>
    <s v="016-2230-000"/>
    <s v="Wine Sales"/>
    <n v="140.96039999999999"/>
    <n v="0"/>
    <s v="Daily Sales Import"/>
    <n v="-140.96039999999999"/>
    <n v="140.96039999999999"/>
    <x v="0"/>
    <s v="2230"/>
    <s v="000"/>
    <x v="10"/>
    <x v="2"/>
  </r>
  <r>
    <d v="2013-08-25T00:00:00"/>
    <s v="016-2100-000"/>
    <s v="Food Sales"/>
    <n v="3908.1779999999999"/>
    <n v="0"/>
    <s v="Daily Sales Import"/>
    <n v="-3908.1779999999999"/>
    <n v="3908.1779999999999"/>
    <x v="0"/>
    <s v="2100"/>
    <s v="000"/>
    <x v="10"/>
    <x v="2"/>
  </r>
  <r>
    <d v="2013-08-25T00:00:00"/>
    <s v="016-2210-000"/>
    <s v="Liquor Sales"/>
    <n v="1225.1455999999998"/>
    <n v="0"/>
    <s v="Daily Sales Import"/>
    <n v="-1225.1455999999998"/>
    <n v="1225.1455999999998"/>
    <x v="0"/>
    <s v="2210"/>
    <s v="000"/>
    <x v="10"/>
    <x v="2"/>
  </r>
  <r>
    <d v="2013-08-25T00:00:00"/>
    <s v="016-2220-000"/>
    <s v="Beer Sales"/>
    <n v="255.16320000000002"/>
    <n v="0"/>
    <s v="Daily Sales Import"/>
    <n v="-255.16320000000002"/>
    <n v="255.16320000000002"/>
    <x v="0"/>
    <s v="2220"/>
    <s v="000"/>
    <x v="10"/>
    <x v="2"/>
  </r>
  <r>
    <d v="2013-08-25T00:00:00"/>
    <s v="016-2230-000"/>
    <s v="Wine Sales"/>
    <n v="42.2136"/>
    <n v="0"/>
    <s v="Daily Sales Import"/>
    <n v="-42.2136"/>
    <n v="42.2136"/>
    <x v="0"/>
    <s v="2230"/>
    <s v="000"/>
    <x v="10"/>
    <x v="2"/>
  </r>
  <r>
    <d v="2013-08-19T00:00:00"/>
    <s v="017-2100-000"/>
    <s v="Food Sales"/>
    <n v="5523.8034999999991"/>
    <n v="0"/>
    <s v="Daily Sales Import"/>
    <n v="-5523.8034999999991"/>
    <n v="5523.8034999999991"/>
    <x v="1"/>
    <s v="2100"/>
    <s v="000"/>
    <x v="10"/>
    <x v="2"/>
  </r>
  <r>
    <d v="2013-08-19T00:00:00"/>
    <s v="017-2210-000"/>
    <s v="Liquor Sales"/>
    <n v="1035.414"/>
    <n v="0"/>
    <s v="Daily Sales Import"/>
    <n v="-1035.414"/>
    <n v="1035.414"/>
    <x v="1"/>
    <s v="2210"/>
    <s v="000"/>
    <x v="10"/>
    <x v="2"/>
  </r>
  <r>
    <d v="2013-08-19T00:00:00"/>
    <s v="017-2220-000"/>
    <s v="Beer Sales"/>
    <n v="210.86450000000002"/>
    <n v="0"/>
    <s v="Daily Sales Import"/>
    <n v="-210.86450000000002"/>
    <n v="210.86450000000002"/>
    <x v="1"/>
    <s v="2220"/>
    <s v="000"/>
    <x v="10"/>
    <x v="2"/>
  </r>
  <r>
    <d v="2013-08-19T00:00:00"/>
    <s v="017-2230-000"/>
    <s v="Wine Sales"/>
    <n v="83.353600000000014"/>
    <n v="0"/>
    <s v="Daily Sales Import"/>
    <n v="-83.353600000000014"/>
    <n v="83.353600000000014"/>
    <x v="1"/>
    <s v="2230"/>
    <s v="000"/>
    <x v="10"/>
    <x v="2"/>
  </r>
  <r>
    <d v="2013-08-20T00:00:00"/>
    <s v="017-2100-000"/>
    <s v="Food Sales"/>
    <n v="6793.1948999999986"/>
    <n v="0"/>
    <s v="Daily Sales Import"/>
    <n v="-6793.1948999999986"/>
    <n v="6793.1948999999986"/>
    <x v="1"/>
    <s v="2100"/>
    <s v="000"/>
    <x v="10"/>
    <x v="2"/>
  </r>
  <r>
    <d v="2013-08-20T00:00:00"/>
    <s v="017-2210-000"/>
    <s v="Liquor Sales"/>
    <n v="2076.5877"/>
    <n v="0"/>
    <s v="Daily Sales Import"/>
    <n v="-2076.5877"/>
    <n v="2076.5877"/>
    <x v="1"/>
    <s v="2210"/>
    <s v="000"/>
    <x v="10"/>
    <x v="2"/>
  </r>
  <r>
    <d v="2013-08-20T00:00:00"/>
    <s v="017-2220-000"/>
    <s v="Beer Sales"/>
    <n v="409.11540000000002"/>
    <n v="0"/>
    <s v="Daily Sales Import"/>
    <n v="-409.11540000000002"/>
    <n v="409.11540000000002"/>
    <x v="1"/>
    <s v="2220"/>
    <s v="000"/>
    <x v="10"/>
    <x v="2"/>
  </r>
  <r>
    <d v="2013-08-20T00:00:00"/>
    <s v="017-2230-000"/>
    <s v="Wine Sales"/>
    <n v="97.227000000000004"/>
    <n v="0"/>
    <s v="Daily Sales Import"/>
    <n v="-97.227000000000004"/>
    <n v="97.227000000000004"/>
    <x v="1"/>
    <s v="2230"/>
    <s v="000"/>
    <x v="10"/>
    <x v="2"/>
  </r>
  <r>
    <d v="2013-08-21T00:00:00"/>
    <s v="017-2100-000"/>
    <s v="Food Sales"/>
    <n v="7703.2999999999993"/>
    <n v="0"/>
    <s v="Daily Sales Import"/>
    <n v="-7703.2999999999993"/>
    <n v="7703.2999999999993"/>
    <x v="1"/>
    <s v="2100"/>
    <s v="000"/>
    <x v="10"/>
    <x v="2"/>
  </r>
  <r>
    <d v="2013-08-21T00:00:00"/>
    <s v="017-2210-000"/>
    <s v="Liquor Sales"/>
    <n v="1997.3274999999996"/>
    <n v="0"/>
    <s v="Daily Sales Import"/>
    <n v="-1997.3274999999996"/>
    <n v="1997.3274999999996"/>
    <x v="1"/>
    <s v="2210"/>
    <s v="000"/>
    <x v="10"/>
    <x v="2"/>
  </r>
  <r>
    <d v="2013-08-21T00:00:00"/>
    <s v="017-2220-000"/>
    <s v="Beer Sales"/>
    <n v="500.43399999999997"/>
    <n v="0"/>
    <s v="Daily Sales Import"/>
    <n v="-500.43399999999997"/>
    <n v="500.43399999999997"/>
    <x v="1"/>
    <s v="2220"/>
    <s v="000"/>
    <x v="10"/>
    <x v="2"/>
  </r>
  <r>
    <d v="2013-08-21T00:00:00"/>
    <s v="017-2230-000"/>
    <s v="Wine Sales"/>
    <n v="139.72800000000001"/>
    <n v="0"/>
    <s v="Daily Sales Import"/>
    <n v="-139.72800000000001"/>
    <n v="139.72800000000001"/>
    <x v="1"/>
    <s v="2230"/>
    <s v="000"/>
    <x v="10"/>
    <x v="2"/>
  </r>
  <r>
    <d v="2013-08-22T00:00:00"/>
    <s v="017-2100-000"/>
    <s v="Food Sales"/>
    <n v="5935.29"/>
    <n v="0"/>
    <s v="Daily Sales Import"/>
    <n v="-5935.29"/>
    <n v="5935.29"/>
    <x v="1"/>
    <s v="2100"/>
    <s v="000"/>
    <x v="10"/>
    <x v="2"/>
  </r>
  <r>
    <d v="2013-08-22T00:00:00"/>
    <s v="017-2210-000"/>
    <s v="Liquor Sales"/>
    <n v="1876.5230000000001"/>
    <n v="0"/>
    <s v="Daily Sales Import"/>
    <n v="-1876.5230000000001"/>
    <n v="1876.5230000000001"/>
    <x v="1"/>
    <s v="2210"/>
    <s v="000"/>
    <x v="10"/>
    <x v="2"/>
  </r>
  <r>
    <d v="2013-08-22T00:00:00"/>
    <s v="017-2220-000"/>
    <s v="Beer Sales"/>
    <n v="765.48639999999989"/>
    <n v="0"/>
    <s v="Daily Sales Import"/>
    <n v="-765.48639999999989"/>
    <n v="765.48639999999989"/>
    <x v="1"/>
    <s v="2220"/>
    <s v="000"/>
    <x v="10"/>
    <x v="2"/>
  </r>
  <r>
    <d v="2013-08-22T00:00:00"/>
    <s v="017-2230-000"/>
    <s v="Wine Sales"/>
    <n v="157.38239999999999"/>
    <n v="0"/>
    <s v="Daily Sales Import"/>
    <n v="-157.38239999999999"/>
    <n v="157.38239999999999"/>
    <x v="1"/>
    <s v="2230"/>
    <s v="000"/>
    <x v="10"/>
    <x v="2"/>
  </r>
  <r>
    <d v="2013-08-23T00:00:00"/>
    <s v="017-2100-000"/>
    <s v="Food Sales"/>
    <n v="6950.2132000000001"/>
    <n v="0"/>
    <s v="Daily Sales Import"/>
    <n v="-6950.2132000000001"/>
    <n v="6950.2132000000001"/>
    <x v="1"/>
    <s v="2100"/>
    <s v="000"/>
    <x v="10"/>
    <x v="2"/>
  </r>
  <r>
    <d v="2013-08-23T00:00:00"/>
    <s v="017-2210-000"/>
    <s v="Liquor Sales"/>
    <n v="2163.0422000000003"/>
    <n v="0"/>
    <s v="Daily Sales Import"/>
    <n v="-2163.0422000000003"/>
    <n v="2163.0422000000003"/>
    <x v="1"/>
    <s v="2210"/>
    <s v="000"/>
    <x v="10"/>
    <x v="2"/>
  </r>
  <r>
    <d v="2013-08-23T00:00:00"/>
    <s v="017-2220-000"/>
    <s v="Beer Sales"/>
    <n v="329.43900000000002"/>
    <n v="0"/>
    <s v="Daily Sales Import"/>
    <n v="-329.43900000000002"/>
    <n v="329.43900000000002"/>
    <x v="1"/>
    <s v="2220"/>
    <s v="000"/>
    <x v="10"/>
    <x v="2"/>
  </r>
  <r>
    <d v="2013-08-23T00:00:00"/>
    <s v="017-2230-000"/>
    <s v="Wine Sales"/>
    <n v="108.47019999999999"/>
    <n v="0"/>
    <s v="Daily Sales Import"/>
    <n v="-108.47019999999999"/>
    <n v="108.47019999999999"/>
    <x v="1"/>
    <s v="2230"/>
    <s v="000"/>
    <x v="10"/>
    <x v="2"/>
  </r>
  <r>
    <d v="2013-08-24T00:00:00"/>
    <s v="017-2100-000"/>
    <s v="Food Sales"/>
    <n v="5889.9840000000004"/>
    <n v="0"/>
    <s v="Daily Sales Import"/>
    <n v="-5889.9840000000004"/>
    <n v="5889.9840000000004"/>
    <x v="1"/>
    <s v="2100"/>
    <s v="000"/>
    <x v="10"/>
    <x v="2"/>
  </r>
  <r>
    <d v="2013-08-24T00:00:00"/>
    <s v="017-2210-000"/>
    <s v="Liquor Sales"/>
    <n v="1622.0144"/>
    <n v="0"/>
    <s v="Daily Sales Import"/>
    <n v="-1622.0144"/>
    <n v="1622.0144"/>
    <x v="1"/>
    <s v="2210"/>
    <s v="000"/>
    <x v="10"/>
    <x v="2"/>
  </r>
  <r>
    <d v="2013-08-24T00:00:00"/>
    <s v="017-2220-000"/>
    <s v="Beer Sales"/>
    <n v="526.75540000000001"/>
    <n v="0"/>
    <s v="Daily Sales Import"/>
    <n v="-526.75540000000001"/>
    <n v="526.75540000000001"/>
    <x v="1"/>
    <s v="2220"/>
    <s v="000"/>
    <x v="10"/>
    <x v="2"/>
  </r>
  <r>
    <d v="2013-08-24T00:00:00"/>
    <s v="017-2230-000"/>
    <s v="Wine Sales"/>
    <n v="43.5105"/>
    <n v="0"/>
    <s v="Daily Sales Import"/>
    <n v="-43.5105"/>
    <n v="43.5105"/>
    <x v="1"/>
    <s v="2230"/>
    <s v="000"/>
    <x v="10"/>
    <x v="2"/>
  </r>
  <r>
    <d v="2013-08-25T00:00:00"/>
    <s v="017-2100-000"/>
    <s v="Food Sales"/>
    <n v="5420.7532000000001"/>
    <n v="0"/>
    <s v="Daily Sales Import"/>
    <n v="-5420.7532000000001"/>
    <n v="5420.7532000000001"/>
    <x v="1"/>
    <s v="2100"/>
    <s v="000"/>
    <x v="10"/>
    <x v="2"/>
  </r>
  <r>
    <d v="2013-08-25T00:00:00"/>
    <s v="017-2210-000"/>
    <s v="Liquor Sales"/>
    <n v="1654.2857999999999"/>
    <n v="0"/>
    <s v="Daily Sales Import"/>
    <n v="-1654.2857999999999"/>
    <n v="1654.2857999999999"/>
    <x v="1"/>
    <s v="2210"/>
    <s v="000"/>
    <x v="10"/>
    <x v="2"/>
  </r>
  <r>
    <d v="2013-08-25T00:00:00"/>
    <s v="017-2220-000"/>
    <s v="Beer Sales"/>
    <n v="238.2432"/>
    <n v="0"/>
    <s v="Daily Sales Import"/>
    <n v="-238.2432"/>
    <n v="238.2432"/>
    <x v="1"/>
    <s v="2220"/>
    <s v="000"/>
    <x v="10"/>
    <x v="2"/>
  </r>
  <r>
    <d v="2013-08-25T00:00:00"/>
    <s v="017-2230-000"/>
    <s v="Wine Sales"/>
    <n v="72.605400000000003"/>
    <n v="0"/>
    <s v="Daily Sales Import"/>
    <n v="-72.605400000000003"/>
    <n v="72.605400000000003"/>
    <x v="1"/>
    <s v="2230"/>
    <s v="000"/>
    <x v="10"/>
    <x v="2"/>
  </r>
  <r>
    <d v="2013-08-19T00:00:00"/>
    <s v="018-2100-000"/>
    <s v="Food Sales"/>
    <n v="3358.72"/>
    <n v="0"/>
    <s v="Daily Sales Import"/>
    <n v="-3358.72"/>
    <n v="3358.72"/>
    <x v="2"/>
    <s v="2100"/>
    <s v="000"/>
    <x v="10"/>
    <x v="2"/>
  </r>
  <r>
    <d v="2013-08-19T00:00:00"/>
    <s v="018-2210-000"/>
    <s v="Liquor Sales"/>
    <n v="413.96840000000003"/>
    <n v="0"/>
    <s v="Daily Sales Import"/>
    <n v="-413.96840000000003"/>
    <n v="413.96840000000003"/>
    <x v="2"/>
    <s v="2210"/>
    <s v="000"/>
    <x v="10"/>
    <x v="2"/>
  </r>
  <r>
    <d v="2013-08-19T00:00:00"/>
    <s v="018-2220-000"/>
    <s v="Beer Sales"/>
    <n v="110.73859999999999"/>
    <n v="0"/>
    <s v="Daily Sales Import"/>
    <n v="-110.73859999999999"/>
    <n v="110.73859999999999"/>
    <x v="2"/>
    <s v="2220"/>
    <s v="000"/>
    <x v="10"/>
    <x v="2"/>
  </r>
  <r>
    <d v="2013-08-19T00:00:00"/>
    <s v="018-2230-000"/>
    <s v="Wine Sales"/>
    <n v="6.4719000000000007"/>
    <n v="0"/>
    <s v="Daily Sales Import"/>
    <n v="-6.4719000000000007"/>
    <n v="6.4719000000000007"/>
    <x v="2"/>
    <s v="2230"/>
    <s v="000"/>
    <x v="10"/>
    <x v="2"/>
  </r>
  <r>
    <d v="2013-08-20T00:00:00"/>
    <s v="018-2100-000"/>
    <s v="Food Sales"/>
    <n v="3844.8424000000005"/>
    <n v="0"/>
    <s v="Daily Sales Import"/>
    <n v="-3844.8424000000005"/>
    <n v="3844.8424000000005"/>
    <x v="2"/>
    <s v="2100"/>
    <s v="000"/>
    <x v="10"/>
    <x v="2"/>
  </r>
  <r>
    <d v="2013-08-20T00:00:00"/>
    <s v="018-2210-000"/>
    <s v="Liquor Sales"/>
    <n v="795.69010000000003"/>
    <n v="0"/>
    <s v="Daily Sales Import"/>
    <n v="-795.69010000000003"/>
    <n v="795.69010000000003"/>
    <x v="2"/>
    <s v="2210"/>
    <s v="000"/>
    <x v="10"/>
    <x v="2"/>
  </r>
  <r>
    <d v="2013-08-20T00:00:00"/>
    <s v="018-2220-000"/>
    <s v="Beer Sales"/>
    <n v="231.29820000000001"/>
    <n v="0"/>
    <s v="Daily Sales Import"/>
    <n v="-231.29820000000001"/>
    <n v="231.29820000000001"/>
    <x v="2"/>
    <s v="2220"/>
    <s v="000"/>
    <x v="10"/>
    <x v="2"/>
  </r>
  <r>
    <d v="2013-08-20T00:00:00"/>
    <s v="018-2230-000"/>
    <s v="Wine Sales"/>
    <n v="28.768000000000001"/>
    <n v="0"/>
    <s v="Daily Sales Import"/>
    <n v="-28.768000000000001"/>
    <n v="28.768000000000001"/>
    <x v="2"/>
    <s v="2230"/>
    <s v="000"/>
    <x v="10"/>
    <x v="2"/>
  </r>
  <r>
    <d v="2013-08-21T00:00:00"/>
    <s v="018-2100-000"/>
    <s v="Food Sales"/>
    <n v="4523.6352000000006"/>
    <n v="0"/>
    <s v="Daily Sales Import"/>
    <n v="-4523.6352000000006"/>
    <n v="4523.6352000000006"/>
    <x v="2"/>
    <s v="2100"/>
    <s v="000"/>
    <x v="10"/>
    <x v="2"/>
  </r>
  <r>
    <d v="2013-08-21T00:00:00"/>
    <s v="018-2210-000"/>
    <s v="Liquor Sales"/>
    <n v="959.7059999999999"/>
    <n v="0"/>
    <s v="Daily Sales Import"/>
    <n v="-959.7059999999999"/>
    <n v="959.7059999999999"/>
    <x v="2"/>
    <s v="2210"/>
    <s v="000"/>
    <x v="10"/>
    <x v="2"/>
  </r>
  <r>
    <d v="2013-08-21T00:00:00"/>
    <s v="018-2220-000"/>
    <s v="Beer Sales"/>
    <n v="271.86689999999999"/>
    <n v="0"/>
    <s v="Daily Sales Import"/>
    <n v="-271.86689999999999"/>
    <n v="271.86689999999999"/>
    <x v="2"/>
    <s v="2220"/>
    <s v="000"/>
    <x v="10"/>
    <x v="2"/>
  </r>
  <r>
    <d v="2013-08-21T00:00:00"/>
    <s v="018-2230-000"/>
    <s v="Wine Sales"/>
    <n v="27.166000000000004"/>
    <n v="0"/>
    <s v="Daily Sales Import"/>
    <n v="-27.166000000000004"/>
    <n v="27.166000000000004"/>
    <x v="2"/>
    <s v="2230"/>
    <s v="000"/>
    <x v="10"/>
    <x v="2"/>
  </r>
  <r>
    <d v="2013-08-22T00:00:00"/>
    <s v="018-2100-000"/>
    <s v="Food Sales"/>
    <n v="4048.1911999999998"/>
    <n v="0"/>
    <s v="Daily Sales Import"/>
    <n v="-4048.1911999999998"/>
    <n v="4048.1911999999998"/>
    <x v="2"/>
    <s v="2100"/>
    <s v="000"/>
    <x v="10"/>
    <x v="2"/>
  </r>
  <r>
    <d v="2013-08-22T00:00:00"/>
    <s v="018-2210-000"/>
    <s v="Liquor Sales"/>
    <n v="892.28800000000001"/>
    <n v="0"/>
    <s v="Daily Sales Import"/>
    <n v="-892.28800000000001"/>
    <n v="892.28800000000001"/>
    <x v="2"/>
    <s v="2210"/>
    <s v="000"/>
    <x v="10"/>
    <x v="2"/>
  </r>
  <r>
    <d v="2013-08-22T00:00:00"/>
    <s v="018-2220-000"/>
    <s v="Beer Sales"/>
    <n v="318.66359999999997"/>
    <n v="0"/>
    <s v="Daily Sales Import"/>
    <n v="-318.66359999999997"/>
    <n v="318.66359999999997"/>
    <x v="2"/>
    <s v="2220"/>
    <s v="000"/>
    <x v="10"/>
    <x v="2"/>
  </r>
  <r>
    <d v="2013-08-22T00:00:00"/>
    <s v="018-2230-000"/>
    <s v="Wine Sales"/>
    <n v="67.313400000000001"/>
    <n v="0"/>
    <s v="Daily Sales Import"/>
    <n v="-67.313400000000001"/>
    <n v="67.313400000000001"/>
    <x v="2"/>
    <s v="2230"/>
    <s v="000"/>
    <x v="10"/>
    <x v="2"/>
  </r>
  <r>
    <d v="2013-08-23T00:00:00"/>
    <s v="018-2100-000"/>
    <s v="Food Sales"/>
    <n v="9186.869999999999"/>
    <n v="0"/>
    <s v="Daily Sales Import"/>
    <n v="-9186.869999999999"/>
    <n v="9186.869999999999"/>
    <x v="2"/>
    <s v="2100"/>
    <s v="000"/>
    <x v="10"/>
    <x v="2"/>
  </r>
  <r>
    <d v="2013-08-23T00:00:00"/>
    <s v="018-2210-000"/>
    <s v="Liquor Sales"/>
    <n v="1686.3224000000002"/>
    <n v="0"/>
    <s v="Daily Sales Import"/>
    <n v="-1686.3224000000002"/>
    <n v="1686.3224000000002"/>
    <x v="2"/>
    <s v="2210"/>
    <s v="000"/>
    <x v="10"/>
    <x v="2"/>
  </r>
  <r>
    <d v="2013-08-23T00:00:00"/>
    <s v="018-2220-000"/>
    <s v="Beer Sales"/>
    <n v="469.62869999999992"/>
    <n v="0"/>
    <s v="Daily Sales Import"/>
    <n v="-469.62869999999992"/>
    <n v="469.62869999999992"/>
    <x v="2"/>
    <s v="2220"/>
    <s v="000"/>
    <x v="10"/>
    <x v="2"/>
  </r>
  <r>
    <d v="2013-08-23T00:00:00"/>
    <s v="018-2230-000"/>
    <s v="Wine Sales"/>
    <n v="40.790700000000001"/>
    <n v="0"/>
    <s v="Daily Sales Import"/>
    <n v="-40.790700000000001"/>
    <n v="40.790700000000001"/>
    <x v="2"/>
    <s v="2230"/>
    <s v="000"/>
    <x v="10"/>
    <x v="2"/>
  </r>
  <r>
    <d v="2013-08-24T00:00:00"/>
    <s v="018-2100-000"/>
    <s v="Food Sales"/>
    <n v="15875.971299999999"/>
    <n v="0"/>
    <s v="Daily Sales Import"/>
    <n v="-15875.971299999999"/>
    <n v="15875.971299999999"/>
    <x v="2"/>
    <s v="2100"/>
    <s v="000"/>
    <x v="10"/>
    <x v="2"/>
  </r>
  <r>
    <d v="2013-08-24T00:00:00"/>
    <s v="018-2210-000"/>
    <s v="Liquor Sales"/>
    <n v="2631.23"/>
    <n v="0"/>
    <s v="Daily Sales Import"/>
    <n v="-2631.23"/>
    <n v="2631.23"/>
    <x v="2"/>
    <s v="2210"/>
    <s v="000"/>
    <x v="10"/>
    <x v="2"/>
  </r>
  <r>
    <d v="2013-08-24T00:00:00"/>
    <s v="018-2220-000"/>
    <s v="Beer Sales"/>
    <n v="991.45799999999997"/>
    <n v="0"/>
    <s v="Daily Sales Import"/>
    <n v="-991.45799999999997"/>
    <n v="991.45799999999997"/>
    <x v="2"/>
    <s v="2220"/>
    <s v="000"/>
    <x v="10"/>
    <x v="2"/>
  </r>
  <r>
    <d v="2013-08-24T00:00:00"/>
    <s v="018-2230-000"/>
    <s v="Wine Sales"/>
    <n v="55.087200000000003"/>
    <n v="0"/>
    <s v="Daily Sales Import"/>
    <n v="-55.087200000000003"/>
    <n v="55.087200000000003"/>
    <x v="2"/>
    <s v="2230"/>
    <s v="000"/>
    <x v="10"/>
    <x v="2"/>
  </r>
  <r>
    <d v="2013-08-25T00:00:00"/>
    <s v="018-2100-000"/>
    <s v="Food Sales"/>
    <n v="10485.9058"/>
    <n v="0"/>
    <s v="Daily Sales Import"/>
    <n v="-10485.9058"/>
    <n v="10485.9058"/>
    <x v="2"/>
    <s v="2100"/>
    <s v="000"/>
    <x v="10"/>
    <x v="2"/>
  </r>
  <r>
    <d v="2013-08-25T00:00:00"/>
    <s v="018-2210-000"/>
    <s v="Liquor Sales"/>
    <n v="1273.2080000000001"/>
    <n v="0"/>
    <s v="Daily Sales Import"/>
    <n v="-1273.2080000000001"/>
    <n v="1273.2080000000001"/>
    <x v="2"/>
    <s v="2210"/>
    <s v="000"/>
    <x v="10"/>
    <x v="2"/>
  </r>
  <r>
    <d v="2013-08-25T00:00:00"/>
    <s v="018-2220-000"/>
    <s v="Beer Sales"/>
    <n v="326.26800000000003"/>
    <n v="0"/>
    <s v="Daily Sales Import"/>
    <n v="-326.26800000000003"/>
    <n v="326.26800000000003"/>
    <x v="2"/>
    <s v="2220"/>
    <s v="000"/>
    <x v="10"/>
    <x v="2"/>
  </r>
  <r>
    <d v="2013-08-25T00:00:00"/>
    <s v="018-2230-000"/>
    <s v="Wine Sales"/>
    <n v="84.106599999999986"/>
    <n v="0"/>
    <s v="Daily Sales Import"/>
    <n v="-84.106599999999986"/>
    <n v="84.106599999999986"/>
    <x v="2"/>
    <s v="2230"/>
    <s v="000"/>
    <x v="10"/>
    <x v="2"/>
  </r>
  <r>
    <d v="2013-08-19T00:00:00"/>
    <s v="019-2100-000"/>
    <s v="Food Sales"/>
    <n v="3046.8828000000003"/>
    <n v="0"/>
    <s v="Daily Sales Import"/>
    <n v="-3046.8828000000003"/>
    <n v="3046.8828000000003"/>
    <x v="3"/>
    <s v="2100"/>
    <s v="000"/>
    <x v="10"/>
    <x v="2"/>
  </r>
  <r>
    <d v="2013-08-19T00:00:00"/>
    <s v="019-2210-000"/>
    <s v="Liquor Sales"/>
    <n v="695.6880000000001"/>
    <n v="0"/>
    <s v="Daily Sales Import"/>
    <n v="-695.6880000000001"/>
    <n v="695.6880000000001"/>
    <x v="3"/>
    <s v="2210"/>
    <s v="000"/>
    <x v="10"/>
    <x v="2"/>
  </r>
  <r>
    <d v="2013-08-19T00:00:00"/>
    <s v="019-2220-000"/>
    <s v="Beer Sales"/>
    <n v="179.27470000000002"/>
    <n v="0"/>
    <s v="Daily Sales Import"/>
    <n v="-179.27470000000002"/>
    <n v="179.27470000000002"/>
    <x v="3"/>
    <s v="2220"/>
    <s v="000"/>
    <x v="10"/>
    <x v="2"/>
  </r>
  <r>
    <d v="2013-08-19T00:00:00"/>
    <s v="019-2230-000"/>
    <s v="Wine Sales"/>
    <n v="17.388400000000001"/>
    <n v="0"/>
    <s v="Daily Sales Import"/>
    <n v="-17.388400000000001"/>
    <n v="17.388400000000001"/>
    <x v="3"/>
    <s v="2230"/>
    <s v="000"/>
    <x v="10"/>
    <x v="2"/>
  </r>
  <r>
    <d v="2013-08-20T00:00:00"/>
    <s v="019-2100-000"/>
    <s v="Food Sales"/>
    <n v="4335.87"/>
    <n v="0"/>
    <s v="Daily Sales Import"/>
    <n v="-4335.87"/>
    <n v="4335.87"/>
    <x v="3"/>
    <s v="2100"/>
    <s v="000"/>
    <x v="10"/>
    <x v="2"/>
  </r>
  <r>
    <d v="2013-08-20T00:00:00"/>
    <s v="019-2210-000"/>
    <s v="Liquor Sales"/>
    <n v="728.52570000000003"/>
    <n v="0"/>
    <s v="Daily Sales Import"/>
    <n v="-728.52570000000003"/>
    <n v="728.52570000000003"/>
    <x v="3"/>
    <s v="2210"/>
    <s v="000"/>
    <x v="10"/>
    <x v="2"/>
  </r>
  <r>
    <d v="2013-08-20T00:00:00"/>
    <s v="019-2220-000"/>
    <s v="Beer Sales"/>
    <n v="318.0222"/>
    <n v="0"/>
    <s v="Daily Sales Import"/>
    <n v="-318.0222"/>
    <n v="318.0222"/>
    <x v="3"/>
    <s v="2220"/>
    <s v="000"/>
    <x v="10"/>
    <x v="2"/>
  </r>
  <r>
    <d v="2013-08-20T00:00:00"/>
    <s v="019-2230-000"/>
    <s v="Wine Sales"/>
    <n v="21.170500000000001"/>
    <n v="0"/>
    <s v="Daily Sales Import"/>
    <n v="-21.170500000000001"/>
    <n v="21.170500000000001"/>
    <x v="3"/>
    <s v="2230"/>
    <s v="000"/>
    <x v="10"/>
    <x v="2"/>
  </r>
  <r>
    <d v="2013-08-21T00:00:00"/>
    <s v="019-2100-000"/>
    <s v="Food Sales"/>
    <n v="3411.2890000000002"/>
    <n v="0"/>
    <s v="Daily Sales Import"/>
    <n v="-3411.2890000000002"/>
    <n v="3411.2890000000002"/>
    <x v="3"/>
    <s v="2100"/>
    <s v="000"/>
    <x v="10"/>
    <x v="2"/>
  </r>
  <r>
    <d v="2013-08-21T00:00:00"/>
    <s v="019-2210-000"/>
    <s v="Liquor Sales"/>
    <n v="816.31360000000006"/>
    <n v="0"/>
    <s v="Daily Sales Import"/>
    <n v="-816.31360000000006"/>
    <n v="816.31360000000006"/>
    <x v="3"/>
    <s v="2210"/>
    <s v="000"/>
    <x v="10"/>
    <x v="2"/>
  </r>
  <r>
    <d v="2013-08-21T00:00:00"/>
    <s v="019-2220-000"/>
    <s v="Beer Sales"/>
    <n v="236.268"/>
    <n v="0"/>
    <s v="Daily Sales Import"/>
    <n v="-236.268"/>
    <n v="236.268"/>
    <x v="3"/>
    <s v="2220"/>
    <s v="000"/>
    <x v="10"/>
    <x v="2"/>
  </r>
  <r>
    <d v="2013-08-21T00:00:00"/>
    <s v="019-2230-000"/>
    <s v="Wine Sales"/>
    <n v="81.353999999999999"/>
    <n v="0"/>
    <s v="Daily Sales Import"/>
    <n v="-81.353999999999999"/>
    <n v="81.353999999999999"/>
    <x v="3"/>
    <s v="2230"/>
    <s v="000"/>
    <x v="10"/>
    <x v="2"/>
  </r>
  <r>
    <d v="2013-08-22T00:00:00"/>
    <s v="019-2100-000"/>
    <s v="Food Sales"/>
    <n v="2993.7140999999997"/>
    <n v="0"/>
    <s v="Daily Sales Import"/>
    <n v="-2993.7140999999997"/>
    <n v="2993.7140999999997"/>
    <x v="3"/>
    <s v="2100"/>
    <s v="000"/>
    <x v="10"/>
    <x v="2"/>
  </r>
  <r>
    <d v="2013-08-22T00:00:00"/>
    <s v="019-2210-000"/>
    <s v="Liquor Sales"/>
    <n v="756.76350000000002"/>
    <n v="0"/>
    <s v="Daily Sales Import"/>
    <n v="-756.76350000000002"/>
    <n v="756.76350000000002"/>
    <x v="3"/>
    <s v="2210"/>
    <s v="000"/>
    <x v="10"/>
    <x v="2"/>
  </r>
  <r>
    <d v="2013-08-22T00:00:00"/>
    <s v="019-2220-000"/>
    <s v="Beer Sales"/>
    <n v="167.40359999999998"/>
    <n v="0"/>
    <s v="Daily Sales Import"/>
    <n v="-167.40359999999998"/>
    <n v="167.40359999999998"/>
    <x v="3"/>
    <s v="2220"/>
    <s v="000"/>
    <x v="10"/>
    <x v="2"/>
  </r>
  <r>
    <d v="2013-08-22T00:00:00"/>
    <s v="019-2230-000"/>
    <s v="Wine Sales"/>
    <n v="48.607999999999997"/>
    <n v="0"/>
    <s v="Daily Sales Import"/>
    <n v="-48.607999999999997"/>
    <n v="48.607999999999997"/>
    <x v="3"/>
    <s v="2230"/>
    <s v="000"/>
    <x v="10"/>
    <x v="2"/>
  </r>
  <r>
    <d v="2013-08-23T00:00:00"/>
    <s v="019-2100-000"/>
    <s v="Food Sales"/>
    <n v="6402.6900000000005"/>
    <n v="0"/>
    <s v="Daily Sales Import"/>
    <n v="-6402.6900000000005"/>
    <n v="6402.6900000000005"/>
    <x v="3"/>
    <s v="2100"/>
    <s v="000"/>
    <x v="10"/>
    <x v="2"/>
  </r>
  <r>
    <d v="2013-08-23T00:00:00"/>
    <s v="019-2210-000"/>
    <s v="Liquor Sales"/>
    <n v="1423.722"/>
    <n v="0"/>
    <s v="Daily Sales Import"/>
    <n v="-1423.722"/>
    <n v="1423.722"/>
    <x v="3"/>
    <s v="2210"/>
    <s v="000"/>
    <x v="10"/>
    <x v="2"/>
  </r>
  <r>
    <d v="2013-08-23T00:00:00"/>
    <s v="019-2220-000"/>
    <s v="Beer Sales"/>
    <n v="447.9221"/>
    <n v="0"/>
    <s v="Daily Sales Import"/>
    <n v="-447.9221"/>
    <n v="447.9221"/>
    <x v="3"/>
    <s v="2220"/>
    <s v="000"/>
    <x v="10"/>
    <x v="2"/>
  </r>
  <r>
    <d v="2013-08-23T00:00:00"/>
    <s v="019-2230-000"/>
    <s v="Wine Sales"/>
    <n v="81.762599999999992"/>
    <n v="0"/>
    <s v="Daily Sales Import"/>
    <n v="-81.762599999999992"/>
    <n v="81.762599999999992"/>
    <x v="3"/>
    <s v="2230"/>
    <s v="000"/>
    <x v="10"/>
    <x v="2"/>
  </r>
  <r>
    <d v="2013-08-24T00:00:00"/>
    <s v="019-2100-000"/>
    <s v="Food Sales"/>
    <n v="6719.8410000000003"/>
    <n v="0"/>
    <s v="Daily Sales Import"/>
    <n v="-6719.8410000000003"/>
    <n v="6719.8410000000003"/>
    <x v="3"/>
    <s v="2100"/>
    <s v="000"/>
    <x v="10"/>
    <x v="2"/>
  </r>
  <r>
    <d v="2013-08-24T00:00:00"/>
    <s v="019-2210-000"/>
    <s v="Liquor Sales"/>
    <n v="3475.0577999999996"/>
    <n v="0"/>
    <s v="Daily Sales Import"/>
    <n v="-3475.0577999999996"/>
    <n v="3475.0577999999996"/>
    <x v="3"/>
    <s v="2210"/>
    <s v="000"/>
    <x v="10"/>
    <x v="2"/>
  </r>
  <r>
    <d v="2013-08-24T00:00:00"/>
    <s v="019-2220-000"/>
    <s v="Beer Sales"/>
    <n v="368.60670000000005"/>
    <n v="0"/>
    <s v="Daily Sales Import"/>
    <n v="-368.60670000000005"/>
    <n v="368.60670000000005"/>
    <x v="3"/>
    <s v="2220"/>
    <s v="000"/>
    <x v="10"/>
    <x v="2"/>
  </r>
  <r>
    <d v="2013-08-24T00:00:00"/>
    <s v="019-2230-000"/>
    <s v="Wine Sales"/>
    <n v="81.505500000000012"/>
    <n v="0"/>
    <s v="Daily Sales Import"/>
    <n v="-81.505500000000012"/>
    <n v="81.505500000000012"/>
    <x v="3"/>
    <s v="2230"/>
    <s v="000"/>
    <x v="10"/>
    <x v="2"/>
  </r>
  <r>
    <d v="2013-08-25T00:00:00"/>
    <s v="019-2100-000"/>
    <s v="Food Sales"/>
    <n v="3634.0127999999995"/>
    <n v="0"/>
    <s v="Daily Sales Import"/>
    <n v="-3634.0127999999995"/>
    <n v="3634.0127999999995"/>
    <x v="3"/>
    <s v="2100"/>
    <s v="000"/>
    <x v="10"/>
    <x v="2"/>
  </r>
  <r>
    <d v="2013-08-25T00:00:00"/>
    <s v="019-2210-000"/>
    <s v="Liquor Sales"/>
    <n v="1526.6215"/>
    <n v="0"/>
    <s v="Daily Sales Import"/>
    <n v="-1526.6215"/>
    <n v="1526.6215"/>
    <x v="3"/>
    <s v="2210"/>
    <s v="000"/>
    <x v="10"/>
    <x v="2"/>
  </r>
  <r>
    <d v="2013-08-25T00:00:00"/>
    <s v="019-2220-000"/>
    <s v="Beer Sales"/>
    <n v="167.52719999999997"/>
    <n v="0"/>
    <s v="Daily Sales Import"/>
    <n v="-167.52719999999997"/>
    <n v="167.52719999999997"/>
    <x v="3"/>
    <s v="2220"/>
    <s v="000"/>
    <x v="10"/>
    <x v="2"/>
  </r>
  <r>
    <d v="2013-08-25T00:00:00"/>
    <s v="019-2230-000"/>
    <s v="Wine Sales"/>
    <n v="116.77680000000001"/>
    <n v="0"/>
    <s v="Daily Sales Import"/>
    <n v="-116.77680000000001"/>
    <n v="116.77680000000001"/>
    <x v="3"/>
    <s v="2230"/>
    <s v="000"/>
    <x v="10"/>
    <x v="2"/>
  </r>
  <r>
    <d v="2013-08-26T00:00:00"/>
    <s v="016-2100-000"/>
    <s v="Food Sales"/>
    <n v="2559.7160000000003"/>
    <n v="0"/>
    <s v="Daily Sales Import"/>
    <n v="-2559.7160000000003"/>
    <n v="2559.7160000000003"/>
    <x v="0"/>
    <s v="2100"/>
    <s v="000"/>
    <x v="10"/>
    <x v="2"/>
  </r>
  <r>
    <d v="2013-08-26T00:00:00"/>
    <s v="016-2210-000"/>
    <s v="Liquor Sales"/>
    <n v="516.98699999999997"/>
    <n v="0"/>
    <s v="Daily Sales Import"/>
    <n v="-516.98699999999997"/>
    <n v="516.98699999999997"/>
    <x v="0"/>
    <s v="2210"/>
    <s v="000"/>
    <x v="10"/>
    <x v="2"/>
  </r>
  <r>
    <d v="2013-08-26T00:00:00"/>
    <s v="016-2220-000"/>
    <s v="Beer Sales"/>
    <n v="105.0664"/>
    <n v="0"/>
    <s v="Daily Sales Import"/>
    <n v="-105.0664"/>
    <n v="105.0664"/>
    <x v="0"/>
    <s v="2220"/>
    <s v="000"/>
    <x v="10"/>
    <x v="2"/>
  </r>
  <r>
    <d v="2013-08-26T00:00:00"/>
    <s v="016-2230-000"/>
    <s v="Wine Sales"/>
    <n v="58.996799999999993"/>
    <n v="0"/>
    <s v="Daily Sales Import"/>
    <n v="-58.996799999999993"/>
    <n v="58.996799999999993"/>
    <x v="0"/>
    <s v="2230"/>
    <s v="000"/>
    <x v="10"/>
    <x v="2"/>
  </r>
  <r>
    <d v="2013-08-27T00:00:00"/>
    <s v="016-2100-000"/>
    <s v="Food Sales"/>
    <n v="7669.4849999999997"/>
    <n v="0"/>
    <s v="Daily Sales Import"/>
    <n v="-7669.4849999999997"/>
    <n v="7669.4849999999997"/>
    <x v="0"/>
    <s v="2100"/>
    <s v="000"/>
    <x v="10"/>
    <x v="2"/>
  </r>
  <r>
    <d v="2013-08-27T00:00:00"/>
    <s v="016-2210-000"/>
    <s v="Liquor Sales"/>
    <n v="2630.9014999999999"/>
    <n v="0"/>
    <s v="Daily Sales Import"/>
    <n v="-2630.9014999999999"/>
    <n v="2630.9014999999999"/>
    <x v="0"/>
    <s v="2210"/>
    <s v="000"/>
    <x v="10"/>
    <x v="2"/>
  </r>
  <r>
    <d v="2013-08-27T00:00:00"/>
    <s v="016-2220-000"/>
    <s v="Beer Sales"/>
    <n v="1144.8163999999999"/>
    <n v="0"/>
    <s v="Daily Sales Import"/>
    <n v="-1144.8163999999999"/>
    <n v="1144.8163999999999"/>
    <x v="0"/>
    <s v="2220"/>
    <s v="000"/>
    <x v="10"/>
    <x v="2"/>
  </r>
  <r>
    <d v="2013-08-27T00:00:00"/>
    <s v="016-2230-000"/>
    <s v="Wine Sales"/>
    <n v="116.70570000000001"/>
    <n v="0"/>
    <s v="Daily Sales Import"/>
    <n v="-116.70570000000001"/>
    <n v="116.70570000000001"/>
    <x v="0"/>
    <s v="2230"/>
    <s v="000"/>
    <x v="10"/>
    <x v="2"/>
  </r>
  <r>
    <d v="2013-08-28T00:00:00"/>
    <s v="016-2100-000"/>
    <s v="Food Sales"/>
    <n v="2144.355"/>
    <n v="0"/>
    <s v="Daily Sales Import"/>
    <n v="-2144.355"/>
    <n v="2144.355"/>
    <x v="0"/>
    <s v="2100"/>
    <s v="000"/>
    <x v="10"/>
    <x v="2"/>
  </r>
  <r>
    <d v="2013-08-28T00:00:00"/>
    <s v="016-2210-000"/>
    <s v="Liquor Sales"/>
    <n v="397.93919999999997"/>
    <n v="0"/>
    <s v="Daily Sales Import"/>
    <n v="-397.93919999999997"/>
    <n v="397.93919999999997"/>
    <x v="0"/>
    <s v="2210"/>
    <s v="000"/>
    <x v="10"/>
    <x v="2"/>
  </r>
  <r>
    <d v="2013-08-28T00:00:00"/>
    <s v="016-2220-000"/>
    <s v="Beer Sales"/>
    <n v="128.12029999999999"/>
    <n v="0"/>
    <s v="Daily Sales Import"/>
    <n v="-128.12029999999999"/>
    <n v="128.12029999999999"/>
    <x v="0"/>
    <s v="2220"/>
    <s v="000"/>
    <x v="10"/>
    <x v="2"/>
  </r>
  <r>
    <d v="2013-08-28T00:00:00"/>
    <s v="016-2230-000"/>
    <s v="Wine Sales"/>
    <n v="38.7684"/>
    <n v="0"/>
    <s v="Daily Sales Import"/>
    <n v="-38.7684"/>
    <n v="38.7684"/>
    <x v="0"/>
    <s v="2230"/>
    <s v="000"/>
    <x v="10"/>
    <x v="2"/>
  </r>
  <r>
    <d v="2013-08-29T00:00:00"/>
    <s v="016-2100-000"/>
    <s v="Food Sales"/>
    <n v="2602.6909999999998"/>
    <n v="0"/>
    <s v="Daily Sales Import"/>
    <n v="-2602.6909999999998"/>
    <n v="2602.6909999999998"/>
    <x v="0"/>
    <s v="2100"/>
    <s v="000"/>
    <x v="10"/>
    <x v="2"/>
  </r>
  <r>
    <d v="2013-08-29T00:00:00"/>
    <s v="016-2210-000"/>
    <s v="Liquor Sales"/>
    <n v="682.80840000000001"/>
    <n v="0"/>
    <s v="Daily Sales Import"/>
    <n v="-682.80840000000001"/>
    <n v="682.80840000000001"/>
    <x v="0"/>
    <s v="2210"/>
    <s v="000"/>
    <x v="10"/>
    <x v="2"/>
  </r>
  <r>
    <d v="2013-08-29T00:00:00"/>
    <s v="016-2220-000"/>
    <s v="Beer Sales"/>
    <n v="79.194000000000003"/>
    <n v="0"/>
    <s v="Daily Sales Import"/>
    <n v="-79.194000000000003"/>
    <n v="79.194000000000003"/>
    <x v="0"/>
    <s v="2220"/>
    <s v="000"/>
    <x v="10"/>
    <x v="2"/>
  </r>
  <r>
    <d v="2013-08-29T00:00:00"/>
    <s v="016-2230-000"/>
    <s v="Wine Sales"/>
    <n v="27.342899999999997"/>
    <n v="0"/>
    <s v="Daily Sales Import"/>
    <n v="-27.342899999999997"/>
    <n v="27.342899999999997"/>
    <x v="0"/>
    <s v="2230"/>
    <s v="000"/>
    <x v="10"/>
    <x v="2"/>
  </r>
  <r>
    <d v="2013-08-30T00:00:00"/>
    <s v="016-2100-000"/>
    <s v="Food Sales"/>
    <n v="4539.8407999999999"/>
    <n v="0"/>
    <s v="Daily Sales Import"/>
    <n v="-4539.8407999999999"/>
    <n v="4539.8407999999999"/>
    <x v="0"/>
    <s v="2100"/>
    <s v="000"/>
    <x v="10"/>
    <x v="2"/>
  </r>
  <r>
    <d v="2013-08-30T00:00:00"/>
    <s v="016-2210-000"/>
    <s v="Liquor Sales"/>
    <n v="1645.8024"/>
    <n v="0"/>
    <s v="Daily Sales Import"/>
    <n v="-1645.8024"/>
    <n v="1645.8024"/>
    <x v="0"/>
    <s v="2210"/>
    <s v="000"/>
    <x v="10"/>
    <x v="2"/>
  </r>
  <r>
    <d v="2013-08-30T00:00:00"/>
    <s v="016-2220-000"/>
    <s v="Beer Sales"/>
    <n v="354.31040000000002"/>
    <n v="0"/>
    <s v="Daily Sales Import"/>
    <n v="-354.31040000000002"/>
    <n v="354.31040000000002"/>
    <x v="0"/>
    <s v="2220"/>
    <s v="000"/>
    <x v="10"/>
    <x v="2"/>
  </r>
  <r>
    <d v="2013-08-30T00:00:00"/>
    <s v="016-2230-000"/>
    <s v="Wine Sales"/>
    <n v="135.85440000000003"/>
    <n v="0"/>
    <s v="Daily Sales Import"/>
    <n v="-135.85440000000003"/>
    <n v="135.85440000000003"/>
    <x v="0"/>
    <s v="2230"/>
    <s v="000"/>
    <x v="10"/>
    <x v="2"/>
  </r>
  <r>
    <d v="2013-08-31T00:00:00"/>
    <s v="016-2100-000"/>
    <s v="Food Sales"/>
    <n v="5851.1324999999997"/>
    <n v="0"/>
    <s v="Daily Sales Import"/>
    <n v="-5851.1324999999997"/>
    <n v="5851.1324999999997"/>
    <x v="0"/>
    <s v="2100"/>
    <s v="000"/>
    <x v="10"/>
    <x v="2"/>
  </r>
  <r>
    <d v="2013-08-31T00:00:00"/>
    <s v="016-2210-000"/>
    <s v="Liquor Sales"/>
    <n v="1578.4794999999999"/>
    <n v="0"/>
    <s v="Daily Sales Import"/>
    <n v="-1578.4794999999999"/>
    <n v="1578.4794999999999"/>
    <x v="0"/>
    <s v="2210"/>
    <s v="000"/>
    <x v="10"/>
    <x v="2"/>
  </r>
  <r>
    <d v="2013-08-31T00:00:00"/>
    <s v="016-2220-000"/>
    <s v="Beer Sales"/>
    <n v="344.214"/>
    <n v="0"/>
    <s v="Daily Sales Import"/>
    <n v="-344.214"/>
    <n v="344.214"/>
    <x v="0"/>
    <s v="2220"/>
    <s v="000"/>
    <x v="10"/>
    <x v="2"/>
  </r>
  <r>
    <d v="2013-08-31T00:00:00"/>
    <s v="016-2230-000"/>
    <s v="Wine Sales"/>
    <n v="98.189000000000007"/>
    <n v="0"/>
    <s v="Daily Sales Import"/>
    <n v="-98.189000000000007"/>
    <n v="98.189000000000007"/>
    <x v="0"/>
    <s v="2230"/>
    <s v="000"/>
    <x v="10"/>
    <x v="2"/>
  </r>
  <r>
    <d v="2013-09-01T00:00:00"/>
    <s v="016-2100-000"/>
    <s v="Food Sales"/>
    <n v="4044.9528000000005"/>
    <n v="0"/>
    <s v="Daily Sales Import"/>
    <n v="-4044.9528000000005"/>
    <n v="4044.9528000000005"/>
    <x v="0"/>
    <s v="2100"/>
    <s v="000"/>
    <x v="11"/>
    <x v="2"/>
  </r>
  <r>
    <d v="2013-09-01T00:00:00"/>
    <s v="016-2210-000"/>
    <s v="Liquor Sales"/>
    <n v="928.72800000000007"/>
    <n v="0"/>
    <s v="Daily Sales Import"/>
    <n v="-928.72800000000007"/>
    <n v="928.72800000000007"/>
    <x v="0"/>
    <s v="2210"/>
    <s v="000"/>
    <x v="11"/>
    <x v="2"/>
  </r>
  <r>
    <d v="2013-09-01T00:00:00"/>
    <s v="016-2220-000"/>
    <s v="Beer Sales"/>
    <n v="260.38260000000002"/>
    <n v="0"/>
    <s v="Daily Sales Import"/>
    <n v="-260.38260000000002"/>
    <n v="260.38260000000002"/>
    <x v="0"/>
    <s v="2220"/>
    <s v="000"/>
    <x v="11"/>
    <x v="2"/>
  </r>
  <r>
    <d v="2013-09-01T00:00:00"/>
    <s v="016-2230-000"/>
    <s v="Wine Sales"/>
    <n v="75.853999999999999"/>
    <n v="0"/>
    <s v="Daily Sales Import"/>
    <n v="-75.853999999999999"/>
    <n v="75.853999999999999"/>
    <x v="0"/>
    <s v="2230"/>
    <s v="000"/>
    <x v="11"/>
    <x v="2"/>
  </r>
  <r>
    <d v="2013-08-26T00:00:00"/>
    <s v="017-2100-000"/>
    <s v="Food Sales"/>
    <n v="5304.9468000000006"/>
    <n v="0"/>
    <s v="Daily Sales Import"/>
    <n v="-5304.9468000000006"/>
    <n v="5304.9468000000006"/>
    <x v="1"/>
    <s v="2100"/>
    <s v="000"/>
    <x v="10"/>
    <x v="2"/>
  </r>
  <r>
    <d v="2013-08-26T00:00:00"/>
    <s v="017-2210-000"/>
    <s v="Liquor Sales"/>
    <n v="1706.5576000000001"/>
    <n v="0"/>
    <s v="Daily Sales Import"/>
    <n v="-1706.5576000000001"/>
    <n v="1706.5576000000001"/>
    <x v="1"/>
    <s v="2210"/>
    <s v="000"/>
    <x v="10"/>
    <x v="2"/>
  </r>
  <r>
    <d v="2013-08-26T00:00:00"/>
    <s v="017-2220-000"/>
    <s v="Beer Sales"/>
    <n v="510.36699999999996"/>
    <n v="0"/>
    <s v="Daily Sales Import"/>
    <n v="-510.36699999999996"/>
    <n v="510.36699999999996"/>
    <x v="1"/>
    <s v="2220"/>
    <s v="000"/>
    <x v="10"/>
    <x v="2"/>
  </r>
  <r>
    <d v="2013-08-26T00:00:00"/>
    <s v="017-2230-000"/>
    <s v="Wine Sales"/>
    <n v="69.741"/>
    <n v="0"/>
    <s v="Daily Sales Import"/>
    <n v="-69.741"/>
    <n v="69.741"/>
    <x v="1"/>
    <s v="2230"/>
    <s v="000"/>
    <x v="10"/>
    <x v="2"/>
  </r>
  <r>
    <d v="2013-08-27T00:00:00"/>
    <s v="017-2100-000"/>
    <s v="Food Sales"/>
    <n v="4238.5392000000002"/>
    <n v="0"/>
    <s v="Daily Sales Import"/>
    <n v="-4238.5392000000002"/>
    <n v="4238.5392000000002"/>
    <x v="1"/>
    <s v="2100"/>
    <s v="000"/>
    <x v="10"/>
    <x v="2"/>
  </r>
  <r>
    <d v="2013-08-27T00:00:00"/>
    <s v="017-2210-000"/>
    <s v="Liquor Sales"/>
    <n v="1705.356"/>
    <n v="0"/>
    <s v="Daily Sales Import"/>
    <n v="-1705.356"/>
    <n v="1705.356"/>
    <x v="1"/>
    <s v="2210"/>
    <s v="000"/>
    <x v="10"/>
    <x v="2"/>
  </r>
  <r>
    <d v="2013-08-27T00:00:00"/>
    <s v="017-2220-000"/>
    <s v="Beer Sales"/>
    <n v="604.27819999999997"/>
    <n v="0"/>
    <s v="Daily Sales Import"/>
    <n v="-604.27819999999997"/>
    <n v="604.27819999999997"/>
    <x v="1"/>
    <s v="2220"/>
    <s v="000"/>
    <x v="10"/>
    <x v="2"/>
  </r>
  <r>
    <d v="2013-08-27T00:00:00"/>
    <s v="017-2230-000"/>
    <s v="Wine Sales"/>
    <n v="105.96599999999999"/>
    <n v="0"/>
    <s v="Daily Sales Import"/>
    <n v="-105.96599999999999"/>
    <n v="105.96599999999999"/>
    <x v="1"/>
    <s v="2230"/>
    <s v="000"/>
    <x v="10"/>
    <x v="2"/>
  </r>
  <r>
    <d v="2013-08-28T00:00:00"/>
    <s v="017-2100-000"/>
    <s v="Food Sales"/>
    <n v="5894.9279999999999"/>
    <n v="0"/>
    <s v="Daily Sales Import"/>
    <n v="-5894.9279999999999"/>
    <n v="5894.9279999999999"/>
    <x v="1"/>
    <s v="2100"/>
    <s v="000"/>
    <x v="10"/>
    <x v="2"/>
  </r>
  <r>
    <d v="2013-08-28T00:00:00"/>
    <s v="017-2210-000"/>
    <s v="Liquor Sales"/>
    <n v="1421.2662"/>
    <n v="0"/>
    <s v="Daily Sales Import"/>
    <n v="-1421.2662"/>
    <n v="1421.2662"/>
    <x v="1"/>
    <s v="2210"/>
    <s v="000"/>
    <x v="10"/>
    <x v="2"/>
  </r>
  <r>
    <d v="2013-08-28T00:00:00"/>
    <s v="017-2220-000"/>
    <s v="Beer Sales"/>
    <n v="567.48900000000003"/>
    <n v="0"/>
    <s v="Daily Sales Import"/>
    <n v="-567.48900000000003"/>
    <n v="567.48900000000003"/>
    <x v="1"/>
    <s v="2220"/>
    <s v="000"/>
    <x v="10"/>
    <x v="2"/>
  </r>
  <r>
    <d v="2013-08-28T00:00:00"/>
    <s v="017-2230-000"/>
    <s v="Wine Sales"/>
    <n v="156.8768"/>
    <n v="0"/>
    <s v="Daily Sales Import"/>
    <n v="-156.8768"/>
    <n v="156.8768"/>
    <x v="1"/>
    <s v="2230"/>
    <s v="000"/>
    <x v="10"/>
    <x v="2"/>
  </r>
  <r>
    <d v="2013-08-29T00:00:00"/>
    <s v="017-2100-000"/>
    <s v="Food Sales"/>
    <n v="6798.3984999999993"/>
    <n v="0"/>
    <s v="Daily Sales Import"/>
    <n v="-6798.3984999999993"/>
    <n v="6798.3984999999993"/>
    <x v="1"/>
    <s v="2100"/>
    <s v="000"/>
    <x v="10"/>
    <x v="2"/>
  </r>
  <r>
    <d v="2013-08-29T00:00:00"/>
    <s v="017-2210-000"/>
    <s v="Liquor Sales"/>
    <n v="1170.5688"/>
    <n v="0"/>
    <s v="Daily Sales Import"/>
    <n v="-1170.5688"/>
    <n v="1170.5688"/>
    <x v="1"/>
    <s v="2210"/>
    <s v="000"/>
    <x v="10"/>
    <x v="2"/>
  </r>
  <r>
    <d v="2013-08-29T00:00:00"/>
    <s v="017-2220-000"/>
    <s v="Beer Sales"/>
    <n v="275.44160000000005"/>
    <n v="0"/>
    <s v="Daily Sales Import"/>
    <n v="-275.44160000000005"/>
    <n v="275.44160000000005"/>
    <x v="1"/>
    <s v="2220"/>
    <s v="000"/>
    <x v="10"/>
    <x v="2"/>
  </r>
  <r>
    <d v="2013-08-29T00:00:00"/>
    <s v="017-2230-000"/>
    <s v="Wine Sales"/>
    <n v="70.145700000000005"/>
    <n v="0"/>
    <s v="Daily Sales Import"/>
    <n v="-70.145700000000005"/>
    <n v="70.145700000000005"/>
    <x v="1"/>
    <s v="2230"/>
    <s v="000"/>
    <x v="10"/>
    <x v="2"/>
  </r>
  <r>
    <d v="2013-08-30T00:00:00"/>
    <s v="017-2100-000"/>
    <s v="Food Sales"/>
    <n v="4488.4285999999993"/>
    <n v="0"/>
    <s v="Daily Sales Import"/>
    <n v="-4488.4285999999993"/>
    <n v="4488.4285999999993"/>
    <x v="1"/>
    <s v="2100"/>
    <s v="000"/>
    <x v="10"/>
    <x v="2"/>
  </r>
  <r>
    <d v="2013-08-30T00:00:00"/>
    <s v="017-2210-000"/>
    <s v="Liquor Sales"/>
    <n v="2254.4045000000001"/>
    <n v="0"/>
    <s v="Daily Sales Import"/>
    <n v="-2254.4045000000001"/>
    <n v="2254.4045000000001"/>
    <x v="1"/>
    <s v="2210"/>
    <s v="000"/>
    <x v="10"/>
    <x v="2"/>
  </r>
  <r>
    <d v="2013-08-30T00:00:00"/>
    <s v="017-2220-000"/>
    <s v="Beer Sales"/>
    <n v="523.06020000000001"/>
    <n v="0"/>
    <s v="Daily Sales Import"/>
    <n v="-523.06020000000001"/>
    <n v="523.06020000000001"/>
    <x v="1"/>
    <s v="2220"/>
    <s v="000"/>
    <x v="10"/>
    <x v="2"/>
  </r>
  <r>
    <d v="2013-08-30T00:00:00"/>
    <s v="017-2230-000"/>
    <s v="Wine Sales"/>
    <n v="69.653199999999998"/>
    <n v="0"/>
    <s v="Daily Sales Import"/>
    <n v="-69.653199999999998"/>
    <n v="69.653199999999998"/>
    <x v="1"/>
    <s v="2230"/>
    <s v="000"/>
    <x v="10"/>
    <x v="2"/>
  </r>
  <r>
    <d v="2013-08-31T00:00:00"/>
    <s v="017-2100-000"/>
    <s v="Food Sales"/>
    <n v="7322.5898999999999"/>
    <n v="0"/>
    <s v="Daily Sales Import"/>
    <n v="-7322.5898999999999"/>
    <n v="7322.5898999999999"/>
    <x v="1"/>
    <s v="2100"/>
    <s v="000"/>
    <x v="10"/>
    <x v="2"/>
  </r>
  <r>
    <d v="2013-08-31T00:00:00"/>
    <s v="017-2210-000"/>
    <s v="Liquor Sales"/>
    <n v="1627.0144"/>
    <n v="0"/>
    <s v="Daily Sales Import"/>
    <n v="-1627.0144"/>
    <n v="1627.0144"/>
    <x v="1"/>
    <s v="2210"/>
    <s v="000"/>
    <x v="10"/>
    <x v="2"/>
  </r>
  <r>
    <d v="2013-08-31T00:00:00"/>
    <s v="017-2220-000"/>
    <s v="Beer Sales"/>
    <n v="301.68330000000003"/>
    <n v="0"/>
    <s v="Daily Sales Import"/>
    <n v="-301.68330000000003"/>
    <n v="301.68330000000003"/>
    <x v="1"/>
    <s v="2220"/>
    <s v="000"/>
    <x v="10"/>
    <x v="2"/>
  </r>
  <r>
    <d v="2013-08-31T00:00:00"/>
    <s v="017-2230-000"/>
    <s v="Wine Sales"/>
    <n v="82.412399999999991"/>
    <n v="0"/>
    <s v="Daily Sales Import"/>
    <n v="-82.412399999999991"/>
    <n v="82.412399999999991"/>
    <x v="1"/>
    <s v="2230"/>
    <s v="000"/>
    <x v="10"/>
    <x v="2"/>
  </r>
  <r>
    <d v="2013-09-01T00:00:00"/>
    <s v="017-2100-000"/>
    <s v="Food Sales"/>
    <n v="4817.6666999999998"/>
    <n v="0"/>
    <s v="Daily Sales Import"/>
    <n v="-4817.6666999999998"/>
    <n v="4817.6666999999998"/>
    <x v="1"/>
    <s v="2100"/>
    <s v="000"/>
    <x v="11"/>
    <x v="2"/>
  </r>
  <r>
    <d v="2013-09-01T00:00:00"/>
    <s v="017-2210-000"/>
    <s v="Liquor Sales"/>
    <n v="1426.1016"/>
    <n v="0"/>
    <s v="Daily Sales Import"/>
    <n v="-1426.1016"/>
    <n v="1426.1016"/>
    <x v="1"/>
    <s v="2210"/>
    <s v="000"/>
    <x v="11"/>
    <x v="2"/>
  </r>
  <r>
    <d v="2013-09-01T00:00:00"/>
    <s v="017-2220-000"/>
    <s v="Beer Sales"/>
    <n v="308.41200000000003"/>
    <n v="0"/>
    <s v="Daily Sales Import"/>
    <n v="-308.41200000000003"/>
    <n v="308.41200000000003"/>
    <x v="1"/>
    <s v="2220"/>
    <s v="000"/>
    <x v="11"/>
    <x v="2"/>
  </r>
  <r>
    <d v="2013-09-01T00:00:00"/>
    <s v="017-2230-000"/>
    <s v="Wine Sales"/>
    <n v="78.533000000000001"/>
    <n v="0"/>
    <s v="Daily Sales Import"/>
    <n v="-78.533000000000001"/>
    <n v="78.533000000000001"/>
    <x v="1"/>
    <s v="2230"/>
    <s v="000"/>
    <x v="11"/>
    <x v="2"/>
  </r>
  <r>
    <d v="2013-08-26T00:00:00"/>
    <s v="018-2100-000"/>
    <s v="Food Sales"/>
    <n v="3915.4500000000003"/>
    <n v="0"/>
    <s v="Daily Sales Import"/>
    <n v="-3915.4500000000003"/>
    <n v="3915.4500000000003"/>
    <x v="2"/>
    <s v="2100"/>
    <s v="000"/>
    <x v="10"/>
    <x v="2"/>
  </r>
  <r>
    <d v="2013-08-26T00:00:00"/>
    <s v="018-2210-000"/>
    <s v="Liquor Sales"/>
    <n v="513.72720000000004"/>
    <n v="0"/>
    <s v="Daily Sales Import"/>
    <n v="-513.72720000000004"/>
    <n v="513.72720000000004"/>
    <x v="2"/>
    <s v="2210"/>
    <s v="000"/>
    <x v="10"/>
    <x v="2"/>
  </r>
  <r>
    <d v="2013-08-26T00:00:00"/>
    <s v="018-2220-000"/>
    <s v="Beer Sales"/>
    <n v="108.91499999999999"/>
    <n v="0"/>
    <s v="Daily Sales Import"/>
    <n v="-108.91499999999999"/>
    <n v="108.91499999999999"/>
    <x v="2"/>
    <s v="2220"/>
    <s v="000"/>
    <x v="10"/>
    <x v="2"/>
  </r>
  <r>
    <d v="2013-08-26T00:00:00"/>
    <s v="018-2230-000"/>
    <s v="Wine Sales"/>
    <n v="7.4307000000000007"/>
    <n v="0"/>
    <s v="Daily Sales Import"/>
    <n v="-7.4307000000000007"/>
    <n v="7.4307000000000007"/>
    <x v="2"/>
    <s v="2230"/>
    <s v="000"/>
    <x v="10"/>
    <x v="2"/>
  </r>
  <r>
    <d v="2013-08-27T00:00:00"/>
    <s v="018-2100-000"/>
    <s v="Food Sales"/>
    <n v="3924.3247999999999"/>
    <n v="0"/>
    <s v="Daily Sales Import"/>
    <n v="-3924.3247999999999"/>
    <n v="3924.3247999999999"/>
    <x v="2"/>
    <s v="2100"/>
    <s v="000"/>
    <x v="10"/>
    <x v="2"/>
  </r>
  <r>
    <d v="2013-08-27T00:00:00"/>
    <s v="018-2210-000"/>
    <s v="Liquor Sales"/>
    <n v="637.48029999999994"/>
    <n v="0"/>
    <s v="Daily Sales Import"/>
    <n v="-637.48029999999994"/>
    <n v="637.48029999999994"/>
    <x v="2"/>
    <s v="2210"/>
    <s v="000"/>
    <x v="10"/>
    <x v="2"/>
  </r>
  <r>
    <d v="2013-08-27T00:00:00"/>
    <s v="018-2220-000"/>
    <s v="Beer Sales"/>
    <n v="113.036"/>
    <n v="0"/>
    <s v="Daily Sales Import"/>
    <n v="-113.036"/>
    <n v="113.036"/>
    <x v="2"/>
    <s v="2220"/>
    <s v="000"/>
    <x v="10"/>
    <x v="2"/>
  </r>
  <r>
    <d v="2013-08-27T00:00:00"/>
    <s v="018-2230-000"/>
    <s v="Wine Sales"/>
    <n v="17.267199999999999"/>
    <n v="0"/>
    <s v="Daily Sales Import"/>
    <n v="-17.267199999999999"/>
    <n v="17.267199999999999"/>
    <x v="2"/>
    <s v="2230"/>
    <s v="000"/>
    <x v="10"/>
    <x v="2"/>
  </r>
  <r>
    <d v="2013-08-28T00:00:00"/>
    <s v="018-2100-000"/>
    <s v="Food Sales"/>
    <n v="4822.1657999999998"/>
    <n v="0"/>
    <s v="Daily Sales Import"/>
    <n v="-4822.1657999999998"/>
    <n v="4822.1657999999998"/>
    <x v="2"/>
    <s v="2100"/>
    <s v="000"/>
    <x v="10"/>
    <x v="2"/>
  </r>
  <r>
    <d v="2013-08-28T00:00:00"/>
    <s v="018-2210-000"/>
    <s v="Liquor Sales"/>
    <n v="597.92849999999999"/>
    <n v="0"/>
    <s v="Daily Sales Import"/>
    <n v="-597.92849999999999"/>
    <n v="597.92849999999999"/>
    <x v="2"/>
    <s v="2210"/>
    <s v="000"/>
    <x v="10"/>
    <x v="2"/>
  </r>
  <r>
    <d v="2013-08-28T00:00:00"/>
    <s v="018-2220-000"/>
    <s v="Beer Sales"/>
    <n v="133.20519999999999"/>
    <n v="0"/>
    <s v="Daily Sales Import"/>
    <n v="-133.20519999999999"/>
    <n v="133.20519999999999"/>
    <x v="2"/>
    <s v="2220"/>
    <s v="000"/>
    <x v="10"/>
    <x v="2"/>
  </r>
  <r>
    <d v="2013-08-28T00:00:00"/>
    <s v="018-2230-000"/>
    <s v="Wine Sales"/>
    <n v="58.701599999999999"/>
    <n v="0"/>
    <s v="Daily Sales Import"/>
    <n v="-58.701599999999999"/>
    <n v="58.701599999999999"/>
    <x v="2"/>
    <s v="2230"/>
    <s v="000"/>
    <x v="10"/>
    <x v="2"/>
  </r>
  <r>
    <d v="2013-08-29T00:00:00"/>
    <s v="018-2100-000"/>
    <s v="Food Sales"/>
    <n v="4740.4958999999999"/>
    <n v="0"/>
    <s v="Daily Sales Import"/>
    <n v="-4740.4958999999999"/>
    <n v="4740.4958999999999"/>
    <x v="2"/>
    <s v="2100"/>
    <s v="000"/>
    <x v="10"/>
    <x v="2"/>
  </r>
  <r>
    <d v="2013-08-29T00:00:00"/>
    <s v="018-2210-000"/>
    <s v="Liquor Sales"/>
    <n v="1182.2916"/>
    <n v="0"/>
    <s v="Daily Sales Import"/>
    <n v="-1182.2916"/>
    <n v="1182.2916"/>
    <x v="2"/>
    <s v="2210"/>
    <s v="000"/>
    <x v="10"/>
    <x v="2"/>
  </r>
  <r>
    <d v="2013-08-29T00:00:00"/>
    <s v="018-2220-000"/>
    <s v="Beer Sales"/>
    <n v="262.72500000000002"/>
    <n v="0"/>
    <s v="Daily Sales Import"/>
    <n v="-262.72500000000002"/>
    <n v="262.72500000000002"/>
    <x v="2"/>
    <s v="2220"/>
    <s v="000"/>
    <x v="10"/>
    <x v="2"/>
  </r>
  <r>
    <d v="2013-08-29T00:00:00"/>
    <s v="018-2230-000"/>
    <s v="Wine Sales"/>
    <n v="65.437200000000004"/>
    <n v="0"/>
    <s v="Daily Sales Import"/>
    <n v="-65.437200000000004"/>
    <n v="65.437200000000004"/>
    <x v="2"/>
    <s v="2230"/>
    <s v="000"/>
    <x v="10"/>
    <x v="2"/>
  </r>
  <r>
    <d v="2013-08-30T00:00:00"/>
    <s v="018-2100-000"/>
    <s v="Food Sales"/>
    <n v="11826.326399999998"/>
    <n v="0"/>
    <s v="Daily Sales Import"/>
    <n v="-11826.326399999998"/>
    <n v="11826.326399999998"/>
    <x v="2"/>
    <s v="2100"/>
    <s v="000"/>
    <x v="10"/>
    <x v="2"/>
  </r>
  <r>
    <d v="2013-08-30T00:00:00"/>
    <s v="018-2210-000"/>
    <s v="Liquor Sales"/>
    <n v="2325.2431999999999"/>
    <n v="0"/>
    <s v="Daily Sales Import"/>
    <n v="-2325.2431999999999"/>
    <n v="2325.2431999999999"/>
    <x v="2"/>
    <s v="2210"/>
    <s v="000"/>
    <x v="10"/>
    <x v="2"/>
  </r>
  <r>
    <d v="2013-08-30T00:00:00"/>
    <s v="018-2220-000"/>
    <s v="Beer Sales"/>
    <n v="694.2441"/>
    <n v="0"/>
    <s v="Daily Sales Import"/>
    <n v="-694.2441"/>
    <n v="694.2441"/>
    <x v="2"/>
    <s v="2220"/>
    <s v="000"/>
    <x v="10"/>
    <x v="2"/>
  </r>
  <r>
    <d v="2013-08-30T00:00:00"/>
    <s v="018-2230-000"/>
    <s v="Wine Sales"/>
    <n v="21.272200000000002"/>
    <n v="0"/>
    <s v="Daily Sales Import"/>
    <n v="-21.272200000000002"/>
    <n v="21.272200000000002"/>
    <x v="2"/>
    <s v="2230"/>
    <s v="000"/>
    <x v="10"/>
    <x v="2"/>
  </r>
  <r>
    <d v="2013-08-31T00:00:00"/>
    <s v="018-2100-000"/>
    <s v="Food Sales"/>
    <n v="15162.613599999999"/>
    <n v="0"/>
    <s v="Daily Sales Import"/>
    <n v="-15162.613599999999"/>
    <n v="15162.613599999999"/>
    <x v="2"/>
    <s v="2100"/>
    <s v="000"/>
    <x v="10"/>
    <x v="2"/>
  </r>
  <r>
    <d v="2013-08-31T00:00:00"/>
    <s v="018-2210-000"/>
    <s v="Liquor Sales"/>
    <n v="2731.4324999999999"/>
    <n v="0"/>
    <s v="Daily Sales Import"/>
    <n v="-2731.4324999999999"/>
    <n v="2731.4324999999999"/>
    <x v="2"/>
    <s v="2210"/>
    <s v="000"/>
    <x v="10"/>
    <x v="2"/>
  </r>
  <r>
    <d v="2013-08-31T00:00:00"/>
    <s v="018-2220-000"/>
    <s v="Beer Sales"/>
    <n v="750.59519999999998"/>
    <n v="0"/>
    <s v="Daily Sales Import"/>
    <n v="-750.59519999999998"/>
    <n v="750.59519999999998"/>
    <x v="2"/>
    <s v="2220"/>
    <s v="000"/>
    <x v="10"/>
    <x v="2"/>
  </r>
  <r>
    <d v="2013-08-31T00:00:00"/>
    <s v="018-2230-000"/>
    <s v="Wine Sales"/>
    <n v="78.641999999999996"/>
    <n v="0"/>
    <s v="Daily Sales Import"/>
    <n v="-78.641999999999996"/>
    <n v="78.641999999999996"/>
    <x v="2"/>
    <s v="2230"/>
    <s v="000"/>
    <x v="10"/>
    <x v="2"/>
  </r>
  <r>
    <d v="2013-09-01T00:00:00"/>
    <s v="018-2100-000"/>
    <s v="Food Sales"/>
    <n v="14390.8665"/>
    <n v="0"/>
    <s v="Daily Sales Import"/>
    <n v="-14390.8665"/>
    <n v="14390.8665"/>
    <x v="2"/>
    <s v="2100"/>
    <s v="000"/>
    <x v="11"/>
    <x v="2"/>
  </r>
  <r>
    <d v="2013-09-01T00:00:00"/>
    <s v="018-2210-000"/>
    <s v="Liquor Sales"/>
    <n v="2061.8597999999997"/>
    <n v="0"/>
    <s v="Daily Sales Import"/>
    <n v="-2061.8597999999997"/>
    <n v="2061.8597999999997"/>
    <x v="2"/>
    <s v="2210"/>
    <s v="000"/>
    <x v="11"/>
    <x v="2"/>
  </r>
  <r>
    <d v="2013-09-01T00:00:00"/>
    <s v="018-2220-000"/>
    <s v="Beer Sales"/>
    <n v="538.63690000000008"/>
    <n v="0"/>
    <s v="Daily Sales Import"/>
    <n v="-538.63690000000008"/>
    <n v="538.63690000000008"/>
    <x v="2"/>
    <s v="2220"/>
    <s v="000"/>
    <x v="11"/>
    <x v="2"/>
  </r>
  <r>
    <d v="2013-09-01T00:00:00"/>
    <s v="018-2230-000"/>
    <s v="Wine Sales"/>
    <n v="108.521"/>
    <n v="0"/>
    <s v="Daily Sales Import"/>
    <n v="-108.521"/>
    <n v="108.521"/>
    <x v="2"/>
    <s v="2230"/>
    <s v="000"/>
    <x v="11"/>
    <x v="2"/>
  </r>
  <r>
    <d v="2013-08-26T00:00:00"/>
    <s v="019-2100-000"/>
    <s v="Food Sales"/>
    <n v="2032.3979999999999"/>
    <n v="0"/>
    <s v="Daily Sales Import"/>
    <n v="-2032.3979999999999"/>
    <n v="2032.3979999999999"/>
    <x v="3"/>
    <s v="2100"/>
    <s v="000"/>
    <x v="10"/>
    <x v="2"/>
  </r>
  <r>
    <d v="2013-08-26T00:00:00"/>
    <s v="019-2210-000"/>
    <s v="Liquor Sales"/>
    <n v="737.18939999999998"/>
    <n v="0"/>
    <s v="Daily Sales Import"/>
    <n v="-737.18939999999998"/>
    <n v="737.18939999999998"/>
    <x v="3"/>
    <s v="2210"/>
    <s v="000"/>
    <x v="10"/>
    <x v="2"/>
  </r>
  <r>
    <d v="2013-08-26T00:00:00"/>
    <s v="019-2220-000"/>
    <s v="Beer Sales"/>
    <n v="184.10999999999999"/>
    <n v="0"/>
    <s v="Daily Sales Import"/>
    <n v="-184.10999999999999"/>
    <n v="184.10999999999999"/>
    <x v="3"/>
    <s v="2220"/>
    <s v="000"/>
    <x v="10"/>
    <x v="2"/>
  </r>
  <r>
    <d v="2013-08-26T00:00:00"/>
    <s v="019-2230-000"/>
    <s v="Wine Sales"/>
    <n v="70.150499999999994"/>
    <n v="0"/>
    <s v="Daily Sales Import"/>
    <n v="-70.150499999999994"/>
    <n v="70.150499999999994"/>
    <x v="3"/>
    <s v="2230"/>
    <s v="000"/>
    <x v="10"/>
    <x v="2"/>
  </r>
  <r>
    <d v="2013-08-27T00:00:00"/>
    <s v="019-2100-000"/>
    <s v="Food Sales"/>
    <n v="2357.3130000000001"/>
    <n v="0"/>
    <s v="Daily Sales Import"/>
    <n v="-2357.3130000000001"/>
    <n v="2357.3130000000001"/>
    <x v="3"/>
    <s v="2100"/>
    <s v="000"/>
    <x v="10"/>
    <x v="2"/>
  </r>
  <r>
    <d v="2013-08-27T00:00:00"/>
    <s v="019-2210-000"/>
    <s v="Liquor Sales"/>
    <n v="568.31849999999997"/>
    <n v="0"/>
    <s v="Daily Sales Import"/>
    <n v="-568.31849999999997"/>
    <n v="568.31849999999997"/>
    <x v="3"/>
    <s v="2210"/>
    <s v="000"/>
    <x v="10"/>
    <x v="2"/>
  </r>
  <r>
    <d v="2013-08-27T00:00:00"/>
    <s v="019-2220-000"/>
    <s v="Beer Sales"/>
    <n v="124.864"/>
    <n v="0"/>
    <s v="Daily Sales Import"/>
    <n v="-124.864"/>
    <n v="124.864"/>
    <x v="3"/>
    <s v="2220"/>
    <s v="000"/>
    <x v="10"/>
    <x v="2"/>
  </r>
  <r>
    <d v="2013-08-27T00:00:00"/>
    <s v="019-2230-000"/>
    <s v="Wine Sales"/>
    <n v="43.458799999999997"/>
    <n v="0"/>
    <s v="Daily Sales Import"/>
    <n v="-43.458799999999997"/>
    <n v="43.458799999999997"/>
    <x v="3"/>
    <s v="2230"/>
    <s v="000"/>
    <x v="10"/>
    <x v="2"/>
  </r>
  <r>
    <d v="2013-08-28T00:00:00"/>
    <s v="019-2100-000"/>
    <s v="Food Sales"/>
    <n v="3866.6376"/>
    <n v="0"/>
    <s v="Daily Sales Import"/>
    <n v="-3866.6376"/>
    <n v="3866.6376"/>
    <x v="3"/>
    <s v="2100"/>
    <s v="000"/>
    <x v="10"/>
    <x v="2"/>
  </r>
  <r>
    <d v="2013-08-28T00:00:00"/>
    <s v="019-2210-000"/>
    <s v="Liquor Sales"/>
    <n v="1177.8382000000001"/>
    <n v="0"/>
    <s v="Daily Sales Import"/>
    <n v="-1177.8382000000001"/>
    <n v="1177.8382000000001"/>
    <x v="3"/>
    <s v="2210"/>
    <s v="000"/>
    <x v="10"/>
    <x v="2"/>
  </r>
  <r>
    <d v="2013-08-28T00:00:00"/>
    <s v="019-2220-000"/>
    <s v="Beer Sales"/>
    <n v="283.18739999999997"/>
    <n v="0"/>
    <s v="Daily Sales Import"/>
    <n v="-283.18739999999997"/>
    <n v="283.18739999999997"/>
    <x v="3"/>
    <s v="2220"/>
    <s v="000"/>
    <x v="10"/>
    <x v="2"/>
  </r>
  <r>
    <d v="2013-08-28T00:00:00"/>
    <s v="019-2230-000"/>
    <s v="Wine Sales"/>
    <n v="112.15360000000001"/>
    <n v="0"/>
    <s v="Daily Sales Import"/>
    <n v="-112.15360000000001"/>
    <n v="112.15360000000001"/>
    <x v="3"/>
    <s v="2230"/>
    <s v="000"/>
    <x v="10"/>
    <x v="2"/>
  </r>
  <r>
    <d v="2013-08-29T00:00:00"/>
    <s v="019-2100-000"/>
    <s v="Food Sales"/>
    <n v="4072.0120000000006"/>
    <n v="0"/>
    <s v="Daily Sales Import"/>
    <n v="-4072.0120000000006"/>
    <n v="4072.0120000000006"/>
    <x v="3"/>
    <s v="2100"/>
    <s v="000"/>
    <x v="10"/>
    <x v="2"/>
  </r>
  <r>
    <d v="2013-08-29T00:00:00"/>
    <s v="019-2210-000"/>
    <s v="Liquor Sales"/>
    <n v="1315.2225000000001"/>
    <n v="0"/>
    <s v="Daily Sales Import"/>
    <n v="-1315.2225000000001"/>
    <n v="1315.2225000000001"/>
    <x v="3"/>
    <s v="2210"/>
    <s v="000"/>
    <x v="10"/>
    <x v="2"/>
  </r>
  <r>
    <d v="2013-08-29T00:00:00"/>
    <s v="019-2220-000"/>
    <s v="Beer Sales"/>
    <n v="197.3331"/>
    <n v="0"/>
    <s v="Daily Sales Import"/>
    <n v="-197.3331"/>
    <n v="197.3331"/>
    <x v="3"/>
    <s v="2220"/>
    <s v="000"/>
    <x v="10"/>
    <x v="2"/>
  </r>
  <r>
    <d v="2013-08-29T00:00:00"/>
    <s v="019-2230-000"/>
    <s v="Wine Sales"/>
    <n v="56.88"/>
    <n v="0"/>
    <s v="Daily Sales Import"/>
    <n v="-56.88"/>
    <n v="56.88"/>
    <x v="3"/>
    <s v="2230"/>
    <s v="000"/>
    <x v="10"/>
    <x v="2"/>
  </r>
  <r>
    <d v="2013-08-30T00:00:00"/>
    <s v="019-2100-000"/>
    <s v="Food Sales"/>
    <n v="4775.2062999999998"/>
    <n v="0"/>
    <s v="Daily Sales Import"/>
    <n v="-4775.2062999999998"/>
    <n v="4775.2062999999998"/>
    <x v="3"/>
    <s v="2100"/>
    <s v="000"/>
    <x v="10"/>
    <x v="2"/>
  </r>
  <r>
    <d v="2013-08-30T00:00:00"/>
    <s v="019-2210-000"/>
    <s v="Liquor Sales"/>
    <n v="1852.5936000000002"/>
    <n v="0"/>
    <s v="Daily Sales Import"/>
    <n v="-1852.5936000000002"/>
    <n v="1852.5936000000002"/>
    <x v="3"/>
    <s v="2210"/>
    <s v="000"/>
    <x v="10"/>
    <x v="2"/>
  </r>
  <r>
    <d v="2013-08-30T00:00:00"/>
    <s v="019-2220-000"/>
    <s v="Beer Sales"/>
    <n v="402.67919999999998"/>
    <n v="0"/>
    <s v="Daily Sales Import"/>
    <n v="-402.67919999999998"/>
    <n v="402.67919999999998"/>
    <x v="3"/>
    <s v="2220"/>
    <s v="000"/>
    <x v="10"/>
    <x v="2"/>
  </r>
  <r>
    <d v="2013-08-30T00:00:00"/>
    <s v="019-2230-000"/>
    <s v="Wine Sales"/>
    <n v="160.95099999999999"/>
    <n v="0"/>
    <s v="Daily Sales Import"/>
    <n v="-160.95099999999999"/>
    <n v="160.95099999999999"/>
    <x v="3"/>
    <s v="2230"/>
    <s v="000"/>
    <x v="10"/>
    <x v="2"/>
  </r>
  <r>
    <d v="2013-08-31T00:00:00"/>
    <s v="019-2100-000"/>
    <s v="Food Sales"/>
    <n v="4548.7871999999998"/>
    <n v="0"/>
    <s v="Daily Sales Import"/>
    <n v="-4548.7871999999998"/>
    <n v="4548.7871999999998"/>
    <x v="3"/>
    <s v="2100"/>
    <s v="000"/>
    <x v="10"/>
    <x v="2"/>
  </r>
  <r>
    <d v="2013-08-31T00:00:00"/>
    <s v="019-2210-000"/>
    <s v="Liquor Sales"/>
    <n v="2517.5095000000001"/>
    <n v="0"/>
    <s v="Daily Sales Import"/>
    <n v="-2517.5095000000001"/>
    <n v="2517.5095000000001"/>
    <x v="3"/>
    <s v="2210"/>
    <s v="000"/>
    <x v="10"/>
    <x v="2"/>
  </r>
  <r>
    <d v="2013-08-31T00:00:00"/>
    <s v="019-2220-000"/>
    <s v="Beer Sales"/>
    <n v="606.28050000000007"/>
    <n v="0"/>
    <s v="Daily Sales Import"/>
    <n v="-606.28050000000007"/>
    <n v="606.28050000000007"/>
    <x v="3"/>
    <s v="2220"/>
    <s v="000"/>
    <x v="10"/>
    <x v="2"/>
  </r>
  <r>
    <d v="2013-08-31T00:00:00"/>
    <s v="019-2230-000"/>
    <s v="Wine Sales"/>
    <n v="29.722800000000003"/>
    <n v="0"/>
    <s v="Daily Sales Import"/>
    <n v="-29.722800000000003"/>
    <n v="29.722800000000003"/>
    <x v="3"/>
    <s v="2230"/>
    <s v="000"/>
    <x v="10"/>
    <x v="2"/>
  </r>
  <r>
    <d v="2013-09-01T00:00:00"/>
    <s v="019-2100-000"/>
    <s v="Food Sales"/>
    <n v="6841.9814999999999"/>
    <n v="0"/>
    <s v="Daily Sales Import"/>
    <n v="-6841.9814999999999"/>
    <n v="6841.9814999999999"/>
    <x v="3"/>
    <s v="2100"/>
    <s v="000"/>
    <x v="11"/>
    <x v="2"/>
  </r>
  <r>
    <d v="2013-09-01T00:00:00"/>
    <s v="019-2210-000"/>
    <s v="Liquor Sales"/>
    <n v="1971.4112999999998"/>
    <n v="0"/>
    <s v="Daily Sales Import"/>
    <n v="-1971.4112999999998"/>
    <n v="1971.4112999999998"/>
    <x v="3"/>
    <s v="2210"/>
    <s v="000"/>
    <x v="11"/>
    <x v="2"/>
  </r>
  <r>
    <d v="2013-09-01T00:00:00"/>
    <s v="019-2220-000"/>
    <s v="Beer Sales"/>
    <n v="353.50639999999999"/>
    <n v="0"/>
    <s v="Daily Sales Import"/>
    <n v="-353.50639999999999"/>
    <n v="353.50639999999999"/>
    <x v="3"/>
    <s v="2220"/>
    <s v="000"/>
    <x v="11"/>
    <x v="2"/>
  </r>
  <r>
    <d v="2013-09-01T00:00:00"/>
    <s v="019-2230-000"/>
    <s v="Wine Sales"/>
    <n v="96.555199999999985"/>
    <n v="0"/>
    <s v="Daily Sales Import"/>
    <n v="-96.555199999999985"/>
    <n v="96.555199999999985"/>
    <x v="3"/>
    <s v="2230"/>
    <s v="000"/>
    <x v="11"/>
    <x v="2"/>
  </r>
  <r>
    <d v="2013-09-02T00:00:00"/>
    <s v="016-2100-000"/>
    <s v="Food Sales"/>
    <n v="4093.6927999999998"/>
    <n v="0"/>
    <s v="Daily Sales Import"/>
    <n v="-4093.6927999999998"/>
    <n v="4093.6927999999998"/>
    <x v="0"/>
    <s v="2100"/>
    <s v="000"/>
    <x v="11"/>
    <x v="2"/>
  </r>
  <r>
    <d v="2013-09-02T00:00:00"/>
    <s v="016-2210-000"/>
    <s v="Liquor Sales"/>
    <n v="916.26660000000004"/>
    <n v="0"/>
    <s v="Daily Sales Import"/>
    <n v="-916.26660000000004"/>
    <n v="916.26660000000004"/>
    <x v="0"/>
    <s v="2210"/>
    <s v="000"/>
    <x v="11"/>
    <x v="2"/>
  </r>
  <r>
    <d v="2013-09-02T00:00:00"/>
    <s v="016-2220-000"/>
    <s v="Beer Sales"/>
    <n v="174.77599999999998"/>
    <n v="0"/>
    <s v="Daily Sales Import"/>
    <n v="-174.77599999999998"/>
    <n v="174.77599999999998"/>
    <x v="0"/>
    <s v="2220"/>
    <s v="000"/>
    <x v="11"/>
    <x v="2"/>
  </r>
  <r>
    <d v="2013-09-02T00:00:00"/>
    <s v="016-2230-000"/>
    <s v="Wine Sales"/>
    <n v="12.299999999999999"/>
    <n v="0"/>
    <s v="Daily Sales Import"/>
    <n v="-12.299999999999999"/>
    <n v="12.299999999999999"/>
    <x v="0"/>
    <s v="2230"/>
    <s v="000"/>
    <x v="11"/>
    <x v="2"/>
  </r>
  <r>
    <d v="2013-09-03T00:00:00"/>
    <s v="016-2100-000"/>
    <s v="Food Sales"/>
    <n v="5922.0603000000001"/>
    <n v="0"/>
    <s v="Daily Sales Import"/>
    <n v="-5922.0603000000001"/>
    <n v="5922.0603000000001"/>
    <x v="0"/>
    <s v="2100"/>
    <s v="000"/>
    <x v="11"/>
    <x v="2"/>
  </r>
  <r>
    <d v="2013-09-03T00:00:00"/>
    <s v="016-2210-000"/>
    <s v="Liquor Sales"/>
    <n v="1834.8848000000003"/>
    <n v="0"/>
    <s v="Daily Sales Import"/>
    <n v="-1834.8848000000003"/>
    <n v="1834.8848000000003"/>
    <x v="0"/>
    <s v="2210"/>
    <s v="000"/>
    <x v="11"/>
    <x v="2"/>
  </r>
  <r>
    <d v="2013-09-03T00:00:00"/>
    <s v="016-2220-000"/>
    <s v="Beer Sales"/>
    <n v="807.62639999999999"/>
    <n v="0"/>
    <s v="Daily Sales Import"/>
    <n v="-807.62639999999999"/>
    <n v="807.62639999999999"/>
    <x v="0"/>
    <s v="2220"/>
    <s v="000"/>
    <x v="11"/>
    <x v="2"/>
  </r>
  <r>
    <d v="2013-09-03T00:00:00"/>
    <s v="016-2230-000"/>
    <s v="Wine Sales"/>
    <n v="84.646799999999999"/>
    <n v="0"/>
    <s v="Daily Sales Import"/>
    <n v="-84.646799999999999"/>
    <n v="84.646799999999999"/>
    <x v="0"/>
    <s v="2230"/>
    <s v="000"/>
    <x v="11"/>
    <x v="2"/>
  </r>
  <r>
    <d v="2013-09-04T00:00:00"/>
    <s v="016-2100-000"/>
    <s v="Food Sales"/>
    <n v="1598.5365999999999"/>
    <n v="0"/>
    <s v="Daily Sales Import"/>
    <n v="-1598.5365999999999"/>
    <n v="1598.5365999999999"/>
    <x v="0"/>
    <s v="2100"/>
    <s v="000"/>
    <x v="11"/>
    <x v="2"/>
  </r>
  <r>
    <d v="2013-09-04T00:00:00"/>
    <s v="016-2210-000"/>
    <s v="Liquor Sales"/>
    <n v="407.75840000000005"/>
    <n v="0"/>
    <s v="Daily Sales Import"/>
    <n v="-407.75840000000005"/>
    <n v="407.75840000000005"/>
    <x v="0"/>
    <s v="2210"/>
    <s v="000"/>
    <x v="11"/>
    <x v="2"/>
  </r>
  <r>
    <d v="2013-09-04T00:00:00"/>
    <s v="016-2220-000"/>
    <s v="Beer Sales"/>
    <n v="40.555500000000002"/>
    <n v="0"/>
    <s v="Daily Sales Import"/>
    <n v="-40.555500000000002"/>
    <n v="40.555500000000002"/>
    <x v="0"/>
    <s v="2220"/>
    <s v="000"/>
    <x v="11"/>
    <x v="2"/>
  </r>
  <r>
    <d v="2013-09-04T00:00:00"/>
    <s v="016-2230-000"/>
    <s v="Wine Sales"/>
    <n v="61.078500000000005"/>
    <n v="0"/>
    <s v="Daily Sales Import"/>
    <n v="-61.078500000000005"/>
    <n v="61.078500000000005"/>
    <x v="0"/>
    <s v="2230"/>
    <s v="000"/>
    <x v="11"/>
    <x v="2"/>
  </r>
  <r>
    <d v="2013-09-05T00:00:00"/>
    <s v="016-2100-000"/>
    <s v="Food Sales"/>
    <n v="3132.2053999999998"/>
    <n v="0"/>
    <s v="Daily Sales Import"/>
    <n v="-3132.2053999999998"/>
    <n v="3132.2053999999998"/>
    <x v="0"/>
    <s v="2100"/>
    <s v="000"/>
    <x v="11"/>
    <x v="2"/>
  </r>
  <r>
    <d v="2013-09-05T00:00:00"/>
    <s v="016-2210-000"/>
    <s v="Liquor Sales"/>
    <n v="483.01550000000003"/>
    <n v="0"/>
    <s v="Daily Sales Import"/>
    <n v="-483.01550000000003"/>
    <n v="483.01550000000003"/>
    <x v="0"/>
    <s v="2210"/>
    <s v="000"/>
    <x v="11"/>
    <x v="2"/>
  </r>
  <r>
    <d v="2013-09-05T00:00:00"/>
    <s v="016-2220-000"/>
    <s v="Beer Sales"/>
    <n v="100.4975"/>
    <n v="0"/>
    <s v="Daily Sales Import"/>
    <n v="-100.4975"/>
    <n v="100.4975"/>
    <x v="0"/>
    <s v="2220"/>
    <s v="000"/>
    <x v="11"/>
    <x v="2"/>
  </r>
  <r>
    <d v="2013-09-05T00:00:00"/>
    <s v="016-2230-000"/>
    <s v="Wine Sales"/>
    <n v="33.701999999999998"/>
    <n v="0"/>
    <s v="Daily Sales Import"/>
    <n v="-33.701999999999998"/>
    <n v="33.701999999999998"/>
    <x v="0"/>
    <s v="2230"/>
    <s v="000"/>
    <x v="11"/>
    <x v="2"/>
  </r>
  <r>
    <d v="2013-09-06T00:00:00"/>
    <s v="016-2100-000"/>
    <s v="Food Sales"/>
    <n v="5649.0433999999996"/>
    <n v="0"/>
    <s v="Daily Sales Import"/>
    <n v="-5649.0433999999996"/>
    <n v="5649.0433999999996"/>
    <x v="0"/>
    <s v="2100"/>
    <s v="000"/>
    <x v="11"/>
    <x v="2"/>
  </r>
  <r>
    <d v="2013-09-06T00:00:00"/>
    <s v="016-2210-000"/>
    <s v="Liquor Sales"/>
    <n v="1390.9695999999999"/>
    <n v="0"/>
    <s v="Daily Sales Import"/>
    <n v="-1390.9695999999999"/>
    <n v="1390.9695999999999"/>
    <x v="0"/>
    <s v="2210"/>
    <s v="000"/>
    <x v="11"/>
    <x v="2"/>
  </r>
  <r>
    <d v="2013-09-06T00:00:00"/>
    <s v="016-2220-000"/>
    <s v="Beer Sales"/>
    <n v="341.14659999999998"/>
    <n v="0"/>
    <s v="Daily Sales Import"/>
    <n v="-341.14659999999998"/>
    <n v="341.14659999999998"/>
    <x v="0"/>
    <s v="2220"/>
    <s v="000"/>
    <x v="11"/>
    <x v="2"/>
  </r>
  <r>
    <d v="2013-09-06T00:00:00"/>
    <s v="016-2230-000"/>
    <s v="Wine Sales"/>
    <n v="115.97400000000002"/>
    <n v="0"/>
    <s v="Daily Sales Import"/>
    <n v="-115.97400000000002"/>
    <n v="115.97400000000002"/>
    <x v="0"/>
    <s v="2230"/>
    <s v="000"/>
    <x v="11"/>
    <x v="2"/>
  </r>
  <r>
    <d v="2013-09-07T00:00:00"/>
    <s v="016-2100-000"/>
    <s v="Food Sales"/>
    <n v="6109.5293999999994"/>
    <n v="0"/>
    <s v="Daily Sales Import"/>
    <n v="-6109.5293999999994"/>
    <n v="6109.5293999999994"/>
    <x v="0"/>
    <s v="2100"/>
    <s v="000"/>
    <x v="11"/>
    <x v="2"/>
  </r>
  <r>
    <d v="2013-09-07T00:00:00"/>
    <s v="016-2210-000"/>
    <s v="Liquor Sales"/>
    <n v="1537.0391999999999"/>
    <n v="0"/>
    <s v="Daily Sales Import"/>
    <n v="-1537.0391999999999"/>
    <n v="1537.0391999999999"/>
    <x v="0"/>
    <s v="2210"/>
    <s v="000"/>
    <x v="11"/>
    <x v="2"/>
  </r>
  <r>
    <d v="2013-09-07T00:00:00"/>
    <s v="016-2220-000"/>
    <s v="Beer Sales"/>
    <n v="318.52170000000001"/>
    <n v="0"/>
    <s v="Daily Sales Import"/>
    <n v="-318.52170000000001"/>
    <n v="318.52170000000001"/>
    <x v="0"/>
    <s v="2220"/>
    <s v="000"/>
    <x v="11"/>
    <x v="2"/>
  </r>
  <r>
    <d v="2013-09-07T00:00:00"/>
    <s v="016-2230-000"/>
    <s v="Wine Sales"/>
    <n v="72.428399999999996"/>
    <n v="0"/>
    <s v="Daily Sales Import"/>
    <n v="-72.428399999999996"/>
    <n v="72.428399999999996"/>
    <x v="0"/>
    <s v="2230"/>
    <s v="000"/>
    <x v="11"/>
    <x v="2"/>
  </r>
  <r>
    <d v="2013-09-08T00:00:00"/>
    <s v="016-2100-000"/>
    <s v="Food Sales"/>
    <n v="3342.7058000000002"/>
    <n v="0"/>
    <s v="Daily Sales Import"/>
    <n v="-3342.7058000000002"/>
    <n v="3342.7058000000002"/>
    <x v="0"/>
    <s v="2100"/>
    <s v="000"/>
    <x v="11"/>
    <x v="2"/>
  </r>
  <r>
    <d v="2013-09-08T00:00:00"/>
    <s v="016-2210-000"/>
    <s v="Liquor Sales"/>
    <n v="541.35329999999999"/>
    <n v="0"/>
    <s v="Daily Sales Import"/>
    <n v="-541.35329999999999"/>
    <n v="541.35329999999999"/>
    <x v="0"/>
    <s v="2210"/>
    <s v="000"/>
    <x v="11"/>
    <x v="2"/>
  </r>
  <r>
    <d v="2013-09-08T00:00:00"/>
    <s v="016-2220-000"/>
    <s v="Beer Sales"/>
    <n v="83.003799999999998"/>
    <n v="0"/>
    <s v="Daily Sales Import"/>
    <n v="-83.003799999999998"/>
    <n v="83.003799999999998"/>
    <x v="0"/>
    <s v="2220"/>
    <s v="000"/>
    <x v="11"/>
    <x v="2"/>
  </r>
  <r>
    <d v="2013-09-08T00:00:00"/>
    <s v="016-2230-000"/>
    <s v="Wine Sales"/>
    <n v="12.1713"/>
    <n v="0"/>
    <s v="Daily Sales Import"/>
    <n v="-12.1713"/>
    <n v="12.1713"/>
    <x v="0"/>
    <s v="2230"/>
    <s v="000"/>
    <x v="11"/>
    <x v="2"/>
  </r>
  <r>
    <d v="2013-09-02T00:00:00"/>
    <s v="017-2100-000"/>
    <s v="Food Sales"/>
    <n v="3680.5244000000002"/>
    <n v="0"/>
    <s v="Daily Sales Import"/>
    <n v="-3680.5244000000002"/>
    <n v="3680.5244000000002"/>
    <x v="1"/>
    <s v="2100"/>
    <s v="000"/>
    <x v="11"/>
    <x v="2"/>
  </r>
  <r>
    <d v="2013-09-02T00:00:00"/>
    <s v="017-2210-000"/>
    <s v="Liquor Sales"/>
    <n v="849.77639999999985"/>
    <n v="0"/>
    <s v="Daily Sales Import"/>
    <n v="-849.77639999999985"/>
    <n v="849.77639999999985"/>
    <x v="1"/>
    <s v="2210"/>
    <s v="000"/>
    <x v="11"/>
    <x v="2"/>
  </r>
  <r>
    <d v="2013-09-02T00:00:00"/>
    <s v="017-2220-000"/>
    <s v="Beer Sales"/>
    <n v="122.56469999999999"/>
    <n v="0"/>
    <s v="Daily Sales Import"/>
    <n v="-122.56469999999999"/>
    <n v="122.56469999999999"/>
    <x v="1"/>
    <s v="2220"/>
    <s v="000"/>
    <x v="11"/>
    <x v="2"/>
  </r>
  <r>
    <d v="2013-09-02T00:00:00"/>
    <s v="017-2230-000"/>
    <s v="Wine Sales"/>
    <n v="75.262199999999993"/>
    <n v="0"/>
    <s v="Daily Sales Import"/>
    <n v="-75.262199999999993"/>
    <n v="75.262199999999993"/>
    <x v="1"/>
    <s v="2230"/>
    <s v="000"/>
    <x v="11"/>
    <x v="2"/>
  </r>
  <r>
    <d v="2013-09-03T00:00:00"/>
    <s v="017-2100-000"/>
    <s v="Food Sales"/>
    <n v="4382.3924000000006"/>
    <n v="0"/>
    <s v="Daily Sales Import"/>
    <n v="-4382.3924000000006"/>
    <n v="4382.3924000000006"/>
    <x v="1"/>
    <s v="2100"/>
    <s v="000"/>
    <x v="11"/>
    <x v="2"/>
  </r>
  <r>
    <d v="2013-09-03T00:00:00"/>
    <s v="017-2210-000"/>
    <s v="Liquor Sales"/>
    <n v="901.88559999999995"/>
    <n v="0"/>
    <s v="Daily Sales Import"/>
    <n v="-901.88559999999995"/>
    <n v="901.88559999999995"/>
    <x v="1"/>
    <s v="2210"/>
    <s v="000"/>
    <x v="11"/>
    <x v="2"/>
  </r>
  <r>
    <d v="2013-09-03T00:00:00"/>
    <s v="017-2220-000"/>
    <s v="Beer Sales"/>
    <n v="238.11060000000003"/>
    <n v="0"/>
    <s v="Daily Sales Import"/>
    <n v="-238.11060000000003"/>
    <n v="238.11060000000003"/>
    <x v="1"/>
    <s v="2220"/>
    <s v="000"/>
    <x v="11"/>
    <x v="2"/>
  </r>
  <r>
    <d v="2013-09-03T00:00:00"/>
    <s v="017-2230-000"/>
    <s v="Wine Sales"/>
    <n v="48.635599999999997"/>
    <n v="0"/>
    <s v="Daily Sales Import"/>
    <n v="-48.635599999999997"/>
    <n v="48.635599999999997"/>
    <x v="1"/>
    <s v="2230"/>
    <s v="000"/>
    <x v="11"/>
    <x v="2"/>
  </r>
  <r>
    <d v="2013-09-04T00:00:00"/>
    <s v="017-2100-000"/>
    <s v="Food Sales"/>
    <n v="4374.1457999999993"/>
    <n v="0"/>
    <s v="Daily Sales Import"/>
    <n v="-4374.1457999999993"/>
    <n v="4374.1457999999993"/>
    <x v="1"/>
    <s v="2100"/>
    <s v="000"/>
    <x v="11"/>
    <x v="2"/>
  </r>
  <r>
    <d v="2013-09-04T00:00:00"/>
    <s v="017-2210-000"/>
    <s v="Liquor Sales"/>
    <n v="1765.6232"/>
    <n v="0"/>
    <s v="Daily Sales Import"/>
    <n v="-1765.6232"/>
    <n v="1765.6232"/>
    <x v="1"/>
    <s v="2210"/>
    <s v="000"/>
    <x v="11"/>
    <x v="2"/>
  </r>
  <r>
    <d v="2013-09-04T00:00:00"/>
    <s v="017-2220-000"/>
    <s v="Beer Sales"/>
    <n v="377.78879999999998"/>
    <n v="0"/>
    <s v="Daily Sales Import"/>
    <n v="-377.78879999999998"/>
    <n v="377.78879999999998"/>
    <x v="1"/>
    <s v="2220"/>
    <s v="000"/>
    <x v="11"/>
    <x v="2"/>
  </r>
  <r>
    <d v="2013-09-04T00:00:00"/>
    <s v="017-2230-000"/>
    <s v="Wine Sales"/>
    <n v="41.6556"/>
    <n v="0"/>
    <s v="Daily Sales Import"/>
    <n v="-41.6556"/>
    <n v="41.6556"/>
    <x v="1"/>
    <s v="2230"/>
    <s v="000"/>
    <x v="11"/>
    <x v="2"/>
  </r>
  <r>
    <d v="2013-09-05T00:00:00"/>
    <s v="017-2100-000"/>
    <s v="Food Sales"/>
    <n v="3222.4080000000004"/>
    <n v="0"/>
    <s v="Daily Sales Import"/>
    <n v="-3222.4080000000004"/>
    <n v="3222.4080000000004"/>
    <x v="1"/>
    <s v="2100"/>
    <s v="000"/>
    <x v="11"/>
    <x v="2"/>
  </r>
  <r>
    <d v="2013-09-05T00:00:00"/>
    <s v="017-2210-000"/>
    <s v="Liquor Sales"/>
    <n v="2093.9067000000005"/>
    <n v="0"/>
    <s v="Daily Sales Import"/>
    <n v="-2093.9067000000005"/>
    <n v="2093.9067000000005"/>
    <x v="1"/>
    <s v="2210"/>
    <s v="000"/>
    <x v="11"/>
    <x v="2"/>
  </r>
  <r>
    <d v="2013-09-05T00:00:00"/>
    <s v="017-2220-000"/>
    <s v="Beer Sales"/>
    <n v="373.06400000000002"/>
    <n v="0"/>
    <s v="Daily Sales Import"/>
    <n v="-373.06400000000002"/>
    <n v="373.06400000000002"/>
    <x v="1"/>
    <s v="2220"/>
    <s v="000"/>
    <x v="11"/>
    <x v="2"/>
  </r>
  <r>
    <d v="2013-09-05T00:00:00"/>
    <s v="017-2230-000"/>
    <s v="Wine Sales"/>
    <n v="155.25909999999999"/>
    <n v="0"/>
    <s v="Daily Sales Import"/>
    <n v="-155.25909999999999"/>
    <n v="155.25909999999999"/>
    <x v="1"/>
    <s v="2230"/>
    <s v="000"/>
    <x v="11"/>
    <x v="2"/>
  </r>
  <r>
    <d v="2013-09-06T00:00:00"/>
    <s v="017-2100-000"/>
    <s v="Food Sales"/>
    <n v="8323.7759999999998"/>
    <n v="0"/>
    <s v="Daily Sales Import"/>
    <n v="-8323.7759999999998"/>
    <n v="8323.7759999999998"/>
    <x v="1"/>
    <s v="2100"/>
    <s v="000"/>
    <x v="11"/>
    <x v="2"/>
  </r>
  <r>
    <d v="2013-09-06T00:00:00"/>
    <s v="017-2210-000"/>
    <s v="Liquor Sales"/>
    <n v="1883.193"/>
    <n v="0"/>
    <s v="Daily Sales Import"/>
    <n v="-1883.193"/>
    <n v="1883.193"/>
    <x v="1"/>
    <s v="2210"/>
    <s v="000"/>
    <x v="11"/>
    <x v="2"/>
  </r>
  <r>
    <d v="2013-09-06T00:00:00"/>
    <s v="017-2220-000"/>
    <s v="Beer Sales"/>
    <n v="317.89170000000001"/>
    <n v="0"/>
    <s v="Daily Sales Import"/>
    <n v="-317.89170000000001"/>
    <n v="317.89170000000001"/>
    <x v="1"/>
    <s v="2220"/>
    <s v="000"/>
    <x v="11"/>
    <x v="2"/>
  </r>
  <r>
    <d v="2013-09-06T00:00:00"/>
    <s v="017-2230-000"/>
    <s v="Wine Sales"/>
    <n v="92.916000000000011"/>
    <n v="0"/>
    <s v="Daily Sales Import"/>
    <n v="-92.916000000000011"/>
    <n v="92.916000000000011"/>
    <x v="1"/>
    <s v="2230"/>
    <s v="000"/>
    <x v="11"/>
    <x v="2"/>
  </r>
  <r>
    <d v="2013-09-07T00:00:00"/>
    <s v="017-2100-000"/>
    <s v="Food Sales"/>
    <n v="5679.7065999999995"/>
    <n v="0"/>
    <s v="Daily Sales Import"/>
    <n v="-5679.7065999999995"/>
    <n v="5679.7065999999995"/>
    <x v="1"/>
    <s v="2100"/>
    <s v="000"/>
    <x v="11"/>
    <x v="2"/>
  </r>
  <r>
    <d v="2013-09-07T00:00:00"/>
    <s v="017-2210-000"/>
    <s v="Liquor Sales"/>
    <n v="1525.9384"/>
    <n v="0"/>
    <s v="Daily Sales Import"/>
    <n v="-1525.9384"/>
    <n v="1525.9384"/>
    <x v="1"/>
    <s v="2210"/>
    <s v="000"/>
    <x v="11"/>
    <x v="2"/>
  </r>
  <r>
    <d v="2013-09-07T00:00:00"/>
    <s v="017-2220-000"/>
    <s v="Beer Sales"/>
    <n v="230.00900000000001"/>
    <n v="0"/>
    <s v="Daily Sales Import"/>
    <n v="-230.00900000000001"/>
    <n v="230.00900000000001"/>
    <x v="1"/>
    <s v="2220"/>
    <s v="000"/>
    <x v="11"/>
    <x v="2"/>
  </r>
  <r>
    <d v="2013-09-07T00:00:00"/>
    <s v="017-2230-000"/>
    <s v="Wine Sales"/>
    <n v="60.508500000000005"/>
    <n v="0"/>
    <s v="Daily Sales Import"/>
    <n v="-60.508500000000005"/>
    <n v="60.508500000000005"/>
    <x v="1"/>
    <s v="2230"/>
    <s v="000"/>
    <x v="11"/>
    <x v="2"/>
  </r>
  <r>
    <d v="2013-09-08T00:00:00"/>
    <s v="017-2100-000"/>
    <s v="Food Sales"/>
    <n v="4146.9120000000003"/>
    <n v="0"/>
    <s v="Daily Sales Import"/>
    <n v="-4146.9120000000003"/>
    <n v="4146.9120000000003"/>
    <x v="1"/>
    <s v="2100"/>
    <s v="000"/>
    <x v="11"/>
    <x v="2"/>
  </r>
  <r>
    <d v="2013-09-08T00:00:00"/>
    <s v="017-2210-000"/>
    <s v="Liquor Sales"/>
    <n v="900.4319999999999"/>
    <n v="0"/>
    <s v="Daily Sales Import"/>
    <n v="-900.4319999999999"/>
    <n v="900.4319999999999"/>
    <x v="1"/>
    <s v="2210"/>
    <s v="000"/>
    <x v="11"/>
    <x v="2"/>
  </r>
  <r>
    <d v="2013-09-08T00:00:00"/>
    <s v="017-2220-000"/>
    <s v="Beer Sales"/>
    <n v="260.77480000000003"/>
    <n v="0"/>
    <s v="Daily Sales Import"/>
    <n v="-260.77480000000003"/>
    <n v="260.77480000000003"/>
    <x v="1"/>
    <s v="2220"/>
    <s v="000"/>
    <x v="11"/>
    <x v="2"/>
  </r>
  <r>
    <d v="2013-09-08T00:00:00"/>
    <s v="017-2230-000"/>
    <s v="Wine Sales"/>
    <n v="108.2079"/>
    <n v="0"/>
    <s v="Daily Sales Import"/>
    <n v="-108.2079"/>
    <n v="108.2079"/>
    <x v="1"/>
    <s v="2230"/>
    <s v="000"/>
    <x v="11"/>
    <x v="2"/>
  </r>
  <r>
    <d v="2013-09-02T00:00:00"/>
    <s v="018-2100-000"/>
    <s v="Food Sales"/>
    <n v="11125.868"/>
    <n v="0"/>
    <s v="Daily Sales Import"/>
    <n v="-11125.868"/>
    <n v="11125.868"/>
    <x v="2"/>
    <s v="2100"/>
    <s v="000"/>
    <x v="11"/>
    <x v="2"/>
  </r>
  <r>
    <d v="2013-09-02T00:00:00"/>
    <s v="018-2210-000"/>
    <s v="Liquor Sales"/>
    <n v="1591.1104"/>
    <n v="0"/>
    <s v="Daily Sales Import"/>
    <n v="-1591.1104"/>
    <n v="1591.1104"/>
    <x v="2"/>
    <s v="2210"/>
    <s v="000"/>
    <x v="11"/>
    <x v="2"/>
  </r>
  <r>
    <d v="2013-09-02T00:00:00"/>
    <s v="018-2220-000"/>
    <s v="Beer Sales"/>
    <n v="403.66339999999997"/>
    <n v="0"/>
    <s v="Daily Sales Import"/>
    <n v="-403.66339999999997"/>
    <n v="403.66339999999997"/>
    <x v="2"/>
    <s v="2220"/>
    <s v="000"/>
    <x v="11"/>
    <x v="2"/>
  </r>
  <r>
    <d v="2013-09-02T00:00:00"/>
    <s v="018-2230-000"/>
    <s v="Wine Sales"/>
    <n v="109.9584"/>
    <n v="0"/>
    <s v="Daily Sales Import"/>
    <n v="-109.9584"/>
    <n v="109.9584"/>
    <x v="2"/>
    <s v="2230"/>
    <s v="000"/>
    <x v="11"/>
    <x v="2"/>
  </r>
  <r>
    <d v="2013-09-03T00:00:00"/>
    <s v="018-2100-000"/>
    <s v="Food Sales"/>
    <n v="2772.7280000000005"/>
    <n v="0"/>
    <s v="Daily Sales Import"/>
    <n v="-2772.7280000000005"/>
    <n v="2772.7280000000005"/>
    <x v="2"/>
    <s v="2100"/>
    <s v="000"/>
    <x v="11"/>
    <x v="2"/>
  </r>
  <r>
    <d v="2013-09-03T00:00:00"/>
    <s v="018-2210-000"/>
    <s v="Liquor Sales"/>
    <n v="523.12819999999999"/>
    <n v="0"/>
    <s v="Daily Sales Import"/>
    <n v="-523.12819999999999"/>
    <n v="523.12819999999999"/>
    <x v="2"/>
    <s v="2210"/>
    <s v="000"/>
    <x v="11"/>
    <x v="2"/>
  </r>
  <r>
    <d v="2013-09-03T00:00:00"/>
    <s v="018-2220-000"/>
    <s v="Beer Sales"/>
    <n v="133.7364"/>
    <n v="0"/>
    <s v="Daily Sales Import"/>
    <n v="-133.7364"/>
    <n v="133.7364"/>
    <x v="2"/>
    <s v="2220"/>
    <s v="000"/>
    <x v="11"/>
    <x v="2"/>
  </r>
  <r>
    <d v="2013-09-03T00:00:00"/>
    <s v="018-2230-000"/>
    <s v="Wine Sales"/>
    <n v="47.438999999999993"/>
    <n v="0"/>
    <s v="Daily Sales Import"/>
    <n v="-47.438999999999993"/>
    <n v="47.438999999999993"/>
    <x v="2"/>
    <s v="2230"/>
    <s v="000"/>
    <x v="11"/>
    <x v="2"/>
  </r>
  <r>
    <d v="2013-09-04T00:00:00"/>
    <s v="018-2100-000"/>
    <s v="Food Sales"/>
    <n v="3225.0333999999998"/>
    <n v="0"/>
    <s v="Daily Sales Import"/>
    <n v="-3225.0333999999998"/>
    <n v="3225.0333999999998"/>
    <x v="2"/>
    <s v="2100"/>
    <s v="000"/>
    <x v="11"/>
    <x v="2"/>
  </r>
  <r>
    <d v="2013-09-04T00:00:00"/>
    <s v="018-2210-000"/>
    <s v="Liquor Sales"/>
    <n v="691.86779999999999"/>
    <n v="0"/>
    <s v="Daily Sales Import"/>
    <n v="-691.86779999999999"/>
    <n v="691.86779999999999"/>
    <x v="2"/>
    <s v="2210"/>
    <s v="000"/>
    <x v="11"/>
    <x v="2"/>
  </r>
  <r>
    <d v="2013-09-04T00:00:00"/>
    <s v="018-2220-000"/>
    <s v="Beer Sales"/>
    <n v="170.202"/>
    <n v="0"/>
    <s v="Daily Sales Import"/>
    <n v="-170.202"/>
    <n v="170.202"/>
    <x v="2"/>
    <s v="2220"/>
    <s v="000"/>
    <x v="11"/>
    <x v="2"/>
  </r>
  <r>
    <d v="2013-09-05T00:00:00"/>
    <s v="018-2100-000"/>
    <s v="Food Sales"/>
    <n v="3167.5925000000002"/>
    <n v="0"/>
    <s v="Daily Sales Import"/>
    <n v="-3167.5925000000002"/>
    <n v="3167.5925000000002"/>
    <x v="2"/>
    <s v="2100"/>
    <s v="000"/>
    <x v="11"/>
    <x v="2"/>
  </r>
  <r>
    <d v="2013-09-05T00:00:00"/>
    <s v="018-2210-000"/>
    <s v="Liquor Sales"/>
    <n v="692.68320000000006"/>
    <n v="0"/>
    <s v="Daily Sales Import"/>
    <n v="-692.68320000000006"/>
    <n v="692.68320000000006"/>
    <x v="2"/>
    <s v="2210"/>
    <s v="000"/>
    <x v="11"/>
    <x v="2"/>
  </r>
  <r>
    <d v="2013-09-05T00:00:00"/>
    <s v="018-2220-000"/>
    <s v="Beer Sales"/>
    <n v="182.49600000000001"/>
    <n v="0"/>
    <s v="Daily Sales Import"/>
    <n v="-182.49600000000001"/>
    <n v="182.49600000000001"/>
    <x v="2"/>
    <s v="2220"/>
    <s v="000"/>
    <x v="11"/>
    <x v="2"/>
  </r>
  <r>
    <d v="2013-09-05T00:00:00"/>
    <s v="018-2230-000"/>
    <s v="Wine Sales"/>
    <n v="46.587199999999996"/>
    <n v="0"/>
    <s v="Daily Sales Import"/>
    <n v="-46.587199999999996"/>
    <n v="46.587199999999996"/>
    <x v="2"/>
    <s v="2230"/>
    <s v="000"/>
    <x v="11"/>
    <x v="2"/>
  </r>
  <r>
    <d v="2013-09-06T00:00:00"/>
    <s v="018-2100-000"/>
    <s v="Food Sales"/>
    <n v="12437.772300000001"/>
    <n v="0"/>
    <s v="Daily Sales Import"/>
    <n v="-12437.772300000001"/>
    <n v="12437.772300000001"/>
    <x v="2"/>
    <s v="2100"/>
    <s v="000"/>
    <x v="11"/>
    <x v="2"/>
  </r>
  <r>
    <d v="2013-09-06T00:00:00"/>
    <s v="018-2210-000"/>
    <s v="Liquor Sales"/>
    <n v="3668.9876000000004"/>
    <n v="0"/>
    <s v="Daily Sales Import"/>
    <n v="-3668.9876000000004"/>
    <n v="3668.9876000000004"/>
    <x v="2"/>
    <s v="2210"/>
    <s v="000"/>
    <x v="11"/>
    <x v="2"/>
  </r>
  <r>
    <d v="2013-09-06T00:00:00"/>
    <s v="018-2220-000"/>
    <s v="Beer Sales"/>
    <n v="584.42759999999998"/>
    <n v="0"/>
    <s v="Daily Sales Import"/>
    <n v="-584.42759999999998"/>
    <n v="584.42759999999998"/>
    <x v="2"/>
    <s v="2220"/>
    <s v="000"/>
    <x v="11"/>
    <x v="2"/>
  </r>
  <r>
    <d v="2013-09-06T00:00:00"/>
    <s v="018-2230-000"/>
    <s v="Wine Sales"/>
    <n v="98.576400000000007"/>
    <n v="0"/>
    <s v="Daily Sales Import"/>
    <n v="-98.576400000000007"/>
    <n v="98.576400000000007"/>
    <x v="2"/>
    <s v="2230"/>
    <s v="000"/>
    <x v="11"/>
    <x v="2"/>
  </r>
  <r>
    <d v="2013-09-07T00:00:00"/>
    <s v="018-2100-000"/>
    <s v="Food Sales"/>
    <n v="14622.551600000001"/>
    <n v="0"/>
    <s v="Daily Sales Import"/>
    <n v="-14622.551600000001"/>
    <n v="14622.551600000001"/>
    <x v="2"/>
    <s v="2100"/>
    <s v="000"/>
    <x v="11"/>
    <x v="2"/>
  </r>
  <r>
    <d v="2013-09-07T00:00:00"/>
    <s v="018-2210-000"/>
    <s v="Liquor Sales"/>
    <n v="2649.7249999999999"/>
    <n v="0"/>
    <s v="Daily Sales Import"/>
    <n v="-2649.7249999999999"/>
    <n v="2649.7249999999999"/>
    <x v="2"/>
    <s v="2210"/>
    <s v="000"/>
    <x v="11"/>
    <x v="2"/>
  </r>
  <r>
    <d v="2013-09-07T00:00:00"/>
    <s v="018-2220-000"/>
    <s v="Beer Sales"/>
    <n v="457.358"/>
    <n v="0"/>
    <s v="Daily Sales Import"/>
    <n v="-457.358"/>
    <n v="457.358"/>
    <x v="2"/>
    <s v="2220"/>
    <s v="000"/>
    <x v="11"/>
    <x v="2"/>
  </r>
  <r>
    <d v="2013-09-07T00:00:00"/>
    <s v="018-2230-000"/>
    <s v="Wine Sales"/>
    <n v="115.7535"/>
    <n v="0"/>
    <s v="Daily Sales Import"/>
    <n v="-115.7535"/>
    <n v="115.7535"/>
    <x v="2"/>
    <s v="2230"/>
    <s v="000"/>
    <x v="11"/>
    <x v="2"/>
  </r>
  <r>
    <d v="2013-09-08T00:00:00"/>
    <s v="018-2100-000"/>
    <s v="Food Sales"/>
    <n v="7001.8361999999997"/>
    <n v="0"/>
    <s v="Daily Sales Import"/>
    <n v="-7001.8361999999997"/>
    <n v="7001.8361999999997"/>
    <x v="2"/>
    <s v="2100"/>
    <s v="000"/>
    <x v="11"/>
    <x v="2"/>
  </r>
  <r>
    <d v="2013-09-08T00:00:00"/>
    <s v="018-2210-000"/>
    <s v="Liquor Sales"/>
    <n v="1089.1422"/>
    <n v="0"/>
    <s v="Daily Sales Import"/>
    <n v="-1089.1422"/>
    <n v="1089.1422"/>
    <x v="2"/>
    <s v="2210"/>
    <s v="000"/>
    <x v="11"/>
    <x v="2"/>
  </r>
  <r>
    <d v="2013-09-08T00:00:00"/>
    <s v="018-2220-000"/>
    <s v="Beer Sales"/>
    <n v="282.94560000000001"/>
    <n v="0"/>
    <s v="Daily Sales Import"/>
    <n v="-282.94560000000001"/>
    <n v="282.94560000000001"/>
    <x v="2"/>
    <s v="2220"/>
    <s v="000"/>
    <x v="11"/>
    <x v="2"/>
  </r>
  <r>
    <d v="2013-09-08T00:00:00"/>
    <s v="018-2230-000"/>
    <s v="Wine Sales"/>
    <n v="36.148499999999999"/>
    <n v="0"/>
    <s v="Daily Sales Import"/>
    <n v="-36.148499999999999"/>
    <n v="36.148499999999999"/>
    <x v="2"/>
    <s v="2230"/>
    <s v="000"/>
    <x v="11"/>
    <x v="2"/>
  </r>
  <r>
    <d v="2013-09-02T00:00:00"/>
    <s v="019-2100-000"/>
    <s v="Food Sales"/>
    <n v="2947.0950000000003"/>
    <n v="0"/>
    <s v="Daily Sales Import"/>
    <n v="-2947.0950000000003"/>
    <n v="2947.0950000000003"/>
    <x v="3"/>
    <s v="2100"/>
    <s v="000"/>
    <x v="11"/>
    <x v="2"/>
  </r>
  <r>
    <d v="2013-09-02T00:00:00"/>
    <s v="019-2210-000"/>
    <s v="Liquor Sales"/>
    <n v="826.13369999999998"/>
    <n v="0"/>
    <s v="Daily Sales Import"/>
    <n v="-826.13369999999998"/>
    <n v="826.13369999999998"/>
    <x v="3"/>
    <s v="2210"/>
    <s v="000"/>
    <x v="11"/>
    <x v="2"/>
  </r>
  <r>
    <d v="2013-09-02T00:00:00"/>
    <s v="019-2220-000"/>
    <s v="Beer Sales"/>
    <n v="137.15259999999998"/>
    <n v="0"/>
    <s v="Daily Sales Import"/>
    <n v="-137.15259999999998"/>
    <n v="137.15259999999998"/>
    <x v="3"/>
    <s v="2220"/>
    <s v="000"/>
    <x v="11"/>
    <x v="2"/>
  </r>
  <r>
    <d v="2013-09-02T00:00:00"/>
    <s v="019-2230-000"/>
    <s v="Wine Sales"/>
    <n v="24.446999999999999"/>
    <n v="0"/>
    <s v="Daily Sales Import"/>
    <n v="-24.446999999999999"/>
    <n v="24.446999999999999"/>
    <x v="3"/>
    <s v="2230"/>
    <s v="000"/>
    <x v="11"/>
    <x v="2"/>
  </r>
  <r>
    <d v="2013-09-03T00:00:00"/>
    <s v="019-2100-000"/>
    <s v="Food Sales"/>
    <n v="2477.9454999999998"/>
    <n v="0"/>
    <s v="Daily Sales Import"/>
    <n v="-2477.9454999999998"/>
    <n v="2477.9454999999998"/>
    <x v="3"/>
    <s v="2100"/>
    <s v="000"/>
    <x v="11"/>
    <x v="2"/>
  </r>
  <r>
    <d v="2013-09-03T00:00:00"/>
    <s v="019-2210-000"/>
    <s v="Liquor Sales"/>
    <n v="632.61599999999999"/>
    <n v="0"/>
    <s v="Daily Sales Import"/>
    <n v="-632.61599999999999"/>
    <n v="632.61599999999999"/>
    <x v="3"/>
    <s v="2210"/>
    <s v="000"/>
    <x v="11"/>
    <x v="2"/>
  </r>
  <r>
    <d v="2013-09-03T00:00:00"/>
    <s v="019-2220-000"/>
    <s v="Beer Sales"/>
    <n v="112.38499999999999"/>
    <n v="0"/>
    <s v="Daily Sales Import"/>
    <n v="-112.38499999999999"/>
    <n v="112.38499999999999"/>
    <x v="3"/>
    <s v="2220"/>
    <s v="000"/>
    <x v="11"/>
    <x v="2"/>
  </r>
  <r>
    <d v="2013-09-03T00:00:00"/>
    <s v="019-2230-000"/>
    <s v="Wine Sales"/>
    <n v="27.462999999999997"/>
    <n v="0"/>
    <s v="Daily Sales Import"/>
    <n v="-27.462999999999997"/>
    <n v="27.462999999999997"/>
    <x v="3"/>
    <s v="2230"/>
    <s v="000"/>
    <x v="11"/>
    <x v="2"/>
  </r>
  <r>
    <d v="2013-09-04T00:00:00"/>
    <s v="019-2100-000"/>
    <s v="Food Sales"/>
    <n v="2104.9270000000001"/>
    <n v="0"/>
    <s v="Daily Sales Import"/>
    <n v="-2104.9270000000001"/>
    <n v="2104.9270000000001"/>
    <x v="3"/>
    <s v="2100"/>
    <s v="000"/>
    <x v="11"/>
    <x v="2"/>
  </r>
  <r>
    <d v="2013-09-04T00:00:00"/>
    <s v="019-2210-000"/>
    <s v="Liquor Sales"/>
    <n v="759.71230000000003"/>
    <n v="0"/>
    <s v="Daily Sales Import"/>
    <n v="-759.71230000000003"/>
    <n v="759.71230000000003"/>
    <x v="3"/>
    <s v="2210"/>
    <s v="000"/>
    <x v="11"/>
    <x v="2"/>
  </r>
  <r>
    <d v="2013-09-04T00:00:00"/>
    <s v="019-2220-000"/>
    <s v="Beer Sales"/>
    <n v="180.54749999999999"/>
    <n v="0"/>
    <s v="Daily Sales Import"/>
    <n v="-180.54749999999999"/>
    <n v="180.54749999999999"/>
    <x v="3"/>
    <s v="2220"/>
    <s v="000"/>
    <x v="11"/>
    <x v="2"/>
  </r>
  <r>
    <d v="2013-09-04T00:00:00"/>
    <s v="019-2230-000"/>
    <s v="Wine Sales"/>
    <n v="61.974000000000004"/>
    <n v="0"/>
    <s v="Daily Sales Import"/>
    <n v="-61.974000000000004"/>
    <n v="61.974000000000004"/>
    <x v="3"/>
    <s v="2230"/>
    <s v="000"/>
    <x v="11"/>
    <x v="2"/>
  </r>
  <r>
    <d v="2013-09-05T00:00:00"/>
    <s v="019-2100-000"/>
    <s v="Food Sales"/>
    <n v="2433.7445000000002"/>
    <n v="0"/>
    <s v="Daily Sales Import"/>
    <n v="-2433.7445000000002"/>
    <n v="2433.7445000000002"/>
    <x v="3"/>
    <s v="2100"/>
    <s v="000"/>
    <x v="11"/>
    <x v="2"/>
  </r>
  <r>
    <d v="2013-09-05T00:00:00"/>
    <s v="019-2210-000"/>
    <s v="Liquor Sales"/>
    <n v="1393.9471000000001"/>
    <n v="0"/>
    <s v="Daily Sales Import"/>
    <n v="-1393.9471000000001"/>
    <n v="1393.9471000000001"/>
    <x v="3"/>
    <s v="2210"/>
    <s v="000"/>
    <x v="11"/>
    <x v="2"/>
  </r>
  <r>
    <d v="2013-09-05T00:00:00"/>
    <s v="019-2220-000"/>
    <s v="Beer Sales"/>
    <n v="223.125"/>
    <n v="0"/>
    <s v="Daily Sales Import"/>
    <n v="-223.125"/>
    <n v="223.125"/>
    <x v="3"/>
    <s v="2220"/>
    <s v="000"/>
    <x v="11"/>
    <x v="2"/>
  </r>
  <r>
    <d v="2013-09-05T00:00:00"/>
    <s v="019-2230-000"/>
    <s v="Wine Sales"/>
    <n v="24.532199999999996"/>
    <n v="0"/>
    <s v="Daily Sales Import"/>
    <n v="-24.532199999999996"/>
    <n v="24.532199999999996"/>
    <x v="3"/>
    <s v="2230"/>
    <s v="000"/>
    <x v="11"/>
    <x v="2"/>
  </r>
  <r>
    <d v="2013-09-06T00:00:00"/>
    <s v="019-2100-000"/>
    <s v="Food Sales"/>
    <n v="6068.3015999999998"/>
    <n v="0"/>
    <s v="Daily Sales Import"/>
    <n v="-6068.3015999999998"/>
    <n v="6068.3015999999998"/>
    <x v="3"/>
    <s v="2100"/>
    <s v="000"/>
    <x v="11"/>
    <x v="2"/>
  </r>
  <r>
    <d v="2013-09-06T00:00:00"/>
    <s v="019-2210-000"/>
    <s v="Liquor Sales"/>
    <n v="2347.0862000000002"/>
    <n v="0"/>
    <s v="Daily Sales Import"/>
    <n v="-2347.0862000000002"/>
    <n v="2347.0862000000002"/>
    <x v="3"/>
    <s v="2210"/>
    <s v="000"/>
    <x v="11"/>
    <x v="2"/>
  </r>
  <r>
    <d v="2013-09-06T00:00:00"/>
    <s v="019-2220-000"/>
    <s v="Beer Sales"/>
    <n v="205.1968"/>
    <n v="0"/>
    <s v="Daily Sales Import"/>
    <n v="-205.1968"/>
    <n v="205.1968"/>
    <x v="3"/>
    <s v="2220"/>
    <s v="000"/>
    <x v="11"/>
    <x v="2"/>
  </r>
  <r>
    <d v="2013-09-06T00:00:00"/>
    <s v="019-2230-000"/>
    <s v="Wine Sales"/>
    <n v="50.267700000000005"/>
    <n v="0"/>
    <s v="Daily Sales Import"/>
    <n v="-50.267700000000005"/>
    <n v="50.267700000000005"/>
    <x v="3"/>
    <s v="2230"/>
    <s v="000"/>
    <x v="11"/>
    <x v="2"/>
  </r>
  <r>
    <d v="2013-09-07T00:00:00"/>
    <s v="019-2100-000"/>
    <s v="Food Sales"/>
    <n v="4345.4927000000007"/>
    <n v="0"/>
    <s v="Daily Sales Import"/>
    <n v="-4345.4927000000007"/>
    <n v="4345.4927000000007"/>
    <x v="3"/>
    <s v="2100"/>
    <s v="000"/>
    <x v="11"/>
    <x v="2"/>
  </r>
  <r>
    <d v="2013-09-07T00:00:00"/>
    <s v="019-2210-000"/>
    <s v="Liquor Sales"/>
    <n v="1861.0239999999999"/>
    <n v="0"/>
    <s v="Daily Sales Import"/>
    <n v="-1861.0239999999999"/>
    <n v="1861.0239999999999"/>
    <x v="3"/>
    <s v="2210"/>
    <s v="000"/>
    <x v="11"/>
    <x v="2"/>
  </r>
  <r>
    <d v="2013-09-07T00:00:00"/>
    <s v="019-2220-000"/>
    <s v="Beer Sales"/>
    <n v="595.15599999999995"/>
    <n v="0"/>
    <s v="Daily Sales Import"/>
    <n v="-595.15599999999995"/>
    <n v="595.15599999999995"/>
    <x v="3"/>
    <s v="2220"/>
    <s v="000"/>
    <x v="11"/>
    <x v="2"/>
  </r>
  <r>
    <d v="2013-09-07T00:00:00"/>
    <s v="019-2230-000"/>
    <s v="Wine Sales"/>
    <n v="34.060699999999997"/>
    <n v="0"/>
    <s v="Daily Sales Import"/>
    <n v="-34.060699999999997"/>
    <n v="34.060699999999997"/>
    <x v="3"/>
    <s v="2230"/>
    <s v="000"/>
    <x v="11"/>
    <x v="2"/>
  </r>
  <r>
    <d v="2013-09-08T00:00:00"/>
    <s v="019-2100-000"/>
    <s v="Food Sales"/>
    <n v="3202.8528000000001"/>
    <n v="0"/>
    <s v="Daily Sales Import"/>
    <n v="-3202.8528000000001"/>
    <n v="3202.8528000000001"/>
    <x v="3"/>
    <s v="2100"/>
    <s v="000"/>
    <x v="11"/>
    <x v="2"/>
  </r>
  <r>
    <d v="2013-09-08T00:00:00"/>
    <s v="019-2210-000"/>
    <s v="Liquor Sales"/>
    <n v="1334.0855999999999"/>
    <n v="0"/>
    <s v="Daily Sales Import"/>
    <n v="-1334.0855999999999"/>
    <n v="1334.0855999999999"/>
    <x v="3"/>
    <s v="2210"/>
    <s v="000"/>
    <x v="11"/>
    <x v="2"/>
  </r>
  <r>
    <d v="2013-09-08T00:00:00"/>
    <s v="019-2220-000"/>
    <s v="Beer Sales"/>
    <n v="214.84539999999998"/>
    <n v="0"/>
    <s v="Daily Sales Import"/>
    <n v="-214.84539999999998"/>
    <n v="214.84539999999998"/>
    <x v="3"/>
    <s v="2220"/>
    <s v="000"/>
    <x v="11"/>
    <x v="2"/>
  </r>
  <r>
    <d v="2013-09-08T00:00:00"/>
    <s v="019-2230-000"/>
    <s v="Wine Sales"/>
    <n v="38.369"/>
    <n v="0"/>
    <s v="Daily Sales Import"/>
    <n v="-38.369"/>
    <n v="38.369"/>
    <x v="3"/>
    <s v="2230"/>
    <s v="000"/>
    <x v="11"/>
    <x v="2"/>
  </r>
  <r>
    <d v="2013-09-09T00:00:00"/>
    <s v="016-2100-000"/>
    <s v="Food Sales"/>
    <n v="1756.5827999999999"/>
    <n v="0"/>
    <s v="Daily Sales Import"/>
    <n v="-1756.5827999999999"/>
    <n v="1756.5827999999999"/>
    <x v="0"/>
    <s v="2100"/>
    <s v="000"/>
    <x v="11"/>
    <x v="2"/>
  </r>
  <r>
    <d v="2013-09-09T00:00:00"/>
    <s v="016-2210-000"/>
    <s v="Liquor Sales"/>
    <n v="373.91160000000002"/>
    <n v="0"/>
    <s v="Daily Sales Import"/>
    <n v="-373.91160000000002"/>
    <n v="373.91160000000002"/>
    <x v="0"/>
    <s v="2210"/>
    <s v="000"/>
    <x v="11"/>
    <x v="2"/>
  </r>
  <r>
    <d v="2013-09-09T00:00:00"/>
    <s v="016-2220-000"/>
    <s v="Beer Sales"/>
    <n v="85.608000000000004"/>
    <n v="0"/>
    <s v="Daily Sales Import"/>
    <n v="-85.608000000000004"/>
    <n v="85.608000000000004"/>
    <x v="0"/>
    <s v="2220"/>
    <s v="000"/>
    <x v="11"/>
    <x v="2"/>
  </r>
  <r>
    <d v="2013-09-09T00:00:00"/>
    <s v="016-2230-000"/>
    <s v="Wine Sales"/>
    <n v="17.093399999999999"/>
    <n v="0"/>
    <s v="Daily Sales Import"/>
    <n v="-17.093399999999999"/>
    <n v="17.093399999999999"/>
    <x v="0"/>
    <s v="2230"/>
    <s v="000"/>
    <x v="11"/>
    <x v="2"/>
  </r>
  <r>
    <d v="2013-09-10T00:00:00"/>
    <s v="016-2100-000"/>
    <s v="Food Sales"/>
    <n v="6916.3752000000004"/>
    <n v="0"/>
    <s v="Daily Sales Import"/>
    <n v="-6916.3752000000004"/>
    <n v="6916.3752000000004"/>
    <x v="0"/>
    <s v="2100"/>
    <s v="000"/>
    <x v="11"/>
    <x v="2"/>
  </r>
  <r>
    <d v="2013-09-10T00:00:00"/>
    <s v="016-2210-000"/>
    <s v="Liquor Sales"/>
    <n v="1280.1800999999998"/>
    <n v="0"/>
    <s v="Daily Sales Import"/>
    <n v="-1280.1800999999998"/>
    <n v="1280.1800999999998"/>
    <x v="0"/>
    <s v="2210"/>
    <s v="000"/>
    <x v="11"/>
    <x v="2"/>
  </r>
  <r>
    <d v="2013-09-10T00:00:00"/>
    <s v="016-2220-000"/>
    <s v="Beer Sales"/>
    <n v="889.94399999999996"/>
    <n v="0"/>
    <s v="Daily Sales Import"/>
    <n v="-889.94399999999996"/>
    <n v="889.94399999999996"/>
    <x v="0"/>
    <s v="2220"/>
    <s v="000"/>
    <x v="11"/>
    <x v="2"/>
  </r>
  <r>
    <d v="2013-09-10T00:00:00"/>
    <s v="016-2230-000"/>
    <s v="Wine Sales"/>
    <n v="54.8523"/>
    <n v="0"/>
    <s v="Daily Sales Import"/>
    <n v="-54.8523"/>
    <n v="54.8523"/>
    <x v="0"/>
    <s v="2230"/>
    <s v="000"/>
    <x v="11"/>
    <x v="2"/>
  </r>
  <r>
    <d v="2013-09-11T00:00:00"/>
    <s v="016-2100-000"/>
    <s v="Food Sales"/>
    <n v="2836.4661000000001"/>
    <n v="0"/>
    <s v="Daily Sales Import"/>
    <n v="-2836.4661000000001"/>
    <n v="2836.4661000000001"/>
    <x v="0"/>
    <s v="2100"/>
    <s v="000"/>
    <x v="11"/>
    <x v="2"/>
  </r>
  <r>
    <d v="2013-09-11T00:00:00"/>
    <s v="016-2210-000"/>
    <s v="Liquor Sales"/>
    <n v="514.17989999999998"/>
    <n v="0"/>
    <s v="Daily Sales Import"/>
    <n v="-514.17989999999998"/>
    <n v="514.17989999999998"/>
    <x v="0"/>
    <s v="2210"/>
    <s v="000"/>
    <x v="11"/>
    <x v="2"/>
  </r>
  <r>
    <d v="2013-09-11T00:00:00"/>
    <s v="016-2220-000"/>
    <s v="Beer Sales"/>
    <n v="188.91319999999999"/>
    <n v="0"/>
    <s v="Daily Sales Import"/>
    <n v="-188.91319999999999"/>
    <n v="188.91319999999999"/>
    <x v="0"/>
    <s v="2220"/>
    <s v="000"/>
    <x v="11"/>
    <x v="2"/>
  </r>
  <r>
    <d v="2013-09-11T00:00:00"/>
    <s v="016-2230-000"/>
    <s v="Wine Sales"/>
    <n v="101.504"/>
    <n v="0"/>
    <s v="Daily Sales Import"/>
    <n v="-101.504"/>
    <n v="101.504"/>
    <x v="0"/>
    <s v="2230"/>
    <s v="000"/>
    <x v="11"/>
    <x v="2"/>
  </r>
  <r>
    <d v="2013-09-12T00:00:00"/>
    <s v="016-2100-000"/>
    <s v="Food Sales"/>
    <n v="6313.2134999999998"/>
    <n v="0"/>
    <s v="Daily Sales Import"/>
    <n v="-6313.2134999999998"/>
    <n v="6313.2134999999998"/>
    <x v="0"/>
    <s v="2100"/>
    <s v="000"/>
    <x v="11"/>
    <x v="2"/>
  </r>
  <r>
    <d v="2013-09-12T00:00:00"/>
    <s v="016-2210-000"/>
    <s v="Liquor Sales"/>
    <n v="3201.7868999999996"/>
    <n v="0"/>
    <s v="Daily Sales Import"/>
    <n v="-3201.7868999999996"/>
    <n v="3201.7868999999996"/>
    <x v="0"/>
    <s v="2210"/>
    <s v="000"/>
    <x v="11"/>
    <x v="2"/>
  </r>
  <r>
    <d v="2013-09-12T00:00:00"/>
    <s v="016-2220-000"/>
    <s v="Beer Sales"/>
    <n v="1131.1101999999998"/>
    <n v="0"/>
    <s v="Daily Sales Import"/>
    <n v="-1131.1101999999998"/>
    <n v="1131.1101999999998"/>
    <x v="0"/>
    <s v="2220"/>
    <s v="000"/>
    <x v="11"/>
    <x v="2"/>
  </r>
  <r>
    <d v="2013-09-12T00:00:00"/>
    <s v="016-2230-000"/>
    <s v="Wine Sales"/>
    <n v="553.50400000000002"/>
    <n v="0"/>
    <s v="Daily Sales Import"/>
    <n v="-553.50400000000002"/>
    <n v="553.50400000000002"/>
    <x v="0"/>
    <s v="2230"/>
    <s v="000"/>
    <x v="11"/>
    <x v="2"/>
  </r>
  <r>
    <d v="2013-09-13T00:00:00"/>
    <s v="016-2100-000"/>
    <s v="Food Sales"/>
    <n v="5277.5475999999999"/>
    <n v="0"/>
    <s v="Daily Sales Import"/>
    <n v="-5277.5475999999999"/>
    <n v="5277.5475999999999"/>
    <x v="0"/>
    <s v="2100"/>
    <s v="000"/>
    <x v="11"/>
    <x v="2"/>
  </r>
  <r>
    <d v="2013-09-13T00:00:00"/>
    <s v="016-2210-000"/>
    <s v="Liquor Sales"/>
    <n v="2183.0219999999999"/>
    <n v="0"/>
    <s v="Daily Sales Import"/>
    <n v="-2183.0219999999999"/>
    <n v="2183.0219999999999"/>
    <x v="0"/>
    <s v="2210"/>
    <s v="000"/>
    <x v="11"/>
    <x v="2"/>
  </r>
  <r>
    <d v="2013-09-13T00:00:00"/>
    <s v="016-2220-000"/>
    <s v="Beer Sales"/>
    <n v="341.58890000000002"/>
    <n v="0"/>
    <s v="Daily Sales Import"/>
    <n v="-341.58890000000002"/>
    <n v="341.58890000000002"/>
    <x v="0"/>
    <s v="2220"/>
    <s v="000"/>
    <x v="11"/>
    <x v="2"/>
  </r>
  <r>
    <d v="2013-09-13T00:00:00"/>
    <s v="016-2230-000"/>
    <s v="Wine Sales"/>
    <n v="134.56799999999998"/>
    <n v="0"/>
    <s v="Daily Sales Import"/>
    <n v="-134.56799999999998"/>
    <n v="134.56799999999998"/>
    <x v="0"/>
    <s v="2230"/>
    <s v="000"/>
    <x v="11"/>
    <x v="2"/>
  </r>
  <r>
    <d v="2013-09-14T00:00:00"/>
    <s v="016-2100-000"/>
    <s v="Food Sales"/>
    <n v="6317.6835999999994"/>
    <n v="0"/>
    <s v="Daily Sales Import"/>
    <n v="-6317.6835999999994"/>
    <n v="6317.6835999999994"/>
    <x v="0"/>
    <s v="2100"/>
    <s v="000"/>
    <x v="11"/>
    <x v="2"/>
  </r>
  <r>
    <d v="2013-09-14T00:00:00"/>
    <s v="016-2210-000"/>
    <s v="Liquor Sales"/>
    <n v="958.83459999999991"/>
    <n v="0"/>
    <s v="Daily Sales Import"/>
    <n v="-958.83459999999991"/>
    <n v="958.83459999999991"/>
    <x v="0"/>
    <s v="2210"/>
    <s v="000"/>
    <x v="11"/>
    <x v="2"/>
  </r>
  <r>
    <d v="2013-09-14T00:00:00"/>
    <s v="016-2220-000"/>
    <s v="Beer Sales"/>
    <n v="190.01920000000001"/>
    <n v="0"/>
    <s v="Daily Sales Import"/>
    <n v="-190.01920000000001"/>
    <n v="190.01920000000001"/>
    <x v="0"/>
    <s v="2220"/>
    <s v="000"/>
    <x v="11"/>
    <x v="2"/>
  </r>
  <r>
    <d v="2013-09-14T00:00:00"/>
    <s v="016-2230-000"/>
    <s v="Wine Sales"/>
    <n v="129.91319999999999"/>
    <n v="0"/>
    <s v="Daily Sales Import"/>
    <n v="-129.91319999999999"/>
    <n v="129.91319999999999"/>
    <x v="0"/>
    <s v="2230"/>
    <s v="000"/>
    <x v="11"/>
    <x v="2"/>
  </r>
  <r>
    <d v="2013-09-15T00:00:00"/>
    <s v="016-2100-000"/>
    <s v="Food Sales"/>
    <n v="2913.4568000000004"/>
    <n v="0"/>
    <s v="Daily Sales Import"/>
    <n v="-2913.4568000000004"/>
    <n v="2913.4568000000004"/>
    <x v="0"/>
    <s v="2100"/>
    <s v="000"/>
    <x v="11"/>
    <x v="2"/>
  </r>
  <r>
    <d v="2013-09-15T00:00:00"/>
    <s v="016-2210-000"/>
    <s v="Liquor Sales"/>
    <n v="613.08030000000008"/>
    <n v="0"/>
    <s v="Daily Sales Import"/>
    <n v="-613.08030000000008"/>
    <n v="613.08030000000008"/>
    <x v="0"/>
    <s v="2210"/>
    <s v="000"/>
    <x v="11"/>
    <x v="2"/>
  </r>
  <r>
    <d v="2013-09-15T00:00:00"/>
    <s v="016-2220-000"/>
    <s v="Beer Sales"/>
    <n v="63.654800000000002"/>
    <n v="0"/>
    <s v="Daily Sales Import"/>
    <n v="-63.654800000000002"/>
    <n v="63.654800000000002"/>
    <x v="0"/>
    <s v="2220"/>
    <s v="000"/>
    <x v="11"/>
    <x v="2"/>
  </r>
  <r>
    <d v="2013-09-15T00:00:00"/>
    <s v="016-2230-000"/>
    <s v="Wine Sales"/>
    <n v="58.376500000000007"/>
    <n v="0"/>
    <s v="Daily Sales Import"/>
    <n v="-58.376500000000007"/>
    <n v="58.376500000000007"/>
    <x v="0"/>
    <s v="2230"/>
    <s v="000"/>
    <x v="11"/>
    <x v="2"/>
  </r>
  <r>
    <d v="2013-09-09T00:00:00"/>
    <s v="017-2100-000"/>
    <s v="Food Sales"/>
    <n v="3553.83"/>
    <n v="0"/>
    <s v="Daily Sales Import"/>
    <n v="-3553.83"/>
    <n v="3553.83"/>
    <x v="1"/>
    <s v="2100"/>
    <s v="000"/>
    <x v="11"/>
    <x v="2"/>
  </r>
  <r>
    <d v="2013-09-09T00:00:00"/>
    <s v="017-2210-000"/>
    <s v="Liquor Sales"/>
    <n v="1038.3522"/>
    <n v="0"/>
    <s v="Daily Sales Import"/>
    <n v="-1038.3522"/>
    <n v="1038.3522"/>
    <x v="1"/>
    <s v="2210"/>
    <s v="000"/>
    <x v="11"/>
    <x v="2"/>
  </r>
  <r>
    <d v="2013-09-09T00:00:00"/>
    <s v="017-2220-000"/>
    <s v="Beer Sales"/>
    <n v="325.5675"/>
    <n v="0"/>
    <s v="Daily Sales Import"/>
    <n v="-325.5675"/>
    <n v="325.5675"/>
    <x v="1"/>
    <s v="2220"/>
    <s v="000"/>
    <x v="11"/>
    <x v="2"/>
  </r>
  <r>
    <d v="2013-09-09T00:00:00"/>
    <s v="017-2230-000"/>
    <s v="Wine Sales"/>
    <n v="113.2128"/>
    <n v="0"/>
    <s v="Daily Sales Import"/>
    <n v="-113.2128"/>
    <n v="113.2128"/>
    <x v="1"/>
    <s v="2230"/>
    <s v="000"/>
    <x v="11"/>
    <x v="2"/>
  </r>
  <r>
    <d v="2013-09-10T00:00:00"/>
    <s v="017-2100-000"/>
    <s v="Food Sales"/>
    <n v="6344.905999999999"/>
    <n v="0"/>
    <s v="Daily Sales Import"/>
    <n v="-6344.905999999999"/>
    <n v="6344.905999999999"/>
    <x v="1"/>
    <s v="2100"/>
    <s v="000"/>
    <x v="11"/>
    <x v="2"/>
  </r>
  <r>
    <d v="2013-09-10T00:00:00"/>
    <s v="017-2210-000"/>
    <s v="Liquor Sales"/>
    <n v="957.36940000000004"/>
    <n v="0"/>
    <s v="Daily Sales Import"/>
    <n v="-957.36940000000004"/>
    <n v="957.36940000000004"/>
    <x v="1"/>
    <s v="2210"/>
    <s v="000"/>
    <x v="11"/>
    <x v="2"/>
  </r>
  <r>
    <d v="2013-09-10T00:00:00"/>
    <s v="017-2220-000"/>
    <s v="Beer Sales"/>
    <n v="400.05760000000004"/>
    <n v="0"/>
    <s v="Daily Sales Import"/>
    <n v="-400.05760000000004"/>
    <n v="400.05760000000004"/>
    <x v="1"/>
    <s v="2220"/>
    <s v="000"/>
    <x v="11"/>
    <x v="2"/>
  </r>
  <r>
    <d v="2013-09-10T00:00:00"/>
    <s v="017-2230-000"/>
    <s v="Wine Sales"/>
    <n v="46.146100000000004"/>
    <n v="0"/>
    <s v="Daily Sales Import"/>
    <n v="-46.146100000000004"/>
    <n v="46.146100000000004"/>
    <x v="1"/>
    <s v="2230"/>
    <s v="000"/>
    <x v="11"/>
    <x v="2"/>
  </r>
  <r>
    <d v="2013-09-11T00:00:00"/>
    <s v="017-2100-000"/>
    <s v="Food Sales"/>
    <n v="7312.5560000000005"/>
    <n v="0"/>
    <s v="Daily Sales Import"/>
    <n v="-7312.5560000000005"/>
    <n v="7312.5560000000005"/>
    <x v="1"/>
    <s v="2100"/>
    <s v="000"/>
    <x v="11"/>
    <x v="2"/>
  </r>
  <r>
    <d v="2013-09-11T00:00:00"/>
    <s v="017-2210-000"/>
    <s v="Liquor Sales"/>
    <n v="1927.913"/>
    <n v="0"/>
    <s v="Daily Sales Import"/>
    <n v="-1927.913"/>
    <n v="1927.913"/>
    <x v="1"/>
    <s v="2210"/>
    <s v="000"/>
    <x v="11"/>
    <x v="2"/>
  </r>
  <r>
    <d v="2013-09-11T00:00:00"/>
    <s v="017-2220-000"/>
    <s v="Beer Sales"/>
    <n v="820.93299999999999"/>
    <n v="0"/>
    <s v="Daily Sales Import"/>
    <n v="-820.93299999999999"/>
    <n v="820.93299999999999"/>
    <x v="1"/>
    <s v="2220"/>
    <s v="000"/>
    <x v="11"/>
    <x v="2"/>
  </r>
  <r>
    <d v="2013-09-11T00:00:00"/>
    <s v="017-2230-000"/>
    <s v="Wine Sales"/>
    <n v="107.21040000000001"/>
    <n v="0"/>
    <s v="Daily Sales Import"/>
    <n v="-107.21040000000001"/>
    <n v="107.21040000000001"/>
    <x v="1"/>
    <s v="2230"/>
    <s v="000"/>
    <x v="11"/>
    <x v="2"/>
  </r>
  <r>
    <d v="2013-09-12T00:00:00"/>
    <s v="017-2100-000"/>
    <s v="Food Sales"/>
    <n v="5556.0540000000001"/>
    <n v="0"/>
    <s v="Daily Sales Import"/>
    <n v="-5556.0540000000001"/>
    <n v="5556.0540000000001"/>
    <x v="1"/>
    <s v="2100"/>
    <s v="000"/>
    <x v="11"/>
    <x v="2"/>
  </r>
  <r>
    <d v="2013-09-12T00:00:00"/>
    <s v="017-2210-000"/>
    <s v="Liquor Sales"/>
    <n v="1059.0735999999999"/>
    <n v="0"/>
    <s v="Daily Sales Import"/>
    <n v="-1059.0735999999999"/>
    <n v="1059.0735999999999"/>
    <x v="1"/>
    <s v="2210"/>
    <s v="000"/>
    <x v="11"/>
    <x v="2"/>
  </r>
  <r>
    <d v="2013-09-12T00:00:00"/>
    <s v="017-2220-000"/>
    <s v="Beer Sales"/>
    <n v="284.92860000000002"/>
    <n v="0"/>
    <s v="Daily Sales Import"/>
    <n v="-284.92860000000002"/>
    <n v="284.92860000000002"/>
    <x v="1"/>
    <s v="2220"/>
    <s v="000"/>
    <x v="11"/>
    <x v="2"/>
  </r>
  <r>
    <d v="2013-09-12T00:00:00"/>
    <s v="017-2230-000"/>
    <s v="Wine Sales"/>
    <n v="92.969200000000001"/>
    <n v="0"/>
    <s v="Daily Sales Import"/>
    <n v="-92.969200000000001"/>
    <n v="92.969200000000001"/>
    <x v="1"/>
    <s v="2230"/>
    <s v="000"/>
    <x v="11"/>
    <x v="2"/>
  </r>
  <r>
    <d v="2013-09-13T00:00:00"/>
    <s v="017-2100-000"/>
    <s v="Food Sales"/>
    <n v="7285.5156000000006"/>
    <n v="0"/>
    <s v="Daily Sales Import"/>
    <n v="-7285.5156000000006"/>
    <n v="7285.5156000000006"/>
    <x v="1"/>
    <s v="2100"/>
    <s v="000"/>
    <x v="11"/>
    <x v="2"/>
  </r>
  <r>
    <d v="2013-09-13T00:00:00"/>
    <s v="017-2210-000"/>
    <s v="Liquor Sales"/>
    <n v="3498.6894000000002"/>
    <n v="0"/>
    <s v="Daily Sales Import"/>
    <n v="-3498.6894000000002"/>
    <n v="3498.6894000000002"/>
    <x v="1"/>
    <s v="2210"/>
    <s v="000"/>
    <x v="11"/>
    <x v="2"/>
  </r>
  <r>
    <d v="2013-09-13T00:00:00"/>
    <s v="017-2220-000"/>
    <s v="Beer Sales"/>
    <n v="366.31319999999999"/>
    <n v="0"/>
    <s v="Daily Sales Import"/>
    <n v="-366.31319999999999"/>
    <n v="366.31319999999999"/>
    <x v="1"/>
    <s v="2220"/>
    <s v="000"/>
    <x v="11"/>
    <x v="2"/>
  </r>
  <r>
    <d v="2013-09-13T00:00:00"/>
    <s v="017-2230-000"/>
    <s v="Wine Sales"/>
    <n v="141.47050000000002"/>
    <n v="0"/>
    <s v="Daily Sales Import"/>
    <n v="-141.47050000000002"/>
    <n v="141.47050000000002"/>
    <x v="1"/>
    <s v="2230"/>
    <s v="000"/>
    <x v="11"/>
    <x v="2"/>
  </r>
  <r>
    <d v="2013-09-14T00:00:00"/>
    <s v="017-2100-000"/>
    <s v="Food Sales"/>
    <n v="5465.6976000000004"/>
    <n v="0"/>
    <s v="Daily Sales Import"/>
    <n v="-5465.6976000000004"/>
    <n v="5465.6976000000004"/>
    <x v="1"/>
    <s v="2100"/>
    <s v="000"/>
    <x v="11"/>
    <x v="2"/>
  </r>
  <r>
    <d v="2013-09-14T00:00:00"/>
    <s v="017-2210-000"/>
    <s v="Liquor Sales"/>
    <n v="1405.056"/>
    <n v="0"/>
    <s v="Daily Sales Import"/>
    <n v="-1405.056"/>
    <n v="1405.056"/>
    <x v="1"/>
    <s v="2210"/>
    <s v="000"/>
    <x v="11"/>
    <x v="2"/>
  </r>
  <r>
    <d v="2013-09-14T00:00:00"/>
    <s v="017-2220-000"/>
    <s v="Beer Sales"/>
    <n v="251.5968"/>
    <n v="0"/>
    <s v="Daily Sales Import"/>
    <n v="-251.5968"/>
    <n v="251.5968"/>
    <x v="1"/>
    <s v="2220"/>
    <s v="000"/>
    <x v="11"/>
    <x v="2"/>
  </r>
  <r>
    <d v="2013-09-14T00:00:00"/>
    <s v="017-2230-000"/>
    <s v="Wine Sales"/>
    <n v="83.225700000000003"/>
    <n v="0"/>
    <s v="Daily Sales Import"/>
    <n v="-83.225700000000003"/>
    <n v="83.225700000000003"/>
    <x v="1"/>
    <s v="2230"/>
    <s v="000"/>
    <x v="11"/>
    <x v="2"/>
  </r>
  <r>
    <d v="2013-09-15T00:00:00"/>
    <s v="017-2100-000"/>
    <s v="Food Sales"/>
    <n v="4974.0150000000003"/>
    <n v="0"/>
    <s v="Daily Sales Import"/>
    <n v="-4974.0150000000003"/>
    <n v="4974.0150000000003"/>
    <x v="1"/>
    <s v="2100"/>
    <s v="000"/>
    <x v="11"/>
    <x v="2"/>
  </r>
  <r>
    <d v="2013-09-15T00:00:00"/>
    <s v="017-2210-000"/>
    <s v="Liquor Sales"/>
    <n v="1025.2242000000001"/>
    <n v="0"/>
    <s v="Daily Sales Import"/>
    <n v="-1025.2242000000001"/>
    <n v="1025.2242000000001"/>
    <x v="1"/>
    <s v="2210"/>
    <s v="000"/>
    <x v="11"/>
    <x v="2"/>
  </r>
  <r>
    <d v="2013-09-15T00:00:00"/>
    <s v="017-2220-000"/>
    <s v="Beer Sales"/>
    <n v="274.60950000000003"/>
    <n v="0"/>
    <s v="Daily Sales Import"/>
    <n v="-274.60950000000003"/>
    <n v="274.60950000000003"/>
    <x v="1"/>
    <s v="2220"/>
    <s v="000"/>
    <x v="11"/>
    <x v="2"/>
  </r>
  <r>
    <d v="2013-09-15T00:00:00"/>
    <s v="017-2230-000"/>
    <s v="Wine Sales"/>
    <n v="69.184799999999996"/>
    <n v="0"/>
    <s v="Daily Sales Import"/>
    <n v="-69.184799999999996"/>
    <n v="69.184799999999996"/>
    <x v="1"/>
    <s v="2230"/>
    <s v="000"/>
    <x v="11"/>
    <x v="2"/>
  </r>
  <r>
    <d v="2013-09-09T00:00:00"/>
    <s v="018-2100-000"/>
    <s v="Food Sales"/>
    <n v="2589.5488"/>
    <n v="0"/>
    <s v="Daily Sales Import"/>
    <n v="-2589.5488"/>
    <n v="2589.5488"/>
    <x v="2"/>
    <s v="2100"/>
    <s v="000"/>
    <x v="11"/>
    <x v="2"/>
  </r>
  <r>
    <d v="2013-09-09T00:00:00"/>
    <s v="018-2210-000"/>
    <s v="Liquor Sales"/>
    <n v="285.755"/>
    <n v="0"/>
    <s v="Daily Sales Import"/>
    <n v="-285.755"/>
    <n v="285.755"/>
    <x v="2"/>
    <s v="2210"/>
    <s v="000"/>
    <x v="11"/>
    <x v="2"/>
  </r>
  <r>
    <d v="2013-09-09T00:00:00"/>
    <s v="018-2220-000"/>
    <s v="Beer Sales"/>
    <n v="77.523600000000002"/>
    <n v="0"/>
    <s v="Daily Sales Import"/>
    <n v="-77.523600000000002"/>
    <n v="77.523600000000002"/>
    <x v="2"/>
    <s v="2220"/>
    <s v="000"/>
    <x v="11"/>
    <x v="2"/>
  </r>
  <r>
    <d v="2013-09-09T00:00:00"/>
    <s v="018-2230-000"/>
    <s v="Wine Sales"/>
    <n v="15.7311"/>
    <n v="0"/>
    <s v="Daily Sales Import"/>
    <n v="-15.7311"/>
    <n v="15.7311"/>
    <x v="2"/>
    <s v="2230"/>
    <s v="000"/>
    <x v="11"/>
    <x v="2"/>
  </r>
  <r>
    <d v="2013-09-10T00:00:00"/>
    <s v="018-2100-000"/>
    <s v="Food Sales"/>
    <n v="3437.3352000000004"/>
    <n v="0"/>
    <s v="Daily Sales Import"/>
    <n v="-3437.3352000000004"/>
    <n v="3437.3352000000004"/>
    <x v="2"/>
    <s v="2100"/>
    <s v="000"/>
    <x v="11"/>
    <x v="2"/>
  </r>
  <r>
    <d v="2013-09-10T00:00:00"/>
    <s v="018-2210-000"/>
    <s v="Liquor Sales"/>
    <n v="602.21199999999999"/>
    <n v="0"/>
    <s v="Daily Sales Import"/>
    <n v="-602.21199999999999"/>
    <n v="602.21199999999999"/>
    <x v="2"/>
    <s v="2210"/>
    <s v="000"/>
    <x v="11"/>
    <x v="2"/>
  </r>
  <r>
    <d v="2013-09-10T00:00:00"/>
    <s v="018-2220-000"/>
    <s v="Beer Sales"/>
    <n v="105.8904"/>
    <n v="0"/>
    <s v="Daily Sales Import"/>
    <n v="-105.8904"/>
    <n v="105.8904"/>
    <x v="2"/>
    <s v="2220"/>
    <s v="000"/>
    <x v="11"/>
    <x v="2"/>
  </r>
  <r>
    <d v="2013-09-10T00:00:00"/>
    <s v="018-2230-000"/>
    <s v="Wine Sales"/>
    <n v="18.228099999999998"/>
    <n v="0"/>
    <s v="Daily Sales Import"/>
    <n v="-18.228099999999998"/>
    <n v="18.228099999999998"/>
    <x v="2"/>
    <s v="2230"/>
    <s v="000"/>
    <x v="11"/>
    <x v="2"/>
  </r>
  <r>
    <d v="2013-09-11T00:00:00"/>
    <s v="018-2100-000"/>
    <s v="Food Sales"/>
    <n v="3029.6630000000005"/>
    <n v="0"/>
    <s v="Daily Sales Import"/>
    <n v="-3029.6630000000005"/>
    <n v="3029.6630000000005"/>
    <x v="2"/>
    <s v="2100"/>
    <s v="000"/>
    <x v="11"/>
    <x v="2"/>
  </r>
  <r>
    <d v="2013-09-11T00:00:00"/>
    <s v="018-2210-000"/>
    <s v="Liquor Sales"/>
    <n v="732.53539999999998"/>
    <n v="0"/>
    <s v="Daily Sales Import"/>
    <n v="-732.53539999999998"/>
    <n v="732.53539999999998"/>
    <x v="2"/>
    <s v="2210"/>
    <s v="000"/>
    <x v="11"/>
    <x v="2"/>
  </r>
  <r>
    <d v="2013-09-11T00:00:00"/>
    <s v="018-2220-000"/>
    <s v="Beer Sales"/>
    <n v="112.96829999999999"/>
    <n v="0"/>
    <s v="Daily Sales Import"/>
    <n v="-112.96829999999999"/>
    <n v="112.96829999999999"/>
    <x v="2"/>
    <s v="2220"/>
    <s v="000"/>
    <x v="11"/>
    <x v="2"/>
  </r>
  <r>
    <d v="2013-09-11T00:00:00"/>
    <s v="018-2230-000"/>
    <s v="Wine Sales"/>
    <n v="38.398800000000001"/>
    <n v="0"/>
    <s v="Daily Sales Import"/>
    <n v="-38.398800000000001"/>
    <n v="38.398800000000001"/>
    <x v="2"/>
    <s v="2230"/>
    <s v="000"/>
    <x v="11"/>
    <x v="2"/>
  </r>
  <r>
    <d v="2013-09-12T00:00:00"/>
    <s v="018-2100-000"/>
    <s v="Food Sales"/>
    <n v="3196.4612000000002"/>
    <n v="0"/>
    <s v="Daily Sales Import"/>
    <n v="-3196.4612000000002"/>
    <n v="3196.4612000000002"/>
    <x v="2"/>
    <s v="2100"/>
    <s v="000"/>
    <x v="11"/>
    <x v="2"/>
  </r>
  <r>
    <d v="2013-09-12T00:00:00"/>
    <s v="018-2210-000"/>
    <s v="Liquor Sales"/>
    <n v="687.00400000000002"/>
    <n v="0"/>
    <s v="Daily Sales Import"/>
    <n v="-687.00400000000002"/>
    <n v="687.00400000000002"/>
    <x v="2"/>
    <s v="2210"/>
    <s v="000"/>
    <x v="11"/>
    <x v="2"/>
  </r>
  <r>
    <d v="2013-09-12T00:00:00"/>
    <s v="018-2220-000"/>
    <s v="Beer Sales"/>
    <n v="171.01919999999998"/>
    <n v="0"/>
    <s v="Daily Sales Import"/>
    <n v="-171.01919999999998"/>
    <n v="171.01919999999998"/>
    <x v="2"/>
    <s v="2220"/>
    <s v="000"/>
    <x v="11"/>
    <x v="2"/>
  </r>
  <r>
    <d v="2013-09-12T00:00:00"/>
    <s v="018-2230-000"/>
    <s v="Wine Sales"/>
    <n v="88.961799999999997"/>
    <n v="0"/>
    <s v="Daily Sales Import"/>
    <n v="-88.961799999999997"/>
    <n v="88.961799999999997"/>
    <x v="2"/>
    <s v="2230"/>
    <s v="000"/>
    <x v="11"/>
    <x v="2"/>
  </r>
  <r>
    <d v="2013-09-13T00:00:00"/>
    <s v="018-2100-000"/>
    <s v="Food Sales"/>
    <n v="8573.4719999999998"/>
    <n v="0"/>
    <s v="Daily Sales Import"/>
    <n v="-8573.4719999999998"/>
    <n v="8573.4719999999998"/>
    <x v="2"/>
    <s v="2100"/>
    <s v="000"/>
    <x v="11"/>
    <x v="2"/>
  </r>
  <r>
    <d v="2013-09-13T00:00:00"/>
    <s v="018-2210-000"/>
    <s v="Liquor Sales"/>
    <n v="2260.7145000000005"/>
    <n v="0"/>
    <s v="Daily Sales Import"/>
    <n v="-2260.7145000000005"/>
    <n v="2260.7145000000005"/>
    <x v="2"/>
    <s v="2210"/>
    <s v="000"/>
    <x v="11"/>
    <x v="2"/>
  </r>
  <r>
    <d v="2013-09-13T00:00:00"/>
    <s v="018-2220-000"/>
    <s v="Beer Sales"/>
    <n v="922.77919999999995"/>
    <n v="0"/>
    <s v="Daily Sales Import"/>
    <n v="-922.77919999999995"/>
    <n v="922.77919999999995"/>
    <x v="2"/>
    <s v="2220"/>
    <s v="000"/>
    <x v="11"/>
    <x v="2"/>
  </r>
  <r>
    <d v="2013-09-13T00:00:00"/>
    <s v="018-2230-000"/>
    <s v="Wine Sales"/>
    <n v="135.51300000000001"/>
    <n v="0"/>
    <s v="Daily Sales Import"/>
    <n v="-135.51300000000001"/>
    <n v="135.51300000000001"/>
    <x v="2"/>
    <s v="2230"/>
    <s v="000"/>
    <x v="11"/>
    <x v="2"/>
  </r>
  <r>
    <d v="2013-09-14T00:00:00"/>
    <s v="018-2100-000"/>
    <s v="Food Sales"/>
    <n v="13817.782999999998"/>
    <n v="0"/>
    <s v="Daily Sales Import"/>
    <n v="-13817.782999999998"/>
    <n v="13817.782999999998"/>
    <x v="2"/>
    <s v="2100"/>
    <s v="000"/>
    <x v="11"/>
    <x v="2"/>
  </r>
  <r>
    <d v="2013-09-14T00:00:00"/>
    <s v="018-2210-000"/>
    <s v="Liquor Sales"/>
    <n v="1909.5572"/>
    <n v="0"/>
    <s v="Daily Sales Import"/>
    <n v="-1909.5572"/>
    <n v="1909.5572"/>
    <x v="2"/>
    <s v="2210"/>
    <s v="000"/>
    <x v="11"/>
    <x v="2"/>
  </r>
  <r>
    <d v="2013-09-14T00:00:00"/>
    <s v="018-2220-000"/>
    <s v="Beer Sales"/>
    <n v="582.12180000000001"/>
    <n v="0"/>
    <s v="Daily Sales Import"/>
    <n v="-582.12180000000001"/>
    <n v="582.12180000000001"/>
    <x v="2"/>
    <s v="2220"/>
    <s v="000"/>
    <x v="11"/>
    <x v="2"/>
  </r>
  <r>
    <d v="2013-09-14T00:00:00"/>
    <s v="018-2230-000"/>
    <s v="Wine Sales"/>
    <n v="188.9024"/>
    <n v="0"/>
    <s v="Daily Sales Import"/>
    <n v="-188.9024"/>
    <n v="188.9024"/>
    <x v="2"/>
    <s v="2230"/>
    <s v="000"/>
    <x v="11"/>
    <x v="2"/>
  </r>
  <r>
    <d v="2013-09-15T00:00:00"/>
    <s v="018-2100-000"/>
    <s v="Food Sales"/>
    <n v="9981.7115999999987"/>
    <n v="0"/>
    <s v="Daily Sales Import"/>
    <n v="-9981.7115999999987"/>
    <n v="9981.7115999999987"/>
    <x v="2"/>
    <s v="2100"/>
    <s v="000"/>
    <x v="11"/>
    <x v="2"/>
  </r>
  <r>
    <d v="2013-09-15T00:00:00"/>
    <s v="018-2210-000"/>
    <s v="Liquor Sales"/>
    <n v="762.14429999999993"/>
    <n v="0"/>
    <s v="Daily Sales Import"/>
    <n v="-762.14429999999993"/>
    <n v="762.14429999999993"/>
    <x v="2"/>
    <s v="2210"/>
    <s v="000"/>
    <x v="11"/>
    <x v="2"/>
  </r>
  <r>
    <d v="2013-09-15T00:00:00"/>
    <s v="018-2220-000"/>
    <s v="Beer Sales"/>
    <n v="385.88049999999998"/>
    <n v="0"/>
    <s v="Daily Sales Import"/>
    <n v="-385.88049999999998"/>
    <n v="385.88049999999998"/>
    <x v="2"/>
    <s v="2220"/>
    <s v="000"/>
    <x v="11"/>
    <x v="2"/>
  </r>
  <r>
    <d v="2013-09-15T00:00:00"/>
    <s v="018-2230-000"/>
    <s v="Wine Sales"/>
    <n v="70.444800000000001"/>
    <n v="0"/>
    <s v="Daily Sales Import"/>
    <n v="-70.444800000000001"/>
    <n v="70.444800000000001"/>
    <x v="2"/>
    <s v="2230"/>
    <s v="000"/>
    <x v="11"/>
    <x v="2"/>
  </r>
  <r>
    <d v="2013-09-09T00:00:00"/>
    <s v="019-2100-000"/>
    <s v="Food Sales"/>
    <n v="2485.8015"/>
    <n v="0"/>
    <s v="Daily Sales Import"/>
    <n v="-2485.8015"/>
    <n v="2485.8015"/>
    <x v="3"/>
    <s v="2100"/>
    <s v="000"/>
    <x v="11"/>
    <x v="2"/>
  </r>
  <r>
    <d v="2013-09-09T00:00:00"/>
    <s v="019-2210-000"/>
    <s v="Liquor Sales"/>
    <n v="487.37919999999997"/>
    <n v="0"/>
    <s v="Daily Sales Import"/>
    <n v="-487.37919999999997"/>
    <n v="487.37919999999997"/>
    <x v="3"/>
    <s v="2210"/>
    <s v="000"/>
    <x v="11"/>
    <x v="2"/>
  </r>
  <r>
    <d v="2013-09-09T00:00:00"/>
    <s v="019-2220-000"/>
    <s v="Beer Sales"/>
    <n v="189.6234"/>
    <n v="0"/>
    <s v="Daily Sales Import"/>
    <n v="-189.6234"/>
    <n v="189.6234"/>
    <x v="3"/>
    <s v="2220"/>
    <s v="000"/>
    <x v="11"/>
    <x v="2"/>
  </r>
  <r>
    <d v="2013-09-09T00:00:00"/>
    <s v="019-2230-000"/>
    <s v="Wine Sales"/>
    <n v="26.7624"/>
    <n v="0"/>
    <s v="Daily Sales Import"/>
    <n v="-26.7624"/>
    <n v="26.7624"/>
    <x v="3"/>
    <s v="2230"/>
    <s v="000"/>
    <x v="11"/>
    <x v="2"/>
  </r>
  <r>
    <d v="2013-09-10T00:00:00"/>
    <s v="019-2100-000"/>
    <s v="Food Sales"/>
    <n v="3958.752"/>
    <n v="0"/>
    <s v="Daily Sales Import"/>
    <n v="-3958.752"/>
    <n v="3958.752"/>
    <x v="3"/>
    <s v="2100"/>
    <s v="000"/>
    <x v="11"/>
    <x v="2"/>
  </r>
  <r>
    <d v="2013-09-10T00:00:00"/>
    <s v="019-2210-000"/>
    <s v="Liquor Sales"/>
    <n v="766.72269999999992"/>
    <n v="0"/>
    <s v="Daily Sales Import"/>
    <n v="-766.72269999999992"/>
    <n v="766.72269999999992"/>
    <x v="3"/>
    <s v="2210"/>
    <s v="000"/>
    <x v="11"/>
    <x v="2"/>
  </r>
  <r>
    <d v="2013-09-10T00:00:00"/>
    <s v="019-2220-000"/>
    <s v="Beer Sales"/>
    <n v="224.744"/>
    <n v="0"/>
    <s v="Daily Sales Import"/>
    <n v="-224.744"/>
    <n v="224.744"/>
    <x v="3"/>
    <s v="2220"/>
    <s v="000"/>
    <x v="11"/>
    <x v="2"/>
  </r>
  <r>
    <d v="2013-09-10T00:00:00"/>
    <s v="019-2230-000"/>
    <s v="Wine Sales"/>
    <n v="78.014799999999994"/>
    <n v="0"/>
    <s v="Daily Sales Import"/>
    <n v="-78.014799999999994"/>
    <n v="78.014799999999994"/>
    <x v="3"/>
    <s v="2230"/>
    <s v="000"/>
    <x v="11"/>
    <x v="2"/>
  </r>
  <r>
    <d v="2013-09-11T00:00:00"/>
    <s v="019-2100-000"/>
    <s v="Food Sales"/>
    <n v="2872.4848000000002"/>
    <n v="0"/>
    <s v="Daily Sales Import"/>
    <n v="-2872.4848000000002"/>
    <n v="2872.4848000000002"/>
    <x v="3"/>
    <s v="2100"/>
    <s v="000"/>
    <x v="11"/>
    <x v="2"/>
  </r>
  <r>
    <d v="2013-09-11T00:00:00"/>
    <s v="019-2210-000"/>
    <s v="Liquor Sales"/>
    <n v="769.7749"/>
    <n v="0"/>
    <s v="Daily Sales Import"/>
    <n v="-769.7749"/>
    <n v="769.7749"/>
    <x v="3"/>
    <s v="2210"/>
    <s v="000"/>
    <x v="11"/>
    <x v="2"/>
  </r>
  <r>
    <d v="2013-09-11T00:00:00"/>
    <s v="019-2220-000"/>
    <s v="Beer Sales"/>
    <n v="230.2056"/>
    <n v="0"/>
    <s v="Daily Sales Import"/>
    <n v="-230.2056"/>
    <n v="230.2056"/>
    <x v="3"/>
    <s v="2220"/>
    <s v="000"/>
    <x v="11"/>
    <x v="2"/>
  </r>
  <r>
    <d v="2013-09-11T00:00:00"/>
    <s v="019-2230-000"/>
    <s v="Wine Sales"/>
    <n v="36.308999999999997"/>
    <n v="0"/>
    <s v="Daily Sales Import"/>
    <n v="-36.308999999999997"/>
    <n v="36.308999999999997"/>
    <x v="3"/>
    <s v="2230"/>
    <s v="000"/>
    <x v="11"/>
    <x v="2"/>
  </r>
  <r>
    <d v="2013-09-12T00:00:00"/>
    <s v="019-2100-000"/>
    <s v="Food Sales"/>
    <n v="3164.7894999999999"/>
    <n v="0"/>
    <s v="Daily Sales Import"/>
    <n v="-3164.7894999999999"/>
    <n v="3164.7894999999999"/>
    <x v="3"/>
    <s v="2100"/>
    <s v="000"/>
    <x v="11"/>
    <x v="2"/>
  </r>
  <r>
    <d v="2013-09-12T00:00:00"/>
    <s v="019-2210-000"/>
    <s v="Liquor Sales"/>
    <n v="1021.6423"/>
    <n v="0"/>
    <s v="Daily Sales Import"/>
    <n v="-1021.6423"/>
    <n v="1021.6423"/>
    <x v="3"/>
    <s v="2210"/>
    <s v="000"/>
    <x v="11"/>
    <x v="2"/>
  </r>
  <r>
    <d v="2013-09-12T00:00:00"/>
    <s v="019-2220-000"/>
    <s v="Beer Sales"/>
    <n v="282.31200000000001"/>
    <n v="0"/>
    <s v="Daily Sales Import"/>
    <n v="-282.31200000000001"/>
    <n v="282.31200000000001"/>
    <x v="3"/>
    <s v="2220"/>
    <s v="000"/>
    <x v="11"/>
    <x v="2"/>
  </r>
  <r>
    <d v="2013-09-12T00:00:00"/>
    <s v="019-2230-000"/>
    <s v="Wine Sales"/>
    <n v="84.594399999999993"/>
    <n v="0"/>
    <s v="Daily Sales Import"/>
    <n v="-84.594399999999993"/>
    <n v="84.594399999999993"/>
    <x v="3"/>
    <s v="2230"/>
    <s v="000"/>
    <x v="11"/>
    <x v="2"/>
  </r>
  <r>
    <d v="2013-09-13T00:00:00"/>
    <s v="019-2100-000"/>
    <s v="Food Sales"/>
    <n v="5648.7470999999996"/>
    <n v="0"/>
    <s v="Daily Sales Import"/>
    <n v="-5648.7470999999996"/>
    <n v="5648.7470999999996"/>
    <x v="3"/>
    <s v="2100"/>
    <s v="000"/>
    <x v="11"/>
    <x v="2"/>
  </r>
  <r>
    <d v="2013-09-13T00:00:00"/>
    <s v="019-2210-000"/>
    <s v="Liquor Sales"/>
    <n v="2671.0264000000002"/>
    <n v="0"/>
    <s v="Daily Sales Import"/>
    <n v="-2671.0264000000002"/>
    <n v="2671.0264000000002"/>
    <x v="3"/>
    <s v="2210"/>
    <s v="000"/>
    <x v="11"/>
    <x v="2"/>
  </r>
  <r>
    <d v="2013-09-13T00:00:00"/>
    <s v="019-2220-000"/>
    <s v="Beer Sales"/>
    <n v="518.5680000000001"/>
    <n v="0"/>
    <s v="Daily Sales Import"/>
    <n v="-518.5680000000001"/>
    <n v="518.5680000000001"/>
    <x v="3"/>
    <s v="2220"/>
    <s v="000"/>
    <x v="11"/>
    <x v="2"/>
  </r>
  <r>
    <d v="2013-09-13T00:00:00"/>
    <s v="019-2230-000"/>
    <s v="Wine Sales"/>
    <n v="51.041599999999995"/>
    <n v="0"/>
    <s v="Daily Sales Import"/>
    <n v="-51.041599999999995"/>
    <n v="51.041599999999995"/>
    <x v="3"/>
    <s v="2230"/>
    <s v="000"/>
    <x v="11"/>
    <x v="2"/>
  </r>
  <r>
    <d v="2013-09-14T00:00:00"/>
    <s v="019-2100-000"/>
    <s v="Food Sales"/>
    <n v="4882.5199999999995"/>
    <n v="0"/>
    <s v="Daily Sales Import"/>
    <n v="-4882.5199999999995"/>
    <n v="4882.5199999999995"/>
    <x v="3"/>
    <s v="2100"/>
    <s v="000"/>
    <x v="11"/>
    <x v="2"/>
  </r>
  <r>
    <d v="2013-09-14T00:00:00"/>
    <s v="019-2210-000"/>
    <s v="Liquor Sales"/>
    <n v="1630.2528"/>
    <n v="0"/>
    <s v="Daily Sales Import"/>
    <n v="-1630.2528"/>
    <n v="1630.2528"/>
    <x v="3"/>
    <s v="2210"/>
    <s v="000"/>
    <x v="11"/>
    <x v="2"/>
  </r>
  <r>
    <d v="2013-09-14T00:00:00"/>
    <s v="019-2220-000"/>
    <s v="Beer Sales"/>
    <n v="372.76"/>
    <n v="0"/>
    <s v="Daily Sales Import"/>
    <n v="-372.76"/>
    <n v="372.76"/>
    <x v="3"/>
    <s v="2220"/>
    <s v="000"/>
    <x v="11"/>
    <x v="2"/>
  </r>
  <r>
    <d v="2013-09-14T00:00:00"/>
    <s v="019-2230-000"/>
    <s v="Wine Sales"/>
    <n v="105.7724"/>
    <n v="0"/>
    <s v="Daily Sales Import"/>
    <n v="-105.7724"/>
    <n v="105.7724"/>
    <x v="3"/>
    <s v="2230"/>
    <s v="000"/>
    <x v="11"/>
    <x v="2"/>
  </r>
  <r>
    <d v="2013-09-15T00:00:00"/>
    <s v="019-2100-000"/>
    <s v="Food Sales"/>
    <n v="2986.4245000000005"/>
    <n v="0"/>
    <s v="Daily Sales Import"/>
    <n v="-2986.4245000000005"/>
    <n v="2986.4245000000005"/>
    <x v="3"/>
    <s v="2100"/>
    <s v="000"/>
    <x v="11"/>
    <x v="2"/>
  </r>
  <r>
    <d v="2013-09-15T00:00:00"/>
    <s v="019-2210-000"/>
    <s v="Liquor Sales"/>
    <n v="1190.5355000000002"/>
    <n v="0"/>
    <s v="Daily Sales Import"/>
    <n v="-1190.5355000000002"/>
    <n v="1190.5355000000002"/>
    <x v="3"/>
    <s v="2210"/>
    <s v="000"/>
    <x v="11"/>
    <x v="2"/>
  </r>
  <r>
    <d v="2013-09-15T00:00:00"/>
    <s v="019-2220-000"/>
    <s v="Beer Sales"/>
    <n v="290.36579999999998"/>
    <n v="0"/>
    <s v="Daily Sales Import"/>
    <n v="-290.36579999999998"/>
    <n v="290.36579999999998"/>
    <x v="3"/>
    <s v="2220"/>
    <s v="000"/>
    <x v="11"/>
    <x v="2"/>
  </r>
  <r>
    <d v="2013-09-15T00:00:00"/>
    <s v="019-2230-000"/>
    <s v="Wine Sales"/>
    <n v="40.768000000000001"/>
    <n v="0"/>
    <s v="Daily Sales Import"/>
    <n v="-40.768000000000001"/>
    <n v="40.768000000000001"/>
    <x v="3"/>
    <s v="2230"/>
    <s v="000"/>
    <x v="11"/>
    <x v="2"/>
  </r>
  <r>
    <d v="2013-09-16T00:00:00"/>
    <s v="016-2100-000"/>
    <s v="Food Sales"/>
    <n v="1684.3083999999999"/>
    <n v="0"/>
    <s v="Daily Sales Import"/>
    <n v="-1684.3083999999999"/>
    <n v="1684.3083999999999"/>
    <x v="0"/>
    <s v="2100"/>
    <s v="000"/>
    <x v="11"/>
    <x v="2"/>
  </r>
  <r>
    <d v="2013-09-16T00:00:00"/>
    <s v="016-2210-000"/>
    <s v="Liquor Sales"/>
    <n v="494.00109999999995"/>
    <n v="0"/>
    <s v="Daily Sales Import"/>
    <n v="-494.00109999999995"/>
    <n v="494.00109999999995"/>
    <x v="0"/>
    <s v="2210"/>
    <s v="000"/>
    <x v="11"/>
    <x v="2"/>
  </r>
  <r>
    <d v="2013-09-16T00:00:00"/>
    <s v="016-2220-000"/>
    <s v="Beer Sales"/>
    <n v="68.902500000000003"/>
    <n v="0"/>
    <s v="Daily Sales Import"/>
    <n v="-68.902500000000003"/>
    <n v="68.902500000000003"/>
    <x v="0"/>
    <s v="2220"/>
    <s v="000"/>
    <x v="11"/>
    <x v="2"/>
  </r>
  <r>
    <d v="2013-09-16T00:00:00"/>
    <s v="016-2230-000"/>
    <s v="Wine Sales"/>
    <n v="46.774000000000001"/>
    <n v="0"/>
    <s v="Daily Sales Import"/>
    <n v="-46.774000000000001"/>
    <n v="46.774000000000001"/>
    <x v="0"/>
    <s v="2230"/>
    <s v="000"/>
    <x v="11"/>
    <x v="2"/>
  </r>
  <r>
    <d v="2013-09-17T00:00:00"/>
    <s v="016-2100-000"/>
    <s v="Food Sales"/>
    <n v="4398.2269999999999"/>
    <n v="0"/>
    <s v="Daily Sales Import"/>
    <n v="-4398.2269999999999"/>
    <n v="4398.2269999999999"/>
    <x v="0"/>
    <s v="2100"/>
    <s v="000"/>
    <x v="11"/>
    <x v="2"/>
  </r>
  <r>
    <d v="2013-09-17T00:00:00"/>
    <s v="016-2210-000"/>
    <s v="Liquor Sales"/>
    <n v="1778.1320000000003"/>
    <n v="0"/>
    <s v="Daily Sales Import"/>
    <n v="-1778.1320000000003"/>
    <n v="1778.1320000000003"/>
    <x v="0"/>
    <s v="2210"/>
    <s v="000"/>
    <x v="11"/>
    <x v="2"/>
  </r>
  <r>
    <d v="2013-09-17T00:00:00"/>
    <s v="016-2220-000"/>
    <s v="Beer Sales"/>
    <n v="717.07140000000004"/>
    <n v="0"/>
    <s v="Daily Sales Import"/>
    <n v="-717.07140000000004"/>
    <n v="717.07140000000004"/>
    <x v="0"/>
    <s v="2220"/>
    <s v="000"/>
    <x v="11"/>
    <x v="2"/>
  </r>
  <r>
    <d v="2013-09-17T00:00:00"/>
    <s v="016-2230-000"/>
    <s v="Wine Sales"/>
    <n v="157.43209999999999"/>
    <n v="0"/>
    <s v="Daily Sales Import"/>
    <n v="-157.43209999999999"/>
    <n v="157.43209999999999"/>
    <x v="0"/>
    <s v="2230"/>
    <s v="000"/>
    <x v="11"/>
    <x v="2"/>
  </r>
  <r>
    <d v="2013-09-18T00:00:00"/>
    <s v="016-2100-000"/>
    <s v="Food Sales"/>
    <n v="6497.4825000000001"/>
    <n v="0"/>
    <s v="Daily Sales Import"/>
    <n v="-6497.4825000000001"/>
    <n v="6497.4825000000001"/>
    <x v="0"/>
    <s v="2100"/>
    <s v="000"/>
    <x v="11"/>
    <x v="2"/>
  </r>
  <r>
    <d v="2013-09-18T00:00:00"/>
    <s v="016-2210-000"/>
    <s v="Liquor Sales"/>
    <n v="3054.924"/>
    <n v="0"/>
    <s v="Daily Sales Import"/>
    <n v="-3054.924"/>
    <n v="3054.924"/>
    <x v="0"/>
    <s v="2210"/>
    <s v="000"/>
    <x v="11"/>
    <x v="2"/>
  </r>
  <r>
    <d v="2013-09-18T00:00:00"/>
    <s v="016-2220-000"/>
    <s v="Beer Sales"/>
    <n v="1095.3951"/>
    <n v="0"/>
    <s v="Daily Sales Import"/>
    <n v="-1095.3951"/>
    <n v="1095.3951"/>
    <x v="0"/>
    <s v="2220"/>
    <s v="000"/>
    <x v="11"/>
    <x v="2"/>
  </r>
  <r>
    <d v="2013-09-18T00:00:00"/>
    <s v="016-2230-000"/>
    <s v="Wine Sales"/>
    <n v="153.97829999999999"/>
    <n v="0"/>
    <s v="Daily Sales Import"/>
    <n v="-153.97829999999999"/>
    <n v="153.97829999999999"/>
    <x v="0"/>
    <s v="2230"/>
    <s v="000"/>
    <x v="11"/>
    <x v="2"/>
  </r>
  <r>
    <d v="2013-09-19T00:00:00"/>
    <s v="016-2100-000"/>
    <s v="Food Sales"/>
    <n v="2278.3915000000002"/>
    <n v="0"/>
    <s v="Daily Sales Import"/>
    <n v="-2278.3915000000002"/>
    <n v="2278.3915000000002"/>
    <x v="0"/>
    <s v="2100"/>
    <s v="000"/>
    <x v="11"/>
    <x v="2"/>
  </r>
  <r>
    <d v="2013-09-19T00:00:00"/>
    <s v="016-2210-000"/>
    <s v="Liquor Sales"/>
    <n v="592.13029999999992"/>
    <n v="0"/>
    <s v="Daily Sales Import"/>
    <n v="-592.13029999999992"/>
    <n v="592.13029999999992"/>
    <x v="0"/>
    <s v="2210"/>
    <s v="000"/>
    <x v="11"/>
    <x v="2"/>
  </r>
  <r>
    <d v="2013-09-19T00:00:00"/>
    <s v="016-2220-000"/>
    <s v="Beer Sales"/>
    <n v="89.173700000000011"/>
    <n v="0"/>
    <s v="Daily Sales Import"/>
    <n v="-89.173700000000011"/>
    <n v="89.173700000000011"/>
    <x v="0"/>
    <s v="2220"/>
    <s v="000"/>
    <x v="11"/>
    <x v="2"/>
  </r>
  <r>
    <d v="2013-09-19T00:00:00"/>
    <s v="016-2230-000"/>
    <s v="Wine Sales"/>
    <n v="33.732799999999997"/>
    <n v="0"/>
    <s v="Daily Sales Import"/>
    <n v="-33.732799999999997"/>
    <n v="33.732799999999997"/>
    <x v="0"/>
    <s v="2230"/>
    <s v="000"/>
    <x v="11"/>
    <x v="2"/>
  </r>
  <r>
    <d v="2013-09-20T00:00:00"/>
    <s v="016-2100-000"/>
    <s v="Food Sales"/>
    <n v="3940.1579999999999"/>
    <n v="0"/>
    <s v="Daily Sales Import"/>
    <n v="-3940.1579999999999"/>
    <n v="3940.1579999999999"/>
    <x v="0"/>
    <s v="2100"/>
    <s v="000"/>
    <x v="11"/>
    <x v="2"/>
  </r>
  <r>
    <d v="2013-09-20T00:00:00"/>
    <s v="016-2210-000"/>
    <s v="Liquor Sales"/>
    <n v="1067.8751999999999"/>
    <n v="0"/>
    <s v="Daily Sales Import"/>
    <n v="-1067.8751999999999"/>
    <n v="1067.8751999999999"/>
    <x v="0"/>
    <s v="2210"/>
    <s v="000"/>
    <x v="11"/>
    <x v="2"/>
  </r>
  <r>
    <d v="2013-09-20T00:00:00"/>
    <s v="016-2220-000"/>
    <s v="Beer Sales"/>
    <n v="273.5369"/>
    <n v="0"/>
    <s v="Daily Sales Import"/>
    <n v="-273.5369"/>
    <n v="273.5369"/>
    <x v="0"/>
    <s v="2220"/>
    <s v="000"/>
    <x v="11"/>
    <x v="2"/>
  </r>
  <r>
    <d v="2013-09-20T00:00:00"/>
    <s v="016-2230-000"/>
    <s v="Wine Sales"/>
    <n v="96.730200000000011"/>
    <n v="0"/>
    <s v="Daily Sales Import"/>
    <n v="-96.730200000000011"/>
    <n v="96.730200000000011"/>
    <x v="0"/>
    <s v="2230"/>
    <s v="000"/>
    <x v="11"/>
    <x v="2"/>
  </r>
  <r>
    <d v="2013-09-21T00:00:00"/>
    <s v="016-2100-000"/>
    <s v="Food Sales"/>
    <n v="7007.5401000000002"/>
    <n v="0"/>
    <s v="Daily Sales Import"/>
    <n v="-7007.5401000000002"/>
    <n v="7007.5401000000002"/>
    <x v="0"/>
    <s v="2100"/>
    <s v="000"/>
    <x v="11"/>
    <x v="2"/>
  </r>
  <r>
    <d v="2013-09-21T00:00:00"/>
    <s v="016-2210-000"/>
    <s v="Liquor Sales"/>
    <n v="1827.7308"/>
    <n v="0"/>
    <s v="Daily Sales Import"/>
    <n v="-1827.7308"/>
    <n v="1827.7308"/>
    <x v="0"/>
    <s v="2210"/>
    <s v="000"/>
    <x v="11"/>
    <x v="2"/>
  </r>
  <r>
    <d v="2013-09-21T00:00:00"/>
    <s v="016-2220-000"/>
    <s v="Beer Sales"/>
    <n v="439.60140000000001"/>
    <n v="0"/>
    <s v="Daily Sales Import"/>
    <n v="-439.60140000000001"/>
    <n v="439.60140000000001"/>
    <x v="0"/>
    <s v="2220"/>
    <s v="000"/>
    <x v="11"/>
    <x v="2"/>
  </r>
  <r>
    <d v="2013-09-21T00:00:00"/>
    <s v="016-2230-000"/>
    <s v="Wine Sales"/>
    <n v="191.19760000000002"/>
    <n v="0"/>
    <s v="Daily Sales Import"/>
    <n v="-191.19760000000002"/>
    <n v="191.19760000000002"/>
    <x v="0"/>
    <s v="2230"/>
    <s v="000"/>
    <x v="11"/>
    <x v="2"/>
  </r>
  <r>
    <d v="2013-09-22T00:00:00"/>
    <s v="016-2100-000"/>
    <s v="Food Sales"/>
    <n v="3828.3120000000004"/>
    <n v="0"/>
    <s v="Daily Sales Import"/>
    <n v="-3828.3120000000004"/>
    <n v="3828.3120000000004"/>
    <x v="0"/>
    <s v="2100"/>
    <s v="000"/>
    <x v="11"/>
    <x v="2"/>
  </r>
  <r>
    <d v="2013-09-22T00:00:00"/>
    <s v="016-2210-000"/>
    <s v="Liquor Sales"/>
    <n v="597.17169999999999"/>
    <n v="0"/>
    <s v="Daily Sales Import"/>
    <n v="-597.17169999999999"/>
    <n v="597.17169999999999"/>
    <x v="0"/>
    <s v="2210"/>
    <s v="000"/>
    <x v="11"/>
    <x v="2"/>
  </r>
  <r>
    <d v="2013-09-22T00:00:00"/>
    <s v="016-2220-000"/>
    <s v="Beer Sales"/>
    <n v="173.0778"/>
    <n v="0"/>
    <s v="Daily Sales Import"/>
    <n v="-173.0778"/>
    <n v="173.0778"/>
    <x v="0"/>
    <s v="2220"/>
    <s v="000"/>
    <x v="11"/>
    <x v="2"/>
  </r>
  <r>
    <d v="2013-09-22T00:00:00"/>
    <s v="016-2230-000"/>
    <s v="Wine Sales"/>
    <n v="74.968000000000004"/>
    <n v="0"/>
    <s v="Daily Sales Import"/>
    <n v="-74.968000000000004"/>
    <n v="74.968000000000004"/>
    <x v="0"/>
    <s v="2230"/>
    <s v="000"/>
    <x v="11"/>
    <x v="2"/>
  </r>
  <r>
    <d v="2013-09-16T00:00:00"/>
    <s v="017-2100-000"/>
    <s v="Food Sales"/>
    <n v="5251.1276999999991"/>
    <n v="0"/>
    <s v="Daily Sales Import"/>
    <n v="-5251.1276999999991"/>
    <n v="5251.1276999999991"/>
    <x v="1"/>
    <s v="2100"/>
    <s v="000"/>
    <x v="11"/>
    <x v="2"/>
  </r>
  <r>
    <d v="2013-09-16T00:00:00"/>
    <s v="017-2210-000"/>
    <s v="Liquor Sales"/>
    <n v="1680.6635999999999"/>
    <n v="0"/>
    <s v="Daily Sales Import"/>
    <n v="-1680.6635999999999"/>
    <n v="1680.6635999999999"/>
    <x v="1"/>
    <s v="2210"/>
    <s v="000"/>
    <x v="11"/>
    <x v="2"/>
  </r>
  <r>
    <d v="2013-09-16T00:00:00"/>
    <s v="017-2220-000"/>
    <s v="Beer Sales"/>
    <n v="310.45949999999999"/>
    <n v="0"/>
    <s v="Daily Sales Import"/>
    <n v="-310.45949999999999"/>
    <n v="310.45949999999999"/>
    <x v="1"/>
    <s v="2220"/>
    <s v="000"/>
    <x v="11"/>
    <x v="2"/>
  </r>
  <r>
    <d v="2013-09-16T00:00:00"/>
    <s v="017-2230-000"/>
    <s v="Wine Sales"/>
    <n v="138.36959999999999"/>
    <n v="0"/>
    <s v="Daily Sales Import"/>
    <n v="-138.36959999999999"/>
    <n v="138.36959999999999"/>
    <x v="1"/>
    <s v="2230"/>
    <s v="000"/>
    <x v="11"/>
    <x v="2"/>
  </r>
  <r>
    <d v="2013-09-17T00:00:00"/>
    <s v="017-2100-000"/>
    <s v="Food Sales"/>
    <n v="5747.5554999999995"/>
    <n v="0"/>
    <s v="Daily Sales Import"/>
    <n v="-5747.5554999999995"/>
    <n v="5747.5554999999995"/>
    <x v="1"/>
    <s v="2100"/>
    <s v="000"/>
    <x v="11"/>
    <x v="2"/>
  </r>
  <r>
    <d v="2013-09-17T00:00:00"/>
    <s v="017-2210-000"/>
    <s v="Liquor Sales"/>
    <n v="872.33370000000002"/>
    <n v="0"/>
    <s v="Daily Sales Import"/>
    <n v="-872.33370000000002"/>
    <n v="872.33370000000002"/>
    <x v="1"/>
    <s v="2210"/>
    <s v="000"/>
    <x v="11"/>
    <x v="2"/>
  </r>
  <r>
    <d v="2013-09-17T00:00:00"/>
    <s v="017-2220-000"/>
    <s v="Beer Sales"/>
    <n v="327.86880000000002"/>
    <n v="0"/>
    <s v="Daily Sales Import"/>
    <n v="-327.86880000000002"/>
    <n v="327.86880000000002"/>
    <x v="1"/>
    <s v="2220"/>
    <s v="000"/>
    <x v="11"/>
    <x v="2"/>
  </r>
  <r>
    <d v="2013-09-17T00:00:00"/>
    <s v="017-2230-000"/>
    <s v="Wine Sales"/>
    <n v="115.46489999999999"/>
    <n v="0"/>
    <s v="Daily Sales Import"/>
    <n v="-115.46489999999999"/>
    <n v="115.46489999999999"/>
    <x v="1"/>
    <s v="2230"/>
    <s v="000"/>
    <x v="11"/>
    <x v="2"/>
  </r>
  <r>
    <d v="2013-09-18T00:00:00"/>
    <s v="017-2100-000"/>
    <s v="Food Sales"/>
    <n v="7699.1724000000004"/>
    <n v="0"/>
    <s v="Daily Sales Import"/>
    <n v="-7699.1724000000004"/>
    <n v="7699.1724000000004"/>
    <x v="1"/>
    <s v="2100"/>
    <s v="000"/>
    <x v="11"/>
    <x v="2"/>
  </r>
  <r>
    <d v="2013-09-18T00:00:00"/>
    <s v="017-2210-000"/>
    <s v="Liquor Sales"/>
    <n v="1893.6451999999999"/>
    <n v="0"/>
    <s v="Daily Sales Import"/>
    <n v="-1893.6451999999999"/>
    <n v="1893.6451999999999"/>
    <x v="1"/>
    <s v="2210"/>
    <s v="000"/>
    <x v="11"/>
    <x v="2"/>
  </r>
  <r>
    <d v="2013-09-18T00:00:00"/>
    <s v="017-2220-000"/>
    <s v="Beer Sales"/>
    <n v="530.90279999999996"/>
    <n v="0"/>
    <s v="Daily Sales Import"/>
    <n v="-530.90279999999996"/>
    <n v="530.90279999999996"/>
    <x v="1"/>
    <s v="2220"/>
    <s v="000"/>
    <x v="11"/>
    <x v="2"/>
  </r>
  <r>
    <d v="2013-09-18T00:00:00"/>
    <s v="017-2230-000"/>
    <s v="Wine Sales"/>
    <n v="47.416800000000002"/>
    <n v="0"/>
    <s v="Daily Sales Import"/>
    <n v="-47.416800000000002"/>
    <n v="47.416800000000002"/>
    <x v="1"/>
    <s v="2230"/>
    <s v="000"/>
    <x v="11"/>
    <x v="2"/>
  </r>
  <r>
    <d v="2013-09-19T00:00:00"/>
    <s v="017-2100-000"/>
    <s v="Food Sales"/>
    <n v="4217.0502000000006"/>
    <n v="0"/>
    <s v="Daily Sales Import"/>
    <n v="-4217.0502000000006"/>
    <n v="4217.0502000000006"/>
    <x v="1"/>
    <s v="2100"/>
    <s v="000"/>
    <x v="11"/>
    <x v="2"/>
  </r>
  <r>
    <d v="2013-09-19T00:00:00"/>
    <s v="017-2210-000"/>
    <s v="Liquor Sales"/>
    <n v="1182.2951"/>
    <n v="0"/>
    <s v="Daily Sales Import"/>
    <n v="-1182.2951"/>
    <n v="1182.2951"/>
    <x v="1"/>
    <s v="2210"/>
    <s v="000"/>
    <x v="11"/>
    <x v="2"/>
  </r>
  <r>
    <d v="2013-09-19T00:00:00"/>
    <s v="017-2220-000"/>
    <s v="Beer Sales"/>
    <n v="485.53949999999998"/>
    <n v="0"/>
    <s v="Daily Sales Import"/>
    <n v="-485.53949999999998"/>
    <n v="485.53949999999998"/>
    <x v="1"/>
    <s v="2220"/>
    <s v="000"/>
    <x v="11"/>
    <x v="2"/>
  </r>
  <r>
    <d v="2013-09-19T00:00:00"/>
    <s v="017-2230-000"/>
    <s v="Wine Sales"/>
    <n v="41.348600000000005"/>
    <n v="0"/>
    <s v="Daily Sales Import"/>
    <n v="-41.348600000000005"/>
    <n v="41.348600000000005"/>
    <x v="1"/>
    <s v="2230"/>
    <s v="000"/>
    <x v="11"/>
    <x v="2"/>
  </r>
  <r>
    <d v="2013-09-20T00:00:00"/>
    <s v="017-2100-000"/>
    <s v="Food Sales"/>
    <n v="7846.7389000000003"/>
    <n v="0"/>
    <s v="Daily Sales Import"/>
    <n v="-7846.7389000000003"/>
    <n v="7846.7389000000003"/>
    <x v="1"/>
    <s v="2100"/>
    <s v="000"/>
    <x v="11"/>
    <x v="2"/>
  </r>
  <r>
    <d v="2013-09-20T00:00:00"/>
    <s v="017-2210-000"/>
    <s v="Liquor Sales"/>
    <n v="1991.6197999999999"/>
    <n v="0"/>
    <s v="Daily Sales Import"/>
    <n v="-1991.6197999999999"/>
    <n v="1991.6197999999999"/>
    <x v="1"/>
    <s v="2210"/>
    <s v="000"/>
    <x v="11"/>
    <x v="2"/>
  </r>
  <r>
    <d v="2013-09-20T00:00:00"/>
    <s v="017-2220-000"/>
    <s v="Beer Sales"/>
    <n v="504.28559999999999"/>
    <n v="0"/>
    <s v="Daily Sales Import"/>
    <n v="-504.28559999999999"/>
    <n v="504.28559999999999"/>
    <x v="1"/>
    <s v="2220"/>
    <s v="000"/>
    <x v="11"/>
    <x v="2"/>
  </r>
  <r>
    <d v="2013-09-20T00:00:00"/>
    <s v="017-2230-000"/>
    <s v="Wine Sales"/>
    <n v="110.41340000000001"/>
    <n v="0"/>
    <s v="Daily Sales Import"/>
    <n v="-110.41340000000001"/>
    <n v="110.41340000000001"/>
    <x v="1"/>
    <s v="2230"/>
    <s v="000"/>
    <x v="11"/>
    <x v="2"/>
  </r>
  <r>
    <d v="2013-09-21T00:00:00"/>
    <s v="017-2100-000"/>
    <s v="Food Sales"/>
    <n v="5760.3919999999998"/>
    <n v="0"/>
    <s v="Daily Sales Import"/>
    <n v="-5760.3919999999998"/>
    <n v="5760.3919999999998"/>
    <x v="1"/>
    <s v="2100"/>
    <s v="000"/>
    <x v="11"/>
    <x v="2"/>
  </r>
  <r>
    <d v="2013-09-21T00:00:00"/>
    <s v="017-2210-000"/>
    <s v="Liquor Sales"/>
    <n v="1091.9916000000001"/>
    <n v="0"/>
    <s v="Daily Sales Import"/>
    <n v="-1091.9916000000001"/>
    <n v="1091.9916000000001"/>
    <x v="1"/>
    <s v="2210"/>
    <s v="000"/>
    <x v="11"/>
    <x v="2"/>
  </r>
  <r>
    <d v="2013-09-21T00:00:00"/>
    <s v="017-2220-000"/>
    <s v="Beer Sales"/>
    <n v="412.1216"/>
    <n v="0"/>
    <s v="Daily Sales Import"/>
    <n v="-412.1216"/>
    <n v="412.1216"/>
    <x v="1"/>
    <s v="2220"/>
    <s v="000"/>
    <x v="11"/>
    <x v="2"/>
  </r>
  <r>
    <d v="2013-09-21T00:00:00"/>
    <s v="017-2230-000"/>
    <s v="Wine Sales"/>
    <n v="138.2946"/>
    <n v="0"/>
    <s v="Daily Sales Import"/>
    <n v="-138.2946"/>
    <n v="138.2946"/>
    <x v="1"/>
    <s v="2230"/>
    <s v="000"/>
    <x v="11"/>
    <x v="2"/>
  </r>
  <r>
    <d v="2013-09-22T00:00:00"/>
    <s v="017-2100-000"/>
    <s v="Food Sales"/>
    <n v="4844.4941999999992"/>
    <n v="0"/>
    <s v="Daily Sales Import"/>
    <n v="-4844.4941999999992"/>
    <n v="4844.4941999999992"/>
    <x v="1"/>
    <s v="2100"/>
    <s v="000"/>
    <x v="11"/>
    <x v="2"/>
  </r>
  <r>
    <d v="2013-09-22T00:00:00"/>
    <s v="017-2210-000"/>
    <s v="Liquor Sales"/>
    <n v="774.80150000000003"/>
    <n v="0"/>
    <s v="Daily Sales Import"/>
    <n v="-774.80150000000003"/>
    <n v="774.80150000000003"/>
    <x v="1"/>
    <s v="2210"/>
    <s v="000"/>
    <x v="11"/>
    <x v="2"/>
  </r>
  <r>
    <d v="2013-09-22T00:00:00"/>
    <s v="017-2220-000"/>
    <s v="Beer Sales"/>
    <n v="220.29760000000002"/>
    <n v="0"/>
    <s v="Daily Sales Import"/>
    <n v="-220.29760000000002"/>
    <n v="220.29760000000002"/>
    <x v="1"/>
    <s v="2220"/>
    <s v="000"/>
    <x v="11"/>
    <x v="2"/>
  </r>
  <r>
    <d v="2013-09-22T00:00:00"/>
    <s v="017-2230-000"/>
    <s v="Wine Sales"/>
    <n v="71.543399999999991"/>
    <n v="0"/>
    <s v="Daily Sales Import"/>
    <n v="-71.543399999999991"/>
    <n v="71.543399999999991"/>
    <x v="1"/>
    <s v="2230"/>
    <s v="000"/>
    <x v="11"/>
    <x v="2"/>
  </r>
  <r>
    <d v="2013-09-16T00:00:00"/>
    <s v="018-2100-000"/>
    <s v="Food Sales"/>
    <n v="2843.7999999999997"/>
    <n v="0"/>
    <s v="Daily Sales Import"/>
    <n v="-2843.7999999999997"/>
    <n v="2843.7999999999997"/>
    <x v="2"/>
    <s v="2100"/>
    <s v="000"/>
    <x v="11"/>
    <x v="2"/>
  </r>
  <r>
    <d v="2013-09-16T00:00:00"/>
    <s v="018-2210-000"/>
    <s v="Liquor Sales"/>
    <n v="961.79170000000011"/>
    <n v="0"/>
    <s v="Daily Sales Import"/>
    <n v="-961.79170000000011"/>
    <n v="961.79170000000011"/>
    <x v="2"/>
    <s v="2210"/>
    <s v="000"/>
    <x v="11"/>
    <x v="2"/>
  </r>
  <r>
    <d v="2013-09-16T00:00:00"/>
    <s v="018-2220-000"/>
    <s v="Beer Sales"/>
    <n v="99.083100000000002"/>
    <n v="0"/>
    <s v="Daily Sales Import"/>
    <n v="-99.083100000000002"/>
    <n v="99.083100000000002"/>
    <x v="2"/>
    <s v="2220"/>
    <s v="000"/>
    <x v="11"/>
    <x v="2"/>
  </r>
  <r>
    <d v="2013-09-16T00:00:00"/>
    <s v="018-2230-000"/>
    <s v="Wine Sales"/>
    <n v="35.567999999999998"/>
    <n v="0"/>
    <s v="Daily Sales Import"/>
    <n v="-35.567999999999998"/>
    <n v="35.567999999999998"/>
    <x v="2"/>
    <s v="2230"/>
    <s v="000"/>
    <x v="11"/>
    <x v="2"/>
  </r>
  <r>
    <d v="2013-09-17T00:00:00"/>
    <s v="018-2100-000"/>
    <s v="Food Sales"/>
    <n v="4510.5731999999998"/>
    <n v="0"/>
    <s v="Daily Sales Import"/>
    <n v="-4510.5731999999998"/>
    <n v="4510.5731999999998"/>
    <x v="2"/>
    <s v="2100"/>
    <s v="000"/>
    <x v="11"/>
    <x v="2"/>
  </r>
  <r>
    <d v="2013-09-17T00:00:00"/>
    <s v="018-2210-000"/>
    <s v="Liquor Sales"/>
    <n v="564.45959999999991"/>
    <n v="0"/>
    <s v="Daily Sales Import"/>
    <n v="-564.45959999999991"/>
    <n v="564.45959999999991"/>
    <x v="2"/>
    <s v="2210"/>
    <s v="000"/>
    <x v="11"/>
    <x v="2"/>
  </r>
  <r>
    <d v="2013-09-17T00:00:00"/>
    <s v="018-2220-000"/>
    <s v="Beer Sales"/>
    <n v="139.04739999999998"/>
    <n v="0"/>
    <s v="Daily Sales Import"/>
    <n v="-139.04739999999998"/>
    <n v="139.04739999999998"/>
    <x v="2"/>
    <s v="2220"/>
    <s v="000"/>
    <x v="11"/>
    <x v="2"/>
  </r>
  <r>
    <d v="2013-09-17T00:00:00"/>
    <s v="018-2230-000"/>
    <s v="Wine Sales"/>
    <n v="22.248000000000001"/>
    <n v="0"/>
    <s v="Daily Sales Import"/>
    <n v="-22.248000000000001"/>
    <n v="22.248000000000001"/>
    <x v="2"/>
    <s v="2230"/>
    <s v="000"/>
    <x v="11"/>
    <x v="2"/>
  </r>
  <r>
    <d v="2013-09-18T00:00:00"/>
    <s v="018-2100-000"/>
    <s v="Food Sales"/>
    <n v="4649.1365999999998"/>
    <n v="0"/>
    <s v="Daily Sales Import"/>
    <n v="-4649.1365999999998"/>
    <n v="4649.1365999999998"/>
    <x v="2"/>
    <s v="2100"/>
    <s v="000"/>
    <x v="11"/>
    <x v="2"/>
  </r>
  <r>
    <d v="2013-09-18T00:00:00"/>
    <s v="018-2210-000"/>
    <s v="Liquor Sales"/>
    <n v="684.27689999999996"/>
    <n v="0"/>
    <s v="Daily Sales Import"/>
    <n v="-684.27689999999996"/>
    <n v="684.27689999999996"/>
    <x v="2"/>
    <s v="2210"/>
    <s v="000"/>
    <x v="11"/>
    <x v="2"/>
  </r>
  <r>
    <d v="2013-09-18T00:00:00"/>
    <s v="018-2220-000"/>
    <s v="Beer Sales"/>
    <n v="177.79320000000001"/>
    <n v="0"/>
    <s v="Daily Sales Import"/>
    <n v="-177.79320000000001"/>
    <n v="177.79320000000001"/>
    <x v="2"/>
    <s v="2220"/>
    <s v="000"/>
    <x v="11"/>
    <x v="2"/>
  </r>
  <r>
    <d v="2013-09-18T00:00:00"/>
    <s v="018-2230-000"/>
    <s v="Wine Sales"/>
    <n v="20.256599999999999"/>
    <n v="0"/>
    <s v="Daily Sales Import"/>
    <n v="-20.256599999999999"/>
    <n v="20.256599999999999"/>
    <x v="2"/>
    <s v="2230"/>
    <s v="000"/>
    <x v="11"/>
    <x v="2"/>
  </r>
  <r>
    <d v="2013-09-19T00:00:00"/>
    <s v="018-2100-000"/>
    <s v="Food Sales"/>
    <n v="4367.9243000000006"/>
    <n v="0"/>
    <s v="Daily Sales Import"/>
    <n v="-4367.9243000000006"/>
    <n v="4367.9243000000006"/>
    <x v="2"/>
    <s v="2100"/>
    <s v="000"/>
    <x v="11"/>
    <x v="2"/>
  </r>
  <r>
    <d v="2013-09-19T00:00:00"/>
    <s v="018-2210-000"/>
    <s v="Liquor Sales"/>
    <n v="795.17899999999997"/>
    <n v="0"/>
    <s v="Daily Sales Import"/>
    <n v="-795.17899999999997"/>
    <n v="795.17899999999997"/>
    <x v="2"/>
    <s v="2210"/>
    <s v="000"/>
    <x v="11"/>
    <x v="2"/>
  </r>
  <r>
    <d v="2013-09-19T00:00:00"/>
    <s v="018-2220-000"/>
    <s v="Beer Sales"/>
    <n v="163.84299999999999"/>
    <n v="0"/>
    <s v="Daily Sales Import"/>
    <n v="-163.84299999999999"/>
    <n v="163.84299999999999"/>
    <x v="2"/>
    <s v="2220"/>
    <s v="000"/>
    <x v="11"/>
    <x v="2"/>
  </r>
  <r>
    <d v="2013-09-19T00:00:00"/>
    <s v="018-2230-000"/>
    <s v="Wine Sales"/>
    <n v="28.128000000000004"/>
    <n v="0"/>
    <s v="Daily Sales Import"/>
    <n v="-28.128000000000004"/>
    <n v="28.128000000000004"/>
    <x v="2"/>
    <s v="2230"/>
    <s v="000"/>
    <x v="11"/>
    <x v="2"/>
  </r>
  <r>
    <d v="2013-09-20T00:00:00"/>
    <s v="018-2100-000"/>
    <s v="Food Sales"/>
    <n v="11831.037200000001"/>
    <n v="0"/>
    <s v="Daily Sales Import"/>
    <n v="-11831.037200000001"/>
    <n v="11831.037200000001"/>
    <x v="2"/>
    <s v="2100"/>
    <s v="000"/>
    <x v="11"/>
    <x v="2"/>
  </r>
  <r>
    <d v="2013-09-20T00:00:00"/>
    <s v="018-2210-000"/>
    <s v="Liquor Sales"/>
    <n v="2120.7296000000001"/>
    <n v="0"/>
    <s v="Daily Sales Import"/>
    <n v="-2120.7296000000001"/>
    <n v="2120.7296000000001"/>
    <x v="2"/>
    <s v="2210"/>
    <s v="000"/>
    <x v="11"/>
    <x v="2"/>
  </r>
  <r>
    <d v="2013-09-20T00:00:00"/>
    <s v="018-2220-000"/>
    <s v="Beer Sales"/>
    <n v="449.26799999999997"/>
    <n v="0"/>
    <s v="Daily Sales Import"/>
    <n v="-449.26799999999997"/>
    <n v="449.26799999999997"/>
    <x v="2"/>
    <s v="2220"/>
    <s v="000"/>
    <x v="11"/>
    <x v="2"/>
  </r>
  <r>
    <d v="2013-09-20T00:00:00"/>
    <s v="018-2230-000"/>
    <s v="Wine Sales"/>
    <n v="140.4708"/>
    <n v="0"/>
    <s v="Daily Sales Import"/>
    <n v="-140.4708"/>
    <n v="140.4708"/>
    <x v="2"/>
    <s v="2230"/>
    <s v="000"/>
    <x v="11"/>
    <x v="2"/>
  </r>
  <r>
    <d v="2013-09-21T00:00:00"/>
    <s v="018-2100-000"/>
    <s v="Food Sales"/>
    <n v="9954.9184000000005"/>
    <n v="0"/>
    <s v="Daily Sales Import"/>
    <n v="-9954.9184000000005"/>
    <n v="9954.9184000000005"/>
    <x v="2"/>
    <s v="2100"/>
    <s v="000"/>
    <x v="11"/>
    <x v="2"/>
  </r>
  <r>
    <d v="2013-09-21T00:00:00"/>
    <s v="018-2210-000"/>
    <s v="Liquor Sales"/>
    <n v="1899.6675"/>
    <n v="0"/>
    <s v="Daily Sales Import"/>
    <n v="-1899.6675"/>
    <n v="1899.6675"/>
    <x v="2"/>
    <s v="2210"/>
    <s v="000"/>
    <x v="11"/>
    <x v="2"/>
  </r>
  <r>
    <d v="2013-09-21T00:00:00"/>
    <s v="018-2220-000"/>
    <s v="Beer Sales"/>
    <n v="621.08369999999991"/>
    <n v="0"/>
    <s v="Daily Sales Import"/>
    <n v="-621.08369999999991"/>
    <n v="621.08369999999991"/>
    <x v="2"/>
    <s v="2220"/>
    <s v="000"/>
    <x v="11"/>
    <x v="2"/>
  </r>
  <r>
    <d v="2013-09-21T00:00:00"/>
    <s v="018-2230-000"/>
    <s v="Wine Sales"/>
    <n v="35.093299999999999"/>
    <n v="0"/>
    <s v="Daily Sales Import"/>
    <n v="-35.093299999999999"/>
    <n v="35.093299999999999"/>
    <x v="2"/>
    <s v="2230"/>
    <s v="000"/>
    <x v="11"/>
    <x v="2"/>
  </r>
  <r>
    <d v="2013-09-22T00:00:00"/>
    <s v="018-2100-000"/>
    <s v="Food Sales"/>
    <n v="9881.5805999999993"/>
    <n v="0"/>
    <s v="Daily Sales Import"/>
    <n v="-9881.5805999999993"/>
    <n v="9881.5805999999993"/>
    <x v="2"/>
    <s v="2100"/>
    <s v="000"/>
    <x v="11"/>
    <x v="2"/>
  </r>
  <r>
    <d v="2013-09-22T00:00:00"/>
    <s v="018-2210-000"/>
    <s v="Liquor Sales"/>
    <n v="914.59439999999995"/>
    <n v="0"/>
    <s v="Daily Sales Import"/>
    <n v="-914.59439999999995"/>
    <n v="914.59439999999995"/>
    <x v="2"/>
    <s v="2210"/>
    <s v="000"/>
    <x v="11"/>
    <x v="2"/>
  </r>
  <r>
    <d v="2013-09-22T00:00:00"/>
    <s v="018-2220-000"/>
    <s v="Beer Sales"/>
    <n v="313.09980000000002"/>
    <n v="0"/>
    <s v="Daily Sales Import"/>
    <n v="-313.09980000000002"/>
    <n v="313.09980000000002"/>
    <x v="2"/>
    <s v="2220"/>
    <s v="000"/>
    <x v="11"/>
    <x v="2"/>
  </r>
  <r>
    <d v="2013-09-22T00:00:00"/>
    <s v="018-2230-000"/>
    <s v="Wine Sales"/>
    <n v="82.032799999999995"/>
    <n v="0"/>
    <s v="Daily Sales Import"/>
    <n v="-82.032799999999995"/>
    <n v="82.032799999999995"/>
    <x v="2"/>
    <s v="2230"/>
    <s v="000"/>
    <x v="11"/>
    <x v="2"/>
  </r>
  <r>
    <d v="2013-09-16T00:00:00"/>
    <s v="019-2100-000"/>
    <s v="Food Sales"/>
    <n v="3501.9591999999998"/>
    <n v="0"/>
    <s v="Daily Sales Import"/>
    <n v="-3501.9591999999998"/>
    <n v="3501.9591999999998"/>
    <x v="3"/>
    <s v="2100"/>
    <s v="000"/>
    <x v="11"/>
    <x v="2"/>
  </r>
  <r>
    <d v="2013-09-16T00:00:00"/>
    <s v="019-2210-000"/>
    <s v="Liquor Sales"/>
    <n v="903.87360000000001"/>
    <n v="0"/>
    <s v="Daily Sales Import"/>
    <n v="-903.87360000000001"/>
    <n v="903.87360000000001"/>
    <x v="3"/>
    <s v="2210"/>
    <s v="000"/>
    <x v="11"/>
    <x v="2"/>
  </r>
  <r>
    <d v="2013-09-16T00:00:00"/>
    <s v="019-2220-000"/>
    <s v="Beer Sales"/>
    <n v="316.1028"/>
    <n v="0"/>
    <s v="Daily Sales Import"/>
    <n v="-316.1028"/>
    <n v="316.1028"/>
    <x v="3"/>
    <s v="2220"/>
    <s v="000"/>
    <x v="11"/>
    <x v="2"/>
  </r>
  <r>
    <d v="2013-09-16T00:00:00"/>
    <s v="019-2230-000"/>
    <s v="Wine Sales"/>
    <n v="88.725000000000009"/>
    <n v="0"/>
    <s v="Daily Sales Import"/>
    <n v="-88.725000000000009"/>
    <n v="88.725000000000009"/>
    <x v="3"/>
    <s v="2230"/>
    <s v="000"/>
    <x v="11"/>
    <x v="2"/>
  </r>
  <r>
    <d v="2013-09-17T00:00:00"/>
    <s v="019-2100-000"/>
    <s v="Food Sales"/>
    <n v="5954.9481000000005"/>
    <n v="0"/>
    <s v="Daily Sales Import"/>
    <n v="-5954.9481000000005"/>
    <n v="5954.9481000000005"/>
    <x v="3"/>
    <s v="2100"/>
    <s v="000"/>
    <x v="11"/>
    <x v="2"/>
  </r>
  <r>
    <d v="2013-09-17T00:00:00"/>
    <s v="019-2210-000"/>
    <s v="Liquor Sales"/>
    <n v="1270.9754"/>
    <n v="0"/>
    <s v="Daily Sales Import"/>
    <n v="-1270.9754"/>
    <n v="1270.9754"/>
    <x v="3"/>
    <s v="2210"/>
    <s v="000"/>
    <x v="11"/>
    <x v="2"/>
  </r>
  <r>
    <d v="2013-09-17T00:00:00"/>
    <s v="019-2220-000"/>
    <s v="Beer Sales"/>
    <n v="255.73680000000002"/>
    <n v="0"/>
    <s v="Daily Sales Import"/>
    <n v="-255.73680000000002"/>
    <n v="255.73680000000002"/>
    <x v="3"/>
    <s v="2220"/>
    <s v="000"/>
    <x v="11"/>
    <x v="2"/>
  </r>
  <r>
    <d v="2013-09-17T00:00:00"/>
    <s v="019-2230-000"/>
    <s v="Wine Sales"/>
    <n v="52.207999999999998"/>
    <n v="0"/>
    <s v="Daily Sales Import"/>
    <n v="-52.207999999999998"/>
    <n v="52.207999999999998"/>
    <x v="3"/>
    <s v="2230"/>
    <s v="000"/>
    <x v="11"/>
    <x v="2"/>
  </r>
  <r>
    <d v="2013-09-18T00:00:00"/>
    <s v="019-2100-000"/>
    <s v="Food Sales"/>
    <n v="5408.2910999999995"/>
    <n v="0"/>
    <s v="Daily Sales Import"/>
    <n v="-5408.2910999999995"/>
    <n v="5408.2910999999995"/>
    <x v="3"/>
    <s v="2100"/>
    <s v="000"/>
    <x v="11"/>
    <x v="2"/>
  </r>
  <r>
    <d v="2013-09-18T00:00:00"/>
    <s v="019-2210-000"/>
    <s v="Liquor Sales"/>
    <n v="2250.8615999999997"/>
    <n v="0"/>
    <s v="Daily Sales Import"/>
    <n v="-2250.8615999999997"/>
    <n v="2250.8615999999997"/>
    <x v="3"/>
    <s v="2210"/>
    <s v="000"/>
    <x v="11"/>
    <x v="2"/>
  </r>
  <r>
    <d v="2013-09-18T00:00:00"/>
    <s v="019-2220-000"/>
    <s v="Beer Sales"/>
    <n v="559.17470000000003"/>
    <n v="0"/>
    <s v="Daily Sales Import"/>
    <n v="-559.17470000000003"/>
    <n v="559.17470000000003"/>
    <x v="3"/>
    <s v="2220"/>
    <s v="000"/>
    <x v="11"/>
    <x v="2"/>
  </r>
  <r>
    <d v="2013-09-18T00:00:00"/>
    <s v="019-2230-000"/>
    <s v="Wine Sales"/>
    <n v="90.078699999999984"/>
    <n v="0"/>
    <s v="Daily Sales Import"/>
    <n v="-90.078699999999984"/>
    <n v="90.078699999999984"/>
    <x v="3"/>
    <s v="2230"/>
    <s v="000"/>
    <x v="11"/>
    <x v="2"/>
  </r>
  <r>
    <d v="2013-09-19T00:00:00"/>
    <s v="019-2100-000"/>
    <s v="Food Sales"/>
    <n v="6792.7922999999992"/>
    <n v="0"/>
    <s v="Daily Sales Import"/>
    <n v="-6792.7922999999992"/>
    <n v="6792.7922999999992"/>
    <x v="3"/>
    <s v="2100"/>
    <s v="000"/>
    <x v="11"/>
    <x v="2"/>
  </r>
  <r>
    <d v="2013-09-19T00:00:00"/>
    <s v="019-2210-000"/>
    <s v="Liquor Sales"/>
    <n v="3318.8597999999997"/>
    <n v="0"/>
    <s v="Daily Sales Import"/>
    <n v="-3318.8597999999997"/>
    <n v="3318.8597999999997"/>
    <x v="3"/>
    <s v="2210"/>
    <s v="000"/>
    <x v="11"/>
    <x v="2"/>
  </r>
  <r>
    <d v="2013-09-19T00:00:00"/>
    <s v="019-2220-000"/>
    <s v="Beer Sales"/>
    <n v="508.02120000000008"/>
    <n v="0"/>
    <s v="Daily Sales Import"/>
    <n v="-508.02120000000008"/>
    <n v="508.02120000000008"/>
    <x v="3"/>
    <s v="2220"/>
    <s v="000"/>
    <x v="11"/>
    <x v="2"/>
  </r>
  <r>
    <d v="2013-09-19T00:00:00"/>
    <s v="019-2230-000"/>
    <s v="Wine Sales"/>
    <n v="151.21040000000002"/>
    <n v="0"/>
    <s v="Daily Sales Import"/>
    <n v="-151.21040000000002"/>
    <n v="151.21040000000002"/>
    <x v="3"/>
    <s v="2230"/>
    <s v="000"/>
    <x v="11"/>
    <x v="2"/>
  </r>
  <r>
    <d v="2013-09-20T00:00:00"/>
    <s v="019-2100-000"/>
    <s v="Food Sales"/>
    <n v="4099.5767999999998"/>
    <n v="0"/>
    <s v="Daily Sales Import"/>
    <n v="-4099.5767999999998"/>
    <n v="4099.5767999999998"/>
    <x v="3"/>
    <s v="2100"/>
    <s v="000"/>
    <x v="11"/>
    <x v="2"/>
  </r>
  <r>
    <d v="2013-09-20T00:00:00"/>
    <s v="019-2210-000"/>
    <s v="Liquor Sales"/>
    <n v="1698.8216000000002"/>
    <n v="0"/>
    <s v="Daily Sales Import"/>
    <n v="-1698.8216000000002"/>
    <n v="1698.8216000000002"/>
    <x v="3"/>
    <s v="2210"/>
    <s v="000"/>
    <x v="11"/>
    <x v="2"/>
  </r>
  <r>
    <d v="2013-09-20T00:00:00"/>
    <s v="019-2220-000"/>
    <s v="Beer Sales"/>
    <n v="398.85680000000002"/>
    <n v="0"/>
    <s v="Daily Sales Import"/>
    <n v="-398.85680000000002"/>
    <n v="398.85680000000002"/>
    <x v="3"/>
    <s v="2220"/>
    <s v="000"/>
    <x v="11"/>
    <x v="2"/>
  </r>
  <r>
    <d v="2013-09-20T00:00:00"/>
    <s v="019-2230-000"/>
    <s v="Wine Sales"/>
    <n v="96.751300000000001"/>
    <n v="0"/>
    <s v="Daily Sales Import"/>
    <n v="-96.751300000000001"/>
    <n v="96.751300000000001"/>
    <x v="3"/>
    <s v="2230"/>
    <s v="000"/>
    <x v="11"/>
    <x v="2"/>
  </r>
  <r>
    <d v="2013-09-21T00:00:00"/>
    <s v="019-2100-000"/>
    <s v="Food Sales"/>
    <n v="3878.502"/>
    <n v="0"/>
    <s v="Daily Sales Import"/>
    <n v="-3878.502"/>
    <n v="3878.502"/>
    <x v="3"/>
    <s v="2100"/>
    <s v="000"/>
    <x v="11"/>
    <x v="2"/>
  </r>
  <r>
    <d v="2013-09-21T00:00:00"/>
    <s v="019-2210-000"/>
    <s v="Liquor Sales"/>
    <n v="2289.3701999999998"/>
    <n v="0"/>
    <s v="Daily Sales Import"/>
    <n v="-2289.3701999999998"/>
    <n v="2289.3701999999998"/>
    <x v="3"/>
    <s v="2210"/>
    <s v="000"/>
    <x v="11"/>
    <x v="2"/>
  </r>
  <r>
    <d v="2013-09-21T00:00:00"/>
    <s v="019-2220-000"/>
    <s v="Beer Sales"/>
    <n v="492.16320000000007"/>
    <n v="0"/>
    <s v="Daily Sales Import"/>
    <n v="-492.16320000000007"/>
    <n v="492.16320000000007"/>
    <x v="3"/>
    <s v="2220"/>
    <s v="000"/>
    <x v="11"/>
    <x v="2"/>
  </r>
  <r>
    <d v="2013-09-21T00:00:00"/>
    <s v="019-2230-000"/>
    <s v="Wine Sales"/>
    <n v="128.184"/>
    <n v="0"/>
    <s v="Daily Sales Import"/>
    <n v="-128.184"/>
    <n v="128.184"/>
    <x v="3"/>
    <s v="2230"/>
    <s v="000"/>
    <x v="11"/>
    <x v="2"/>
  </r>
  <r>
    <d v="2013-09-22T00:00:00"/>
    <s v="019-2100-000"/>
    <s v="Food Sales"/>
    <n v="2446.422"/>
    <n v="0"/>
    <s v="Daily Sales Import"/>
    <n v="-2446.422"/>
    <n v="2446.422"/>
    <x v="3"/>
    <s v="2100"/>
    <s v="000"/>
    <x v="11"/>
    <x v="2"/>
  </r>
  <r>
    <d v="2013-09-22T00:00:00"/>
    <s v="019-2210-000"/>
    <s v="Liquor Sales"/>
    <n v="1049.5847999999999"/>
    <n v="0"/>
    <s v="Daily Sales Import"/>
    <n v="-1049.5847999999999"/>
    <n v="1049.5847999999999"/>
    <x v="3"/>
    <s v="2210"/>
    <s v="000"/>
    <x v="11"/>
    <x v="2"/>
  </r>
  <r>
    <d v="2013-09-22T00:00:00"/>
    <s v="019-2220-000"/>
    <s v="Beer Sales"/>
    <n v="164.8"/>
    <n v="0"/>
    <s v="Daily Sales Import"/>
    <n v="-164.8"/>
    <n v="164.8"/>
    <x v="3"/>
    <s v="2220"/>
    <s v="000"/>
    <x v="11"/>
    <x v="2"/>
  </r>
  <r>
    <d v="2013-09-22T00:00:00"/>
    <s v="019-2230-000"/>
    <s v="Wine Sales"/>
    <n v="81.585600000000014"/>
    <n v="0"/>
    <s v="Daily Sales Import"/>
    <n v="-81.585600000000014"/>
    <n v="81.585600000000014"/>
    <x v="3"/>
    <s v="2230"/>
    <s v="000"/>
    <x v="11"/>
    <x v="2"/>
  </r>
  <r>
    <d v="2013-09-23T00:00:00"/>
    <s v="016-2100-000"/>
    <s v="Food Sales"/>
    <n v="2686.3512000000001"/>
    <n v="0"/>
    <s v="Daily Sales Import"/>
    <n v="-2686.3512000000001"/>
    <n v="2686.3512000000001"/>
    <x v="0"/>
    <s v="2100"/>
    <s v="000"/>
    <x v="11"/>
    <x v="2"/>
  </r>
  <r>
    <d v="2013-09-23T00:00:00"/>
    <s v="016-2210-000"/>
    <s v="Liquor Sales"/>
    <n v="739.63919999999996"/>
    <n v="0"/>
    <s v="Daily Sales Import"/>
    <n v="-739.63919999999996"/>
    <n v="739.63919999999996"/>
    <x v="0"/>
    <s v="2210"/>
    <s v="000"/>
    <x v="11"/>
    <x v="2"/>
  </r>
  <r>
    <d v="2013-09-23T00:00:00"/>
    <s v="016-2220-000"/>
    <s v="Beer Sales"/>
    <n v="143.18370000000002"/>
    <n v="0"/>
    <s v="Daily Sales Import"/>
    <n v="-143.18370000000002"/>
    <n v="143.18370000000002"/>
    <x v="0"/>
    <s v="2220"/>
    <s v="000"/>
    <x v="11"/>
    <x v="2"/>
  </r>
  <r>
    <d v="2013-09-23T00:00:00"/>
    <s v="016-2230-000"/>
    <s v="Wine Sales"/>
    <n v="4.41"/>
    <n v="0"/>
    <s v="Daily Sales Import"/>
    <n v="-4.41"/>
    <n v="4.41"/>
    <x v="0"/>
    <s v="2230"/>
    <s v="000"/>
    <x v="11"/>
    <x v="2"/>
  </r>
  <r>
    <d v="2013-09-24T00:00:00"/>
    <s v="016-2100-000"/>
    <s v="Food Sales"/>
    <n v="4435.7143999999998"/>
    <n v="0"/>
    <s v="Daily Sales Import"/>
    <n v="-4435.7143999999998"/>
    <n v="4435.7143999999998"/>
    <x v="0"/>
    <s v="2100"/>
    <s v="000"/>
    <x v="11"/>
    <x v="2"/>
  </r>
  <r>
    <d v="2013-09-24T00:00:00"/>
    <s v="016-2210-000"/>
    <s v="Liquor Sales"/>
    <n v="1789.8248000000001"/>
    <n v="0"/>
    <s v="Daily Sales Import"/>
    <n v="-1789.8248000000001"/>
    <n v="1789.8248000000001"/>
    <x v="0"/>
    <s v="2210"/>
    <s v="000"/>
    <x v="11"/>
    <x v="2"/>
  </r>
  <r>
    <d v="2013-09-24T00:00:00"/>
    <s v="016-2220-000"/>
    <s v="Beer Sales"/>
    <n v="823.36500000000001"/>
    <n v="0"/>
    <s v="Daily Sales Import"/>
    <n v="-823.36500000000001"/>
    <n v="823.36500000000001"/>
    <x v="0"/>
    <s v="2220"/>
    <s v="000"/>
    <x v="11"/>
    <x v="2"/>
  </r>
  <r>
    <d v="2013-09-24T00:00:00"/>
    <s v="016-2230-000"/>
    <s v="Wine Sales"/>
    <n v="117.7914"/>
    <n v="0"/>
    <s v="Daily Sales Import"/>
    <n v="-117.7914"/>
    <n v="117.7914"/>
    <x v="0"/>
    <s v="2230"/>
    <s v="000"/>
    <x v="11"/>
    <x v="2"/>
  </r>
  <r>
    <d v="2013-09-25T00:00:00"/>
    <s v="016-2100-000"/>
    <s v="Food Sales"/>
    <n v="2067.4816000000001"/>
    <n v="0"/>
    <s v="Daily Sales Import"/>
    <n v="-2067.4816000000001"/>
    <n v="2067.4816000000001"/>
    <x v="0"/>
    <s v="2100"/>
    <s v="000"/>
    <x v="11"/>
    <x v="2"/>
  </r>
  <r>
    <d v="2013-09-25T00:00:00"/>
    <s v="016-2210-000"/>
    <s v="Liquor Sales"/>
    <n v="621.28000000000009"/>
    <n v="0"/>
    <s v="Daily Sales Import"/>
    <n v="-621.28000000000009"/>
    <n v="621.28000000000009"/>
    <x v="0"/>
    <s v="2210"/>
    <s v="000"/>
    <x v="11"/>
    <x v="2"/>
  </r>
  <r>
    <d v="2013-09-25T00:00:00"/>
    <s v="016-2220-000"/>
    <s v="Beer Sales"/>
    <n v="94.781999999999996"/>
    <n v="0"/>
    <s v="Daily Sales Import"/>
    <n v="-94.781999999999996"/>
    <n v="94.781999999999996"/>
    <x v="0"/>
    <s v="2220"/>
    <s v="000"/>
    <x v="11"/>
    <x v="2"/>
  </r>
  <r>
    <d v="2013-09-25T00:00:00"/>
    <s v="016-2230-000"/>
    <s v="Wine Sales"/>
    <n v="113.97750000000001"/>
    <n v="0"/>
    <s v="Daily Sales Import"/>
    <n v="-113.97750000000001"/>
    <n v="113.97750000000001"/>
    <x v="0"/>
    <s v="2230"/>
    <s v="000"/>
    <x v="11"/>
    <x v="2"/>
  </r>
  <r>
    <d v="2013-09-26T00:00:00"/>
    <s v="016-2100-000"/>
    <s v="Food Sales"/>
    <n v="1854.8585"/>
    <n v="0"/>
    <s v="Daily Sales Import"/>
    <n v="-1854.8585"/>
    <n v="1854.8585"/>
    <x v="0"/>
    <s v="2100"/>
    <s v="000"/>
    <x v="11"/>
    <x v="2"/>
  </r>
  <r>
    <d v="2013-09-26T00:00:00"/>
    <s v="016-2210-000"/>
    <s v="Liquor Sales"/>
    <n v="616.69299999999998"/>
    <n v="0"/>
    <s v="Daily Sales Import"/>
    <n v="-616.69299999999998"/>
    <n v="616.69299999999998"/>
    <x v="0"/>
    <s v="2210"/>
    <s v="000"/>
    <x v="11"/>
    <x v="2"/>
  </r>
  <r>
    <d v="2013-09-26T00:00:00"/>
    <s v="016-2220-000"/>
    <s v="Beer Sales"/>
    <n v="121.33710000000001"/>
    <n v="0"/>
    <s v="Daily Sales Import"/>
    <n v="-121.33710000000001"/>
    <n v="121.33710000000001"/>
    <x v="0"/>
    <s v="2220"/>
    <s v="000"/>
    <x v="11"/>
    <x v="2"/>
  </r>
  <r>
    <d v="2013-09-26T00:00:00"/>
    <s v="016-2230-000"/>
    <s v="Wine Sales"/>
    <n v="13.92"/>
    <n v="0"/>
    <s v="Daily Sales Import"/>
    <n v="-13.92"/>
    <n v="13.92"/>
    <x v="0"/>
    <s v="2230"/>
    <s v="000"/>
    <x v="11"/>
    <x v="2"/>
  </r>
  <r>
    <d v="2013-09-27T00:00:00"/>
    <s v="016-2100-000"/>
    <s v="Food Sales"/>
    <n v="5125.3360000000002"/>
    <n v="0"/>
    <s v="Daily Sales Import"/>
    <n v="-5125.3360000000002"/>
    <n v="5125.3360000000002"/>
    <x v="0"/>
    <s v="2100"/>
    <s v="000"/>
    <x v="11"/>
    <x v="2"/>
  </r>
  <r>
    <d v="2013-09-27T00:00:00"/>
    <s v="016-2210-000"/>
    <s v="Liquor Sales"/>
    <n v="1157.8808999999999"/>
    <n v="0"/>
    <s v="Daily Sales Import"/>
    <n v="-1157.8808999999999"/>
    <n v="1157.8808999999999"/>
    <x v="0"/>
    <s v="2210"/>
    <s v="000"/>
    <x v="11"/>
    <x v="2"/>
  </r>
  <r>
    <d v="2013-09-27T00:00:00"/>
    <s v="016-2220-000"/>
    <s v="Beer Sales"/>
    <n v="296.48079999999999"/>
    <n v="0"/>
    <s v="Daily Sales Import"/>
    <n v="-296.48079999999999"/>
    <n v="296.48079999999999"/>
    <x v="0"/>
    <s v="2220"/>
    <s v="000"/>
    <x v="11"/>
    <x v="2"/>
  </r>
  <r>
    <d v="2013-09-27T00:00:00"/>
    <s v="016-2230-000"/>
    <s v="Wine Sales"/>
    <n v="146.17360000000002"/>
    <n v="0"/>
    <s v="Daily Sales Import"/>
    <n v="-146.17360000000002"/>
    <n v="146.17360000000002"/>
    <x v="0"/>
    <s v="2230"/>
    <s v="000"/>
    <x v="11"/>
    <x v="2"/>
  </r>
  <r>
    <d v="2013-09-28T00:00:00"/>
    <s v="016-2100-000"/>
    <s v="Food Sales"/>
    <n v="5981.0944"/>
    <n v="0"/>
    <s v="Daily Sales Import"/>
    <n v="-5981.0944"/>
    <n v="5981.0944"/>
    <x v="0"/>
    <s v="2100"/>
    <s v="000"/>
    <x v="11"/>
    <x v="2"/>
  </r>
  <r>
    <d v="2013-09-28T00:00:00"/>
    <s v="016-2210-000"/>
    <s v="Liquor Sales"/>
    <n v="1728.3994"/>
    <n v="0"/>
    <s v="Daily Sales Import"/>
    <n v="-1728.3994"/>
    <n v="1728.3994"/>
    <x v="0"/>
    <s v="2210"/>
    <s v="000"/>
    <x v="11"/>
    <x v="2"/>
  </r>
  <r>
    <d v="2013-09-28T00:00:00"/>
    <s v="016-2220-000"/>
    <s v="Beer Sales"/>
    <n v="451.65899999999999"/>
    <n v="0"/>
    <s v="Daily Sales Import"/>
    <n v="-451.65899999999999"/>
    <n v="451.65899999999999"/>
    <x v="0"/>
    <s v="2220"/>
    <s v="000"/>
    <x v="11"/>
    <x v="2"/>
  </r>
  <r>
    <d v="2013-09-28T00:00:00"/>
    <s v="016-2230-000"/>
    <s v="Wine Sales"/>
    <n v="182.52800000000002"/>
    <n v="0"/>
    <s v="Daily Sales Import"/>
    <n v="-182.52800000000002"/>
    <n v="182.52800000000002"/>
    <x v="0"/>
    <s v="2230"/>
    <s v="000"/>
    <x v="11"/>
    <x v="2"/>
  </r>
  <r>
    <d v="2013-09-29T00:00:00"/>
    <s v="016-2100-000"/>
    <s v="Food Sales"/>
    <n v="3933.2046"/>
    <n v="0"/>
    <s v="Daily Sales Import"/>
    <n v="-3933.2046"/>
    <n v="3933.2046"/>
    <x v="0"/>
    <s v="2100"/>
    <s v="000"/>
    <x v="11"/>
    <x v="2"/>
  </r>
  <r>
    <d v="2013-09-29T00:00:00"/>
    <s v="016-2210-000"/>
    <s v="Liquor Sales"/>
    <n v="1125.6634999999999"/>
    <n v="0"/>
    <s v="Daily Sales Import"/>
    <n v="-1125.6634999999999"/>
    <n v="1125.6634999999999"/>
    <x v="0"/>
    <s v="2210"/>
    <s v="000"/>
    <x v="11"/>
    <x v="2"/>
  </r>
  <r>
    <d v="2013-09-29T00:00:00"/>
    <s v="016-2220-000"/>
    <s v="Beer Sales"/>
    <n v="206.60640000000001"/>
    <n v="0"/>
    <s v="Daily Sales Import"/>
    <n v="-206.60640000000001"/>
    <n v="206.60640000000001"/>
    <x v="0"/>
    <s v="2220"/>
    <s v="000"/>
    <x v="11"/>
    <x v="2"/>
  </r>
  <r>
    <d v="2013-09-29T00:00:00"/>
    <s v="016-2230-000"/>
    <s v="Wine Sales"/>
    <n v="83.260099999999994"/>
    <n v="0"/>
    <s v="Daily Sales Import"/>
    <n v="-83.260099999999994"/>
    <n v="83.260099999999994"/>
    <x v="0"/>
    <s v="2230"/>
    <s v="000"/>
    <x v="11"/>
    <x v="2"/>
  </r>
  <r>
    <d v="2013-09-23T00:00:00"/>
    <s v="017-2100-000"/>
    <s v="Food Sales"/>
    <n v="4732.6509999999998"/>
    <n v="0"/>
    <s v="Daily Sales Import"/>
    <n v="-4732.6509999999998"/>
    <n v="4732.6509999999998"/>
    <x v="1"/>
    <s v="2100"/>
    <s v="000"/>
    <x v="11"/>
    <x v="2"/>
  </r>
  <r>
    <d v="2013-09-23T00:00:00"/>
    <s v="017-2210-000"/>
    <s v="Liquor Sales"/>
    <n v="880.19999999999993"/>
    <n v="0"/>
    <s v="Daily Sales Import"/>
    <n v="-880.19999999999993"/>
    <n v="880.19999999999993"/>
    <x v="1"/>
    <s v="2210"/>
    <s v="000"/>
    <x v="11"/>
    <x v="2"/>
  </r>
  <r>
    <d v="2013-09-23T00:00:00"/>
    <s v="017-2220-000"/>
    <s v="Beer Sales"/>
    <n v="432"/>
    <n v="0"/>
    <s v="Daily Sales Import"/>
    <n v="-432"/>
    <n v="432"/>
    <x v="1"/>
    <s v="2220"/>
    <s v="000"/>
    <x v="11"/>
    <x v="2"/>
  </r>
  <r>
    <d v="2013-09-23T00:00:00"/>
    <s v="017-2230-000"/>
    <s v="Wine Sales"/>
    <n v="49.896000000000001"/>
    <n v="0"/>
    <s v="Daily Sales Import"/>
    <n v="-49.896000000000001"/>
    <n v="49.896000000000001"/>
    <x v="1"/>
    <s v="2230"/>
    <s v="000"/>
    <x v="11"/>
    <x v="2"/>
  </r>
  <r>
    <d v="2013-09-24T00:00:00"/>
    <s v="017-2100-000"/>
    <s v="Food Sales"/>
    <n v="4586.1060000000007"/>
    <n v="0"/>
    <s v="Daily Sales Import"/>
    <n v="-4586.1060000000007"/>
    <n v="4586.1060000000007"/>
    <x v="1"/>
    <s v="2100"/>
    <s v="000"/>
    <x v="11"/>
    <x v="2"/>
  </r>
  <r>
    <d v="2013-09-24T00:00:00"/>
    <s v="017-2210-000"/>
    <s v="Liquor Sales"/>
    <n v="1195.1120000000001"/>
    <n v="0"/>
    <s v="Daily Sales Import"/>
    <n v="-1195.1120000000001"/>
    <n v="1195.1120000000001"/>
    <x v="1"/>
    <s v="2210"/>
    <s v="000"/>
    <x v="11"/>
    <x v="2"/>
  </r>
  <r>
    <d v="2013-09-24T00:00:00"/>
    <s v="017-2220-000"/>
    <s v="Beer Sales"/>
    <n v="375.14879999999999"/>
    <n v="0"/>
    <s v="Daily Sales Import"/>
    <n v="-375.14879999999999"/>
    <n v="375.14879999999999"/>
    <x v="1"/>
    <s v="2220"/>
    <s v="000"/>
    <x v="11"/>
    <x v="2"/>
  </r>
  <r>
    <d v="2013-09-24T00:00:00"/>
    <s v="017-2230-000"/>
    <s v="Wine Sales"/>
    <n v="146.18610000000001"/>
    <n v="0"/>
    <s v="Daily Sales Import"/>
    <n v="-146.18610000000001"/>
    <n v="146.18610000000001"/>
    <x v="1"/>
    <s v="2230"/>
    <s v="000"/>
    <x v="11"/>
    <x v="2"/>
  </r>
  <r>
    <d v="2013-09-25T00:00:00"/>
    <s v="017-2100-000"/>
    <s v="Food Sales"/>
    <n v="5316.1639999999998"/>
    <n v="0"/>
    <s v="Daily Sales Import"/>
    <n v="-5316.1639999999998"/>
    <n v="5316.1639999999998"/>
    <x v="1"/>
    <s v="2100"/>
    <s v="000"/>
    <x v="11"/>
    <x v="2"/>
  </r>
  <r>
    <d v="2013-09-25T00:00:00"/>
    <s v="017-2210-000"/>
    <s v="Liquor Sales"/>
    <n v="1485.7200000000003"/>
    <n v="0"/>
    <s v="Daily Sales Import"/>
    <n v="-1485.7200000000003"/>
    <n v="1485.7200000000003"/>
    <x v="1"/>
    <s v="2210"/>
    <s v="000"/>
    <x v="11"/>
    <x v="2"/>
  </r>
  <r>
    <d v="2013-09-25T00:00:00"/>
    <s v="017-2220-000"/>
    <s v="Beer Sales"/>
    <n v="334.56149999999997"/>
    <n v="0"/>
    <s v="Daily Sales Import"/>
    <n v="-334.56149999999997"/>
    <n v="334.56149999999997"/>
    <x v="1"/>
    <s v="2220"/>
    <s v="000"/>
    <x v="11"/>
    <x v="2"/>
  </r>
  <r>
    <d v="2013-09-25T00:00:00"/>
    <s v="017-2230-000"/>
    <s v="Wine Sales"/>
    <n v="156.75659999999999"/>
    <n v="0"/>
    <s v="Daily Sales Import"/>
    <n v="-156.75659999999999"/>
    <n v="156.75659999999999"/>
    <x v="1"/>
    <s v="2230"/>
    <s v="000"/>
    <x v="11"/>
    <x v="2"/>
  </r>
  <r>
    <d v="2013-09-26T00:00:00"/>
    <s v="017-2100-000"/>
    <s v="Food Sales"/>
    <n v="4414.6544999999996"/>
    <n v="0"/>
    <s v="Daily Sales Import"/>
    <n v="-4414.6544999999996"/>
    <n v="4414.6544999999996"/>
    <x v="1"/>
    <s v="2100"/>
    <s v="000"/>
    <x v="11"/>
    <x v="2"/>
  </r>
  <r>
    <d v="2013-09-26T00:00:00"/>
    <s v="017-2210-000"/>
    <s v="Liquor Sales"/>
    <n v="1238.4218999999998"/>
    <n v="0"/>
    <s v="Daily Sales Import"/>
    <n v="-1238.4218999999998"/>
    <n v="1238.4218999999998"/>
    <x v="1"/>
    <s v="2210"/>
    <s v="000"/>
    <x v="11"/>
    <x v="2"/>
  </r>
  <r>
    <d v="2013-09-26T00:00:00"/>
    <s v="017-2220-000"/>
    <s v="Beer Sales"/>
    <n v="529.68719999999996"/>
    <n v="0"/>
    <s v="Daily Sales Import"/>
    <n v="-529.68719999999996"/>
    <n v="529.68719999999996"/>
    <x v="1"/>
    <s v="2220"/>
    <s v="000"/>
    <x v="11"/>
    <x v="2"/>
  </r>
  <r>
    <d v="2013-09-26T00:00:00"/>
    <s v="017-2230-000"/>
    <s v="Wine Sales"/>
    <n v="58.778199999999998"/>
    <n v="0"/>
    <s v="Daily Sales Import"/>
    <n v="-58.778199999999998"/>
    <n v="58.778199999999998"/>
    <x v="1"/>
    <s v="2230"/>
    <s v="000"/>
    <x v="11"/>
    <x v="2"/>
  </r>
  <r>
    <d v="2013-09-27T00:00:00"/>
    <s v="017-2100-000"/>
    <s v="Food Sales"/>
    <n v="6922.0532000000003"/>
    <n v="0"/>
    <s v="Daily Sales Import"/>
    <n v="-6922.0532000000003"/>
    <n v="6922.0532000000003"/>
    <x v="1"/>
    <s v="2100"/>
    <s v="000"/>
    <x v="11"/>
    <x v="2"/>
  </r>
  <r>
    <d v="2013-09-27T00:00:00"/>
    <s v="017-2210-000"/>
    <s v="Liquor Sales"/>
    <n v="2764.6135999999997"/>
    <n v="0"/>
    <s v="Daily Sales Import"/>
    <n v="-2764.6135999999997"/>
    <n v="2764.6135999999997"/>
    <x v="1"/>
    <s v="2210"/>
    <s v="000"/>
    <x v="11"/>
    <x v="2"/>
  </r>
  <r>
    <d v="2013-09-27T00:00:00"/>
    <s v="017-2220-000"/>
    <s v="Beer Sales"/>
    <n v="513.18900000000008"/>
    <n v="0"/>
    <s v="Daily Sales Import"/>
    <n v="-513.18900000000008"/>
    <n v="513.18900000000008"/>
    <x v="1"/>
    <s v="2220"/>
    <s v="000"/>
    <x v="11"/>
    <x v="2"/>
  </r>
  <r>
    <d v="2013-09-27T00:00:00"/>
    <s v="017-2230-000"/>
    <s v="Wine Sales"/>
    <n v="124.6575"/>
    <n v="0"/>
    <s v="Daily Sales Import"/>
    <n v="-124.6575"/>
    <n v="124.6575"/>
    <x v="1"/>
    <s v="2230"/>
    <s v="000"/>
    <x v="11"/>
    <x v="2"/>
  </r>
  <r>
    <d v="2013-09-28T00:00:00"/>
    <s v="017-2100-000"/>
    <s v="Food Sales"/>
    <n v="5869.9344000000001"/>
    <n v="0"/>
    <s v="Daily Sales Import"/>
    <n v="-5869.9344000000001"/>
    <n v="5869.9344000000001"/>
    <x v="1"/>
    <s v="2100"/>
    <s v="000"/>
    <x v="11"/>
    <x v="2"/>
  </r>
  <r>
    <d v="2013-09-28T00:00:00"/>
    <s v="017-2210-000"/>
    <s v="Liquor Sales"/>
    <n v="1526.4775"/>
    <n v="0"/>
    <s v="Daily Sales Import"/>
    <n v="-1526.4775"/>
    <n v="1526.4775"/>
    <x v="1"/>
    <s v="2210"/>
    <s v="000"/>
    <x v="11"/>
    <x v="2"/>
  </r>
  <r>
    <d v="2013-09-28T00:00:00"/>
    <s v="017-2220-000"/>
    <s v="Beer Sales"/>
    <n v="338.74189999999999"/>
    <n v="0"/>
    <s v="Daily Sales Import"/>
    <n v="-338.74189999999999"/>
    <n v="338.74189999999999"/>
    <x v="1"/>
    <s v="2220"/>
    <s v="000"/>
    <x v="11"/>
    <x v="2"/>
  </r>
  <r>
    <d v="2013-09-28T00:00:00"/>
    <s v="017-2230-000"/>
    <s v="Wine Sales"/>
    <n v="82.866499999999988"/>
    <n v="0"/>
    <s v="Daily Sales Import"/>
    <n v="-82.866499999999988"/>
    <n v="82.866499999999988"/>
    <x v="1"/>
    <s v="2230"/>
    <s v="000"/>
    <x v="11"/>
    <x v="2"/>
  </r>
  <r>
    <d v="2013-09-29T00:00:00"/>
    <s v="017-2100-000"/>
    <s v="Food Sales"/>
    <n v="3967.6559999999995"/>
    <n v="0"/>
    <s v="Daily Sales Import"/>
    <n v="-3967.6559999999995"/>
    <n v="3967.6559999999995"/>
    <x v="1"/>
    <s v="2100"/>
    <s v="000"/>
    <x v="11"/>
    <x v="2"/>
  </r>
  <r>
    <d v="2013-09-29T00:00:00"/>
    <s v="017-2210-000"/>
    <s v="Liquor Sales"/>
    <n v="920.13199999999995"/>
    <n v="0"/>
    <s v="Daily Sales Import"/>
    <n v="-920.13199999999995"/>
    <n v="920.13199999999995"/>
    <x v="1"/>
    <s v="2210"/>
    <s v="000"/>
    <x v="11"/>
    <x v="2"/>
  </r>
  <r>
    <d v="2013-09-29T00:00:00"/>
    <s v="017-2220-000"/>
    <s v="Beer Sales"/>
    <n v="117.1768"/>
    <n v="0"/>
    <s v="Daily Sales Import"/>
    <n v="-117.1768"/>
    <n v="117.1768"/>
    <x v="1"/>
    <s v="2220"/>
    <s v="000"/>
    <x v="11"/>
    <x v="2"/>
  </r>
  <r>
    <d v="2013-09-29T00:00:00"/>
    <s v="017-2230-000"/>
    <s v="Wine Sales"/>
    <n v="125.9684"/>
    <n v="0"/>
    <s v="Daily Sales Import"/>
    <n v="-125.9684"/>
    <n v="125.9684"/>
    <x v="1"/>
    <s v="2230"/>
    <s v="000"/>
    <x v="11"/>
    <x v="2"/>
  </r>
  <r>
    <d v="2013-09-23T00:00:00"/>
    <s v="018-2100-000"/>
    <s v="Food Sales"/>
    <n v="3268.74"/>
    <n v="0"/>
    <s v="Daily Sales Import"/>
    <n v="-3268.74"/>
    <n v="3268.74"/>
    <x v="2"/>
    <s v="2100"/>
    <s v="000"/>
    <x v="11"/>
    <x v="2"/>
  </r>
  <r>
    <d v="2013-09-23T00:00:00"/>
    <s v="018-2210-000"/>
    <s v="Liquor Sales"/>
    <n v="640.22850000000005"/>
    <n v="0"/>
    <s v="Daily Sales Import"/>
    <n v="-640.22850000000005"/>
    <n v="640.22850000000005"/>
    <x v="2"/>
    <s v="2210"/>
    <s v="000"/>
    <x v="11"/>
    <x v="2"/>
  </r>
  <r>
    <d v="2013-09-23T00:00:00"/>
    <s v="018-2220-000"/>
    <s v="Beer Sales"/>
    <n v="140.25"/>
    <n v="0"/>
    <s v="Daily Sales Import"/>
    <n v="-140.25"/>
    <n v="140.25"/>
    <x v="2"/>
    <s v="2220"/>
    <s v="000"/>
    <x v="11"/>
    <x v="2"/>
  </r>
  <r>
    <d v="2013-09-23T00:00:00"/>
    <s v="018-2230-000"/>
    <s v="Wine Sales"/>
    <n v="51.479599999999998"/>
    <n v="0"/>
    <s v="Daily Sales Import"/>
    <n v="-51.479599999999998"/>
    <n v="51.479599999999998"/>
    <x v="2"/>
    <s v="2230"/>
    <s v="000"/>
    <x v="11"/>
    <x v="2"/>
  </r>
  <r>
    <d v="2013-09-24T00:00:00"/>
    <s v="018-2100-000"/>
    <s v="Food Sales"/>
    <n v="3975.8706000000006"/>
    <n v="0"/>
    <s v="Daily Sales Import"/>
    <n v="-3975.8706000000006"/>
    <n v="3975.8706000000006"/>
    <x v="2"/>
    <s v="2100"/>
    <s v="000"/>
    <x v="11"/>
    <x v="2"/>
  </r>
  <r>
    <d v="2013-09-24T00:00:00"/>
    <s v="018-2210-000"/>
    <s v="Liquor Sales"/>
    <n v="696.32290000000012"/>
    <n v="0"/>
    <s v="Daily Sales Import"/>
    <n v="-696.32290000000012"/>
    <n v="696.32290000000012"/>
    <x v="2"/>
    <s v="2210"/>
    <s v="000"/>
    <x v="11"/>
    <x v="2"/>
  </r>
  <r>
    <d v="2013-09-24T00:00:00"/>
    <s v="018-2220-000"/>
    <s v="Beer Sales"/>
    <n v="139.48259999999999"/>
    <n v="0"/>
    <s v="Daily Sales Import"/>
    <n v="-139.48259999999999"/>
    <n v="139.48259999999999"/>
    <x v="2"/>
    <s v="2220"/>
    <s v="000"/>
    <x v="11"/>
    <x v="2"/>
  </r>
  <r>
    <d v="2013-09-24T00:00:00"/>
    <s v="018-2230-000"/>
    <s v="Wine Sales"/>
    <n v="47.903699999999994"/>
    <n v="0"/>
    <s v="Daily Sales Import"/>
    <n v="-47.903699999999994"/>
    <n v="47.903699999999994"/>
    <x v="2"/>
    <s v="2230"/>
    <s v="000"/>
    <x v="11"/>
    <x v="2"/>
  </r>
  <r>
    <d v="2013-09-25T00:00:00"/>
    <s v="018-2100-000"/>
    <s v="Food Sales"/>
    <n v="3574.2294000000002"/>
    <n v="0"/>
    <s v="Daily Sales Import"/>
    <n v="-3574.2294000000002"/>
    <n v="3574.2294000000002"/>
    <x v="2"/>
    <s v="2100"/>
    <s v="000"/>
    <x v="11"/>
    <x v="2"/>
  </r>
  <r>
    <d v="2013-09-25T00:00:00"/>
    <s v="018-2210-000"/>
    <s v="Liquor Sales"/>
    <n v="491.88149999999996"/>
    <n v="0"/>
    <s v="Daily Sales Import"/>
    <n v="-491.88149999999996"/>
    <n v="491.88149999999996"/>
    <x v="2"/>
    <s v="2210"/>
    <s v="000"/>
    <x v="11"/>
    <x v="2"/>
  </r>
  <r>
    <d v="2013-09-25T00:00:00"/>
    <s v="018-2220-000"/>
    <s v="Beer Sales"/>
    <n v="302.61"/>
    <n v="0"/>
    <s v="Daily Sales Import"/>
    <n v="-302.61"/>
    <n v="302.61"/>
    <x v="2"/>
    <s v="2220"/>
    <s v="000"/>
    <x v="11"/>
    <x v="2"/>
  </r>
  <r>
    <d v="2013-09-25T00:00:00"/>
    <s v="018-2230-000"/>
    <s v="Wine Sales"/>
    <n v="82.809200000000004"/>
    <n v="0"/>
    <s v="Daily Sales Import"/>
    <n v="-82.809200000000004"/>
    <n v="82.809200000000004"/>
    <x v="2"/>
    <s v="2230"/>
    <s v="000"/>
    <x v="11"/>
    <x v="2"/>
  </r>
  <r>
    <d v="2013-09-26T00:00:00"/>
    <s v="018-2100-000"/>
    <s v="Food Sales"/>
    <n v="4605.8054999999995"/>
    <n v="0"/>
    <s v="Daily Sales Import"/>
    <n v="-4605.8054999999995"/>
    <n v="4605.8054999999995"/>
    <x v="2"/>
    <s v="2100"/>
    <s v="000"/>
    <x v="11"/>
    <x v="2"/>
  </r>
  <r>
    <d v="2013-09-26T00:00:00"/>
    <s v="018-2210-000"/>
    <s v="Liquor Sales"/>
    <n v="886.59899999999993"/>
    <n v="0"/>
    <s v="Daily Sales Import"/>
    <n v="-886.59899999999993"/>
    <n v="886.59899999999993"/>
    <x v="2"/>
    <s v="2210"/>
    <s v="000"/>
    <x v="11"/>
    <x v="2"/>
  </r>
  <r>
    <d v="2013-09-26T00:00:00"/>
    <s v="018-2220-000"/>
    <s v="Beer Sales"/>
    <n v="207.01799999999997"/>
    <n v="0"/>
    <s v="Daily Sales Import"/>
    <n v="-207.01799999999997"/>
    <n v="207.01799999999997"/>
    <x v="2"/>
    <s v="2220"/>
    <s v="000"/>
    <x v="11"/>
    <x v="2"/>
  </r>
  <r>
    <d v="2013-09-26T00:00:00"/>
    <s v="018-2230-000"/>
    <s v="Wine Sales"/>
    <n v="23.846400000000003"/>
    <n v="0"/>
    <s v="Daily Sales Import"/>
    <n v="-23.846400000000003"/>
    <n v="23.846400000000003"/>
    <x v="2"/>
    <s v="2230"/>
    <s v="000"/>
    <x v="11"/>
    <x v="2"/>
  </r>
  <r>
    <d v="2013-09-27T00:00:00"/>
    <s v="018-2100-000"/>
    <s v="Food Sales"/>
    <n v="8222.8079999999991"/>
    <n v="0"/>
    <s v="Daily Sales Import"/>
    <n v="-8222.8079999999991"/>
    <n v="8222.8079999999991"/>
    <x v="2"/>
    <s v="2100"/>
    <s v="000"/>
    <x v="11"/>
    <x v="2"/>
  </r>
  <r>
    <d v="2013-09-27T00:00:00"/>
    <s v="018-2210-000"/>
    <s v="Liquor Sales"/>
    <n v="1874.9466"/>
    <n v="0"/>
    <s v="Daily Sales Import"/>
    <n v="-1874.9466"/>
    <n v="1874.9466"/>
    <x v="2"/>
    <s v="2210"/>
    <s v="000"/>
    <x v="11"/>
    <x v="2"/>
  </r>
  <r>
    <d v="2013-09-27T00:00:00"/>
    <s v="018-2220-000"/>
    <s v="Beer Sales"/>
    <n v="475.803"/>
    <n v="0"/>
    <s v="Daily Sales Import"/>
    <n v="-475.803"/>
    <n v="475.803"/>
    <x v="2"/>
    <s v="2220"/>
    <s v="000"/>
    <x v="11"/>
    <x v="2"/>
  </r>
  <r>
    <d v="2013-09-27T00:00:00"/>
    <s v="018-2230-000"/>
    <s v="Wine Sales"/>
    <n v="52.762500000000003"/>
    <n v="0"/>
    <s v="Daily Sales Import"/>
    <n v="-52.762500000000003"/>
    <n v="52.762500000000003"/>
    <x v="2"/>
    <s v="2230"/>
    <s v="000"/>
    <x v="11"/>
    <x v="2"/>
  </r>
  <r>
    <d v="2013-09-28T00:00:00"/>
    <s v="018-2100-000"/>
    <s v="Food Sales"/>
    <n v="14839.4316"/>
    <n v="0"/>
    <s v="Daily Sales Import"/>
    <n v="-14839.4316"/>
    <n v="14839.4316"/>
    <x v="2"/>
    <s v="2100"/>
    <s v="000"/>
    <x v="11"/>
    <x v="2"/>
  </r>
  <r>
    <d v="2013-09-28T00:00:00"/>
    <s v="018-2210-000"/>
    <s v="Liquor Sales"/>
    <n v="3612.3469999999998"/>
    <n v="0"/>
    <s v="Daily Sales Import"/>
    <n v="-3612.3469999999998"/>
    <n v="3612.3469999999998"/>
    <x v="2"/>
    <s v="2210"/>
    <s v="000"/>
    <x v="11"/>
    <x v="2"/>
  </r>
  <r>
    <d v="2013-09-28T00:00:00"/>
    <s v="018-2220-000"/>
    <s v="Beer Sales"/>
    <n v="716.35199999999998"/>
    <n v="0"/>
    <s v="Daily Sales Import"/>
    <n v="-716.35199999999998"/>
    <n v="716.35199999999998"/>
    <x v="2"/>
    <s v="2220"/>
    <s v="000"/>
    <x v="11"/>
    <x v="2"/>
  </r>
  <r>
    <d v="2013-09-28T00:00:00"/>
    <s v="018-2230-000"/>
    <s v="Wine Sales"/>
    <n v="147.30939999999998"/>
    <n v="0"/>
    <s v="Daily Sales Import"/>
    <n v="-147.30939999999998"/>
    <n v="147.30939999999998"/>
    <x v="2"/>
    <s v="2230"/>
    <s v="000"/>
    <x v="11"/>
    <x v="2"/>
  </r>
  <r>
    <d v="2013-09-29T00:00:00"/>
    <s v="018-2100-000"/>
    <s v="Food Sales"/>
    <n v="11410.4288"/>
    <n v="0"/>
    <s v="Daily Sales Import"/>
    <n v="-11410.4288"/>
    <n v="11410.4288"/>
    <x v="2"/>
    <s v="2100"/>
    <s v="000"/>
    <x v="11"/>
    <x v="2"/>
  </r>
  <r>
    <d v="2013-09-29T00:00:00"/>
    <s v="018-2210-000"/>
    <s v="Liquor Sales"/>
    <n v="835.79480000000001"/>
    <n v="0"/>
    <s v="Daily Sales Import"/>
    <n v="-835.79480000000001"/>
    <n v="835.79480000000001"/>
    <x v="2"/>
    <s v="2210"/>
    <s v="000"/>
    <x v="11"/>
    <x v="2"/>
  </r>
  <r>
    <d v="2013-09-29T00:00:00"/>
    <s v="018-2220-000"/>
    <s v="Beer Sales"/>
    <n v="137.61520000000002"/>
    <n v="0"/>
    <s v="Daily Sales Import"/>
    <n v="-137.61520000000002"/>
    <n v="137.61520000000002"/>
    <x v="2"/>
    <s v="2220"/>
    <s v="000"/>
    <x v="11"/>
    <x v="2"/>
  </r>
  <r>
    <d v="2013-09-29T00:00:00"/>
    <s v="018-2230-000"/>
    <s v="Wine Sales"/>
    <n v="56.393999999999998"/>
    <n v="0"/>
    <s v="Daily Sales Import"/>
    <n v="-56.393999999999998"/>
    <n v="56.393999999999998"/>
    <x v="2"/>
    <s v="2230"/>
    <s v="000"/>
    <x v="11"/>
    <x v="2"/>
  </r>
  <r>
    <d v="2013-09-23T00:00:00"/>
    <s v="019-2100-000"/>
    <s v="Food Sales"/>
    <n v="2812.4960000000001"/>
    <n v="0"/>
    <s v="Daily Sales Import"/>
    <n v="-2812.4960000000001"/>
    <n v="2812.4960000000001"/>
    <x v="3"/>
    <s v="2100"/>
    <s v="000"/>
    <x v="11"/>
    <x v="2"/>
  </r>
  <r>
    <d v="2013-09-23T00:00:00"/>
    <s v="019-2210-000"/>
    <s v="Liquor Sales"/>
    <n v="272.66390000000001"/>
    <n v="0"/>
    <s v="Daily Sales Import"/>
    <n v="-272.66390000000001"/>
    <n v="272.66390000000001"/>
    <x v="3"/>
    <s v="2210"/>
    <s v="000"/>
    <x v="11"/>
    <x v="2"/>
  </r>
  <r>
    <d v="2013-09-23T00:00:00"/>
    <s v="019-2220-000"/>
    <s v="Beer Sales"/>
    <n v="175.28319999999999"/>
    <n v="0"/>
    <s v="Daily Sales Import"/>
    <n v="-175.28319999999999"/>
    <n v="175.28319999999999"/>
    <x v="3"/>
    <s v="2220"/>
    <s v="000"/>
    <x v="11"/>
    <x v="2"/>
  </r>
  <r>
    <d v="2013-09-23T00:00:00"/>
    <s v="019-2230-000"/>
    <s v="Wine Sales"/>
    <n v="47.844000000000001"/>
    <n v="0"/>
    <s v="Daily Sales Import"/>
    <n v="-47.844000000000001"/>
    <n v="47.844000000000001"/>
    <x v="3"/>
    <s v="2230"/>
    <s v="000"/>
    <x v="11"/>
    <x v="2"/>
  </r>
  <r>
    <d v="2013-09-24T00:00:00"/>
    <s v="019-2100-000"/>
    <s v="Food Sales"/>
    <n v="3634.3679999999999"/>
    <n v="0"/>
    <s v="Daily Sales Import"/>
    <n v="-3634.3679999999999"/>
    <n v="3634.3679999999999"/>
    <x v="3"/>
    <s v="2100"/>
    <s v="000"/>
    <x v="11"/>
    <x v="2"/>
  </r>
  <r>
    <d v="2013-09-24T00:00:00"/>
    <s v="019-2210-000"/>
    <s v="Liquor Sales"/>
    <n v="971.0444"/>
    <n v="0"/>
    <s v="Daily Sales Import"/>
    <n v="-971.0444"/>
    <n v="971.0444"/>
    <x v="3"/>
    <s v="2210"/>
    <s v="000"/>
    <x v="11"/>
    <x v="2"/>
  </r>
  <r>
    <d v="2013-09-24T00:00:00"/>
    <s v="019-2220-000"/>
    <s v="Beer Sales"/>
    <n v="220.23"/>
    <n v="0"/>
    <s v="Daily Sales Import"/>
    <n v="-220.23"/>
    <n v="220.23"/>
    <x v="3"/>
    <s v="2220"/>
    <s v="000"/>
    <x v="11"/>
    <x v="2"/>
  </r>
  <r>
    <d v="2013-09-24T00:00:00"/>
    <s v="019-2230-000"/>
    <s v="Wine Sales"/>
    <n v="13.724"/>
    <n v="0"/>
    <s v="Daily Sales Import"/>
    <n v="-13.724"/>
    <n v="13.724"/>
    <x v="3"/>
    <s v="2230"/>
    <s v="000"/>
    <x v="11"/>
    <x v="2"/>
  </r>
  <r>
    <d v="2013-09-25T00:00:00"/>
    <s v="019-2100-000"/>
    <s v="Food Sales"/>
    <n v="6642.1621999999998"/>
    <n v="0"/>
    <s v="Daily Sales Import"/>
    <n v="-6642.1621999999998"/>
    <n v="6642.1621999999998"/>
    <x v="3"/>
    <s v="2100"/>
    <s v="000"/>
    <x v="11"/>
    <x v="2"/>
  </r>
  <r>
    <d v="2013-09-25T00:00:00"/>
    <s v="019-2210-000"/>
    <s v="Liquor Sales"/>
    <n v="2151.5948000000003"/>
    <n v="0"/>
    <s v="Daily Sales Import"/>
    <n v="-2151.5948000000003"/>
    <n v="2151.5948000000003"/>
    <x v="3"/>
    <s v="2210"/>
    <s v="000"/>
    <x v="11"/>
    <x v="2"/>
  </r>
  <r>
    <d v="2013-09-25T00:00:00"/>
    <s v="019-2220-000"/>
    <s v="Beer Sales"/>
    <n v="424.86990000000003"/>
    <n v="0"/>
    <s v="Daily Sales Import"/>
    <n v="-424.86990000000003"/>
    <n v="424.86990000000003"/>
    <x v="3"/>
    <s v="2220"/>
    <s v="000"/>
    <x v="11"/>
    <x v="2"/>
  </r>
  <r>
    <d v="2013-09-25T00:00:00"/>
    <s v="019-2230-000"/>
    <s v="Wine Sales"/>
    <n v="120.08759999999998"/>
    <n v="0"/>
    <s v="Daily Sales Import"/>
    <n v="-120.08759999999998"/>
    <n v="120.08759999999998"/>
    <x v="3"/>
    <s v="2230"/>
    <s v="000"/>
    <x v="11"/>
    <x v="2"/>
  </r>
  <r>
    <d v="2013-09-26T00:00:00"/>
    <s v="019-2100-000"/>
    <s v="Food Sales"/>
    <n v="4047.3043000000002"/>
    <n v="0"/>
    <s v="Daily Sales Import"/>
    <n v="-4047.3043000000002"/>
    <n v="4047.3043000000002"/>
    <x v="3"/>
    <s v="2100"/>
    <s v="000"/>
    <x v="11"/>
    <x v="2"/>
  </r>
  <r>
    <d v="2013-09-26T00:00:00"/>
    <s v="019-2210-000"/>
    <s v="Liquor Sales"/>
    <n v="774.92250000000013"/>
    <n v="0"/>
    <s v="Daily Sales Import"/>
    <n v="-774.92250000000013"/>
    <n v="774.92250000000013"/>
    <x v="3"/>
    <s v="2210"/>
    <s v="000"/>
    <x v="11"/>
    <x v="2"/>
  </r>
  <r>
    <d v="2013-09-26T00:00:00"/>
    <s v="019-2220-000"/>
    <s v="Beer Sales"/>
    <n v="121.794"/>
    <n v="0"/>
    <s v="Daily Sales Import"/>
    <n v="-121.794"/>
    <n v="121.794"/>
    <x v="3"/>
    <s v="2220"/>
    <s v="000"/>
    <x v="11"/>
    <x v="2"/>
  </r>
  <r>
    <d v="2013-09-26T00:00:00"/>
    <s v="019-2230-000"/>
    <s v="Wine Sales"/>
    <n v="30.3324"/>
    <n v="0"/>
    <s v="Daily Sales Import"/>
    <n v="-30.3324"/>
    <n v="30.3324"/>
    <x v="3"/>
    <s v="2230"/>
    <s v="000"/>
    <x v="11"/>
    <x v="2"/>
  </r>
  <r>
    <d v="2013-09-27T00:00:00"/>
    <s v="019-2100-000"/>
    <s v="Food Sales"/>
    <n v="5315.1665000000003"/>
    <n v="0"/>
    <s v="Daily Sales Import"/>
    <n v="-5315.1665000000003"/>
    <n v="5315.1665000000003"/>
    <x v="3"/>
    <s v="2100"/>
    <s v="000"/>
    <x v="11"/>
    <x v="2"/>
  </r>
  <r>
    <d v="2013-09-27T00:00:00"/>
    <s v="019-2210-000"/>
    <s v="Liquor Sales"/>
    <n v="2424.6864"/>
    <n v="0"/>
    <s v="Daily Sales Import"/>
    <n v="-2424.6864"/>
    <n v="2424.6864"/>
    <x v="3"/>
    <s v="2210"/>
    <s v="000"/>
    <x v="11"/>
    <x v="2"/>
  </r>
  <r>
    <d v="2013-09-27T00:00:00"/>
    <s v="019-2220-000"/>
    <s v="Beer Sales"/>
    <n v="227.90399999999997"/>
    <n v="0"/>
    <s v="Daily Sales Import"/>
    <n v="-227.90399999999997"/>
    <n v="227.90399999999997"/>
    <x v="3"/>
    <s v="2220"/>
    <s v="000"/>
    <x v="11"/>
    <x v="2"/>
  </r>
  <r>
    <d v="2013-09-27T00:00:00"/>
    <s v="019-2230-000"/>
    <s v="Wine Sales"/>
    <n v="71.801100000000005"/>
    <n v="0"/>
    <s v="Daily Sales Import"/>
    <n v="-71.801100000000005"/>
    <n v="71.801100000000005"/>
    <x v="3"/>
    <s v="2230"/>
    <s v="000"/>
    <x v="11"/>
    <x v="2"/>
  </r>
  <r>
    <d v="2013-09-28T00:00:00"/>
    <s v="019-2100-000"/>
    <s v="Food Sales"/>
    <n v="4852.7932000000001"/>
    <n v="0"/>
    <s v="Daily Sales Import"/>
    <n v="-4852.7932000000001"/>
    <n v="4852.7932000000001"/>
    <x v="3"/>
    <s v="2100"/>
    <s v="000"/>
    <x v="11"/>
    <x v="2"/>
  </r>
  <r>
    <d v="2013-09-28T00:00:00"/>
    <s v="019-2210-000"/>
    <s v="Liquor Sales"/>
    <n v="2186.8110000000001"/>
    <n v="0"/>
    <s v="Daily Sales Import"/>
    <n v="-2186.8110000000001"/>
    <n v="2186.8110000000001"/>
    <x v="3"/>
    <s v="2210"/>
    <s v="000"/>
    <x v="11"/>
    <x v="2"/>
  </r>
  <r>
    <d v="2013-09-28T00:00:00"/>
    <s v="019-2220-000"/>
    <s v="Beer Sales"/>
    <n v="420.88600000000002"/>
    <n v="0"/>
    <s v="Daily Sales Import"/>
    <n v="-420.88600000000002"/>
    <n v="420.88600000000002"/>
    <x v="3"/>
    <s v="2220"/>
    <s v="000"/>
    <x v="11"/>
    <x v="2"/>
  </r>
  <r>
    <d v="2013-09-28T00:00:00"/>
    <s v="019-2230-000"/>
    <s v="Wine Sales"/>
    <n v="108.19480000000001"/>
    <n v="0"/>
    <s v="Daily Sales Import"/>
    <n v="-108.19480000000001"/>
    <n v="108.19480000000001"/>
    <x v="3"/>
    <s v="2230"/>
    <s v="000"/>
    <x v="11"/>
    <x v="2"/>
  </r>
  <r>
    <d v="2013-09-29T00:00:00"/>
    <s v="019-2100-000"/>
    <s v="Food Sales"/>
    <n v="2587.6566000000003"/>
    <n v="0"/>
    <s v="Daily Sales Import"/>
    <n v="-2587.6566000000003"/>
    <n v="2587.6566000000003"/>
    <x v="3"/>
    <s v="2100"/>
    <s v="000"/>
    <x v="11"/>
    <x v="2"/>
  </r>
  <r>
    <d v="2013-09-29T00:00:00"/>
    <s v="019-2210-000"/>
    <s v="Liquor Sales"/>
    <n v="799.19669999999996"/>
    <n v="0"/>
    <s v="Daily Sales Import"/>
    <n v="-799.19669999999996"/>
    <n v="799.19669999999996"/>
    <x v="3"/>
    <s v="2210"/>
    <s v="000"/>
    <x v="11"/>
    <x v="2"/>
  </r>
  <r>
    <d v="2013-09-29T00:00:00"/>
    <s v="019-2220-000"/>
    <s v="Beer Sales"/>
    <n v="245.80919999999998"/>
    <n v="0"/>
    <s v="Daily Sales Import"/>
    <n v="-245.80919999999998"/>
    <n v="245.80919999999998"/>
    <x v="3"/>
    <s v="2220"/>
    <s v="000"/>
    <x v="11"/>
    <x v="2"/>
  </r>
  <r>
    <d v="2013-09-29T00:00:00"/>
    <s v="019-2230-000"/>
    <s v="Wine Sales"/>
    <n v="131.33679999999998"/>
    <n v="0"/>
    <s v="Daily Sales Import"/>
    <n v="-131.33679999999998"/>
    <n v="131.33679999999998"/>
    <x v="3"/>
    <s v="2230"/>
    <s v="000"/>
    <x v="11"/>
    <x v="2"/>
  </r>
  <r>
    <d v="2013-09-30T00:00:00"/>
    <s v="016-2100-000"/>
    <s v="Food Sales"/>
    <n v="2289.3849999999998"/>
    <n v="0"/>
    <s v="Daily Sales Import"/>
    <n v="-2289.3849999999998"/>
    <n v="2289.3849999999998"/>
    <x v="0"/>
    <s v="2100"/>
    <s v="000"/>
    <x v="11"/>
    <x v="2"/>
  </r>
  <r>
    <d v="2013-09-30T00:00:00"/>
    <s v="016-2210-000"/>
    <s v="Liquor Sales"/>
    <n v="801.38959999999997"/>
    <n v="0"/>
    <s v="Daily Sales Import"/>
    <n v="-801.38959999999997"/>
    <n v="801.38959999999997"/>
    <x v="0"/>
    <s v="2210"/>
    <s v="000"/>
    <x v="11"/>
    <x v="2"/>
  </r>
  <r>
    <d v="2013-09-30T00:00:00"/>
    <s v="016-2220-000"/>
    <s v="Beer Sales"/>
    <n v="137.86779999999999"/>
    <n v="0"/>
    <s v="Daily Sales Import"/>
    <n v="-137.86779999999999"/>
    <n v="137.86779999999999"/>
    <x v="0"/>
    <s v="2220"/>
    <s v="000"/>
    <x v="11"/>
    <x v="2"/>
  </r>
  <r>
    <d v="2013-09-30T00:00:00"/>
    <s v="016-2230-000"/>
    <s v="Wine Sales"/>
    <n v="135.303"/>
    <n v="0"/>
    <s v="Daily Sales Import"/>
    <n v="-135.303"/>
    <n v="135.303"/>
    <x v="0"/>
    <s v="2230"/>
    <s v="000"/>
    <x v="11"/>
    <x v="2"/>
  </r>
  <r>
    <d v="2013-10-01T00:00:00"/>
    <s v="016-2100-000"/>
    <s v="Food Sales"/>
    <n v="4996.9560000000001"/>
    <n v="0"/>
    <s v="Daily Sales Import"/>
    <n v="-4996.9560000000001"/>
    <n v="4996.9560000000001"/>
    <x v="0"/>
    <s v="2100"/>
    <s v="000"/>
    <x v="0"/>
    <x v="2"/>
  </r>
  <r>
    <d v="2013-10-01T00:00:00"/>
    <s v="016-2210-000"/>
    <s v="Liquor Sales"/>
    <n v="2499.489"/>
    <n v="0"/>
    <s v="Daily Sales Import"/>
    <n v="-2499.489"/>
    <n v="2499.489"/>
    <x v="0"/>
    <s v="2210"/>
    <s v="000"/>
    <x v="0"/>
    <x v="2"/>
  </r>
  <r>
    <d v="2013-10-01T00:00:00"/>
    <s v="016-2220-000"/>
    <s v="Beer Sales"/>
    <n v="823.50059999999985"/>
    <n v="0"/>
    <s v="Daily Sales Import"/>
    <n v="-823.50059999999985"/>
    <n v="823.50059999999985"/>
    <x v="0"/>
    <s v="2220"/>
    <s v="000"/>
    <x v="0"/>
    <x v="2"/>
  </r>
  <r>
    <d v="2013-10-01T00:00:00"/>
    <s v="016-2230-000"/>
    <s v="Wine Sales"/>
    <n v="213.88500000000002"/>
    <n v="0"/>
    <s v="Daily Sales Import"/>
    <n v="-213.88500000000002"/>
    <n v="213.88500000000002"/>
    <x v="0"/>
    <s v="2230"/>
    <s v="000"/>
    <x v="0"/>
    <x v="2"/>
  </r>
  <r>
    <d v="2013-10-02T00:00:00"/>
    <s v="016-2100-000"/>
    <s v="Food Sales"/>
    <n v="1688.2002"/>
    <n v="0"/>
    <s v="Daily Sales Import"/>
    <n v="-1688.2002"/>
    <n v="1688.2002"/>
    <x v="0"/>
    <s v="2100"/>
    <s v="000"/>
    <x v="0"/>
    <x v="2"/>
  </r>
  <r>
    <d v="2013-10-02T00:00:00"/>
    <s v="016-2210-000"/>
    <s v="Liquor Sales"/>
    <n v="697.92000000000007"/>
    <n v="0"/>
    <s v="Daily Sales Import"/>
    <n v="-697.92000000000007"/>
    <n v="697.92000000000007"/>
    <x v="0"/>
    <s v="2210"/>
    <s v="000"/>
    <x v="0"/>
    <x v="2"/>
  </r>
  <r>
    <d v="2013-10-02T00:00:00"/>
    <s v="016-2220-000"/>
    <s v="Beer Sales"/>
    <n v="124.94819999999999"/>
    <n v="0"/>
    <s v="Daily Sales Import"/>
    <n v="-124.94819999999999"/>
    <n v="124.94819999999999"/>
    <x v="0"/>
    <s v="2220"/>
    <s v="000"/>
    <x v="0"/>
    <x v="2"/>
  </r>
  <r>
    <d v="2013-10-02T00:00:00"/>
    <s v="016-2230-000"/>
    <s v="Wine Sales"/>
    <n v="57.63150000000001"/>
    <n v="0"/>
    <s v="Daily Sales Import"/>
    <n v="-57.63150000000001"/>
    <n v="57.63150000000001"/>
    <x v="0"/>
    <s v="2230"/>
    <s v="000"/>
    <x v="0"/>
    <x v="2"/>
  </r>
  <r>
    <d v="2013-10-03T00:00:00"/>
    <s v="016-2100-000"/>
    <s v="Food Sales"/>
    <n v="3312.4108999999999"/>
    <n v="0"/>
    <s v="Daily Sales Import"/>
    <n v="-3312.4108999999999"/>
    <n v="3312.4108999999999"/>
    <x v="0"/>
    <s v="2100"/>
    <s v="000"/>
    <x v="0"/>
    <x v="2"/>
  </r>
  <r>
    <d v="2013-10-03T00:00:00"/>
    <s v="016-2210-000"/>
    <s v="Liquor Sales"/>
    <n v="420.01920000000001"/>
    <n v="0"/>
    <s v="Daily Sales Import"/>
    <n v="-420.01920000000001"/>
    <n v="420.01920000000001"/>
    <x v="0"/>
    <s v="2210"/>
    <s v="000"/>
    <x v="0"/>
    <x v="2"/>
  </r>
  <r>
    <d v="2013-10-03T00:00:00"/>
    <s v="016-2220-000"/>
    <s v="Beer Sales"/>
    <n v="97.037999999999997"/>
    <n v="0"/>
    <s v="Daily Sales Import"/>
    <n v="-97.037999999999997"/>
    <n v="97.037999999999997"/>
    <x v="0"/>
    <s v="2220"/>
    <s v="000"/>
    <x v="0"/>
    <x v="2"/>
  </r>
  <r>
    <d v="2013-10-03T00:00:00"/>
    <s v="016-2230-000"/>
    <s v="Wine Sales"/>
    <n v="10.671100000000001"/>
    <n v="0"/>
    <s v="Daily Sales Import"/>
    <n v="-10.671100000000001"/>
    <n v="10.671100000000001"/>
    <x v="0"/>
    <s v="2230"/>
    <s v="000"/>
    <x v="0"/>
    <x v="2"/>
  </r>
  <r>
    <d v="2013-10-04T00:00:00"/>
    <s v="016-2100-000"/>
    <s v="Food Sales"/>
    <n v="5351.5365000000002"/>
    <n v="0"/>
    <s v="Daily Sales Import"/>
    <n v="-5351.5365000000002"/>
    <n v="5351.5365000000002"/>
    <x v="0"/>
    <s v="2100"/>
    <s v="000"/>
    <x v="0"/>
    <x v="2"/>
  </r>
  <r>
    <d v="2013-10-04T00:00:00"/>
    <s v="016-2210-000"/>
    <s v="Liquor Sales"/>
    <n v="1687.2432000000001"/>
    <n v="0"/>
    <s v="Daily Sales Import"/>
    <n v="-1687.2432000000001"/>
    <n v="1687.2432000000001"/>
    <x v="0"/>
    <s v="2210"/>
    <s v="000"/>
    <x v="0"/>
    <x v="2"/>
  </r>
  <r>
    <d v="2013-10-04T00:00:00"/>
    <s v="016-2220-000"/>
    <s v="Beer Sales"/>
    <n v="289.27430000000004"/>
    <n v="0"/>
    <s v="Daily Sales Import"/>
    <n v="-289.27430000000004"/>
    <n v="289.27430000000004"/>
    <x v="0"/>
    <s v="2220"/>
    <s v="000"/>
    <x v="0"/>
    <x v="2"/>
  </r>
  <r>
    <d v="2013-10-04T00:00:00"/>
    <s v="016-2230-000"/>
    <s v="Wine Sales"/>
    <n v="230.11199999999999"/>
    <n v="0"/>
    <s v="Daily Sales Import"/>
    <n v="-230.11199999999999"/>
    <n v="230.11199999999999"/>
    <x v="0"/>
    <s v="2230"/>
    <s v="000"/>
    <x v="0"/>
    <x v="2"/>
  </r>
  <r>
    <d v="2013-10-05T00:00:00"/>
    <s v="016-2100-000"/>
    <s v="Food Sales"/>
    <n v="8390.0105000000003"/>
    <n v="0"/>
    <s v="Daily Sales Import"/>
    <n v="-8390.0105000000003"/>
    <n v="8390.0105000000003"/>
    <x v="0"/>
    <s v="2100"/>
    <s v="000"/>
    <x v="0"/>
    <x v="2"/>
  </r>
  <r>
    <d v="2013-10-05T00:00:00"/>
    <s v="016-2210-000"/>
    <s v="Liquor Sales"/>
    <n v="1485.4872"/>
    <n v="0"/>
    <s v="Daily Sales Import"/>
    <n v="-1485.4872"/>
    <n v="1485.4872"/>
    <x v="0"/>
    <s v="2210"/>
    <s v="000"/>
    <x v="0"/>
    <x v="2"/>
  </r>
  <r>
    <d v="2013-10-05T00:00:00"/>
    <s v="016-2220-000"/>
    <s v="Beer Sales"/>
    <n v="277.88399999999996"/>
    <n v="0"/>
    <s v="Daily Sales Import"/>
    <n v="-277.88399999999996"/>
    <n v="277.88399999999996"/>
    <x v="0"/>
    <s v="2220"/>
    <s v="000"/>
    <x v="0"/>
    <x v="2"/>
  </r>
  <r>
    <d v="2013-10-05T00:00:00"/>
    <s v="016-2230-000"/>
    <s v="Wine Sales"/>
    <n v="144.97120000000001"/>
    <n v="0"/>
    <s v="Daily Sales Import"/>
    <n v="-144.97120000000001"/>
    <n v="144.97120000000001"/>
    <x v="0"/>
    <s v="2230"/>
    <s v="000"/>
    <x v="0"/>
    <x v="2"/>
  </r>
  <r>
    <d v="2013-10-06T00:00:00"/>
    <s v="016-2100-000"/>
    <s v="Food Sales"/>
    <n v="4409.4726000000001"/>
    <n v="0"/>
    <s v="Daily Sales Import"/>
    <n v="-4409.4726000000001"/>
    <n v="4409.4726000000001"/>
    <x v="0"/>
    <s v="2100"/>
    <s v="000"/>
    <x v="0"/>
    <x v="2"/>
  </r>
  <r>
    <d v="2013-10-06T00:00:00"/>
    <s v="016-2210-000"/>
    <s v="Liquor Sales"/>
    <n v="812.84619999999995"/>
    <n v="0"/>
    <s v="Daily Sales Import"/>
    <n v="-812.84619999999995"/>
    <n v="812.84619999999995"/>
    <x v="0"/>
    <s v="2210"/>
    <s v="000"/>
    <x v="0"/>
    <x v="2"/>
  </r>
  <r>
    <d v="2013-10-06T00:00:00"/>
    <s v="016-2220-000"/>
    <s v="Beer Sales"/>
    <n v="147.87989999999999"/>
    <n v="0"/>
    <s v="Daily Sales Import"/>
    <n v="-147.87989999999999"/>
    <n v="147.87989999999999"/>
    <x v="0"/>
    <s v="2220"/>
    <s v="000"/>
    <x v="0"/>
    <x v="2"/>
  </r>
  <r>
    <d v="2013-10-06T00:00:00"/>
    <s v="016-2230-000"/>
    <s v="Wine Sales"/>
    <n v="85.113600000000005"/>
    <n v="0"/>
    <s v="Daily Sales Import"/>
    <n v="-85.113600000000005"/>
    <n v="85.113600000000005"/>
    <x v="0"/>
    <s v="2230"/>
    <s v="000"/>
    <x v="0"/>
    <x v="2"/>
  </r>
  <r>
    <d v="2013-09-30T00:00:00"/>
    <s v="017-2100-000"/>
    <s v="Food Sales"/>
    <n v="5663.9189999999999"/>
    <n v="0"/>
    <s v="Daily Sales Import"/>
    <n v="-5663.9189999999999"/>
    <n v="5663.9189999999999"/>
    <x v="1"/>
    <s v="2100"/>
    <s v="000"/>
    <x v="11"/>
    <x v="2"/>
  </r>
  <r>
    <d v="2013-09-30T00:00:00"/>
    <s v="017-2210-000"/>
    <s v="Liquor Sales"/>
    <n v="798.81329999999991"/>
    <n v="0"/>
    <s v="Daily Sales Import"/>
    <n v="-798.81329999999991"/>
    <n v="798.81329999999991"/>
    <x v="1"/>
    <s v="2210"/>
    <s v="000"/>
    <x v="11"/>
    <x v="2"/>
  </r>
  <r>
    <d v="2013-09-30T00:00:00"/>
    <s v="017-2220-000"/>
    <s v="Beer Sales"/>
    <n v="406.51920000000001"/>
    <n v="0"/>
    <s v="Daily Sales Import"/>
    <n v="-406.51920000000001"/>
    <n v="406.51920000000001"/>
    <x v="1"/>
    <s v="2220"/>
    <s v="000"/>
    <x v="11"/>
    <x v="2"/>
  </r>
  <r>
    <d v="2013-09-30T00:00:00"/>
    <s v="017-2230-000"/>
    <s v="Wine Sales"/>
    <n v="56.582300000000004"/>
    <n v="0"/>
    <s v="Daily Sales Import"/>
    <n v="-56.582300000000004"/>
    <n v="56.582300000000004"/>
    <x v="1"/>
    <s v="2230"/>
    <s v="000"/>
    <x v="11"/>
    <x v="2"/>
  </r>
  <r>
    <d v="2013-10-01T00:00:00"/>
    <s v="017-2100-000"/>
    <s v="Food Sales"/>
    <n v="4794.4710000000005"/>
    <n v="0"/>
    <s v="Daily Sales Import"/>
    <n v="-4794.4710000000005"/>
    <n v="4794.4710000000005"/>
    <x v="1"/>
    <s v="2100"/>
    <s v="000"/>
    <x v="0"/>
    <x v="2"/>
  </r>
  <r>
    <d v="2013-10-01T00:00:00"/>
    <s v="017-2210-000"/>
    <s v="Liquor Sales"/>
    <n v="1337.5149999999999"/>
    <n v="0"/>
    <s v="Daily Sales Import"/>
    <n v="-1337.5149999999999"/>
    <n v="1337.5149999999999"/>
    <x v="1"/>
    <s v="2210"/>
    <s v="000"/>
    <x v="0"/>
    <x v="2"/>
  </r>
  <r>
    <d v="2013-10-01T00:00:00"/>
    <s v="017-2220-000"/>
    <s v="Beer Sales"/>
    <n v="350.32339999999999"/>
    <n v="0"/>
    <s v="Daily Sales Import"/>
    <n v="-350.32339999999999"/>
    <n v="350.32339999999999"/>
    <x v="1"/>
    <s v="2220"/>
    <s v="000"/>
    <x v="0"/>
    <x v="2"/>
  </r>
  <r>
    <d v="2013-10-01T00:00:00"/>
    <s v="017-2230-000"/>
    <s v="Wine Sales"/>
    <n v="66.739199999999997"/>
    <n v="0"/>
    <s v="Daily Sales Import"/>
    <n v="-66.739199999999997"/>
    <n v="66.739199999999997"/>
    <x v="1"/>
    <s v="2230"/>
    <s v="000"/>
    <x v="0"/>
    <x v="2"/>
  </r>
  <r>
    <d v="2013-10-02T00:00:00"/>
    <s v="017-2100-000"/>
    <s v="Food Sales"/>
    <n v="6011.7147000000004"/>
    <n v="0"/>
    <s v="Daily Sales Import"/>
    <n v="-6011.7147000000004"/>
    <n v="6011.7147000000004"/>
    <x v="1"/>
    <s v="2100"/>
    <s v="000"/>
    <x v="0"/>
    <x v="2"/>
  </r>
  <r>
    <d v="2013-10-02T00:00:00"/>
    <s v="017-2210-000"/>
    <s v="Liquor Sales"/>
    <n v="2072.5614"/>
    <n v="0"/>
    <s v="Daily Sales Import"/>
    <n v="-2072.5614"/>
    <n v="2072.5614"/>
    <x v="1"/>
    <s v="2210"/>
    <s v="000"/>
    <x v="0"/>
    <x v="2"/>
  </r>
  <r>
    <d v="2013-10-02T00:00:00"/>
    <s v="017-2220-000"/>
    <s v="Beer Sales"/>
    <n v="543.58920000000001"/>
    <n v="0"/>
    <s v="Daily Sales Import"/>
    <n v="-543.58920000000001"/>
    <n v="543.58920000000001"/>
    <x v="1"/>
    <s v="2220"/>
    <s v="000"/>
    <x v="0"/>
    <x v="2"/>
  </r>
  <r>
    <d v="2013-10-02T00:00:00"/>
    <s v="017-2230-000"/>
    <s v="Wine Sales"/>
    <n v="166.29820000000001"/>
    <n v="0"/>
    <s v="Daily Sales Import"/>
    <n v="-166.29820000000001"/>
    <n v="166.29820000000001"/>
    <x v="1"/>
    <s v="2230"/>
    <s v="000"/>
    <x v="0"/>
    <x v="2"/>
  </r>
  <r>
    <d v="2013-10-03T00:00:00"/>
    <s v="017-2100-000"/>
    <s v="Food Sales"/>
    <n v="5870.3060999999998"/>
    <n v="0"/>
    <s v="Daily Sales Import"/>
    <n v="-5870.3060999999998"/>
    <n v="5870.3060999999998"/>
    <x v="1"/>
    <s v="2100"/>
    <s v="000"/>
    <x v="0"/>
    <x v="2"/>
  </r>
  <r>
    <d v="2013-10-03T00:00:00"/>
    <s v="017-2210-000"/>
    <s v="Liquor Sales"/>
    <n v="1386.5766000000001"/>
    <n v="0"/>
    <s v="Daily Sales Import"/>
    <n v="-1386.5766000000001"/>
    <n v="1386.5766000000001"/>
    <x v="1"/>
    <s v="2210"/>
    <s v="000"/>
    <x v="0"/>
    <x v="2"/>
  </r>
  <r>
    <d v="2013-10-03T00:00:00"/>
    <s v="017-2220-000"/>
    <s v="Beer Sales"/>
    <n v="611.1105"/>
    <n v="0"/>
    <s v="Daily Sales Import"/>
    <n v="-611.1105"/>
    <n v="611.1105"/>
    <x v="1"/>
    <s v="2220"/>
    <s v="000"/>
    <x v="0"/>
    <x v="2"/>
  </r>
  <r>
    <d v="2013-10-03T00:00:00"/>
    <s v="017-2230-000"/>
    <s v="Wine Sales"/>
    <n v="150.3279"/>
    <n v="0"/>
    <s v="Daily Sales Import"/>
    <n v="-150.3279"/>
    <n v="150.3279"/>
    <x v="1"/>
    <s v="2230"/>
    <s v="000"/>
    <x v="0"/>
    <x v="2"/>
  </r>
  <r>
    <d v="2013-10-04T00:00:00"/>
    <s v="017-2100-000"/>
    <s v="Food Sales"/>
    <n v="8687.0607999999993"/>
    <n v="0"/>
    <s v="Daily Sales Import"/>
    <n v="-8687.0607999999993"/>
    <n v="8687.0607999999993"/>
    <x v="1"/>
    <s v="2100"/>
    <s v="000"/>
    <x v="0"/>
    <x v="2"/>
  </r>
  <r>
    <d v="2013-10-04T00:00:00"/>
    <s v="017-2210-000"/>
    <s v="Liquor Sales"/>
    <n v="2243.0549999999998"/>
    <n v="0"/>
    <s v="Daily Sales Import"/>
    <n v="-2243.0549999999998"/>
    <n v="2243.0549999999998"/>
    <x v="1"/>
    <s v="2210"/>
    <s v="000"/>
    <x v="0"/>
    <x v="2"/>
  </r>
  <r>
    <d v="2013-10-04T00:00:00"/>
    <s v="017-2220-000"/>
    <s v="Beer Sales"/>
    <n v="524.43299999999999"/>
    <n v="0"/>
    <s v="Daily Sales Import"/>
    <n v="-524.43299999999999"/>
    <n v="524.43299999999999"/>
    <x v="1"/>
    <s v="2220"/>
    <s v="000"/>
    <x v="0"/>
    <x v="2"/>
  </r>
  <r>
    <d v="2013-10-04T00:00:00"/>
    <s v="017-2230-000"/>
    <s v="Wine Sales"/>
    <n v="68.752799999999993"/>
    <n v="0"/>
    <s v="Daily Sales Import"/>
    <n v="-68.752799999999993"/>
    <n v="68.752799999999993"/>
    <x v="1"/>
    <s v="2230"/>
    <s v="000"/>
    <x v="0"/>
    <x v="2"/>
  </r>
  <r>
    <d v="2013-10-05T00:00:00"/>
    <s v="017-2100-000"/>
    <s v="Food Sales"/>
    <n v="6737.1120000000001"/>
    <n v="0"/>
    <s v="Daily Sales Import"/>
    <n v="-6737.1120000000001"/>
    <n v="6737.1120000000001"/>
    <x v="1"/>
    <s v="2100"/>
    <s v="000"/>
    <x v="0"/>
    <x v="2"/>
  </r>
  <r>
    <d v="2013-10-05T00:00:00"/>
    <s v="017-2210-000"/>
    <s v="Liquor Sales"/>
    <n v="1612.1712000000002"/>
    <n v="0"/>
    <s v="Daily Sales Import"/>
    <n v="-1612.1712000000002"/>
    <n v="1612.1712000000002"/>
    <x v="1"/>
    <s v="2210"/>
    <s v="000"/>
    <x v="0"/>
    <x v="2"/>
  </r>
  <r>
    <d v="2013-10-05T00:00:00"/>
    <s v="017-2220-000"/>
    <s v="Beer Sales"/>
    <n v="299.39490000000001"/>
    <n v="0"/>
    <s v="Daily Sales Import"/>
    <n v="-299.39490000000001"/>
    <n v="299.39490000000001"/>
    <x v="1"/>
    <s v="2220"/>
    <s v="000"/>
    <x v="0"/>
    <x v="2"/>
  </r>
  <r>
    <d v="2013-10-05T00:00:00"/>
    <s v="017-2230-000"/>
    <s v="Wine Sales"/>
    <n v="46.235199999999999"/>
    <n v="0"/>
    <s v="Daily Sales Import"/>
    <n v="-46.235199999999999"/>
    <n v="46.235199999999999"/>
    <x v="1"/>
    <s v="2230"/>
    <s v="000"/>
    <x v="0"/>
    <x v="2"/>
  </r>
  <r>
    <d v="2013-10-06T00:00:00"/>
    <s v="017-2100-000"/>
    <s v="Food Sales"/>
    <n v="4031.2560000000003"/>
    <n v="0"/>
    <s v="Daily Sales Import"/>
    <n v="-4031.2560000000003"/>
    <n v="4031.2560000000003"/>
    <x v="1"/>
    <s v="2100"/>
    <s v="000"/>
    <x v="0"/>
    <x v="2"/>
  </r>
  <r>
    <d v="2013-10-06T00:00:00"/>
    <s v="017-2210-000"/>
    <s v="Liquor Sales"/>
    <n v="668.78730000000007"/>
    <n v="0"/>
    <s v="Daily Sales Import"/>
    <n v="-668.78730000000007"/>
    <n v="668.78730000000007"/>
    <x v="1"/>
    <s v="2210"/>
    <s v="000"/>
    <x v="0"/>
    <x v="2"/>
  </r>
  <r>
    <d v="2013-10-06T00:00:00"/>
    <s v="017-2220-000"/>
    <s v="Beer Sales"/>
    <n v="119.80799999999999"/>
    <n v="0"/>
    <s v="Daily Sales Import"/>
    <n v="-119.80799999999999"/>
    <n v="119.80799999999999"/>
    <x v="1"/>
    <s v="2220"/>
    <s v="000"/>
    <x v="0"/>
    <x v="2"/>
  </r>
  <r>
    <d v="2013-10-06T00:00:00"/>
    <s v="017-2230-000"/>
    <s v="Wine Sales"/>
    <n v="88.078499999999991"/>
    <n v="0"/>
    <s v="Daily Sales Import"/>
    <n v="-88.078499999999991"/>
    <n v="88.078499999999991"/>
    <x v="1"/>
    <s v="2230"/>
    <s v="000"/>
    <x v="0"/>
    <x v="2"/>
  </r>
  <r>
    <d v="2013-09-30T00:00:00"/>
    <s v="018-2100-000"/>
    <s v="Food Sales"/>
    <n v="4118.8480000000009"/>
    <n v="0"/>
    <s v="Daily Sales Import"/>
    <n v="-4118.8480000000009"/>
    <n v="4118.8480000000009"/>
    <x v="2"/>
    <s v="2100"/>
    <s v="000"/>
    <x v="11"/>
    <x v="2"/>
  </r>
  <r>
    <d v="2013-09-30T00:00:00"/>
    <s v="018-2210-000"/>
    <s v="Liquor Sales"/>
    <n v="593.40510000000006"/>
    <n v="0"/>
    <s v="Daily Sales Import"/>
    <n v="-593.40510000000006"/>
    <n v="593.40510000000006"/>
    <x v="2"/>
    <s v="2210"/>
    <s v="000"/>
    <x v="11"/>
    <x v="2"/>
  </r>
  <r>
    <d v="2013-09-30T00:00:00"/>
    <s v="018-2220-000"/>
    <s v="Beer Sales"/>
    <n v="212.89840000000001"/>
    <n v="0"/>
    <s v="Daily Sales Import"/>
    <n v="-212.89840000000001"/>
    <n v="212.89840000000001"/>
    <x v="2"/>
    <s v="2220"/>
    <s v="000"/>
    <x v="11"/>
    <x v="2"/>
  </r>
  <r>
    <d v="2013-09-30T00:00:00"/>
    <s v="018-2230-000"/>
    <s v="Wine Sales"/>
    <n v="14.0244"/>
    <n v="0"/>
    <s v="Daily Sales Import"/>
    <n v="-14.0244"/>
    <n v="14.0244"/>
    <x v="2"/>
    <s v="2230"/>
    <s v="000"/>
    <x v="11"/>
    <x v="2"/>
  </r>
  <r>
    <d v="2013-10-01T00:00:00"/>
    <s v="018-2100-000"/>
    <s v="Food Sales"/>
    <n v="4498.1772000000001"/>
    <n v="0"/>
    <s v="Daily Sales Import"/>
    <n v="-4498.1772000000001"/>
    <n v="4498.1772000000001"/>
    <x v="2"/>
    <s v="2100"/>
    <s v="000"/>
    <x v="0"/>
    <x v="2"/>
  </r>
  <r>
    <d v="2013-10-01T00:00:00"/>
    <s v="018-2210-000"/>
    <s v="Liquor Sales"/>
    <n v="758.94119999999998"/>
    <n v="0"/>
    <s v="Daily Sales Import"/>
    <n v="-758.94119999999998"/>
    <n v="758.94119999999998"/>
    <x v="2"/>
    <s v="2210"/>
    <s v="000"/>
    <x v="0"/>
    <x v="2"/>
  </r>
  <r>
    <d v="2013-10-01T00:00:00"/>
    <s v="018-2220-000"/>
    <s v="Beer Sales"/>
    <n v="141.19560000000001"/>
    <n v="0"/>
    <s v="Daily Sales Import"/>
    <n v="-141.19560000000001"/>
    <n v="141.19560000000001"/>
    <x v="2"/>
    <s v="2220"/>
    <s v="000"/>
    <x v="0"/>
    <x v="2"/>
  </r>
  <r>
    <d v="2013-10-01T00:00:00"/>
    <s v="018-2230-000"/>
    <s v="Wine Sales"/>
    <n v="113.77200000000001"/>
    <n v="0"/>
    <s v="Daily Sales Import"/>
    <n v="-113.77200000000001"/>
    <n v="113.77200000000001"/>
    <x v="2"/>
    <s v="2230"/>
    <s v="000"/>
    <x v="0"/>
    <x v="2"/>
  </r>
  <r>
    <d v="2013-10-02T00:00:00"/>
    <s v="018-2100-000"/>
    <s v="Food Sales"/>
    <n v="4438.6217999999999"/>
    <n v="0"/>
    <s v="Daily Sales Import"/>
    <n v="-4438.6217999999999"/>
    <n v="4438.6217999999999"/>
    <x v="2"/>
    <s v="2100"/>
    <s v="000"/>
    <x v="0"/>
    <x v="2"/>
  </r>
  <r>
    <d v="2013-10-02T00:00:00"/>
    <s v="018-2210-000"/>
    <s v="Liquor Sales"/>
    <n v="622.05719999999997"/>
    <n v="0"/>
    <s v="Daily Sales Import"/>
    <n v="-622.05719999999997"/>
    <n v="622.05719999999997"/>
    <x v="2"/>
    <s v="2210"/>
    <s v="000"/>
    <x v="0"/>
    <x v="2"/>
  </r>
  <r>
    <d v="2013-10-02T00:00:00"/>
    <s v="018-2220-000"/>
    <s v="Beer Sales"/>
    <n v="138.42599999999999"/>
    <n v="0"/>
    <s v="Daily Sales Import"/>
    <n v="-138.42599999999999"/>
    <n v="138.42599999999999"/>
    <x v="2"/>
    <s v="2220"/>
    <s v="000"/>
    <x v="0"/>
    <x v="2"/>
  </r>
  <r>
    <d v="2013-10-02T00:00:00"/>
    <s v="018-2230-000"/>
    <s v="Wine Sales"/>
    <n v="58.470999999999997"/>
    <n v="0"/>
    <s v="Daily Sales Import"/>
    <n v="-58.470999999999997"/>
    <n v="58.470999999999997"/>
    <x v="2"/>
    <s v="2230"/>
    <s v="000"/>
    <x v="0"/>
    <x v="2"/>
  </r>
  <r>
    <d v="2013-10-03T00:00:00"/>
    <s v="018-2100-000"/>
    <s v="Food Sales"/>
    <n v="4183.8150000000005"/>
    <n v="0"/>
    <s v="Daily Sales Import"/>
    <n v="-4183.8150000000005"/>
    <n v="4183.8150000000005"/>
    <x v="2"/>
    <s v="2100"/>
    <s v="000"/>
    <x v="0"/>
    <x v="2"/>
  </r>
  <r>
    <d v="2013-10-03T00:00:00"/>
    <s v="018-2210-000"/>
    <s v="Liquor Sales"/>
    <n v="1159.0369000000001"/>
    <n v="0"/>
    <s v="Daily Sales Import"/>
    <n v="-1159.0369000000001"/>
    <n v="1159.0369000000001"/>
    <x v="2"/>
    <s v="2210"/>
    <s v="000"/>
    <x v="0"/>
    <x v="2"/>
  </r>
  <r>
    <d v="2013-10-03T00:00:00"/>
    <s v="018-2220-000"/>
    <s v="Beer Sales"/>
    <n v="304.72620000000001"/>
    <n v="0"/>
    <s v="Daily Sales Import"/>
    <n v="-304.72620000000001"/>
    <n v="304.72620000000001"/>
    <x v="2"/>
    <s v="2220"/>
    <s v="000"/>
    <x v="0"/>
    <x v="2"/>
  </r>
  <r>
    <d v="2013-10-03T00:00:00"/>
    <s v="018-2230-000"/>
    <s v="Wine Sales"/>
    <n v="50.963200000000001"/>
    <n v="0"/>
    <s v="Daily Sales Import"/>
    <n v="-50.963200000000001"/>
    <n v="50.963200000000001"/>
    <x v="2"/>
    <s v="2230"/>
    <s v="000"/>
    <x v="0"/>
    <x v="2"/>
  </r>
  <r>
    <d v="2013-10-04T00:00:00"/>
    <s v="018-2100-000"/>
    <s v="Food Sales"/>
    <n v="9753.7369999999992"/>
    <n v="0"/>
    <s v="Daily Sales Import"/>
    <n v="-9753.7369999999992"/>
    <n v="9753.7369999999992"/>
    <x v="2"/>
    <s v="2100"/>
    <s v="000"/>
    <x v="0"/>
    <x v="2"/>
  </r>
  <r>
    <d v="2013-10-04T00:00:00"/>
    <s v="018-2210-000"/>
    <s v="Liquor Sales"/>
    <n v="2985.0787999999998"/>
    <n v="0"/>
    <s v="Daily Sales Import"/>
    <n v="-2985.0787999999998"/>
    <n v="2985.0787999999998"/>
    <x v="2"/>
    <s v="2210"/>
    <s v="000"/>
    <x v="0"/>
    <x v="2"/>
  </r>
  <r>
    <d v="2013-10-04T00:00:00"/>
    <s v="018-2220-000"/>
    <s v="Beer Sales"/>
    <n v="417.42"/>
    <n v="0"/>
    <s v="Daily Sales Import"/>
    <n v="-417.42"/>
    <n v="417.42"/>
    <x v="2"/>
    <s v="2220"/>
    <s v="000"/>
    <x v="0"/>
    <x v="2"/>
  </r>
  <r>
    <d v="2013-10-04T00:00:00"/>
    <s v="018-2230-000"/>
    <s v="Wine Sales"/>
    <n v="49.964100000000002"/>
    <n v="0"/>
    <s v="Daily Sales Import"/>
    <n v="-49.964100000000002"/>
    <n v="49.964100000000002"/>
    <x v="2"/>
    <s v="2230"/>
    <s v="000"/>
    <x v="0"/>
    <x v="2"/>
  </r>
  <r>
    <d v="2013-10-05T00:00:00"/>
    <s v="018-2100-000"/>
    <s v="Food Sales"/>
    <n v="17125.308000000001"/>
    <n v="0"/>
    <s v="Daily Sales Import"/>
    <n v="-17125.308000000001"/>
    <n v="17125.308000000001"/>
    <x v="2"/>
    <s v="2100"/>
    <s v="000"/>
    <x v="0"/>
    <x v="2"/>
  </r>
  <r>
    <d v="2013-10-05T00:00:00"/>
    <s v="018-2210-000"/>
    <s v="Liquor Sales"/>
    <n v="2659.2323999999999"/>
    <n v="0"/>
    <s v="Daily Sales Import"/>
    <n v="-2659.2323999999999"/>
    <n v="2659.2323999999999"/>
    <x v="2"/>
    <s v="2210"/>
    <s v="000"/>
    <x v="0"/>
    <x v="2"/>
  </r>
  <r>
    <d v="2013-10-05T00:00:00"/>
    <s v="018-2220-000"/>
    <s v="Beer Sales"/>
    <n v="723.81440000000009"/>
    <n v="0"/>
    <s v="Daily Sales Import"/>
    <n v="-723.81440000000009"/>
    <n v="723.81440000000009"/>
    <x v="2"/>
    <s v="2220"/>
    <s v="000"/>
    <x v="0"/>
    <x v="2"/>
  </r>
  <r>
    <d v="2013-10-05T00:00:00"/>
    <s v="018-2230-000"/>
    <s v="Wine Sales"/>
    <n v="59.516800000000003"/>
    <n v="0"/>
    <s v="Daily Sales Import"/>
    <n v="-59.516800000000003"/>
    <n v="59.516800000000003"/>
    <x v="2"/>
    <s v="2230"/>
    <s v="000"/>
    <x v="0"/>
    <x v="2"/>
  </r>
  <r>
    <d v="2013-10-06T00:00:00"/>
    <s v="018-2100-000"/>
    <s v="Food Sales"/>
    <n v="11013.7808"/>
    <n v="0"/>
    <s v="Daily Sales Import"/>
    <n v="-11013.7808"/>
    <n v="11013.7808"/>
    <x v="2"/>
    <s v="2100"/>
    <s v="000"/>
    <x v="0"/>
    <x v="2"/>
  </r>
  <r>
    <d v="2013-10-06T00:00:00"/>
    <s v="018-2210-000"/>
    <s v="Liquor Sales"/>
    <n v="1144.9502"/>
    <n v="0"/>
    <s v="Daily Sales Import"/>
    <n v="-1144.9502"/>
    <n v="1144.9502"/>
    <x v="2"/>
    <s v="2210"/>
    <s v="000"/>
    <x v="0"/>
    <x v="2"/>
  </r>
  <r>
    <d v="2013-10-06T00:00:00"/>
    <s v="018-2220-000"/>
    <s v="Beer Sales"/>
    <n v="231.38080000000002"/>
    <n v="0"/>
    <s v="Daily Sales Import"/>
    <n v="-231.38080000000002"/>
    <n v="231.38080000000002"/>
    <x v="2"/>
    <s v="2220"/>
    <s v="000"/>
    <x v="0"/>
    <x v="2"/>
  </r>
  <r>
    <d v="2013-10-06T00:00:00"/>
    <s v="018-2230-000"/>
    <s v="Wine Sales"/>
    <n v="79.600499999999997"/>
    <n v="0"/>
    <s v="Daily Sales Import"/>
    <n v="-79.600499999999997"/>
    <n v="79.600499999999997"/>
    <x v="2"/>
    <s v="2230"/>
    <s v="000"/>
    <x v="0"/>
    <x v="2"/>
  </r>
  <r>
    <d v="2013-09-30T00:00:00"/>
    <s v="019-2100-000"/>
    <s v="Food Sales"/>
    <n v="2696.5122999999999"/>
    <n v="0"/>
    <s v="Daily Sales Import"/>
    <n v="-2696.5122999999999"/>
    <n v="2696.5122999999999"/>
    <x v="3"/>
    <s v="2100"/>
    <s v="000"/>
    <x v="11"/>
    <x v="2"/>
  </r>
  <r>
    <d v="2013-09-30T00:00:00"/>
    <s v="019-2210-000"/>
    <s v="Liquor Sales"/>
    <n v="515.26859999999999"/>
    <n v="0"/>
    <s v="Daily Sales Import"/>
    <n v="-515.26859999999999"/>
    <n v="515.26859999999999"/>
    <x v="3"/>
    <s v="2210"/>
    <s v="000"/>
    <x v="11"/>
    <x v="2"/>
  </r>
  <r>
    <d v="2013-09-30T00:00:00"/>
    <s v="019-2220-000"/>
    <s v="Beer Sales"/>
    <n v="144.01240000000001"/>
    <n v="0"/>
    <s v="Daily Sales Import"/>
    <n v="-144.01240000000001"/>
    <n v="144.01240000000001"/>
    <x v="3"/>
    <s v="2220"/>
    <s v="000"/>
    <x v="11"/>
    <x v="2"/>
  </r>
  <r>
    <d v="2013-09-30T00:00:00"/>
    <s v="019-2230-000"/>
    <s v="Wine Sales"/>
    <n v="44.8536"/>
    <n v="0"/>
    <s v="Daily Sales Import"/>
    <n v="-44.8536"/>
    <n v="44.8536"/>
    <x v="3"/>
    <s v="2230"/>
    <s v="000"/>
    <x v="11"/>
    <x v="2"/>
  </r>
  <r>
    <d v="2013-10-01T00:00:00"/>
    <s v="019-2100-000"/>
    <s v="Food Sales"/>
    <n v="3844.0527000000006"/>
    <n v="0"/>
    <s v="Daily Sales Import"/>
    <n v="-3844.0527000000006"/>
    <n v="3844.0527000000006"/>
    <x v="3"/>
    <s v="2100"/>
    <s v="000"/>
    <x v="0"/>
    <x v="2"/>
  </r>
  <r>
    <d v="2013-10-01T00:00:00"/>
    <s v="019-2210-000"/>
    <s v="Liquor Sales"/>
    <n v="576"/>
    <n v="0"/>
    <s v="Daily Sales Import"/>
    <n v="-576"/>
    <n v="576"/>
    <x v="3"/>
    <s v="2210"/>
    <s v="000"/>
    <x v="0"/>
    <x v="2"/>
  </r>
  <r>
    <d v="2013-10-01T00:00:00"/>
    <s v="019-2220-000"/>
    <s v="Beer Sales"/>
    <n v="224.24960000000002"/>
    <n v="0"/>
    <s v="Daily Sales Import"/>
    <n v="-224.24960000000002"/>
    <n v="224.24960000000002"/>
    <x v="3"/>
    <s v="2220"/>
    <s v="000"/>
    <x v="0"/>
    <x v="2"/>
  </r>
  <r>
    <d v="2013-10-01T00:00:00"/>
    <s v="019-2230-000"/>
    <s v="Wine Sales"/>
    <n v="50.0822"/>
    <n v="0"/>
    <s v="Daily Sales Import"/>
    <n v="-50.0822"/>
    <n v="50.0822"/>
    <x v="3"/>
    <s v="2230"/>
    <s v="000"/>
    <x v="0"/>
    <x v="2"/>
  </r>
  <r>
    <d v="2013-10-02T00:00:00"/>
    <s v="019-2100-000"/>
    <s v="Food Sales"/>
    <n v="3092.0061000000001"/>
    <n v="0"/>
    <s v="Daily Sales Import"/>
    <n v="-3092.0061000000001"/>
    <n v="3092.0061000000001"/>
    <x v="3"/>
    <s v="2100"/>
    <s v="000"/>
    <x v="0"/>
    <x v="2"/>
  </r>
  <r>
    <d v="2013-10-02T00:00:00"/>
    <s v="019-2210-000"/>
    <s v="Liquor Sales"/>
    <n v="673.98"/>
    <n v="0"/>
    <s v="Daily Sales Import"/>
    <n v="-673.98"/>
    <n v="673.98"/>
    <x v="3"/>
    <s v="2210"/>
    <s v="000"/>
    <x v="0"/>
    <x v="2"/>
  </r>
  <r>
    <d v="2013-10-02T00:00:00"/>
    <s v="019-2220-000"/>
    <s v="Beer Sales"/>
    <n v="245.12849999999997"/>
    <n v="0"/>
    <s v="Daily Sales Import"/>
    <n v="-245.12849999999997"/>
    <n v="245.12849999999997"/>
    <x v="3"/>
    <s v="2220"/>
    <s v="000"/>
    <x v="0"/>
    <x v="2"/>
  </r>
  <r>
    <d v="2013-10-02T00:00:00"/>
    <s v="019-2230-000"/>
    <s v="Wine Sales"/>
    <n v="35.196800000000003"/>
    <n v="0"/>
    <s v="Daily Sales Import"/>
    <n v="-35.196800000000003"/>
    <n v="35.196800000000003"/>
    <x v="3"/>
    <s v="2230"/>
    <s v="000"/>
    <x v="0"/>
    <x v="2"/>
  </r>
  <r>
    <d v="2013-10-03T00:00:00"/>
    <s v="019-2100-000"/>
    <s v="Food Sales"/>
    <n v="4742.098"/>
    <n v="0"/>
    <s v="Daily Sales Import"/>
    <n v="-4742.098"/>
    <n v="4742.098"/>
    <x v="3"/>
    <s v="2100"/>
    <s v="000"/>
    <x v="0"/>
    <x v="2"/>
  </r>
  <r>
    <d v="2013-10-03T00:00:00"/>
    <s v="019-2210-000"/>
    <s v="Liquor Sales"/>
    <n v="1378.1280000000002"/>
    <n v="0"/>
    <s v="Daily Sales Import"/>
    <n v="-1378.1280000000002"/>
    <n v="1378.1280000000002"/>
    <x v="3"/>
    <s v="2210"/>
    <s v="000"/>
    <x v="0"/>
    <x v="2"/>
  </r>
  <r>
    <d v="2013-10-03T00:00:00"/>
    <s v="019-2220-000"/>
    <s v="Beer Sales"/>
    <n v="336.42"/>
    <n v="0"/>
    <s v="Daily Sales Import"/>
    <n v="-336.42"/>
    <n v="336.42"/>
    <x v="3"/>
    <s v="2220"/>
    <s v="000"/>
    <x v="0"/>
    <x v="2"/>
  </r>
  <r>
    <d v="2013-10-03T00:00:00"/>
    <s v="019-2230-000"/>
    <s v="Wine Sales"/>
    <n v="105.5432"/>
    <n v="0"/>
    <s v="Daily Sales Import"/>
    <n v="-105.5432"/>
    <n v="105.5432"/>
    <x v="3"/>
    <s v="2230"/>
    <s v="000"/>
    <x v="0"/>
    <x v="2"/>
  </r>
  <r>
    <d v="2013-10-04T00:00:00"/>
    <s v="019-2100-000"/>
    <s v="Food Sales"/>
    <n v="3870.2785000000003"/>
    <n v="0"/>
    <s v="Daily Sales Import"/>
    <n v="-3870.2785000000003"/>
    <n v="3870.2785000000003"/>
    <x v="3"/>
    <s v="2100"/>
    <s v="000"/>
    <x v="0"/>
    <x v="2"/>
  </r>
  <r>
    <d v="2013-10-04T00:00:00"/>
    <s v="019-2210-000"/>
    <s v="Liquor Sales"/>
    <n v="2178.1929"/>
    <n v="0"/>
    <s v="Daily Sales Import"/>
    <n v="-2178.1929"/>
    <n v="2178.1929"/>
    <x v="3"/>
    <s v="2210"/>
    <s v="000"/>
    <x v="0"/>
    <x v="2"/>
  </r>
  <r>
    <d v="2013-10-04T00:00:00"/>
    <s v="019-2220-000"/>
    <s v="Beer Sales"/>
    <n v="442.03320000000002"/>
    <n v="0"/>
    <s v="Daily Sales Import"/>
    <n v="-442.03320000000002"/>
    <n v="442.03320000000002"/>
    <x v="3"/>
    <s v="2220"/>
    <s v="000"/>
    <x v="0"/>
    <x v="2"/>
  </r>
  <r>
    <d v="2013-10-04T00:00:00"/>
    <s v="019-2230-000"/>
    <s v="Wine Sales"/>
    <n v="29.07"/>
    <n v="0"/>
    <s v="Daily Sales Import"/>
    <n v="-29.07"/>
    <n v="29.07"/>
    <x v="3"/>
    <s v="2230"/>
    <s v="000"/>
    <x v="0"/>
    <x v="2"/>
  </r>
  <r>
    <d v="2013-10-05T00:00:00"/>
    <s v="019-2100-000"/>
    <s v="Food Sales"/>
    <n v="4859.8281999999999"/>
    <n v="0"/>
    <s v="Daily Sales Import"/>
    <n v="-4859.8281999999999"/>
    <n v="4859.8281999999999"/>
    <x v="3"/>
    <s v="2100"/>
    <s v="000"/>
    <x v="0"/>
    <x v="2"/>
  </r>
  <r>
    <d v="2013-10-05T00:00:00"/>
    <s v="019-2210-000"/>
    <s v="Liquor Sales"/>
    <n v="1497.5940000000001"/>
    <n v="0"/>
    <s v="Daily Sales Import"/>
    <n v="-1497.5940000000001"/>
    <n v="1497.5940000000001"/>
    <x v="3"/>
    <s v="2210"/>
    <s v="000"/>
    <x v="0"/>
    <x v="2"/>
  </r>
  <r>
    <d v="2013-10-05T00:00:00"/>
    <s v="019-2220-000"/>
    <s v="Beer Sales"/>
    <n v="375.79240000000004"/>
    <n v="0"/>
    <s v="Daily Sales Import"/>
    <n v="-375.79240000000004"/>
    <n v="375.79240000000004"/>
    <x v="3"/>
    <s v="2220"/>
    <s v="000"/>
    <x v="0"/>
    <x v="2"/>
  </r>
  <r>
    <d v="2013-10-05T00:00:00"/>
    <s v="019-2230-000"/>
    <s v="Wine Sales"/>
    <n v="71.042400000000001"/>
    <n v="0"/>
    <s v="Daily Sales Import"/>
    <n v="-71.042400000000001"/>
    <n v="71.042400000000001"/>
    <x v="3"/>
    <s v="2230"/>
    <s v="000"/>
    <x v="0"/>
    <x v="2"/>
  </r>
  <r>
    <d v="2013-10-06T00:00:00"/>
    <s v="019-2100-000"/>
    <s v="Food Sales"/>
    <n v="3871.4027999999998"/>
    <n v="0"/>
    <s v="Daily Sales Import"/>
    <n v="-3871.4027999999998"/>
    <n v="3871.4027999999998"/>
    <x v="3"/>
    <s v="2100"/>
    <s v="000"/>
    <x v="0"/>
    <x v="2"/>
  </r>
  <r>
    <d v="2013-10-06T00:00:00"/>
    <s v="019-2210-000"/>
    <s v="Liquor Sales"/>
    <n v="1197.114"/>
    <n v="0"/>
    <s v="Daily Sales Import"/>
    <n v="-1197.114"/>
    <n v="1197.114"/>
    <x v="3"/>
    <s v="2210"/>
    <s v="000"/>
    <x v="0"/>
    <x v="2"/>
  </r>
  <r>
    <d v="2013-10-06T00:00:00"/>
    <s v="019-2220-000"/>
    <s v="Beer Sales"/>
    <n v="300.31559999999996"/>
    <n v="0"/>
    <s v="Daily Sales Import"/>
    <n v="-300.31559999999996"/>
    <n v="300.31559999999996"/>
    <x v="3"/>
    <s v="2220"/>
    <s v="000"/>
    <x v="0"/>
    <x v="2"/>
  </r>
  <r>
    <d v="2013-10-06T00:00:00"/>
    <s v="019-2230-000"/>
    <s v="Wine Sales"/>
    <n v="165.7748"/>
    <n v="0"/>
    <s v="Daily Sales Import"/>
    <n v="-165.7748"/>
    <n v="165.7748"/>
    <x v="3"/>
    <s v="2230"/>
    <s v="000"/>
    <x v="0"/>
    <x v="2"/>
  </r>
  <r>
    <d v="2013-10-07T00:00:00"/>
    <s v="016-2100-000"/>
    <s v="Food Sales"/>
    <n v="2621.5020000000004"/>
    <n v="0"/>
    <s v="Daily Sales Import"/>
    <n v="-2621.5020000000004"/>
    <n v="2621.5020000000004"/>
    <x v="0"/>
    <s v="2100"/>
    <s v="000"/>
    <x v="0"/>
    <x v="2"/>
  </r>
  <r>
    <d v="2013-10-07T00:00:00"/>
    <s v="016-2210-000"/>
    <s v="Liquor Sales"/>
    <n v="292.2808"/>
    <n v="0"/>
    <s v="Daily Sales Import"/>
    <n v="-292.2808"/>
    <n v="292.2808"/>
    <x v="0"/>
    <s v="2210"/>
    <s v="000"/>
    <x v="0"/>
    <x v="2"/>
  </r>
  <r>
    <d v="2013-10-07T00:00:00"/>
    <s v="016-2220-000"/>
    <s v="Beer Sales"/>
    <n v="71.210999999999999"/>
    <n v="0"/>
    <s v="Daily Sales Import"/>
    <n v="-71.210999999999999"/>
    <n v="71.210999999999999"/>
    <x v="0"/>
    <s v="2220"/>
    <s v="000"/>
    <x v="0"/>
    <x v="2"/>
  </r>
  <r>
    <d v="2013-10-07T00:00:00"/>
    <s v="016-2230-000"/>
    <s v="Wine Sales"/>
    <n v="49.632699999999993"/>
    <n v="0"/>
    <s v="Daily Sales Import"/>
    <n v="-49.632699999999993"/>
    <n v="49.632699999999993"/>
    <x v="0"/>
    <s v="2230"/>
    <s v="000"/>
    <x v="0"/>
    <x v="2"/>
  </r>
  <r>
    <d v="2013-10-08T00:00:00"/>
    <s v="016-2100-000"/>
    <s v="Food Sales"/>
    <n v="5003.2017999999989"/>
    <n v="0"/>
    <s v="Daily Sales Import"/>
    <n v="-5003.2017999999989"/>
    <n v="5003.2017999999989"/>
    <x v="0"/>
    <s v="2100"/>
    <s v="000"/>
    <x v="0"/>
    <x v="2"/>
  </r>
  <r>
    <d v="2013-10-08T00:00:00"/>
    <s v="016-2210-000"/>
    <s v="Liquor Sales"/>
    <n v="2121.5532000000003"/>
    <n v="0"/>
    <s v="Daily Sales Import"/>
    <n v="-2121.5532000000003"/>
    <n v="2121.5532000000003"/>
    <x v="0"/>
    <s v="2210"/>
    <s v="000"/>
    <x v="0"/>
    <x v="2"/>
  </r>
  <r>
    <d v="2013-10-08T00:00:00"/>
    <s v="016-2220-000"/>
    <s v="Beer Sales"/>
    <n v="1005.7764000000001"/>
    <n v="0"/>
    <s v="Daily Sales Import"/>
    <n v="-1005.7764000000001"/>
    <n v="1005.7764000000001"/>
    <x v="0"/>
    <s v="2220"/>
    <s v="000"/>
    <x v="0"/>
    <x v="2"/>
  </r>
  <r>
    <d v="2013-10-08T00:00:00"/>
    <s v="016-2230-000"/>
    <s v="Wine Sales"/>
    <n v="101.4481"/>
    <n v="0"/>
    <s v="Daily Sales Import"/>
    <n v="-101.4481"/>
    <n v="101.4481"/>
    <x v="0"/>
    <s v="2230"/>
    <s v="000"/>
    <x v="0"/>
    <x v="2"/>
  </r>
  <r>
    <d v="2013-10-09T00:00:00"/>
    <s v="016-2100-000"/>
    <s v="Food Sales"/>
    <n v="2558.9180999999999"/>
    <n v="0"/>
    <s v="Daily Sales Import"/>
    <n v="-2558.9180999999999"/>
    <n v="2558.9180999999999"/>
    <x v="0"/>
    <s v="2100"/>
    <s v="000"/>
    <x v="0"/>
    <x v="2"/>
  </r>
  <r>
    <d v="2013-10-09T00:00:00"/>
    <s v="016-2210-000"/>
    <s v="Liquor Sales"/>
    <n v="579.86760000000004"/>
    <n v="0"/>
    <s v="Daily Sales Import"/>
    <n v="-579.86760000000004"/>
    <n v="579.86760000000004"/>
    <x v="0"/>
    <s v="2210"/>
    <s v="000"/>
    <x v="0"/>
    <x v="2"/>
  </r>
  <r>
    <d v="2013-10-09T00:00:00"/>
    <s v="016-2220-000"/>
    <s v="Beer Sales"/>
    <n v="55.859999999999992"/>
    <n v="0"/>
    <s v="Daily Sales Import"/>
    <n v="-55.859999999999992"/>
    <n v="55.859999999999992"/>
    <x v="0"/>
    <s v="2220"/>
    <s v="000"/>
    <x v="0"/>
    <x v="2"/>
  </r>
  <r>
    <d v="2013-10-09T00:00:00"/>
    <s v="016-2230-000"/>
    <s v="Wine Sales"/>
    <n v="105.5013"/>
    <n v="0"/>
    <s v="Daily Sales Import"/>
    <n v="-105.5013"/>
    <n v="105.5013"/>
    <x v="0"/>
    <s v="2230"/>
    <s v="000"/>
    <x v="0"/>
    <x v="2"/>
  </r>
  <r>
    <d v="2013-10-10T00:00:00"/>
    <s v="016-2100-000"/>
    <s v="Food Sales"/>
    <n v="2709.1416000000004"/>
    <n v="0"/>
    <s v="Daily Sales Import"/>
    <n v="-2709.1416000000004"/>
    <n v="2709.1416000000004"/>
    <x v="0"/>
    <s v="2100"/>
    <s v="000"/>
    <x v="0"/>
    <x v="2"/>
  </r>
  <r>
    <d v="2013-10-10T00:00:00"/>
    <s v="016-2210-000"/>
    <s v="Liquor Sales"/>
    <n v="684.62250000000006"/>
    <n v="0"/>
    <s v="Daily Sales Import"/>
    <n v="-684.62250000000006"/>
    <n v="684.62250000000006"/>
    <x v="0"/>
    <s v="2210"/>
    <s v="000"/>
    <x v="0"/>
    <x v="2"/>
  </r>
  <r>
    <d v="2013-10-10T00:00:00"/>
    <s v="016-2220-000"/>
    <s v="Beer Sales"/>
    <n v="132.5915"/>
    <n v="0"/>
    <s v="Daily Sales Import"/>
    <n v="-132.5915"/>
    <n v="132.5915"/>
    <x v="0"/>
    <s v="2220"/>
    <s v="000"/>
    <x v="0"/>
    <x v="2"/>
  </r>
  <r>
    <d v="2013-10-10T00:00:00"/>
    <s v="016-2230-000"/>
    <s v="Wine Sales"/>
    <n v="34.8613"/>
    <n v="0"/>
    <s v="Daily Sales Import"/>
    <n v="-34.8613"/>
    <n v="34.8613"/>
    <x v="0"/>
    <s v="2230"/>
    <s v="000"/>
    <x v="0"/>
    <x v="2"/>
  </r>
  <r>
    <d v="2013-10-11T00:00:00"/>
    <s v="016-2100-000"/>
    <s v="Food Sales"/>
    <n v="4857.2370000000001"/>
    <n v="0"/>
    <s v="Daily Sales Import"/>
    <n v="-4857.2370000000001"/>
    <n v="4857.2370000000001"/>
    <x v="0"/>
    <s v="2100"/>
    <s v="000"/>
    <x v="0"/>
    <x v="2"/>
  </r>
  <r>
    <d v="2013-10-11T00:00:00"/>
    <s v="016-2210-000"/>
    <s v="Liquor Sales"/>
    <n v="1962.0744000000002"/>
    <n v="0"/>
    <s v="Daily Sales Import"/>
    <n v="-1962.0744000000002"/>
    <n v="1962.0744000000002"/>
    <x v="0"/>
    <s v="2210"/>
    <s v="000"/>
    <x v="0"/>
    <x v="2"/>
  </r>
  <r>
    <d v="2013-10-11T00:00:00"/>
    <s v="016-2220-000"/>
    <s v="Beer Sales"/>
    <n v="306.01260000000002"/>
    <n v="0"/>
    <s v="Daily Sales Import"/>
    <n v="-306.01260000000002"/>
    <n v="306.01260000000002"/>
    <x v="0"/>
    <s v="2220"/>
    <s v="000"/>
    <x v="0"/>
    <x v="2"/>
  </r>
  <r>
    <d v="2013-10-11T00:00:00"/>
    <s v="016-2230-000"/>
    <s v="Wine Sales"/>
    <n v="74.040000000000006"/>
    <n v="0"/>
    <s v="Daily Sales Import"/>
    <n v="-74.040000000000006"/>
    <n v="74.040000000000006"/>
    <x v="0"/>
    <s v="2230"/>
    <s v="000"/>
    <x v="0"/>
    <x v="2"/>
  </r>
  <r>
    <d v="2013-10-12T00:00:00"/>
    <s v="016-2100-000"/>
    <s v="Food Sales"/>
    <n v="5179.7341999999999"/>
    <n v="0"/>
    <s v="Daily Sales Import"/>
    <n v="-5179.7341999999999"/>
    <n v="5179.7341999999999"/>
    <x v="0"/>
    <s v="2100"/>
    <s v="000"/>
    <x v="0"/>
    <x v="2"/>
  </r>
  <r>
    <d v="2013-10-12T00:00:00"/>
    <s v="016-2210-000"/>
    <s v="Liquor Sales"/>
    <n v="1870.6505999999999"/>
    <n v="0"/>
    <s v="Daily Sales Import"/>
    <n v="-1870.6505999999999"/>
    <n v="1870.6505999999999"/>
    <x v="0"/>
    <s v="2210"/>
    <s v="000"/>
    <x v="0"/>
    <x v="2"/>
  </r>
  <r>
    <d v="2013-10-12T00:00:00"/>
    <s v="016-2220-000"/>
    <s v="Beer Sales"/>
    <n v="426.38549999999998"/>
    <n v="0"/>
    <s v="Daily Sales Import"/>
    <n v="-426.38549999999998"/>
    <n v="426.38549999999998"/>
    <x v="0"/>
    <s v="2220"/>
    <s v="000"/>
    <x v="0"/>
    <x v="2"/>
  </r>
  <r>
    <d v="2013-10-12T00:00:00"/>
    <s v="016-2230-000"/>
    <s v="Wine Sales"/>
    <n v="158.9742"/>
    <n v="0"/>
    <s v="Daily Sales Import"/>
    <n v="-158.9742"/>
    <n v="158.9742"/>
    <x v="0"/>
    <s v="2230"/>
    <s v="000"/>
    <x v="0"/>
    <x v="2"/>
  </r>
  <r>
    <d v="2013-10-13T00:00:00"/>
    <s v="016-2100-000"/>
    <s v="Food Sales"/>
    <n v="3908.1251999999995"/>
    <n v="0"/>
    <s v="Daily Sales Import"/>
    <n v="-3908.1251999999995"/>
    <n v="3908.1251999999995"/>
    <x v="0"/>
    <s v="2100"/>
    <s v="000"/>
    <x v="0"/>
    <x v="2"/>
  </r>
  <r>
    <d v="2013-10-13T00:00:00"/>
    <s v="016-2210-000"/>
    <s v="Liquor Sales"/>
    <n v="1099.1781000000001"/>
    <n v="0"/>
    <s v="Daily Sales Import"/>
    <n v="-1099.1781000000001"/>
    <n v="1099.1781000000001"/>
    <x v="0"/>
    <s v="2210"/>
    <s v="000"/>
    <x v="0"/>
    <x v="2"/>
  </r>
  <r>
    <d v="2013-10-13T00:00:00"/>
    <s v="016-2220-000"/>
    <s v="Beer Sales"/>
    <n v="261.54480000000001"/>
    <n v="0"/>
    <s v="Daily Sales Import"/>
    <n v="-261.54480000000001"/>
    <n v="261.54480000000001"/>
    <x v="0"/>
    <s v="2220"/>
    <s v="000"/>
    <x v="0"/>
    <x v="2"/>
  </r>
  <r>
    <d v="2013-10-13T00:00:00"/>
    <s v="016-2230-000"/>
    <s v="Wine Sales"/>
    <n v="76.402799999999999"/>
    <n v="0"/>
    <s v="Daily Sales Import"/>
    <n v="-76.402799999999999"/>
    <n v="76.402799999999999"/>
    <x v="0"/>
    <s v="2230"/>
    <s v="000"/>
    <x v="0"/>
    <x v="2"/>
  </r>
  <r>
    <d v="2013-10-07T00:00:00"/>
    <s v="017-2100-000"/>
    <s v="Food Sales"/>
    <n v="4802.4900000000007"/>
    <n v="0"/>
    <s v="Daily Sales Import"/>
    <n v="-4802.4900000000007"/>
    <n v="4802.4900000000007"/>
    <x v="1"/>
    <s v="2100"/>
    <s v="000"/>
    <x v="0"/>
    <x v="2"/>
  </r>
  <r>
    <d v="2013-10-07T00:00:00"/>
    <s v="017-2210-000"/>
    <s v="Liquor Sales"/>
    <n v="1116.2853000000002"/>
    <n v="0"/>
    <s v="Daily Sales Import"/>
    <n v="-1116.2853000000002"/>
    <n v="1116.2853000000002"/>
    <x v="1"/>
    <s v="2210"/>
    <s v="000"/>
    <x v="0"/>
    <x v="2"/>
  </r>
  <r>
    <d v="2013-10-07T00:00:00"/>
    <s v="017-2220-000"/>
    <s v="Beer Sales"/>
    <n v="221.18680000000001"/>
    <n v="0"/>
    <s v="Daily Sales Import"/>
    <n v="-221.18680000000001"/>
    <n v="221.18680000000001"/>
    <x v="1"/>
    <s v="2220"/>
    <s v="000"/>
    <x v="0"/>
    <x v="2"/>
  </r>
  <r>
    <d v="2013-10-07T00:00:00"/>
    <s v="017-2230-000"/>
    <s v="Wine Sales"/>
    <n v="72.992599999999996"/>
    <n v="0"/>
    <s v="Daily Sales Import"/>
    <n v="-72.992599999999996"/>
    <n v="72.992599999999996"/>
    <x v="1"/>
    <s v="2230"/>
    <s v="000"/>
    <x v="0"/>
    <x v="2"/>
  </r>
  <r>
    <d v="2013-10-08T00:00:00"/>
    <s v="017-2100-000"/>
    <s v="Food Sales"/>
    <n v="3552.6400000000003"/>
    <n v="0"/>
    <s v="Daily Sales Import"/>
    <n v="-3552.6400000000003"/>
    <n v="3552.6400000000003"/>
    <x v="1"/>
    <s v="2100"/>
    <s v="000"/>
    <x v="0"/>
    <x v="2"/>
  </r>
  <r>
    <d v="2013-10-08T00:00:00"/>
    <s v="017-2210-000"/>
    <s v="Liquor Sales"/>
    <n v="1206.4176"/>
    <n v="0"/>
    <s v="Daily Sales Import"/>
    <n v="-1206.4176"/>
    <n v="1206.4176"/>
    <x v="1"/>
    <s v="2210"/>
    <s v="000"/>
    <x v="0"/>
    <x v="2"/>
  </r>
  <r>
    <d v="2013-10-08T00:00:00"/>
    <s v="017-2220-000"/>
    <s v="Beer Sales"/>
    <n v="395.93189999999998"/>
    <n v="0"/>
    <s v="Daily Sales Import"/>
    <n v="-395.93189999999998"/>
    <n v="395.93189999999998"/>
    <x v="1"/>
    <s v="2220"/>
    <s v="000"/>
    <x v="0"/>
    <x v="2"/>
  </r>
  <r>
    <d v="2013-10-08T00:00:00"/>
    <s v="017-2230-000"/>
    <s v="Wine Sales"/>
    <n v="91.424700000000016"/>
    <n v="0"/>
    <s v="Daily Sales Import"/>
    <n v="-91.424700000000016"/>
    <n v="91.424700000000016"/>
    <x v="1"/>
    <s v="2230"/>
    <s v="000"/>
    <x v="0"/>
    <x v="2"/>
  </r>
  <r>
    <d v="2013-10-09T00:00:00"/>
    <s v="017-2100-000"/>
    <s v="Food Sales"/>
    <n v="5137.1334000000006"/>
    <n v="0"/>
    <s v="Daily Sales Import"/>
    <n v="-5137.1334000000006"/>
    <n v="5137.1334000000006"/>
    <x v="1"/>
    <s v="2100"/>
    <s v="000"/>
    <x v="0"/>
    <x v="2"/>
  </r>
  <r>
    <d v="2013-10-09T00:00:00"/>
    <s v="017-2210-000"/>
    <s v="Liquor Sales"/>
    <n v="1530.2885000000001"/>
    <n v="0"/>
    <s v="Daily Sales Import"/>
    <n v="-1530.2885000000001"/>
    <n v="1530.2885000000001"/>
    <x v="1"/>
    <s v="2210"/>
    <s v="000"/>
    <x v="0"/>
    <x v="2"/>
  </r>
  <r>
    <d v="2013-10-09T00:00:00"/>
    <s v="017-2220-000"/>
    <s v="Beer Sales"/>
    <n v="847.78149999999994"/>
    <n v="0"/>
    <s v="Daily Sales Import"/>
    <n v="-847.78149999999994"/>
    <n v="847.78149999999994"/>
    <x v="1"/>
    <s v="2220"/>
    <s v="000"/>
    <x v="0"/>
    <x v="2"/>
  </r>
  <r>
    <d v="2013-10-09T00:00:00"/>
    <s v="017-2230-000"/>
    <s v="Wine Sales"/>
    <n v="92.646600000000007"/>
    <n v="0"/>
    <s v="Daily Sales Import"/>
    <n v="-92.646600000000007"/>
    <n v="92.646600000000007"/>
    <x v="1"/>
    <s v="2230"/>
    <s v="000"/>
    <x v="0"/>
    <x v="2"/>
  </r>
  <r>
    <d v="2013-10-10T00:00:00"/>
    <s v="017-2100-000"/>
    <s v="Food Sales"/>
    <n v="5890.8477000000003"/>
    <n v="0"/>
    <s v="Daily Sales Import"/>
    <n v="-5890.8477000000003"/>
    <n v="5890.8477000000003"/>
    <x v="1"/>
    <s v="2100"/>
    <s v="000"/>
    <x v="0"/>
    <x v="2"/>
  </r>
  <r>
    <d v="2013-10-10T00:00:00"/>
    <s v="017-2210-000"/>
    <s v="Liquor Sales"/>
    <n v="2286.6122999999998"/>
    <n v="0"/>
    <s v="Daily Sales Import"/>
    <n v="-2286.6122999999998"/>
    <n v="2286.6122999999998"/>
    <x v="1"/>
    <s v="2210"/>
    <s v="000"/>
    <x v="0"/>
    <x v="2"/>
  </r>
  <r>
    <d v="2013-10-10T00:00:00"/>
    <s v="017-2220-000"/>
    <s v="Beer Sales"/>
    <n v="979.68600000000004"/>
    <n v="0"/>
    <s v="Daily Sales Import"/>
    <n v="-979.68600000000004"/>
    <n v="979.68600000000004"/>
    <x v="1"/>
    <s v="2220"/>
    <s v="000"/>
    <x v="0"/>
    <x v="2"/>
  </r>
  <r>
    <d v="2013-10-10T00:00:00"/>
    <s v="017-2230-000"/>
    <s v="Wine Sales"/>
    <n v="348.16320000000002"/>
    <n v="0"/>
    <s v="Daily Sales Import"/>
    <n v="-348.16320000000002"/>
    <n v="348.16320000000002"/>
    <x v="1"/>
    <s v="2230"/>
    <s v="000"/>
    <x v="0"/>
    <x v="2"/>
  </r>
  <r>
    <d v="2013-10-11T00:00:00"/>
    <s v="017-2100-000"/>
    <s v="Food Sales"/>
    <n v="7950.7172"/>
    <n v="0"/>
    <s v="Daily Sales Import"/>
    <n v="-7950.7172"/>
    <n v="7950.7172"/>
    <x v="1"/>
    <s v="2100"/>
    <s v="000"/>
    <x v="0"/>
    <x v="2"/>
  </r>
  <r>
    <d v="2013-10-11T00:00:00"/>
    <s v="017-2210-000"/>
    <s v="Liquor Sales"/>
    <n v="2358.3002999999999"/>
    <n v="0"/>
    <s v="Daily Sales Import"/>
    <n v="-2358.3002999999999"/>
    <n v="2358.3002999999999"/>
    <x v="1"/>
    <s v="2210"/>
    <s v="000"/>
    <x v="0"/>
    <x v="2"/>
  </r>
  <r>
    <d v="2013-10-11T00:00:00"/>
    <s v="017-2220-000"/>
    <s v="Beer Sales"/>
    <n v="511.14050000000003"/>
    <n v="0"/>
    <s v="Daily Sales Import"/>
    <n v="-511.14050000000003"/>
    <n v="511.14050000000003"/>
    <x v="1"/>
    <s v="2220"/>
    <s v="000"/>
    <x v="0"/>
    <x v="2"/>
  </r>
  <r>
    <d v="2013-10-11T00:00:00"/>
    <s v="017-2230-000"/>
    <s v="Wine Sales"/>
    <n v="104.32639999999999"/>
    <n v="0"/>
    <s v="Daily Sales Import"/>
    <n v="-104.32639999999999"/>
    <n v="104.32639999999999"/>
    <x v="1"/>
    <s v="2230"/>
    <s v="000"/>
    <x v="0"/>
    <x v="2"/>
  </r>
  <r>
    <d v="2013-10-12T00:00:00"/>
    <s v="017-2100-000"/>
    <s v="Food Sales"/>
    <n v="8812.8364999999994"/>
    <n v="0"/>
    <s v="Daily Sales Import"/>
    <n v="-8812.8364999999994"/>
    <n v="8812.8364999999994"/>
    <x v="1"/>
    <s v="2100"/>
    <s v="000"/>
    <x v="0"/>
    <x v="2"/>
  </r>
  <r>
    <d v="2013-10-12T00:00:00"/>
    <s v="017-2210-000"/>
    <s v="Liquor Sales"/>
    <n v="1498.7504000000001"/>
    <n v="0"/>
    <s v="Daily Sales Import"/>
    <n v="-1498.7504000000001"/>
    <n v="1498.7504000000001"/>
    <x v="1"/>
    <s v="2210"/>
    <s v="000"/>
    <x v="0"/>
    <x v="2"/>
  </r>
  <r>
    <d v="2013-10-12T00:00:00"/>
    <s v="017-2220-000"/>
    <s v="Beer Sales"/>
    <n v="276.00720000000001"/>
    <n v="0"/>
    <s v="Daily Sales Import"/>
    <n v="-276.00720000000001"/>
    <n v="276.00720000000001"/>
    <x v="1"/>
    <s v="2220"/>
    <s v="000"/>
    <x v="0"/>
    <x v="2"/>
  </r>
  <r>
    <d v="2013-10-12T00:00:00"/>
    <s v="017-2230-000"/>
    <s v="Wine Sales"/>
    <n v="122.256"/>
    <n v="0"/>
    <s v="Daily Sales Import"/>
    <n v="-122.256"/>
    <n v="122.256"/>
    <x v="1"/>
    <s v="2230"/>
    <s v="000"/>
    <x v="0"/>
    <x v="2"/>
  </r>
  <r>
    <d v="2013-10-13T00:00:00"/>
    <s v="017-2100-000"/>
    <s v="Food Sales"/>
    <n v="4232.5374000000002"/>
    <n v="0"/>
    <s v="Daily Sales Import"/>
    <n v="-4232.5374000000002"/>
    <n v="4232.5374000000002"/>
    <x v="1"/>
    <s v="2100"/>
    <s v="000"/>
    <x v="0"/>
    <x v="2"/>
  </r>
  <r>
    <d v="2013-10-13T00:00:00"/>
    <s v="017-2210-000"/>
    <s v="Liquor Sales"/>
    <n v="1015.3224"/>
    <n v="0"/>
    <s v="Daily Sales Import"/>
    <n v="-1015.3224"/>
    <n v="1015.3224"/>
    <x v="1"/>
    <s v="2210"/>
    <s v="000"/>
    <x v="0"/>
    <x v="2"/>
  </r>
  <r>
    <d v="2013-10-13T00:00:00"/>
    <s v="017-2220-000"/>
    <s v="Beer Sales"/>
    <n v="128.66139999999999"/>
    <n v="0"/>
    <s v="Daily Sales Import"/>
    <n v="-128.66139999999999"/>
    <n v="128.66139999999999"/>
    <x v="1"/>
    <s v="2220"/>
    <s v="000"/>
    <x v="0"/>
    <x v="2"/>
  </r>
  <r>
    <d v="2013-10-13T00:00:00"/>
    <s v="017-2230-000"/>
    <s v="Wine Sales"/>
    <n v="42.0732"/>
    <n v="0"/>
    <s v="Daily Sales Import"/>
    <n v="-42.0732"/>
    <n v="42.0732"/>
    <x v="1"/>
    <s v="2230"/>
    <s v="000"/>
    <x v="0"/>
    <x v="2"/>
  </r>
  <r>
    <d v="2013-10-07T00:00:00"/>
    <s v="018-2100-000"/>
    <s v="Food Sales"/>
    <n v="2730.1522"/>
    <n v="0"/>
    <s v="Daily Sales Import"/>
    <n v="-2730.1522"/>
    <n v="2730.1522"/>
    <x v="2"/>
    <s v="2100"/>
    <s v="000"/>
    <x v="0"/>
    <x v="2"/>
  </r>
  <r>
    <d v="2013-10-07T00:00:00"/>
    <s v="018-2210-000"/>
    <s v="Liquor Sales"/>
    <n v="446.43300000000005"/>
    <n v="0"/>
    <s v="Daily Sales Import"/>
    <n v="-446.43300000000005"/>
    <n v="446.43300000000005"/>
    <x v="2"/>
    <s v="2210"/>
    <s v="000"/>
    <x v="0"/>
    <x v="2"/>
  </r>
  <r>
    <d v="2013-10-07T00:00:00"/>
    <s v="018-2220-000"/>
    <s v="Beer Sales"/>
    <n v="127.4448"/>
    <n v="0"/>
    <s v="Daily Sales Import"/>
    <n v="-127.4448"/>
    <n v="127.4448"/>
    <x v="2"/>
    <s v="2220"/>
    <s v="000"/>
    <x v="0"/>
    <x v="2"/>
  </r>
  <r>
    <d v="2013-10-07T00:00:00"/>
    <s v="018-2230-000"/>
    <s v="Wine Sales"/>
    <n v="40.269600000000004"/>
    <n v="0"/>
    <s v="Daily Sales Import"/>
    <n v="-40.269600000000004"/>
    <n v="40.269600000000004"/>
    <x v="2"/>
    <s v="2230"/>
    <s v="000"/>
    <x v="0"/>
    <x v="2"/>
  </r>
  <r>
    <d v="2013-10-08T00:00:00"/>
    <s v="018-2100-000"/>
    <s v="Food Sales"/>
    <n v="4118.1457"/>
    <n v="0"/>
    <s v="Daily Sales Import"/>
    <n v="-4118.1457"/>
    <n v="4118.1457"/>
    <x v="2"/>
    <s v="2100"/>
    <s v="000"/>
    <x v="0"/>
    <x v="2"/>
  </r>
  <r>
    <d v="2013-10-08T00:00:00"/>
    <s v="018-2210-000"/>
    <s v="Liquor Sales"/>
    <n v="575.96619999999996"/>
    <n v="0"/>
    <s v="Daily Sales Import"/>
    <n v="-575.96619999999996"/>
    <n v="575.96619999999996"/>
    <x v="2"/>
    <s v="2210"/>
    <s v="000"/>
    <x v="0"/>
    <x v="2"/>
  </r>
  <r>
    <d v="2013-10-08T00:00:00"/>
    <s v="018-2220-000"/>
    <s v="Beer Sales"/>
    <n v="152.232"/>
    <n v="0"/>
    <s v="Daily Sales Import"/>
    <n v="-152.232"/>
    <n v="152.232"/>
    <x v="2"/>
    <s v="2220"/>
    <s v="000"/>
    <x v="0"/>
    <x v="2"/>
  </r>
  <r>
    <d v="2013-10-08T00:00:00"/>
    <s v="018-2230-000"/>
    <s v="Wine Sales"/>
    <n v="23.423200000000001"/>
    <n v="0"/>
    <s v="Daily Sales Import"/>
    <n v="-23.423200000000001"/>
    <n v="23.423200000000001"/>
    <x v="2"/>
    <s v="2230"/>
    <s v="000"/>
    <x v="0"/>
    <x v="2"/>
  </r>
  <r>
    <d v="2013-10-09T00:00:00"/>
    <s v="018-2100-000"/>
    <s v="Food Sales"/>
    <n v="4405.3668000000007"/>
    <n v="0"/>
    <s v="Daily Sales Import"/>
    <n v="-4405.3668000000007"/>
    <n v="4405.3668000000007"/>
    <x v="2"/>
    <s v="2100"/>
    <s v="000"/>
    <x v="0"/>
    <x v="2"/>
  </r>
  <r>
    <d v="2013-10-09T00:00:00"/>
    <s v="018-2210-000"/>
    <s v="Liquor Sales"/>
    <n v="846.37799999999993"/>
    <n v="0"/>
    <s v="Daily Sales Import"/>
    <n v="-846.37799999999993"/>
    <n v="846.37799999999993"/>
    <x v="2"/>
    <s v="2210"/>
    <s v="000"/>
    <x v="0"/>
    <x v="2"/>
  </r>
  <r>
    <d v="2013-10-09T00:00:00"/>
    <s v="018-2220-000"/>
    <s v="Beer Sales"/>
    <n v="185.13220000000001"/>
    <n v="0"/>
    <s v="Daily Sales Import"/>
    <n v="-185.13220000000001"/>
    <n v="185.13220000000001"/>
    <x v="2"/>
    <s v="2220"/>
    <s v="000"/>
    <x v="0"/>
    <x v="2"/>
  </r>
  <r>
    <d v="2013-10-09T00:00:00"/>
    <s v="018-2230-000"/>
    <s v="Wine Sales"/>
    <n v="36.810899999999997"/>
    <n v="0"/>
    <s v="Daily Sales Import"/>
    <n v="-36.810899999999997"/>
    <n v="36.810899999999997"/>
    <x v="2"/>
    <s v="2230"/>
    <s v="000"/>
    <x v="0"/>
    <x v="2"/>
  </r>
  <r>
    <d v="2013-10-10T00:00:00"/>
    <s v="018-2100-000"/>
    <s v="Food Sales"/>
    <n v="2701.3139999999999"/>
    <n v="0"/>
    <s v="Daily Sales Import"/>
    <n v="-2701.3139999999999"/>
    <n v="2701.3139999999999"/>
    <x v="2"/>
    <s v="2100"/>
    <s v="000"/>
    <x v="0"/>
    <x v="2"/>
  </r>
  <r>
    <d v="2013-10-10T00:00:00"/>
    <s v="018-2210-000"/>
    <s v="Liquor Sales"/>
    <n v="1037.6279999999999"/>
    <n v="0"/>
    <s v="Daily Sales Import"/>
    <n v="-1037.6279999999999"/>
    <n v="1037.6279999999999"/>
    <x v="2"/>
    <s v="2210"/>
    <s v="000"/>
    <x v="0"/>
    <x v="2"/>
  </r>
  <r>
    <d v="2013-10-10T00:00:00"/>
    <s v="018-2220-000"/>
    <s v="Beer Sales"/>
    <n v="279.2713"/>
    <n v="0"/>
    <s v="Daily Sales Import"/>
    <n v="-279.2713"/>
    <n v="279.2713"/>
    <x v="2"/>
    <s v="2220"/>
    <s v="000"/>
    <x v="0"/>
    <x v="2"/>
  </r>
  <r>
    <d v="2013-10-10T00:00:00"/>
    <s v="018-2230-000"/>
    <s v="Wine Sales"/>
    <n v="7.8637999999999995"/>
    <n v="0"/>
    <s v="Daily Sales Import"/>
    <n v="-7.8637999999999995"/>
    <n v="7.8637999999999995"/>
    <x v="2"/>
    <s v="2230"/>
    <s v="000"/>
    <x v="0"/>
    <x v="2"/>
  </r>
  <r>
    <d v="2013-10-11T00:00:00"/>
    <s v="018-2100-000"/>
    <s v="Food Sales"/>
    <n v="5656.050400000001"/>
    <n v="0"/>
    <s v="Daily Sales Import"/>
    <n v="-5656.050400000001"/>
    <n v="5656.050400000001"/>
    <x v="2"/>
    <s v="2100"/>
    <s v="000"/>
    <x v="0"/>
    <x v="2"/>
  </r>
  <r>
    <d v="2013-10-11T00:00:00"/>
    <s v="018-2210-000"/>
    <s v="Liquor Sales"/>
    <n v="2047.2119999999998"/>
    <n v="0"/>
    <s v="Daily Sales Import"/>
    <n v="-2047.2119999999998"/>
    <n v="2047.2119999999998"/>
    <x v="2"/>
    <s v="2210"/>
    <s v="000"/>
    <x v="0"/>
    <x v="2"/>
  </r>
  <r>
    <d v="2013-10-11T00:00:00"/>
    <s v="018-2220-000"/>
    <s v="Beer Sales"/>
    <n v="562.88400000000001"/>
    <n v="0"/>
    <s v="Daily Sales Import"/>
    <n v="-562.88400000000001"/>
    <n v="562.88400000000001"/>
    <x v="2"/>
    <s v="2220"/>
    <s v="000"/>
    <x v="0"/>
    <x v="2"/>
  </r>
  <r>
    <d v="2013-10-11T00:00:00"/>
    <s v="018-2230-000"/>
    <s v="Wine Sales"/>
    <n v="56.697299999999998"/>
    <n v="0"/>
    <s v="Daily Sales Import"/>
    <n v="-56.697299999999998"/>
    <n v="56.697299999999998"/>
    <x v="2"/>
    <s v="2230"/>
    <s v="000"/>
    <x v="0"/>
    <x v="2"/>
  </r>
  <r>
    <d v="2013-10-12T00:00:00"/>
    <s v="018-2100-000"/>
    <s v="Food Sales"/>
    <n v="11283.1482"/>
    <n v="0"/>
    <s v="Daily Sales Import"/>
    <n v="-11283.1482"/>
    <n v="11283.1482"/>
    <x v="2"/>
    <s v="2100"/>
    <s v="000"/>
    <x v="0"/>
    <x v="2"/>
  </r>
  <r>
    <d v="2013-10-12T00:00:00"/>
    <s v="018-2210-000"/>
    <s v="Liquor Sales"/>
    <n v="3057.0400000000004"/>
    <n v="0"/>
    <s v="Daily Sales Import"/>
    <n v="-3057.0400000000004"/>
    <n v="3057.0400000000004"/>
    <x v="2"/>
    <s v="2210"/>
    <s v="000"/>
    <x v="0"/>
    <x v="2"/>
  </r>
  <r>
    <d v="2013-10-12T00:00:00"/>
    <s v="018-2220-000"/>
    <s v="Beer Sales"/>
    <n v="898.04449999999986"/>
    <n v="0"/>
    <s v="Daily Sales Import"/>
    <n v="-898.04449999999986"/>
    <n v="898.04449999999986"/>
    <x v="2"/>
    <s v="2220"/>
    <s v="000"/>
    <x v="0"/>
    <x v="2"/>
  </r>
  <r>
    <d v="2013-10-12T00:00:00"/>
    <s v="018-2230-000"/>
    <s v="Wine Sales"/>
    <n v="94.00800000000001"/>
    <n v="0"/>
    <s v="Daily Sales Import"/>
    <n v="-94.00800000000001"/>
    <n v="94.00800000000001"/>
    <x v="2"/>
    <s v="2230"/>
    <s v="000"/>
    <x v="0"/>
    <x v="2"/>
  </r>
  <r>
    <d v="2013-10-13T00:00:00"/>
    <s v="018-2100-000"/>
    <s v="Food Sales"/>
    <n v="11511.6932"/>
    <n v="0"/>
    <s v="Daily Sales Import"/>
    <n v="-11511.6932"/>
    <n v="11511.6932"/>
    <x v="2"/>
    <s v="2100"/>
    <s v="000"/>
    <x v="0"/>
    <x v="2"/>
  </r>
  <r>
    <d v="2013-10-13T00:00:00"/>
    <s v="018-2210-000"/>
    <s v="Liquor Sales"/>
    <n v="865.97250000000008"/>
    <n v="0"/>
    <s v="Daily Sales Import"/>
    <n v="-865.97250000000008"/>
    <n v="865.97250000000008"/>
    <x v="2"/>
    <s v="2210"/>
    <s v="000"/>
    <x v="0"/>
    <x v="2"/>
  </r>
  <r>
    <d v="2013-10-13T00:00:00"/>
    <s v="018-2220-000"/>
    <s v="Beer Sales"/>
    <n v="391.79699999999997"/>
    <n v="0"/>
    <s v="Daily Sales Import"/>
    <n v="-391.79699999999997"/>
    <n v="391.79699999999997"/>
    <x v="2"/>
    <s v="2220"/>
    <s v="000"/>
    <x v="0"/>
    <x v="2"/>
  </r>
  <r>
    <d v="2013-10-13T00:00:00"/>
    <s v="018-2230-000"/>
    <s v="Wine Sales"/>
    <n v="40.435200000000002"/>
    <n v="0"/>
    <s v="Daily Sales Import"/>
    <n v="-40.435200000000002"/>
    <n v="40.435200000000002"/>
    <x v="2"/>
    <s v="2230"/>
    <s v="000"/>
    <x v="0"/>
    <x v="2"/>
  </r>
  <r>
    <d v="2013-10-07T00:00:00"/>
    <s v="019-2100-000"/>
    <s v="Food Sales"/>
    <n v="2544.366"/>
    <n v="0"/>
    <s v="Daily Sales Import"/>
    <n v="-2544.366"/>
    <n v="2544.366"/>
    <x v="3"/>
    <s v="2100"/>
    <s v="000"/>
    <x v="0"/>
    <x v="2"/>
  </r>
  <r>
    <d v="2013-10-07T00:00:00"/>
    <s v="019-2210-000"/>
    <s v="Liquor Sales"/>
    <n v="685.64890000000003"/>
    <n v="0"/>
    <s v="Daily Sales Import"/>
    <n v="-685.64890000000003"/>
    <n v="685.64890000000003"/>
    <x v="3"/>
    <s v="2210"/>
    <s v="000"/>
    <x v="0"/>
    <x v="2"/>
  </r>
  <r>
    <d v="2013-10-07T00:00:00"/>
    <s v="019-2220-000"/>
    <s v="Beer Sales"/>
    <n v="155.69449999999998"/>
    <n v="0"/>
    <s v="Daily Sales Import"/>
    <n v="-155.69449999999998"/>
    <n v="155.69449999999998"/>
    <x v="3"/>
    <s v="2220"/>
    <s v="000"/>
    <x v="0"/>
    <x v="2"/>
  </r>
  <r>
    <d v="2013-10-07T00:00:00"/>
    <s v="019-2230-000"/>
    <s v="Wine Sales"/>
    <n v="46.948"/>
    <n v="0"/>
    <s v="Daily Sales Import"/>
    <n v="-46.948"/>
    <n v="46.948"/>
    <x v="3"/>
    <s v="2230"/>
    <s v="000"/>
    <x v="0"/>
    <x v="2"/>
  </r>
  <r>
    <d v="2013-10-08T00:00:00"/>
    <s v="019-2100-000"/>
    <s v="Food Sales"/>
    <n v="3594.8920000000003"/>
    <n v="0"/>
    <s v="Daily Sales Import"/>
    <n v="-3594.8920000000003"/>
    <n v="3594.8920000000003"/>
    <x v="3"/>
    <s v="2100"/>
    <s v="000"/>
    <x v="0"/>
    <x v="2"/>
  </r>
  <r>
    <d v="2013-10-08T00:00:00"/>
    <s v="019-2210-000"/>
    <s v="Liquor Sales"/>
    <n v="1120.3055999999999"/>
    <n v="0"/>
    <s v="Daily Sales Import"/>
    <n v="-1120.3055999999999"/>
    <n v="1120.3055999999999"/>
    <x v="3"/>
    <s v="2210"/>
    <s v="000"/>
    <x v="0"/>
    <x v="2"/>
  </r>
  <r>
    <d v="2013-10-08T00:00:00"/>
    <s v="019-2220-000"/>
    <s v="Beer Sales"/>
    <n v="215.75699999999998"/>
    <n v="0"/>
    <s v="Daily Sales Import"/>
    <n v="-215.75699999999998"/>
    <n v="215.75699999999998"/>
    <x v="3"/>
    <s v="2220"/>
    <s v="000"/>
    <x v="0"/>
    <x v="2"/>
  </r>
  <r>
    <d v="2013-10-08T00:00:00"/>
    <s v="019-2230-000"/>
    <s v="Wine Sales"/>
    <n v="100.6707"/>
    <n v="0"/>
    <s v="Daily Sales Import"/>
    <n v="-100.6707"/>
    <n v="100.6707"/>
    <x v="3"/>
    <s v="2230"/>
    <s v="000"/>
    <x v="0"/>
    <x v="2"/>
  </r>
  <r>
    <d v="2013-10-09T00:00:00"/>
    <s v="019-2100-000"/>
    <s v="Food Sales"/>
    <n v="6191.1"/>
    <n v="0"/>
    <s v="Daily Sales Import"/>
    <n v="-6191.1"/>
    <n v="6191.1"/>
    <x v="3"/>
    <s v="2100"/>
    <s v="000"/>
    <x v="0"/>
    <x v="2"/>
  </r>
  <r>
    <d v="2013-10-09T00:00:00"/>
    <s v="019-2210-000"/>
    <s v="Liquor Sales"/>
    <n v="1202.5416"/>
    <n v="0"/>
    <s v="Daily Sales Import"/>
    <n v="-1202.5416"/>
    <n v="1202.5416"/>
    <x v="3"/>
    <s v="2210"/>
    <s v="000"/>
    <x v="0"/>
    <x v="2"/>
  </r>
  <r>
    <d v="2013-10-09T00:00:00"/>
    <s v="019-2220-000"/>
    <s v="Beer Sales"/>
    <n v="399.9033"/>
    <n v="0"/>
    <s v="Daily Sales Import"/>
    <n v="-399.9033"/>
    <n v="399.9033"/>
    <x v="3"/>
    <s v="2220"/>
    <s v="000"/>
    <x v="0"/>
    <x v="2"/>
  </r>
  <r>
    <d v="2013-10-09T00:00:00"/>
    <s v="019-2230-000"/>
    <s v="Wine Sales"/>
    <n v="32.742000000000004"/>
    <n v="0"/>
    <s v="Daily Sales Import"/>
    <n v="-32.742000000000004"/>
    <n v="32.742000000000004"/>
    <x v="3"/>
    <s v="2230"/>
    <s v="000"/>
    <x v="0"/>
    <x v="2"/>
  </r>
  <r>
    <d v="2013-10-10T00:00:00"/>
    <s v="019-2100-000"/>
    <s v="Food Sales"/>
    <n v="5709.4621999999999"/>
    <n v="0"/>
    <s v="Daily Sales Import"/>
    <n v="-5709.4621999999999"/>
    <n v="5709.4621999999999"/>
    <x v="3"/>
    <s v="2100"/>
    <s v="000"/>
    <x v="0"/>
    <x v="2"/>
  </r>
  <r>
    <d v="2013-10-10T00:00:00"/>
    <s v="019-2210-000"/>
    <s v="Liquor Sales"/>
    <n v="1165.6931999999999"/>
    <n v="0"/>
    <s v="Daily Sales Import"/>
    <n v="-1165.6931999999999"/>
    <n v="1165.6931999999999"/>
    <x v="3"/>
    <s v="2210"/>
    <s v="000"/>
    <x v="0"/>
    <x v="2"/>
  </r>
  <r>
    <d v="2013-10-10T00:00:00"/>
    <s v="019-2220-000"/>
    <s v="Beer Sales"/>
    <n v="456.18540000000007"/>
    <n v="0"/>
    <s v="Daily Sales Import"/>
    <n v="-456.18540000000007"/>
    <n v="456.18540000000007"/>
    <x v="3"/>
    <s v="2220"/>
    <s v="000"/>
    <x v="0"/>
    <x v="2"/>
  </r>
  <r>
    <d v="2013-10-10T00:00:00"/>
    <s v="019-2230-000"/>
    <s v="Wine Sales"/>
    <n v="25.812800000000003"/>
    <n v="0"/>
    <s v="Daily Sales Import"/>
    <n v="-25.812800000000003"/>
    <n v="25.812800000000003"/>
    <x v="3"/>
    <s v="2230"/>
    <s v="000"/>
    <x v="0"/>
    <x v="2"/>
  </r>
  <r>
    <d v="2013-10-11T00:00:00"/>
    <s v="019-2100-000"/>
    <s v="Food Sales"/>
    <n v="5084.5092000000004"/>
    <n v="0"/>
    <s v="Daily Sales Import"/>
    <n v="-5084.5092000000004"/>
    <n v="5084.5092000000004"/>
    <x v="3"/>
    <s v="2100"/>
    <s v="000"/>
    <x v="0"/>
    <x v="2"/>
  </r>
  <r>
    <d v="2013-10-11T00:00:00"/>
    <s v="019-2210-000"/>
    <s v="Liquor Sales"/>
    <n v="1293.9506999999999"/>
    <n v="0"/>
    <s v="Daily Sales Import"/>
    <n v="-1293.9506999999999"/>
    <n v="1293.9506999999999"/>
    <x v="3"/>
    <s v="2210"/>
    <s v="000"/>
    <x v="0"/>
    <x v="2"/>
  </r>
  <r>
    <d v="2013-10-11T00:00:00"/>
    <s v="019-2220-000"/>
    <s v="Beer Sales"/>
    <n v="253.08509999999998"/>
    <n v="0"/>
    <s v="Daily Sales Import"/>
    <n v="-253.08509999999998"/>
    <n v="253.08509999999998"/>
    <x v="3"/>
    <s v="2220"/>
    <s v="000"/>
    <x v="0"/>
    <x v="2"/>
  </r>
  <r>
    <d v="2013-10-11T00:00:00"/>
    <s v="019-2230-000"/>
    <s v="Wine Sales"/>
    <n v="26.054400000000001"/>
    <n v="0"/>
    <s v="Daily Sales Import"/>
    <n v="-26.054400000000001"/>
    <n v="26.054400000000001"/>
    <x v="3"/>
    <s v="2230"/>
    <s v="000"/>
    <x v="0"/>
    <x v="2"/>
  </r>
  <r>
    <d v="2013-10-12T00:00:00"/>
    <s v="019-2100-000"/>
    <s v="Food Sales"/>
    <n v="4983.7773999999999"/>
    <n v="0"/>
    <s v="Daily Sales Import"/>
    <n v="-4983.7773999999999"/>
    <n v="4983.7773999999999"/>
    <x v="3"/>
    <s v="2100"/>
    <s v="000"/>
    <x v="0"/>
    <x v="2"/>
  </r>
  <r>
    <d v="2013-10-12T00:00:00"/>
    <s v="019-2210-000"/>
    <s v="Liquor Sales"/>
    <n v="1886.2613000000001"/>
    <n v="0"/>
    <s v="Daily Sales Import"/>
    <n v="-1886.2613000000001"/>
    <n v="1886.2613000000001"/>
    <x v="3"/>
    <s v="2210"/>
    <s v="000"/>
    <x v="0"/>
    <x v="2"/>
  </r>
  <r>
    <d v="2013-10-12T00:00:00"/>
    <s v="019-2220-000"/>
    <s v="Beer Sales"/>
    <n v="394.00560000000002"/>
    <n v="0"/>
    <s v="Daily Sales Import"/>
    <n v="-394.00560000000002"/>
    <n v="394.00560000000002"/>
    <x v="3"/>
    <s v="2220"/>
    <s v="000"/>
    <x v="0"/>
    <x v="2"/>
  </r>
  <r>
    <d v="2013-10-12T00:00:00"/>
    <s v="019-2230-000"/>
    <s v="Wine Sales"/>
    <n v="39.8523"/>
    <n v="0"/>
    <s v="Daily Sales Import"/>
    <n v="-39.8523"/>
    <n v="39.8523"/>
    <x v="3"/>
    <s v="2230"/>
    <s v="000"/>
    <x v="0"/>
    <x v="2"/>
  </r>
  <r>
    <d v="2013-10-13T00:00:00"/>
    <s v="019-2100-000"/>
    <s v="Food Sales"/>
    <n v="2825.6872000000003"/>
    <n v="0"/>
    <s v="Daily Sales Import"/>
    <n v="-2825.6872000000003"/>
    <n v="2825.6872000000003"/>
    <x v="3"/>
    <s v="2100"/>
    <s v="000"/>
    <x v="0"/>
    <x v="2"/>
  </r>
  <r>
    <d v="2013-10-13T00:00:00"/>
    <s v="019-2210-000"/>
    <s v="Liquor Sales"/>
    <n v="1372.3435999999999"/>
    <n v="0"/>
    <s v="Daily Sales Import"/>
    <n v="-1372.3435999999999"/>
    <n v="1372.3435999999999"/>
    <x v="3"/>
    <s v="2210"/>
    <s v="000"/>
    <x v="0"/>
    <x v="2"/>
  </r>
  <r>
    <d v="2013-10-13T00:00:00"/>
    <s v="019-2220-000"/>
    <s v="Beer Sales"/>
    <n v="343.15320000000003"/>
    <n v="0"/>
    <s v="Daily Sales Import"/>
    <n v="-343.15320000000003"/>
    <n v="343.15320000000003"/>
    <x v="3"/>
    <s v="2220"/>
    <s v="000"/>
    <x v="0"/>
    <x v="2"/>
  </r>
  <r>
    <d v="2013-10-13T00:00:00"/>
    <s v="019-2230-000"/>
    <s v="Wine Sales"/>
    <n v="108.04179999999999"/>
    <n v="0"/>
    <s v="Daily Sales Import"/>
    <n v="-108.04179999999999"/>
    <n v="108.04179999999999"/>
    <x v="3"/>
    <s v="2230"/>
    <s v="000"/>
    <x v="0"/>
    <x v="2"/>
  </r>
  <r>
    <d v="2013-10-07T00:00:00"/>
    <s v="020-2100-000"/>
    <s v="Food Sales"/>
    <n v="11860.965900000001"/>
    <n v="0"/>
    <s v="Daily Sales Import"/>
    <n v="-11860.965900000001"/>
    <n v="11860.965900000001"/>
    <x v="4"/>
    <s v="2100"/>
    <s v="000"/>
    <x v="0"/>
    <x v="2"/>
  </r>
  <r>
    <d v="2013-10-07T00:00:00"/>
    <s v="020-2210-000"/>
    <s v="Liquor Sales"/>
    <n v="5210.1004999999996"/>
    <n v="0"/>
    <s v="Daily Sales Import"/>
    <n v="-5210.1004999999996"/>
    <n v="5210.1004999999996"/>
    <x v="4"/>
    <s v="2210"/>
    <s v="000"/>
    <x v="0"/>
    <x v="2"/>
  </r>
  <r>
    <d v="2013-10-07T00:00:00"/>
    <s v="020-2220-000"/>
    <s v="Beer Sales"/>
    <n v="822.83410000000003"/>
    <n v="0"/>
    <s v="Daily Sales Import"/>
    <n v="-822.83410000000003"/>
    <n v="822.83410000000003"/>
    <x v="4"/>
    <s v="2220"/>
    <s v="000"/>
    <x v="0"/>
    <x v="2"/>
  </r>
  <r>
    <d v="2013-10-07T00:00:00"/>
    <s v="020-2230-000"/>
    <s v="Wine Sales"/>
    <n v="14.701600000000001"/>
    <n v="0"/>
    <s v="Daily Sales Import"/>
    <n v="-14.701600000000001"/>
    <n v="14.701600000000001"/>
    <x v="4"/>
    <s v="2230"/>
    <s v="000"/>
    <x v="0"/>
    <x v="2"/>
  </r>
  <r>
    <d v="2013-10-08T00:00:00"/>
    <s v="020-2100-000"/>
    <s v="Food Sales"/>
    <n v="16497.9192"/>
    <n v="0"/>
    <s v="Daily Sales Import"/>
    <n v="-16497.9192"/>
    <n v="16497.9192"/>
    <x v="4"/>
    <s v="2100"/>
    <s v="000"/>
    <x v="0"/>
    <x v="2"/>
  </r>
  <r>
    <d v="2013-10-08T00:00:00"/>
    <s v="020-2210-000"/>
    <s v="Liquor Sales"/>
    <n v="5904.6815999999999"/>
    <n v="0"/>
    <s v="Daily Sales Import"/>
    <n v="-5904.6815999999999"/>
    <n v="5904.6815999999999"/>
    <x v="4"/>
    <s v="2210"/>
    <s v="000"/>
    <x v="0"/>
    <x v="2"/>
  </r>
  <r>
    <d v="2013-10-08T00:00:00"/>
    <s v="020-2220-000"/>
    <s v="Beer Sales"/>
    <n v="597.95190000000002"/>
    <n v="0"/>
    <s v="Daily Sales Import"/>
    <n v="-597.95190000000002"/>
    <n v="597.95190000000002"/>
    <x v="4"/>
    <s v="2220"/>
    <s v="000"/>
    <x v="0"/>
    <x v="2"/>
  </r>
  <r>
    <d v="2013-10-08T00:00:00"/>
    <s v="020-2230-000"/>
    <s v="Wine Sales"/>
    <n v="150.08659999999998"/>
    <n v="0"/>
    <s v="Daily Sales Import"/>
    <n v="-150.08659999999998"/>
    <n v="150.08659999999998"/>
    <x v="4"/>
    <s v="2230"/>
    <s v="000"/>
    <x v="0"/>
    <x v="2"/>
  </r>
  <r>
    <d v="2013-10-09T00:00:00"/>
    <s v="020-2100-000"/>
    <s v="Food Sales"/>
    <n v="13715.560799999999"/>
    <n v="0"/>
    <s v="Daily Sales Import"/>
    <n v="-13715.560799999999"/>
    <n v="13715.560799999999"/>
    <x v="4"/>
    <s v="2100"/>
    <s v="000"/>
    <x v="0"/>
    <x v="2"/>
  </r>
  <r>
    <d v="2013-10-09T00:00:00"/>
    <s v="020-2210-000"/>
    <s v="Liquor Sales"/>
    <n v="3556.2456000000002"/>
    <n v="0"/>
    <s v="Daily Sales Import"/>
    <n v="-3556.2456000000002"/>
    <n v="3556.2456000000002"/>
    <x v="4"/>
    <s v="2210"/>
    <s v="000"/>
    <x v="0"/>
    <x v="2"/>
  </r>
  <r>
    <d v="2013-10-09T00:00:00"/>
    <s v="020-2220-000"/>
    <s v="Beer Sales"/>
    <n v="789.30400000000009"/>
    <n v="0"/>
    <s v="Daily Sales Import"/>
    <n v="-789.30400000000009"/>
    <n v="789.30400000000009"/>
    <x v="4"/>
    <s v="2220"/>
    <s v="000"/>
    <x v="0"/>
    <x v="2"/>
  </r>
  <r>
    <d v="2013-10-09T00:00:00"/>
    <s v="020-2230-000"/>
    <s v="Wine Sales"/>
    <n v="243.40610000000001"/>
    <n v="0"/>
    <s v="Daily Sales Import"/>
    <n v="-243.40610000000001"/>
    <n v="243.40610000000001"/>
    <x v="4"/>
    <s v="2230"/>
    <s v="000"/>
    <x v="0"/>
    <x v="2"/>
  </r>
  <r>
    <d v="2013-10-10T00:00:00"/>
    <s v="020-2100-000"/>
    <s v="Food Sales"/>
    <n v="17112.032599999999"/>
    <n v="0"/>
    <s v="Daily Sales Import"/>
    <n v="-17112.032599999999"/>
    <n v="17112.032599999999"/>
    <x v="4"/>
    <s v="2100"/>
    <s v="000"/>
    <x v="0"/>
    <x v="2"/>
  </r>
  <r>
    <d v="2013-10-10T00:00:00"/>
    <s v="020-2210-000"/>
    <s v="Liquor Sales"/>
    <n v="4001.3724000000002"/>
    <n v="0"/>
    <s v="Daily Sales Import"/>
    <n v="-4001.3724000000002"/>
    <n v="4001.3724000000002"/>
    <x v="4"/>
    <s v="2210"/>
    <s v="000"/>
    <x v="0"/>
    <x v="2"/>
  </r>
  <r>
    <d v="2013-10-10T00:00:00"/>
    <s v="020-2220-000"/>
    <s v="Beer Sales"/>
    <n v="904.91519999999991"/>
    <n v="0"/>
    <s v="Daily Sales Import"/>
    <n v="-904.91519999999991"/>
    <n v="904.91519999999991"/>
    <x v="4"/>
    <s v="2220"/>
    <s v="000"/>
    <x v="0"/>
    <x v="2"/>
  </r>
  <r>
    <d v="2013-10-10T00:00:00"/>
    <s v="020-2230-000"/>
    <s v="Wine Sales"/>
    <n v="150.63290000000001"/>
    <n v="0"/>
    <s v="Daily Sales Import"/>
    <n v="-150.63290000000001"/>
    <n v="150.63290000000001"/>
    <x v="4"/>
    <s v="2230"/>
    <s v="000"/>
    <x v="0"/>
    <x v="2"/>
  </r>
  <r>
    <d v="2013-10-11T00:00:00"/>
    <s v="020-2100-000"/>
    <s v="Food Sales"/>
    <n v="21792.377700000001"/>
    <n v="0"/>
    <s v="Daily Sales Import"/>
    <n v="-21792.377700000001"/>
    <n v="21792.377700000001"/>
    <x v="4"/>
    <s v="2100"/>
    <s v="000"/>
    <x v="0"/>
    <x v="2"/>
  </r>
  <r>
    <d v="2013-10-11T00:00:00"/>
    <s v="020-2210-000"/>
    <s v="Liquor Sales"/>
    <n v="6031.6266000000005"/>
    <n v="0"/>
    <s v="Daily Sales Import"/>
    <n v="-6031.6266000000005"/>
    <n v="6031.6266000000005"/>
    <x v="4"/>
    <s v="2210"/>
    <s v="000"/>
    <x v="0"/>
    <x v="2"/>
  </r>
  <r>
    <d v="2013-10-11T00:00:00"/>
    <s v="020-2220-000"/>
    <s v="Beer Sales"/>
    <n v="1461.1972000000001"/>
    <n v="0"/>
    <s v="Daily Sales Import"/>
    <n v="-1461.1972000000001"/>
    <n v="1461.1972000000001"/>
    <x v="4"/>
    <s v="2220"/>
    <s v="000"/>
    <x v="0"/>
    <x v="2"/>
  </r>
  <r>
    <d v="2013-10-11T00:00:00"/>
    <s v="020-2230-000"/>
    <s v="Wine Sales"/>
    <n v="171.57759999999999"/>
    <n v="0"/>
    <s v="Daily Sales Import"/>
    <n v="-171.57759999999999"/>
    <n v="171.57759999999999"/>
    <x v="4"/>
    <s v="2230"/>
    <s v="000"/>
    <x v="0"/>
    <x v="2"/>
  </r>
  <r>
    <d v="2013-10-12T00:00:00"/>
    <s v="020-2100-000"/>
    <s v="Food Sales"/>
    <n v="25928.766500000002"/>
    <n v="0"/>
    <s v="Daily Sales Import"/>
    <n v="-25928.766500000002"/>
    <n v="25928.766500000002"/>
    <x v="4"/>
    <s v="2100"/>
    <s v="000"/>
    <x v="0"/>
    <x v="2"/>
  </r>
  <r>
    <d v="2013-10-12T00:00:00"/>
    <s v="020-2210-000"/>
    <s v="Liquor Sales"/>
    <n v="9331.7047999999995"/>
    <n v="0"/>
    <s v="Daily Sales Import"/>
    <n v="-9331.7047999999995"/>
    <n v="9331.7047999999995"/>
    <x v="4"/>
    <s v="2210"/>
    <s v="000"/>
    <x v="0"/>
    <x v="2"/>
  </r>
  <r>
    <d v="2013-10-12T00:00:00"/>
    <s v="020-2220-000"/>
    <s v="Beer Sales"/>
    <n v="1523.2203"/>
    <n v="0"/>
    <s v="Daily Sales Import"/>
    <n v="-1523.2203"/>
    <n v="1523.2203"/>
    <x v="4"/>
    <s v="2220"/>
    <s v="000"/>
    <x v="0"/>
    <x v="2"/>
  </r>
  <r>
    <d v="2013-10-12T00:00:00"/>
    <s v="020-2230-000"/>
    <s v="Wine Sales"/>
    <n v="131.85890000000001"/>
    <n v="0"/>
    <s v="Daily Sales Import"/>
    <n v="-131.85890000000001"/>
    <n v="131.85890000000001"/>
    <x v="4"/>
    <s v="2230"/>
    <s v="000"/>
    <x v="0"/>
    <x v="2"/>
  </r>
  <r>
    <d v="2013-10-13T00:00:00"/>
    <s v="020-2100-000"/>
    <s v="Food Sales"/>
    <n v="18353.492099999999"/>
    <n v="0"/>
    <s v="Daily Sales Import"/>
    <n v="-18353.492099999999"/>
    <n v="18353.492099999999"/>
    <x v="4"/>
    <s v="2100"/>
    <s v="000"/>
    <x v="0"/>
    <x v="2"/>
  </r>
  <r>
    <d v="2013-10-13T00:00:00"/>
    <s v="020-2210-000"/>
    <s v="Liquor Sales"/>
    <n v="6910.0433999999996"/>
    <n v="0"/>
    <s v="Daily Sales Import"/>
    <n v="-6910.0433999999996"/>
    <n v="6910.0433999999996"/>
    <x v="4"/>
    <s v="2210"/>
    <s v="000"/>
    <x v="0"/>
    <x v="2"/>
  </r>
  <r>
    <d v="2013-10-13T00:00:00"/>
    <s v="020-2220-000"/>
    <s v="Beer Sales"/>
    <n v="1242.8494000000001"/>
    <n v="0"/>
    <s v="Daily Sales Import"/>
    <n v="-1242.8494000000001"/>
    <n v="1242.8494000000001"/>
    <x v="4"/>
    <s v="2220"/>
    <s v="000"/>
    <x v="0"/>
    <x v="2"/>
  </r>
  <r>
    <d v="2013-10-13T00:00:00"/>
    <s v="020-2230-000"/>
    <s v="Wine Sales"/>
    <n v="113.3952"/>
    <n v="0"/>
    <s v="Daily Sales Import"/>
    <n v="-113.3952"/>
    <n v="113.3952"/>
    <x v="4"/>
    <s v="2230"/>
    <s v="000"/>
    <x v="0"/>
    <x v="2"/>
  </r>
  <r>
    <d v="2013-10-14T00:00:00"/>
    <s v="016-2100-000"/>
    <s v="Food Sales"/>
    <n v="2875.1603999999998"/>
    <n v="0"/>
    <s v="Daily Sales Import"/>
    <n v="-2875.1603999999998"/>
    <n v="2875.1603999999998"/>
    <x v="0"/>
    <s v="2100"/>
    <s v="000"/>
    <x v="0"/>
    <x v="2"/>
  </r>
  <r>
    <d v="2013-10-14T00:00:00"/>
    <s v="016-2210-000"/>
    <s v="Liquor Sales"/>
    <n v="593.80849999999998"/>
    <n v="0"/>
    <s v="Daily Sales Import"/>
    <n v="-593.80849999999998"/>
    <n v="593.80849999999998"/>
    <x v="0"/>
    <s v="2210"/>
    <s v="000"/>
    <x v="0"/>
    <x v="2"/>
  </r>
  <r>
    <d v="2013-10-14T00:00:00"/>
    <s v="016-2220-000"/>
    <s v="Beer Sales"/>
    <n v="164.66580000000002"/>
    <n v="0"/>
    <s v="Daily Sales Import"/>
    <n v="-164.66580000000002"/>
    <n v="164.66580000000002"/>
    <x v="0"/>
    <s v="2220"/>
    <s v="000"/>
    <x v="0"/>
    <x v="2"/>
  </r>
  <r>
    <d v="2013-10-14T00:00:00"/>
    <s v="016-2230-000"/>
    <s v="Wine Sales"/>
    <n v="37.085199999999993"/>
    <n v="0"/>
    <s v="Daily Sales Import"/>
    <n v="-37.085199999999993"/>
    <n v="37.085199999999993"/>
    <x v="0"/>
    <s v="2230"/>
    <s v="000"/>
    <x v="0"/>
    <x v="2"/>
  </r>
  <r>
    <d v="2013-10-15T00:00:00"/>
    <s v="016-2100-000"/>
    <s v="Food Sales"/>
    <n v="6195.8080000000009"/>
    <n v="0"/>
    <s v="Daily Sales Import"/>
    <n v="-6195.8080000000009"/>
    <n v="6195.8080000000009"/>
    <x v="0"/>
    <s v="2100"/>
    <s v="000"/>
    <x v="0"/>
    <x v="2"/>
  </r>
  <r>
    <d v="2013-10-15T00:00:00"/>
    <s v="016-2210-000"/>
    <s v="Liquor Sales"/>
    <n v="2437.6104"/>
    <n v="0"/>
    <s v="Daily Sales Import"/>
    <n v="-2437.6104"/>
    <n v="2437.6104"/>
    <x v="0"/>
    <s v="2210"/>
    <s v="000"/>
    <x v="0"/>
    <x v="2"/>
  </r>
  <r>
    <d v="2013-10-15T00:00:00"/>
    <s v="016-2220-000"/>
    <s v="Beer Sales"/>
    <n v="938.87110000000007"/>
    <n v="0"/>
    <s v="Daily Sales Import"/>
    <n v="-938.87110000000007"/>
    <n v="938.87110000000007"/>
    <x v="0"/>
    <s v="2220"/>
    <s v="000"/>
    <x v="0"/>
    <x v="2"/>
  </r>
  <r>
    <d v="2013-10-15T00:00:00"/>
    <s v="016-2230-000"/>
    <s v="Wine Sales"/>
    <n v="128.70000000000002"/>
    <n v="0"/>
    <s v="Daily Sales Import"/>
    <n v="-128.70000000000002"/>
    <n v="128.70000000000002"/>
    <x v="0"/>
    <s v="2230"/>
    <s v="000"/>
    <x v="0"/>
    <x v="2"/>
  </r>
  <r>
    <d v="2013-10-16T00:00:00"/>
    <s v="016-2100-000"/>
    <s v="Food Sales"/>
    <n v="2730.5515999999998"/>
    <n v="0"/>
    <s v="Daily Sales Import"/>
    <n v="-2730.5515999999998"/>
    <n v="2730.5515999999998"/>
    <x v="0"/>
    <s v="2100"/>
    <s v="000"/>
    <x v="0"/>
    <x v="2"/>
  </r>
  <r>
    <d v="2013-10-16T00:00:00"/>
    <s v="016-2210-000"/>
    <s v="Liquor Sales"/>
    <n v="896.0616"/>
    <n v="0"/>
    <s v="Daily Sales Import"/>
    <n v="-896.0616"/>
    <n v="896.0616"/>
    <x v="0"/>
    <s v="2210"/>
    <s v="000"/>
    <x v="0"/>
    <x v="2"/>
  </r>
  <r>
    <d v="2013-10-16T00:00:00"/>
    <s v="016-2220-000"/>
    <s v="Beer Sales"/>
    <n v="116.396"/>
    <n v="0"/>
    <s v="Daily Sales Import"/>
    <n v="-116.396"/>
    <n v="116.396"/>
    <x v="0"/>
    <s v="2220"/>
    <s v="000"/>
    <x v="0"/>
    <x v="2"/>
  </r>
  <r>
    <d v="2013-10-16T00:00:00"/>
    <s v="016-2230-000"/>
    <s v="Wine Sales"/>
    <n v="83.931799999999996"/>
    <n v="0"/>
    <s v="Daily Sales Import"/>
    <n v="-83.931799999999996"/>
    <n v="83.931799999999996"/>
    <x v="0"/>
    <s v="2230"/>
    <s v="000"/>
    <x v="0"/>
    <x v="2"/>
  </r>
  <r>
    <d v="2013-10-17T00:00:00"/>
    <s v="016-2100-000"/>
    <s v="Food Sales"/>
    <n v="1924.8366999999998"/>
    <n v="0"/>
    <s v="Daily Sales Import"/>
    <n v="-1924.8366999999998"/>
    <n v="1924.8366999999998"/>
    <x v="0"/>
    <s v="2100"/>
    <s v="000"/>
    <x v="0"/>
    <x v="2"/>
  </r>
  <r>
    <d v="2013-10-17T00:00:00"/>
    <s v="016-2210-000"/>
    <s v="Liquor Sales"/>
    <n v="1018.0575999999999"/>
    <n v="0"/>
    <s v="Daily Sales Import"/>
    <n v="-1018.0575999999999"/>
    <n v="1018.0575999999999"/>
    <x v="0"/>
    <s v="2210"/>
    <s v="000"/>
    <x v="0"/>
    <x v="2"/>
  </r>
  <r>
    <d v="2013-10-17T00:00:00"/>
    <s v="016-2220-000"/>
    <s v="Beer Sales"/>
    <n v="116.74109999999999"/>
    <n v="0"/>
    <s v="Daily Sales Import"/>
    <n v="-116.74109999999999"/>
    <n v="116.74109999999999"/>
    <x v="0"/>
    <s v="2220"/>
    <s v="000"/>
    <x v="0"/>
    <x v="2"/>
  </r>
  <r>
    <d v="2013-10-17T00:00:00"/>
    <s v="016-2230-000"/>
    <s v="Wine Sales"/>
    <n v="37.692399999999999"/>
    <n v="0"/>
    <s v="Daily Sales Import"/>
    <n v="-37.692399999999999"/>
    <n v="37.692399999999999"/>
    <x v="0"/>
    <s v="2230"/>
    <s v="000"/>
    <x v="0"/>
    <x v="2"/>
  </r>
  <r>
    <d v="2013-10-18T00:00:00"/>
    <s v="016-2100-000"/>
    <s v="Food Sales"/>
    <n v="5805.7125999999998"/>
    <n v="0"/>
    <s v="Daily Sales Import"/>
    <n v="-5805.7125999999998"/>
    <n v="5805.7125999999998"/>
    <x v="0"/>
    <s v="2100"/>
    <s v="000"/>
    <x v="0"/>
    <x v="2"/>
  </r>
  <r>
    <d v="2013-10-18T00:00:00"/>
    <s v="016-2210-000"/>
    <s v="Liquor Sales"/>
    <n v="1076.2611999999999"/>
    <n v="0"/>
    <s v="Daily Sales Import"/>
    <n v="-1076.2611999999999"/>
    <n v="1076.2611999999999"/>
    <x v="0"/>
    <s v="2210"/>
    <s v="000"/>
    <x v="0"/>
    <x v="2"/>
  </r>
  <r>
    <d v="2013-10-18T00:00:00"/>
    <s v="016-2220-000"/>
    <s v="Beer Sales"/>
    <n v="332.21950000000004"/>
    <n v="0"/>
    <s v="Daily Sales Import"/>
    <n v="-332.21950000000004"/>
    <n v="332.21950000000004"/>
    <x v="0"/>
    <s v="2220"/>
    <s v="000"/>
    <x v="0"/>
    <x v="2"/>
  </r>
  <r>
    <d v="2013-10-18T00:00:00"/>
    <s v="016-2230-000"/>
    <s v="Wine Sales"/>
    <n v="77.468699999999998"/>
    <n v="0"/>
    <s v="Daily Sales Import"/>
    <n v="-77.468699999999998"/>
    <n v="77.468699999999998"/>
    <x v="0"/>
    <s v="2230"/>
    <s v="000"/>
    <x v="0"/>
    <x v="2"/>
  </r>
  <r>
    <d v="2013-10-19T00:00:00"/>
    <s v="016-2100-000"/>
    <s v="Food Sales"/>
    <n v="7612.1607000000004"/>
    <n v="0"/>
    <s v="Daily Sales Import"/>
    <n v="-7612.1607000000004"/>
    <n v="7612.1607000000004"/>
    <x v="0"/>
    <s v="2100"/>
    <s v="000"/>
    <x v="0"/>
    <x v="2"/>
  </r>
  <r>
    <d v="2013-10-19T00:00:00"/>
    <s v="016-2210-000"/>
    <s v="Liquor Sales"/>
    <n v="1247.9010000000001"/>
    <n v="0"/>
    <s v="Daily Sales Import"/>
    <n v="-1247.9010000000001"/>
    <n v="1247.9010000000001"/>
    <x v="0"/>
    <s v="2210"/>
    <s v="000"/>
    <x v="0"/>
    <x v="2"/>
  </r>
  <r>
    <d v="2013-10-19T00:00:00"/>
    <s v="016-2220-000"/>
    <s v="Beer Sales"/>
    <n v="335.16749999999996"/>
    <n v="0"/>
    <s v="Daily Sales Import"/>
    <n v="-335.16749999999996"/>
    <n v="335.16749999999996"/>
    <x v="0"/>
    <s v="2220"/>
    <s v="000"/>
    <x v="0"/>
    <x v="2"/>
  </r>
  <r>
    <d v="2013-10-19T00:00:00"/>
    <s v="016-2230-000"/>
    <s v="Wine Sales"/>
    <n v="175.84620000000001"/>
    <n v="0"/>
    <s v="Daily Sales Import"/>
    <n v="-175.84620000000001"/>
    <n v="175.84620000000001"/>
    <x v="0"/>
    <s v="2230"/>
    <s v="000"/>
    <x v="0"/>
    <x v="2"/>
  </r>
  <r>
    <d v="2013-10-20T00:00:00"/>
    <s v="016-2100-000"/>
    <s v="Food Sales"/>
    <n v="4574.1279999999997"/>
    <n v="0"/>
    <s v="Daily Sales Import"/>
    <n v="-4574.1279999999997"/>
    <n v="4574.1279999999997"/>
    <x v="0"/>
    <s v="2100"/>
    <s v="000"/>
    <x v="0"/>
    <x v="2"/>
  </r>
  <r>
    <d v="2013-10-20T00:00:00"/>
    <s v="016-2210-000"/>
    <s v="Liquor Sales"/>
    <n v="637.75059999999996"/>
    <n v="0"/>
    <s v="Daily Sales Import"/>
    <n v="-637.75059999999996"/>
    <n v="637.75059999999996"/>
    <x v="0"/>
    <s v="2210"/>
    <s v="000"/>
    <x v="0"/>
    <x v="2"/>
  </r>
  <r>
    <d v="2013-10-20T00:00:00"/>
    <s v="016-2220-000"/>
    <s v="Beer Sales"/>
    <n v="63.593999999999994"/>
    <n v="0"/>
    <s v="Daily Sales Import"/>
    <n v="-63.593999999999994"/>
    <n v="63.593999999999994"/>
    <x v="0"/>
    <s v="2220"/>
    <s v="000"/>
    <x v="0"/>
    <x v="2"/>
  </r>
  <r>
    <d v="2013-10-20T00:00:00"/>
    <s v="016-2230-000"/>
    <s v="Wine Sales"/>
    <n v="31.7988"/>
    <n v="0"/>
    <s v="Daily Sales Import"/>
    <n v="-31.7988"/>
    <n v="31.7988"/>
    <x v="0"/>
    <s v="2230"/>
    <s v="000"/>
    <x v="0"/>
    <x v="2"/>
  </r>
  <r>
    <d v="2013-10-14T00:00:00"/>
    <s v="017-2100-000"/>
    <s v="Food Sales"/>
    <n v="3659.7749999999996"/>
    <n v="0"/>
    <s v="Daily Sales Import"/>
    <n v="-3659.7749999999996"/>
    <n v="3659.7749999999996"/>
    <x v="1"/>
    <s v="2100"/>
    <s v="000"/>
    <x v="0"/>
    <x v="2"/>
  </r>
  <r>
    <d v="2013-10-14T00:00:00"/>
    <s v="017-2210-000"/>
    <s v="Liquor Sales"/>
    <n v="1069.7215000000001"/>
    <n v="0"/>
    <s v="Daily Sales Import"/>
    <n v="-1069.7215000000001"/>
    <n v="1069.7215000000001"/>
    <x v="1"/>
    <s v="2210"/>
    <s v="000"/>
    <x v="0"/>
    <x v="2"/>
  </r>
  <r>
    <d v="2013-10-14T00:00:00"/>
    <s v="017-2220-000"/>
    <s v="Beer Sales"/>
    <n v="357.16319999999996"/>
    <n v="0"/>
    <s v="Daily Sales Import"/>
    <n v="-357.16319999999996"/>
    <n v="357.16319999999996"/>
    <x v="1"/>
    <s v="2220"/>
    <s v="000"/>
    <x v="0"/>
    <x v="2"/>
  </r>
  <r>
    <d v="2013-10-14T00:00:00"/>
    <s v="017-2230-000"/>
    <s v="Wine Sales"/>
    <n v="30.5854"/>
    <n v="0"/>
    <s v="Daily Sales Import"/>
    <n v="-30.5854"/>
    <n v="30.5854"/>
    <x v="1"/>
    <s v="2230"/>
    <s v="000"/>
    <x v="0"/>
    <x v="2"/>
  </r>
  <r>
    <d v="2013-10-15T00:00:00"/>
    <s v="017-2100-000"/>
    <s v="Food Sales"/>
    <n v="4989.5072999999993"/>
    <n v="0"/>
    <s v="Daily Sales Import"/>
    <n v="-4989.5072999999993"/>
    <n v="4989.5072999999993"/>
    <x v="1"/>
    <s v="2100"/>
    <s v="000"/>
    <x v="0"/>
    <x v="2"/>
  </r>
  <r>
    <d v="2013-10-15T00:00:00"/>
    <s v="017-2210-000"/>
    <s v="Liquor Sales"/>
    <n v="1473.9227999999998"/>
    <n v="0"/>
    <s v="Daily Sales Import"/>
    <n v="-1473.9227999999998"/>
    <n v="1473.9227999999998"/>
    <x v="1"/>
    <s v="2210"/>
    <s v="000"/>
    <x v="0"/>
    <x v="2"/>
  </r>
  <r>
    <d v="2013-10-15T00:00:00"/>
    <s v="017-2220-000"/>
    <s v="Beer Sales"/>
    <n v="377.95760000000007"/>
    <n v="0"/>
    <s v="Daily Sales Import"/>
    <n v="-377.95760000000007"/>
    <n v="377.95760000000007"/>
    <x v="1"/>
    <s v="2220"/>
    <s v="000"/>
    <x v="0"/>
    <x v="2"/>
  </r>
  <r>
    <d v="2013-10-15T00:00:00"/>
    <s v="017-2230-000"/>
    <s v="Wine Sales"/>
    <n v="54.355199999999996"/>
    <n v="0"/>
    <s v="Daily Sales Import"/>
    <n v="-54.355199999999996"/>
    <n v="54.355199999999996"/>
    <x v="1"/>
    <s v="2230"/>
    <s v="000"/>
    <x v="0"/>
    <x v="2"/>
  </r>
  <r>
    <d v="2013-10-16T00:00:00"/>
    <s v="017-2100-000"/>
    <s v="Food Sales"/>
    <n v="5606.1882000000005"/>
    <n v="0"/>
    <s v="Daily Sales Import"/>
    <n v="-5606.1882000000005"/>
    <n v="5606.1882000000005"/>
    <x v="1"/>
    <s v="2100"/>
    <s v="000"/>
    <x v="0"/>
    <x v="2"/>
  </r>
  <r>
    <d v="2013-10-16T00:00:00"/>
    <s v="017-2210-000"/>
    <s v="Liquor Sales"/>
    <n v="1206.8800000000001"/>
    <n v="0"/>
    <s v="Daily Sales Import"/>
    <n v="-1206.8800000000001"/>
    <n v="1206.8800000000001"/>
    <x v="1"/>
    <s v="2210"/>
    <s v="000"/>
    <x v="0"/>
    <x v="2"/>
  </r>
  <r>
    <d v="2013-10-16T00:00:00"/>
    <s v="017-2220-000"/>
    <s v="Beer Sales"/>
    <n v="770.73300000000006"/>
    <n v="0"/>
    <s v="Daily Sales Import"/>
    <n v="-770.73300000000006"/>
    <n v="770.73300000000006"/>
    <x v="1"/>
    <s v="2220"/>
    <s v="000"/>
    <x v="0"/>
    <x v="2"/>
  </r>
  <r>
    <d v="2013-10-16T00:00:00"/>
    <s v="017-2230-000"/>
    <s v="Wine Sales"/>
    <n v="212.73559999999998"/>
    <n v="0"/>
    <s v="Daily Sales Import"/>
    <n v="-212.73559999999998"/>
    <n v="212.73559999999998"/>
    <x v="1"/>
    <s v="2230"/>
    <s v="000"/>
    <x v="0"/>
    <x v="2"/>
  </r>
  <r>
    <d v="2013-10-17T00:00:00"/>
    <s v="017-2100-000"/>
    <s v="Food Sales"/>
    <n v="5854.5"/>
    <n v="0"/>
    <s v="Daily Sales Import"/>
    <n v="-5854.5"/>
    <n v="5854.5"/>
    <x v="1"/>
    <s v="2100"/>
    <s v="000"/>
    <x v="0"/>
    <x v="2"/>
  </r>
  <r>
    <d v="2013-10-17T00:00:00"/>
    <s v="017-2210-000"/>
    <s v="Liquor Sales"/>
    <n v="1630.3800999999999"/>
    <n v="0"/>
    <s v="Daily Sales Import"/>
    <n v="-1630.3800999999999"/>
    <n v="1630.3800999999999"/>
    <x v="1"/>
    <s v="2210"/>
    <s v="000"/>
    <x v="0"/>
    <x v="2"/>
  </r>
  <r>
    <d v="2013-10-17T00:00:00"/>
    <s v="017-2220-000"/>
    <s v="Beer Sales"/>
    <n v="604.10879999999997"/>
    <n v="0"/>
    <s v="Daily Sales Import"/>
    <n v="-604.10879999999997"/>
    <n v="604.10879999999997"/>
    <x v="1"/>
    <s v="2220"/>
    <s v="000"/>
    <x v="0"/>
    <x v="2"/>
  </r>
  <r>
    <d v="2013-10-17T00:00:00"/>
    <s v="017-2230-000"/>
    <s v="Wine Sales"/>
    <n v="278.714"/>
    <n v="0"/>
    <s v="Daily Sales Import"/>
    <n v="-278.714"/>
    <n v="278.714"/>
    <x v="1"/>
    <s v="2230"/>
    <s v="000"/>
    <x v="0"/>
    <x v="2"/>
  </r>
  <r>
    <d v="2013-10-18T00:00:00"/>
    <s v="017-2100-000"/>
    <s v="Food Sales"/>
    <n v="6805.0111999999999"/>
    <n v="0"/>
    <s v="Daily Sales Import"/>
    <n v="-6805.0111999999999"/>
    <n v="6805.0111999999999"/>
    <x v="1"/>
    <s v="2100"/>
    <s v="000"/>
    <x v="0"/>
    <x v="2"/>
  </r>
  <r>
    <d v="2013-10-18T00:00:00"/>
    <s v="017-2210-000"/>
    <s v="Liquor Sales"/>
    <n v="1558.7550000000001"/>
    <n v="0"/>
    <s v="Daily Sales Import"/>
    <n v="-1558.7550000000001"/>
    <n v="1558.7550000000001"/>
    <x v="1"/>
    <s v="2210"/>
    <s v="000"/>
    <x v="0"/>
    <x v="2"/>
  </r>
  <r>
    <d v="2013-10-18T00:00:00"/>
    <s v="017-2220-000"/>
    <s v="Beer Sales"/>
    <n v="266.68950000000001"/>
    <n v="0"/>
    <s v="Daily Sales Import"/>
    <n v="-266.68950000000001"/>
    <n v="266.68950000000001"/>
    <x v="1"/>
    <s v="2220"/>
    <s v="000"/>
    <x v="0"/>
    <x v="2"/>
  </r>
  <r>
    <d v="2013-10-18T00:00:00"/>
    <s v="017-2230-000"/>
    <s v="Wine Sales"/>
    <n v="296.02479999999997"/>
    <n v="0"/>
    <s v="Daily Sales Import"/>
    <n v="-296.02479999999997"/>
    <n v="296.02479999999997"/>
    <x v="1"/>
    <s v="2230"/>
    <s v="000"/>
    <x v="0"/>
    <x v="2"/>
  </r>
  <r>
    <d v="2013-10-19T00:00:00"/>
    <s v="017-2100-000"/>
    <s v="Food Sales"/>
    <n v="6289.6719000000003"/>
    <n v="0"/>
    <s v="Daily Sales Import"/>
    <n v="-6289.6719000000003"/>
    <n v="6289.6719000000003"/>
    <x v="1"/>
    <s v="2100"/>
    <s v="000"/>
    <x v="0"/>
    <x v="2"/>
  </r>
  <r>
    <d v="2013-10-19T00:00:00"/>
    <s v="017-2210-000"/>
    <s v="Liquor Sales"/>
    <n v="1126.4042999999999"/>
    <n v="0"/>
    <s v="Daily Sales Import"/>
    <n v="-1126.4042999999999"/>
    <n v="1126.4042999999999"/>
    <x v="1"/>
    <s v="2210"/>
    <s v="000"/>
    <x v="0"/>
    <x v="2"/>
  </r>
  <r>
    <d v="2013-10-19T00:00:00"/>
    <s v="017-2220-000"/>
    <s v="Beer Sales"/>
    <n v="214.10640000000001"/>
    <n v="0"/>
    <s v="Daily Sales Import"/>
    <n v="-214.10640000000001"/>
    <n v="214.10640000000001"/>
    <x v="1"/>
    <s v="2220"/>
    <s v="000"/>
    <x v="0"/>
    <x v="2"/>
  </r>
  <r>
    <d v="2013-10-19T00:00:00"/>
    <s v="017-2230-000"/>
    <s v="Wine Sales"/>
    <n v="76.369599999999991"/>
    <n v="0"/>
    <s v="Daily Sales Import"/>
    <n v="-76.369599999999991"/>
    <n v="76.369599999999991"/>
    <x v="1"/>
    <s v="2230"/>
    <s v="000"/>
    <x v="0"/>
    <x v="2"/>
  </r>
  <r>
    <d v="2013-10-20T00:00:00"/>
    <s v="017-2100-000"/>
    <s v="Food Sales"/>
    <n v="5658.3395"/>
    <n v="0"/>
    <s v="Daily Sales Import"/>
    <n v="-5658.3395"/>
    <n v="5658.3395"/>
    <x v="1"/>
    <s v="2100"/>
    <s v="000"/>
    <x v="0"/>
    <x v="2"/>
  </r>
  <r>
    <d v="2013-10-20T00:00:00"/>
    <s v="017-2210-000"/>
    <s v="Liquor Sales"/>
    <n v="795.61680000000001"/>
    <n v="0"/>
    <s v="Daily Sales Import"/>
    <n v="-795.61680000000001"/>
    <n v="795.61680000000001"/>
    <x v="1"/>
    <s v="2210"/>
    <s v="000"/>
    <x v="0"/>
    <x v="2"/>
  </r>
  <r>
    <d v="2013-10-20T00:00:00"/>
    <s v="017-2220-000"/>
    <s v="Beer Sales"/>
    <n v="176.63059999999999"/>
    <n v="0"/>
    <s v="Daily Sales Import"/>
    <n v="-176.63059999999999"/>
    <n v="176.63059999999999"/>
    <x v="1"/>
    <s v="2220"/>
    <s v="000"/>
    <x v="0"/>
    <x v="2"/>
  </r>
  <r>
    <d v="2013-10-20T00:00:00"/>
    <s v="017-2230-000"/>
    <s v="Wine Sales"/>
    <n v="137.78829999999999"/>
    <n v="0"/>
    <s v="Daily Sales Import"/>
    <n v="-137.78829999999999"/>
    <n v="137.78829999999999"/>
    <x v="1"/>
    <s v="2230"/>
    <s v="000"/>
    <x v="0"/>
    <x v="2"/>
  </r>
  <r>
    <d v="2013-10-14T00:00:00"/>
    <s v="018-2100-000"/>
    <s v="Food Sales"/>
    <n v="5464.1408000000001"/>
    <n v="0"/>
    <s v="Daily Sales Import"/>
    <n v="-5464.1408000000001"/>
    <n v="5464.1408000000001"/>
    <x v="2"/>
    <s v="2100"/>
    <s v="000"/>
    <x v="0"/>
    <x v="2"/>
  </r>
  <r>
    <d v="2013-10-14T00:00:00"/>
    <s v="018-2210-000"/>
    <s v="Liquor Sales"/>
    <n v="959.00829999999996"/>
    <n v="0"/>
    <s v="Daily Sales Import"/>
    <n v="-959.00829999999996"/>
    <n v="959.00829999999996"/>
    <x v="2"/>
    <s v="2210"/>
    <s v="000"/>
    <x v="0"/>
    <x v="2"/>
  </r>
  <r>
    <d v="2013-10-14T00:00:00"/>
    <s v="018-2220-000"/>
    <s v="Beer Sales"/>
    <n v="172.20839999999998"/>
    <n v="0"/>
    <s v="Daily Sales Import"/>
    <n v="-172.20839999999998"/>
    <n v="172.20839999999998"/>
    <x v="2"/>
    <s v="2220"/>
    <s v="000"/>
    <x v="0"/>
    <x v="2"/>
  </r>
  <r>
    <d v="2013-10-14T00:00:00"/>
    <s v="018-2230-000"/>
    <s v="Wine Sales"/>
    <n v="37.055799999999998"/>
    <n v="0"/>
    <s v="Daily Sales Import"/>
    <n v="-37.055799999999998"/>
    <n v="37.055799999999998"/>
    <x v="2"/>
    <s v="2230"/>
    <s v="000"/>
    <x v="0"/>
    <x v="2"/>
  </r>
  <r>
    <d v="2013-10-15T00:00:00"/>
    <s v="018-2100-000"/>
    <s v="Food Sales"/>
    <n v="2834.1899999999996"/>
    <n v="0"/>
    <s v="Daily Sales Import"/>
    <n v="-2834.1899999999996"/>
    <n v="2834.1899999999996"/>
    <x v="2"/>
    <s v="2100"/>
    <s v="000"/>
    <x v="0"/>
    <x v="2"/>
  </r>
  <r>
    <d v="2013-10-15T00:00:00"/>
    <s v="018-2210-000"/>
    <s v="Liquor Sales"/>
    <n v="500.27040000000005"/>
    <n v="0"/>
    <s v="Daily Sales Import"/>
    <n v="-500.27040000000005"/>
    <n v="500.27040000000005"/>
    <x v="2"/>
    <s v="2210"/>
    <s v="000"/>
    <x v="0"/>
    <x v="2"/>
  </r>
  <r>
    <d v="2013-10-15T00:00:00"/>
    <s v="018-2220-000"/>
    <s v="Beer Sales"/>
    <n v="133.78649999999999"/>
    <n v="0"/>
    <s v="Daily Sales Import"/>
    <n v="-133.78649999999999"/>
    <n v="133.78649999999999"/>
    <x v="2"/>
    <s v="2220"/>
    <s v="000"/>
    <x v="0"/>
    <x v="2"/>
  </r>
  <r>
    <d v="2013-10-15T00:00:00"/>
    <s v="018-2230-000"/>
    <s v="Wine Sales"/>
    <n v="14.981999999999999"/>
    <n v="0"/>
    <s v="Daily Sales Import"/>
    <n v="-14.981999999999999"/>
    <n v="14.981999999999999"/>
    <x v="2"/>
    <s v="2230"/>
    <s v="000"/>
    <x v="0"/>
    <x v="2"/>
  </r>
  <r>
    <d v="2013-10-16T00:00:00"/>
    <s v="018-2100-000"/>
    <s v="Food Sales"/>
    <n v="3335.6954999999998"/>
    <n v="0"/>
    <s v="Daily Sales Import"/>
    <n v="-3335.6954999999998"/>
    <n v="3335.6954999999998"/>
    <x v="2"/>
    <s v="2100"/>
    <s v="000"/>
    <x v="0"/>
    <x v="2"/>
  </r>
  <r>
    <d v="2013-10-16T00:00:00"/>
    <s v="018-2210-000"/>
    <s v="Liquor Sales"/>
    <n v="878.26700000000005"/>
    <n v="0"/>
    <s v="Daily Sales Import"/>
    <n v="-878.26700000000005"/>
    <n v="878.26700000000005"/>
    <x v="2"/>
    <s v="2210"/>
    <s v="000"/>
    <x v="0"/>
    <x v="2"/>
  </r>
  <r>
    <d v="2013-10-16T00:00:00"/>
    <s v="018-2220-000"/>
    <s v="Beer Sales"/>
    <n v="209.33640000000003"/>
    <n v="0"/>
    <s v="Daily Sales Import"/>
    <n v="-209.33640000000003"/>
    <n v="209.33640000000003"/>
    <x v="2"/>
    <s v="2220"/>
    <s v="000"/>
    <x v="0"/>
    <x v="2"/>
  </r>
  <r>
    <d v="2013-10-16T00:00:00"/>
    <s v="018-2230-000"/>
    <s v="Wine Sales"/>
    <n v="32.952800000000003"/>
    <n v="0"/>
    <s v="Daily Sales Import"/>
    <n v="-32.952800000000003"/>
    <n v="32.952800000000003"/>
    <x v="2"/>
    <s v="2230"/>
    <s v="000"/>
    <x v="0"/>
    <x v="2"/>
  </r>
  <r>
    <d v="2013-10-17T00:00:00"/>
    <s v="018-2100-000"/>
    <s v="Food Sales"/>
    <n v="5206.6716000000006"/>
    <n v="0"/>
    <s v="Daily Sales Import"/>
    <n v="-5206.6716000000006"/>
    <n v="5206.6716000000006"/>
    <x v="2"/>
    <s v="2100"/>
    <s v="000"/>
    <x v="0"/>
    <x v="2"/>
  </r>
  <r>
    <d v="2013-10-17T00:00:00"/>
    <s v="018-2210-000"/>
    <s v="Liquor Sales"/>
    <n v="1120.1551999999999"/>
    <n v="0"/>
    <s v="Daily Sales Import"/>
    <n v="-1120.1551999999999"/>
    <n v="1120.1551999999999"/>
    <x v="2"/>
    <s v="2210"/>
    <s v="000"/>
    <x v="0"/>
    <x v="2"/>
  </r>
  <r>
    <d v="2013-10-17T00:00:00"/>
    <s v="018-2220-000"/>
    <s v="Beer Sales"/>
    <n v="173.33999999999997"/>
    <n v="0"/>
    <s v="Daily Sales Import"/>
    <n v="-173.33999999999997"/>
    <n v="173.33999999999997"/>
    <x v="2"/>
    <s v="2220"/>
    <s v="000"/>
    <x v="0"/>
    <x v="2"/>
  </r>
  <r>
    <d v="2013-10-17T00:00:00"/>
    <s v="018-2230-000"/>
    <s v="Wine Sales"/>
    <n v="30.869799999999998"/>
    <n v="0"/>
    <s v="Daily Sales Import"/>
    <n v="-30.869799999999998"/>
    <n v="30.869799999999998"/>
    <x v="2"/>
    <s v="2230"/>
    <s v="000"/>
    <x v="0"/>
    <x v="2"/>
  </r>
  <r>
    <d v="2013-10-18T00:00:00"/>
    <s v="018-2100-000"/>
    <s v="Food Sales"/>
    <n v="10446.3423"/>
    <n v="0"/>
    <s v="Daily Sales Import"/>
    <n v="-10446.3423"/>
    <n v="10446.3423"/>
    <x v="2"/>
    <s v="2100"/>
    <s v="000"/>
    <x v="0"/>
    <x v="2"/>
  </r>
  <r>
    <d v="2013-10-18T00:00:00"/>
    <s v="018-2210-000"/>
    <s v="Liquor Sales"/>
    <n v="2947.5164999999997"/>
    <n v="0"/>
    <s v="Daily Sales Import"/>
    <n v="-2947.5164999999997"/>
    <n v="2947.5164999999997"/>
    <x v="2"/>
    <s v="2210"/>
    <s v="000"/>
    <x v="0"/>
    <x v="2"/>
  </r>
  <r>
    <d v="2013-10-18T00:00:00"/>
    <s v="018-2220-000"/>
    <s v="Beer Sales"/>
    <n v="658.38149999999996"/>
    <n v="0"/>
    <s v="Daily Sales Import"/>
    <n v="-658.38149999999996"/>
    <n v="658.38149999999996"/>
    <x v="2"/>
    <s v="2220"/>
    <s v="000"/>
    <x v="0"/>
    <x v="2"/>
  </r>
  <r>
    <d v="2013-10-18T00:00:00"/>
    <s v="018-2230-000"/>
    <s v="Wine Sales"/>
    <n v="78.613199999999992"/>
    <n v="0"/>
    <s v="Daily Sales Import"/>
    <n v="-78.613199999999992"/>
    <n v="78.613199999999992"/>
    <x v="2"/>
    <s v="2230"/>
    <s v="000"/>
    <x v="0"/>
    <x v="2"/>
  </r>
  <r>
    <d v="2013-10-19T00:00:00"/>
    <s v="018-2100-000"/>
    <s v="Food Sales"/>
    <n v="14720.418799999999"/>
    <n v="0"/>
    <s v="Daily Sales Import"/>
    <n v="-14720.418799999999"/>
    <n v="14720.418799999999"/>
    <x v="2"/>
    <s v="2100"/>
    <s v="000"/>
    <x v="0"/>
    <x v="2"/>
  </r>
  <r>
    <d v="2013-10-19T00:00:00"/>
    <s v="018-2210-000"/>
    <s v="Liquor Sales"/>
    <n v="2441.7432000000003"/>
    <n v="0"/>
    <s v="Daily Sales Import"/>
    <n v="-2441.7432000000003"/>
    <n v="2441.7432000000003"/>
    <x v="2"/>
    <s v="2210"/>
    <s v="000"/>
    <x v="0"/>
    <x v="2"/>
  </r>
  <r>
    <d v="2013-10-19T00:00:00"/>
    <s v="018-2220-000"/>
    <s v="Beer Sales"/>
    <n v="470.68889999999993"/>
    <n v="0"/>
    <s v="Daily Sales Import"/>
    <n v="-470.68889999999993"/>
    <n v="470.68889999999993"/>
    <x v="2"/>
    <s v="2220"/>
    <s v="000"/>
    <x v="0"/>
    <x v="2"/>
  </r>
  <r>
    <d v="2013-10-19T00:00:00"/>
    <s v="018-2230-000"/>
    <s v="Wine Sales"/>
    <n v="136.3845"/>
    <n v="0"/>
    <s v="Daily Sales Import"/>
    <n v="-136.3845"/>
    <n v="136.3845"/>
    <x v="2"/>
    <s v="2230"/>
    <s v="000"/>
    <x v="0"/>
    <x v="2"/>
  </r>
  <r>
    <d v="2013-10-20T00:00:00"/>
    <s v="018-2100-000"/>
    <s v="Food Sales"/>
    <n v="7640.9345999999996"/>
    <n v="0"/>
    <s v="Daily Sales Import"/>
    <n v="-7640.9345999999996"/>
    <n v="7640.9345999999996"/>
    <x v="2"/>
    <s v="2100"/>
    <s v="000"/>
    <x v="0"/>
    <x v="2"/>
  </r>
  <r>
    <d v="2013-10-20T00:00:00"/>
    <s v="018-2210-000"/>
    <s v="Liquor Sales"/>
    <n v="916.87140000000011"/>
    <n v="0"/>
    <s v="Daily Sales Import"/>
    <n v="-916.87140000000011"/>
    <n v="916.87140000000011"/>
    <x v="2"/>
    <s v="2210"/>
    <s v="000"/>
    <x v="0"/>
    <x v="2"/>
  </r>
  <r>
    <d v="2013-10-20T00:00:00"/>
    <s v="018-2220-000"/>
    <s v="Beer Sales"/>
    <n v="355.73699999999997"/>
    <n v="0"/>
    <s v="Daily Sales Import"/>
    <n v="-355.73699999999997"/>
    <n v="355.73699999999997"/>
    <x v="2"/>
    <s v="2220"/>
    <s v="000"/>
    <x v="0"/>
    <x v="2"/>
  </r>
  <r>
    <d v="2013-10-20T00:00:00"/>
    <s v="018-2230-000"/>
    <s v="Wine Sales"/>
    <n v="84.738"/>
    <n v="0"/>
    <s v="Daily Sales Import"/>
    <n v="-84.738"/>
    <n v="84.738"/>
    <x v="2"/>
    <s v="2230"/>
    <s v="000"/>
    <x v="0"/>
    <x v="2"/>
  </r>
  <r>
    <d v="2013-10-14T00:00:00"/>
    <s v="019-2100-000"/>
    <s v="Food Sales"/>
    <n v="2139.5140000000001"/>
    <n v="0"/>
    <s v="Daily Sales Import"/>
    <n v="-2139.5140000000001"/>
    <n v="2139.5140000000001"/>
    <x v="3"/>
    <s v="2100"/>
    <s v="000"/>
    <x v="0"/>
    <x v="2"/>
  </r>
  <r>
    <d v="2013-10-14T00:00:00"/>
    <s v="019-2210-000"/>
    <s v="Liquor Sales"/>
    <n v="675.096"/>
    <n v="0"/>
    <s v="Daily Sales Import"/>
    <n v="-675.096"/>
    <n v="675.096"/>
    <x v="3"/>
    <s v="2210"/>
    <s v="000"/>
    <x v="0"/>
    <x v="2"/>
  </r>
  <r>
    <d v="2013-10-14T00:00:00"/>
    <s v="019-2220-000"/>
    <s v="Beer Sales"/>
    <n v="120.0872"/>
    <n v="0"/>
    <s v="Daily Sales Import"/>
    <n v="-120.0872"/>
    <n v="120.0872"/>
    <x v="3"/>
    <s v="2220"/>
    <s v="000"/>
    <x v="0"/>
    <x v="2"/>
  </r>
  <r>
    <d v="2013-10-14T00:00:00"/>
    <s v="019-2230-000"/>
    <s v="Wine Sales"/>
    <n v="43.297199999999997"/>
    <n v="0"/>
    <s v="Daily Sales Import"/>
    <n v="-43.297199999999997"/>
    <n v="43.297199999999997"/>
    <x v="3"/>
    <s v="2230"/>
    <s v="000"/>
    <x v="0"/>
    <x v="2"/>
  </r>
  <r>
    <d v="2013-10-15T00:00:00"/>
    <s v="019-2100-000"/>
    <s v="Food Sales"/>
    <n v="3512.4740000000002"/>
    <n v="0"/>
    <s v="Daily Sales Import"/>
    <n v="-3512.4740000000002"/>
    <n v="3512.4740000000002"/>
    <x v="3"/>
    <s v="2100"/>
    <s v="000"/>
    <x v="0"/>
    <x v="2"/>
  </r>
  <r>
    <d v="2013-10-15T00:00:00"/>
    <s v="019-2210-000"/>
    <s v="Liquor Sales"/>
    <n v="795.9384"/>
    <n v="0"/>
    <s v="Daily Sales Import"/>
    <n v="-795.9384"/>
    <n v="795.9384"/>
    <x v="3"/>
    <s v="2210"/>
    <s v="000"/>
    <x v="0"/>
    <x v="2"/>
  </r>
  <r>
    <d v="2013-10-15T00:00:00"/>
    <s v="019-2220-000"/>
    <s v="Beer Sales"/>
    <n v="207.96100000000001"/>
    <n v="0"/>
    <s v="Daily Sales Import"/>
    <n v="-207.96100000000001"/>
    <n v="207.96100000000001"/>
    <x v="3"/>
    <s v="2220"/>
    <s v="000"/>
    <x v="0"/>
    <x v="2"/>
  </r>
  <r>
    <d v="2013-10-15T00:00:00"/>
    <s v="019-2230-000"/>
    <s v="Wine Sales"/>
    <n v="44.975300000000004"/>
    <n v="0"/>
    <s v="Daily Sales Import"/>
    <n v="-44.975300000000004"/>
    <n v="44.975300000000004"/>
    <x v="3"/>
    <s v="2230"/>
    <s v="000"/>
    <x v="0"/>
    <x v="2"/>
  </r>
  <r>
    <d v="2013-10-16T00:00:00"/>
    <s v="019-2100-000"/>
    <s v="Food Sales"/>
    <n v="3603.4214999999999"/>
    <n v="0"/>
    <s v="Daily Sales Import"/>
    <n v="-3603.4214999999999"/>
    <n v="3603.4214999999999"/>
    <x v="3"/>
    <s v="2100"/>
    <s v="000"/>
    <x v="0"/>
    <x v="2"/>
  </r>
  <r>
    <d v="2013-10-16T00:00:00"/>
    <s v="019-2210-000"/>
    <s v="Liquor Sales"/>
    <n v="1498.7674999999999"/>
    <n v="0"/>
    <s v="Daily Sales Import"/>
    <n v="-1498.7674999999999"/>
    <n v="1498.7674999999999"/>
    <x v="3"/>
    <s v="2210"/>
    <s v="000"/>
    <x v="0"/>
    <x v="2"/>
  </r>
  <r>
    <d v="2013-10-16T00:00:00"/>
    <s v="019-2220-000"/>
    <s v="Beer Sales"/>
    <n v="320.98560000000003"/>
    <n v="0"/>
    <s v="Daily Sales Import"/>
    <n v="-320.98560000000003"/>
    <n v="320.98560000000003"/>
    <x v="3"/>
    <s v="2220"/>
    <s v="000"/>
    <x v="0"/>
    <x v="2"/>
  </r>
  <r>
    <d v="2013-10-16T00:00:00"/>
    <s v="019-2230-000"/>
    <s v="Wine Sales"/>
    <n v="55.455099999999995"/>
    <n v="0"/>
    <s v="Daily Sales Import"/>
    <n v="-55.455099999999995"/>
    <n v="55.455099999999995"/>
    <x v="3"/>
    <s v="2230"/>
    <s v="000"/>
    <x v="0"/>
    <x v="2"/>
  </r>
  <r>
    <d v="2013-10-17T00:00:00"/>
    <s v="019-2100-000"/>
    <s v="Food Sales"/>
    <n v="3084.3328000000001"/>
    <n v="0"/>
    <s v="Daily Sales Import"/>
    <n v="-3084.3328000000001"/>
    <n v="3084.3328000000001"/>
    <x v="3"/>
    <s v="2100"/>
    <s v="000"/>
    <x v="0"/>
    <x v="2"/>
  </r>
  <r>
    <d v="2013-10-17T00:00:00"/>
    <s v="019-2210-000"/>
    <s v="Liquor Sales"/>
    <n v="1123.8253999999999"/>
    <n v="0"/>
    <s v="Daily Sales Import"/>
    <n v="-1123.8253999999999"/>
    <n v="1123.8253999999999"/>
    <x v="3"/>
    <s v="2210"/>
    <s v="000"/>
    <x v="0"/>
    <x v="2"/>
  </r>
  <r>
    <d v="2013-10-17T00:00:00"/>
    <s v="019-2220-000"/>
    <s v="Beer Sales"/>
    <n v="587.64080000000001"/>
    <n v="0"/>
    <s v="Daily Sales Import"/>
    <n v="-587.64080000000001"/>
    <n v="587.64080000000001"/>
    <x v="3"/>
    <s v="2220"/>
    <s v="000"/>
    <x v="0"/>
    <x v="2"/>
  </r>
  <r>
    <d v="2013-10-17T00:00:00"/>
    <s v="019-2230-000"/>
    <s v="Wine Sales"/>
    <n v="55.696799999999996"/>
    <n v="0"/>
    <s v="Daily Sales Import"/>
    <n v="-55.696799999999996"/>
    <n v="55.696799999999996"/>
    <x v="3"/>
    <s v="2230"/>
    <s v="000"/>
    <x v="0"/>
    <x v="2"/>
  </r>
  <r>
    <d v="2013-10-18T00:00:00"/>
    <s v="019-2100-000"/>
    <s v="Food Sales"/>
    <n v="6203.3411999999998"/>
    <n v="0"/>
    <s v="Daily Sales Import"/>
    <n v="-6203.3411999999998"/>
    <n v="6203.3411999999998"/>
    <x v="3"/>
    <s v="2100"/>
    <s v="000"/>
    <x v="0"/>
    <x v="2"/>
  </r>
  <r>
    <d v="2013-10-18T00:00:00"/>
    <s v="019-2210-000"/>
    <s v="Liquor Sales"/>
    <n v="2090.6184000000003"/>
    <n v="0"/>
    <s v="Daily Sales Import"/>
    <n v="-2090.6184000000003"/>
    <n v="2090.6184000000003"/>
    <x v="3"/>
    <s v="2210"/>
    <s v="000"/>
    <x v="0"/>
    <x v="2"/>
  </r>
  <r>
    <d v="2013-10-18T00:00:00"/>
    <s v="019-2220-000"/>
    <s v="Beer Sales"/>
    <n v="496.91080000000005"/>
    <n v="0"/>
    <s v="Daily Sales Import"/>
    <n v="-496.91080000000005"/>
    <n v="496.91080000000005"/>
    <x v="3"/>
    <s v="2220"/>
    <s v="000"/>
    <x v="0"/>
    <x v="2"/>
  </r>
  <r>
    <d v="2013-10-18T00:00:00"/>
    <s v="019-2230-000"/>
    <s v="Wine Sales"/>
    <n v="180.40219999999999"/>
    <n v="0"/>
    <s v="Daily Sales Import"/>
    <n v="-180.40219999999999"/>
    <n v="180.40219999999999"/>
    <x v="3"/>
    <s v="2230"/>
    <s v="000"/>
    <x v="0"/>
    <x v="2"/>
  </r>
  <r>
    <d v="2013-10-19T00:00:00"/>
    <s v="019-2100-000"/>
    <s v="Food Sales"/>
    <n v="7809.1045000000004"/>
    <n v="0"/>
    <s v="Daily Sales Import"/>
    <n v="-7809.1045000000004"/>
    <n v="7809.1045000000004"/>
    <x v="3"/>
    <s v="2100"/>
    <s v="000"/>
    <x v="0"/>
    <x v="2"/>
  </r>
  <r>
    <d v="2013-10-19T00:00:00"/>
    <s v="019-2210-000"/>
    <s v="Liquor Sales"/>
    <n v="2032.7125000000001"/>
    <n v="0"/>
    <s v="Daily Sales Import"/>
    <n v="-2032.7125000000001"/>
    <n v="2032.7125000000001"/>
    <x v="3"/>
    <s v="2210"/>
    <s v="000"/>
    <x v="0"/>
    <x v="2"/>
  </r>
  <r>
    <d v="2013-10-19T00:00:00"/>
    <s v="019-2220-000"/>
    <s v="Beer Sales"/>
    <n v="341.83620000000002"/>
    <n v="0"/>
    <s v="Daily Sales Import"/>
    <n v="-341.83620000000002"/>
    <n v="341.83620000000002"/>
    <x v="3"/>
    <s v="2220"/>
    <s v="000"/>
    <x v="0"/>
    <x v="2"/>
  </r>
  <r>
    <d v="2013-10-19T00:00:00"/>
    <s v="019-2230-000"/>
    <s v="Wine Sales"/>
    <n v="68.941499999999991"/>
    <n v="0"/>
    <s v="Daily Sales Import"/>
    <n v="-68.941499999999991"/>
    <n v="68.941499999999991"/>
    <x v="3"/>
    <s v="2230"/>
    <s v="000"/>
    <x v="0"/>
    <x v="2"/>
  </r>
  <r>
    <d v="2013-10-20T00:00:00"/>
    <s v="019-2100-000"/>
    <s v="Food Sales"/>
    <n v="5040.5039999999999"/>
    <n v="0"/>
    <s v="Daily Sales Import"/>
    <n v="-5040.5039999999999"/>
    <n v="5040.5039999999999"/>
    <x v="3"/>
    <s v="2100"/>
    <s v="000"/>
    <x v="0"/>
    <x v="2"/>
  </r>
  <r>
    <d v="2013-10-20T00:00:00"/>
    <s v="019-2210-000"/>
    <s v="Liquor Sales"/>
    <n v="1574.0001999999999"/>
    <n v="0"/>
    <s v="Daily Sales Import"/>
    <n v="-1574.0001999999999"/>
    <n v="1574.0001999999999"/>
    <x v="3"/>
    <s v="2210"/>
    <s v="000"/>
    <x v="0"/>
    <x v="2"/>
  </r>
  <r>
    <d v="2013-10-20T00:00:00"/>
    <s v="019-2220-000"/>
    <s v="Beer Sales"/>
    <n v="458.80099999999993"/>
    <n v="0"/>
    <s v="Daily Sales Import"/>
    <n v="-458.80099999999993"/>
    <n v="458.80099999999993"/>
    <x v="3"/>
    <s v="2220"/>
    <s v="000"/>
    <x v="0"/>
    <x v="2"/>
  </r>
  <r>
    <d v="2013-10-20T00:00:00"/>
    <s v="019-2230-000"/>
    <s v="Wine Sales"/>
    <n v="98.420199999999994"/>
    <n v="0"/>
    <s v="Daily Sales Import"/>
    <n v="-98.420199999999994"/>
    <n v="98.420199999999994"/>
    <x v="3"/>
    <s v="2230"/>
    <s v="000"/>
    <x v="0"/>
    <x v="2"/>
  </r>
  <r>
    <d v="2013-10-14T00:00:00"/>
    <s v="020-2100-000"/>
    <s v="Food Sales"/>
    <n v="13232.232"/>
    <n v="0"/>
    <s v="Daily Sales Import"/>
    <n v="-13232.232"/>
    <n v="13232.232"/>
    <x v="4"/>
    <s v="2100"/>
    <s v="000"/>
    <x v="0"/>
    <x v="2"/>
  </r>
  <r>
    <d v="2013-10-14T00:00:00"/>
    <s v="020-2210-000"/>
    <s v="Liquor Sales"/>
    <n v="4642.8141999999998"/>
    <n v="0"/>
    <s v="Daily Sales Import"/>
    <n v="-4642.8141999999998"/>
    <n v="4642.8141999999998"/>
    <x v="4"/>
    <s v="2210"/>
    <s v="000"/>
    <x v="0"/>
    <x v="2"/>
  </r>
  <r>
    <d v="2013-10-14T00:00:00"/>
    <s v="020-2220-000"/>
    <s v="Beer Sales"/>
    <n v="662.53200000000004"/>
    <n v="0"/>
    <s v="Daily Sales Import"/>
    <n v="-662.53200000000004"/>
    <n v="662.53200000000004"/>
    <x v="4"/>
    <s v="2220"/>
    <s v="000"/>
    <x v="0"/>
    <x v="2"/>
  </r>
  <r>
    <d v="2013-10-14T00:00:00"/>
    <s v="020-2230-000"/>
    <s v="Wine Sales"/>
    <n v="103.11329999999998"/>
    <n v="0"/>
    <s v="Daily Sales Import"/>
    <n v="-103.11329999999998"/>
    <n v="103.11329999999998"/>
    <x v="4"/>
    <s v="2230"/>
    <s v="000"/>
    <x v="0"/>
    <x v="2"/>
  </r>
  <r>
    <d v="2013-10-15T00:00:00"/>
    <s v="020-2100-000"/>
    <s v="Food Sales"/>
    <n v="9919.4789999999994"/>
    <n v="0"/>
    <s v="Daily Sales Import"/>
    <n v="-9919.4789999999994"/>
    <n v="9919.4789999999994"/>
    <x v="4"/>
    <s v="2100"/>
    <s v="000"/>
    <x v="0"/>
    <x v="2"/>
  </r>
  <r>
    <d v="2013-10-15T00:00:00"/>
    <s v="020-2210-000"/>
    <s v="Liquor Sales"/>
    <n v="2448.7065000000002"/>
    <n v="0"/>
    <s v="Daily Sales Import"/>
    <n v="-2448.7065000000002"/>
    <n v="2448.7065000000002"/>
    <x v="4"/>
    <s v="2210"/>
    <s v="000"/>
    <x v="0"/>
    <x v="2"/>
  </r>
  <r>
    <d v="2013-10-15T00:00:00"/>
    <s v="020-2220-000"/>
    <s v="Beer Sales"/>
    <n v="869.06"/>
    <n v="0"/>
    <s v="Daily Sales Import"/>
    <n v="-869.06"/>
    <n v="869.06"/>
    <x v="4"/>
    <s v="2220"/>
    <s v="000"/>
    <x v="0"/>
    <x v="2"/>
  </r>
  <r>
    <d v="2013-10-15T00:00:00"/>
    <s v="020-2230-000"/>
    <s v="Wine Sales"/>
    <n v="124.51359999999998"/>
    <n v="0"/>
    <s v="Daily Sales Import"/>
    <n v="-124.51359999999998"/>
    <n v="124.51359999999998"/>
    <x v="4"/>
    <s v="2230"/>
    <s v="000"/>
    <x v="0"/>
    <x v="2"/>
  </r>
  <r>
    <d v="2013-10-16T00:00:00"/>
    <s v="020-2100-000"/>
    <s v="Food Sales"/>
    <n v="11910.6828"/>
    <n v="0"/>
    <s v="Daily Sales Import"/>
    <n v="-11910.6828"/>
    <n v="11910.6828"/>
    <x v="4"/>
    <s v="2100"/>
    <s v="000"/>
    <x v="0"/>
    <x v="2"/>
  </r>
  <r>
    <d v="2013-10-16T00:00:00"/>
    <s v="020-2210-000"/>
    <s v="Liquor Sales"/>
    <n v="4844.1976000000004"/>
    <n v="0"/>
    <s v="Daily Sales Import"/>
    <n v="-4844.1976000000004"/>
    <n v="4844.1976000000004"/>
    <x v="4"/>
    <s v="2210"/>
    <s v="000"/>
    <x v="0"/>
    <x v="2"/>
  </r>
  <r>
    <d v="2013-10-16T00:00:00"/>
    <s v="020-2220-000"/>
    <s v="Beer Sales"/>
    <n v="842.86880000000008"/>
    <n v="0"/>
    <s v="Daily Sales Import"/>
    <n v="-842.86880000000008"/>
    <n v="842.86880000000008"/>
    <x v="4"/>
    <s v="2220"/>
    <s v="000"/>
    <x v="0"/>
    <x v="2"/>
  </r>
  <r>
    <d v="2013-10-16T00:00:00"/>
    <s v="020-2230-000"/>
    <s v="Wine Sales"/>
    <n v="190.64080000000001"/>
    <n v="0"/>
    <s v="Daily Sales Import"/>
    <n v="-190.64080000000001"/>
    <n v="190.64080000000001"/>
    <x v="4"/>
    <s v="2230"/>
    <s v="000"/>
    <x v="0"/>
    <x v="2"/>
  </r>
  <r>
    <d v="2013-10-17T00:00:00"/>
    <s v="020-2100-000"/>
    <s v="Food Sales"/>
    <n v="12438.72"/>
    <n v="0"/>
    <s v="Daily Sales Import"/>
    <n v="-12438.72"/>
    <n v="12438.72"/>
    <x v="4"/>
    <s v="2100"/>
    <s v="000"/>
    <x v="0"/>
    <x v="2"/>
  </r>
  <r>
    <d v="2013-10-17T00:00:00"/>
    <s v="020-2210-000"/>
    <s v="Liquor Sales"/>
    <n v="5007.6630000000005"/>
    <n v="0"/>
    <s v="Daily Sales Import"/>
    <n v="-5007.6630000000005"/>
    <n v="5007.6630000000005"/>
    <x v="4"/>
    <s v="2210"/>
    <s v="000"/>
    <x v="0"/>
    <x v="2"/>
  </r>
  <r>
    <d v="2013-10-17T00:00:00"/>
    <s v="020-2220-000"/>
    <s v="Beer Sales"/>
    <n v="913.43040000000008"/>
    <n v="0"/>
    <s v="Daily Sales Import"/>
    <n v="-913.43040000000008"/>
    <n v="913.43040000000008"/>
    <x v="4"/>
    <s v="2220"/>
    <s v="000"/>
    <x v="0"/>
    <x v="2"/>
  </r>
  <r>
    <d v="2013-10-17T00:00:00"/>
    <s v="020-2230-000"/>
    <s v="Wine Sales"/>
    <n v="181.65699999999998"/>
    <n v="0"/>
    <s v="Daily Sales Import"/>
    <n v="-181.65699999999998"/>
    <n v="181.65699999999998"/>
    <x v="4"/>
    <s v="2230"/>
    <s v="000"/>
    <x v="0"/>
    <x v="2"/>
  </r>
  <r>
    <d v="2013-10-18T00:00:00"/>
    <s v="020-2100-000"/>
    <s v="Food Sales"/>
    <n v="13824.064800000002"/>
    <n v="0"/>
    <s v="Daily Sales Import"/>
    <n v="-13824.064800000002"/>
    <n v="13824.064800000002"/>
    <x v="4"/>
    <s v="2100"/>
    <s v="000"/>
    <x v="0"/>
    <x v="2"/>
  </r>
  <r>
    <d v="2013-10-18T00:00:00"/>
    <s v="020-2210-000"/>
    <s v="Liquor Sales"/>
    <n v="9268.4045999999998"/>
    <n v="0"/>
    <s v="Daily Sales Import"/>
    <n v="-9268.4045999999998"/>
    <n v="9268.4045999999998"/>
    <x v="4"/>
    <s v="2210"/>
    <s v="000"/>
    <x v="0"/>
    <x v="2"/>
  </r>
  <r>
    <d v="2013-10-18T00:00:00"/>
    <s v="020-2220-000"/>
    <s v="Beer Sales"/>
    <n v="1522.9778000000001"/>
    <n v="0"/>
    <s v="Daily Sales Import"/>
    <n v="-1522.9778000000001"/>
    <n v="1522.9778000000001"/>
    <x v="4"/>
    <s v="2220"/>
    <s v="000"/>
    <x v="0"/>
    <x v="2"/>
  </r>
  <r>
    <d v="2013-10-18T00:00:00"/>
    <s v="020-2230-000"/>
    <s v="Wine Sales"/>
    <n v="253.05349999999999"/>
    <n v="0"/>
    <s v="Daily Sales Import"/>
    <n v="-253.05349999999999"/>
    <n v="253.05349999999999"/>
    <x v="4"/>
    <s v="2230"/>
    <s v="000"/>
    <x v="0"/>
    <x v="2"/>
  </r>
  <r>
    <d v="2013-10-19T00:00:00"/>
    <s v="020-2100-000"/>
    <s v="Food Sales"/>
    <n v="23549.106"/>
    <n v="0"/>
    <s v="Daily Sales Import"/>
    <n v="-23549.106"/>
    <n v="23549.106"/>
    <x v="4"/>
    <s v="2100"/>
    <s v="000"/>
    <x v="0"/>
    <x v="2"/>
  </r>
  <r>
    <d v="2013-10-19T00:00:00"/>
    <s v="020-2210-000"/>
    <s v="Liquor Sales"/>
    <n v="7261.1883000000007"/>
    <n v="0"/>
    <s v="Daily Sales Import"/>
    <n v="-7261.1883000000007"/>
    <n v="7261.1883000000007"/>
    <x v="4"/>
    <s v="2210"/>
    <s v="000"/>
    <x v="0"/>
    <x v="2"/>
  </r>
  <r>
    <d v="2013-10-19T00:00:00"/>
    <s v="020-2220-000"/>
    <s v="Beer Sales"/>
    <n v="1188.1804"/>
    <n v="0"/>
    <s v="Daily Sales Import"/>
    <n v="-1188.1804"/>
    <n v="1188.1804"/>
    <x v="4"/>
    <s v="2220"/>
    <s v="000"/>
    <x v="0"/>
    <x v="2"/>
  </r>
  <r>
    <d v="2013-10-19T00:00:00"/>
    <s v="020-2230-000"/>
    <s v="Wine Sales"/>
    <n v="145.5401"/>
    <n v="0"/>
    <s v="Daily Sales Import"/>
    <n v="-145.5401"/>
    <n v="145.5401"/>
    <x v="4"/>
    <s v="2230"/>
    <s v="000"/>
    <x v="0"/>
    <x v="2"/>
  </r>
  <r>
    <d v="2013-10-20T00:00:00"/>
    <s v="020-2100-000"/>
    <s v="Food Sales"/>
    <n v="14226.293400000002"/>
    <n v="0"/>
    <s v="Daily Sales Import"/>
    <n v="-14226.293400000002"/>
    <n v="14226.293400000002"/>
    <x v="4"/>
    <s v="2100"/>
    <s v="000"/>
    <x v="0"/>
    <x v="2"/>
  </r>
  <r>
    <d v="2013-10-20T00:00:00"/>
    <s v="020-2210-000"/>
    <s v="Liquor Sales"/>
    <n v="4986.7523999999994"/>
    <n v="0"/>
    <s v="Daily Sales Import"/>
    <n v="-4986.7523999999994"/>
    <n v="4986.7523999999994"/>
    <x v="4"/>
    <s v="2210"/>
    <s v="000"/>
    <x v="0"/>
    <x v="2"/>
  </r>
  <r>
    <d v="2013-10-20T00:00:00"/>
    <s v="020-2220-000"/>
    <s v="Beer Sales"/>
    <n v="729.97199999999998"/>
    <n v="0"/>
    <s v="Daily Sales Import"/>
    <n v="-729.97199999999998"/>
    <n v="729.97199999999998"/>
    <x v="4"/>
    <s v="2220"/>
    <s v="000"/>
    <x v="0"/>
    <x v="2"/>
  </r>
  <r>
    <d v="2013-10-20T00:00:00"/>
    <s v="020-2230-000"/>
    <s v="Wine Sales"/>
    <n v="164.78279999999998"/>
    <n v="0"/>
    <s v="Daily Sales Import"/>
    <n v="-164.78279999999998"/>
    <n v="164.78279999999998"/>
    <x v="4"/>
    <s v="2230"/>
    <s v="000"/>
    <x v="0"/>
    <x v="2"/>
  </r>
  <r>
    <d v="2013-10-21T00:00:00"/>
    <s v="016-2100-000"/>
    <s v="Food Sales"/>
    <n v="2272.8966"/>
    <n v="0"/>
    <s v="Daily Sales Import"/>
    <n v="-2272.8966"/>
    <n v="2272.8966"/>
    <x v="0"/>
    <s v="2100"/>
    <s v="000"/>
    <x v="0"/>
    <x v="2"/>
  </r>
  <r>
    <d v="2013-10-21T00:00:00"/>
    <s v="016-2210-000"/>
    <s v="Liquor Sales"/>
    <n v="586.17459999999994"/>
    <n v="0"/>
    <s v="Daily Sales Import"/>
    <n v="-586.17459999999994"/>
    <n v="586.17459999999994"/>
    <x v="0"/>
    <s v="2210"/>
    <s v="000"/>
    <x v="0"/>
    <x v="2"/>
  </r>
  <r>
    <d v="2013-10-21T00:00:00"/>
    <s v="016-2220-000"/>
    <s v="Beer Sales"/>
    <n v="127.836"/>
    <n v="0"/>
    <s v="Daily Sales Import"/>
    <n v="-127.836"/>
    <n v="127.836"/>
    <x v="0"/>
    <s v="2220"/>
    <s v="000"/>
    <x v="0"/>
    <x v="2"/>
  </r>
  <r>
    <d v="2013-10-21T00:00:00"/>
    <s v="016-2230-000"/>
    <s v="Wine Sales"/>
    <n v="25.511199999999999"/>
    <n v="0"/>
    <s v="Daily Sales Import"/>
    <n v="-25.511199999999999"/>
    <n v="25.511199999999999"/>
    <x v="0"/>
    <s v="2230"/>
    <s v="000"/>
    <x v="0"/>
    <x v="2"/>
  </r>
  <r>
    <d v="2013-10-22T00:00:00"/>
    <s v="016-2100-000"/>
    <s v="Food Sales"/>
    <n v="8207.2284"/>
    <n v="0"/>
    <s v="Daily Sales Import"/>
    <n v="-8207.2284"/>
    <n v="8207.2284"/>
    <x v="0"/>
    <s v="2100"/>
    <s v="000"/>
    <x v="0"/>
    <x v="2"/>
  </r>
  <r>
    <d v="2013-10-22T00:00:00"/>
    <s v="016-2210-000"/>
    <s v="Liquor Sales"/>
    <n v="1620.848"/>
    <n v="0"/>
    <s v="Daily Sales Import"/>
    <n v="-1620.848"/>
    <n v="1620.848"/>
    <x v="0"/>
    <s v="2210"/>
    <s v="000"/>
    <x v="0"/>
    <x v="2"/>
  </r>
  <r>
    <d v="2013-10-22T00:00:00"/>
    <s v="016-2220-000"/>
    <s v="Beer Sales"/>
    <n v="434.59680000000003"/>
    <n v="0"/>
    <s v="Daily Sales Import"/>
    <n v="-434.59680000000003"/>
    <n v="434.59680000000003"/>
    <x v="0"/>
    <s v="2220"/>
    <s v="000"/>
    <x v="0"/>
    <x v="2"/>
  </r>
  <r>
    <d v="2013-10-22T00:00:00"/>
    <s v="016-2230-000"/>
    <s v="Wine Sales"/>
    <n v="87.162899999999993"/>
    <n v="0"/>
    <s v="Daily Sales Import"/>
    <n v="-87.162899999999993"/>
    <n v="87.162899999999993"/>
    <x v="0"/>
    <s v="2230"/>
    <s v="000"/>
    <x v="0"/>
    <x v="2"/>
  </r>
  <r>
    <d v="2013-10-23T00:00:00"/>
    <s v="016-2100-000"/>
    <s v="Food Sales"/>
    <n v="1915.4876999999999"/>
    <n v="0"/>
    <s v="Daily Sales Import"/>
    <n v="-1915.4876999999999"/>
    <n v="1915.4876999999999"/>
    <x v="0"/>
    <s v="2100"/>
    <s v="000"/>
    <x v="0"/>
    <x v="2"/>
  </r>
  <r>
    <d v="2013-10-23T00:00:00"/>
    <s v="016-2210-000"/>
    <s v="Liquor Sales"/>
    <n v="351.0496"/>
    <n v="0"/>
    <s v="Daily Sales Import"/>
    <n v="-351.0496"/>
    <n v="351.0496"/>
    <x v="0"/>
    <s v="2210"/>
    <s v="000"/>
    <x v="0"/>
    <x v="2"/>
  </r>
  <r>
    <d v="2013-10-23T00:00:00"/>
    <s v="016-2220-000"/>
    <s v="Beer Sales"/>
    <n v="80.926300000000012"/>
    <n v="0"/>
    <s v="Daily Sales Import"/>
    <n v="-80.926300000000012"/>
    <n v="80.926300000000012"/>
    <x v="0"/>
    <s v="2220"/>
    <s v="000"/>
    <x v="0"/>
    <x v="2"/>
  </r>
  <r>
    <d v="2013-10-23T00:00:00"/>
    <s v="016-2230-000"/>
    <s v="Wine Sales"/>
    <n v="60.147999999999996"/>
    <n v="0"/>
    <s v="Daily Sales Import"/>
    <n v="-60.147999999999996"/>
    <n v="60.147999999999996"/>
    <x v="0"/>
    <s v="2230"/>
    <s v="000"/>
    <x v="0"/>
    <x v="2"/>
  </r>
  <r>
    <d v="2013-10-24T00:00:00"/>
    <s v="016-2100-000"/>
    <s v="Food Sales"/>
    <n v="1786.2180000000001"/>
    <n v="0"/>
    <s v="Daily Sales Import"/>
    <n v="-1786.2180000000001"/>
    <n v="1786.2180000000001"/>
    <x v="0"/>
    <s v="2100"/>
    <s v="000"/>
    <x v="0"/>
    <x v="2"/>
  </r>
  <r>
    <d v="2013-10-24T00:00:00"/>
    <s v="016-2210-000"/>
    <s v="Liquor Sales"/>
    <n v="466.26800000000003"/>
    <n v="0"/>
    <s v="Daily Sales Import"/>
    <n v="-466.26800000000003"/>
    <n v="466.26800000000003"/>
    <x v="0"/>
    <s v="2210"/>
    <s v="000"/>
    <x v="0"/>
    <x v="2"/>
  </r>
  <r>
    <d v="2013-10-24T00:00:00"/>
    <s v="016-2220-000"/>
    <s v="Beer Sales"/>
    <n v="146.5959"/>
    <n v="0"/>
    <s v="Daily Sales Import"/>
    <n v="-146.5959"/>
    <n v="146.5959"/>
    <x v="0"/>
    <s v="2220"/>
    <s v="000"/>
    <x v="0"/>
    <x v="2"/>
  </r>
  <r>
    <d v="2013-10-24T00:00:00"/>
    <s v="016-2230-000"/>
    <s v="Wine Sales"/>
    <n v="17.6904"/>
    <n v="0"/>
    <s v="Daily Sales Import"/>
    <n v="-17.6904"/>
    <n v="17.6904"/>
    <x v="0"/>
    <s v="2230"/>
    <s v="000"/>
    <x v="0"/>
    <x v="2"/>
  </r>
  <r>
    <d v="2013-10-25T00:00:00"/>
    <s v="016-2100-000"/>
    <s v="Food Sales"/>
    <n v="4324.0598"/>
    <n v="0"/>
    <s v="Daily Sales Import"/>
    <n v="-4324.0598"/>
    <n v="4324.0598"/>
    <x v="0"/>
    <s v="2100"/>
    <s v="000"/>
    <x v="0"/>
    <x v="2"/>
  </r>
  <r>
    <d v="2013-10-25T00:00:00"/>
    <s v="016-2210-000"/>
    <s v="Liquor Sales"/>
    <n v="1764.4535999999998"/>
    <n v="0"/>
    <s v="Daily Sales Import"/>
    <n v="-1764.4535999999998"/>
    <n v="1764.4535999999998"/>
    <x v="0"/>
    <s v="2210"/>
    <s v="000"/>
    <x v="0"/>
    <x v="2"/>
  </r>
  <r>
    <d v="2013-10-25T00:00:00"/>
    <s v="016-2220-000"/>
    <s v="Beer Sales"/>
    <n v="355.02750000000003"/>
    <n v="0"/>
    <s v="Daily Sales Import"/>
    <n v="-355.02750000000003"/>
    <n v="355.02750000000003"/>
    <x v="0"/>
    <s v="2220"/>
    <s v="000"/>
    <x v="0"/>
    <x v="2"/>
  </r>
  <r>
    <d v="2013-10-25T00:00:00"/>
    <s v="016-2230-000"/>
    <s v="Wine Sales"/>
    <n v="143.18189999999998"/>
    <n v="0"/>
    <s v="Daily Sales Import"/>
    <n v="-143.18189999999998"/>
    <n v="143.18189999999998"/>
    <x v="0"/>
    <s v="2230"/>
    <s v="000"/>
    <x v="0"/>
    <x v="2"/>
  </r>
  <r>
    <d v="2013-10-26T00:00:00"/>
    <s v="016-2100-000"/>
    <s v="Food Sales"/>
    <n v="5543.3785000000007"/>
    <n v="0"/>
    <s v="Daily Sales Import"/>
    <n v="-5543.3785000000007"/>
    <n v="5543.3785000000007"/>
    <x v="0"/>
    <s v="2100"/>
    <s v="000"/>
    <x v="0"/>
    <x v="2"/>
  </r>
  <r>
    <d v="2013-10-26T00:00:00"/>
    <s v="016-2210-000"/>
    <s v="Liquor Sales"/>
    <n v="2180.268"/>
    <n v="0"/>
    <s v="Daily Sales Import"/>
    <n v="-2180.268"/>
    <n v="2180.268"/>
    <x v="0"/>
    <s v="2210"/>
    <s v="000"/>
    <x v="0"/>
    <x v="2"/>
  </r>
  <r>
    <d v="2013-10-26T00:00:00"/>
    <s v="016-2220-000"/>
    <s v="Beer Sales"/>
    <n v="318.67920000000004"/>
    <n v="0"/>
    <s v="Daily Sales Import"/>
    <n v="-318.67920000000004"/>
    <n v="318.67920000000004"/>
    <x v="0"/>
    <s v="2220"/>
    <s v="000"/>
    <x v="0"/>
    <x v="2"/>
  </r>
  <r>
    <d v="2013-10-26T00:00:00"/>
    <s v="016-2230-000"/>
    <s v="Wine Sales"/>
    <n v="219.40559999999999"/>
    <n v="0"/>
    <s v="Daily Sales Import"/>
    <n v="-219.40559999999999"/>
    <n v="219.40559999999999"/>
    <x v="0"/>
    <s v="2230"/>
    <s v="000"/>
    <x v="0"/>
    <x v="2"/>
  </r>
  <r>
    <d v="2013-10-27T00:00:00"/>
    <s v="016-2100-000"/>
    <s v="Food Sales"/>
    <n v="3030.6329999999998"/>
    <n v="0"/>
    <s v="Daily Sales Import"/>
    <n v="-3030.6329999999998"/>
    <n v="3030.6329999999998"/>
    <x v="0"/>
    <s v="2100"/>
    <s v="000"/>
    <x v="0"/>
    <x v="2"/>
  </r>
  <r>
    <d v="2013-10-27T00:00:00"/>
    <s v="016-2210-000"/>
    <s v="Liquor Sales"/>
    <n v="404.98779999999994"/>
    <n v="0"/>
    <s v="Daily Sales Import"/>
    <n v="-404.98779999999994"/>
    <n v="404.98779999999994"/>
    <x v="0"/>
    <s v="2210"/>
    <s v="000"/>
    <x v="0"/>
    <x v="2"/>
  </r>
  <r>
    <d v="2013-10-27T00:00:00"/>
    <s v="016-2220-000"/>
    <s v="Beer Sales"/>
    <n v="164.55600000000001"/>
    <n v="0"/>
    <s v="Daily Sales Import"/>
    <n v="-164.55600000000001"/>
    <n v="164.55600000000001"/>
    <x v="0"/>
    <s v="2220"/>
    <s v="000"/>
    <x v="0"/>
    <x v="2"/>
  </r>
  <r>
    <d v="2013-10-27T00:00:00"/>
    <s v="016-2230-000"/>
    <s v="Wine Sales"/>
    <n v="43.140799999999999"/>
    <n v="0"/>
    <s v="Daily Sales Import"/>
    <n v="-43.140799999999999"/>
    <n v="43.140799999999999"/>
    <x v="0"/>
    <s v="2230"/>
    <s v="000"/>
    <x v="0"/>
    <x v="2"/>
  </r>
  <r>
    <d v="2013-10-21T00:00:00"/>
    <s v="017-2100-000"/>
    <s v="Food Sales"/>
    <n v="4732.2467999999999"/>
    <n v="0"/>
    <s v="Daily Sales Import"/>
    <n v="-4732.2467999999999"/>
    <n v="4732.2467999999999"/>
    <x v="1"/>
    <s v="2100"/>
    <s v="000"/>
    <x v="0"/>
    <x v="2"/>
  </r>
  <r>
    <d v="2013-10-21T00:00:00"/>
    <s v="017-2210-000"/>
    <s v="Liquor Sales"/>
    <n v="787.73910000000001"/>
    <n v="0"/>
    <s v="Daily Sales Import"/>
    <n v="-787.73910000000001"/>
    <n v="787.73910000000001"/>
    <x v="1"/>
    <s v="2210"/>
    <s v="000"/>
    <x v="0"/>
    <x v="2"/>
  </r>
  <r>
    <d v="2013-10-21T00:00:00"/>
    <s v="017-2220-000"/>
    <s v="Beer Sales"/>
    <n v="170.9829"/>
    <n v="0"/>
    <s v="Daily Sales Import"/>
    <n v="-170.9829"/>
    <n v="170.9829"/>
    <x v="1"/>
    <s v="2220"/>
    <s v="000"/>
    <x v="0"/>
    <x v="2"/>
  </r>
  <r>
    <d v="2013-10-21T00:00:00"/>
    <s v="017-2230-000"/>
    <s v="Wine Sales"/>
    <n v="150.97069999999999"/>
    <n v="0"/>
    <s v="Daily Sales Import"/>
    <n v="-150.97069999999999"/>
    <n v="150.97069999999999"/>
    <x v="1"/>
    <s v="2230"/>
    <s v="000"/>
    <x v="0"/>
    <x v="2"/>
  </r>
  <r>
    <d v="2013-10-22T00:00:00"/>
    <s v="017-2100-000"/>
    <s v="Food Sales"/>
    <n v="6401.4140000000007"/>
    <n v="0"/>
    <s v="Daily Sales Import"/>
    <n v="-6401.4140000000007"/>
    <n v="6401.4140000000007"/>
    <x v="1"/>
    <s v="2100"/>
    <s v="000"/>
    <x v="0"/>
    <x v="2"/>
  </r>
  <r>
    <d v="2013-10-22T00:00:00"/>
    <s v="017-2210-000"/>
    <s v="Liquor Sales"/>
    <n v="1952.2595000000001"/>
    <n v="0"/>
    <s v="Daily Sales Import"/>
    <n v="-1952.2595000000001"/>
    <n v="1952.2595000000001"/>
    <x v="1"/>
    <s v="2210"/>
    <s v="000"/>
    <x v="0"/>
    <x v="2"/>
  </r>
  <r>
    <d v="2013-10-22T00:00:00"/>
    <s v="017-2220-000"/>
    <s v="Beer Sales"/>
    <n v="551.16800000000001"/>
    <n v="0"/>
    <s v="Daily Sales Import"/>
    <n v="-551.16800000000001"/>
    <n v="551.16800000000001"/>
    <x v="1"/>
    <s v="2220"/>
    <s v="000"/>
    <x v="0"/>
    <x v="2"/>
  </r>
  <r>
    <d v="2013-10-22T00:00:00"/>
    <s v="017-2230-000"/>
    <s v="Wine Sales"/>
    <n v="318.80400000000003"/>
    <n v="0"/>
    <s v="Daily Sales Import"/>
    <n v="-318.80400000000003"/>
    <n v="318.80400000000003"/>
    <x v="1"/>
    <s v="2230"/>
    <s v="000"/>
    <x v="0"/>
    <x v="2"/>
  </r>
  <r>
    <d v="2013-10-23T00:00:00"/>
    <s v="017-2100-000"/>
    <s v="Food Sales"/>
    <n v="4315.3425999999999"/>
    <n v="0"/>
    <s v="Daily Sales Import"/>
    <n v="-4315.3425999999999"/>
    <n v="4315.3425999999999"/>
    <x v="1"/>
    <s v="2100"/>
    <s v="000"/>
    <x v="0"/>
    <x v="2"/>
  </r>
  <r>
    <d v="2013-10-23T00:00:00"/>
    <s v="017-2210-000"/>
    <s v="Liquor Sales"/>
    <n v="1323.2299"/>
    <n v="0"/>
    <s v="Daily Sales Import"/>
    <n v="-1323.2299"/>
    <n v="1323.2299"/>
    <x v="1"/>
    <s v="2210"/>
    <s v="000"/>
    <x v="0"/>
    <x v="2"/>
  </r>
  <r>
    <d v="2013-10-23T00:00:00"/>
    <s v="017-2220-000"/>
    <s v="Beer Sales"/>
    <n v="378.88560000000001"/>
    <n v="0"/>
    <s v="Daily Sales Import"/>
    <n v="-378.88560000000001"/>
    <n v="378.88560000000001"/>
    <x v="1"/>
    <s v="2220"/>
    <s v="000"/>
    <x v="0"/>
    <x v="2"/>
  </r>
  <r>
    <d v="2013-10-23T00:00:00"/>
    <s v="017-2230-000"/>
    <s v="Wine Sales"/>
    <n v="116.7114"/>
    <n v="0"/>
    <s v="Daily Sales Import"/>
    <n v="-116.7114"/>
    <n v="116.7114"/>
    <x v="1"/>
    <s v="2230"/>
    <s v="000"/>
    <x v="0"/>
    <x v="2"/>
  </r>
  <r>
    <d v="2013-10-24T00:00:00"/>
    <s v="017-2100-000"/>
    <s v="Food Sales"/>
    <n v="5245.255799999999"/>
    <n v="0"/>
    <s v="Daily Sales Import"/>
    <n v="-5245.255799999999"/>
    <n v="5245.255799999999"/>
    <x v="1"/>
    <s v="2100"/>
    <s v="000"/>
    <x v="0"/>
    <x v="2"/>
  </r>
  <r>
    <d v="2013-10-24T00:00:00"/>
    <s v="017-2210-000"/>
    <s v="Liquor Sales"/>
    <n v="2009.7525000000001"/>
    <n v="0"/>
    <s v="Daily Sales Import"/>
    <n v="-2009.7525000000001"/>
    <n v="2009.7525000000001"/>
    <x v="1"/>
    <s v="2210"/>
    <s v="000"/>
    <x v="0"/>
    <x v="2"/>
  </r>
  <r>
    <d v="2013-10-24T00:00:00"/>
    <s v="017-2220-000"/>
    <s v="Beer Sales"/>
    <n v="511.73849999999993"/>
    <n v="0"/>
    <s v="Daily Sales Import"/>
    <n v="-511.73849999999993"/>
    <n v="511.73849999999993"/>
    <x v="1"/>
    <s v="2220"/>
    <s v="000"/>
    <x v="0"/>
    <x v="2"/>
  </r>
  <r>
    <d v="2013-10-24T00:00:00"/>
    <s v="017-2230-000"/>
    <s v="Wine Sales"/>
    <n v="121.35600000000001"/>
    <n v="0"/>
    <s v="Daily Sales Import"/>
    <n v="-121.35600000000001"/>
    <n v="121.35600000000001"/>
    <x v="1"/>
    <s v="2230"/>
    <s v="000"/>
    <x v="0"/>
    <x v="2"/>
  </r>
  <r>
    <d v="2013-10-25T00:00:00"/>
    <s v="017-2100-000"/>
    <s v="Food Sales"/>
    <n v="4957.5963999999994"/>
    <n v="0"/>
    <s v="Daily Sales Import"/>
    <n v="-4957.5963999999994"/>
    <n v="4957.5963999999994"/>
    <x v="1"/>
    <s v="2100"/>
    <s v="000"/>
    <x v="0"/>
    <x v="2"/>
  </r>
  <r>
    <d v="2013-10-25T00:00:00"/>
    <s v="017-2210-000"/>
    <s v="Liquor Sales"/>
    <n v="1940.9273000000001"/>
    <n v="0"/>
    <s v="Daily Sales Import"/>
    <n v="-1940.9273000000001"/>
    <n v="1940.9273000000001"/>
    <x v="1"/>
    <s v="2210"/>
    <s v="000"/>
    <x v="0"/>
    <x v="2"/>
  </r>
  <r>
    <d v="2013-10-25T00:00:00"/>
    <s v="017-2220-000"/>
    <s v="Beer Sales"/>
    <n v="302.5385"/>
    <n v="0"/>
    <s v="Daily Sales Import"/>
    <n v="-302.5385"/>
    <n v="302.5385"/>
    <x v="1"/>
    <s v="2220"/>
    <s v="000"/>
    <x v="0"/>
    <x v="2"/>
  </r>
  <r>
    <d v="2013-10-25T00:00:00"/>
    <s v="017-2230-000"/>
    <s v="Wine Sales"/>
    <n v="126.91910000000001"/>
    <n v="0"/>
    <s v="Daily Sales Import"/>
    <n v="-126.91910000000001"/>
    <n v="126.91910000000001"/>
    <x v="1"/>
    <s v="2230"/>
    <s v="000"/>
    <x v="0"/>
    <x v="2"/>
  </r>
  <r>
    <d v="2013-10-26T00:00:00"/>
    <s v="017-2100-000"/>
    <s v="Food Sales"/>
    <n v="6856.7831999999999"/>
    <n v="0"/>
    <s v="Daily Sales Import"/>
    <n v="-6856.7831999999999"/>
    <n v="6856.7831999999999"/>
    <x v="1"/>
    <s v="2100"/>
    <s v="000"/>
    <x v="0"/>
    <x v="2"/>
  </r>
  <r>
    <d v="2013-10-26T00:00:00"/>
    <s v="017-2210-000"/>
    <s v="Liquor Sales"/>
    <n v="2044.8655999999999"/>
    <n v="0"/>
    <s v="Daily Sales Import"/>
    <n v="-2044.8655999999999"/>
    <n v="2044.8655999999999"/>
    <x v="1"/>
    <s v="2210"/>
    <s v="000"/>
    <x v="0"/>
    <x v="2"/>
  </r>
  <r>
    <d v="2013-10-26T00:00:00"/>
    <s v="017-2220-000"/>
    <s v="Beer Sales"/>
    <n v="417.7448"/>
    <n v="0"/>
    <s v="Daily Sales Import"/>
    <n v="-417.7448"/>
    <n v="417.7448"/>
    <x v="1"/>
    <s v="2220"/>
    <s v="000"/>
    <x v="0"/>
    <x v="2"/>
  </r>
  <r>
    <d v="2013-10-26T00:00:00"/>
    <s v="017-2230-000"/>
    <s v="Wine Sales"/>
    <n v="88.077200000000005"/>
    <n v="0"/>
    <s v="Daily Sales Import"/>
    <n v="-88.077200000000005"/>
    <n v="88.077200000000005"/>
    <x v="1"/>
    <s v="2230"/>
    <s v="000"/>
    <x v="0"/>
    <x v="2"/>
  </r>
  <r>
    <d v="2013-10-27T00:00:00"/>
    <s v="017-2100-000"/>
    <s v="Food Sales"/>
    <n v="3732.1217999999999"/>
    <n v="0"/>
    <s v="Daily Sales Import"/>
    <n v="-3732.1217999999999"/>
    <n v="3732.1217999999999"/>
    <x v="1"/>
    <s v="2100"/>
    <s v="000"/>
    <x v="0"/>
    <x v="2"/>
  </r>
  <r>
    <d v="2013-10-27T00:00:00"/>
    <s v="017-2210-000"/>
    <s v="Liquor Sales"/>
    <n v="829.81919999999991"/>
    <n v="0"/>
    <s v="Daily Sales Import"/>
    <n v="-829.81919999999991"/>
    <n v="829.81919999999991"/>
    <x v="1"/>
    <s v="2210"/>
    <s v="000"/>
    <x v="0"/>
    <x v="2"/>
  </r>
  <r>
    <d v="2013-10-27T00:00:00"/>
    <s v="017-2220-000"/>
    <s v="Beer Sales"/>
    <n v="116.55200000000001"/>
    <n v="0"/>
    <s v="Daily Sales Import"/>
    <n v="-116.55200000000001"/>
    <n v="116.55200000000001"/>
    <x v="1"/>
    <s v="2220"/>
    <s v="000"/>
    <x v="0"/>
    <x v="2"/>
  </r>
  <r>
    <d v="2013-10-27T00:00:00"/>
    <s v="017-2230-000"/>
    <s v="Wine Sales"/>
    <n v="97.621999999999986"/>
    <n v="0"/>
    <s v="Daily Sales Import"/>
    <n v="-97.621999999999986"/>
    <n v="97.621999999999986"/>
    <x v="1"/>
    <s v="2230"/>
    <s v="000"/>
    <x v="0"/>
    <x v="2"/>
  </r>
  <r>
    <d v="2013-10-21T00:00:00"/>
    <s v="018-2100-000"/>
    <s v="Food Sales"/>
    <n v="3196.2960000000003"/>
    <n v="0"/>
    <s v="Daily Sales Import"/>
    <n v="-3196.2960000000003"/>
    <n v="3196.2960000000003"/>
    <x v="2"/>
    <s v="2100"/>
    <s v="000"/>
    <x v="0"/>
    <x v="2"/>
  </r>
  <r>
    <d v="2013-10-21T00:00:00"/>
    <s v="018-2210-000"/>
    <s v="Liquor Sales"/>
    <n v="633.69670000000008"/>
    <n v="0"/>
    <s v="Daily Sales Import"/>
    <n v="-633.69670000000008"/>
    <n v="633.69670000000008"/>
    <x v="2"/>
    <s v="2210"/>
    <s v="000"/>
    <x v="0"/>
    <x v="2"/>
  </r>
  <r>
    <d v="2013-10-21T00:00:00"/>
    <s v="018-2220-000"/>
    <s v="Beer Sales"/>
    <n v="157.7415"/>
    <n v="0"/>
    <s v="Daily Sales Import"/>
    <n v="-157.7415"/>
    <n v="157.7415"/>
    <x v="2"/>
    <s v="2220"/>
    <s v="000"/>
    <x v="0"/>
    <x v="2"/>
  </r>
  <r>
    <d v="2013-10-21T00:00:00"/>
    <s v="018-2230-000"/>
    <s v="Wine Sales"/>
    <n v="6.9047999999999998"/>
    <n v="0"/>
    <s v="Daily Sales Import"/>
    <n v="-6.9047999999999998"/>
    <n v="6.9047999999999998"/>
    <x v="2"/>
    <s v="2230"/>
    <s v="000"/>
    <x v="0"/>
    <x v="2"/>
  </r>
  <r>
    <d v="2013-10-22T00:00:00"/>
    <s v="018-2100-000"/>
    <s v="Food Sales"/>
    <n v="3962.4583000000007"/>
    <n v="0"/>
    <s v="Daily Sales Import"/>
    <n v="-3962.4583000000007"/>
    <n v="3962.4583000000007"/>
    <x v="2"/>
    <s v="2100"/>
    <s v="000"/>
    <x v="0"/>
    <x v="2"/>
  </r>
  <r>
    <d v="2013-10-22T00:00:00"/>
    <s v="018-2210-000"/>
    <s v="Liquor Sales"/>
    <n v="971.85270000000003"/>
    <n v="0"/>
    <s v="Daily Sales Import"/>
    <n v="-971.85270000000003"/>
    <n v="971.85270000000003"/>
    <x v="2"/>
    <s v="2210"/>
    <s v="000"/>
    <x v="0"/>
    <x v="2"/>
  </r>
  <r>
    <d v="2013-10-22T00:00:00"/>
    <s v="018-2220-000"/>
    <s v="Beer Sales"/>
    <n v="188.39479999999998"/>
    <n v="0"/>
    <s v="Daily Sales Import"/>
    <n v="-188.39479999999998"/>
    <n v="188.39479999999998"/>
    <x v="2"/>
    <s v="2220"/>
    <s v="000"/>
    <x v="0"/>
    <x v="2"/>
  </r>
  <r>
    <d v="2013-10-22T00:00:00"/>
    <s v="018-2230-000"/>
    <s v="Wine Sales"/>
    <n v="46.909199999999998"/>
    <n v="0"/>
    <s v="Daily Sales Import"/>
    <n v="-46.909199999999998"/>
    <n v="46.909199999999998"/>
    <x v="2"/>
    <s v="2230"/>
    <s v="000"/>
    <x v="0"/>
    <x v="2"/>
  </r>
  <r>
    <d v="2013-10-23T00:00:00"/>
    <s v="018-2100-000"/>
    <s v="Food Sales"/>
    <n v="4448.4209999999994"/>
    <n v="0"/>
    <s v="Daily Sales Import"/>
    <n v="-4448.4209999999994"/>
    <n v="4448.4209999999994"/>
    <x v="2"/>
    <s v="2100"/>
    <s v="000"/>
    <x v="0"/>
    <x v="2"/>
  </r>
  <r>
    <d v="2013-10-23T00:00:00"/>
    <s v="018-2210-000"/>
    <s v="Liquor Sales"/>
    <n v="745.81530000000009"/>
    <n v="0"/>
    <s v="Daily Sales Import"/>
    <n v="-745.81530000000009"/>
    <n v="745.81530000000009"/>
    <x v="2"/>
    <s v="2210"/>
    <s v="000"/>
    <x v="0"/>
    <x v="2"/>
  </r>
  <r>
    <d v="2013-10-23T00:00:00"/>
    <s v="018-2220-000"/>
    <s v="Beer Sales"/>
    <n v="143.845"/>
    <n v="0"/>
    <s v="Daily Sales Import"/>
    <n v="-143.845"/>
    <n v="143.845"/>
    <x v="2"/>
    <s v="2220"/>
    <s v="000"/>
    <x v="0"/>
    <x v="2"/>
  </r>
  <r>
    <d v="2013-10-23T00:00:00"/>
    <s v="018-2230-000"/>
    <s v="Wine Sales"/>
    <n v="28.240200000000002"/>
    <n v="0"/>
    <s v="Daily Sales Import"/>
    <n v="-28.240200000000002"/>
    <n v="28.240200000000002"/>
    <x v="2"/>
    <s v="2230"/>
    <s v="000"/>
    <x v="0"/>
    <x v="2"/>
  </r>
  <r>
    <d v="2013-10-24T00:00:00"/>
    <s v="018-2100-000"/>
    <s v="Food Sales"/>
    <n v="3636.7131000000004"/>
    <n v="0"/>
    <s v="Daily Sales Import"/>
    <n v="-3636.7131000000004"/>
    <n v="3636.7131000000004"/>
    <x v="2"/>
    <s v="2100"/>
    <s v="000"/>
    <x v="0"/>
    <x v="2"/>
  </r>
  <r>
    <d v="2013-10-24T00:00:00"/>
    <s v="018-2210-000"/>
    <s v="Liquor Sales"/>
    <n v="565.23540000000003"/>
    <n v="0"/>
    <s v="Daily Sales Import"/>
    <n v="-565.23540000000003"/>
    <n v="565.23540000000003"/>
    <x v="2"/>
    <s v="2210"/>
    <s v="000"/>
    <x v="0"/>
    <x v="2"/>
  </r>
  <r>
    <d v="2013-10-24T00:00:00"/>
    <s v="018-2220-000"/>
    <s v="Beer Sales"/>
    <n v="211.32390000000001"/>
    <n v="0"/>
    <s v="Daily Sales Import"/>
    <n v="-211.32390000000001"/>
    <n v="211.32390000000001"/>
    <x v="2"/>
    <s v="2220"/>
    <s v="000"/>
    <x v="0"/>
    <x v="2"/>
  </r>
  <r>
    <d v="2013-10-24T00:00:00"/>
    <s v="018-2230-000"/>
    <s v="Wine Sales"/>
    <n v="73.71759999999999"/>
    <n v="0"/>
    <s v="Daily Sales Import"/>
    <n v="-73.71759999999999"/>
    <n v="73.71759999999999"/>
    <x v="2"/>
    <s v="2230"/>
    <s v="000"/>
    <x v="0"/>
    <x v="2"/>
  </r>
  <r>
    <d v="2013-10-25T00:00:00"/>
    <s v="018-2100-000"/>
    <s v="Food Sales"/>
    <n v="6924.8103000000001"/>
    <n v="0"/>
    <s v="Daily Sales Import"/>
    <n v="-6924.8103000000001"/>
    <n v="6924.8103000000001"/>
    <x v="2"/>
    <s v="2100"/>
    <s v="000"/>
    <x v="0"/>
    <x v="2"/>
  </r>
  <r>
    <d v="2013-10-25T00:00:00"/>
    <s v="018-2210-000"/>
    <s v="Liquor Sales"/>
    <n v="2016.2462"/>
    <n v="0"/>
    <s v="Daily Sales Import"/>
    <n v="-2016.2462"/>
    <n v="2016.2462"/>
    <x v="2"/>
    <s v="2210"/>
    <s v="000"/>
    <x v="0"/>
    <x v="2"/>
  </r>
  <r>
    <d v="2013-10-25T00:00:00"/>
    <s v="018-2220-000"/>
    <s v="Beer Sales"/>
    <n v="452.56959999999998"/>
    <n v="0"/>
    <s v="Daily Sales Import"/>
    <n v="-452.56959999999998"/>
    <n v="452.56959999999998"/>
    <x v="2"/>
    <s v="2220"/>
    <s v="000"/>
    <x v="0"/>
    <x v="2"/>
  </r>
  <r>
    <d v="2013-10-25T00:00:00"/>
    <s v="018-2230-000"/>
    <s v="Wine Sales"/>
    <n v="39.777799999999999"/>
    <n v="0"/>
    <s v="Daily Sales Import"/>
    <n v="-39.777799999999999"/>
    <n v="39.777799999999999"/>
    <x v="2"/>
    <s v="2230"/>
    <s v="000"/>
    <x v="0"/>
    <x v="2"/>
  </r>
  <r>
    <d v="2013-10-26T00:00:00"/>
    <s v="018-2100-000"/>
    <s v="Food Sales"/>
    <n v="16895.851699999999"/>
    <n v="0"/>
    <s v="Daily Sales Import"/>
    <n v="-16895.851699999999"/>
    <n v="16895.851699999999"/>
    <x v="2"/>
    <s v="2100"/>
    <s v="000"/>
    <x v="0"/>
    <x v="2"/>
  </r>
  <r>
    <d v="2013-10-26T00:00:00"/>
    <s v="018-2210-000"/>
    <s v="Liquor Sales"/>
    <n v="2328.2739999999999"/>
    <n v="0"/>
    <s v="Daily Sales Import"/>
    <n v="-2328.2739999999999"/>
    <n v="2328.2739999999999"/>
    <x v="2"/>
    <s v="2210"/>
    <s v="000"/>
    <x v="0"/>
    <x v="2"/>
  </r>
  <r>
    <d v="2013-10-26T00:00:00"/>
    <s v="018-2220-000"/>
    <s v="Beer Sales"/>
    <n v="917.43299999999999"/>
    <n v="0"/>
    <s v="Daily Sales Import"/>
    <n v="-917.43299999999999"/>
    <n v="917.43299999999999"/>
    <x v="2"/>
    <s v="2220"/>
    <s v="000"/>
    <x v="0"/>
    <x v="2"/>
  </r>
  <r>
    <d v="2013-10-26T00:00:00"/>
    <s v="018-2230-000"/>
    <s v="Wine Sales"/>
    <n v="108.042"/>
    <n v="0"/>
    <s v="Daily Sales Import"/>
    <n v="-108.042"/>
    <n v="108.042"/>
    <x v="2"/>
    <s v="2230"/>
    <s v="000"/>
    <x v="0"/>
    <x v="2"/>
  </r>
  <r>
    <d v="2013-10-27T00:00:00"/>
    <s v="018-2100-000"/>
    <s v="Food Sales"/>
    <n v="10296.9216"/>
    <n v="0"/>
    <s v="Daily Sales Import"/>
    <n v="-10296.9216"/>
    <n v="10296.9216"/>
    <x v="2"/>
    <s v="2100"/>
    <s v="000"/>
    <x v="0"/>
    <x v="2"/>
  </r>
  <r>
    <d v="2013-10-27T00:00:00"/>
    <s v="018-2210-000"/>
    <s v="Liquor Sales"/>
    <n v="1428.46"/>
    <n v="0"/>
    <s v="Daily Sales Import"/>
    <n v="-1428.46"/>
    <n v="1428.46"/>
    <x v="2"/>
    <s v="2210"/>
    <s v="000"/>
    <x v="0"/>
    <x v="2"/>
  </r>
  <r>
    <d v="2013-10-27T00:00:00"/>
    <s v="018-2220-000"/>
    <s v="Beer Sales"/>
    <n v="185.36619999999999"/>
    <n v="0"/>
    <s v="Daily Sales Import"/>
    <n v="-185.36619999999999"/>
    <n v="185.36619999999999"/>
    <x v="2"/>
    <s v="2220"/>
    <s v="000"/>
    <x v="0"/>
    <x v="2"/>
  </r>
  <r>
    <d v="2013-10-27T00:00:00"/>
    <s v="018-2230-000"/>
    <s v="Wine Sales"/>
    <n v="52.595000000000006"/>
    <n v="0"/>
    <s v="Daily Sales Import"/>
    <n v="-52.595000000000006"/>
    <n v="52.595000000000006"/>
    <x v="2"/>
    <s v="2230"/>
    <s v="000"/>
    <x v="0"/>
    <x v="2"/>
  </r>
  <r>
    <d v="2013-10-21T00:00:00"/>
    <s v="019-2100-000"/>
    <s v="Food Sales"/>
    <n v="4353.5536000000002"/>
    <n v="0"/>
    <s v="Daily Sales Import"/>
    <n v="-4353.5536000000002"/>
    <n v="4353.5536000000002"/>
    <x v="3"/>
    <s v="2100"/>
    <s v="000"/>
    <x v="0"/>
    <x v="2"/>
  </r>
  <r>
    <d v="2013-10-21T00:00:00"/>
    <s v="019-2210-000"/>
    <s v="Liquor Sales"/>
    <n v="738.70519999999999"/>
    <n v="0"/>
    <s v="Daily Sales Import"/>
    <n v="-738.70519999999999"/>
    <n v="738.70519999999999"/>
    <x v="3"/>
    <s v="2210"/>
    <s v="000"/>
    <x v="0"/>
    <x v="2"/>
  </r>
  <r>
    <d v="2013-10-21T00:00:00"/>
    <s v="019-2220-000"/>
    <s v="Beer Sales"/>
    <n v="346.09679999999997"/>
    <n v="0"/>
    <s v="Daily Sales Import"/>
    <n v="-346.09679999999997"/>
    <n v="346.09679999999997"/>
    <x v="3"/>
    <s v="2220"/>
    <s v="000"/>
    <x v="0"/>
    <x v="2"/>
  </r>
  <r>
    <d v="2013-10-21T00:00:00"/>
    <s v="019-2230-000"/>
    <s v="Wine Sales"/>
    <n v="94.032900000000012"/>
    <n v="0"/>
    <s v="Daily Sales Import"/>
    <n v="-94.032900000000012"/>
    <n v="94.032900000000012"/>
    <x v="3"/>
    <s v="2230"/>
    <s v="000"/>
    <x v="0"/>
    <x v="2"/>
  </r>
  <r>
    <d v="2013-10-22T00:00:00"/>
    <s v="019-2100-000"/>
    <s v="Food Sales"/>
    <n v="3394.1106999999997"/>
    <n v="0"/>
    <s v="Daily Sales Import"/>
    <n v="-3394.1106999999997"/>
    <n v="3394.1106999999997"/>
    <x v="3"/>
    <s v="2100"/>
    <s v="000"/>
    <x v="0"/>
    <x v="2"/>
  </r>
  <r>
    <d v="2013-10-22T00:00:00"/>
    <s v="019-2210-000"/>
    <s v="Liquor Sales"/>
    <n v="1590.5337999999999"/>
    <n v="0"/>
    <s v="Daily Sales Import"/>
    <n v="-1590.5337999999999"/>
    <n v="1590.5337999999999"/>
    <x v="3"/>
    <s v="2210"/>
    <s v="000"/>
    <x v="0"/>
    <x v="2"/>
  </r>
  <r>
    <d v="2013-10-22T00:00:00"/>
    <s v="019-2220-000"/>
    <s v="Beer Sales"/>
    <n v="276.05760000000004"/>
    <n v="0"/>
    <s v="Daily Sales Import"/>
    <n v="-276.05760000000004"/>
    <n v="276.05760000000004"/>
    <x v="3"/>
    <s v="2220"/>
    <s v="000"/>
    <x v="0"/>
    <x v="2"/>
  </r>
  <r>
    <d v="2013-10-22T00:00:00"/>
    <s v="019-2230-000"/>
    <s v="Wine Sales"/>
    <n v="91.125900000000001"/>
    <n v="0"/>
    <s v="Daily Sales Import"/>
    <n v="-91.125900000000001"/>
    <n v="91.125900000000001"/>
    <x v="3"/>
    <s v="2230"/>
    <s v="000"/>
    <x v="0"/>
    <x v="2"/>
  </r>
  <r>
    <d v="2013-10-23T00:00:00"/>
    <s v="019-2100-000"/>
    <s v="Food Sales"/>
    <n v="5374.9155000000001"/>
    <n v="0"/>
    <s v="Daily Sales Import"/>
    <n v="-5374.9155000000001"/>
    <n v="5374.9155000000001"/>
    <x v="3"/>
    <s v="2100"/>
    <s v="000"/>
    <x v="0"/>
    <x v="2"/>
  </r>
  <r>
    <d v="2013-10-23T00:00:00"/>
    <s v="019-2210-000"/>
    <s v="Liquor Sales"/>
    <n v="1783.8536999999999"/>
    <n v="0"/>
    <s v="Daily Sales Import"/>
    <n v="-1783.8536999999999"/>
    <n v="1783.8536999999999"/>
    <x v="3"/>
    <s v="2210"/>
    <s v="000"/>
    <x v="0"/>
    <x v="2"/>
  </r>
  <r>
    <d v="2013-10-23T00:00:00"/>
    <s v="019-2220-000"/>
    <s v="Beer Sales"/>
    <n v="286.71359999999999"/>
    <n v="0"/>
    <s v="Daily Sales Import"/>
    <n v="-286.71359999999999"/>
    <n v="286.71359999999999"/>
    <x v="3"/>
    <s v="2220"/>
    <s v="000"/>
    <x v="0"/>
    <x v="2"/>
  </r>
  <r>
    <d v="2013-10-23T00:00:00"/>
    <s v="019-2230-000"/>
    <s v="Wine Sales"/>
    <n v="75.429199999999994"/>
    <n v="0"/>
    <s v="Daily Sales Import"/>
    <n v="-75.429199999999994"/>
    <n v="75.429199999999994"/>
    <x v="3"/>
    <s v="2230"/>
    <s v="000"/>
    <x v="0"/>
    <x v="2"/>
  </r>
  <r>
    <d v="2013-10-24T00:00:00"/>
    <s v="019-2100-000"/>
    <s v="Food Sales"/>
    <n v="5081.4002999999993"/>
    <n v="0"/>
    <s v="Daily Sales Import"/>
    <n v="-5081.4002999999993"/>
    <n v="5081.4002999999993"/>
    <x v="3"/>
    <s v="2100"/>
    <s v="000"/>
    <x v="0"/>
    <x v="2"/>
  </r>
  <r>
    <d v="2013-10-24T00:00:00"/>
    <s v="019-2210-000"/>
    <s v="Liquor Sales"/>
    <n v="937.33799999999997"/>
    <n v="0"/>
    <s v="Daily Sales Import"/>
    <n v="-937.33799999999997"/>
    <n v="937.33799999999997"/>
    <x v="3"/>
    <s v="2210"/>
    <s v="000"/>
    <x v="0"/>
    <x v="2"/>
  </r>
  <r>
    <d v="2013-10-24T00:00:00"/>
    <s v="019-2220-000"/>
    <s v="Beer Sales"/>
    <n v="529.99760000000003"/>
    <n v="0"/>
    <s v="Daily Sales Import"/>
    <n v="-529.99760000000003"/>
    <n v="529.99760000000003"/>
    <x v="3"/>
    <s v="2220"/>
    <s v="000"/>
    <x v="0"/>
    <x v="2"/>
  </r>
  <r>
    <d v="2013-10-24T00:00:00"/>
    <s v="019-2230-000"/>
    <s v="Wine Sales"/>
    <n v="45.684600000000003"/>
    <n v="0"/>
    <s v="Daily Sales Import"/>
    <n v="-45.684600000000003"/>
    <n v="45.684600000000003"/>
    <x v="3"/>
    <s v="2230"/>
    <s v="000"/>
    <x v="0"/>
    <x v="2"/>
  </r>
  <r>
    <d v="2013-10-25T00:00:00"/>
    <s v="019-2100-000"/>
    <s v="Food Sales"/>
    <n v="3981.5490000000004"/>
    <n v="0"/>
    <s v="Daily Sales Import"/>
    <n v="-3981.5490000000004"/>
    <n v="3981.5490000000004"/>
    <x v="3"/>
    <s v="2100"/>
    <s v="000"/>
    <x v="0"/>
    <x v="2"/>
  </r>
  <r>
    <d v="2013-10-25T00:00:00"/>
    <s v="019-2210-000"/>
    <s v="Liquor Sales"/>
    <n v="2296.6821"/>
    <n v="0"/>
    <s v="Daily Sales Import"/>
    <n v="-2296.6821"/>
    <n v="2296.6821"/>
    <x v="3"/>
    <s v="2210"/>
    <s v="000"/>
    <x v="0"/>
    <x v="2"/>
  </r>
  <r>
    <d v="2013-10-25T00:00:00"/>
    <s v="019-2220-000"/>
    <s v="Beer Sales"/>
    <n v="366.67199999999997"/>
    <n v="0"/>
    <s v="Daily Sales Import"/>
    <n v="-366.67199999999997"/>
    <n v="366.67199999999997"/>
    <x v="3"/>
    <s v="2220"/>
    <s v="000"/>
    <x v="0"/>
    <x v="2"/>
  </r>
  <r>
    <d v="2013-10-25T00:00:00"/>
    <s v="019-2230-000"/>
    <s v="Wine Sales"/>
    <n v="94.497000000000014"/>
    <n v="0"/>
    <s v="Daily Sales Import"/>
    <n v="-94.497000000000014"/>
    <n v="94.497000000000014"/>
    <x v="3"/>
    <s v="2230"/>
    <s v="000"/>
    <x v="0"/>
    <x v="2"/>
  </r>
  <r>
    <d v="2013-10-26T00:00:00"/>
    <s v="019-2100-000"/>
    <s v="Food Sales"/>
    <n v="5220.9707999999991"/>
    <n v="0"/>
    <s v="Daily Sales Import"/>
    <n v="-5220.9707999999991"/>
    <n v="5220.9707999999991"/>
    <x v="3"/>
    <s v="2100"/>
    <s v="000"/>
    <x v="0"/>
    <x v="2"/>
  </r>
  <r>
    <d v="2013-10-26T00:00:00"/>
    <s v="019-2210-000"/>
    <s v="Liquor Sales"/>
    <n v="2214.9375"/>
    <n v="0"/>
    <s v="Daily Sales Import"/>
    <n v="-2214.9375"/>
    <n v="2214.9375"/>
    <x v="3"/>
    <s v="2210"/>
    <s v="000"/>
    <x v="0"/>
    <x v="2"/>
  </r>
  <r>
    <d v="2013-10-26T00:00:00"/>
    <s v="019-2220-000"/>
    <s v="Beer Sales"/>
    <n v="580.21199999999999"/>
    <n v="0"/>
    <s v="Daily Sales Import"/>
    <n v="-580.21199999999999"/>
    <n v="580.21199999999999"/>
    <x v="3"/>
    <s v="2220"/>
    <s v="000"/>
    <x v="0"/>
    <x v="2"/>
  </r>
  <r>
    <d v="2013-10-26T00:00:00"/>
    <s v="019-2230-000"/>
    <s v="Wine Sales"/>
    <n v="113.35170000000001"/>
    <n v="0"/>
    <s v="Daily Sales Import"/>
    <n v="-113.35170000000001"/>
    <n v="113.35170000000001"/>
    <x v="3"/>
    <s v="2230"/>
    <s v="000"/>
    <x v="0"/>
    <x v="2"/>
  </r>
  <r>
    <d v="2013-10-27T00:00:00"/>
    <s v="019-2100-000"/>
    <s v="Food Sales"/>
    <n v="4313.4969999999994"/>
    <n v="0"/>
    <s v="Daily Sales Import"/>
    <n v="-4313.4969999999994"/>
    <n v="4313.4969999999994"/>
    <x v="3"/>
    <s v="2100"/>
    <s v="000"/>
    <x v="0"/>
    <x v="2"/>
  </r>
  <r>
    <d v="2013-10-27T00:00:00"/>
    <s v="019-2210-000"/>
    <s v="Liquor Sales"/>
    <n v="1044.3247999999999"/>
    <n v="0"/>
    <s v="Daily Sales Import"/>
    <n v="-1044.3247999999999"/>
    <n v="1044.3247999999999"/>
    <x v="3"/>
    <s v="2210"/>
    <s v="000"/>
    <x v="0"/>
    <x v="2"/>
  </r>
  <r>
    <d v="2013-10-27T00:00:00"/>
    <s v="019-2220-000"/>
    <s v="Beer Sales"/>
    <n v="295.81439999999998"/>
    <n v="0"/>
    <s v="Daily Sales Import"/>
    <n v="-295.81439999999998"/>
    <n v="295.81439999999998"/>
    <x v="3"/>
    <s v="2220"/>
    <s v="000"/>
    <x v="0"/>
    <x v="2"/>
  </r>
  <r>
    <d v="2013-10-27T00:00:00"/>
    <s v="019-2230-000"/>
    <s v="Wine Sales"/>
    <n v="115.908"/>
    <n v="0"/>
    <s v="Daily Sales Import"/>
    <n v="-115.908"/>
    <n v="115.908"/>
    <x v="3"/>
    <s v="2230"/>
    <s v="000"/>
    <x v="0"/>
    <x v="2"/>
  </r>
  <r>
    <d v="2013-10-21T00:00:00"/>
    <s v="020-2100-000"/>
    <s v="Food Sales"/>
    <n v="9837.0687999999991"/>
    <n v="0"/>
    <s v="Daily Sales Import"/>
    <n v="-9837.0687999999991"/>
    <n v="9837.0687999999991"/>
    <x v="4"/>
    <s v="2100"/>
    <s v="000"/>
    <x v="0"/>
    <x v="2"/>
  </r>
  <r>
    <d v="2013-10-21T00:00:00"/>
    <s v="020-2210-000"/>
    <s v="Liquor Sales"/>
    <n v="2827.2509999999997"/>
    <n v="0"/>
    <s v="Daily Sales Import"/>
    <n v="-2827.2509999999997"/>
    <n v="2827.2509999999997"/>
    <x v="4"/>
    <s v="2210"/>
    <s v="000"/>
    <x v="0"/>
    <x v="2"/>
  </r>
  <r>
    <d v="2013-10-21T00:00:00"/>
    <s v="020-2220-000"/>
    <s v="Beer Sales"/>
    <n v="434.88060000000002"/>
    <n v="0"/>
    <s v="Daily Sales Import"/>
    <n v="-434.88060000000002"/>
    <n v="434.88060000000002"/>
    <x v="4"/>
    <s v="2220"/>
    <s v="000"/>
    <x v="0"/>
    <x v="2"/>
  </r>
  <r>
    <d v="2013-10-21T00:00:00"/>
    <s v="020-2230-000"/>
    <s v="Wine Sales"/>
    <n v="142.09020000000001"/>
    <n v="0"/>
    <s v="Daily Sales Import"/>
    <n v="-142.09020000000001"/>
    <n v="142.09020000000001"/>
    <x v="4"/>
    <s v="2230"/>
    <s v="000"/>
    <x v="0"/>
    <x v="2"/>
  </r>
  <r>
    <d v="2013-10-22T00:00:00"/>
    <s v="020-2100-000"/>
    <s v="Food Sales"/>
    <n v="13790.459499999999"/>
    <n v="0"/>
    <s v="Daily Sales Import"/>
    <n v="-13790.459499999999"/>
    <n v="13790.459499999999"/>
    <x v="4"/>
    <s v="2100"/>
    <s v="000"/>
    <x v="0"/>
    <x v="2"/>
  </r>
  <r>
    <d v="2013-10-22T00:00:00"/>
    <s v="020-2210-000"/>
    <s v="Liquor Sales"/>
    <n v="2732.6711999999998"/>
    <n v="0"/>
    <s v="Daily Sales Import"/>
    <n v="-2732.6711999999998"/>
    <n v="2732.6711999999998"/>
    <x v="4"/>
    <s v="2210"/>
    <s v="000"/>
    <x v="0"/>
    <x v="2"/>
  </r>
  <r>
    <d v="2013-10-22T00:00:00"/>
    <s v="020-2220-000"/>
    <s v="Beer Sales"/>
    <n v="607.28430000000003"/>
    <n v="0"/>
    <s v="Daily Sales Import"/>
    <n v="-607.28430000000003"/>
    <n v="607.28430000000003"/>
    <x v="4"/>
    <s v="2220"/>
    <s v="000"/>
    <x v="0"/>
    <x v="2"/>
  </r>
  <r>
    <d v="2013-10-22T00:00:00"/>
    <s v="020-2230-000"/>
    <s v="Wine Sales"/>
    <n v="130.00900000000001"/>
    <n v="0"/>
    <s v="Daily Sales Import"/>
    <n v="-130.00900000000001"/>
    <n v="130.00900000000001"/>
    <x v="4"/>
    <s v="2230"/>
    <s v="000"/>
    <x v="0"/>
    <x v="2"/>
  </r>
  <r>
    <d v="2013-10-23T00:00:00"/>
    <s v="020-2100-000"/>
    <s v="Food Sales"/>
    <n v="11507.034500000002"/>
    <n v="0"/>
    <s v="Daily Sales Import"/>
    <n v="-11507.034500000002"/>
    <n v="11507.034500000002"/>
    <x v="4"/>
    <s v="2100"/>
    <s v="000"/>
    <x v="0"/>
    <x v="2"/>
  </r>
  <r>
    <d v="2013-10-23T00:00:00"/>
    <s v="020-2210-000"/>
    <s v="Liquor Sales"/>
    <n v="3786.3004999999998"/>
    <n v="0"/>
    <s v="Daily Sales Import"/>
    <n v="-3786.3004999999998"/>
    <n v="3786.3004999999998"/>
    <x v="4"/>
    <s v="2210"/>
    <s v="000"/>
    <x v="0"/>
    <x v="2"/>
  </r>
  <r>
    <d v="2013-10-23T00:00:00"/>
    <s v="020-2220-000"/>
    <s v="Beer Sales"/>
    <n v="861.72149999999999"/>
    <n v="0"/>
    <s v="Daily Sales Import"/>
    <n v="-861.72149999999999"/>
    <n v="861.72149999999999"/>
    <x v="4"/>
    <s v="2220"/>
    <s v="000"/>
    <x v="0"/>
    <x v="2"/>
  </r>
  <r>
    <d v="2013-10-23T00:00:00"/>
    <s v="020-2230-000"/>
    <s v="Wine Sales"/>
    <n v="159.14619999999999"/>
    <n v="0"/>
    <s v="Daily Sales Import"/>
    <n v="-159.14619999999999"/>
    <n v="159.14619999999999"/>
    <x v="4"/>
    <s v="2230"/>
    <s v="000"/>
    <x v="0"/>
    <x v="2"/>
  </r>
  <r>
    <d v="2013-10-24T00:00:00"/>
    <s v="020-2100-000"/>
    <s v="Food Sales"/>
    <n v="13020.181200000001"/>
    <n v="0"/>
    <s v="Daily Sales Import"/>
    <n v="-13020.181200000001"/>
    <n v="13020.181200000001"/>
    <x v="4"/>
    <s v="2100"/>
    <s v="000"/>
    <x v="0"/>
    <x v="2"/>
  </r>
  <r>
    <d v="2013-10-24T00:00:00"/>
    <s v="020-2210-000"/>
    <s v="Liquor Sales"/>
    <n v="4686.3258000000005"/>
    <n v="0"/>
    <s v="Daily Sales Import"/>
    <n v="-4686.3258000000005"/>
    <n v="4686.3258000000005"/>
    <x v="4"/>
    <s v="2210"/>
    <s v="000"/>
    <x v="0"/>
    <x v="2"/>
  </r>
  <r>
    <d v="2013-10-24T00:00:00"/>
    <s v="020-2220-000"/>
    <s v="Beer Sales"/>
    <n v="871.31880000000012"/>
    <n v="0"/>
    <s v="Daily Sales Import"/>
    <n v="-871.31880000000012"/>
    <n v="871.31880000000012"/>
    <x v="4"/>
    <s v="2220"/>
    <s v="000"/>
    <x v="0"/>
    <x v="2"/>
  </r>
  <r>
    <d v="2013-10-24T00:00:00"/>
    <s v="020-2230-000"/>
    <s v="Wine Sales"/>
    <n v="234.67860000000002"/>
    <n v="0"/>
    <s v="Daily Sales Import"/>
    <n v="-234.67860000000002"/>
    <n v="234.67860000000002"/>
    <x v="4"/>
    <s v="2230"/>
    <s v="000"/>
    <x v="0"/>
    <x v="2"/>
  </r>
  <r>
    <d v="2013-10-25T00:00:00"/>
    <s v="020-2100-000"/>
    <s v="Food Sales"/>
    <n v="13614.554599999998"/>
    <n v="0"/>
    <s v="Daily Sales Import"/>
    <n v="-13614.554599999998"/>
    <n v="13614.554599999998"/>
    <x v="4"/>
    <s v="2100"/>
    <s v="000"/>
    <x v="0"/>
    <x v="2"/>
  </r>
  <r>
    <d v="2013-10-25T00:00:00"/>
    <s v="020-2210-000"/>
    <s v="Liquor Sales"/>
    <n v="7690.9520000000011"/>
    <n v="0"/>
    <s v="Daily Sales Import"/>
    <n v="-7690.9520000000011"/>
    <n v="7690.9520000000011"/>
    <x v="4"/>
    <s v="2210"/>
    <s v="000"/>
    <x v="0"/>
    <x v="2"/>
  </r>
  <r>
    <d v="2013-10-25T00:00:00"/>
    <s v="020-2220-000"/>
    <s v="Beer Sales"/>
    <n v="1300.9073000000001"/>
    <n v="0"/>
    <s v="Daily Sales Import"/>
    <n v="-1300.9073000000001"/>
    <n v="1300.9073000000001"/>
    <x v="4"/>
    <s v="2220"/>
    <s v="000"/>
    <x v="0"/>
    <x v="2"/>
  </r>
  <r>
    <d v="2013-10-25T00:00:00"/>
    <s v="020-2230-000"/>
    <s v="Wine Sales"/>
    <n v="272.22719999999998"/>
    <n v="0"/>
    <s v="Daily Sales Import"/>
    <n v="-272.22719999999998"/>
    <n v="272.22719999999998"/>
    <x v="4"/>
    <s v="2230"/>
    <s v="000"/>
    <x v="0"/>
    <x v="2"/>
  </r>
  <r>
    <d v="2013-10-26T00:00:00"/>
    <s v="020-2100-000"/>
    <s v="Food Sales"/>
    <n v="20720.135900000001"/>
    <n v="0"/>
    <s v="Daily Sales Import"/>
    <n v="-20720.135900000001"/>
    <n v="20720.135900000001"/>
    <x v="4"/>
    <s v="2100"/>
    <s v="000"/>
    <x v="0"/>
    <x v="2"/>
  </r>
  <r>
    <d v="2013-10-26T00:00:00"/>
    <s v="020-2210-000"/>
    <s v="Liquor Sales"/>
    <n v="10181.321"/>
    <n v="0"/>
    <s v="Daily Sales Import"/>
    <n v="-10181.321"/>
    <n v="10181.321"/>
    <x v="4"/>
    <s v="2210"/>
    <s v="000"/>
    <x v="0"/>
    <x v="2"/>
  </r>
  <r>
    <d v="2013-10-26T00:00:00"/>
    <s v="020-2220-000"/>
    <s v="Beer Sales"/>
    <n v="1925.9127000000001"/>
    <n v="0"/>
    <s v="Daily Sales Import"/>
    <n v="-1925.9127000000001"/>
    <n v="1925.9127000000001"/>
    <x v="4"/>
    <s v="2220"/>
    <s v="000"/>
    <x v="0"/>
    <x v="2"/>
  </r>
  <r>
    <d v="2013-10-26T00:00:00"/>
    <s v="020-2230-000"/>
    <s v="Wine Sales"/>
    <n v="213.97379999999998"/>
    <n v="0"/>
    <s v="Daily Sales Import"/>
    <n v="-213.97379999999998"/>
    <n v="213.97379999999998"/>
    <x v="4"/>
    <s v="2230"/>
    <s v="000"/>
    <x v="0"/>
    <x v="2"/>
  </r>
  <r>
    <d v="2013-10-27T00:00:00"/>
    <s v="020-2100-000"/>
    <s v="Food Sales"/>
    <n v="15158.725699999999"/>
    <n v="0"/>
    <s v="Daily Sales Import"/>
    <n v="-15158.725699999999"/>
    <n v="15158.725699999999"/>
    <x v="4"/>
    <s v="2100"/>
    <s v="000"/>
    <x v="0"/>
    <x v="2"/>
  </r>
  <r>
    <d v="2013-10-27T00:00:00"/>
    <s v="020-2210-000"/>
    <s v="Liquor Sales"/>
    <n v="5148.9989999999998"/>
    <n v="0"/>
    <s v="Daily Sales Import"/>
    <n v="-5148.9989999999998"/>
    <n v="5148.9989999999998"/>
    <x v="4"/>
    <s v="2210"/>
    <s v="000"/>
    <x v="0"/>
    <x v="2"/>
  </r>
  <r>
    <d v="2013-10-27T00:00:00"/>
    <s v="020-2220-000"/>
    <s v="Beer Sales"/>
    <n v="738.11400000000003"/>
    <n v="0"/>
    <s v="Daily Sales Import"/>
    <n v="-738.11400000000003"/>
    <n v="738.11400000000003"/>
    <x v="4"/>
    <s v="2220"/>
    <s v="000"/>
    <x v="0"/>
    <x v="2"/>
  </r>
  <r>
    <d v="2013-10-27T00:00:00"/>
    <s v="020-2230-000"/>
    <s v="Wine Sales"/>
    <n v="161.4306"/>
    <n v="0"/>
    <s v="Daily Sales Import"/>
    <n v="-161.4306"/>
    <n v="161.4306"/>
    <x v="4"/>
    <s v="2230"/>
    <s v="000"/>
    <x v="0"/>
    <x v="2"/>
  </r>
  <r>
    <d v="2013-10-26T00:00:00"/>
    <s v="016-2100-000"/>
    <s v="Food Sales"/>
    <n v="0"/>
    <n v="10.130000000000001"/>
    <s v="Daily Sales Import"/>
    <n v="10.130000000000001"/>
    <n v="10.130000000000001"/>
    <x v="0"/>
    <s v="2100"/>
    <s v="000"/>
    <x v="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_ARP" cacheId="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 chartFormat="8">
  <location ref="A4:E11" firstHeaderRow="1" firstDataRow="2" firstDataCol="1"/>
  <pivotFields count="13">
    <pivotField numFmtId="14" showAll="0"/>
    <pivotField showAll="0"/>
    <pivotField showAll="0"/>
    <pivotField numFmtId="43" showAll="0"/>
    <pivotField numFmtId="43" showAll="0"/>
    <pivotField showAll="0"/>
    <pivotField numFmtId="43" showAll="0"/>
    <pivotField dataField="1" numFmtId="43" showAll="0"/>
    <pivotField axis="axisRow" showAll="0" sortType="descending">
      <items count="6">
        <item x="0"/>
        <item x="1"/>
        <item x="2"/>
        <item x="3"/>
        <item x="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>
      <items count="13">
        <item x="3"/>
        <item x="4"/>
        <item x="5"/>
        <item x="6"/>
        <item x="7"/>
        <item x="8"/>
        <item x="9"/>
        <item x="10"/>
        <item x="11"/>
        <item x="0"/>
        <item x="1"/>
        <item x="2"/>
        <item t="default"/>
      </items>
    </pivotField>
    <pivotField axis="axisCol" showAll="0">
      <items count="4">
        <item x="0"/>
        <item x="1"/>
        <item x="2"/>
        <item t="default"/>
      </items>
    </pivotField>
  </pivotFields>
  <rowFields count="1">
    <field x="8"/>
  </rowFields>
  <rowItems count="6">
    <i>
      <x v="2"/>
    </i>
    <i>
      <x v="1"/>
    </i>
    <i>
      <x/>
    </i>
    <i>
      <x v="3"/>
    </i>
    <i>
      <x v="4"/>
    </i>
    <i t="grand">
      <x/>
    </i>
  </rowItems>
  <colFields count="1">
    <field x="12"/>
  </colFields>
  <colItems count="4">
    <i>
      <x/>
    </i>
    <i>
      <x v="1"/>
    </i>
    <i>
      <x v="2"/>
    </i>
    <i t="grand">
      <x/>
    </i>
  </colItems>
  <dataFields count="1">
    <dataField name="Sum of Absolute" fld="7" baseField="0" baseItem="0" numFmtId="44"/>
  </dataFields>
  <chartFormats count="11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1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1" format="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1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_ARP" cacheId="5" applyNumberFormats="0" applyBorderFormats="0" applyFontFormats="0" applyPatternFormats="0" applyAlignmentFormats="0" applyWidthHeightFormats="1" dataCaption="Values" updatedVersion="6" minRefreshableVersion="3" useAutoFormatting="1" itemPrintTitles="1" createdVersion="5" indent="0" outline="1" outlineData="1" multipleFieldFilters="0" chartFormat="1">
  <location ref="A3:G17" firstHeaderRow="1" firstDataRow="2" firstDataCol="1"/>
  <pivotFields count="13">
    <pivotField numFmtId="14" showAll="0"/>
    <pivotField showAll="0"/>
    <pivotField showAll="0"/>
    <pivotField numFmtId="43" showAll="0"/>
    <pivotField numFmtId="43" showAll="0"/>
    <pivotField showAll="0"/>
    <pivotField numFmtId="43" showAll="0"/>
    <pivotField dataField="1" numFmtId="43" showAll="0"/>
    <pivotField axis="axisCol" showAll="0">
      <items count="6">
        <item x="0"/>
        <item x="1"/>
        <item x="2"/>
        <item x="3"/>
        <item x="4"/>
        <item t="default"/>
      </items>
    </pivotField>
    <pivotField showAll="0"/>
    <pivotField showAll="0"/>
    <pivotField axis="axisRow" showAll="0">
      <items count="13">
        <item x="3"/>
        <item x="4"/>
        <item x="5"/>
        <item x="6"/>
        <item x="7"/>
        <item x="8"/>
        <item x="9"/>
        <item x="10"/>
        <item x="11"/>
        <item x="0"/>
        <item x="1"/>
        <item x="2"/>
        <item t="default"/>
      </items>
    </pivotField>
    <pivotField showAll="0"/>
  </pivotFields>
  <rowFields count="1">
    <field x="11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8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Sum of Absolute" fld="7" baseField="0" baseItem="0" numFmtId="44"/>
  </dataFields>
  <chartFormats count="5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le_ARP" cacheId="6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L13" firstHeaderRow="1" firstDataRow="2" firstDataCol="1" rowPageCount="1" colPageCount="1"/>
  <pivotFields count="14">
    <pivotField numFmtId="14" showAll="0"/>
    <pivotField showAll="0"/>
    <pivotField showAll="0"/>
    <pivotField numFmtId="43" showAll="0"/>
    <pivotField numFmtId="43" showAll="0"/>
    <pivotField showAll="0"/>
    <pivotField numFmtId="43" showAll="0"/>
    <pivotField dataField="1" numFmtId="43" showAll="0"/>
    <pivotField axis="axisRow" showAll="0">
      <items count="6">
        <item x="0"/>
        <item x="1"/>
        <item x="2"/>
        <item x="3"/>
        <item x="4"/>
        <item t="default"/>
      </items>
    </pivotField>
    <pivotField showAll="0"/>
    <pivotField showAll="0"/>
    <pivotField axis="axisCol" showAll="0">
      <items count="13">
        <item x="3"/>
        <item x="4"/>
        <item x="5"/>
        <item x="6"/>
        <item x="7"/>
        <item x="8"/>
        <item x="9"/>
        <item x="10"/>
        <item x="11"/>
        <item x="0"/>
        <item x="1"/>
        <item x="2"/>
        <item t="default"/>
      </items>
    </pivotField>
    <pivotField axis="axisPage" showAll="0">
      <items count="4">
        <item x="0"/>
        <item x="1"/>
        <item x="2"/>
        <item t="default"/>
      </items>
    </pivotField>
    <pivotField axis="axisRow" showAll="0" defaultSubtotal="0">
      <items count="3">
        <item x="0"/>
        <item x="2"/>
        <item x="1"/>
      </items>
    </pivotField>
  </pivotFields>
  <rowFields count="2">
    <field x="13"/>
    <field x="8"/>
  </rowFields>
  <rowItems count="9">
    <i>
      <x/>
    </i>
    <i r="1">
      <x/>
    </i>
    <i>
      <x v="1"/>
    </i>
    <i r="1">
      <x v="1"/>
    </i>
    <i r="1">
      <x v="2"/>
    </i>
    <i r="1">
      <x v="3"/>
    </i>
    <i>
      <x v="2"/>
    </i>
    <i r="1">
      <x v="4"/>
    </i>
    <i t="grand">
      <x/>
    </i>
  </rowItems>
  <colFields count="1">
    <field x="11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pageFields count="1">
    <pageField fld="12" item="2" hier="-1"/>
  </pageFields>
  <dataFields count="1">
    <dataField name="Sum of Absolute" fld="7" baseField="0" baseItem="0" numFmtId="4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4:E11"/>
  <sheetViews>
    <sheetView topLeftCell="A7" workbookViewId="0">
      <selection activeCell="J24" sqref="J24"/>
    </sheetView>
  </sheetViews>
  <sheetFormatPr defaultRowHeight="12" x14ac:dyDescent="0.2"/>
  <cols>
    <col min="1" max="1" width="16.6640625" bestFit="1" customWidth="1"/>
    <col min="2" max="2" width="17.1640625" bestFit="1" customWidth="1"/>
    <col min="3" max="4" width="15.83203125" customWidth="1"/>
    <col min="5" max="5" width="17" bestFit="1" customWidth="1"/>
    <col min="6" max="6" width="14.1640625" bestFit="1" customWidth="1"/>
    <col min="7" max="7" width="15.83203125" customWidth="1"/>
    <col min="8" max="9" width="14.1640625" bestFit="1" customWidth="1"/>
    <col min="10" max="10" width="15.83203125" bestFit="1" customWidth="1"/>
    <col min="11" max="12" width="14.1640625" customWidth="1"/>
    <col min="13" max="13" width="15.83203125" bestFit="1" customWidth="1"/>
    <col min="14" max="15" width="14.1640625" bestFit="1" customWidth="1"/>
    <col min="16" max="16" width="15.83203125" bestFit="1" customWidth="1"/>
    <col min="17" max="18" width="14.1640625" bestFit="1" customWidth="1"/>
    <col min="19" max="19" width="15.83203125" bestFit="1" customWidth="1"/>
    <col min="20" max="21" width="14.1640625" bestFit="1" customWidth="1"/>
    <col min="22" max="22" width="15.83203125" bestFit="1" customWidth="1"/>
    <col min="23" max="24" width="14.1640625" bestFit="1" customWidth="1"/>
    <col min="25" max="25" width="15.83203125" bestFit="1" customWidth="1"/>
    <col min="26" max="27" width="14.1640625" bestFit="1" customWidth="1"/>
    <col min="28" max="28" width="15.83203125" bestFit="1" customWidth="1"/>
    <col min="29" max="29" width="11.6640625" bestFit="1" customWidth="1"/>
    <col min="30" max="30" width="14.1640625" bestFit="1" customWidth="1"/>
    <col min="31" max="32" width="15.83203125" bestFit="1" customWidth="1"/>
    <col min="33" max="34" width="14.1640625" bestFit="1" customWidth="1"/>
    <col min="35" max="35" width="15.83203125" bestFit="1" customWidth="1"/>
    <col min="36" max="37" width="14.1640625" bestFit="1" customWidth="1"/>
    <col min="38" max="38" width="15.83203125" bestFit="1" customWidth="1"/>
    <col min="39" max="39" width="17" bestFit="1" customWidth="1"/>
  </cols>
  <sheetData>
    <row r="4" spans="1:5" x14ac:dyDescent="0.2">
      <c r="A4" s="19" t="s">
        <v>89</v>
      </c>
      <c r="B4" s="19" t="s">
        <v>97</v>
      </c>
    </row>
    <row r="5" spans="1:5" x14ac:dyDescent="0.2">
      <c r="A5" s="19" t="s">
        <v>90</v>
      </c>
      <c r="B5">
        <v>2011</v>
      </c>
      <c r="C5">
        <v>2012</v>
      </c>
      <c r="D5">
        <v>2013</v>
      </c>
      <c r="E5" t="s">
        <v>96</v>
      </c>
    </row>
    <row r="6" spans="1:5" x14ac:dyDescent="0.2">
      <c r="A6" s="20" t="s">
        <v>93</v>
      </c>
      <c r="B6" s="18">
        <v>424032.02569999965</v>
      </c>
      <c r="C6" s="18">
        <v>3330920.6367000029</v>
      </c>
      <c r="D6" s="18">
        <v>2827994.8680000012</v>
      </c>
      <c r="E6" s="18">
        <v>6582947.5304000042</v>
      </c>
    </row>
    <row r="7" spans="1:5" x14ac:dyDescent="0.2">
      <c r="A7" s="20" t="s">
        <v>92</v>
      </c>
      <c r="B7" s="18">
        <v>450096.06110000005</v>
      </c>
      <c r="C7" s="18">
        <v>2934458.0708000027</v>
      </c>
      <c r="D7" s="18">
        <v>2490001.4122000029</v>
      </c>
      <c r="E7" s="18">
        <v>5874555.5441000052</v>
      </c>
    </row>
    <row r="8" spans="1:5" x14ac:dyDescent="0.2">
      <c r="A8" s="20" t="s">
        <v>91</v>
      </c>
      <c r="B8" s="18">
        <v>415319.47630000015</v>
      </c>
      <c r="C8" s="18">
        <v>2477691.9161000038</v>
      </c>
      <c r="D8" s="18">
        <v>2073089.0392999989</v>
      </c>
      <c r="E8" s="18">
        <v>4966100.4317000024</v>
      </c>
    </row>
    <row r="9" spans="1:5" x14ac:dyDescent="0.2">
      <c r="A9" s="20" t="s">
        <v>94</v>
      </c>
      <c r="B9" s="18"/>
      <c r="C9" s="18"/>
      <c r="D9" s="18">
        <v>655983.37979999965</v>
      </c>
      <c r="E9" s="18">
        <v>655983.37979999965</v>
      </c>
    </row>
    <row r="10" spans="1:5" x14ac:dyDescent="0.2">
      <c r="A10" s="20" t="s">
        <v>95</v>
      </c>
      <c r="B10" s="18"/>
      <c r="C10" s="18"/>
      <c r="D10" s="18">
        <v>462733.12329999986</v>
      </c>
      <c r="E10" s="18">
        <v>462733.12329999986</v>
      </c>
    </row>
    <row r="11" spans="1:5" x14ac:dyDescent="0.2">
      <c r="A11" s="20" t="s">
        <v>96</v>
      </c>
      <c r="B11" s="18">
        <v>1289447.5630999999</v>
      </c>
      <c r="C11" s="18">
        <v>8743070.6236000098</v>
      </c>
      <c r="D11" s="18">
        <v>8509801.8226000015</v>
      </c>
      <c r="E11" s="18">
        <v>18542320.009300012</v>
      </c>
    </row>
  </sheetData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3:G17"/>
  <sheetViews>
    <sheetView topLeftCell="A7" workbookViewId="0"/>
  </sheetViews>
  <sheetFormatPr defaultRowHeight="12" x14ac:dyDescent="0.2"/>
  <cols>
    <col min="1" max="1" width="16.6640625" bestFit="1" customWidth="1"/>
    <col min="2" max="2" width="17.1640625" bestFit="1" customWidth="1"/>
    <col min="3" max="4" width="15.83203125" bestFit="1" customWidth="1"/>
    <col min="5" max="6" width="14.1640625" bestFit="1" customWidth="1"/>
    <col min="7" max="7" width="17" bestFit="1" customWidth="1"/>
  </cols>
  <sheetData>
    <row r="3" spans="1:7" x14ac:dyDescent="0.2">
      <c r="A3" s="19" t="s">
        <v>89</v>
      </c>
      <c r="B3" s="19" t="s">
        <v>97</v>
      </c>
    </row>
    <row r="4" spans="1:7" x14ac:dyDescent="0.2">
      <c r="A4" s="19" t="s">
        <v>90</v>
      </c>
      <c r="B4" t="s">
        <v>91</v>
      </c>
      <c r="C4" t="s">
        <v>92</v>
      </c>
      <c r="D4" t="s">
        <v>93</v>
      </c>
      <c r="E4" t="s">
        <v>94</v>
      </c>
      <c r="F4" t="s">
        <v>95</v>
      </c>
      <c r="G4" t="s">
        <v>96</v>
      </c>
    </row>
    <row r="5" spans="1:7" x14ac:dyDescent="0.2">
      <c r="A5" s="20">
        <v>1</v>
      </c>
      <c r="B5" s="18">
        <v>427909.47280000045</v>
      </c>
      <c r="C5" s="18">
        <v>444885.88919999998</v>
      </c>
      <c r="D5" s="18">
        <v>441448.27579999994</v>
      </c>
      <c r="E5" s="18"/>
      <c r="F5" s="18"/>
      <c r="G5" s="18">
        <v>1314243.6378000004</v>
      </c>
    </row>
    <row r="6" spans="1:7" x14ac:dyDescent="0.2">
      <c r="A6" s="20">
        <v>2</v>
      </c>
      <c r="B6" s="18">
        <v>406681.53889999981</v>
      </c>
      <c r="C6" s="18">
        <v>432229.52159999986</v>
      </c>
      <c r="D6" s="18">
        <v>473104.33360000007</v>
      </c>
      <c r="E6" s="18"/>
      <c r="F6" s="18"/>
      <c r="G6" s="18">
        <v>1312015.3940999997</v>
      </c>
    </row>
    <row r="7" spans="1:7" x14ac:dyDescent="0.2">
      <c r="A7" s="20">
        <v>3</v>
      </c>
      <c r="B7" s="18">
        <v>501767.15929999965</v>
      </c>
      <c r="C7" s="18">
        <v>540391.93689999997</v>
      </c>
      <c r="D7" s="18">
        <v>599383.91859999951</v>
      </c>
      <c r="E7" s="18"/>
      <c r="F7" s="18"/>
      <c r="G7" s="18">
        <v>1641543.0147999991</v>
      </c>
    </row>
    <row r="8" spans="1:7" x14ac:dyDescent="0.2">
      <c r="A8" s="20">
        <v>4</v>
      </c>
      <c r="B8" s="18">
        <v>429770.67780000018</v>
      </c>
      <c r="C8" s="18">
        <v>512803.55989999999</v>
      </c>
      <c r="D8" s="18">
        <v>551381.02759999968</v>
      </c>
      <c r="E8" s="18"/>
      <c r="F8" s="18"/>
      <c r="G8" s="18">
        <v>1493955.2652999999</v>
      </c>
    </row>
    <row r="9" spans="1:7" x14ac:dyDescent="0.2">
      <c r="A9" s="20">
        <v>5</v>
      </c>
      <c r="B9" s="18">
        <v>476694.06720000028</v>
      </c>
      <c r="C9" s="18">
        <v>585854.79530000023</v>
      </c>
      <c r="D9" s="18">
        <v>652411.66260000039</v>
      </c>
      <c r="E9" s="18"/>
      <c r="F9" s="18"/>
      <c r="G9" s="18">
        <v>1714960.5251000009</v>
      </c>
    </row>
    <row r="10" spans="1:7" x14ac:dyDescent="0.2">
      <c r="A10" s="20">
        <v>6</v>
      </c>
      <c r="B10" s="18">
        <v>390092.6318999998</v>
      </c>
      <c r="C10" s="18">
        <v>528036.12259999977</v>
      </c>
      <c r="D10" s="18">
        <v>630902.80429999961</v>
      </c>
      <c r="E10" s="18"/>
      <c r="F10" s="18"/>
      <c r="G10" s="18">
        <v>1549031.5587999993</v>
      </c>
    </row>
    <row r="11" spans="1:7" x14ac:dyDescent="0.2">
      <c r="A11" s="20">
        <v>7</v>
      </c>
      <c r="B11" s="18">
        <v>413433.78840000002</v>
      </c>
      <c r="C11" s="18">
        <v>520714.30919999973</v>
      </c>
      <c r="D11" s="18">
        <v>574680.79129999969</v>
      </c>
      <c r="E11" s="18">
        <v>117532.87019999999</v>
      </c>
      <c r="F11" s="18"/>
      <c r="G11" s="18">
        <v>1626361.7590999994</v>
      </c>
    </row>
    <row r="12" spans="1:7" x14ac:dyDescent="0.2">
      <c r="A12" s="20">
        <v>8</v>
      </c>
      <c r="B12" s="18">
        <v>386414.37859999994</v>
      </c>
      <c r="C12" s="18">
        <v>509793.20100000012</v>
      </c>
      <c r="D12" s="18">
        <v>573669.29770000023</v>
      </c>
      <c r="E12" s="18">
        <v>197649.03179999994</v>
      </c>
      <c r="F12" s="18"/>
      <c r="G12" s="18">
        <v>1667525.9091000003</v>
      </c>
    </row>
    <row r="13" spans="1:7" x14ac:dyDescent="0.2">
      <c r="A13" s="20">
        <v>9</v>
      </c>
      <c r="B13" s="18">
        <v>348391.49459999992</v>
      </c>
      <c r="C13" s="18">
        <v>447560.76870000031</v>
      </c>
      <c r="D13" s="18">
        <v>558141.41610000015</v>
      </c>
      <c r="E13" s="18">
        <v>174478.68229999996</v>
      </c>
      <c r="F13" s="18"/>
      <c r="G13" s="18">
        <v>1528572.3617000002</v>
      </c>
    </row>
    <row r="14" spans="1:7" x14ac:dyDescent="0.2">
      <c r="A14" s="20">
        <v>10</v>
      </c>
      <c r="B14" s="18">
        <v>346792.44390000013</v>
      </c>
      <c r="C14" s="18">
        <v>443481.36479999992</v>
      </c>
      <c r="D14" s="18">
        <v>554133.1869999998</v>
      </c>
      <c r="E14" s="18">
        <v>166322.79550000004</v>
      </c>
      <c r="F14" s="18">
        <v>462733.12329999986</v>
      </c>
      <c r="G14" s="18">
        <v>1973462.9144999997</v>
      </c>
    </row>
    <row r="15" spans="1:7" x14ac:dyDescent="0.2">
      <c r="A15" s="20">
        <v>11</v>
      </c>
      <c r="B15" s="18">
        <v>394336.48200000002</v>
      </c>
      <c r="C15" s="18">
        <v>425245.15999999974</v>
      </c>
      <c r="D15" s="18">
        <v>471680.04339999997</v>
      </c>
      <c r="E15" s="18"/>
      <c r="F15" s="18"/>
      <c r="G15" s="18">
        <v>1291261.6853999998</v>
      </c>
    </row>
    <row r="16" spans="1:7" x14ac:dyDescent="0.2">
      <c r="A16" s="20">
        <v>12</v>
      </c>
      <c r="B16" s="18">
        <v>443816.2963000001</v>
      </c>
      <c r="C16" s="18">
        <v>483558.9148999998</v>
      </c>
      <c r="D16" s="18">
        <v>502010.77239999967</v>
      </c>
      <c r="E16" s="18"/>
      <c r="F16" s="18"/>
      <c r="G16" s="18">
        <v>1429385.9835999995</v>
      </c>
    </row>
    <row r="17" spans="1:7" x14ac:dyDescent="0.2">
      <c r="A17" s="20" t="s">
        <v>96</v>
      </c>
      <c r="B17" s="18">
        <v>4966100.4317000005</v>
      </c>
      <c r="C17" s="18">
        <v>5874555.5440999996</v>
      </c>
      <c r="D17" s="18">
        <v>6582947.5303999986</v>
      </c>
      <c r="E17" s="18">
        <v>655983.37979999988</v>
      </c>
      <c r="F17" s="18">
        <v>462733.12329999986</v>
      </c>
      <c r="G17" s="18">
        <v>18542320.009299997</v>
      </c>
    </row>
  </sheetData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13"/>
  <sheetViews>
    <sheetView tabSelected="1" workbookViewId="0">
      <selection activeCell="A7" sqref="A7"/>
    </sheetView>
  </sheetViews>
  <sheetFormatPr defaultRowHeight="12" x14ac:dyDescent="0.2"/>
  <cols>
    <col min="1" max="1" width="16.6640625" bestFit="1" customWidth="1"/>
    <col min="2" max="2" width="17.1640625" bestFit="1" customWidth="1"/>
    <col min="3" max="10" width="14.1640625" bestFit="1" customWidth="1"/>
    <col min="11" max="12" width="15.83203125" bestFit="1" customWidth="1"/>
    <col min="13" max="13" width="14.1640625" bestFit="1" customWidth="1"/>
    <col min="14" max="14" width="15.83203125" bestFit="1" customWidth="1"/>
  </cols>
  <sheetData>
    <row r="1" spans="1:12" x14ac:dyDescent="0.2">
      <c r="A1" s="19" t="s">
        <v>44</v>
      </c>
      <c r="B1" s="20">
        <v>2013</v>
      </c>
    </row>
    <row r="3" spans="1:12" x14ac:dyDescent="0.2">
      <c r="A3" s="19" t="s">
        <v>89</v>
      </c>
      <c r="B3" s="19" t="s">
        <v>97</v>
      </c>
    </row>
    <row r="4" spans="1:12" x14ac:dyDescent="0.2">
      <c r="A4" s="19" t="s">
        <v>90</v>
      </c>
      <c r="B4">
        <v>1</v>
      </c>
      <c r="C4">
        <v>2</v>
      </c>
      <c r="D4">
        <v>3</v>
      </c>
      <c r="E4">
        <v>4</v>
      </c>
      <c r="F4">
        <v>5</v>
      </c>
      <c r="G4">
        <v>6</v>
      </c>
      <c r="H4">
        <v>7</v>
      </c>
      <c r="I4">
        <v>8</v>
      </c>
      <c r="J4">
        <v>9</v>
      </c>
      <c r="K4">
        <v>10</v>
      </c>
      <c r="L4" t="s">
        <v>96</v>
      </c>
    </row>
    <row r="5" spans="1:12" x14ac:dyDescent="0.2">
      <c r="A5" s="20" t="s">
        <v>91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</row>
    <row r="6" spans="1:12" x14ac:dyDescent="0.2">
      <c r="A6" s="21" t="s">
        <v>91</v>
      </c>
      <c r="B6" s="18">
        <v>218235.25339999999</v>
      </c>
      <c r="C6" s="18">
        <v>206865.02949999995</v>
      </c>
      <c r="D6" s="18">
        <v>260196.00679999997</v>
      </c>
      <c r="E6" s="18">
        <v>209672.55770000003</v>
      </c>
      <c r="F6" s="18">
        <v>242711.06330000007</v>
      </c>
      <c r="G6" s="18">
        <v>199924.1722</v>
      </c>
      <c r="H6" s="18">
        <v>204592.65729999996</v>
      </c>
      <c r="I6" s="18">
        <v>202765.76619999998</v>
      </c>
      <c r="J6" s="18">
        <v>172609.17559999999</v>
      </c>
      <c r="K6" s="18">
        <v>155517.35729999995</v>
      </c>
      <c r="L6" s="18">
        <v>2073089.0392999998</v>
      </c>
    </row>
    <row r="7" spans="1:12" x14ac:dyDescent="0.2">
      <c r="A7" s="20" t="s">
        <v>99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</row>
    <row r="8" spans="1:12" x14ac:dyDescent="0.2">
      <c r="A8" s="21" t="s">
        <v>92</v>
      </c>
      <c r="B8" s="18">
        <v>222240.00420000005</v>
      </c>
      <c r="C8" s="18">
        <v>216124.33680000014</v>
      </c>
      <c r="D8" s="18">
        <v>270689.77650000009</v>
      </c>
      <c r="E8" s="18">
        <v>258211.8345</v>
      </c>
      <c r="F8" s="18">
        <v>298587.22029999999</v>
      </c>
      <c r="G8" s="18">
        <v>267848.77539999998</v>
      </c>
      <c r="H8" s="18">
        <v>265594.29579999996</v>
      </c>
      <c r="I8" s="18">
        <v>266328.76129999995</v>
      </c>
      <c r="J8" s="18">
        <v>218085.21250000014</v>
      </c>
      <c r="K8" s="18">
        <v>206291.19489999997</v>
      </c>
      <c r="L8" s="18">
        <v>2490001.4122000001</v>
      </c>
    </row>
    <row r="9" spans="1:12" x14ac:dyDescent="0.2">
      <c r="A9" s="21" t="s">
        <v>93</v>
      </c>
      <c r="B9" s="18">
        <v>230455.10619999998</v>
      </c>
      <c r="C9" s="18">
        <v>246497.6146</v>
      </c>
      <c r="D9" s="18">
        <v>302421.70279999991</v>
      </c>
      <c r="E9" s="18">
        <v>288727.42899999989</v>
      </c>
      <c r="F9" s="18">
        <v>351135.36260000005</v>
      </c>
      <c r="G9" s="18">
        <v>314194.35980000009</v>
      </c>
      <c r="H9" s="18">
        <v>296673.89980000013</v>
      </c>
      <c r="I9" s="18">
        <v>293760.98560000007</v>
      </c>
      <c r="J9" s="18">
        <v>264572.39319999999</v>
      </c>
      <c r="K9" s="18">
        <v>239556.01440000004</v>
      </c>
      <c r="L9" s="18">
        <v>2827994.8680000007</v>
      </c>
    </row>
    <row r="10" spans="1:12" x14ac:dyDescent="0.2">
      <c r="A10" s="21" t="s">
        <v>94</v>
      </c>
      <c r="B10" s="18"/>
      <c r="C10" s="18"/>
      <c r="D10" s="18"/>
      <c r="E10" s="18"/>
      <c r="F10" s="18"/>
      <c r="G10" s="18"/>
      <c r="H10" s="18">
        <v>117532.8702</v>
      </c>
      <c r="I10" s="18">
        <v>197649.03179999994</v>
      </c>
      <c r="J10" s="18">
        <v>174478.68230000001</v>
      </c>
      <c r="K10" s="18">
        <v>166322.79550000007</v>
      </c>
      <c r="L10" s="18">
        <v>655983.3798</v>
      </c>
    </row>
    <row r="11" spans="1:12" x14ac:dyDescent="0.2">
      <c r="A11" s="20" t="s">
        <v>95</v>
      </c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</row>
    <row r="12" spans="1:12" x14ac:dyDescent="0.2">
      <c r="A12" s="21" t="s">
        <v>95</v>
      </c>
      <c r="B12" s="18"/>
      <c r="C12" s="18"/>
      <c r="D12" s="18"/>
      <c r="E12" s="18"/>
      <c r="F12" s="18"/>
      <c r="G12" s="18"/>
      <c r="H12" s="18"/>
      <c r="I12" s="18"/>
      <c r="J12" s="18"/>
      <c r="K12" s="18">
        <v>462733.12330000021</v>
      </c>
      <c r="L12" s="18">
        <v>462733.12330000021</v>
      </c>
    </row>
    <row r="13" spans="1:12" x14ac:dyDescent="0.2">
      <c r="A13" s="20" t="s">
        <v>96</v>
      </c>
      <c r="B13" s="18">
        <v>670930.36379999993</v>
      </c>
      <c r="C13" s="18">
        <v>669486.98090000008</v>
      </c>
      <c r="D13" s="18">
        <v>833307.48609999986</v>
      </c>
      <c r="E13" s="18">
        <v>756611.82119999989</v>
      </c>
      <c r="F13" s="18">
        <v>892433.64620000008</v>
      </c>
      <c r="G13" s="18">
        <v>781967.30740000005</v>
      </c>
      <c r="H13" s="18">
        <v>884393.72310000006</v>
      </c>
      <c r="I13" s="18">
        <v>960504.5449000001</v>
      </c>
      <c r="J13" s="18">
        <v>829745.46360000013</v>
      </c>
      <c r="K13" s="18">
        <v>1230420.4854000001</v>
      </c>
      <c r="L13" s="18">
        <v>8509801.8226000015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J25"/>
  <sheetViews>
    <sheetView workbookViewId="0">
      <pane ySplit="15" topLeftCell="A16" activePane="bottomLeft" state="frozen"/>
      <selection pane="bottomLeft" activeCell="A16" sqref="A16"/>
    </sheetView>
  </sheetViews>
  <sheetFormatPr defaultRowHeight="12" x14ac:dyDescent="0.2"/>
  <cols>
    <col min="1" max="1" width="43.1640625" bestFit="1" customWidth="1"/>
    <col min="2" max="2" width="17.83203125" bestFit="1" customWidth="1"/>
    <col min="3" max="3" width="23.6640625" bestFit="1" customWidth="1"/>
    <col min="4" max="4" width="24.1640625" bestFit="1" customWidth="1"/>
    <col min="5" max="5" width="15.1640625" bestFit="1" customWidth="1"/>
  </cols>
  <sheetData>
    <row r="1" spans="1:10" ht="12.75" thickBot="1" x14ac:dyDescent="0.25">
      <c r="A1" s="14" t="s">
        <v>63</v>
      </c>
      <c r="B1" s="13"/>
      <c r="I1" s="9" t="s">
        <v>37</v>
      </c>
    </row>
    <row r="2" spans="1:10" x14ac:dyDescent="0.2">
      <c r="A2" s="9" t="s">
        <v>64</v>
      </c>
      <c r="B2" s="15" t="s">
        <v>81</v>
      </c>
    </row>
    <row r="3" spans="1:10" x14ac:dyDescent="0.2">
      <c r="A3" s="9" t="s">
        <v>65</v>
      </c>
      <c r="B3" s="15" t="s">
        <v>82</v>
      </c>
    </row>
    <row r="4" spans="1:10" x14ac:dyDescent="0.2">
      <c r="A4" s="9" t="s">
        <v>66</v>
      </c>
      <c r="B4" s="16"/>
    </row>
    <row r="5" spans="1:10" x14ac:dyDescent="0.2">
      <c r="A5" s="9" t="s">
        <v>67</v>
      </c>
      <c r="B5" s="16"/>
    </row>
    <row r="6" spans="1:10" x14ac:dyDescent="0.2">
      <c r="A6" s="9" t="s">
        <v>68</v>
      </c>
      <c r="B6" s="16"/>
    </row>
    <row r="7" spans="1:10" x14ac:dyDescent="0.2">
      <c r="A7" s="9"/>
      <c r="B7" s="16"/>
    </row>
    <row r="8" spans="1:10" ht="12.75" thickBot="1" x14ac:dyDescent="0.25">
      <c r="A8" s="14" t="s">
        <v>69</v>
      </c>
      <c r="B8" s="17"/>
    </row>
    <row r="9" spans="1:10" x14ac:dyDescent="0.2">
      <c r="A9" s="9" t="s">
        <v>70</v>
      </c>
      <c r="B9" s="16" t="s">
        <v>83</v>
      </c>
    </row>
    <row r="10" spans="1:10" x14ac:dyDescent="0.2">
      <c r="A10" s="9" t="s">
        <v>71</v>
      </c>
      <c r="B10" s="15" t="s">
        <v>98</v>
      </c>
    </row>
    <row r="11" spans="1:10" x14ac:dyDescent="0.2">
      <c r="A11" s="9" t="s">
        <v>72</v>
      </c>
      <c r="B11" s="16" t="s">
        <v>73</v>
      </c>
    </row>
    <row r="12" spans="1:10" x14ac:dyDescent="0.2">
      <c r="A12" s="9" t="s">
        <v>74</v>
      </c>
      <c r="B12" s="16" t="s">
        <v>84</v>
      </c>
    </row>
    <row r="13" spans="1:10" x14ac:dyDescent="0.2">
      <c r="A13" s="9"/>
    </row>
    <row r="14" spans="1:10" x14ac:dyDescent="0.2">
      <c r="A14" s="9" t="s">
        <v>75</v>
      </c>
    </row>
    <row r="15" spans="1:10" ht="12.75" thickBot="1" x14ac:dyDescent="0.25">
      <c r="A15" s="14" t="s">
        <v>76</v>
      </c>
      <c r="B15" s="14" t="s">
        <v>77</v>
      </c>
      <c r="C15" s="14" t="s">
        <v>78</v>
      </c>
      <c r="D15" s="14" t="s">
        <v>79</v>
      </c>
      <c r="E15" s="14" t="s">
        <v>80</v>
      </c>
    </row>
    <row r="16" spans="1:10" x14ac:dyDescent="0.2">
      <c r="A16" s="16" t="s">
        <v>46</v>
      </c>
      <c r="B16" s="16" t="s">
        <v>85</v>
      </c>
      <c r="C16" s="16"/>
      <c r="D16" s="16"/>
      <c r="E16" s="16" t="s">
        <v>86</v>
      </c>
    </row>
    <row r="17" spans="1:5" x14ac:dyDescent="0.2">
      <c r="A17" s="16" t="s">
        <v>41</v>
      </c>
      <c r="B17" s="16" t="s">
        <v>87</v>
      </c>
      <c r="C17" s="16"/>
      <c r="D17" s="16"/>
      <c r="E17" s="16"/>
    </row>
    <row r="18" spans="1:5" x14ac:dyDescent="0.2">
      <c r="A18" s="16" t="s">
        <v>47</v>
      </c>
      <c r="B18" s="15" t="s">
        <v>32</v>
      </c>
      <c r="C18" s="16"/>
      <c r="D18" s="16"/>
      <c r="E18" s="16"/>
    </row>
    <row r="19" spans="1:5" x14ac:dyDescent="0.2">
      <c r="A19" s="16" t="s">
        <v>44</v>
      </c>
      <c r="B19" s="15" t="s">
        <v>88</v>
      </c>
      <c r="C19" s="16"/>
      <c r="D19" s="16"/>
      <c r="E19" s="16"/>
    </row>
    <row r="20" spans="1:5" x14ac:dyDescent="0.2">
      <c r="A20" s="16"/>
      <c r="B20" s="16"/>
      <c r="C20" s="16"/>
      <c r="D20" s="16"/>
      <c r="E20" s="16"/>
    </row>
    <row r="21" spans="1:5" x14ac:dyDescent="0.2">
      <c r="A21" s="16"/>
      <c r="B21" s="16"/>
      <c r="C21" s="16"/>
      <c r="D21" s="16"/>
      <c r="E21" s="16"/>
    </row>
    <row r="22" spans="1:5" x14ac:dyDescent="0.2">
      <c r="A22" s="16"/>
      <c r="B22" s="16"/>
      <c r="C22" s="16"/>
      <c r="D22" s="16"/>
      <c r="E22" s="16"/>
    </row>
    <row r="23" spans="1:5" x14ac:dyDescent="0.2">
      <c r="A23" s="16"/>
      <c r="B23" s="16"/>
      <c r="C23" s="16"/>
      <c r="D23" s="16"/>
      <c r="E23" s="16"/>
    </row>
    <row r="24" spans="1:5" x14ac:dyDescent="0.2">
      <c r="A24" s="16"/>
      <c r="B24" s="16"/>
      <c r="C24" s="16"/>
      <c r="D24" s="16"/>
      <c r="E24" s="16"/>
    </row>
    <row r="25" spans="1:5" x14ac:dyDescent="0.2">
      <c r="A25" s="16"/>
      <c r="B25" s="16"/>
      <c r="C25" s="16"/>
      <c r="D25" s="16"/>
      <c r="E25" s="16"/>
    </row>
  </sheetData>
  <dataValidations disablePrompts="1" count="5">
    <dataValidation type="list" allowBlank="1" showInputMessage="1" showErrorMessage="1" prompt="Select a pivot type - PivotTable or PivotChart" sqref="B9">
      <formula1>"PivotTable,PivotChart"</formula1>
    </dataValidation>
    <dataValidation type="list" allowBlank="1" showInputMessage="1" showErrorMessage="1" prompt="Number format (optional):_x000a_Accounting_x000a_Currency_x000a_Percentage_x000a_General_x000a_Custom" sqref="B12">
      <formula1>"Accounting,Currency,Percentage,General"</formula1>
    </dataValidation>
    <dataValidation type="list" allowBlank="1" showInputMessage="1" showErrorMessage="1" prompt="Enter the pivot field position:_x000a_Row (Series)_x000a_Column (Category)_x000a_Filter_x000a_Values" sqref="B16:B25">
      <formula1>"Row,Column,Filter,Values"</formula1>
    </dataValidation>
    <dataValidation type="list" allowBlank="1" showInputMessage="1" showErrorMessage="1" prompt="Enter the pivot field sort (optional):_x000a_Ascending_x000a_Descending" sqref="C16:C25">
      <formula1>"Ascending,Descending"</formula1>
    </dataValidation>
    <dataValidation type="list" allowBlank="1" showInputMessage="1" showErrorMessage="1" prompt="Enter the pivot field math type:_x000a_Sum_x000a_Count_x000a_Average_x000a_Min_x000a_Max" sqref="E16:E25">
      <formula1>"Sum,Count,Average,Min,Max"</formula1>
    </dataValidation>
  </dataValidation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9183"/>
  <sheetViews>
    <sheetView workbookViewId="0">
      <pane ySplit="1" topLeftCell="A9124" activePane="bottomLeft" state="frozen"/>
      <selection pane="bottomLeft"/>
    </sheetView>
  </sheetViews>
  <sheetFormatPr defaultRowHeight="12" x14ac:dyDescent="0.2"/>
  <cols>
    <col min="1" max="1" width="12.6640625" style="1" bestFit="1" customWidth="1"/>
    <col min="2" max="2" width="19.83203125" bestFit="1" customWidth="1"/>
    <col min="3" max="3" width="23" bestFit="1" customWidth="1"/>
    <col min="4" max="4" width="17.6640625" style="2" bestFit="1" customWidth="1"/>
    <col min="5" max="5" width="17.1640625" style="2" bestFit="1" customWidth="1"/>
    <col min="6" max="6" width="30.6640625" bestFit="1" customWidth="1"/>
    <col min="7" max="7" width="10.5" bestFit="1" customWidth="1"/>
    <col min="8" max="8" width="11.5" bestFit="1" customWidth="1"/>
    <col min="9" max="9" width="11.1640625" bestFit="1" customWidth="1"/>
    <col min="10" max="10" width="8" bestFit="1" customWidth="1"/>
    <col min="11" max="11" width="13.6640625" bestFit="1" customWidth="1"/>
    <col min="12" max="12" width="9.5" bestFit="1" customWidth="1"/>
    <col min="13" max="13" width="7.5" bestFit="1" customWidth="1"/>
  </cols>
  <sheetData>
    <row r="1" spans="1:13" ht="17.45" customHeight="1" x14ac:dyDescent="0.2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40</v>
      </c>
      <c r="H1" s="9" t="s">
        <v>46</v>
      </c>
      <c r="I1" s="9" t="s">
        <v>41</v>
      </c>
      <c r="J1" s="9" t="s">
        <v>42</v>
      </c>
      <c r="K1" s="9" t="s">
        <v>43</v>
      </c>
      <c r="L1" s="9" t="s">
        <v>47</v>
      </c>
      <c r="M1" s="9" t="s">
        <v>44</v>
      </c>
    </row>
    <row r="2" spans="1:13" ht="17.45" customHeight="1" x14ac:dyDescent="0.25">
      <c r="A2" s="1">
        <f>DATE(2011,10,31)</f>
        <v>40847</v>
      </c>
      <c r="B2" t="s">
        <v>11</v>
      </c>
      <c r="C2" t="s">
        <v>6</v>
      </c>
      <c r="D2" s="3">
        <v>2084.0463999999997</v>
      </c>
      <c r="E2" s="3">
        <v>0</v>
      </c>
      <c r="F2" t="s">
        <v>45</v>
      </c>
      <c r="G2" s="3">
        <f t="shared" ref="G2:G65" si="0">E2-D2</f>
        <v>-2084.0463999999997</v>
      </c>
      <c r="H2" s="3">
        <f t="shared" ref="H2:H65" si="1">ABS(G2)</f>
        <v>2084.0463999999997</v>
      </c>
      <c r="I2" s="5" t="str">
        <f t="shared" ref="I2:I65" si="2">MID(B2,1,3)</f>
        <v>016</v>
      </c>
      <c r="J2" s="5" t="str">
        <f t="shared" ref="J2:J65" si="3">MID(B2,5,4)</f>
        <v>2100</v>
      </c>
      <c r="K2" s="5" t="str">
        <f t="shared" ref="K2:K65" si="4">MID(B2,10,3)</f>
        <v>000</v>
      </c>
      <c r="L2" s="5">
        <f t="shared" ref="L2:L65" si="5">MONTH(A2)</f>
        <v>10</v>
      </c>
      <c r="M2" s="5">
        <f t="shared" ref="M2:M65" si="6">YEAR(A2)</f>
        <v>2011</v>
      </c>
    </row>
    <row r="3" spans="1:13" ht="17.45" customHeight="1" x14ac:dyDescent="0.25">
      <c r="A3" s="1">
        <f>DATE(2011,10,31)</f>
        <v>40847</v>
      </c>
      <c r="B3" t="s">
        <v>12</v>
      </c>
      <c r="C3" t="s">
        <v>8</v>
      </c>
      <c r="D3" s="3">
        <v>451.22350000000006</v>
      </c>
      <c r="E3" s="3">
        <v>0</v>
      </c>
      <c r="F3" t="s">
        <v>45</v>
      </c>
      <c r="G3" s="3">
        <f t="shared" si="0"/>
        <v>-451.22350000000006</v>
      </c>
      <c r="H3" s="3">
        <f t="shared" si="1"/>
        <v>451.22350000000006</v>
      </c>
      <c r="I3" s="5" t="str">
        <f t="shared" si="2"/>
        <v>016</v>
      </c>
      <c r="J3" s="5" t="str">
        <f t="shared" si="3"/>
        <v>2210</v>
      </c>
      <c r="K3" s="5" t="str">
        <f t="shared" si="4"/>
        <v>000</v>
      </c>
      <c r="L3" s="5">
        <f t="shared" si="5"/>
        <v>10</v>
      </c>
      <c r="M3" s="5">
        <f t="shared" si="6"/>
        <v>2011</v>
      </c>
    </row>
    <row r="4" spans="1:13" ht="17.45" customHeight="1" x14ac:dyDescent="0.25">
      <c r="A4" s="1">
        <f>DATE(2011,10,31)</f>
        <v>40847</v>
      </c>
      <c r="B4" t="s">
        <v>13</v>
      </c>
      <c r="C4" t="s">
        <v>9</v>
      </c>
      <c r="D4" s="3">
        <v>83.314499999999995</v>
      </c>
      <c r="E4" s="3">
        <v>0</v>
      </c>
      <c r="F4" t="s">
        <v>45</v>
      </c>
      <c r="G4" s="3">
        <f t="shared" si="0"/>
        <v>-83.314499999999995</v>
      </c>
      <c r="H4" s="3">
        <f t="shared" si="1"/>
        <v>83.314499999999995</v>
      </c>
      <c r="I4" s="5" t="str">
        <f t="shared" si="2"/>
        <v>016</v>
      </c>
      <c r="J4" s="5" t="str">
        <f t="shared" si="3"/>
        <v>2220</v>
      </c>
      <c r="K4" s="5" t="str">
        <f t="shared" si="4"/>
        <v>000</v>
      </c>
      <c r="L4" s="5">
        <f t="shared" si="5"/>
        <v>10</v>
      </c>
      <c r="M4" s="5">
        <f t="shared" si="6"/>
        <v>2011</v>
      </c>
    </row>
    <row r="5" spans="1:13" ht="17.45" customHeight="1" x14ac:dyDescent="0.25">
      <c r="A5" s="1">
        <f>DATE(2011,10,31)</f>
        <v>40847</v>
      </c>
      <c r="B5" t="s">
        <v>14</v>
      </c>
      <c r="C5" t="s">
        <v>10</v>
      </c>
      <c r="D5" s="3">
        <v>76.959999999999994</v>
      </c>
      <c r="E5" s="3">
        <v>0</v>
      </c>
      <c r="F5" t="s">
        <v>45</v>
      </c>
      <c r="G5" s="3">
        <f t="shared" si="0"/>
        <v>-76.959999999999994</v>
      </c>
      <c r="H5" s="3">
        <f t="shared" si="1"/>
        <v>76.959999999999994</v>
      </c>
      <c r="I5" s="5" t="str">
        <f t="shared" si="2"/>
        <v>016</v>
      </c>
      <c r="J5" s="5" t="str">
        <f t="shared" si="3"/>
        <v>2230</v>
      </c>
      <c r="K5" s="5" t="str">
        <f t="shared" si="4"/>
        <v>000</v>
      </c>
      <c r="L5" s="5">
        <f t="shared" si="5"/>
        <v>10</v>
      </c>
      <c r="M5" s="5">
        <f t="shared" si="6"/>
        <v>2011</v>
      </c>
    </row>
    <row r="6" spans="1:13" ht="17.45" customHeight="1" x14ac:dyDescent="0.25">
      <c r="A6" s="1">
        <f>DATE(2011,11,1)</f>
        <v>40848</v>
      </c>
      <c r="B6" t="s">
        <v>11</v>
      </c>
      <c r="C6" t="s">
        <v>6</v>
      </c>
      <c r="D6" s="3">
        <v>2539.6424999999999</v>
      </c>
      <c r="E6" s="3">
        <v>0</v>
      </c>
      <c r="F6" t="s">
        <v>45</v>
      </c>
      <c r="G6" s="3">
        <f t="shared" si="0"/>
        <v>-2539.6424999999999</v>
      </c>
      <c r="H6" s="3">
        <f t="shared" si="1"/>
        <v>2539.6424999999999</v>
      </c>
      <c r="I6" s="5" t="str">
        <f t="shared" si="2"/>
        <v>016</v>
      </c>
      <c r="J6" s="5" t="str">
        <f t="shared" si="3"/>
        <v>2100</v>
      </c>
      <c r="K6" s="5" t="str">
        <f t="shared" si="4"/>
        <v>000</v>
      </c>
      <c r="L6" s="5">
        <f t="shared" si="5"/>
        <v>11</v>
      </c>
      <c r="M6" s="5">
        <f t="shared" si="6"/>
        <v>2011</v>
      </c>
    </row>
    <row r="7" spans="1:13" ht="17.45" customHeight="1" x14ac:dyDescent="0.25">
      <c r="A7" s="1">
        <f>DATE(2011,11,1)</f>
        <v>40848</v>
      </c>
      <c r="B7" t="s">
        <v>12</v>
      </c>
      <c r="C7" t="s">
        <v>8</v>
      </c>
      <c r="D7" s="3">
        <v>447.46999999999997</v>
      </c>
      <c r="E7" s="3">
        <v>0</v>
      </c>
      <c r="F7" t="s">
        <v>45</v>
      </c>
      <c r="G7" s="3">
        <f t="shared" si="0"/>
        <v>-447.46999999999997</v>
      </c>
      <c r="H7" s="3">
        <f t="shared" si="1"/>
        <v>447.46999999999997</v>
      </c>
      <c r="I7" s="5" t="str">
        <f t="shared" si="2"/>
        <v>016</v>
      </c>
      <c r="J7" s="5" t="str">
        <f t="shared" si="3"/>
        <v>2210</v>
      </c>
      <c r="K7" s="5" t="str">
        <f t="shared" si="4"/>
        <v>000</v>
      </c>
      <c r="L7" s="5">
        <f t="shared" si="5"/>
        <v>11</v>
      </c>
      <c r="M7" s="5">
        <f t="shared" si="6"/>
        <v>2011</v>
      </c>
    </row>
    <row r="8" spans="1:13" ht="17.45" customHeight="1" x14ac:dyDescent="0.25">
      <c r="A8" s="1">
        <f>DATE(2011,11,1)</f>
        <v>40848</v>
      </c>
      <c r="B8" t="s">
        <v>13</v>
      </c>
      <c r="C8" t="s">
        <v>9</v>
      </c>
      <c r="D8" s="3">
        <v>145.72699999999998</v>
      </c>
      <c r="E8" s="3">
        <v>0</v>
      </c>
      <c r="F8" t="s">
        <v>45</v>
      </c>
      <c r="G8" s="3">
        <f t="shared" si="0"/>
        <v>-145.72699999999998</v>
      </c>
      <c r="H8" s="3">
        <f t="shared" si="1"/>
        <v>145.72699999999998</v>
      </c>
      <c r="I8" s="5" t="str">
        <f t="shared" si="2"/>
        <v>016</v>
      </c>
      <c r="J8" s="5" t="str">
        <f t="shared" si="3"/>
        <v>2220</v>
      </c>
      <c r="K8" s="5" t="str">
        <f t="shared" si="4"/>
        <v>000</v>
      </c>
      <c r="L8" s="5">
        <f t="shared" si="5"/>
        <v>11</v>
      </c>
      <c r="M8" s="5">
        <f t="shared" si="6"/>
        <v>2011</v>
      </c>
    </row>
    <row r="9" spans="1:13" ht="17.45" customHeight="1" x14ac:dyDescent="0.25">
      <c r="A9" s="1">
        <f>DATE(2011,11,1)</f>
        <v>40848</v>
      </c>
      <c r="B9" t="s">
        <v>14</v>
      </c>
      <c r="C9" t="s">
        <v>10</v>
      </c>
      <c r="D9" s="3">
        <v>84.364999999999995</v>
      </c>
      <c r="E9" s="3">
        <v>0</v>
      </c>
      <c r="F9" t="s">
        <v>45</v>
      </c>
      <c r="G9" s="3">
        <f t="shared" si="0"/>
        <v>-84.364999999999995</v>
      </c>
      <c r="H9" s="3">
        <f t="shared" si="1"/>
        <v>84.364999999999995</v>
      </c>
      <c r="I9" s="5" t="str">
        <f t="shared" si="2"/>
        <v>016</v>
      </c>
      <c r="J9" s="5" t="str">
        <f t="shared" si="3"/>
        <v>2230</v>
      </c>
      <c r="K9" s="5" t="str">
        <f t="shared" si="4"/>
        <v>000</v>
      </c>
      <c r="L9" s="5">
        <f t="shared" si="5"/>
        <v>11</v>
      </c>
      <c r="M9" s="5">
        <f t="shared" si="6"/>
        <v>2011</v>
      </c>
    </row>
    <row r="10" spans="1:13" ht="17.45" customHeight="1" x14ac:dyDescent="0.25">
      <c r="A10" s="1">
        <f>DATE(2011,11,2)</f>
        <v>40849</v>
      </c>
      <c r="B10" t="s">
        <v>11</v>
      </c>
      <c r="C10" t="s">
        <v>6</v>
      </c>
      <c r="D10" s="3">
        <v>2563.9284000000002</v>
      </c>
      <c r="E10" s="3">
        <v>0</v>
      </c>
      <c r="F10" t="s">
        <v>45</v>
      </c>
      <c r="G10" s="3">
        <f t="shared" si="0"/>
        <v>-2563.9284000000002</v>
      </c>
      <c r="H10" s="3">
        <f t="shared" si="1"/>
        <v>2563.9284000000002</v>
      </c>
      <c r="I10" s="5" t="str">
        <f t="shared" si="2"/>
        <v>016</v>
      </c>
      <c r="J10" s="5" t="str">
        <f t="shared" si="3"/>
        <v>2100</v>
      </c>
      <c r="K10" s="5" t="str">
        <f t="shared" si="4"/>
        <v>000</v>
      </c>
      <c r="L10" s="5">
        <f t="shared" si="5"/>
        <v>11</v>
      </c>
      <c r="M10" s="5">
        <f t="shared" si="6"/>
        <v>2011</v>
      </c>
    </row>
    <row r="11" spans="1:13" ht="17.45" customHeight="1" x14ac:dyDescent="0.25">
      <c r="A11" s="1">
        <f>DATE(2011,11,2)</f>
        <v>40849</v>
      </c>
      <c r="B11" t="s">
        <v>12</v>
      </c>
      <c r="C11" t="s">
        <v>8</v>
      </c>
      <c r="D11" s="3">
        <v>622.13900000000001</v>
      </c>
      <c r="E11" s="3">
        <v>0</v>
      </c>
      <c r="F11" t="s">
        <v>45</v>
      </c>
      <c r="G11" s="3">
        <f t="shared" si="0"/>
        <v>-622.13900000000001</v>
      </c>
      <c r="H11" s="3">
        <f t="shared" si="1"/>
        <v>622.13900000000001</v>
      </c>
      <c r="I11" s="5" t="str">
        <f t="shared" si="2"/>
        <v>016</v>
      </c>
      <c r="J11" s="5" t="str">
        <f t="shared" si="3"/>
        <v>2210</v>
      </c>
      <c r="K11" s="5" t="str">
        <f t="shared" si="4"/>
        <v>000</v>
      </c>
      <c r="L11" s="5">
        <f t="shared" si="5"/>
        <v>11</v>
      </c>
      <c r="M11" s="5">
        <f t="shared" si="6"/>
        <v>2011</v>
      </c>
    </row>
    <row r="12" spans="1:13" ht="17.45" customHeight="1" x14ac:dyDescent="0.25">
      <c r="A12" s="1">
        <f>DATE(2011,11,2)</f>
        <v>40849</v>
      </c>
      <c r="B12" t="s">
        <v>13</v>
      </c>
      <c r="C12" t="s">
        <v>9</v>
      </c>
      <c r="D12" s="3">
        <v>137.8125</v>
      </c>
      <c r="E12" s="3">
        <v>0</v>
      </c>
      <c r="F12" t="s">
        <v>45</v>
      </c>
      <c r="G12" s="3">
        <f t="shared" si="0"/>
        <v>-137.8125</v>
      </c>
      <c r="H12" s="3">
        <f t="shared" si="1"/>
        <v>137.8125</v>
      </c>
      <c r="I12" s="5" t="str">
        <f t="shared" si="2"/>
        <v>016</v>
      </c>
      <c r="J12" s="5" t="str">
        <f t="shared" si="3"/>
        <v>2220</v>
      </c>
      <c r="K12" s="5" t="str">
        <f t="shared" si="4"/>
        <v>000</v>
      </c>
      <c r="L12" s="5">
        <f t="shared" si="5"/>
        <v>11</v>
      </c>
      <c r="M12" s="5">
        <f t="shared" si="6"/>
        <v>2011</v>
      </c>
    </row>
    <row r="13" spans="1:13" ht="17.45" customHeight="1" x14ac:dyDescent="0.25">
      <c r="A13" s="1">
        <f>DATE(2011,11,2)</f>
        <v>40849</v>
      </c>
      <c r="B13" t="s">
        <v>14</v>
      </c>
      <c r="C13" t="s">
        <v>10</v>
      </c>
      <c r="D13" s="3">
        <v>127.82000000000001</v>
      </c>
      <c r="E13" s="3">
        <v>0</v>
      </c>
      <c r="F13" t="s">
        <v>45</v>
      </c>
      <c r="G13" s="3">
        <f t="shared" si="0"/>
        <v>-127.82000000000001</v>
      </c>
      <c r="H13" s="3">
        <f t="shared" si="1"/>
        <v>127.82000000000001</v>
      </c>
      <c r="I13" s="5" t="str">
        <f t="shared" si="2"/>
        <v>016</v>
      </c>
      <c r="J13" s="5" t="str">
        <f t="shared" si="3"/>
        <v>2230</v>
      </c>
      <c r="K13" s="5" t="str">
        <f t="shared" si="4"/>
        <v>000</v>
      </c>
      <c r="L13" s="5">
        <f t="shared" si="5"/>
        <v>11</v>
      </c>
      <c r="M13" s="5">
        <f t="shared" si="6"/>
        <v>2011</v>
      </c>
    </row>
    <row r="14" spans="1:13" ht="17.45" customHeight="1" x14ac:dyDescent="0.25">
      <c r="A14" s="1">
        <f>DATE(2011,11,3)</f>
        <v>40850</v>
      </c>
      <c r="B14" t="s">
        <v>11</v>
      </c>
      <c r="C14" t="s">
        <v>6</v>
      </c>
      <c r="D14" s="3">
        <v>3444.7592</v>
      </c>
      <c r="E14" s="3">
        <v>0</v>
      </c>
      <c r="F14" t="s">
        <v>45</v>
      </c>
      <c r="G14" s="3">
        <f t="shared" si="0"/>
        <v>-3444.7592</v>
      </c>
      <c r="H14" s="3">
        <f t="shared" si="1"/>
        <v>3444.7592</v>
      </c>
      <c r="I14" s="5" t="str">
        <f t="shared" si="2"/>
        <v>016</v>
      </c>
      <c r="J14" s="5" t="str">
        <f t="shared" si="3"/>
        <v>2100</v>
      </c>
      <c r="K14" s="5" t="str">
        <f t="shared" si="4"/>
        <v>000</v>
      </c>
      <c r="L14" s="5">
        <f t="shared" si="5"/>
        <v>11</v>
      </c>
      <c r="M14" s="5">
        <f t="shared" si="6"/>
        <v>2011</v>
      </c>
    </row>
    <row r="15" spans="1:13" ht="17.45" customHeight="1" x14ac:dyDescent="0.25">
      <c r="A15" s="1">
        <f>DATE(2011,11,3)</f>
        <v>40850</v>
      </c>
      <c r="B15" t="s">
        <v>12</v>
      </c>
      <c r="C15" t="s">
        <v>8</v>
      </c>
      <c r="D15" s="3">
        <v>1368.905</v>
      </c>
      <c r="E15" s="3">
        <v>0</v>
      </c>
      <c r="F15" t="s">
        <v>45</v>
      </c>
      <c r="G15" s="3">
        <f t="shared" si="0"/>
        <v>-1368.905</v>
      </c>
      <c r="H15" s="3">
        <f t="shared" si="1"/>
        <v>1368.905</v>
      </c>
      <c r="I15" s="5" t="str">
        <f t="shared" si="2"/>
        <v>016</v>
      </c>
      <c r="J15" s="5" t="str">
        <f t="shared" si="3"/>
        <v>2210</v>
      </c>
      <c r="K15" s="5" t="str">
        <f t="shared" si="4"/>
        <v>000</v>
      </c>
      <c r="L15" s="5">
        <f t="shared" si="5"/>
        <v>11</v>
      </c>
      <c r="M15" s="5">
        <f t="shared" si="6"/>
        <v>2011</v>
      </c>
    </row>
    <row r="16" spans="1:13" ht="17.45" customHeight="1" x14ac:dyDescent="0.25">
      <c r="A16" s="1">
        <f>DATE(2011,11,3)</f>
        <v>40850</v>
      </c>
      <c r="B16" t="s">
        <v>13</v>
      </c>
      <c r="C16" t="s">
        <v>9</v>
      </c>
      <c r="D16" s="3">
        <v>290.59800000000001</v>
      </c>
      <c r="E16" s="3">
        <v>0</v>
      </c>
      <c r="F16" t="s">
        <v>45</v>
      </c>
      <c r="G16" s="3">
        <f t="shared" si="0"/>
        <v>-290.59800000000001</v>
      </c>
      <c r="H16" s="3">
        <f t="shared" si="1"/>
        <v>290.59800000000001</v>
      </c>
      <c r="I16" s="5" t="str">
        <f t="shared" si="2"/>
        <v>016</v>
      </c>
      <c r="J16" s="5" t="str">
        <f t="shared" si="3"/>
        <v>2220</v>
      </c>
      <c r="K16" s="5" t="str">
        <f t="shared" si="4"/>
        <v>000</v>
      </c>
      <c r="L16" s="5">
        <f t="shared" si="5"/>
        <v>11</v>
      </c>
      <c r="M16" s="5">
        <f t="shared" si="6"/>
        <v>2011</v>
      </c>
    </row>
    <row r="17" spans="1:13" ht="17.45" customHeight="1" x14ac:dyDescent="0.25">
      <c r="A17" s="1">
        <f>DATE(2011,11,3)</f>
        <v>40850</v>
      </c>
      <c r="B17" t="s">
        <v>14</v>
      </c>
      <c r="C17" t="s">
        <v>10</v>
      </c>
      <c r="D17" s="3">
        <v>244.244</v>
      </c>
      <c r="E17" s="3">
        <v>0</v>
      </c>
      <c r="F17" t="s">
        <v>45</v>
      </c>
      <c r="G17" s="3">
        <f t="shared" si="0"/>
        <v>-244.244</v>
      </c>
      <c r="H17" s="3">
        <f t="shared" si="1"/>
        <v>244.244</v>
      </c>
      <c r="I17" s="5" t="str">
        <f t="shared" si="2"/>
        <v>016</v>
      </c>
      <c r="J17" s="5" t="str">
        <f t="shared" si="3"/>
        <v>2230</v>
      </c>
      <c r="K17" s="5" t="str">
        <f t="shared" si="4"/>
        <v>000</v>
      </c>
      <c r="L17" s="5">
        <f t="shared" si="5"/>
        <v>11</v>
      </c>
      <c r="M17" s="5">
        <f t="shared" si="6"/>
        <v>2011</v>
      </c>
    </row>
    <row r="18" spans="1:13" ht="17.45" customHeight="1" x14ac:dyDescent="0.25">
      <c r="A18" s="1">
        <f t="shared" ref="A18:A21" si="7">DATE(2011,11,4)</f>
        <v>40851</v>
      </c>
      <c r="B18" t="s">
        <v>11</v>
      </c>
      <c r="C18" t="s">
        <v>6</v>
      </c>
      <c r="D18" s="3">
        <v>7719.5523999999996</v>
      </c>
      <c r="E18" s="3">
        <v>0</v>
      </c>
      <c r="F18" t="s">
        <v>45</v>
      </c>
      <c r="G18" s="3">
        <f t="shared" si="0"/>
        <v>-7719.5523999999996</v>
      </c>
      <c r="H18" s="3">
        <f t="shared" si="1"/>
        <v>7719.5523999999996</v>
      </c>
      <c r="I18" s="5" t="str">
        <f t="shared" si="2"/>
        <v>016</v>
      </c>
      <c r="J18" s="5" t="str">
        <f t="shared" si="3"/>
        <v>2100</v>
      </c>
      <c r="K18" s="5" t="str">
        <f t="shared" si="4"/>
        <v>000</v>
      </c>
      <c r="L18" s="5">
        <f t="shared" si="5"/>
        <v>11</v>
      </c>
      <c r="M18" s="5">
        <f t="shared" si="6"/>
        <v>2011</v>
      </c>
    </row>
    <row r="19" spans="1:13" ht="17.45" customHeight="1" x14ac:dyDescent="0.25">
      <c r="A19" s="1">
        <f t="shared" si="7"/>
        <v>40851</v>
      </c>
      <c r="B19" t="s">
        <v>12</v>
      </c>
      <c r="C19" t="s">
        <v>8</v>
      </c>
      <c r="D19" s="3">
        <v>4986.9120000000003</v>
      </c>
      <c r="E19" s="3">
        <v>0</v>
      </c>
      <c r="F19" t="s">
        <v>45</v>
      </c>
      <c r="G19" s="3">
        <f t="shared" si="0"/>
        <v>-4986.9120000000003</v>
      </c>
      <c r="H19" s="3">
        <f t="shared" si="1"/>
        <v>4986.9120000000003</v>
      </c>
      <c r="I19" s="5" t="str">
        <f t="shared" si="2"/>
        <v>016</v>
      </c>
      <c r="J19" s="5" t="str">
        <f t="shared" si="3"/>
        <v>2210</v>
      </c>
      <c r="K19" s="5" t="str">
        <f t="shared" si="4"/>
        <v>000</v>
      </c>
      <c r="L19" s="5">
        <f t="shared" si="5"/>
        <v>11</v>
      </c>
      <c r="M19" s="5">
        <f t="shared" si="6"/>
        <v>2011</v>
      </c>
    </row>
    <row r="20" spans="1:13" ht="17.45" customHeight="1" x14ac:dyDescent="0.25">
      <c r="A20" s="1">
        <f t="shared" si="7"/>
        <v>40851</v>
      </c>
      <c r="B20" t="s">
        <v>13</v>
      </c>
      <c r="C20" t="s">
        <v>9</v>
      </c>
      <c r="D20" s="3">
        <v>1212.3300000000002</v>
      </c>
      <c r="E20" s="3">
        <v>0</v>
      </c>
      <c r="F20" t="s">
        <v>45</v>
      </c>
      <c r="G20" s="3">
        <f t="shared" si="0"/>
        <v>-1212.3300000000002</v>
      </c>
      <c r="H20" s="3">
        <f t="shared" si="1"/>
        <v>1212.3300000000002</v>
      </c>
      <c r="I20" s="5" t="str">
        <f t="shared" si="2"/>
        <v>016</v>
      </c>
      <c r="J20" s="5" t="str">
        <f t="shared" si="3"/>
        <v>2220</v>
      </c>
      <c r="K20" s="5" t="str">
        <f t="shared" si="4"/>
        <v>000</v>
      </c>
      <c r="L20" s="5">
        <f t="shared" si="5"/>
        <v>11</v>
      </c>
      <c r="M20" s="5">
        <f t="shared" si="6"/>
        <v>2011</v>
      </c>
    </row>
    <row r="21" spans="1:13" ht="17.45" customHeight="1" x14ac:dyDescent="0.25">
      <c r="A21" s="1">
        <f t="shared" si="7"/>
        <v>40851</v>
      </c>
      <c r="B21" t="s">
        <v>14</v>
      </c>
      <c r="C21" t="s">
        <v>10</v>
      </c>
      <c r="D21" s="3">
        <v>538.2405</v>
      </c>
      <c r="E21" s="3">
        <v>0</v>
      </c>
      <c r="F21" t="s">
        <v>45</v>
      </c>
      <c r="G21" s="3">
        <f t="shared" si="0"/>
        <v>-538.2405</v>
      </c>
      <c r="H21" s="3">
        <f t="shared" si="1"/>
        <v>538.2405</v>
      </c>
      <c r="I21" s="5" t="str">
        <f t="shared" si="2"/>
        <v>016</v>
      </c>
      <c r="J21" s="5" t="str">
        <f t="shared" si="3"/>
        <v>2230</v>
      </c>
      <c r="K21" s="5" t="str">
        <f t="shared" si="4"/>
        <v>000</v>
      </c>
      <c r="L21" s="5">
        <f t="shared" si="5"/>
        <v>11</v>
      </c>
      <c r="M21" s="5">
        <f t="shared" si="6"/>
        <v>2011</v>
      </c>
    </row>
    <row r="22" spans="1:13" ht="17.45" customHeight="1" x14ac:dyDescent="0.25">
      <c r="A22" s="1">
        <f>DATE(2011,11,5)</f>
        <v>40852</v>
      </c>
      <c r="B22" t="s">
        <v>11</v>
      </c>
      <c r="C22" t="s">
        <v>6</v>
      </c>
      <c r="D22" s="3">
        <v>8827.8895000000011</v>
      </c>
      <c r="E22" s="3">
        <v>0</v>
      </c>
      <c r="F22" t="s">
        <v>45</v>
      </c>
      <c r="G22" s="3">
        <f t="shared" si="0"/>
        <v>-8827.8895000000011</v>
      </c>
      <c r="H22" s="3">
        <f t="shared" si="1"/>
        <v>8827.8895000000011</v>
      </c>
      <c r="I22" s="5" t="str">
        <f t="shared" si="2"/>
        <v>016</v>
      </c>
      <c r="J22" s="5" t="str">
        <f t="shared" si="3"/>
        <v>2100</v>
      </c>
      <c r="K22" s="5" t="str">
        <f t="shared" si="4"/>
        <v>000</v>
      </c>
      <c r="L22" s="5">
        <f t="shared" si="5"/>
        <v>11</v>
      </c>
      <c r="M22" s="5">
        <f t="shared" si="6"/>
        <v>2011</v>
      </c>
    </row>
    <row r="23" spans="1:13" ht="17.45" customHeight="1" x14ac:dyDescent="0.25">
      <c r="A23" s="1">
        <f>DATE(2011,11,5)</f>
        <v>40852</v>
      </c>
      <c r="B23" t="s">
        <v>12</v>
      </c>
      <c r="C23" t="s">
        <v>8</v>
      </c>
      <c r="D23" s="3">
        <v>4691.0355</v>
      </c>
      <c r="E23" s="3">
        <v>0</v>
      </c>
      <c r="F23" t="s">
        <v>45</v>
      </c>
      <c r="G23" s="3">
        <f t="shared" si="0"/>
        <v>-4691.0355</v>
      </c>
      <c r="H23" s="3">
        <f t="shared" si="1"/>
        <v>4691.0355</v>
      </c>
      <c r="I23" s="5" t="str">
        <f t="shared" si="2"/>
        <v>016</v>
      </c>
      <c r="J23" s="5" t="str">
        <f t="shared" si="3"/>
        <v>2210</v>
      </c>
      <c r="K23" s="5" t="str">
        <f t="shared" si="4"/>
        <v>000</v>
      </c>
      <c r="L23" s="5">
        <f t="shared" si="5"/>
        <v>11</v>
      </c>
      <c r="M23" s="5">
        <f t="shared" si="6"/>
        <v>2011</v>
      </c>
    </row>
    <row r="24" spans="1:13" ht="17.45" customHeight="1" x14ac:dyDescent="0.25">
      <c r="A24" s="1">
        <f>DATE(2011,11,5)</f>
        <v>40852</v>
      </c>
      <c r="B24" t="s">
        <v>13</v>
      </c>
      <c r="C24" t="s">
        <v>9</v>
      </c>
      <c r="D24" s="3">
        <v>624.1049999999999</v>
      </c>
      <c r="E24" s="3">
        <v>0</v>
      </c>
      <c r="F24" t="s">
        <v>45</v>
      </c>
      <c r="G24" s="3">
        <f t="shared" si="0"/>
        <v>-624.1049999999999</v>
      </c>
      <c r="H24" s="3">
        <f t="shared" si="1"/>
        <v>624.1049999999999</v>
      </c>
      <c r="I24" s="5" t="str">
        <f t="shared" si="2"/>
        <v>016</v>
      </c>
      <c r="J24" s="5" t="str">
        <f t="shared" si="3"/>
        <v>2220</v>
      </c>
      <c r="K24" s="5" t="str">
        <f t="shared" si="4"/>
        <v>000</v>
      </c>
      <c r="L24" s="5">
        <f t="shared" si="5"/>
        <v>11</v>
      </c>
      <c r="M24" s="5">
        <f t="shared" si="6"/>
        <v>2011</v>
      </c>
    </row>
    <row r="25" spans="1:13" ht="17.45" customHeight="1" x14ac:dyDescent="0.25">
      <c r="A25" s="1">
        <f>DATE(2011,11,5)</f>
        <v>40852</v>
      </c>
      <c r="B25" t="s">
        <v>14</v>
      </c>
      <c r="C25" t="s">
        <v>10</v>
      </c>
      <c r="D25" s="3">
        <v>373.23</v>
      </c>
      <c r="E25" s="3">
        <v>0</v>
      </c>
      <c r="F25" t="s">
        <v>45</v>
      </c>
      <c r="G25" s="3">
        <f t="shared" si="0"/>
        <v>-373.23</v>
      </c>
      <c r="H25" s="3">
        <f t="shared" si="1"/>
        <v>373.23</v>
      </c>
      <c r="I25" s="5" t="str">
        <f t="shared" si="2"/>
        <v>016</v>
      </c>
      <c r="J25" s="5" t="str">
        <f t="shared" si="3"/>
        <v>2230</v>
      </c>
      <c r="K25" s="5" t="str">
        <f t="shared" si="4"/>
        <v>000</v>
      </c>
      <c r="L25" s="5">
        <f t="shared" si="5"/>
        <v>11</v>
      </c>
      <c r="M25" s="5">
        <f t="shared" si="6"/>
        <v>2011</v>
      </c>
    </row>
    <row r="26" spans="1:13" ht="17.45" customHeight="1" x14ac:dyDescent="0.25">
      <c r="A26" s="1">
        <f>DATE(2011,11,6)</f>
        <v>40853</v>
      </c>
      <c r="B26" t="s">
        <v>11</v>
      </c>
      <c r="C26" t="s">
        <v>6</v>
      </c>
      <c r="D26" s="3">
        <v>4647.7550000000001</v>
      </c>
      <c r="E26" s="3">
        <v>0</v>
      </c>
      <c r="F26" t="s">
        <v>45</v>
      </c>
      <c r="G26" s="3">
        <f t="shared" si="0"/>
        <v>-4647.7550000000001</v>
      </c>
      <c r="H26" s="3">
        <f t="shared" si="1"/>
        <v>4647.7550000000001</v>
      </c>
      <c r="I26" s="5" t="str">
        <f t="shared" si="2"/>
        <v>016</v>
      </c>
      <c r="J26" s="5" t="str">
        <f t="shared" si="3"/>
        <v>2100</v>
      </c>
      <c r="K26" s="5" t="str">
        <f t="shared" si="4"/>
        <v>000</v>
      </c>
      <c r="L26" s="5">
        <f t="shared" si="5"/>
        <v>11</v>
      </c>
      <c r="M26" s="5">
        <f t="shared" si="6"/>
        <v>2011</v>
      </c>
    </row>
    <row r="27" spans="1:13" ht="17.45" customHeight="1" x14ac:dyDescent="0.25">
      <c r="A27" s="1">
        <f>DATE(2011,11,6)</f>
        <v>40853</v>
      </c>
      <c r="B27" t="s">
        <v>12</v>
      </c>
      <c r="C27" t="s">
        <v>8</v>
      </c>
      <c r="D27" s="3">
        <v>1190.0249999999999</v>
      </c>
      <c r="E27" s="3">
        <v>0</v>
      </c>
      <c r="F27" t="s">
        <v>45</v>
      </c>
      <c r="G27" s="3">
        <f t="shared" si="0"/>
        <v>-1190.0249999999999</v>
      </c>
      <c r="H27" s="3">
        <f t="shared" si="1"/>
        <v>1190.0249999999999</v>
      </c>
      <c r="I27" s="5" t="str">
        <f t="shared" si="2"/>
        <v>016</v>
      </c>
      <c r="J27" s="5" t="str">
        <f t="shared" si="3"/>
        <v>2210</v>
      </c>
      <c r="K27" s="5" t="str">
        <f t="shared" si="4"/>
        <v>000</v>
      </c>
      <c r="L27" s="5">
        <f t="shared" si="5"/>
        <v>11</v>
      </c>
      <c r="M27" s="5">
        <f t="shared" si="6"/>
        <v>2011</v>
      </c>
    </row>
    <row r="28" spans="1:13" ht="17.45" customHeight="1" x14ac:dyDescent="0.25">
      <c r="A28" s="1">
        <f>DATE(2011,11,6)</f>
        <v>40853</v>
      </c>
      <c r="B28" t="s">
        <v>13</v>
      </c>
      <c r="C28" t="s">
        <v>9</v>
      </c>
      <c r="D28" s="3">
        <v>269.24399999999997</v>
      </c>
      <c r="E28" s="3">
        <v>0</v>
      </c>
      <c r="F28" t="s">
        <v>45</v>
      </c>
      <c r="G28" s="3">
        <f t="shared" si="0"/>
        <v>-269.24399999999997</v>
      </c>
      <c r="H28" s="3">
        <f t="shared" si="1"/>
        <v>269.24399999999997</v>
      </c>
      <c r="I28" s="5" t="str">
        <f t="shared" si="2"/>
        <v>016</v>
      </c>
      <c r="J28" s="5" t="str">
        <f t="shared" si="3"/>
        <v>2220</v>
      </c>
      <c r="K28" s="5" t="str">
        <f t="shared" si="4"/>
        <v>000</v>
      </c>
      <c r="L28" s="5">
        <f t="shared" si="5"/>
        <v>11</v>
      </c>
      <c r="M28" s="5">
        <f t="shared" si="6"/>
        <v>2011</v>
      </c>
    </row>
    <row r="29" spans="1:13" ht="17.45" customHeight="1" x14ac:dyDescent="0.25">
      <c r="A29" s="1">
        <f>DATE(2011,11,6)</f>
        <v>40853</v>
      </c>
      <c r="B29" t="s">
        <v>14</v>
      </c>
      <c r="C29" t="s">
        <v>10</v>
      </c>
      <c r="D29" s="3">
        <v>155.75600000000003</v>
      </c>
      <c r="E29" s="3">
        <v>0</v>
      </c>
      <c r="F29" t="s">
        <v>45</v>
      </c>
      <c r="G29" s="3">
        <f t="shared" si="0"/>
        <v>-155.75600000000003</v>
      </c>
      <c r="H29" s="3">
        <f t="shared" si="1"/>
        <v>155.75600000000003</v>
      </c>
      <c r="I29" s="5" t="str">
        <f t="shared" si="2"/>
        <v>016</v>
      </c>
      <c r="J29" s="5" t="str">
        <f t="shared" si="3"/>
        <v>2230</v>
      </c>
      <c r="K29" s="5" t="str">
        <f t="shared" si="4"/>
        <v>000</v>
      </c>
      <c r="L29" s="5">
        <f t="shared" si="5"/>
        <v>11</v>
      </c>
      <c r="M29" s="5">
        <f t="shared" si="6"/>
        <v>2011</v>
      </c>
    </row>
    <row r="30" spans="1:13" ht="17.45" customHeight="1" x14ac:dyDescent="0.25">
      <c r="A30" s="1">
        <f>DATE(2011,10,31)</f>
        <v>40847</v>
      </c>
      <c r="B30" t="s">
        <v>15</v>
      </c>
      <c r="C30" t="s">
        <v>6</v>
      </c>
      <c r="D30" s="3">
        <v>2504.5964999999997</v>
      </c>
      <c r="E30" s="3">
        <v>0</v>
      </c>
      <c r="F30" t="s">
        <v>45</v>
      </c>
      <c r="G30" s="3">
        <f t="shared" si="0"/>
        <v>-2504.5964999999997</v>
      </c>
      <c r="H30" s="3">
        <f t="shared" si="1"/>
        <v>2504.5964999999997</v>
      </c>
      <c r="I30" s="5" t="str">
        <f t="shared" si="2"/>
        <v>017</v>
      </c>
      <c r="J30" s="5" t="str">
        <f t="shared" si="3"/>
        <v>2100</v>
      </c>
      <c r="K30" s="5" t="str">
        <f t="shared" si="4"/>
        <v>000</v>
      </c>
      <c r="L30" s="5">
        <f t="shared" si="5"/>
        <v>10</v>
      </c>
      <c r="M30" s="5">
        <f t="shared" si="6"/>
        <v>2011</v>
      </c>
    </row>
    <row r="31" spans="1:13" ht="17.45" customHeight="1" x14ac:dyDescent="0.25">
      <c r="A31" s="1">
        <f>DATE(2011,10,31)</f>
        <v>40847</v>
      </c>
      <c r="B31" t="s">
        <v>16</v>
      </c>
      <c r="C31" t="s">
        <v>8</v>
      </c>
      <c r="D31" s="3">
        <v>634.26</v>
      </c>
      <c r="E31" s="3">
        <v>0</v>
      </c>
      <c r="F31" t="s">
        <v>45</v>
      </c>
      <c r="G31" s="3">
        <f t="shared" si="0"/>
        <v>-634.26</v>
      </c>
      <c r="H31" s="3">
        <f t="shared" si="1"/>
        <v>634.26</v>
      </c>
      <c r="I31" s="5" t="str">
        <f t="shared" si="2"/>
        <v>017</v>
      </c>
      <c r="J31" s="5" t="str">
        <f t="shared" si="3"/>
        <v>2210</v>
      </c>
      <c r="K31" s="5" t="str">
        <f t="shared" si="4"/>
        <v>000</v>
      </c>
      <c r="L31" s="5">
        <f t="shared" si="5"/>
        <v>10</v>
      </c>
      <c r="M31" s="5">
        <f t="shared" si="6"/>
        <v>2011</v>
      </c>
    </row>
    <row r="32" spans="1:13" ht="17.45" customHeight="1" x14ac:dyDescent="0.25">
      <c r="A32" s="1">
        <f>DATE(2011,10,31)</f>
        <v>40847</v>
      </c>
      <c r="B32" t="s">
        <v>17</v>
      </c>
      <c r="C32" t="s">
        <v>9</v>
      </c>
      <c r="D32" s="3">
        <v>157.32</v>
      </c>
      <c r="E32" s="3">
        <v>0</v>
      </c>
      <c r="F32" t="s">
        <v>45</v>
      </c>
      <c r="G32" s="3">
        <f t="shared" si="0"/>
        <v>-157.32</v>
      </c>
      <c r="H32" s="3">
        <f t="shared" si="1"/>
        <v>157.32</v>
      </c>
      <c r="I32" s="5" t="str">
        <f t="shared" si="2"/>
        <v>017</v>
      </c>
      <c r="J32" s="5" t="str">
        <f t="shared" si="3"/>
        <v>2220</v>
      </c>
      <c r="K32" s="5" t="str">
        <f t="shared" si="4"/>
        <v>000</v>
      </c>
      <c r="L32" s="5">
        <f t="shared" si="5"/>
        <v>10</v>
      </c>
      <c r="M32" s="5">
        <f t="shared" si="6"/>
        <v>2011</v>
      </c>
    </row>
    <row r="33" spans="1:13" ht="17.45" customHeight="1" x14ac:dyDescent="0.25">
      <c r="A33" s="1">
        <f>DATE(2011,10,31)</f>
        <v>40847</v>
      </c>
      <c r="B33" t="s">
        <v>18</v>
      </c>
      <c r="C33" t="s">
        <v>10</v>
      </c>
      <c r="D33" s="3">
        <v>7.6000000000000005</v>
      </c>
      <c r="E33" s="3">
        <v>0</v>
      </c>
      <c r="F33" t="s">
        <v>45</v>
      </c>
      <c r="G33" s="3">
        <f t="shared" si="0"/>
        <v>-7.6000000000000005</v>
      </c>
      <c r="H33" s="3">
        <f t="shared" si="1"/>
        <v>7.6000000000000005</v>
      </c>
      <c r="I33" s="5" t="str">
        <f t="shared" si="2"/>
        <v>017</v>
      </c>
      <c r="J33" s="5" t="str">
        <f t="shared" si="3"/>
        <v>2230</v>
      </c>
      <c r="K33" s="5" t="str">
        <f t="shared" si="4"/>
        <v>000</v>
      </c>
      <c r="L33" s="5">
        <f t="shared" si="5"/>
        <v>10</v>
      </c>
      <c r="M33" s="5">
        <f t="shared" si="6"/>
        <v>2011</v>
      </c>
    </row>
    <row r="34" spans="1:13" ht="17.45" customHeight="1" x14ac:dyDescent="0.25">
      <c r="A34" s="1">
        <f>DATE(2011,11,1)</f>
        <v>40848</v>
      </c>
      <c r="B34" t="s">
        <v>15</v>
      </c>
      <c r="C34" t="s">
        <v>6</v>
      </c>
      <c r="D34" s="3">
        <v>4047.8297999999995</v>
      </c>
      <c r="E34" s="3">
        <v>0</v>
      </c>
      <c r="F34" t="s">
        <v>45</v>
      </c>
      <c r="G34" s="3">
        <f t="shared" si="0"/>
        <v>-4047.8297999999995</v>
      </c>
      <c r="H34" s="3">
        <f t="shared" si="1"/>
        <v>4047.8297999999995</v>
      </c>
      <c r="I34" s="5" t="str">
        <f t="shared" si="2"/>
        <v>017</v>
      </c>
      <c r="J34" s="5" t="str">
        <f t="shared" si="3"/>
        <v>2100</v>
      </c>
      <c r="K34" s="5" t="str">
        <f t="shared" si="4"/>
        <v>000</v>
      </c>
      <c r="L34" s="5">
        <f t="shared" si="5"/>
        <v>11</v>
      </c>
      <c r="M34" s="5">
        <f t="shared" si="6"/>
        <v>2011</v>
      </c>
    </row>
    <row r="35" spans="1:13" ht="17.45" customHeight="1" x14ac:dyDescent="0.25">
      <c r="A35" s="1">
        <f>DATE(2011,11,1)</f>
        <v>40848</v>
      </c>
      <c r="B35" t="s">
        <v>16</v>
      </c>
      <c r="C35" t="s">
        <v>8</v>
      </c>
      <c r="D35" s="3">
        <v>774.90599999999995</v>
      </c>
      <c r="E35" s="3">
        <v>0</v>
      </c>
      <c r="F35" t="s">
        <v>45</v>
      </c>
      <c r="G35" s="3">
        <f t="shared" si="0"/>
        <v>-774.90599999999995</v>
      </c>
      <c r="H35" s="3">
        <f t="shared" si="1"/>
        <v>774.90599999999995</v>
      </c>
      <c r="I35" s="5" t="str">
        <f t="shared" si="2"/>
        <v>017</v>
      </c>
      <c r="J35" s="5" t="str">
        <f t="shared" si="3"/>
        <v>2210</v>
      </c>
      <c r="K35" s="5" t="str">
        <f t="shared" si="4"/>
        <v>000</v>
      </c>
      <c r="L35" s="5">
        <f t="shared" si="5"/>
        <v>11</v>
      </c>
      <c r="M35" s="5">
        <f t="shared" si="6"/>
        <v>2011</v>
      </c>
    </row>
    <row r="36" spans="1:13" ht="17.45" customHeight="1" x14ac:dyDescent="0.25">
      <c r="A36" s="1">
        <f>DATE(2011,11,1)</f>
        <v>40848</v>
      </c>
      <c r="B36" t="s">
        <v>17</v>
      </c>
      <c r="C36" t="s">
        <v>9</v>
      </c>
      <c r="D36" s="3">
        <v>290.55749999999995</v>
      </c>
      <c r="E36" s="3">
        <v>0</v>
      </c>
      <c r="F36" t="s">
        <v>45</v>
      </c>
      <c r="G36" s="3">
        <f t="shared" si="0"/>
        <v>-290.55749999999995</v>
      </c>
      <c r="H36" s="3">
        <f t="shared" si="1"/>
        <v>290.55749999999995</v>
      </c>
      <c r="I36" s="5" t="str">
        <f t="shared" si="2"/>
        <v>017</v>
      </c>
      <c r="J36" s="5" t="str">
        <f t="shared" si="3"/>
        <v>2220</v>
      </c>
      <c r="K36" s="5" t="str">
        <f t="shared" si="4"/>
        <v>000</v>
      </c>
      <c r="L36" s="5">
        <f t="shared" si="5"/>
        <v>11</v>
      </c>
      <c r="M36" s="5">
        <f t="shared" si="6"/>
        <v>2011</v>
      </c>
    </row>
    <row r="37" spans="1:13" ht="17.45" customHeight="1" x14ac:dyDescent="0.25">
      <c r="A37" s="1">
        <f>DATE(2011,11,1)</f>
        <v>40848</v>
      </c>
      <c r="B37" t="s">
        <v>18</v>
      </c>
      <c r="C37" t="s">
        <v>10</v>
      </c>
      <c r="D37" s="3">
        <v>175.15200000000002</v>
      </c>
      <c r="E37" s="3">
        <v>0</v>
      </c>
      <c r="F37" t="s">
        <v>45</v>
      </c>
      <c r="G37" s="3">
        <f t="shared" si="0"/>
        <v>-175.15200000000002</v>
      </c>
      <c r="H37" s="3">
        <f t="shared" si="1"/>
        <v>175.15200000000002</v>
      </c>
      <c r="I37" s="5" t="str">
        <f t="shared" si="2"/>
        <v>017</v>
      </c>
      <c r="J37" s="5" t="str">
        <f t="shared" si="3"/>
        <v>2230</v>
      </c>
      <c r="K37" s="5" t="str">
        <f t="shared" si="4"/>
        <v>000</v>
      </c>
      <c r="L37" s="5">
        <f t="shared" si="5"/>
        <v>11</v>
      </c>
      <c r="M37" s="5">
        <f t="shared" si="6"/>
        <v>2011</v>
      </c>
    </row>
    <row r="38" spans="1:13" ht="17.45" customHeight="1" x14ac:dyDescent="0.25">
      <c r="A38" s="1">
        <f>DATE(2011,11,2)</f>
        <v>40849</v>
      </c>
      <c r="B38" t="s">
        <v>15</v>
      </c>
      <c r="C38" t="s">
        <v>6</v>
      </c>
      <c r="D38" s="3">
        <v>6730.2560000000003</v>
      </c>
      <c r="E38" s="3">
        <v>0</v>
      </c>
      <c r="F38" t="s">
        <v>45</v>
      </c>
      <c r="G38" s="3">
        <f t="shared" si="0"/>
        <v>-6730.2560000000003</v>
      </c>
      <c r="H38" s="3">
        <f t="shared" si="1"/>
        <v>6730.2560000000003</v>
      </c>
      <c r="I38" s="5" t="str">
        <f t="shared" si="2"/>
        <v>017</v>
      </c>
      <c r="J38" s="5" t="str">
        <f t="shared" si="3"/>
        <v>2100</v>
      </c>
      <c r="K38" s="5" t="str">
        <f t="shared" si="4"/>
        <v>000</v>
      </c>
      <c r="L38" s="5">
        <f t="shared" si="5"/>
        <v>11</v>
      </c>
      <c r="M38" s="5">
        <f t="shared" si="6"/>
        <v>2011</v>
      </c>
    </row>
    <row r="39" spans="1:13" ht="17.45" customHeight="1" x14ac:dyDescent="0.25">
      <c r="A39" s="1">
        <f>DATE(2011,11,2)</f>
        <v>40849</v>
      </c>
      <c r="B39" t="s">
        <v>16</v>
      </c>
      <c r="C39" t="s">
        <v>8</v>
      </c>
      <c r="D39" s="3">
        <v>1416.4469999999999</v>
      </c>
      <c r="E39" s="3">
        <v>0</v>
      </c>
      <c r="F39" t="s">
        <v>45</v>
      </c>
      <c r="G39" s="3">
        <f t="shared" si="0"/>
        <v>-1416.4469999999999</v>
      </c>
      <c r="H39" s="3">
        <f t="shared" si="1"/>
        <v>1416.4469999999999</v>
      </c>
      <c r="I39" s="5" t="str">
        <f t="shared" si="2"/>
        <v>017</v>
      </c>
      <c r="J39" s="5" t="str">
        <f t="shared" si="3"/>
        <v>2210</v>
      </c>
      <c r="K39" s="5" t="str">
        <f t="shared" si="4"/>
        <v>000</v>
      </c>
      <c r="L39" s="5">
        <f t="shared" si="5"/>
        <v>11</v>
      </c>
      <c r="M39" s="5">
        <f t="shared" si="6"/>
        <v>2011</v>
      </c>
    </row>
    <row r="40" spans="1:13" ht="17.45" customHeight="1" x14ac:dyDescent="0.25">
      <c r="A40" s="1">
        <f>DATE(2011,11,2)</f>
        <v>40849</v>
      </c>
      <c r="B40" t="s">
        <v>17</v>
      </c>
      <c r="C40" t="s">
        <v>9</v>
      </c>
      <c r="D40" s="3">
        <v>625.625</v>
      </c>
      <c r="E40" s="3">
        <v>0</v>
      </c>
      <c r="F40" t="s">
        <v>45</v>
      </c>
      <c r="G40" s="3">
        <f t="shared" si="0"/>
        <v>-625.625</v>
      </c>
      <c r="H40" s="3">
        <f t="shared" si="1"/>
        <v>625.625</v>
      </c>
      <c r="I40" s="5" t="str">
        <f t="shared" si="2"/>
        <v>017</v>
      </c>
      <c r="J40" s="5" t="str">
        <f t="shared" si="3"/>
        <v>2220</v>
      </c>
      <c r="K40" s="5" t="str">
        <f t="shared" si="4"/>
        <v>000</v>
      </c>
      <c r="L40" s="5">
        <f t="shared" si="5"/>
        <v>11</v>
      </c>
      <c r="M40" s="5">
        <f t="shared" si="6"/>
        <v>2011</v>
      </c>
    </row>
    <row r="41" spans="1:13" ht="17.45" customHeight="1" x14ac:dyDescent="0.25">
      <c r="A41" s="1">
        <f>DATE(2011,11,2)</f>
        <v>40849</v>
      </c>
      <c r="B41" t="s">
        <v>18</v>
      </c>
      <c r="C41" t="s">
        <v>10</v>
      </c>
      <c r="D41" s="3">
        <v>255.42000000000002</v>
      </c>
      <c r="E41" s="3">
        <v>0</v>
      </c>
      <c r="F41" t="s">
        <v>45</v>
      </c>
      <c r="G41" s="3">
        <f t="shared" si="0"/>
        <v>-255.42000000000002</v>
      </c>
      <c r="H41" s="3">
        <f t="shared" si="1"/>
        <v>255.42000000000002</v>
      </c>
      <c r="I41" s="5" t="str">
        <f t="shared" si="2"/>
        <v>017</v>
      </c>
      <c r="J41" s="5" t="str">
        <f t="shared" si="3"/>
        <v>2230</v>
      </c>
      <c r="K41" s="5" t="str">
        <f t="shared" si="4"/>
        <v>000</v>
      </c>
      <c r="L41" s="5">
        <f t="shared" si="5"/>
        <v>11</v>
      </c>
      <c r="M41" s="5">
        <f t="shared" si="6"/>
        <v>2011</v>
      </c>
    </row>
    <row r="42" spans="1:13" ht="17.45" customHeight="1" x14ac:dyDescent="0.25">
      <c r="A42" s="1">
        <f>DATE(2011,11,3)</f>
        <v>40850</v>
      </c>
      <c r="B42" t="s">
        <v>15</v>
      </c>
      <c r="C42" t="s">
        <v>6</v>
      </c>
      <c r="D42" s="3">
        <v>4880.3250000000007</v>
      </c>
      <c r="E42" s="3">
        <v>0</v>
      </c>
      <c r="F42" t="s">
        <v>45</v>
      </c>
      <c r="G42" s="3">
        <f t="shared" si="0"/>
        <v>-4880.3250000000007</v>
      </c>
      <c r="H42" s="3">
        <f t="shared" si="1"/>
        <v>4880.3250000000007</v>
      </c>
      <c r="I42" s="5" t="str">
        <f t="shared" si="2"/>
        <v>017</v>
      </c>
      <c r="J42" s="5" t="str">
        <f t="shared" si="3"/>
        <v>2100</v>
      </c>
      <c r="K42" s="5" t="str">
        <f t="shared" si="4"/>
        <v>000</v>
      </c>
      <c r="L42" s="5">
        <f t="shared" si="5"/>
        <v>11</v>
      </c>
      <c r="M42" s="5">
        <f t="shared" si="6"/>
        <v>2011</v>
      </c>
    </row>
    <row r="43" spans="1:13" ht="17.45" customHeight="1" x14ac:dyDescent="0.25">
      <c r="A43" s="1">
        <f>DATE(2011,11,3)</f>
        <v>40850</v>
      </c>
      <c r="B43" t="s">
        <v>16</v>
      </c>
      <c r="C43" t="s">
        <v>8</v>
      </c>
      <c r="D43" s="3">
        <v>899.42399999999998</v>
      </c>
      <c r="E43" s="3">
        <v>0</v>
      </c>
      <c r="F43" t="s">
        <v>45</v>
      </c>
      <c r="G43" s="3">
        <f t="shared" si="0"/>
        <v>-899.42399999999998</v>
      </c>
      <c r="H43" s="3">
        <f t="shared" si="1"/>
        <v>899.42399999999998</v>
      </c>
      <c r="I43" s="5" t="str">
        <f t="shared" si="2"/>
        <v>017</v>
      </c>
      <c r="J43" s="5" t="str">
        <f t="shared" si="3"/>
        <v>2210</v>
      </c>
      <c r="K43" s="5" t="str">
        <f t="shared" si="4"/>
        <v>000</v>
      </c>
      <c r="L43" s="5">
        <f t="shared" si="5"/>
        <v>11</v>
      </c>
      <c r="M43" s="5">
        <f t="shared" si="6"/>
        <v>2011</v>
      </c>
    </row>
    <row r="44" spans="1:13" ht="17.45" customHeight="1" x14ac:dyDescent="0.25">
      <c r="A44" s="1">
        <f>DATE(2011,11,3)</f>
        <v>40850</v>
      </c>
      <c r="B44" t="s">
        <v>17</v>
      </c>
      <c r="C44" t="s">
        <v>9</v>
      </c>
      <c r="D44" s="3">
        <v>375.0575</v>
      </c>
      <c r="E44" s="3">
        <v>0</v>
      </c>
      <c r="F44" t="s">
        <v>45</v>
      </c>
      <c r="G44" s="3">
        <f t="shared" si="0"/>
        <v>-375.0575</v>
      </c>
      <c r="H44" s="3">
        <f t="shared" si="1"/>
        <v>375.0575</v>
      </c>
      <c r="I44" s="5" t="str">
        <f t="shared" si="2"/>
        <v>017</v>
      </c>
      <c r="J44" s="5" t="str">
        <f t="shared" si="3"/>
        <v>2220</v>
      </c>
      <c r="K44" s="5" t="str">
        <f t="shared" si="4"/>
        <v>000</v>
      </c>
      <c r="L44" s="5">
        <f t="shared" si="5"/>
        <v>11</v>
      </c>
      <c r="M44" s="5">
        <f t="shared" si="6"/>
        <v>2011</v>
      </c>
    </row>
    <row r="45" spans="1:13" ht="17.45" customHeight="1" x14ac:dyDescent="0.25">
      <c r="A45" s="1">
        <f>DATE(2011,11,3)</f>
        <v>40850</v>
      </c>
      <c r="B45" t="s">
        <v>18</v>
      </c>
      <c r="C45" t="s">
        <v>10</v>
      </c>
      <c r="D45" s="3">
        <v>41.419000000000004</v>
      </c>
      <c r="E45" s="3">
        <v>0</v>
      </c>
      <c r="F45" t="s">
        <v>45</v>
      </c>
      <c r="G45" s="3">
        <f t="shared" si="0"/>
        <v>-41.419000000000004</v>
      </c>
      <c r="H45" s="3">
        <f t="shared" si="1"/>
        <v>41.419000000000004</v>
      </c>
      <c r="I45" s="5" t="str">
        <f t="shared" si="2"/>
        <v>017</v>
      </c>
      <c r="J45" s="5" t="str">
        <f t="shared" si="3"/>
        <v>2230</v>
      </c>
      <c r="K45" s="5" t="str">
        <f t="shared" si="4"/>
        <v>000</v>
      </c>
      <c r="L45" s="5">
        <f t="shared" si="5"/>
        <v>11</v>
      </c>
      <c r="M45" s="5">
        <f t="shared" si="6"/>
        <v>2011</v>
      </c>
    </row>
    <row r="46" spans="1:13" ht="17.45" customHeight="1" x14ac:dyDescent="0.25">
      <c r="A46" s="1">
        <f>DATE(2011,11,4)</f>
        <v>40851</v>
      </c>
      <c r="B46" t="s">
        <v>15</v>
      </c>
      <c r="C46" t="s">
        <v>6</v>
      </c>
      <c r="D46" s="3">
        <v>10551.688</v>
      </c>
      <c r="E46" s="3">
        <v>0</v>
      </c>
      <c r="F46" t="s">
        <v>45</v>
      </c>
      <c r="G46" s="3">
        <f t="shared" si="0"/>
        <v>-10551.688</v>
      </c>
      <c r="H46" s="3">
        <f t="shared" si="1"/>
        <v>10551.688</v>
      </c>
      <c r="I46" s="5" t="str">
        <f t="shared" si="2"/>
        <v>017</v>
      </c>
      <c r="J46" s="5" t="str">
        <f t="shared" si="3"/>
        <v>2100</v>
      </c>
      <c r="K46" s="5" t="str">
        <f t="shared" si="4"/>
        <v>000</v>
      </c>
      <c r="L46" s="5">
        <f t="shared" si="5"/>
        <v>11</v>
      </c>
      <c r="M46" s="5">
        <f t="shared" si="6"/>
        <v>2011</v>
      </c>
    </row>
    <row r="47" spans="1:13" ht="17.45" customHeight="1" x14ac:dyDescent="0.25">
      <c r="A47" s="1">
        <f>DATE(2011,11,4)</f>
        <v>40851</v>
      </c>
      <c r="B47" t="s">
        <v>16</v>
      </c>
      <c r="C47" t="s">
        <v>8</v>
      </c>
      <c r="D47" s="3">
        <v>1829.175</v>
      </c>
      <c r="E47" s="3">
        <v>0</v>
      </c>
      <c r="F47" t="s">
        <v>45</v>
      </c>
      <c r="G47" s="3">
        <f t="shared" si="0"/>
        <v>-1829.175</v>
      </c>
      <c r="H47" s="3">
        <f t="shared" si="1"/>
        <v>1829.175</v>
      </c>
      <c r="I47" s="5" t="str">
        <f t="shared" si="2"/>
        <v>017</v>
      </c>
      <c r="J47" s="5" t="str">
        <f t="shared" si="3"/>
        <v>2210</v>
      </c>
      <c r="K47" s="5" t="str">
        <f t="shared" si="4"/>
        <v>000</v>
      </c>
      <c r="L47" s="5">
        <f t="shared" si="5"/>
        <v>11</v>
      </c>
      <c r="M47" s="5">
        <f t="shared" si="6"/>
        <v>2011</v>
      </c>
    </row>
    <row r="48" spans="1:13" ht="17.45" customHeight="1" x14ac:dyDescent="0.25">
      <c r="A48" s="1">
        <f>DATE(2011,11,4)</f>
        <v>40851</v>
      </c>
      <c r="B48" t="s">
        <v>17</v>
      </c>
      <c r="C48" t="s">
        <v>9</v>
      </c>
      <c r="D48" s="3">
        <v>598.4</v>
      </c>
      <c r="E48" s="3">
        <v>0</v>
      </c>
      <c r="F48" t="s">
        <v>45</v>
      </c>
      <c r="G48" s="3">
        <f t="shared" si="0"/>
        <v>-598.4</v>
      </c>
      <c r="H48" s="3">
        <f t="shared" si="1"/>
        <v>598.4</v>
      </c>
      <c r="I48" s="5" t="str">
        <f t="shared" si="2"/>
        <v>017</v>
      </c>
      <c r="J48" s="5" t="str">
        <f t="shared" si="3"/>
        <v>2220</v>
      </c>
      <c r="K48" s="5" t="str">
        <f t="shared" si="4"/>
        <v>000</v>
      </c>
      <c r="L48" s="5">
        <f t="shared" si="5"/>
        <v>11</v>
      </c>
      <c r="M48" s="5">
        <f t="shared" si="6"/>
        <v>2011</v>
      </c>
    </row>
    <row r="49" spans="1:13" ht="17.45" customHeight="1" x14ac:dyDescent="0.25">
      <c r="A49" s="1">
        <f>DATE(2011,11,4)</f>
        <v>40851</v>
      </c>
      <c r="B49" t="s">
        <v>18</v>
      </c>
      <c r="C49" t="s">
        <v>10</v>
      </c>
      <c r="D49" s="3">
        <v>223.1985</v>
      </c>
      <c r="E49" s="3">
        <v>0</v>
      </c>
      <c r="F49" t="s">
        <v>45</v>
      </c>
      <c r="G49" s="3">
        <f t="shared" si="0"/>
        <v>-223.1985</v>
      </c>
      <c r="H49" s="3">
        <f t="shared" si="1"/>
        <v>223.1985</v>
      </c>
      <c r="I49" s="5" t="str">
        <f t="shared" si="2"/>
        <v>017</v>
      </c>
      <c r="J49" s="5" t="str">
        <f t="shared" si="3"/>
        <v>2230</v>
      </c>
      <c r="K49" s="5" t="str">
        <f t="shared" si="4"/>
        <v>000</v>
      </c>
      <c r="L49" s="5">
        <f t="shared" si="5"/>
        <v>11</v>
      </c>
      <c r="M49" s="5">
        <f t="shared" si="6"/>
        <v>2011</v>
      </c>
    </row>
    <row r="50" spans="1:13" ht="17.45" customHeight="1" x14ac:dyDescent="0.25">
      <c r="A50" s="1">
        <f>DATE(2011,11,5)</f>
        <v>40852</v>
      </c>
      <c r="B50" t="s">
        <v>15</v>
      </c>
      <c r="C50" t="s">
        <v>6</v>
      </c>
      <c r="D50" s="3">
        <v>7257.6456000000007</v>
      </c>
      <c r="E50" s="3">
        <v>0</v>
      </c>
      <c r="F50" t="s">
        <v>45</v>
      </c>
      <c r="G50" s="3">
        <f t="shared" si="0"/>
        <v>-7257.6456000000007</v>
      </c>
      <c r="H50" s="3">
        <f t="shared" si="1"/>
        <v>7257.6456000000007</v>
      </c>
      <c r="I50" s="5" t="str">
        <f t="shared" si="2"/>
        <v>017</v>
      </c>
      <c r="J50" s="5" t="str">
        <f t="shared" si="3"/>
        <v>2100</v>
      </c>
      <c r="K50" s="5" t="str">
        <f t="shared" si="4"/>
        <v>000</v>
      </c>
      <c r="L50" s="5">
        <f t="shared" si="5"/>
        <v>11</v>
      </c>
      <c r="M50" s="5">
        <f t="shared" si="6"/>
        <v>2011</v>
      </c>
    </row>
    <row r="51" spans="1:13" ht="17.45" customHeight="1" x14ac:dyDescent="0.25">
      <c r="A51" s="1">
        <f>DATE(2011,11,5)</f>
        <v>40852</v>
      </c>
      <c r="B51" t="s">
        <v>16</v>
      </c>
      <c r="C51" t="s">
        <v>8</v>
      </c>
      <c r="D51" s="3">
        <v>1206.3449999999998</v>
      </c>
      <c r="E51" s="3">
        <v>0</v>
      </c>
      <c r="F51" t="s">
        <v>45</v>
      </c>
      <c r="G51" s="3">
        <f t="shared" si="0"/>
        <v>-1206.3449999999998</v>
      </c>
      <c r="H51" s="3">
        <f t="shared" si="1"/>
        <v>1206.3449999999998</v>
      </c>
      <c r="I51" s="5" t="str">
        <f t="shared" si="2"/>
        <v>017</v>
      </c>
      <c r="J51" s="5" t="str">
        <f t="shared" si="3"/>
        <v>2210</v>
      </c>
      <c r="K51" s="5" t="str">
        <f t="shared" si="4"/>
        <v>000</v>
      </c>
      <c r="L51" s="5">
        <f t="shared" si="5"/>
        <v>11</v>
      </c>
      <c r="M51" s="5">
        <f t="shared" si="6"/>
        <v>2011</v>
      </c>
    </row>
    <row r="52" spans="1:13" ht="17.45" customHeight="1" x14ac:dyDescent="0.25">
      <c r="A52" s="1">
        <f>DATE(2011,11,5)</f>
        <v>40852</v>
      </c>
      <c r="B52" t="s">
        <v>17</v>
      </c>
      <c r="C52" t="s">
        <v>9</v>
      </c>
      <c r="D52" s="3">
        <v>305.11250000000001</v>
      </c>
      <c r="E52" s="3">
        <v>0</v>
      </c>
      <c r="F52" t="s">
        <v>45</v>
      </c>
      <c r="G52" s="3">
        <f t="shared" si="0"/>
        <v>-305.11250000000001</v>
      </c>
      <c r="H52" s="3">
        <f t="shared" si="1"/>
        <v>305.11250000000001</v>
      </c>
      <c r="I52" s="5" t="str">
        <f t="shared" si="2"/>
        <v>017</v>
      </c>
      <c r="J52" s="5" t="str">
        <f t="shared" si="3"/>
        <v>2220</v>
      </c>
      <c r="K52" s="5" t="str">
        <f t="shared" si="4"/>
        <v>000</v>
      </c>
      <c r="L52" s="5">
        <f t="shared" si="5"/>
        <v>11</v>
      </c>
      <c r="M52" s="5">
        <f t="shared" si="6"/>
        <v>2011</v>
      </c>
    </row>
    <row r="53" spans="1:13" ht="17.45" customHeight="1" x14ac:dyDescent="0.25">
      <c r="A53" s="1">
        <f>DATE(2011,11,5)</f>
        <v>40852</v>
      </c>
      <c r="B53" t="s">
        <v>18</v>
      </c>
      <c r="C53" t="s">
        <v>10</v>
      </c>
      <c r="D53" s="3">
        <v>37.28</v>
      </c>
      <c r="E53" s="3">
        <v>0</v>
      </c>
      <c r="F53" t="s">
        <v>45</v>
      </c>
      <c r="G53" s="3">
        <f t="shared" si="0"/>
        <v>-37.28</v>
      </c>
      <c r="H53" s="3">
        <f t="shared" si="1"/>
        <v>37.28</v>
      </c>
      <c r="I53" s="5" t="str">
        <f t="shared" si="2"/>
        <v>017</v>
      </c>
      <c r="J53" s="5" t="str">
        <f t="shared" si="3"/>
        <v>2230</v>
      </c>
      <c r="K53" s="5" t="str">
        <f t="shared" si="4"/>
        <v>000</v>
      </c>
      <c r="L53" s="5">
        <f t="shared" si="5"/>
        <v>11</v>
      </c>
      <c r="M53" s="5">
        <f t="shared" si="6"/>
        <v>2011</v>
      </c>
    </row>
    <row r="54" spans="1:13" ht="17.45" customHeight="1" x14ac:dyDescent="0.25">
      <c r="A54" s="1">
        <f>DATE(2011,11,6)</f>
        <v>40853</v>
      </c>
      <c r="B54" t="s">
        <v>15</v>
      </c>
      <c r="C54" t="s">
        <v>6</v>
      </c>
      <c r="D54" s="3">
        <v>5277.5837999999994</v>
      </c>
      <c r="E54" s="3">
        <v>0</v>
      </c>
      <c r="F54" t="s">
        <v>45</v>
      </c>
      <c r="G54" s="3">
        <f t="shared" si="0"/>
        <v>-5277.5837999999994</v>
      </c>
      <c r="H54" s="3">
        <f t="shared" si="1"/>
        <v>5277.5837999999994</v>
      </c>
      <c r="I54" s="5" t="str">
        <f t="shared" si="2"/>
        <v>017</v>
      </c>
      <c r="J54" s="5" t="str">
        <f t="shared" si="3"/>
        <v>2100</v>
      </c>
      <c r="K54" s="5" t="str">
        <f t="shared" si="4"/>
        <v>000</v>
      </c>
      <c r="L54" s="5">
        <f t="shared" si="5"/>
        <v>11</v>
      </c>
      <c r="M54" s="5">
        <f t="shared" si="6"/>
        <v>2011</v>
      </c>
    </row>
    <row r="55" spans="1:13" ht="17.45" customHeight="1" x14ac:dyDescent="0.25">
      <c r="A55" s="1">
        <f>DATE(2011,11,6)</f>
        <v>40853</v>
      </c>
      <c r="B55" t="s">
        <v>16</v>
      </c>
      <c r="C55" t="s">
        <v>8</v>
      </c>
      <c r="D55" s="3">
        <v>1038.8275000000001</v>
      </c>
      <c r="E55" s="3">
        <v>0</v>
      </c>
      <c r="F55" t="s">
        <v>45</v>
      </c>
      <c r="G55" s="3">
        <f t="shared" si="0"/>
        <v>-1038.8275000000001</v>
      </c>
      <c r="H55" s="3">
        <f t="shared" si="1"/>
        <v>1038.8275000000001</v>
      </c>
      <c r="I55" s="5" t="str">
        <f t="shared" si="2"/>
        <v>017</v>
      </c>
      <c r="J55" s="5" t="str">
        <f t="shared" si="3"/>
        <v>2210</v>
      </c>
      <c r="K55" s="5" t="str">
        <f t="shared" si="4"/>
        <v>000</v>
      </c>
      <c r="L55" s="5">
        <f t="shared" si="5"/>
        <v>11</v>
      </c>
      <c r="M55" s="5">
        <f t="shared" si="6"/>
        <v>2011</v>
      </c>
    </row>
    <row r="56" spans="1:13" ht="17.45" customHeight="1" x14ac:dyDescent="0.25">
      <c r="A56" s="1">
        <f>DATE(2011,11,6)</f>
        <v>40853</v>
      </c>
      <c r="B56" t="s">
        <v>17</v>
      </c>
      <c r="C56" t="s">
        <v>9</v>
      </c>
      <c r="D56" s="3">
        <v>232.26</v>
      </c>
      <c r="E56" s="3">
        <v>0</v>
      </c>
      <c r="F56" t="s">
        <v>45</v>
      </c>
      <c r="G56" s="3">
        <f t="shared" si="0"/>
        <v>-232.26</v>
      </c>
      <c r="H56" s="3">
        <f t="shared" si="1"/>
        <v>232.26</v>
      </c>
      <c r="I56" s="5" t="str">
        <f t="shared" si="2"/>
        <v>017</v>
      </c>
      <c r="J56" s="5" t="str">
        <f t="shared" si="3"/>
        <v>2220</v>
      </c>
      <c r="K56" s="5" t="str">
        <f t="shared" si="4"/>
        <v>000</v>
      </c>
      <c r="L56" s="5">
        <f t="shared" si="5"/>
        <v>11</v>
      </c>
      <c r="M56" s="5">
        <f t="shared" si="6"/>
        <v>2011</v>
      </c>
    </row>
    <row r="57" spans="1:13" ht="17.45" customHeight="1" x14ac:dyDescent="0.25">
      <c r="A57" s="1">
        <f>DATE(2011,11,6)</f>
        <v>40853</v>
      </c>
      <c r="B57" t="s">
        <v>18</v>
      </c>
      <c r="C57" t="s">
        <v>10</v>
      </c>
      <c r="D57" s="3">
        <v>99.187499999999986</v>
      </c>
      <c r="E57" s="3">
        <v>0</v>
      </c>
      <c r="F57" t="s">
        <v>45</v>
      </c>
      <c r="G57" s="3">
        <f t="shared" si="0"/>
        <v>-99.187499999999986</v>
      </c>
      <c r="H57" s="3">
        <f t="shared" si="1"/>
        <v>99.187499999999986</v>
      </c>
      <c r="I57" s="5" t="str">
        <f t="shared" si="2"/>
        <v>017</v>
      </c>
      <c r="J57" s="5" t="str">
        <f t="shared" si="3"/>
        <v>2230</v>
      </c>
      <c r="K57" s="5" t="str">
        <f t="shared" si="4"/>
        <v>000</v>
      </c>
      <c r="L57" s="5">
        <f t="shared" si="5"/>
        <v>11</v>
      </c>
      <c r="M57" s="5">
        <f t="shared" si="6"/>
        <v>2011</v>
      </c>
    </row>
    <row r="58" spans="1:13" ht="17.45" customHeight="1" x14ac:dyDescent="0.25">
      <c r="A58" s="1">
        <f>DATE(2011,10,31)</f>
        <v>40847</v>
      </c>
      <c r="B58" t="s">
        <v>19</v>
      </c>
      <c r="C58" t="s">
        <v>6</v>
      </c>
      <c r="D58" s="3">
        <v>2541.5625</v>
      </c>
      <c r="E58" s="3">
        <v>0</v>
      </c>
      <c r="F58" t="s">
        <v>45</v>
      </c>
      <c r="G58" s="3">
        <f t="shared" si="0"/>
        <v>-2541.5625</v>
      </c>
      <c r="H58" s="3">
        <f t="shared" si="1"/>
        <v>2541.5625</v>
      </c>
      <c r="I58" s="5" t="str">
        <f t="shared" si="2"/>
        <v>018</v>
      </c>
      <c r="J58" s="5" t="str">
        <f t="shared" si="3"/>
        <v>2100</v>
      </c>
      <c r="K58" s="5" t="str">
        <f t="shared" si="4"/>
        <v>000</v>
      </c>
      <c r="L58" s="5">
        <f t="shared" si="5"/>
        <v>10</v>
      </c>
      <c r="M58" s="5">
        <f t="shared" si="6"/>
        <v>2011</v>
      </c>
    </row>
    <row r="59" spans="1:13" ht="17.45" customHeight="1" x14ac:dyDescent="0.25">
      <c r="A59" s="1">
        <f>DATE(2011,10,31)</f>
        <v>40847</v>
      </c>
      <c r="B59" t="s">
        <v>20</v>
      </c>
      <c r="C59" t="s">
        <v>8</v>
      </c>
      <c r="D59" s="3">
        <v>296.98199999999997</v>
      </c>
      <c r="E59" s="3">
        <v>0</v>
      </c>
      <c r="F59" t="s">
        <v>45</v>
      </c>
      <c r="G59" s="3">
        <f t="shared" si="0"/>
        <v>-296.98199999999997</v>
      </c>
      <c r="H59" s="3">
        <f t="shared" si="1"/>
        <v>296.98199999999997</v>
      </c>
      <c r="I59" s="5" t="str">
        <f t="shared" si="2"/>
        <v>018</v>
      </c>
      <c r="J59" s="5" t="str">
        <f t="shared" si="3"/>
        <v>2210</v>
      </c>
      <c r="K59" s="5" t="str">
        <f t="shared" si="4"/>
        <v>000</v>
      </c>
      <c r="L59" s="5">
        <f t="shared" si="5"/>
        <v>10</v>
      </c>
      <c r="M59" s="5">
        <f t="shared" si="6"/>
        <v>2011</v>
      </c>
    </row>
    <row r="60" spans="1:13" ht="17.45" customHeight="1" x14ac:dyDescent="0.25">
      <c r="A60" s="1">
        <f>DATE(2011,10,31)</f>
        <v>40847</v>
      </c>
      <c r="B60" t="s">
        <v>21</v>
      </c>
      <c r="C60" t="s">
        <v>9</v>
      </c>
      <c r="D60" s="3">
        <v>107.27549999999999</v>
      </c>
      <c r="E60" s="3">
        <v>0</v>
      </c>
      <c r="F60" t="s">
        <v>45</v>
      </c>
      <c r="G60" s="3">
        <f t="shared" si="0"/>
        <v>-107.27549999999999</v>
      </c>
      <c r="H60" s="3">
        <f t="shared" si="1"/>
        <v>107.27549999999999</v>
      </c>
      <c r="I60" s="5" t="str">
        <f t="shared" si="2"/>
        <v>018</v>
      </c>
      <c r="J60" s="5" t="str">
        <f t="shared" si="3"/>
        <v>2220</v>
      </c>
      <c r="K60" s="5" t="str">
        <f t="shared" si="4"/>
        <v>000</v>
      </c>
      <c r="L60" s="5">
        <f t="shared" si="5"/>
        <v>10</v>
      </c>
      <c r="M60" s="5">
        <f t="shared" si="6"/>
        <v>2011</v>
      </c>
    </row>
    <row r="61" spans="1:13" ht="17.45" customHeight="1" x14ac:dyDescent="0.25">
      <c r="A61" s="1">
        <f>DATE(2011,10,31)</f>
        <v>40847</v>
      </c>
      <c r="B61" t="s">
        <v>22</v>
      </c>
      <c r="C61" t="s">
        <v>10</v>
      </c>
      <c r="D61" s="3">
        <v>22.657499999999999</v>
      </c>
      <c r="E61" s="3">
        <v>0</v>
      </c>
      <c r="F61" t="s">
        <v>45</v>
      </c>
      <c r="G61" s="3">
        <f t="shared" si="0"/>
        <v>-22.657499999999999</v>
      </c>
      <c r="H61" s="3">
        <f t="shared" si="1"/>
        <v>22.657499999999999</v>
      </c>
      <c r="I61" s="5" t="str">
        <f t="shared" si="2"/>
        <v>018</v>
      </c>
      <c r="J61" s="5" t="str">
        <f t="shared" si="3"/>
        <v>2230</v>
      </c>
      <c r="K61" s="5" t="str">
        <f t="shared" si="4"/>
        <v>000</v>
      </c>
      <c r="L61" s="5">
        <f t="shared" si="5"/>
        <v>10</v>
      </c>
      <c r="M61" s="5">
        <f t="shared" si="6"/>
        <v>2011</v>
      </c>
    </row>
    <row r="62" spans="1:13" ht="17.45" customHeight="1" x14ac:dyDescent="0.25">
      <c r="A62" s="1">
        <f>DATE(2011,11,1)</f>
        <v>40848</v>
      </c>
      <c r="B62" t="s">
        <v>19</v>
      </c>
      <c r="C62" t="s">
        <v>6</v>
      </c>
      <c r="D62" s="3">
        <v>2674.6304</v>
      </c>
      <c r="E62" s="3">
        <v>0</v>
      </c>
      <c r="F62" t="s">
        <v>45</v>
      </c>
      <c r="G62" s="3">
        <f t="shared" si="0"/>
        <v>-2674.6304</v>
      </c>
      <c r="H62" s="3">
        <f t="shared" si="1"/>
        <v>2674.6304</v>
      </c>
      <c r="I62" s="5" t="str">
        <f t="shared" si="2"/>
        <v>018</v>
      </c>
      <c r="J62" s="5" t="str">
        <f t="shared" si="3"/>
        <v>2100</v>
      </c>
      <c r="K62" s="5" t="str">
        <f t="shared" si="4"/>
        <v>000</v>
      </c>
      <c r="L62" s="5">
        <f t="shared" si="5"/>
        <v>11</v>
      </c>
      <c r="M62" s="5">
        <f t="shared" si="6"/>
        <v>2011</v>
      </c>
    </row>
    <row r="63" spans="1:13" ht="17.45" customHeight="1" x14ac:dyDescent="0.25">
      <c r="A63" s="1">
        <f>DATE(2011,11,1)</f>
        <v>40848</v>
      </c>
      <c r="B63" t="s">
        <v>20</v>
      </c>
      <c r="C63" t="s">
        <v>8</v>
      </c>
      <c r="D63" s="3">
        <v>424.64800000000002</v>
      </c>
      <c r="E63" s="3">
        <v>0</v>
      </c>
      <c r="F63" t="s">
        <v>45</v>
      </c>
      <c r="G63" s="3">
        <f t="shared" si="0"/>
        <v>-424.64800000000002</v>
      </c>
      <c r="H63" s="3">
        <f t="shared" si="1"/>
        <v>424.64800000000002</v>
      </c>
      <c r="I63" s="5" t="str">
        <f t="shared" si="2"/>
        <v>018</v>
      </c>
      <c r="J63" s="5" t="str">
        <f t="shared" si="3"/>
        <v>2210</v>
      </c>
      <c r="K63" s="5" t="str">
        <f t="shared" si="4"/>
        <v>000</v>
      </c>
      <c r="L63" s="5">
        <f t="shared" si="5"/>
        <v>11</v>
      </c>
      <c r="M63" s="5">
        <f t="shared" si="6"/>
        <v>2011</v>
      </c>
    </row>
    <row r="64" spans="1:13" ht="17.45" customHeight="1" x14ac:dyDescent="0.25">
      <c r="A64" s="1">
        <f>DATE(2011,11,1)</f>
        <v>40848</v>
      </c>
      <c r="B64" t="s">
        <v>21</v>
      </c>
      <c r="C64" t="s">
        <v>9</v>
      </c>
      <c r="D64" s="3">
        <v>177.566</v>
      </c>
      <c r="E64" s="3">
        <v>0</v>
      </c>
      <c r="F64" t="s">
        <v>45</v>
      </c>
      <c r="G64" s="3">
        <f t="shared" si="0"/>
        <v>-177.566</v>
      </c>
      <c r="H64" s="3">
        <f t="shared" si="1"/>
        <v>177.566</v>
      </c>
      <c r="I64" s="5" t="str">
        <f t="shared" si="2"/>
        <v>018</v>
      </c>
      <c r="J64" s="5" t="str">
        <f t="shared" si="3"/>
        <v>2220</v>
      </c>
      <c r="K64" s="5" t="str">
        <f t="shared" si="4"/>
        <v>000</v>
      </c>
      <c r="L64" s="5">
        <f t="shared" si="5"/>
        <v>11</v>
      </c>
      <c r="M64" s="5">
        <f t="shared" si="6"/>
        <v>2011</v>
      </c>
    </row>
    <row r="65" spans="1:13" ht="17.45" customHeight="1" x14ac:dyDescent="0.25">
      <c r="A65" s="1">
        <f>DATE(2011,11,1)</f>
        <v>40848</v>
      </c>
      <c r="B65" t="s">
        <v>22</v>
      </c>
      <c r="C65" t="s">
        <v>10</v>
      </c>
      <c r="D65" s="3">
        <v>13.689</v>
      </c>
      <c r="E65" s="3">
        <v>0</v>
      </c>
      <c r="F65" t="s">
        <v>45</v>
      </c>
      <c r="G65" s="3">
        <f t="shared" si="0"/>
        <v>-13.689</v>
      </c>
      <c r="H65" s="3">
        <f t="shared" si="1"/>
        <v>13.689</v>
      </c>
      <c r="I65" s="5" t="str">
        <f t="shared" si="2"/>
        <v>018</v>
      </c>
      <c r="J65" s="5" t="str">
        <f t="shared" si="3"/>
        <v>2230</v>
      </c>
      <c r="K65" s="5" t="str">
        <f t="shared" si="4"/>
        <v>000</v>
      </c>
      <c r="L65" s="5">
        <f t="shared" si="5"/>
        <v>11</v>
      </c>
      <c r="M65" s="5">
        <f t="shared" si="6"/>
        <v>2011</v>
      </c>
    </row>
    <row r="66" spans="1:13" ht="17.45" customHeight="1" x14ac:dyDescent="0.25">
      <c r="A66" s="1">
        <f>DATE(2011,11,2)</f>
        <v>40849</v>
      </c>
      <c r="B66" t="s">
        <v>19</v>
      </c>
      <c r="C66" t="s">
        <v>6</v>
      </c>
      <c r="D66" s="3">
        <v>2621.3042</v>
      </c>
      <c r="E66" s="3">
        <v>0</v>
      </c>
      <c r="F66" t="s">
        <v>45</v>
      </c>
      <c r="G66" s="3">
        <f t="shared" ref="G66:G129" si="8">E66-D66</f>
        <v>-2621.3042</v>
      </c>
      <c r="H66" s="3">
        <f t="shared" ref="H66:H129" si="9">ABS(G66)</f>
        <v>2621.3042</v>
      </c>
      <c r="I66" s="5" t="str">
        <f t="shared" ref="I66:I129" si="10">MID(B66,1,3)</f>
        <v>018</v>
      </c>
      <c r="J66" s="5" t="str">
        <f t="shared" ref="J66:J129" si="11">MID(B66,5,4)</f>
        <v>2100</v>
      </c>
      <c r="K66" s="5" t="str">
        <f t="shared" ref="K66:K129" si="12">MID(B66,10,3)</f>
        <v>000</v>
      </c>
      <c r="L66" s="5">
        <f t="shared" ref="L66:L129" si="13">MONTH(A66)</f>
        <v>11</v>
      </c>
      <c r="M66" s="5">
        <f t="shared" ref="M66:M129" si="14">YEAR(A66)</f>
        <v>2011</v>
      </c>
    </row>
    <row r="67" spans="1:13" ht="17.45" customHeight="1" x14ac:dyDescent="0.25">
      <c r="A67" s="1">
        <f>DATE(2011,11,2)</f>
        <v>40849</v>
      </c>
      <c r="B67" t="s">
        <v>20</v>
      </c>
      <c r="C67" t="s">
        <v>8</v>
      </c>
      <c r="D67" s="3">
        <v>527.10750000000007</v>
      </c>
      <c r="E67" s="3">
        <v>0</v>
      </c>
      <c r="F67" t="s">
        <v>45</v>
      </c>
      <c r="G67" s="3">
        <f t="shared" si="8"/>
        <v>-527.10750000000007</v>
      </c>
      <c r="H67" s="3">
        <f t="shared" si="9"/>
        <v>527.10750000000007</v>
      </c>
      <c r="I67" s="5" t="str">
        <f t="shared" si="10"/>
        <v>018</v>
      </c>
      <c r="J67" s="5" t="str">
        <f t="shared" si="11"/>
        <v>2210</v>
      </c>
      <c r="K67" s="5" t="str">
        <f t="shared" si="12"/>
        <v>000</v>
      </c>
      <c r="L67" s="5">
        <f t="shared" si="13"/>
        <v>11</v>
      </c>
      <c r="M67" s="5">
        <f t="shared" si="14"/>
        <v>2011</v>
      </c>
    </row>
    <row r="68" spans="1:13" ht="17.45" customHeight="1" x14ac:dyDescent="0.25">
      <c r="A68" s="1">
        <f>DATE(2011,11,2)</f>
        <v>40849</v>
      </c>
      <c r="B68" t="s">
        <v>21</v>
      </c>
      <c r="C68" t="s">
        <v>9</v>
      </c>
      <c r="D68" s="3">
        <v>53.956000000000003</v>
      </c>
      <c r="E68" s="3">
        <v>0</v>
      </c>
      <c r="F68" t="s">
        <v>45</v>
      </c>
      <c r="G68" s="3">
        <f t="shared" si="8"/>
        <v>-53.956000000000003</v>
      </c>
      <c r="H68" s="3">
        <f t="shared" si="9"/>
        <v>53.956000000000003</v>
      </c>
      <c r="I68" s="5" t="str">
        <f t="shared" si="10"/>
        <v>018</v>
      </c>
      <c r="J68" s="5" t="str">
        <f t="shared" si="11"/>
        <v>2220</v>
      </c>
      <c r="K68" s="5" t="str">
        <f t="shared" si="12"/>
        <v>000</v>
      </c>
      <c r="L68" s="5">
        <f t="shared" si="13"/>
        <v>11</v>
      </c>
      <c r="M68" s="5">
        <f t="shared" si="14"/>
        <v>2011</v>
      </c>
    </row>
    <row r="69" spans="1:13" ht="17.45" customHeight="1" x14ac:dyDescent="0.25">
      <c r="A69" s="1">
        <f>DATE(2011,11,2)</f>
        <v>40849</v>
      </c>
      <c r="B69" t="s">
        <v>22</v>
      </c>
      <c r="C69" t="s">
        <v>10</v>
      </c>
      <c r="D69" s="3">
        <v>78.171500000000009</v>
      </c>
      <c r="E69" s="3">
        <v>0</v>
      </c>
      <c r="F69" t="s">
        <v>45</v>
      </c>
      <c r="G69" s="3">
        <f t="shared" si="8"/>
        <v>-78.171500000000009</v>
      </c>
      <c r="H69" s="3">
        <f t="shared" si="9"/>
        <v>78.171500000000009</v>
      </c>
      <c r="I69" s="5" t="str">
        <f t="shared" si="10"/>
        <v>018</v>
      </c>
      <c r="J69" s="5" t="str">
        <f t="shared" si="11"/>
        <v>2230</v>
      </c>
      <c r="K69" s="5" t="str">
        <f t="shared" si="12"/>
        <v>000</v>
      </c>
      <c r="L69" s="5">
        <f t="shared" si="13"/>
        <v>11</v>
      </c>
      <c r="M69" s="5">
        <f t="shared" si="14"/>
        <v>2011</v>
      </c>
    </row>
    <row r="70" spans="1:13" ht="17.45" customHeight="1" x14ac:dyDescent="0.25">
      <c r="A70" s="1">
        <f>DATE(2011,11,3)</f>
        <v>40850</v>
      </c>
      <c r="B70" t="s">
        <v>19</v>
      </c>
      <c r="C70" t="s">
        <v>6</v>
      </c>
      <c r="D70" s="3">
        <v>4837.866</v>
      </c>
      <c r="E70" s="3">
        <v>0</v>
      </c>
      <c r="F70" t="s">
        <v>45</v>
      </c>
      <c r="G70" s="3">
        <f t="shared" si="8"/>
        <v>-4837.866</v>
      </c>
      <c r="H70" s="3">
        <f t="shared" si="9"/>
        <v>4837.866</v>
      </c>
      <c r="I70" s="5" t="str">
        <f t="shared" si="10"/>
        <v>018</v>
      </c>
      <c r="J70" s="5" t="str">
        <f t="shared" si="11"/>
        <v>2100</v>
      </c>
      <c r="K70" s="5" t="str">
        <f t="shared" si="12"/>
        <v>000</v>
      </c>
      <c r="L70" s="5">
        <f t="shared" si="13"/>
        <v>11</v>
      </c>
      <c r="M70" s="5">
        <f t="shared" si="14"/>
        <v>2011</v>
      </c>
    </row>
    <row r="71" spans="1:13" ht="17.45" customHeight="1" x14ac:dyDescent="0.25">
      <c r="A71" s="1">
        <f>DATE(2011,11,3)</f>
        <v>40850</v>
      </c>
      <c r="B71" t="s">
        <v>20</v>
      </c>
      <c r="C71" t="s">
        <v>8</v>
      </c>
      <c r="D71" s="3">
        <v>738.9425</v>
      </c>
      <c r="E71" s="3">
        <v>0</v>
      </c>
      <c r="F71" t="s">
        <v>45</v>
      </c>
      <c r="G71" s="3">
        <f t="shared" si="8"/>
        <v>-738.9425</v>
      </c>
      <c r="H71" s="3">
        <f t="shared" si="9"/>
        <v>738.9425</v>
      </c>
      <c r="I71" s="5" t="str">
        <f t="shared" si="10"/>
        <v>018</v>
      </c>
      <c r="J71" s="5" t="str">
        <f t="shared" si="11"/>
        <v>2210</v>
      </c>
      <c r="K71" s="5" t="str">
        <f t="shared" si="12"/>
        <v>000</v>
      </c>
      <c r="L71" s="5">
        <f t="shared" si="13"/>
        <v>11</v>
      </c>
      <c r="M71" s="5">
        <f t="shared" si="14"/>
        <v>2011</v>
      </c>
    </row>
    <row r="72" spans="1:13" ht="17.45" customHeight="1" x14ac:dyDescent="0.25">
      <c r="A72" s="1">
        <f>DATE(2011,11,3)</f>
        <v>40850</v>
      </c>
      <c r="B72" t="s">
        <v>21</v>
      </c>
      <c r="C72" t="s">
        <v>9</v>
      </c>
      <c r="D72" s="3">
        <v>223.76399999999998</v>
      </c>
      <c r="E72" s="3">
        <v>0</v>
      </c>
      <c r="F72" t="s">
        <v>45</v>
      </c>
      <c r="G72" s="3">
        <f t="shared" si="8"/>
        <v>-223.76399999999998</v>
      </c>
      <c r="H72" s="3">
        <f t="shared" si="9"/>
        <v>223.76399999999998</v>
      </c>
      <c r="I72" s="5" t="str">
        <f t="shared" si="10"/>
        <v>018</v>
      </c>
      <c r="J72" s="5" t="str">
        <f t="shared" si="11"/>
        <v>2220</v>
      </c>
      <c r="K72" s="5" t="str">
        <f t="shared" si="12"/>
        <v>000</v>
      </c>
      <c r="L72" s="5">
        <f t="shared" si="13"/>
        <v>11</v>
      </c>
      <c r="M72" s="5">
        <f t="shared" si="14"/>
        <v>2011</v>
      </c>
    </row>
    <row r="73" spans="1:13" ht="17.45" customHeight="1" x14ac:dyDescent="0.25">
      <c r="A73" s="1">
        <f>DATE(2011,11,3)</f>
        <v>40850</v>
      </c>
      <c r="B73" t="s">
        <v>22</v>
      </c>
      <c r="C73" t="s">
        <v>10</v>
      </c>
      <c r="D73" s="3">
        <v>12.354999999999999</v>
      </c>
      <c r="E73" s="3">
        <v>0</v>
      </c>
      <c r="F73" t="s">
        <v>45</v>
      </c>
      <c r="G73" s="3">
        <f t="shared" si="8"/>
        <v>-12.354999999999999</v>
      </c>
      <c r="H73" s="3">
        <f t="shared" si="9"/>
        <v>12.354999999999999</v>
      </c>
      <c r="I73" s="5" t="str">
        <f t="shared" si="10"/>
        <v>018</v>
      </c>
      <c r="J73" s="5" t="str">
        <f t="shared" si="11"/>
        <v>2230</v>
      </c>
      <c r="K73" s="5" t="str">
        <f t="shared" si="12"/>
        <v>000</v>
      </c>
      <c r="L73" s="5">
        <f t="shared" si="13"/>
        <v>11</v>
      </c>
      <c r="M73" s="5">
        <f t="shared" si="14"/>
        <v>2011</v>
      </c>
    </row>
    <row r="74" spans="1:13" ht="17.45" customHeight="1" x14ac:dyDescent="0.25">
      <c r="A74" s="1">
        <f>DATE(2011,11,4)</f>
        <v>40851</v>
      </c>
      <c r="B74" t="s">
        <v>19</v>
      </c>
      <c r="C74" t="s">
        <v>6</v>
      </c>
      <c r="D74" s="3">
        <v>8130.3166000000001</v>
      </c>
      <c r="E74" s="3">
        <v>0</v>
      </c>
      <c r="F74" t="s">
        <v>45</v>
      </c>
      <c r="G74" s="3">
        <f t="shared" si="8"/>
        <v>-8130.3166000000001</v>
      </c>
      <c r="H74" s="3">
        <f t="shared" si="9"/>
        <v>8130.3166000000001</v>
      </c>
      <c r="I74" s="5" t="str">
        <f t="shared" si="10"/>
        <v>018</v>
      </c>
      <c r="J74" s="5" t="str">
        <f t="shared" si="11"/>
        <v>2100</v>
      </c>
      <c r="K74" s="5" t="str">
        <f t="shared" si="12"/>
        <v>000</v>
      </c>
      <c r="L74" s="5">
        <f t="shared" si="13"/>
        <v>11</v>
      </c>
      <c r="M74" s="5">
        <f t="shared" si="14"/>
        <v>2011</v>
      </c>
    </row>
    <row r="75" spans="1:13" ht="17.45" customHeight="1" x14ac:dyDescent="0.25">
      <c r="A75" s="1">
        <f>DATE(2011,11,4)</f>
        <v>40851</v>
      </c>
      <c r="B75" t="s">
        <v>20</v>
      </c>
      <c r="C75" t="s">
        <v>8</v>
      </c>
      <c r="D75" s="3">
        <v>1672.0320000000002</v>
      </c>
      <c r="E75" s="3">
        <v>0</v>
      </c>
      <c r="F75" t="s">
        <v>45</v>
      </c>
      <c r="G75" s="3">
        <f t="shared" si="8"/>
        <v>-1672.0320000000002</v>
      </c>
      <c r="H75" s="3">
        <f t="shared" si="9"/>
        <v>1672.0320000000002</v>
      </c>
      <c r="I75" s="5" t="str">
        <f t="shared" si="10"/>
        <v>018</v>
      </c>
      <c r="J75" s="5" t="str">
        <f t="shared" si="11"/>
        <v>2210</v>
      </c>
      <c r="K75" s="5" t="str">
        <f t="shared" si="12"/>
        <v>000</v>
      </c>
      <c r="L75" s="5">
        <f t="shared" si="13"/>
        <v>11</v>
      </c>
      <c r="M75" s="5">
        <f t="shared" si="14"/>
        <v>2011</v>
      </c>
    </row>
    <row r="76" spans="1:13" ht="17.45" customHeight="1" x14ac:dyDescent="0.25">
      <c r="A76" s="1">
        <f>DATE(2011,11,4)</f>
        <v>40851</v>
      </c>
      <c r="B76" t="s">
        <v>21</v>
      </c>
      <c r="C76" t="s">
        <v>9</v>
      </c>
      <c r="D76" s="3">
        <v>439.07800000000003</v>
      </c>
      <c r="E76" s="3">
        <v>0</v>
      </c>
      <c r="F76" t="s">
        <v>45</v>
      </c>
      <c r="G76" s="3">
        <f t="shared" si="8"/>
        <v>-439.07800000000003</v>
      </c>
      <c r="H76" s="3">
        <f t="shared" si="9"/>
        <v>439.07800000000003</v>
      </c>
      <c r="I76" s="5" t="str">
        <f t="shared" si="10"/>
        <v>018</v>
      </c>
      <c r="J76" s="5" t="str">
        <f t="shared" si="11"/>
        <v>2220</v>
      </c>
      <c r="K76" s="5" t="str">
        <f t="shared" si="12"/>
        <v>000</v>
      </c>
      <c r="L76" s="5">
        <f t="shared" si="13"/>
        <v>11</v>
      </c>
      <c r="M76" s="5">
        <f t="shared" si="14"/>
        <v>2011</v>
      </c>
    </row>
    <row r="77" spans="1:13" ht="17.45" customHeight="1" x14ac:dyDescent="0.25">
      <c r="A77" s="1">
        <f>DATE(2011,11,4)</f>
        <v>40851</v>
      </c>
      <c r="B77" t="s">
        <v>22</v>
      </c>
      <c r="C77" t="s">
        <v>10</v>
      </c>
      <c r="D77" s="3">
        <v>208.66749999999999</v>
      </c>
      <c r="E77" s="3">
        <v>0</v>
      </c>
      <c r="F77" t="s">
        <v>45</v>
      </c>
      <c r="G77" s="3">
        <f t="shared" si="8"/>
        <v>-208.66749999999999</v>
      </c>
      <c r="H77" s="3">
        <f t="shared" si="9"/>
        <v>208.66749999999999</v>
      </c>
      <c r="I77" s="5" t="str">
        <f t="shared" si="10"/>
        <v>018</v>
      </c>
      <c r="J77" s="5" t="str">
        <f t="shared" si="11"/>
        <v>2230</v>
      </c>
      <c r="K77" s="5" t="str">
        <f t="shared" si="12"/>
        <v>000</v>
      </c>
      <c r="L77" s="5">
        <f t="shared" si="13"/>
        <v>11</v>
      </c>
      <c r="M77" s="5">
        <f t="shared" si="14"/>
        <v>2011</v>
      </c>
    </row>
    <row r="78" spans="1:13" ht="17.45" customHeight="1" x14ac:dyDescent="0.25">
      <c r="A78" s="1">
        <f>DATE(2011,11,5)</f>
        <v>40852</v>
      </c>
      <c r="B78" t="s">
        <v>19</v>
      </c>
      <c r="C78" t="s">
        <v>6</v>
      </c>
      <c r="D78" s="3">
        <v>13025.044</v>
      </c>
      <c r="E78" s="3">
        <v>0</v>
      </c>
      <c r="F78" t="s">
        <v>45</v>
      </c>
      <c r="G78" s="3">
        <f t="shared" si="8"/>
        <v>-13025.044</v>
      </c>
      <c r="H78" s="3">
        <f t="shared" si="9"/>
        <v>13025.044</v>
      </c>
      <c r="I78" s="5" t="str">
        <f t="shared" si="10"/>
        <v>018</v>
      </c>
      <c r="J78" s="5" t="str">
        <f t="shared" si="11"/>
        <v>2100</v>
      </c>
      <c r="K78" s="5" t="str">
        <f t="shared" si="12"/>
        <v>000</v>
      </c>
      <c r="L78" s="5">
        <f t="shared" si="13"/>
        <v>11</v>
      </c>
      <c r="M78" s="5">
        <f t="shared" si="14"/>
        <v>2011</v>
      </c>
    </row>
    <row r="79" spans="1:13" ht="17.45" customHeight="1" x14ac:dyDescent="0.25">
      <c r="A79" s="1">
        <f>DATE(2011,11,5)</f>
        <v>40852</v>
      </c>
      <c r="B79" t="s">
        <v>20</v>
      </c>
      <c r="C79" t="s">
        <v>8</v>
      </c>
      <c r="D79" s="3">
        <v>1826.3040000000001</v>
      </c>
      <c r="E79" s="3">
        <v>0</v>
      </c>
      <c r="F79" t="s">
        <v>45</v>
      </c>
      <c r="G79" s="3">
        <f t="shared" si="8"/>
        <v>-1826.3040000000001</v>
      </c>
      <c r="H79" s="3">
        <f t="shared" si="9"/>
        <v>1826.3040000000001</v>
      </c>
      <c r="I79" s="5" t="str">
        <f t="shared" si="10"/>
        <v>018</v>
      </c>
      <c r="J79" s="5" t="str">
        <f t="shared" si="11"/>
        <v>2210</v>
      </c>
      <c r="K79" s="5" t="str">
        <f t="shared" si="12"/>
        <v>000</v>
      </c>
      <c r="L79" s="5">
        <f t="shared" si="13"/>
        <v>11</v>
      </c>
      <c r="M79" s="5">
        <f t="shared" si="14"/>
        <v>2011</v>
      </c>
    </row>
    <row r="80" spans="1:13" ht="17.45" customHeight="1" x14ac:dyDescent="0.25">
      <c r="A80" s="1">
        <f>DATE(2011,11,5)</f>
        <v>40852</v>
      </c>
      <c r="B80" t="s">
        <v>21</v>
      </c>
      <c r="C80" t="s">
        <v>9</v>
      </c>
      <c r="D80" s="3">
        <v>602.37</v>
      </c>
      <c r="E80" s="3">
        <v>0</v>
      </c>
      <c r="F80" t="s">
        <v>45</v>
      </c>
      <c r="G80" s="3">
        <f t="shared" si="8"/>
        <v>-602.37</v>
      </c>
      <c r="H80" s="3">
        <f t="shared" si="9"/>
        <v>602.37</v>
      </c>
      <c r="I80" s="5" t="str">
        <f t="shared" si="10"/>
        <v>018</v>
      </c>
      <c r="J80" s="5" t="str">
        <f t="shared" si="11"/>
        <v>2220</v>
      </c>
      <c r="K80" s="5" t="str">
        <f t="shared" si="12"/>
        <v>000</v>
      </c>
      <c r="L80" s="5">
        <f t="shared" si="13"/>
        <v>11</v>
      </c>
      <c r="M80" s="5">
        <f t="shared" si="14"/>
        <v>2011</v>
      </c>
    </row>
    <row r="81" spans="1:13" ht="17.45" customHeight="1" x14ac:dyDescent="0.25">
      <c r="A81" s="1">
        <f>DATE(2011,11,5)</f>
        <v>40852</v>
      </c>
      <c r="B81" t="s">
        <v>22</v>
      </c>
      <c r="C81" t="s">
        <v>10</v>
      </c>
      <c r="D81" s="3">
        <v>53.040999999999997</v>
      </c>
      <c r="E81" s="3">
        <v>0</v>
      </c>
      <c r="F81" t="s">
        <v>45</v>
      </c>
      <c r="G81" s="3">
        <f t="shared" si="8"/>
        <v>-53.040999999999997</v>
      </c>
      <c r="H81" s="3">
        <f t="shared" si="9"/>
        <v>53.040999999999997</v>
      </c>
      <c r="I81" s="5" t="str">
        <f t="shared" si="10"/>
        <v>018</v>
      </c>
      <c r="J81" s="5" t="str">
        <f t="shared" si="11"/>
        <v>2230</v>
      </c>
      <c r="K81" s="5" t="str">
        <f t="shared" si="12"/>
        <v>000</v>
      </c>
      <c r="L81" s="5">
        <f t="shared" si="13"/>
        <v>11</v>
      </c>
      <c r="M81" s="5">
        <f t="shared" si="14"/>
        <v>2011</v>
      </c>
    </row>
    <row r="82" spans="1:13" ht="17.45" customHeight="1" x14ac:dyDescent="0.25">
      <c r="A82" s="1">
        <f>DATE(2011,11,6)</f>
        <v>40853</v>
      </c>
      <c r="B82" t="s">
        <v>19</v>
      </c>
      <c r="C82" t="s">
        <v>6</v>
      </c>
      <c r="D82" s="3">
        <v>5432.5769999999993</v>
      </c>
      <c r="E82" s="3">
        <v>0</v>
      </c>
      <c r="F82" t="s">
        <v>45</v>
      </c>
      <c r="G82" s="3">
        <f t="shared" si="8"/>
        <v>-5432.5769999999993</v>
      </c>
      <c r="H82" s="3">
        <f t="shared" si="9"/>
        <v>5432.5769999999993</v>
      </c>
      <c r="I82" s="5" t="str">
        <f t="shared" si="10"/>
        <v>018</v>
      </c>
      <c r="J82" s="5" t="str">
        <f t="shared" si="11"/>
        <v>2100</v>
      </c>
      <c r="K82" s="5" t="str">
        <f t="shared" si="12"/>
        <v>000</v>
      </c>
      <c r="L82" s="5">
        <f t="shared" si="13"/>
        <v>11</v>
      </c>
      <c r="M82" s="5">
        <f t="shared" si="14"/>
        <v>2011</v>
      </c>
    </row>
    <row r="83" spans="1:13" ht="17.45" customHeight="1" x14ac:dyDescent="0.25">
      <c r="A83" s="1">
        <f>DATE(2011,11,6)</f>
        <v>40853</v>
      </c>
      <c r="B83" t="s">
        <v>20</v>
      </c>
      <c r="C83" t="s">
        <v>8</v>
      </c>
      <c r="D83" s="3">
        <v>576.02299999999991</v>
      </c>
      <c r="E83" s="3">
        <v>0</v>
      </c>
      <c r="F83" t="s">
        <v>45</v>
      </c>
      <c r="G83" s="3">
        <f t="shared" si="8"/>
        <v>-576.02299999999991</v>
      </c>
      <c r="H83" s="3">
        <f t="shared" si="9"/>
        <v>576.02299999999991</v>
      </c>
      <c r="I83" s="5" t="str">
        <f t="shared" si="10"/>
        <v>018</v>
      </c>
      <c r="J83" s="5" t="str">
        <f t="shared" si="11"/>
        <v>2210</v>
      </c>
      <c r="K83" s="5" t="str">
        <f t="shared" si="12"/>
        <v>000</v>
      </c>
      <c r="L83" s="5">
        <f t="shared" si="13"/>
        <v>11</v>
      </c>
      <c r="M83" s="5">
        <f t="shared" si="14"/>
        <v>2011</v>
      </c>
    </row>
    <row r="84" spans="1:13" ht="17.45" customHeight="1" x14ac:dyDescent="0.25">
      <c r="A84" s="1">
        <f>DATE(2011,11,6)</f>
        <v>40853</v>
      </c>
      <c r="B84" t="s">
        <v>21</v>
      </c>
      <c r="C84" t="s">
        <v>9</v>
      </c>
      <c r="D84" s="3">
        <v>207.35999999999999</v>
      </c>
      <c r="E84" s="3">
        <v>0</v>
      </c>
      <c r="F84" t="s">
        <v>45</v>
      </c>
      <c r="G84" s="3">
        <f t="shared" si="8"/>
        <v>-207.35999999999999</v>
      </c>
      <c r="H84" s="3">
        <f t="shared" si="9"/>
        <v>207.35999999999999</v>
      </c>
      <c r="I84" s="5" t="str">
        <f t="shared" si="10"/>
        <v>018</v>
      </c>
      <c r="J84" s="5" t="str">
        <f t="shared" si="11"/>
        <v>2220</v>
      </c>
      <c r="K84" s="5" t="str">
        <f t="shared" si="12"/>
        <v>000</v>
      </c>
      <c r="L84" s="5">
        <f t="shared" si="13"/>
        <v>11</v>
      </c>
      <c r="M84" s="5">
        <f t="shared" si="14"/>
        <v>2011</v>
      </c>
    </row>
    <row r="85" spans="1:13" ht="17.45" customHeight="1" x14ac:dyDescent="0.25">
      <c r="A85" s="1">
        <f>DATE(2011,11,6)</f>
        <v>40853</v>
      </c>
      <c r="B85" t="s">
        <v>22</v>
      </c>
      <c r="C85" t="s">
        <v>10</v>
      </c>
      <c r="D85" s="3">
        <v>60.247999999999998</v>
      </c>
      <c r="E85" s="3">
        <v>0</v>
      </c>
      <c r="F85" t="s">
        <v>45</v>
      </c>
      <c r="G85" s="3">
        <f t="shared" si="8"/>
        <v>-60.247999999999998</v>
      </c>
      <c r="H85" s="3">
        <f t="shared" si="9"/>
        <v>60.247999999999998</v>
      </c>
      <c r="I85" s="5" t="str">
        <f t="shared" si="10"/>
        <v>018</v>
      </c>
      <c r="J85" s="5" t="str">
        <f t="shared" si="11"/>
        <v>2230</v>
      </c>
      <c r="K85" s="5" t="str">
        <f t="shared" si="12"/>
        <v>000</v>
      </c>
      <c r="L85" s="5">
        <f t="shared" si="13"/>
        <v>11</v>
      </c>
      <c r="M85" s="5">
        <f t="shared" si="14"/>
        <v>2011</v>
      </c>
    </row>
    <row r="86" spans="1:13" ht="17.45" customHeight="1" x14ac:dyDescent="0.25">
      <c r="A86" s="1">
        <f>DATE(2011,11,7)</f>
        <v>40854</v>
      </c>
      <c r="B86" t="s">
        <v>11</v>
      </c>
      <c r="C86" t="s">
        <v>6</v>
      </c>
      <c r="D86" s="3">
        <v>2523.4036000000001</v>
      </c>
      <c r="E86" s="3">
        <v>0</v>
      </c>
      <c r="F86" t="s">
        <v>45</v>
      </c>
      <c r="G86" s="3">
        <f t="shared" si="8"/>
        <v>-2523.4036000000001</v>
      </c>
      <c r="H86" s="3">
        <f t="shared" si="9"/>
        <v>2523.4036000000001</v>
      </c>
      <c r="I86" s="5" t="str">
        <f t="shared" si="10"/>
        <v>016</v>
      </c>
      <c r="J86" s="5" t="str">
        <f t="shared" si="11"/>
        <v>2100</v>
      </c>
      <c r="K86" s="5" t="str">
        <f t="shared" si="12"/>
        <v>000</v>
      </c>
      <c r="L86" s="5">
        <f t="shared" si="13"/>
        <v>11</v>
      </c>
      <c r="M86" s="5">
        <f t="shared" si="14"/>
        <v>2011</v>
      </c>
    </row>
    <row r="87" spans="1:13" ht="17.45" customHeight="1" x14ac:dyDescent="0.25">
      <c r="A87" s="1">
        <f>DATE(2011,11,7)</f>
        <v>40854</v>
      </c>
      <c r="B87" t="s">
        <v>12</v>
      </c>
      <c r="C87" t="s">
        <v>8</v>
      </c>
      <c r="D87" s="3">
        <v>818.21249999999998</v>
      </c>
      <c r="E87" s="3">
        <v>0</v>
      </c>
      <c r="F87" t="s">
        <v>45</v>
      </c>
      <c r="G87" s="3">
        <f t="shared" si="8"/>
        <v>-818.21249999999998</v>
      </c>
      <c r="H87" s="3">
        <f t="shared" si="9"/>
        <v>818.21249999999998</v>
      </c>
      <c r="I87" s="5" t="str">
        <f t="shared" si="10"/>
        <v>016</v>
      </c>
      <c r="J87" s="5" t="str">
        <f t="shared" si="11"/>
        <v>2210</v>
      </c>
      <c r="K87" s="5" t="str">
        <f t="shared" si="12"/>
        <v>000</v>
      </c>
      <c r="L87" s="5">
        <f t="shared" si="13"/>
        <v>11</v>
      </c>
      <c r="M87" s="5">
        <f t="shared" si="14"/>
        <v>2011</v>
      </c>
    </row>
    <row r="88" spans="1:13" ht="17.45" customHeight="1" x14ac:dyDescent="0.25">
      <c r="A88" s="1">
        <f>DATE(2011,11,7)</f>
        <v>40854</v>
      </c>
      <c r="B88" t="s">
        <v>13</v>
      </c>
      <c r="C88" t="s">
        <v>9</v>
      </c>
      <c r="D88" s="3">
        <v>139.49100000000001</v>
      </c>
      <c r="E88" s="3">
        <v>0</v>
      </c>
      <c r="F88" t="s">
        <v>45</v>
      </c>
      <c r="G88" s="3">
        <f t="shared" si="8"/>
        <v>-139.49100000000001</v>
      </c>
      <c r="H88" s="3">
        <f t="shared" si="9"/>
        <v>139.49100000000001</v>
      </c>
      <c r="I88" s="5" t="str">
        <f t="shared" si="10"/>
        <v>016</v>
      </c>
      <c r="J88" s="5" t="str">
        <f t="shared" si="11"/>
        <v>2220</v>
      </c>
      <c r="K88" s="5" t="str">
        <f t="shared" si="12"/>
        <v>000</v>
      </c>
      <c r="L88" s="5">
        <f t="shared" si="13"/>
        <v>11</v>
      </c>
      <c r="M88" s="5">
        <f t="shared" si="14"/>
        <v>2011</v>
      </c>
    </row>
    <row r="89" spans="1:13" ht="17.45" customHeight="1" x14ac:dyDescent="0.25">
      <c r="A89" s="1">
        <f>DATE(2011,11,7)</f>
        <v>40854</v>
      </c>
      <c r="B89" t="s">
        <v>14</v>
      </c>
      <c r="C89" t="s">
        <v>10</v>
      </c>
      <c r="D89" s="3">
        <v>202.92</v>
      </c>
      <c r="E89" s="3">
        <v>0</v>
      </c>
      <c r="F89" t="s">
        <v>45</v>
      </c>
      <c r="G89" s="3">
        <f t="shared" si="8"/>
        <v>-202.92</v>
      </c>
      <c r="H89" s="3">
        <f t="shared" si="9"/>
        <v>202.92</v>
      </c>
      <c r="I89" s="5" t="str">
        <f t="shared" si="10"/>
        <v>016</v>
      </c>
      <c r="J89" s="5" t="str">
        <f t="shared" si="11"/>
        <v>2230</v>
      </c>
      <c r="K89" s="5" t="str">
        <f t="shared" si="12"/>
        <v>000</v>
      </c>
      <c r="L89" s="5">
        <f t="shared" si="13"/>
        <v>11</v>
      </c>
      <c r="M89" s="5">
        <f t="shared" si="14"/>
        <v>2011</v>
      </c>
    </row>
    <row r="90" spans="1:13" ht="17.45" customHeight="1" x14ac:dyDescent="0.25">
      <c r="A90" s="1">
        <f>DATE(2011,11,8)</f>
        <v>40855</v>
      </c>
      <c r="B90" t="s">
        <v>11</v>
      </c>
      <c r="C90" t="s">
        <v>6</v>
      </c>
      <c r="D90" s="3">
        <v>2994.0104999999999</v>
      </c>
      <c r="E90" s="3">
        <v>0</v>
      </c>
      <c r="F90" t="s">
        <v>45</v>
      </c>
      <c r="G90" s="3">
        <f t="shared" si="8"/>
        <v>-2994.0104999999999</v>
      </c>
      <c r="H90" s="3">
        <f t="shared" si="9"/>
        <v>2994.0104999999999</v>
      </c>
      <c r="I90" s="5" t="str">
        <f t="shared" si="10"/>
        <v>016</v>
      </c>
      <c r="J90" s="5" t="str">
        <f t="shared" si="11"/>
        <v>2100</v>
      </c>
      <c r="K90" s="5" t="str">
        <f t="shared" si="12"/>
        <v>000</v>
      </c>
      <c r="L90" s="5">
        <f t="shared" si="13"/>
        <v>11</v>
      </c>
      <c r="M90" s="5">
        <f t="shared" si="14"/>
        <v>2011</v>
      </c>
    </row>
    <row r="91" spans="1:13" ht="17.45" customHeight="1" x14ac:dyDescent="0.25">
      <c r="A91" s="1">
        <f>DATE(2011,11,8)</f>
        <v>40855</v>
      </c>
      <c r="B91" t="s">
        <v>12</v>
      </c>
      <c r="C91" t="s">
        <v>8</v>
      </c>
      <c r="D91" s="3">
        <v>496.71350000000001</v>
      </c>
      <c r="E91" s="3">
        <v>0</v>
      </c>
      <c r="F91" t="s">
        <v>45</v>
      </c>
      <c r="G91" s="3">
        <f t="shared" si="8"/>
        <v>-496.71350000000001</v>
      </c>
      <c r="H91" s="3">
        <f t="shared" si="9"/>
        <v>496.71350000000001</v>
      </c>
      <c r="I91" s="5" t="str">
        <f t="shared" si="10"/>
        <v>016</v>
      </c>
      <c r="J91" s="5" t="str">
        <f t="shared" si="11"/>
        <v>2210</v>
      </c>
      <c r="K91" s="5" t="str">
        <f t="shared" si="12"/>
        <v>000</v>
      </c>
      <c r="L91" s="5">
        <f t="shared" si="13"/>
        <v>11</v>
      </c>
      <c r="M91" s="5">
        <f t="shared" si="14"/>
        <v>2011</v>
      </c>
    </row>
    <row r="92" spans="1:13" ht="17.45" customHeight="1" x14ac:dyDescent="0.25">
      <c r="A92" s="1">
        <f>DATE(2011,11,8)</f>
        <v>40855</v>
      </c>
      <c r="B92" t="s">
        <v>13</v>
      </c>
      <c r="C92" t="s">
        <v>9</v>
      </c>
      <c r="D92" s="3">
        <v>131.31300000000002</v>
      </c>
      <c r="E92" s="3">
        <v>0</v>
      </c>
      <c r="F92" t="s">
        <v>45</v>
      </c>
      <c r="G92" s="3">
        <f t="shared" si="8"/>
        <v>-131.31300000000002</v>
      </c>
      <c r="H92" s="3">
        <f t="shared" si="9"/>
        <v>131.31300000000002</v>
      </c>
      <c r="I92" s="5" t="str">
        <f t="shared" si="10"/>
        <v>016</v>
      </c>
      <c r="J92" s="5" t="str">
        <f t="shared" si="11"/>
        <v>2220</v>
      </c>
      <c r="K92" s="5" t="str">
        <f t="shared" si="12"/>
        <v>000</v>
      </c>
      <c r="L92" s="5">
        <f t="shared" si="13"/>
        <v>11</v>
      </c>
      <c r="M92" s="5">
        <f t="shared" si="14"/>
        <v>2011</v>
      </c>
    </row>
    <row r="93" spans="1:13" ht="17.45" customHeight="1" x14ac:dyDescent="0.25">
      <c r="A93" s="1">
        <f>DATE(2011,11,8)</f>
        <v>40855</v>
      </c>
      <c r="B93" t="s">
        <v>14</v>
      </c>
      <c r="C93" t="s">
        <v>10</v>
      </c>
      <c r="D93" s="3">
        <v>100.33</v>
      </c>
      <c r="E93" s="3">
        <v>0</v>
      </c>
      <c r="F93" t="s">
        <v>45</v>
      </c>
      <c r="G93" s="3">
        <f t="shared" si="8"/>
        <v>-100.33</v>
      </c>
      <c r="H93" s="3">
        <f t="shared" si="9"/>
        <v>100.33</v>
      </c>
      <c r="I93" s="5" t="str">
        <f t="shared" si="10"/>
        <v>016</v>
      </c>
      <c r="J93" s="5" t="str">
        <f t="shared" si="11"/>
        <v>2230</v>
      </c>
      <c r="K93" s="5" t="str">
        <f t="shared" si="12"/>
        <v>000</v>
      </c>
      <c r="L93" s="5">
        <f t="shared" si="13"/>
        <v>11</v>
      </c>
      <c r="M93" s="5">
        <f t="shared" si="14"/>
        <v>2011</v>
      </c>
    </row>
    <row r="94" spans="1:13" ht="17.45" customHeight="1" x14ac:dyDescent="0.25">
      <c r="A94" s="1">
        <f>DATE(2011,11,9)</f>
        <v>40856</v>
      </c>
      <c r="B94" t="s">
        <v>11</v>
      </c>
      <c r="C94" t="s">
        <v>6</v>
      </c>
      <c r="D94" s="3">
        <v>2809.3884000000003</v>
      </c>
      <c r="E94" s="3">
        <v>0</v>
      </c>
      <c r="F94" t="s">
        <v>45</v>
      </c>
      <c r="G94" s="3">
        <f t="shared" si="8"/>
        <v>-2809.3884000000003</v>
      </c>
      <c r="H94" s="3">
        <f t="shared" si="9"/>
        <v>2809.3884000000003</v>
      </c>
      <c r="I94" s="5" t="str">
        <f t="shared" si="10"/>
        <v>016</v>
      </c>
      <c r="J94" s="5" t="str">
        <f t="shared" si="11"/>
        <v>2100</v>
      </c>
      <c r="K94" s="5" t="str">
        <f t="shared" si="12"/>
        <v>000</v>
      </c>
      <c r="L94" s="5">
        <f t="shared" si="13"/>
        <v>11</v>
      </c>
      <c r="M94" s="5">
        <f t="shared" si="14"/>
        <v>2011</v>
      </c>
    </row>
    <row r="95" spans="1:13" ht="17.45" customHeight="1" x14ac:dyDescent="0.25">
      <c r="A95" s="1">
        <f>DATE(2011,11,9)</f>
        <v>40856</v>
      </c>
      <c r="B95" t="s">
        <v>12</v>
      </c>
      <c r="C95" t="s">
        <v>8</v>
      </c>
      <c r="D95" s="3">
        <v>705.28000000000009</v>
      </c>
      <c r="E95" s="3">
        <v>0</v>
      </c>
      <c r="F95" t="s">
        <v>45</v>
      </c>
      <c r="G95" s="3">
        <f t="shared" si="8"/>
        <v>-705.28000000000009</v>
      </c>
      <c r="H95" s="3">
        <f t="shared" si="9"/>
        <v>705.28000000000009</v>
      </c>
      <c r="I95" s="5" t="str">
        <f t="shared" si="10"/>
        <v>016</v>
      </c>
      <c r="J95" s="5" t="str">
        <f t="shared" si="11"/>
        <v>2210</v>
      </c>
      <c r="K95" s="5" t="str">
        <f t="shared" si="12"/>
        <v>000</v>
      </c>
      <c r="L95" s="5">
        <f t="shared" si="13"/>
        <v>11</v>
      </c>
      <c r="M95" s="5">
        <f t="shared" si="14"/>
        <v>2011</v>
      </c>
    </row>
    <row r="96" spans="1:13" ht="17.45" customHeight="1" x14ac:dyDescent="0.25">
      <c r="A96" s="1">
        <f>DATE(2011,11,9)</f>
        <v>40856</v>
      </c>
      <c r="B96" t="s">
        <v>13</v>
      </c>
      <c r="C96" t="s">
        <v>9</v>
      </c>
      <c r="D96" s="3">
        <v>129.84699999999998</v>
      </c>
      <c r="E96" s="3">
        <v>0</v>
      </c>
      <c r="F96" t="s">
        <v>45</v>
      </c>
      <c r="G96" s="3">
        <f t="shared" si="8"/>
        <v>-129.84699999999998</v>
      </c>
      <c r="H96" s="3">
        <f t="shared" si="9"/>
        <v>129.84699999999998</v>
      </c>
      <c r="I96" s="5" t="str">
        <f t="shared" si="10"/>
        <v>016</v>
      </c>
      <c r="J96" s="5" t="str">
        <f t="shared" si="11"/>
        <v>2220</v>
      </c>
      <c r="K96" s="5" t="str">
        <f t="shared" si="12"/>
        <v>000</v>
      </c>
      <c r="L96" s="5">
        <f t="shared" si="13"/>
        <v>11</v>
      </c>
      <c r="M96" s="5">
        <f t="shared" si="14"/>
        <v>2011</v>
      </c>
    </row>
    <row r="97" spans="1:13" ht="17.45" customHeight="1" x14ac:dyDescent="0.25">
      <c r="A97" s="1">
        <f>DATE(2011,11,9)</f>
        <v>40856</v>
      </c>
      <c r="B97" t="s">
        <v>14</v>
      </c>
      <c r="C97" t="s">
        <v>10</v>
      </c>
      <c r="D97" s="3">
        <v>96.874499999999998</v>
      </c>
      <c r="E97" s="3">
        <v>0</v>
      </c>
      <c r="F97" t="s">
        <v>45</v>
      </c>
      <c r="G97" s="3">
        <f t="shared" si="8"/>
        <v>-96.874499999999998</v>
      </c>
      <c r="H97" s="3">
        <f t="shared" si="9"/>
        <v>96.874499999999998</v>
      </c>
      <c r="I97" s="5" t="str">
        <f t="shared" si="10"/>
        <v>016</v>
      </c>
      <c r="J97" s="5" t="str">
        <f t="shared" si="11"/>
        <v>2230</v>
      </c>
      <c r="K97" s="5" t="str">
        <f t="shared" si="12"/>
        <v>000</v>
      </c>
      <c r="L97" s="5">
        <f t="shared" si="13"/>
        <v>11</v>
      </c>
      <c r="M97" s="5">
        <f t="shared" si="14"/>
        <v>2011</v>
      </c>
    </row>
    <row r="98" spans="1:13" ht="17.45" customHeight="1" x14ac:dyDescent="0.25">
      <c r="A98" s="1">
        <f>DATE(2011,11,10)</f>
        <v>40857</v>
      </c>
      <c r="B98" t="s">
        <v>11</v>
      </c>
      <c r="C98" t="s">
        <v>6</v>
      </c>
      <c r="D98" s="3">
        <v>4966.4297999999999</v>
      </c>
      <c r="E98" s="3">
        <v>0</v>
      </c>
      <c r="F98" t="s">
        <v>45</v>
      </c>
      <c r="G98" s="3">
        <f t="shared" si="8"/>
        <v>-4966.4297999999999</v>
      </c>
      <c r="H98" s="3">
        <f t="shared" si="9"/>
        <v>4966.4297999999999</v>
      </c>
      <c r="I98" s="5" t="str">
        <f t="shared" si="10"/>
        <v>016</v>
      </c>
      <c r="J98" s="5" t="str">
        <f t="shared" si="11"/>
        <v>2100</v>
      </c>
      <c r="K98" s="5" t="str">
        <f t="shared" si="12"/>
        <v>000</v>
      </c>
      <c r="L98" s="5">
        <f t="shared" si="13"/>
        <v>11</v>
      </c>
      <c r="M98" s="5">
        <f t="shared" si="14"/>
        <v>2011</v>
      </c>
    </row>
    <row r="99" spans="1:13" ht="17.45" customHeight="1" x14ac:dyDescent="0.25">
      <c r="A99" s="1">
        <f>DATE(2011,11,10)</f>
        <v>40857</v>
      </c>
      <c r="B99" t="s">
        <v>12</v>
      </c>
      <c r="C99" t="s">
        <v>8</v>
      </c>
      <c r="D99" s="3">
        <v>1715.85</v>
      </c>
      <c r="E99" s="3">
        <v>0</v>
      </c>
      <c r="F99" t="s">
        <v>45</v>
      </c>
      <c r="G99" s="3">
        <f t="shared" si="8"/>
        <v>-1715.85</v>
      </c>
      <c r="H99" s="3">
        <f t="shared" si="9"/>
        <v>1715.85</v>
      </c>
      <c r="I99" s="5" t="str">
        <f t="shared" si="10"/>
        <v>016</v>
      </c>
      <c r="J99" s="5" t="str">
        <f t="shared" si="11"/>
        <v>2210</v>
      </c>
      <c r="K99" s="5" t="str">
        <f t="shared" si="12"/>
        <v>000</v>
      </c>
      <c r="L99" s="5">
        <f t="shared" si="13"/>
        <v>11</v>
      </c>
      <c r="M99" s="5">
        <f t="shared" si="14"/>
        <v>2011</v>
      </c>
    </row>
    <row r="100" spans="1:13" ht="17.45" customHeight="1" x14ac:dyDescent="0.25">
      <c r="A100" s="1">
        <f>DATE(2011,11,10)</f>
        <v>40857</v>
      </c>
      <c r="B100" t="s">
        <v>13</v>
      </c>
      <c r="C100" t="s">
        <v>9</v>
      </c>
      <c r="D100" s="3">
        <v>540.38850000000002</v>
      </c>
      <c r="E100" s="3">
        <v>0</v>
      </c>
      <c r="F100" t="s">
        <v>45</v>
      </c>
      <c r="G100" s="3">
        <f t="shared" si="8"/>
        <v>-540.38850000000002</v>
      </c>
      <c r="H100" s="3">
        <f t="shared" si="9"/>
        <v>540.38850000000002</v>
      </c>
      <c r="I100" s="5" t="str">
        <f t="shared" si="10"/>
        <v>016</v>
      </c>
      <c r="J100" s="5" t="str">
        <f t="shared" si="11"/>
        <v>2220</v>
      </c>
      <c r="K100" s="5" t="str">
        <f t="shared" si="12"/>
        <v>000</v>
      </c>
      <c r="L100" s="5">
        <f t="shared" si="13"/>
        <v>11</v>
      </c>
      <c r="M100" s="5">
        <f t="shared" si="14"/>
        <v>2011</v>
      </c>
    </row>
    <row r="101" spans="1:13" ht="17.45" customHeight="1" x14ac:dyDescent="0.25">
      <c r="A101" s="1">
        <f>DATE(2011,11,10)</f>
        <v>40857</v>
      </c>
      <c r="B101" t="s">
        <v>14</v>
      </c>
      <c r="C101" t="s">
        <v>10</v>
      </c>
      <c r="D101" s="3">
        <v>195.66</v>
      </c>
      <c r="E101" s="3">
        <v>0</v>
      </c>
      <c r="F101" t="s">
        <v>45</v>
      </c>
      <c r="G101" s="3">
        <f t="shared" si="8"/>
        <v>-195.66</v>
      </c>
      <c r="H101" s="3">
        <f t="shared" si="9"/>
        <v>195.66</v>
      </c>
      <c r="I101" s="5" t="str">
        <f t="shared" si="10"/>
        <v>016</v>
      </c>
      <c r="J101" s="5" t="str">
        <f t="shared" si="11"/>
        <v>2230</v>
      </c>
      <c r="K101" s="5" t="str">
        <f t="shared" si="12"/>
        <v>000</v>
      </c>
      <c r="L101" s="5">
        <f t="shared" si="13"/>
        <v>11</v>
      </c>
      <c r="M101" s="5">
        <f t="shared" si="14"/>
        <v>2011</v>
      </c>
    </row>
    <row r="102" spans="1:13" ht="17.45" customHeight="1" x14ac:dyDescent="0.25">
      <c r="A102" s="1">
        <f>DATE(2011,11,11)</f>
        <v>40858</v>
      </c>
      <c r="B102" t="s">
        <v>11</v>
      </c>
      <c r="C102" t="s">
        <v>6</v>
      </c>
      <c r="D102" s="3">
        <v>7373.1041999999998</v>
      </c>
      <c r="E102" s="3">
        <v>0</v>
      </c>
      <c r="F102" t="s">
        <v>45</v>
      </c>
      <c r="G102" s="3">
        <f t="shared" si="8"/>
        <v>-7373.1041999999998</v>
      </c>
      <c r="H102" s="3">
        <f t="shared" si="9"/>
        <v>7373.1041999999998</v>
      </c>
      <c r="I102" s="5" t="str">
        <f t="shared" si="10"/>
        <v>016</v>
      </c>
      <c r="J102" s="5" t="str">
        <f t="shared" si="11"/>
        <v>2100</v>
      </c>
      <c r="K102" s="5" t="str">
        <f t="shared" si="12"/>
        <v>000</v>
      </c>
      <c r="L102" s="5">
        <f t="shared" si="13"/>
        <v>11</v>
      </c>
      <c r="M102" s="5">
        <f t="shared" si="14"/>
        <v>2011</v>
      </c>
    </row>
    <row r="103" spans="1:13" ht="17.45" customHeight="1" x14ac:dyDescent="0.25">
      <c r="A103" s="1">
        <f>DATE(2011,11,11)</f>
        <v>40858</v>
      </c>
      <c r="B103" t="s">
        <v>12</v>
      </c>
      <c r="C103" t="s">
        <v>8</v>
      </c>
      <c r="D103" s="3">
        <v>2793.8679999999999</v>
      </c>
      <c r="E103" s="3">
        <v>0</v>
      </c>
      <c r="F103" t="s">
        <v>45</v>
      </c>
      <c r="G103" s="3">
        <f t="shared" si="8"/>
        <v>-2793.8679999999999</v>
      </c>
      <c r="H103" s="3">
        <f t="shared" si="9"/>
        <v>2793.8679999999999</v>
      </c>
      <c r="I103" s="5" t="str">
        <f t="shared" si="10"/>
        <v>016</v>
      </c>
      <c r="J103" s="5" t="str">
        <f t="shared" si="11"/>
        <v>2210</v>
      </c>
      <c r="K103" s="5" t="str">
        <f t="shared" si="12"/>
        <v>000</v>
      </c>
      <c r="L103" s="5">
        <f t="shared" si="13"/>
        <v>11</v>
      </c>
      <c r="M103" s="5">
        <f t="shared" si="14"/>
        <v>2011</v>
      </c>
    </row>
    <row r="104" spans="1:13" ht="17.45" customHeight="1" x14ac:dyDescent="0.25">
      <c r="A104" s="1">
        <f>DATE(2011,11,11)</f>
        <v>40858</v>
      </c>
      <c r="B104" t="s">
        <v>13</v>
      </c>
      <c r="C104" t="s">
        <v>9</v>
      </c>
      <c r="D104" s="3">
        <v>585.20249999999999</v>
      </c>
      <c r="E104" s="3">
        <v>0</v>
      </c>
      <c r="F104" t="s">
        <v>45</v>
      </c>
      <c r="G104" s="3">
        <f t="shared" si="8"/>
        <v>-585.20249999999999</v>
      </c>
      <c r="H104" s="3">
        <f t="shared" si="9"/>
        <v>585.20249999999999</v>
      </c>
      <c r="I104" s="5" t="str">
        <f t="shared" si="10"/>
        <v>016</v>
      </c>
      <c r="J104" s="5" t="str">
        <f t="shared" si="11"/>
        <v>2220</v>
      </c>
      <c r="K104" s="5" t="str">
        <f t="shared" si="12"/>
        <v>000</v>
      </c>
      <c r="L104" s="5">
        <f t="shared" si="13"/>
        <v>11</v>
      </c>
      <c r="M104" s="5">
        <f t="shared" si="14"/>
        <v>2011</v>
      </c>
    </row>
    <row r="105" spans="1:13" ht="17.45" customHeight="1" x14ac:dyDescent="0.25">
      <c r="A105" s="1">
        <f>DATE(2011,11,11)</f>
        <v>40858</v>
      </c>
      <c r="B105" t="s">
        <v>14</v>
      </c>
      <c r="C105" t="s">
        <v>10</v>
      </c>
      <c r="D105" s="3">
        <v>204.20399999999998</v>
      </c>
      <c r="E105" s="3">
        <v>0</v>
      </c>
      <c r="F105" t="s">
        <v>45</v>
      </c>
      <c r="G105" s="3">
        <f t="shared" si="8"/>
        <v>-204.20399999999998</v>
      </c>
      <c r="H105" s="3">
        <f t="shared" si="9"/>
        <v>204.20399999999998</v>
      </c>
      <c r="I105" s="5" t="str">
        <f t="shared" si="10"/>
        <v>016</v>
      </c>
      <c r="J105" s="5" t="str">
        <f t="shared" si="11"/>
        <v>2230</v>
      </c>
      <c r="K105" s="5" t="str">
        <f t="shared" si="12"/>
        <v>000</v>
      </c>
      <c r="L105" s="5">
        <f t="shared" si="13"/>
        <v>11</v>
      </c>
      <c r="M105" s="5">
        <f t="shared" si="14"/>
        <v>2011</v>
      </c>
    </row>
    <row r="106" spans="1:13" ht="17.45" customHeight="1" x14ac:dyDescent="0.25">
      <c r="A106" s="1">
        <f>DATE(2011,11,12)</f>
        <v>40859</v>
      </c>
      <c r="B106" t="s">
        <v>11</v>
      </c>
      <c r="C106" t="s">
        <v>6</v>
      </c>
      <c r="D106" s="3">
        <v>9421.0505000000012</v>
      </c>
      <c r="E106" s="3">
        <v>0</v>
      </c>
      <c r="F106" t="s">
        <v>45</v>
      </c>
      <c r="G106" s="3">
        <f t="shared" si="8"/>
        <v>-9421.0505000000012</v>
      </c>
      <c r="H106" s="3">
        <f t="shared" si="9"/>
        <v>9421.0505000000012</v>
      </c>
      <c r="I106" s="5" t="str">
        <f t="shared" si="10"/>
        <v>016</v>
      </c>
      <c r="J106" s="5" t="str">
        <f t="shared" si="11"/>
        <v>2100</v>
      </c>
      <c r="K106" s="5" t="str">
        <f t="shared" si="12"/>
        <v>000</v>
      </c>
      <c r="L106" s="5">
        <f t="shared" si="13"/>
        <v>11</v>
      </c>
      <c r="M106" s="5">
        <f t="shared" si="14"/>
        <v>2011</v>
      </c>
    </row>
    <row r="107" spans="1:13" ht="17.45" customHeight="1" x14ac:dyDescent="0.25">
      <c r="A107" s="1">
        <f>DATE(2011,11,12)</f>
        <v>40859</v>
      </c>
      <c r="B107" t="s">
        <v>12</v>
      </c>
      <c r="C107" t="s">
        <v>8</v>
      </c>
      <c r="D107" s="3">
        <v>1809.864</v>
      </c>
      <c r="E107" s="3">
        <v>0</v>
      </c>
      <c r="F107" t="s">
        <v>45</v>
      </c>
      <c r="G107" s="3">
        <f t="shared" si="8"/>
        <v>-1809.864</v>
      </c>
      <c r="H107" s="3">
        <f t="shared" si="9"/>
        <v>1809.864</v>
      </c>
      <c r="I107" s="5" t="str">
        <f t="shared" si="10"/>
        <v>016</v>
      </c>
      <c r="J107" s="5" t="str">
        <f t="shared" si="11"/>
        <v>2210</v>
      </c>
      <c r="K107" s="5" t="str">
        <f t="shared" si="12"/>
        <v>000</v>
      </c>
      <c r="L107" s="5">
        <f t="shared" si="13"/>
        <v>11</v>
      </c>
      <c r="M107" s="5">
        <f t="shared" si="14"/>
        <v>2011</v>
      </c>
    </row>
    <row r="108" spans="1:13" ht="17.45" customHeight="1" x14ac:dyDescent="0.25">
      <c r="A108" s="1">
        <f>DATE(2011,11,12)</f>
        <v>40859</v>
      </c>
      <c r="B108" t="s">
        <v>13</v>
      </c>
      <c r="C108" t="s">
        <v>9</v>
      </c>
      <c r="D108" s="3">
        <v>283.46099999999996</v>
      </c>
      <c r="E108" s="3">
        <v>0</v>
      </c>
      <c r="F108" t="s">
        <v>45</v>
      </c>
      <c r="G108" s="3">
        <f t="shared" si="8"/>
        <v>-283.46099999999996</v>
      </c>
      <c r="H108" s="3">
        <f t="shared" si="9"/>
        <v>283.46099999999996</v>
      </c>
      <c r="I108" s="5" t="str">
        <f t="shared" si="10"/>
        <v>016</v>
      </c>
      <c r="J108" s="5" t="str">
        <f t="shared" si="11"/>
        <v>2220</v>
      </c>
      <c r="K108" s="5" t="str">
        <f t="shared" si="12"/>
        <v>000</v>
      </c>
      <c r="L108" s="5">
        <f t="shared" si="13"/>
        <v>11</v>
      </c>
      <c r="M108" s="5">
        <f t="shared" si="14"/>
        <v>2011</v>
      </c>
    </row>
    <row r="109" spans="1:13" ht="17.45" customHeight="1" x14ac:dyDescent="0.25">
      <c r="A109" s="1">
        <f>DATE(2011,11,12)</f>
        <v>40859</v>
      </c>
      <c r="B109" t="s">
        <v>14</v>
      </c>
      <c r="C109" t="s">
        <v>10</v>
      </c>
      <c r="D109" s="3">
        <v>236.50200000000001</v>
      </c>
      <c r="E109" s="3">
        <v>0</v>
      </c>
      <c r="F109" t="s">
        <v>45</v>
      </c>
      <c r="G109" s="3">
        <f t="shared" si="8"/>
        <v>-236.50200000000001</v>
      </c>
      <c r="H109" s="3">
        <f t="shared" si="9"/>
        <v>236.50200000000001</v>
      </c>
      <c r="I109" s="5" t="str">
        <f t="shared" si="10"/>
        <v>016</v>
      </c>
      <c r="J109" s="5" t="str">
        <f t="shared" si="11"/>
        <v>2230</v>
      </c>
      <c r="K109" s="5" t="str">
        <f t="shared" si="12"/>
        <v>000</v>
      </c>
      <c r="L109" s="5">
        <f t="shared" si="13"/>
        <v>11</v>
      </c>
      <c r="M109" s="5">
        <f t="shared" si="14"/>
        <v>2011</v>
      </c>
    </row>
    <row r="110" spans="1:13" ht="17.45" customHeight="1" x14ac:dyDescent="0.25">
      <c r="A110" s="1">
        <f>DATE(2011,11,13)</f>
        <v>40860</v>
      </c>
      <c r="B110" t="s">
        <v>11</v>
      </c>
      <c r="C110" t="s">
        <v>6</v>
      </c>
      <c r="D110" s="3">
        <v>6601.6860000000006</v>
      </c>
      <c r="E110" s="3">
        <v>0</v>
      </c>
      <c r="F110" t="s">
        <v>45</v>
      </c>
      <c r="G110" s="3">
        <f t="shared" si="8"/>
        <v>-6601.6860000000006</v>
      </c>
      <c r="H110" s="3">
        <f t="shared" si="9"/>
        <v>6601.6860000000006</v>
      </c>
      <c r="I110" s="5" t="str">
        <f t="shared" si="10"/>
        <v>016</v>
      </c>
      <c r="J110" s="5" t="str">
        <f t="shared" si="11"/>
        <v>2100</v>
      </c>
      <c r="K110" s="5" t="str">
        <f t="shared" si="12"/>
        <v>000</v>
      </c>
      <c r="L110" s="5">
        <f t="shared" si="13"/>
        <v>11</v>
      </c>
      <c r="M110" s="5">
        <f t="shared" si="14"/>
        <v>2011</v>
      </c>
    </row>
    <row r="111" spans="1:13" ht="17.45" customHeight="1" x14ac:dyDescent="0.25">
      <c r="A111" s="1">
        <f>DATE(2011,11,13)</f>
        <v>40860</v>
      </c>
      <c r="B111" t="s">
        <v>12</v>
      </c>
      <c r="C111" t="s">
        <v>8</v>
      </c>
      <c r="D111" s="3">
        <v>980.798</v>
      </c>
      <c r="E111" s="3">
        <v>0</v>
      </c>
      <c r="F111" t="s">
        <v>45</v>
      </c>
      <c r="G111" s="3">
        <f t="shared" si="8"/>
        <v>-980.798</v>
      </c>
      <c r="H111" s="3">
        <f t="shared" si="9"/>
        <v>980.798</v>
      </c>
      <c r="I111" s="5" t="str">
        <f t="shared" si="10"/>
        <v>016</v>
      </c>
      <c r="J111" s="5" t="str">
        <f t="shared" si="11"/>
        <v>2210</v>
      </c>
      <c r="K111" s="5" t="str">
        <f t="shared" si="12"/>
        <v>000</v>
      </c>
      <c r="L111" s="5">
        <f t="shared" si="13"/>
        <v>11</v>
      </c>
      <c r="M111" s="5">
        <f t="shared" si="14"/>
        <v>2011</v>
      </c>
    </row>
    <row r="112" spans="1:13" ht="17.45" customHeight="1" x14ac:dyDescent="0.25">
      <c r="A112" s="1">
        <f>DATE(2011,11,13)</f>
        <v>40860</v>
      </c>
      <c r="B112" t="s">
        <v>13</v>
      </c>
      <c r="C112" t="s">
        <v>9</v>
      </c>
      <c r="D112" s="3">
        <v>147.70349999999999</v>
      </c>
      <c r="E112" s="3">
        <v>0</v>
      </c>
      <c r="F112" t="s">
        <v>45</v>
      </c>
      <c r="G112" s="3">
        <f t="shared" si="8"/>
        <v>-147.70349999999999</v>
      </c>
      <c r="H112" s="3">
        <f t="shared" si="9"/>
        <v>147.70349999999999</v>
      </c>
      <c r="I112" s="5" t="str">
        <f t="shared" si="10"/>
        <v>016</v>
      </c>
      <c r="J112" s="5" t="str">
        <f t="shared" si="11"/>
        <v>2220</v>
      </c>
      <c r="K112" s="5" t="str">
        <f t="shared" si="12"/>
        <v>000</v>
      </c>
      <c r="L112" s="5">
        <f t="shared" si="13"/>
        <v>11</v>
      </c>
      <c r="M112" s="5">
        <f t="shared" si="14"/>
        <v>2011</v>
      </c>
    </row>
    <row r="113" spans="1:13" ht="17.45" customHeight="1" x14ac:dyDescent="0.25">
      <c r="A113" s="1">
        <f>DATE(2011,11,13)</f>
        <v>40860</v>
      </c>
      <c r="B113" t="s">
        <v>14</v>
      </c>
      <c r="C113" t="s">
        <v>10</v>
      </c>
      <c r="D113" s="3">
        <v>123.721</v>
      </c>
      <c r="E113" s="3">
        <v>0</v>
      </c>
      <c r="F113" t="s">
        <v>45</v>
      </c>
      <c r="G113" s="3">
        <f t="shared" si="8"/>
        <v>-123.721</v>
      </c>
      <c r="H113" s="3">
        <f t="shared" si="9"/>
        <v>123.721</v>
      </c>
      <c r="I113" s="5" t="str">
        <f t="shared" si="10"/>
        <v>016</v>
      </c>
      <c r="J113" s="5" t="str">
        <f t="shared" si="11"/>
        <v>2230</v>
      </c>
      <c r="K113" s="5" t="str">
        <f t="shared" si="12"/>
        <v>000</v>
      </c>
      <c r="L113" s="5">
        <f t="shared" si="13"/>
        <v>11</v>
      </c>
      <c r="M113" s="5">
        <f t="shared" si="14"/>
        <v>2011</v>
      </c>
    </row>
    <row r="114" spans="1:13" ht="17.45" customHeight="1" x14ac:dyDescent="0.25">
      <c r="A114" s="1">
        <f>DATE(2011,11,7)</f>
        <v>40854</v>
      </c>
      <c r="B114" t="s">
        <v>15</v>
      </c>
      <c r="C114" t="s">
        <v>6</v>
      </c>
      <c r="D114" s="3">
        <v>3297.71</v>
      </c>
      <c r="E114" s="3">
        <v>0</v>
      </c>
      <c r="F114" t="s">
        <v>45</v>
      </c>
      <c r="G114" s="3">
        <f t="shared" si="8"/>
        <v>-3297.71</v>
      </c>
      <c r="H114" s="3">
        <f t="shared" si="9"/>
        <v>3297.71</v>
      </c>
      <c r="I114" s="5" t="str">
        <f t="shared" si="10"/>
        <v>017</v>
      </c>
      <c r="J114" s="5" t="str">
        <f t="shared" si="11"/>
        <v>2100</v>
      </c>
      <c r="K114" s="5" t="str">
        <f t="shared" si="12"/>
        <v>000</v>
      </c>
      <c r="L114" s="5">
        <f t="shared" si="13"/>
        <v>11</v>
      </c>
      <c r="M114" s="5">
        <f t="shared" si="14"/>
        <v>2011</v>
      </c>
    </row>
    <row r="115" spans="1:13" ht="17.45" customHeight="1" x14ac:dyDescent="0.25">
      <c r="A115" s="1">
        <f>DATE(2011,11,7)</f>
        <v>40854</v>
      </c>
      <c r="B115" t="s">
        <v>16</v>
      </c>
      <c r="C115" t="s">
        <v>8</v>
      </c>
      <c r="D115" s="3">
        <v>691.00850000000003</v>
      </c>
      <c r="E115" s="3">
        <v>0</v>
      </c>
      <c r="F115" t="s">
        <v>45</v>
      </c>
      <c r="G115" s="3">
        <f t="shared" si="8"/>
        <v>-691.00850000000003</v>
      </c>
      <c r="H115" s="3">
        <f t="shared" si="9"/>
        <v>691.00850000000003</v>
      </c>
      <c r="I115" s="5" t="str">
        <f t="shared" si="10"/>
        <v>017</v>
      </c>
      <c r="J115" s="5" t="str">
        <f t="shared" si="11"/>
        <v>2210</v>
      </c>
      <c r="K115" s="5" t="str">
        <f t="shared" si="12"/>
        <v>000</v>
      </c>
      <c r="L115" s="5">
        <f t="shared" si="13"/>
        <v>11</v>
      </c>
      <c r="M115" s="5">
        <f t="shared" si="14"/>
        <v>2011</v>
      </c>
    </row>
    <row r="116" spans="1:13" ht="17.45" customHeight="1" x14ac:dyDescent="0.25">
      <c r="A116" s="1">
        <f>DATE(2011,11,7)</f>
        <v>40854</v>
      </c>
      <c r="B116" t="s">
        <v>17</v>
      </c>
      <c r="C116" t="s">
        <v>9</v>
      </c>
      <c r="D116" s="3">
        <v>253.32750000000001</v>
      </c>
      <c r="E116" s="3">
        <v>0</v>
      </c>
      <c r="F116" t="s">
        <v>45</v>
      </c>
      <c r="G116" s="3">
        <f t="shared" si="8"/>
        <v>-253.32750000000001</v>
      </c>
      <c r="H116" s="3">
        <f t="shared" si="9"/>
        <v>253.32750000000001</v>
      </c>
      <c r="I116" s="5" t="str">
        <f t="shared" si="10"/>
        <v>017</v>
      </c>
      <c r="J116" s="5" t="str">
        <f t="shared" si="11"/>
        <v>2220</v>
      </c>
      <c r="K116" s="5" t="str">
        <f t="shared" si="12"/>
        <v>000</v>
      </c>
      <c r="L116" s="5">
        <f t="shared" si="13"/>
        <v>11</v>
      </c>
      <c r="M116" s="5">
        <f t="shared" si="14"/>
        <v>2011</v>
      </c>
    </row>
    <row r="117" spans="1:13" ht="17.45" customHeight="1" x14ac:dyDescent="0.25">
      <c r="A117" s="1">
        <f>DATE(2011,11,7)</f>
        <v>40854</v>
      </c>
      <c r="B117" t="s">
        <v>18</v>
      </c>
      <c r="C117" t="s">
        <v>10</v>
      </c>
      <c r="D117" s="3">
        <v>79.829499999999996</v>
      </c>
      <c r="E117" s="3">
        <v>0</v>
      </c>
      <c r="F117" t="s">
        <v>45</v>
      </c>
      <c r="G117" s="3">
        <f t="shared" si="8"/>
        <v>-79.829499999999996</v>
      </c>
      <c r="H117" s="3">
        <f t="shared" si="9"/>
        <v>79.829499999999996</v>
      </c>
      <c r="I117" s="5" t="str">
        <f t="shared" si="10"/>
        <v>017</v>
      </c>
      <c r="J117" s="5" t="str">
        <f t="shared" si="11"/>
        <v>2230</v>
      </c>
      <c r="K117" s="5" t="str">
        <f t="shared" si="12"/>
        <v>000</v>
      </c>
      <c r="L117" s="5">
        <f t="shared" si="13"/>
        <v>11</v>
      </c>
      <c r="M117" s="5">
        <f t="shared" si="14"/>
        <v>2011</v>
      </c>
    </row>
    <row r="118" spans="1:13" ht="17.45" customHeight="1" x14ac:dyDescent="0.25">
      <c r="A118" s="1">
        <f>DATE(2011,11,8)</f>
        <v>40855</v>
      </c>
      <c r="B118" t="s">
        <v>15</v>
      </c>
      <c r="C118" t="s">
        <v>6</v>
      </c>
      <c r="D118" s="3">
        <v>6984.0119999999988</v>
      </c>
      <c r="E118" s="3">
        <v>0</v>
      </c>
      <c r="F118" t="s">
        <v>45</v>
      </c>
      <c r="G118" s="3">
        <f t="shared" si="8"/>
        <v>-6984.0119999999988</v>
      </c>
      <c r="H118" s="3">
        <f t="shared" si="9"/>
        <v>6984.0119999999988</v>
      </c>
      <c r="I118" s="5" t="str">
        <f t="shared" si="10"/>
        <v>017</v>
      </c>
      <c r="J118" s="5" t="str">
        <f t="shared" si="11"/>
        <v>2100</v>
      </c>
      <c r="K118" s="5" t="str">
        <f t="shared" si="12"/>
        <v>000</v>
      </c>
      <c r="L118" s="5">
        <f t="shared" si="13"/>
        <v>11</v>
      </c>
      <c r="M118" s="5">
        <f t="shared" si="14"/>
        <v>2011</v>
      </c>
    </row>
    <row r="119" spans="1:13" ht="17.45" customHeight="1" x14ac:dyDescent="0.25">
      <c r="A119" s="1">
        <f>DATE(2011,11,8)</f>
        <v>40855</v>
      </c>
      <c r="B119" t="s">
        <v>16</v>
      </c>
      <c r="C119" t="s">
        <v>8</v>
      </c>
      <c r="D119" s="3">
        <v>1769.105</v>
      </c>
      <c r="E119" s="3">
        <v>0</v>
      </c>
      <c r="F119" t="s">
        <v>45</v>
      </c>
      <c r="G119" s="3">
        <f t="shared" si="8"/>
        <v>-1769.105</v>
      </c>
      <c r="H119" s="3">
        <f t="shared" si="9"/>
        <v>1769.105</v>
      </c>
      <c r="I119" s="5" t="str">
        <f t="shared" si="10"/>
        <v>017</v>
      </c>
      <c r="J119" s="5" t="str">
        <f t="shared" si="11"/>
        <v>2210</v>
      </c>
      <c r="K119" s="5" t="str">
        <f t="shared" si="12"/>
        <v>000</v>
      </c>
      <c r="L119" s="5">
        <f t="shared" si="13"/>
        <v>11</v>
      </c>
      <c r="M119" s="5">
        <f t="shared" si="14"/>
        <v>2011</v>
      </c>
    </row>
    <row r="120" spans="1:13" ht="17.45" customHeight="1" x14ac:dyDescent="0.25">
      <c r="A120" s="1">
        <f>DATE(2011,11,8)</f>
        <v>40855</v>
      </c>
      <c r="B120" t="s">
        <v>17</v>
      </c>
      <c r="C120" t="s">
        <v>9</v>
      </c>
      <c r="D120" s="3">
        <v>623.29499999999996</v>
      </c>
      <c r="E120" s="3">
        <v>0</v>
      </c>
      <c r="F120" t="s">
        <v>45</v>
      </c>
      <c r="G120" s="3">
        <f t="shared" si="8"/>
        <v>-623.29499999999996</v>
      </c>
      <c r="H120" s="3">
        <f t="shared" si="9"/>
        <v>623.29499999999996</v>
      </c>
      <c r="I120" s="5" t="str">
        <f t="shared" si="10"/>
        <v>017</v>
      </c>
      <c r="J120" s="5" t="str">
        <f t="shared" si="11"/>
        <v>2220</v>
      </c>
      <c r="K120" s="5" t="str">
        <f t="shared" si="12"/>
        <v>000</v>
      </c>
      <c r="L120" s="5">
        <f t="shared" si="13"/>
        <v>11</v>
      </c>
      <c r="M120" s="5">
        <f t="shared" si="14"/>
        <v>2011</v>
      </c>
    </row>
    <row r="121" spans="1:13" ht="17.45" customHeight="1" x14ac:dyDescent="0.25">
      <c r="A121" s="1">
        <f>DATE(2011,11,8)</f>
        <v>40855</v>
      </c>
      <c r="B121" t="s">
        <v>18</v>
      </c>
      <c r="C121" t="s">
        <v>10</v>
      </c>
      <c r="D121" s="3">
        <v>173.786</v>
      </c>
      <c r="E121" s="3">
        <v>0</v>
      </c>
      <c r="F121" t="s">
        <v>45</v>
      </c>
      <c r="G121" s="3">
        <f t="shared" si="8"/>
        <v>-173.786</v>
      </c>
      <c r="H121" s="3">
        <f t="shared" si="9"/>
        <v>173.786</v>
      </c>
      <c r="I121" s="5" t="str">
        <f t="shared" si="10"/>
        <v>017</v>
      </c>
      <c r="J121" s="5" t="str">
        <f t="shared" si="11"/>
        <v>2230</v>
      </c>
      <c r="K121" s="5" t="str">
        <f t="shared" si="12"/>
        <v>000</v>
      </c>
      <c r="L121" s="5">
        <f t="shared" si="13"/>
        <v>11</v>
      </c>
      <c r="M121" s="5">
        <f t="shared" si="14"/>
        <v>2011</v>
      </c>
    </row>
    <row r="122" spans="1:13" ht="17.45" customHeight="1" x14ac:dyDescent="0.25">
      <c r="A122" s="1">
        <f>DATE(2011,11,9)</f>
        <v>40856</v>
      </c>
      <c r="B122" t="s">
        <v>15</v>
      </c>
      <c r="C122" t="s">
        <v>6</v>
      </c>
      <c r="D122" s="3">
        <v>5551.4690000000001</v>
      </c>
      <c r="E122" s="3">
        <v>0</v>
      </c>
      <c r="F122" t="s">
        <v>45</v>
      </c>
      <c r="G122" s="3">
        <f t="shared" si="8"/>
        <v>-5551.4690000000001</v>
      </c>
      <c r="H122" s="3">
        <f t="shared" si="9"/>
        <v>5551.4690000000001</v>
      </c>
      <c r="I122" s="5" t="str">
        <f t="shared" si="10"/>
        <v>017</v>
      </c>
      <c r="J122" s="5" t="str">
        <f t="shared" si="11"/>
        <v>2100</v>
      </c>
      <c r="K122" s="5" t="str">
        <f t="shared" si="12"/>
        <v>000</v>
      </c>
      <c r="L122" s="5">
        <f t="shared" si="13"/>
        <v>11</v>
      </c>
      <c r="M122" s="5">
        <f t="shared" si="14"/>
        <v>2011</v>
      </c>
    </row>
    <row r="123" spans="1:13" ht="17.45" customHeight="1" x14ac:dyDescent="0.25">
      <c r="A123" s="1">
        <f>DATE(2011,11,9)</f>
        <v>40856</v>
      </c>
      <c r="B123" t="s">
        <v>16</v>
      </c>
      <c r="C123" t="s">
        <v>8</v>
      </c>
      <c r="D123" s="3">
        <v>851.95</v>
      </c>
      <c r="E123" s="3">
        <v>0</v>
      </c>
      <c r="F123" t="s">
        <v>45</v>
      </c>
      <c r="G123" s="3">
        <f t="shared" si="8"/>
        <v>-851.95</v>
      </c>
      <c r="H123" s="3">
        <f t="shared" si="9"/>
        <v>851.95</v>
      </c>
      <c r="I123" s="5" t="str">
        <f t="shared" si="10"/>
        <v>017</v>
      </c>
      <c r="J123" s="5" t="str">
        <f t="shared" si="11"/>
        <v>2210</v>
      </c>
      <c r="K123" s="5" t="str">
        <f t="shared" si="12"/>
        <v>000</v>
      </c>
      <c r="L123" s="5">
        <f t="shared" si="13"/>
        <v>11</v>
      </c>
      <c r="M123" s="5">
        <f t="shared" si="14"/>
        <v>2011</v>
      </c>
    </row>
    <row r="124" spans="1:13" ht="17.45" customHeight="1" x14ac:dyDescent="0.25">
      <c r="A124" s="1">
        <f>DATE(2011,11,9)</f>
        <v>40856</v>
      </c>
      <c r="B124" t="s">
        <v>17</v>
      </c>
      <c r="C124" t="s">
        <v>9</v>
      </c>
      <c r="D124" s="3">
        <v>317.2</v>
      </c>
      <c r="E124" s="3">
        <v>0</v>
      </c>
      <c r="F124" t="s">
        <v>45</v>
      </c>
      <c r="G124" s="3">
        <f t="shared" si="8"/>
        <v>-317.2</v>
      </c>
      <c r="H124" s="3">
        <f t="shared" si="9"/>
        <v>317.2</v>
      </c>
      <c r="I124" s="5" t="str">
        <f t="shared" si="10"/>
        <v>017</v>
      </c>
      <c r="J124" s="5" t="str">
        <f t="shared" si="11"/>
        <v>2220</v>
      </c>
      <c r="K124" s="5" t="str">
        <f t="shared" si="12"/>
        <v>000</v>
      </c>
      <c r="L124" s="5">
        <f t="shared" si="13"/>
        <v>11</v>
      </c>
      <c r="M124" s="5">
        <f t="shared" si="14"/>
        <v>2011</v>
      </c>
    </row>
    <row r="125" spans="1:13" ht="17.45" customHeight="1" x14ac:dyDescent="0.25">
      <c r="A125" s="1">
        <f>DATE(2011,11,9)</f>
        <v>40856</v>
      </c>
      <c r="B125" t="s">
        <v>18</v>
      </c>
      <c r="C125" t="s">
        <v>10</v>
      </c>
      <c r="D125" s="3">
        <v>111.54899999999998</v>
      </c>
      <c r="E125" s="3">
        <v>0</v>
      </c>
      <c r="F125" t="s">
        <v>45</v>
      </c>
      <c r="G125" s="3">
        <f t="shared" si="8"/>
        <v>-111.54899999999998</v>
      </c>
      <c r="H125" s="3">
        <f t="shared" si="9"/>
        <v>111.54899999999998</v>
      </c>
      <c r="I125" s="5" t="str">
        <f t="shared" si="10"/>
        <v>017</v>
      </c>
      <c r="J125" s="5" t="str">
        <f t="shared" si="11"/>
        <v>2230</v>
      </c>
      <c r="K125" s="5" t="str">
        <f t="shared" si="12"/>
        <v>000</v>
      </c>
      <c r="L125" s="5">
        <f t="shared" si="13"/>
        <v>11</v>
      </c>
      <c r="M125" s="5">
        <f t="shared" si="14"/>
        <v>2011</v>
      </c>
    </row>
    <row r="126" spans="1:13" ht="17.45" customHeight="1" x14ac:dyDescent="0.25">
      <c r="A126" s="1">
        <f>DATE(2011,11,10)</f>
        <v>40857</v>
      </c>
      <c r="B126" t="s">
        <v>15</v>
      </c>
      <c r="C126" t="s">
        <v>6</v>
      </c>
      <c r="D126" s="3">
        <v>4984.0998</v>
      </c>
      <c r="E126" s="3">
        <v>0</v>
      </c>
      <c r="F126" t="s">
        <v>45</v>
      </c>
      <c r="G126" s="3">
        <f t="shared" si="8"/>
        <v>-4984.0998</v>
      </c>
      <c r="H126" s="3">
        <f t="shared" si="9"/>
        <v>4984.0998</v>
      </c>
      <c r="I126" s="5" t="str">
        <f t="shared" si="10"/>
        <v>017</v>
      </c>
      <c r="J126" s="5" t="str">
        <f t="shared" si="11"/>
        <v>2100</v>
      </c>
      <c r="K126" s="5" t="str">
        <f t="shared" si="12"/>
        <v>000</v>
      </c>
      <c r="L126" s="5">
        <f t="shared" si="13"/>
        <v>11</v>
      </c>
      <c r="M126" s="5">
        <f t="shared" si="14"/>
        <v>2011</v>
      </c>
    </row>
    <row r="127" spans="1:13" ht="17.45" customHeight="1" x14ac:dyDescent="0.25">
      <c r="A127" s="1">
        <f>DATE(2011,11,10)</f>
        <v>40857</v>
      </c>
      <c r="B127" t="s">
        <v>16</v>
      </c>
      <c r="C127" t="s">
        <v>8</v>
      </c>
      <c r="D127" s="3">
        <v>1298.3879999999999</v>
      </c>
      <c r="E127" s="3">
        <v>0</v>
      </c>
      <c r="F127" t="s">
        <v>45</v>
      </c>
      <c r="G127" s="3">
        <f t="shared" si="8"/>
        <v>-1298.3879999999999</v>
      </c>
      <c r="H127" s="3">
        <f t="shared" si="9"/>
        <v>1298.3879999999999</v>
      </c>
      <c r="I127" s="5" t="str">
        <f t="shared" si="10"/>
        <v>017</v>
      </c>
      <c r="J127" s="5" t="str">
        <f t="shared" si="11"/>
        <v>2210</v>
      </c>
      <c r="K127" s="5" t="str">
        <f t="shared" si="12"/>
        <v>000</v>
      </c>
      <c r="L127" s="5">
        <f t="shared" si="13"/>
        <v>11</v>
      </c>
      <c r="M127" s="5">
        <f t="shared" si="14"/>
        <v>2011</v>
      </c>
    </row>
    <row r="128" spans="1:13" ht="17.45" customHeight="1" x14ac:dyDescent="0.25">
      <c r="A128" s="1">
        <f>DATE(2011,11,10)</f>
        <v>40857</v>
      </c>
      <c r="B128" t="s">
        <v>17</v>
      </c>
      <c r="C128" t="s">
        <v>9</v>
      </c>
      <c r="D128" s="3">
        <v>579.5625</v>
      </c>
      <c r="E128" s="3">
        <v>0</v>
      </c>
      <c r="F128" t="s">
        <v>45</v>
      </c>
      <c r="G128" s="3">
        <f t="shared" si="8"/>
        <v>-579.5625</v>
      </c>
      <c r="H128" s="3">
        <f t="shared" si="9"/>
        <v>579.5625</v>
      </c>
      <c r="I128" s="5" t="str">
        <f t="shared" si="10"/>
        <v>017</v>
      </c>
      <c r="J128" s="5" t="str">
        <f t="shared" si="11"/>
        <v>2220</v>
      </c>
      <c r="K128" s="5" t="str">
        <f t="shared" si="12"/>
        <v>000</v>
      </c>
      <c r="L128" s="5">
        <f t="shared" si="13"/>
        <v>11</v>
      </c>
      <c r="M128" s="5">
        <f t="shared" si="14"/>
        <v>2011</v>
      </c>
    </row>
    <row r="129" spans="1:13" ht="17.45" customHeight="1" x14ac:dyDescent="0.25">
      <c r="A129" s="1">
        <f>DATE(2011,11,10)</f>
        <v>40857</v>
      </c>
      <c r="B129" t="s">
        <v>18</v>
      </c>
      <c r="C129" t="s">
        <v>10</v>
      </c>
      <c r="D129" s="3">
        <v>168.87899999999999</v>
      </c>
      <c r="E129" s="3">
        <v>0</v>
      </c>
      <c r="F129" t="s">
        <v>45</v>
      </c>
      <c r="G129" s="3">
        <f t="shared" si="8"/>
        <v>-168.87899999999999</v>
      </c>
      <c r="H129" s="3">
        <f t="shared" si="9"/>
        <v>168.87899999999999</v>
      </c>
      <c r="I129" s="5" t="str">
        <f t="shared" si="10"/>
        <v>017</v>
      </c>
      <c r="J129" s="5" t="str">
        <f t="shared" si="11"/>
        <v>2230</v>
      </c>
      <c r="K129" s="5" t="str">
        <f t="shared" si="12"/>
        <v>000</v>
      </c>
      <c r="L129" s="5">
        <f t="shared" si="13"/>
        <v>11</v>
      </c>
      <c r="M129" s="5">
        <f t="shared" si="14"/>
        <v>2011</v>
      </c>
    </row>
    <row r="130" spans="1:13" ht="17.45" customHeight="1" x14ac:dyDescent="0.25">
      <c r="A130" s="1">
        <f>DATE(2011,11,11)</f>
        <v>40858</v>
      </c>
      <c r="B130" t="s">
        <v>15</v>
      </c>
      <c r="C130" t="s">
        <v>6</v>
      </c>
      <c r="D130" s="3">
        <v>8132.7220000000007</v>
      </c>
      <c r="E130" s="3">
        <v>0</v>
      </c>
      <c r="F130" t="s">
        <v>45</v>
      </c>
      <c r="G130" s="3">
        <f t="shared" ref="G130:G193" si="15">E130-D130</f>
        <v>-8132.7220000000007</v>
      </c>
      <c r="H130" s="3">
        <f t="shared" ref="H130:H193" si="16">ABS(G130)</f>
        <v>8132.7220000000007</v>
      </c>
      <c r="I130" s="5" t="str">
        <f t="shared" ref="I130:I193" si="17">MID(B130,1,3)</f>
        <v>017</v>
      </c>
      <c r="J130" s="5" t="str">
        <f t="shared" ref="J130:J193" si="18">MID(B130,5,4)</f>
        <v>2100</v>
      </c>
      <c r="K130" s="5" t="str">
        <f t="shared" ref="K130:K193" si="19">MID(B130,10,3)</f>
        <v>000</v>
      </c>
      <c r="L130" s="5">
        <f t="shared" ref="L130:L193" si="20">MONTH(A130)</f>
        <v>11</v>
      </c>
      <c r="M130" s="5">
        <f t="shared" ref="M130:M193" si="21">YEAR(A130)</f>
        <v>2011</v>
      </c>
    </row>
    <row r="131" spans="1:13" ht="17.45" customHeight="1" x14ac:dyDescent="0.25">
      <c r="A131" s="1">
        <f>DATE(2011,11,11)</f>
        <v>40858</v>
      </c>
      <c r="B131" t="s">
        <v>16</v>
      </c>
      <c r="C131" t="s">
        <v>8</v>
      </c>
      <c r="D131" s="3">
        <v>1807.7349999999999</v>
      </c>
      <c r="E131" s="3">
        <v>0</v>
      </c>
      <c r="F131" t="s">
        <v>45</v>
      </c>
      <c r="G131" s="3">
        <f t="shared" si="15"/>
        <v>-1807.7349999999999</v>
      </c>
      <c r="H131" s="3">
        <f t="shared" si="16"/>
        <v>1807.7349999999999</v>
      </c>
      <c r="I131" s="5" t="str">
        <f t="shared" si="17"/>
        <v>017</v>
      </c>
      <c r="J131" s="5" t="str">
        <f t="shared" si="18"/>
        <v>2210</v>
      </c>
      <c r="K131" s="5" t="str">
        <f t="shared" si="19"/>
        <v>000</v>
      </c>
      <c r="L131" s="5">
        <f t="shared" si="20"/>
        <v>11</v>
      </c>
      <c r="M131" s="5">
        <f t="shared" si="21"/>
        <v>2011</v>
      </c>
    </row>
    <row r="132" spans="1:13" ht="17.45" customHeight="1" x14ac:dyDescent="0.25">
      <c r="A132" s="1">
        <f>DATE(2011,11,11)</f>
        <v>40858</v>
      </c>
      <c r="B132" t="s">
        <v>17</v>
      </c>
      <c r="C132" t="s">
        <v>9</v>
      </c>
      <c r="D132" s="3">
        <v>734.45</v>
      </c>
      <c r="E132" s="3">
        <v>0</v>
      </c>
      <c r="F132" t="s">
        <v>45</v>
      </c>
      <c r="G132" s="3">
        <f t="shared" si="15"/>
        <v>-734.45</v>
      </c>
      <c r="H132" s="3">
        <f t="shared" si="16"/>
        <v>734.45</v>
      </c>
      <c r="I132" s="5" t="str">
        <f t="shared" si="17"/>
        <v>017</v>
      </c>
      <c r="J132" s="5" t="str">
        <f t="shared" si="18"/>
        <v>2220</v>
      </c>
      <c r="K132" s="5" t="str">
        <f t="shared" si="19"/>
        <v>000</v>
      </c>
      <c r="L132" s="5">
        <f t="shared" si="20"/>
        <v>11</v>
      </c>
      <c r="M132" s="5">
        <f t="shared" si="21"/>
        <v>2011</v>
      </c>
    </row>
    <row r="133" spans="1:13" ht="17.45" customHeight="1" x14ac:dyDescent="0.25">
      <c r="A133" s="1">
        <f>DATE(2011,11,11)</f>
        <v>40858</v>
      </c>
      <c r="B133" t="s">
        <v>18</v>
      </c>
      <c r="C133" t="s">
        <v>10</v>
      </c>
      <c r="D133" s="3">
        <v>329.98500000000001</v>
      </c>
      <c r="E133" s="3">
        <v>0</v>
      </c>
      <c r="F133" t="s">
        <v>45</v>
      </c>
      <c r="G133" s="3">
        <f t="shared" si="15"/>
        <v>-329.98500000000001</v>
      </c>
      <c r="H133" s="3">
        <f t="shared" si="16"/>
        <v>329.98500000000001</v>
      </c>
      <c r="I133" s="5" t="str">
        <f t="shared" si="17"/>
        <v>017</v>
      </c>
      <c r="J133" s="5" t="str">
        <f t="shared" si="18"/>
        <v>2230</v>
      </c>
      <c r="K133" s="5" t="str">
        <f t="shared" si="19"/>
        <v>000</v>
      </c>
      <c r="L133" s="5">
        <f t="shared" si="20"/>
        <v>11</v>
      </c>
      <c r="M133" s="5">
        <f t="shared" si="21"/>
        <v>2011</v>
      </c>
    </row>
    <row r="134" spans="1:13" ht="17.45" customHeight="1" x14ac:dyDescent="0.25">
      <c r="A134" s="1">
        <f>DATE(2011,11,12)</f>
        <v>40859</v>
      </c>
      <c r="B134" t="s">
        <v>15</v>
      </c>
      <c r="C134" t="s">
        <v>6</v>
      </c>
      <c r="D134" s="3">
        <v>5026.05</v>
      </c>
      <c r="E134" s="3">
        <v>0</v>
      </c>
      <c r="F134" t="s">
        <v>45</v>
      </c>
      <c r="G134" s="3">
        <f t="shared" si="15"/>
        <v>-5026.05</v>
      </c>
      <c r="H134" s="3">
        <f t="shared" si="16"/>
        <v>5026.05</v>
      </c>
      <c r="I134" s="5" t="str">
        <f t="shared" si="17"/>
        <v>017</v>
      </c>
      <c r="J134" s="5" t="str">
        <f t="shared" si="18"/>
        <v>2100</v>
      </c>
      <c r="K134" s="5" t="str">
        <f t="shared" si="19"/>
        <v>000</v>
      </c>
      <c r="L134" s="5">
        <f t="shared" si="20"/>
        <v>11</v>
      </c>
      <c r="M134" s="5">
        <f t="shared" si="21"/>
        <v>2011</v>
      </c>
    </row>
    <row r="135" spans="1:13" ht="17.45" customHeight="1" x14ac:dyDescent="0.25">
      <c r="A135" s="1">
        <f>DATE(2011,11,12)</f>
        <v>40859</v>
      </c>
      <c r="B135" t="s">
        <v>16</v>
      </c>
      <c r="C135" t="s">
        <v>8</v>
      </c>
      <c r="D135" s="3">
        <v>1481.92</v>
      </c>
      <c r="E135" s="3">
        <v>0</v>
      </c>
      <c r="F135" t="s">
        <v>45</v>
      </c>
      <c r="G135" s="3">
        <f t="shared" si="15"/>
        <v>-1481.92</v>
      </c>
      <c r="H135" s="3">
        <f t="shared" si="16"/>
        <v>1481.92</v>
      </c>
      <c r="I135" s="5" t="str">
        <f t="shared" si="17"/>
        <v>017</v>
      </c>
      <c r="J135" s="5" t="str">
        <f t="shared" si="18"/>
        <v>2210</v>
      </c>
      <c r="K135" s="5" t="str">
        <f t="shared" si="19"/>
        <v>000</v>
      </c>
      <c r="L135" s="5">
        <f t="shared" si="20"/>
        <v>11</v>
      </c>
      <c r="M135" s="5">
        <f t="shared" si="21"/>
        <v>2011</v>
      </c>
    </row>
    <row r="136" spans="1:13" ht="17.45" customHeight="1" x14ac:dyDescent="0.25">
      <c r="A136" s="1">
        <f>DATE(2011,11,12)</f>
        <v>40859</v>
      </c>
      <c r="B136" t="s">
        <v>17</v>
      </c>
      <c r="C136" t="s">
        <v>9</v>
      </c>
      <c r="D136" s="3">
        <v>323.69499999999999</v>
      </c>
      <c r="E136" s="3">
        <v>0</v>
      </c>
      <c r="F136" t="s">
        <v>45</v>
      </c>
      <c r="G136" s="3">
        <f t="shared" si="15"/>
        <v>-323.69499999999999</v>
      </c>
      <c r="H136" s="3">
        <f t="shared" si="16"/>
        <v>323.69499999999999</v>
      </c>
      <c r="I136" s="5" t="str">
        <f t="shared" si="17"/>
        <v>017</v>
      </c>
      <c r="J136" s="5" t="str">
        <f t="shared" si="18"/>
        <v>2220</v>
      </c>
      <c r="K136" s="5" t="str">
        <f t="shared" si="19"/>
        <v>000</v>
      </c>
      <c r="L136" s="5">
        <f t="shared" si="20"/>
        <v>11</v>
      </c>
      <c r="M136" s="5">
        <f t="shared" si="21"/>
        <v>2011</v>
      </c>
    </row>
    <row r="137" spans="1:13" ht="17.45" customHeight="1" x14ac:dyDescent="0.25">
      <c r="A137" s="1">
        <f>DATE(2011,11,12)</f>
        <v>40859</v>
      </c>
      <c r="B137" t="s">
        <v>18</v>
      </c>
      <c r="C137" t="s">
        <v>10</v>
      </c>
      <c r="D137" s="3">
        <v>101.029</v>
      </c>
      <c r="E137" s="3">
        <v>0</v>
      </c>
      <c r="F137" t="s">
        <v>45</v>
      </c>
      <c r="G137" s="3">
        <f t="shared" si="15"/>
        <v>-101.029</v>
      </c>
      <c r="H137" s="3">
        <f t="shared" si="16"/>
        <v>101.029</v>
      </c>
      <c r="I137" s="5" t="str">
        <f t="shared" si="17"/>
        <v>017</v>
      </c>
      <c r="J137" s="5" t="str">
        <f t="shared" si="18"/>
        <v>2230</v>
      </c>
      <c r="K137" s="5" t="str">
        <f t="shared" si="19"/>
        <v>000</v>
      </c>
      <c r="L137" s="5">
        <f t="shared" si="20"/>
        <v>11</v>
      </c>
      <c r="M137" s="5">
        <f t="shared" si="21"/>
        <v>2011</v>
      </c>
    </row>
    <row r="138" spans="1:13" ht="17.45" customHeight="1" x14ac:dyDescent="0.25">
      <c r="A138" s="1">
        <f>DATE(2011,11,13)</f>
        <v>40860</v>
      </c>
      <c r="B138" t="s">
        <v>15</v>
      </c>
      <c r="C138" t="s">
        <v>6</v>
      </c>
      <c r="D138" s="3">
        <v>4054.0679999999998</v>
      </c>
      <c r="E138" s="3">
        <v>0</v>
      </c>
      <c r="F138" t="s">
        <v>45</v>
      </c>
      <c r="G138" s="3">
        <f t="shared" si="15"/>
        <v>-4054.0679999999998</v>
      </c>
      <c r="H138" s="3">
        <f t="shared" si="16"/>
        <v>4054.0679999999998</v>
      </c>
      <c r="I138" s="5" t="str">
        <f t="shared" si="17"/>
        <v>017</v>
      </c>
      <c r="J138" s="5" t="str">
        <f t="shared" si="18"/>
        <v>2100</v>
      </c>
      <c r="K138" s="5" t="str">
        <f t="shared" si="19"/>
        <v>000</v>
      </c>
      <c r="L138" s="5">
        <f t="shared" si="20"/>
        <v>11</v>
      </c>
      <c r="M138" s="5">
        <f t="shared" si="21"/>
        <v>2011</v>
      </c>
    </row>
    <row r="139" spans="1:13" ht="17.45" customHeight="1" x14ac:dyDescent="0.25">
      <c r="A139" s="1">
        <f>DATE(2011,11,13)</f>
        <v>40860</v>
      </c>
      <c r="B139" t="s">
        <v>16</v>
      </c>
      <c r="C139" t="s">
        <v>8</v>
      </c>
      <c r="D139" s="3">
        <v>825.04399999999998</v>
      </c>
      <c r="E139" s="3">
        <v>0</v>
      </c>
      <c r="F139" t="s">
        <v>45</v>
      </c>
      <c r="G139" s="3">
        <f t="shared" si="15"/>
        <v>-825.04399999999998</v>
      </c>
      <c r="H139" s="3">
        <f t="shared" si="16"/>
        <v>825.04399999999998</v>
      </c>
      <c r="I139" s="5" t="str">
        <f t="shared" si="17"/>
        <v>017</v>
      </c>
      <c r="J139" s="5" t="str">
        <f t="shared" si="18"/>
        <v>2210</v>
      </c>
      <c r="K139" s="5" t="str">
        <f t="shared" si="19"/>
        <v>000</v>
      </c>
      <c r="L139" s="5">
        <f t="shared" si="20"/>
        <v>11</v>
      </c>
      <c r="M139" s="5">
        <f t="shared" si="21"/>
        <v>2011</v>
      </c>
    </row>
    <row r="140" spans="1:13" ht="17.45" customHeight="1" x14ac:dyDescent="0.25">
      <c r="A140" s="1">
        <f>DATE(2011,11,13)</f>
        <v>40860</v>
      </c>
      <c r="B140" t="s">
        <v>17</v>
      </c>
      <c r="C140" t="s">
        <v>9</v>
      </c>
      <c r="D140" s="3">
        <v>134.28</v>
      </c>
      <c r="E140" s="3">
        <v>0</v>
      </c>
      <c r="F140" t="s">
        <v>45</v>
      </c>
      <c r="G140" s="3">
        <f t="shared" si="15"/>
        <v>-134.28</v>
      </c>
      <c r="H140" s="3">
        <f t="shared" si="16"/>
        <v>134.28</v>
      </c>
      <c r="I140" s="5" t="str">
        <f t="shared" si="17"/>
        <v>017</v>
      </c>
      <c r="J140" s="5" t="str">
        <f t="shared" si="18"/>
        <v>2220</v>
      </c>
      <c r="K140" s="5" t="str">
        <f t="shared" si="19"/>
        <v>000</v>
      </c>
      <c r="L140" s="5">
        <f t="shared" si="20"/>
        <v>11</v>
      </c>
      <c r="M140" s="5">
        <f t="shared" si="21"/>
        <v>2011</v>
      </c>
    </row>
    <row r="141" spans="1:13" ht="17.45" customHeight="1" x14ac:dyDescent="0.25">
      <c r="A141" s="1">
        <f>DATE(2011,11,13)</f>
        <v>40860</v>
      </c>
      <c r="B141" t="s">
        <v>18</v>
      </c>
      <c r="C141" t="s">
        <v>10</v>
      </c>
      <c r="D141" s="3">
        <v>79.591499999999996</v>
      </c>
      <c r="E141" s="3">
        <v>0</v>
      </c>
      <c r="F141" t="s">
        <v>45</v>
      </c>
      <c r="G141" s="3">
        <f t="shared" si="15"/>
        <v>-79.591499999999996</v>
      </c>
      <c r="H141" s="3">
        <f t="shared" si="16"/>
        <v>79.591499999999996</v>
      </c>
      <c r="I141" s="5" t="str">
        <f t="shared" si="17"/>
        <v>017</v>
      </c>
      <c r="J141" s="5" t="str">
        <f t="shared" si="18"/>
        <v>2230</v>
      </c>
      <c r="K141" s="5" t="str">
        <f t="shared" si="19"/>
        <v>000</v>
      </c>
      <c r="L141" s="5">
        <f t="shared" si="20"/>
        <v>11</v>
      </c>
      <c r="M141" s="5">
        <f t="shared" si="21"/>
        <v>2011</v>
      </c>
    </row>
    <row r="142" spans="1:13" ht="17.45" customHeight="1" x14ac:dyDescent="0.25">
      <c r="A142" s="1">
        <f>DATE(2011,11,7)</f>
        <v>40854</v>
      </c>
      <c r="B142" t="s">
        <v>19</v>
      </c>
      <c r="C142" t="s">
        <v>6</v>
      </c>
      <c r="D142" s="3">
        <v>3538.6428000000001</v>
      </c>
      <c r="E142" s="3">
        <v>0</v>
      </c>
      <c r="F142" t="s">
        <v>45</v>
      </c>
      <c r="G142" s="3">
        <f t="shared" si="15"/>
        <v>-3538.6428000000001</v>
      </c>
      <c r="H142" s="3">
        <f t="shared" si="16"/>
        <v>3538.6428000000001</v>
      </c>
      <c r="I142" s="5" t="str">
        <f t="shared" si="17"/>
        <v>018</v>
      </c>
      <c r="J142" s="5" t="str">
        <f t="shared" si="18"/>
        <v>2100</v>
      </c>
      <c r="K142" s="5" t="str">
        <f t="shared" si="19"/>
        <v>000</v>
      </c>
      <c r="L142" s="5">
        <f t="shared" si="20"/>
        <v>11</v>
      </c>
      <c r="M142" s="5">
        <f t="shared" si="21"/>
        <v>2011</v>
      </c>
    </row>
    <row r="143" spans="1:13" ht="17.45" customHeight="1" x14ac:dyDescent="0.25">
      <c r="A143" s="1">
        <f>DATE(2011,11,7)</f>
        <v>40854</v>
      </c>
      <c r="B143" t="s">
        <v>20</v>
      </c>
      <c r="C143" t="s">
        <v>8</v>
      </c>
      <c r="D143" s="3">
        <v>520.79</v>
      </c>
      <c r="E143" s="3">
        <v>0</v>
      </c>
      <c r="F143" t="s">
        <v>45</v>
      </c>
      <c r="G143" s="3">
        <f t="shared" si="15"/>
        <v>-520.79</v>
      </c>
      <c r="H143" s="3">
        <f t="shared" si="16"/>
        <v>520.79</v>
      </c>
      <c r="I143" s="5" t="str">
        <f t="shared" si="17"/>
        <v>018</v>
      </c>
      <c r="J143" s="5" t="str">
        <f t="shared" si="18"/>
        <v>2210</v>
      </c>
      <c r="K143" s="5" t="str">
        <f t="shared" si="19"/>
        <v>000</v>
      </c>
      <c r="L143" s="5">
        <f t="shared" si="20"/>
        <v>11</v>
      </c>
      <c r="M143" s="5">
        <f t="shared" si="21"/>
        <v>2011</v>
      </c>
    </row>
    <row r="144" spans="1:13" ht="17.45" customHeight="1" x14ac:dyDescent="0.25">
      <c r="A144" s="1">
        <f>DATE(2011,11,7)</f>
        <v>40854</v>
      </c>
      <c r="B144" t="s">
        <v>21</v>
      </c>
      <c r="C144" t="s">
        <v>9</v>
      </c>
      <c r="D144" s="3">
        <v>182.77650000000003</v>
      </c>
      <c r="E144" s="3">
        <v>0</v>
      </c>
      <c r="F144" t="s">
        <v>45</v>
      </c>
      <c r="G144" s="3">
        <f t="shared" si="15"/>
        <v>-182.77650000000003</v>
      </c>
      <c r="H144" s="3">
        <f t="shared" si="16"/>
        <v>182.77650000000003</v>
      </c>
      <c r="I144" s="5" t="str">
        <f t="shared" si="17"/>
        <v>018</v>
      </c>
      <c r="J144" s="5" t="str">
        <f t="shared" si="18"/>
        <v>2220</v>
      </c>
      <c r="K144" s="5" t="str">
        <f t="shared" si="19"/>
        <v>000</v>
      </c>
      <c r="L144" s="5">
        <f t="shared" si="20"/>
        <v>11</v>
      </c>
      <c r="M144" s="5">
        <f t="shared" si="21"/>
        <v>2011</v>
      </c>
    </row>
    <row r="145" spans="1:13" ht="17.45" customHeight="1" x14ac:dyDescent="0.25">
      <c r="A145" s="1">
        <f>DATE(2011,11,7)</f>
        <v>40854</v>
      </c>
      <c r="B145" t="s">
        <v>22</v>
      </c>
      <c r="C145" t="s">
        <v>10</v>
      </c>
      <c r="D145" s="3">
        <v>29.183</v>
      </c>
      <c r="E145" s="3">
        <v>0</v>
      </c>
      <c r="F145" t="s">
        <v>45</v>
      </c>
      <c r="G145" s="3">
        <f t="shared" si="15"/>
        <v>-29.183</v>
      </c>
      <c r="H145" s="3">
        <f t="shared" si="16"/>
        <v>29.183</v>
      </c>
      <c r="I145" s="5" t="str">
        <f t="shared" si="17"/>
        <v>018</v>
      </c>
      <c r="J145" s="5" t="str">
        <f t="shared" si="18"/>
        <v>2230</v>
      </c>
      <c r="K145" s="5" t="str">
        <f t="shared" si="19"/>
        <v>000</v>
      </c>
      <c r="L145" s="5">
        <f t="shared" si="20"/>
        <v>11</v>
      </c>
      <c r="M145" s="5">
        <f t="shared" si="21"/>
        <v>2011</v>
      </c>
    </row>
    <row r="146" spans="1:13" ht="17.45" customHeight="1" x14ac:dyDescent="0.25">
      <c r="A146" s="1">
        <f>DATE(2011,11,8)</f>
        <v>40855</v>
      </c>
      <c r="B146" t="s">
        <v>19</v>
      </c>
      <c r="C146" t="s">
        <v>6</v>
      </c>
      <c r="D146" s="3">
        <v>4436.8188</v>
      </c>
      <c r="E146" s="3">
        <v>0</v>
      </c>
      <c r="F146" t="s">
        <v>45</v>
      </c>
      <c r="G146" s="3">
        <f t="shared" si="15"/>
        <v>-4436.8188</v>
      </c>
      <c r="H146" s="3">
        <f t="shared" si="16"/>
        <v>4436.8188</v>
      </c>
      <c r="I146" s="5" t="str">
        <f t="shared" si="17"/>
        <v>018</v>
      </c>
      <c r="J146" s="5" t="str">
        <f t="shared" si="18"/>
        <v>2100</v>
      </c>
      <c r="K146" s="5" t="str">
        <f t="shared" si="19"/>
        <v>000</v>
      </c>
      <c r="L146" s="5">
        <f t="shared" si="20"/>
        <v>11</v>
      </c>
      <c r="M146" s="5">
        <f t="shared" si="21"/>
        <v>2011</v>
      </c>
    </row>
    <row r="147" spans="1:13" ht="17.45" customHeight="1" x14ac:dyDescent="0.25">
      <c r="A147" s="1">
        <f>DATE(2011,11,8)</f>
        <v>40855</v>
      </c>
      <c r="B147" t="s">
        <v>20</v>
      </c>
      <c r="C147" t="s">
        <v>8</v>
      </c>
      <c r="D147" s="3">
        <v>614.56000000000006</v>
      </c>
      <c r="E147" s="3">
        <v>0</v>
      </c>
      <c r="F147" t="s">
        <v>45</v>
      </c>
      <c r="G147" s="3">
        <f t="shared" si="15"/>
        <v>-614.56000000000006</v>
      </c>
      <c r="H147" s="3">
        <f t="shared" si="16"/>
        <v>614.56000000000006</v>
      </c>
      <c r="I147" s="5" t="str">
        <f t="shared" si="17"/>
        <v>018</v>
      </c>
      <c r="J147" s="5" t="str">
        <f t="shared" si="18"/>
        <v>2210</v>
      </c>
      <c r="K147" s="5" t="str">
        <f t="shared" si="19"/>
        <v>000</v>
      </c>
      <c r="L147" s="5">
        <f t="shared" si="20"/>
        <v>11</v>
      </c>
      <c r="M147" s="5">
        <f t="shared" si="21"/>
        <v>2011</v>
      </c>
    </row>
    <row r="148" spans="1:13" ht="17.45" customHeight="1" x14ac:dyDescent="0.25">
      <c r="A148" s="1">
        <f>DATE(2011,11,8)</f>
        <v>40855</v>
      </c>
      <c r="B148" t="s">
        <v>21</v>
      </c>
      <c r="C148" t="s">
        <v>9</v>
      </c>
      <c r="D148" s="3">
        <v>115.449</v>
      </c>
      <c r="E148" s="3">
        <v>0</v>
      </c>
      <c r="F148" t="s">
        <v>45</v>
      </c>
      <c r="G148" s="3">
        <f t="shared" si="15"/>
        <v>-115.449</v>
      </c>
      <c r="H148" s="3">
        <f t="shared" si="16"/>
        <v>115.449</v>
      </c>
      <c r="I148" s="5" t="str">
        <f t="shared" si="17"/>
        <v>018</v>
      </c>
      <c r="J148" s="5" t="str">
        <f t="shared" si="18"/>
        <v>2220</v>
      </c>
      <c r="K148" s="5" t="str">
        <f t="shared" si="19"/>
        <v>000</v>
      </c>
      <c r="L148" s="5">
        <f t="shared" si="20"/>
        <v>11</v>
      </c>
      <c r="M148" s="5">
        <f t="shared" si="21"/>
        <v>2011</v>
      </c>
    </row>
    <row r="149" spans="1:13" ht="17.45" customHeight="1" x14ac:dyDescent="0.25">
      <c r="A149" s="1">
        <f>DATE(2011,11,8)</f>
        <v>40855</v>
      </c>
      <c r="B149" t="s">
        <v>22</v>
      </c>
      <c r="C149" t="s">
        <v>10</v>
      </c>
      <c r="D149" s="3">
        <v>24.885000000000002</v>
      </c>
      <c r="E149" s="3">
        <v>0</v>
      </c>
      <c r="F149" t="s">
        <v>45</v>
      </c>
      <c r="G149" s="3">
        <f t="shared" si="15"/>
        <v>-24.885000000000002</v>
      </c>
      <c r="H149" s="3">
        <f t="shared" si="16"/>
        <v>24.885000000000002</v>
      </c>
      <c r="I149" s="5" t="str">
        <f t="shared" si="17"/>
        <v>018</v>
      </c>
      <c r="J149" s="5" t="str">
        <f t="shared" si="18"/>
        <v>2230</v>
      </c>
      <c r="K149" s="5" t="str">
        <f t="shared" si="19"/>
        <v>000</v>
      </c>
      <c r="L149" s="5">
        <f t="shared" si="20"/>
        <v>11</v>
      </c>
      <c r="M149" s="5">
        <f t="shared" si="21"/>
        <v>2011</v>
      </c>
    </row>
    <row r="150" spans="1:13" ht="17.45" customHeight="1" x14ac:dyDescent="0.25">
      <c r="A150" s="1">
        <f>DATE(2011,11,9)</f>
        <v>40856</v>
      </c>
      <c r="B150" t="s">
        <v>19</v>
      </c>
      <c r="C150" t="s">
        <v>6</v>
      </c>
      <c r="D150" s="3">
        <v>3531.6749999999997</v>
      </c>
      <c r="E150" s="3">
        <v>0</v>
      </c>
      <c r="F150" t="s">
        <v>45</v>
      </c>
      <c r="G150" s="3">
        <f t="shared" si="15"/>
        <v>-3531.6749999999997</v>
      </c>
      <c r="H150" s="3">
        <f t="shared" si="16"/>
        <v>3531.6749999999997</v>
      </c>
      <c r="I150" s="5" t="str">
        <f t="shared" si="17"/>
        <v>018</v>
      </c>
      <c r="J150" s="5" t="str">
        <f t="shared" si="18"/>
        <v>2100</v>
      </c>
      <c r="K150" s="5" t="str">
        <f t="shared" si="19"/>
        <v>000</v>
      </c>
      <c r="L150" s="5">
        <f t="shared" si="20"/>
        <v>11</v>
      </c>
      <c r="M150" s="5">
        <f t="shared" si="21"/>
        <v>2011</v>
      </c>
    </row>
    <row r="151" spans="1:13" ht="17.45" customHeight="1" x14ac:dyDescent="0.25">
      <c r="A151" s="1">
        <f>DATE(2011,11,9)</f>
        <v>40856</v>
      </c>
      <c r="B151" t="s">
        <v>20</v>
      </c>
      <c r="C151" t="s">
        <v>8</v>
      </c>
      <c r="D151" s="3">
        <v>563.61200000000008</v>
      </c>
      <c r="E151" s="3">
        <v>0</v>
      </c>
      <c r="F151" t="s">
        <v>45</v>
      </c>
      <c r="G151" s="3">
        <f t="shared" si="15"/>
        <v>-563.61200000000008</v>
      </c>
      <c r="H151" s="3">
        <f t="shared" si="16"/>
        <v>563.61200000000008</v>
      </c>
      <c r="I151" s="5" t="str">
        <f t="shared" si="17"/>
        <v>018</v>
      </c>
      <c r="J151" s="5" t="str">
        <f t="shared" si="18"/>
        <v>2210</v>
      </c>
      <c r="K151" s="5" t="str">
        <f t="shared" si="19"/>
        <v>000</v>
      </c>
      <c r="L151" s="5">
        <f t="shared" si="20"/>
        <v>11</v>
      </c>
      <c r="M151" s="5">
        <f t="shared" si="21"/>
        <v>2011</v>
      </c>
    </row>
    <row r="152" spans="1:13" ht="17.45" customHeight="1" x14ac:dyDescent="0.25">
      <c r="A152" s="1">
        <f>DATE(2011,11,9)</f>
        <v>40856</v>
      </c>
      <c r="B152" t="s">
        <v>21</v>
      </c>
      <c r="C152" t="s">
        <v>9</v>
      </c>
      <c r="D152" s="3">
        <v>179.13200000000001</v>
      </c>
      <c r="E152" s="3">
        <v>0</v>
      </c>
      <c r="F152" t="s">
        <v>45</v>
      </c>
      <c r="G152" s="3">
        <f t="shared" si="15"/>
        <v>-179.13200000000001</v>
      </c>
      <c r="H152" s="3">
        <f t="shared" si="16"/>
        <v>179.13200000000001</v>
      </c>
      <c r="I152" s="5" t="str">
        <f t="shared" si="17"/>
        <v>018</v>
      </c>
      <c r="J152" s="5" t="str">
        <f t="shared" si="18"/>
        <v>2220</v>
      </c>
      <c r="K152" s="5" t="str">
        <f t="shared" si="19"/>
        <v>000</v>
      </c>
      <c r="L152" s="5">
        <f t="shared" si="20"/>
        <v>11</v>
      </c>
      <c r="M152" s="5">
        <f t="shared" si="21"/>
        <v>2011</v>
      </c>
    </row>
    <row r="153" spans="1:13" ht="17.45" customHeight="1" x14ac:dyDescent="0.25">
      <c r="A153" s="1">
        <f>DATE(2011,11,9)</f>
        <v>40856</v>
      </c>
      <c r="B153" t="s">
        <v>22</v>
      </c>
      <c r="C153" t="s">
        <v>10</v>
      </c>
      <c r="D153" s="3">
        <v>37.499000000000002</v>
      </c>
      <c r="E153" s="3">
        <v>0</v>
      </c>
      <c r="F153" t="s">
        <v>45</v>
      </c>
      <c r="G153" s="3">
        <f t="shared" si="15"/>
        <v>-37.499000000000002</v>
      </c>
      <c r="H153" s="3">
        <f t="shared" si="16"/>
        <v>37.499000000000002</v>
      </c>
      <c r="I153" s="5" t="str">
        <f t="shared" si="17"/>
        <v>018</v>
      </c>
      <c r="J153" s="5" t="str">
        <f t="shared" si="18"/>
        <v>2230</v>
      </c>
      <c r="K153" s="5" t="str">
        <f t="shared" si="19"/>
        <v>000</v>
      </c>
      <c r="L153" s="5">
        <f t="shared" si="20"/>
        <v>11</v>
      </c>
      <c r="M153" s="5">
        <f t="shared" si="21"/>
        <v>2011</v>
      </c>
    </row>
    <row r="154" spans="1:13" ht="17.45" customHeight="1" x14ac:dyDescent="0.25">
      <c r="A154" s="1">
        <f>DATE(2011,11,10)</f>
        <v>40857</v>
      </c>
      <c r="B154" t="s">
        <v>19</v>
      </c>
      <c r="C154" t="s">
        <v>6</v>
      </c>
      <c r="D154" s="3">
        <v>4681.4250000000002</v>
      </c>
      <c r="E154" s="3">
        <v>0</v>
      </c>
      <c r="F154" t="s">
        <v>45</v>
      </c>
      <c r="G154" s="3">
        <f t="shared" si="15"/>
        <v>-4681.4250000000002</v>
      </c>
      <c r="H154" s="3">
        <f t="shared" si="16"/>
        <v>4681.4250000000002</v>
      </c>
      <c r="I154" s="5" t="str">
        <f t="shared" si="17"/>
        <v>018</v>
      </c>
      <c r="J154" s="5" t="str">
        <f t="shared" si="18"/>
        <v>2100</v>
      </c>
      <c r="K154" s="5" t="str">
        <f t="shared" si="19"/>
        <v>000</v>
      </c>
      <c r="L154" s="5">
        <f t="shared" si="20"/>
        <v>11</v>
      </c>
      <c r="M154" s="5">
        <f t="shared" si="21"/>
        <v>2011</v>
      </c>
    </row>
    <row r="155" spans="1:13" ht="17.45" customHeight="1" x14ac:dyDescent="0.25">
      <c r="A155" s="1">
        <f>DATE(2011,11,10)</f>
        <v>40857</v>
      </c>
      <c r="B155" t="s">
        <v>20</v>
      </c>
      <c r="C155" t="s">
        <v>8</v>
      </c>
      <c r="D155" s="3">
        <v>841.87400000000002</v>
      </c>
      <c r="E155" s="3">
        <v>0</v>
      </c>
      <c r="F155" t="s">
        <v>45</v>
      </c>
      <c r="G155" s="3">
        <f t="shared" si="15"/>
        <v>-841.87400000000002</v>
      </c>
      <c r="H155" s="3">
        <f t="shared" si="16"/>
        <v>841.87400000000002</v>
      </c>
      <c r="I155" s="5" t="str">
        <f t="shared" si="17"/>
        <v>018</v>
      </c>
      <c r="J155" s="5" t="str">
        <f t="shared" si="18"/>
        <v>2210</v>
      </c>
      <c r="K155" s="5" t="str">
        <f t="shared" si="19"/>
        <v>000</v>
      </c>
      <c r="L155" s="5">
        <f t="shared" si="20"/>
        <v>11</v>
      </c>
      <c r="M155" s="5">
        <f t="shared" si="21"/>
        <v>2011</v>
      </c>
    </row>
    <row r="156" spans="1:13" ht="17.45" customHeight="1" x14ac:dyDescent="0.25">
      <c r="A156" s="1">
        <f>DATE(2011,11,10)</f>
        <v>40857</v>
      </c>
      <c r="B156" t="s">
        <v>21</v>
      </c>
      <c r="C156" t="s">
        <v>9</v>
      </c>
      <c r="D156" s="3">
        <v>348.23250000000002</v>
      </c>
      <c r="E156" s="3">
        <v>0</v>
      </c>
      <c r="F156" t="s">
        <v>45</v>
      </c>
      <c r="G156" s="3">
        <f t="shared" si="15"/>
        <v>-348.23250000000002</v>
      </c>
      <c r="H156" s="3">
        <f t="shared" si="16"/>
        <v>348.23250000000002</v>
      </c>
      <c r="I156" s="5" t="str">
        <f t="shared" si="17"/>
        <v>018</v>
      </c>
      <c r="J156" s="5" t="str">
        <f t="shared" si="18"/>
        <v>2220</v>
      </c>
      <c r="K156" s="5" t="str">
        <f t="shared" si="19"/>
        <v>000</v>
      </c>
      <c r="L156" s="5">
        <f t="shared" si="20"/>
        <v>11</v>
      </c>
      <c r="M156" s="5">
        <f t="shared" si="21"/>
        <v>2011</v>
      </c>
    </row>
    <row r="157" spans="1:13" ht="17.45" customHeight="1" x14ac:dyDescent="0.25">
      <c r="A157" s="1">
        <f>DATE(2011,11,10)</f>
        <v>40857</v>
      </c>
      <c r="B157" t="s">
        <v>22</v>
      </c>
      <c r="C157" t="s">
        <v>10</v>
      </c>
      <c r="D157" s="3">
        <v>132</v>
      </c>
      <c r="E157" s="3">
        <v>0</v>
      </c>
      <c r="F157" t="s">
        <v>45</v>
      </c>
      <c r="G157" s="3">
        <f t="shared" si="15"/>
        <v>-132</v>
      </c>
      <c r="H157" s="3">
        <f t="shared" si="16"/>
        <v>132</v>
      </c>
      <c r="I157" s="5" t="str">
        <f t="shared" si="17"/>
        <v>018</v>
      </c>
      <c r="J157" s="5" t="str">
        <f t="shared" si="18"/>
        <v>2230</v>
      </c>
      <c r="K157" s="5" t="str">
        <f t="shared" si="19"/>
        <v>000</v>
      </c>
      <c r="L157" s="5">
        <f t="shared" si="20"/>
        <v>11</v>
      </c>
      <c r="M157" s="5">
        <f t="shared" si="21"/>
        <v>2011</v>
      </c>
    </row>
    <row r="158" spans="1:13" ht="17.45" customHeight="1" x14ac:dyDescent="0.25">
      <c r="A158" s="1">
        <f>DATE(2011,11,11)</f>
        <v>40858</v>
      </c>
      <c r="B158" t="s">
        <v>19</v>
      </c>
      <c r="C158" t="s">
        <v>6</v>
      </c>
      <c r="D158" s="3">
        <v>11936.6065</v>
      </c>
      <c r="E158" s="3">
        <v>0</v>
      </c>
      <c r="F158" t="s">
        <v>45</v>
      </c>
      <c r="G158" s="3">
        <f t="shared" si="15"/>
        <v>-11936.6065</v>
      </c>
      <c r="H158" s="3">
        <f t="shared" si="16"/>
        <v>11936.6065</v>
      </c>
      <c r="I158" s="5" t="str">
        <f t="shared" si="17"/>
        <v>018</v>
      </c>
      <c r="J158" s="5" t="str">
        <f t="shared" si="18"/>
        <v>2100</v>
      </c>
      <c r="K158" s="5" t="str">
        <f t="shared" si="19"/>
        <v>000</v>
      </c>
      <c r="L158" s="5">
        <f t="shared" si="20"/>
        <v>11</v>
      </c>
      <c r="M158" s="5">
        <f t="shared" si="21"/>
        <v>2011</v>
      </c>
    </row>
    <row r="159" spans="1:13" ht="17.45" customHeight="1" x14ac:dyDescent="0.25">
      <c r="A159" s="1">
        <f>DATE(2011,11,11)</f>
        <v>40858</v>
      </c>
      <c r="B159" t="s">
        <v>20</v>
      </c>
      <c r="C159" t="s">
        <v>8</v>
      </c>
      <c r="D159" s="3">
        <v>2340.5220000000004</v>
      </c>
      <c r="E159" s="3">
        <v>0</v>
      </c>
      <c r="F159" t="s">
        <v>45</v>
      </c>
      <c r="G159" s="3">
        <f t="shared" si="15"/>
        <v>-2340.5220000000004</v>
      </c>
      <c r="H159" s="3">
        <f t="shared" si="16"/>
        <v>2340.5220000000004</v>
      </c>
      <c r="I159" s="5" t="str">
        <f t="shared" si="17"/>
        <v>018</v>
      </c>
      <c r="J159" s="5" t="str">
        <f t="shared" si="18"/>
        <v>2210</v>
      </c>
      <c r="K159" s="5" t="str">
        <f t="shared" si="19"/>
        <v>000</v>
      </c>
      <c r="L159" s="5">
        <f t="shared" si="20"/>
        <v>11</v>
      </c>
      <c r="M159" s="5">
        <f t="shared" si="21"/>
        <v>2011</v>
      </c>
    </row>
    <row r="160" spans="1:13" ht="17.45" customHeight="1" x14ac:dyDescent="0.25">
      <c r="A160" s="1">
        <f>DATE(2011,11,11)</f>
        <v>40858</v>
      </c>
      <c r="B160" t="s">
        <v>21</v>
      </c>
      <c r="C160" t="s">
        <v>9</v>
      </c>
      <c r="D160" s="3">
        <v>303.73199999999997</v>
      </c>
      <c r="E160" s="3">
        <v>0</v>
      </c>
      <c r="F160" t="s">
        <v>45</v>
      </c>
      <c r="G160" s="3">
        <f t="shared" si="15"/>
        <v>-303.73199999999997</v>
      </c>
      <c r="H160" s="3">
        <f t="shared" si="16"/>
        <v>303.73199999999997</v>
      </c>
      <c r="I160" s="5" t="str">
        <f t="shared" si="17"/>
        <v>018</v>
      </c>
      <c r="J160" s="5" t="str">
        <f t="shared" si="18"/>
        <v>2220</v>
      </c>
      <c r="K160" s="5" t="str">
        <f t="shared" si="19"/>
        <v>000</v>
      </c>
      <c r="L160" s="5">
        <f t="shared" si="20"/>
        <v>11</v>
      </c>
      <c r="M160" s="5">
        <f t="shared" si="21"/>
        <v>2011</v>
      </c>
    </row>
    <row r="161" spans="1:13" ht="17.45" customHeight="1" x14ac:dyDescent="0.25">
      <c r="A161" s="1">
        <f>DATE(2011,11,11)</f>
        <v>40858</v>
      </c>
      <c r="B161" t="s">
        <v>22</v>
      </c>
      <c r="C161" t="s">
        <v>10</v>
      </c>
      <c r="D161" s="3">
        <v>142.24</v>
      </c>
      <c r="E161" s="3">
        <v>0</v>
      </c>
      <c r="F161" t="s">
        <v>45</v>
      </c>
      <c r="G161" s="3">
        <f t="shared" si="15"/>
        <v>-142.24</v>
      </c>
      <c r="H161" s="3">
        <f t="shared" si="16"/>
        <v>142.24</v>
      </c>
      <c r="I161" s="5" t="str">
        <f t="shared" si="17"/>
        <v>018</v>
      </c>
      <c r="J161" s="5" t="str">
        <f t="shared" si="18"/>
        <v>2230</v>
      </c>
      <c r="K161" s="5" t="str">
        <f t="shared" si="19"/>
        <v>000</v>
      </c>
      <c r="L161" s="5">
        <f t="shared" si="20"/>
        <v>11</v>
      </c>
      <c r="M161" s="5">
        <f t="shared" si="21"/>
        <v>2011</v>
      </c>
    </row>
    <row r="162" spans="1:13" ht="17.45" customHeight="1" x14ac:dyDescent="0.25">
      <c r="A162" s="1">
        <f>DATE(2011,11,12)</f>
        <v>40859</v>
      </c>
      <c r="B162" t="s">
        <v>19</v>
      </c>
      <c r="C162" t="s">
        <v>6</v>
      </c>
      <c r="D162" s="3">
        <v>7824.0429999999997</v>
      </c>
      <c r="E162" s="3">
        <v>0</v>
      </c>
      <c r="F162" t="s">
        <v>45</v>
      </c>
      <c r="G162" s="3">
        <f t="shared" si="15"/>
        <v>-7824.0429999999997</v>
      </c>
      <c r="H162" s="3">
        <f t="shared" si="16"/>
        <v>7824.0429999999997</v>
      </c>
      <c r="I162" s="5" t="str">
        <f t="shared" si="17"/>
        <v>018</v>
      </c>
      <c r="J162" s="5" t="str">
        <f t="shared" si="18"/>
        <v>2100</v>
      </c>
      <c r="K162" s="5" t="str">
        <f t="shared" si="19"/>
        <v>000</v>
      </c>
      <c r="L162" s="5">
        <f t="shared" si="20"/>
        <v>11</v>
      </c>
      <c r="M162" s="5">
        <f t="shared" si="21"/>
        <v>2011</v>
      </c>
    </row>
    <row r="163" spans="1:13" ht="17.45" customHeight="1" x14ac:dyDescent="0.25">
      <c r="A163" s="1">
        <f>DATE(2011,11,12)</f>
        <v>40859</v>
      </c>
      <c r="B163" t="s">
        <v>20</v>
      </c>
      <c r="C163" t="s">
        <v>8</v>
      </c>
      <c r="D163" s="3">
        <v>2102.1519999999996</v>
      </c>
      <c r="E163" s="3">
        <v>0</v>
      </c>
      <c r="F163" t="s">
        <v>45</v>
      </c>
      <c r="G163" s="3">
        <f t="shared" si="15"/>
        <v>-2102.1519999999996</v>
      </c>
      <c r="H163" s="3">
        <f t="shared" si="16"/>
        <v>2102.1519999999996</v>
      </c>
      <c r="I163" s="5" t="str">
        <f t="shared" si="17"/>
        <v>018</v>
      </c>
      <c r="J163" s="5" t="str">
        <f t="shared" si="18"/>
        <v>2210</v>
      </c>
      <c r="K163" s="5" t="str">
        <f t="shared" si="19"/>
        <v>000</v>
      </c>
      <c r="L163" s="5">
        <f t="shared" si="20"/>
        <v>11</v>
      </c>
      <c r="M163" s="5">
        <f t="shared" si="21"/>
        <v>2011</v>
      </c>
    </row>
    <row r="164" spans="1:13" ht="17.45" customHeight="1" x14ac:dyDescent="0.25">
      <c r="A164" s="1">
        <f>DATE(2011,11,12)</f>
        <v>40859</v>
      </c>
      <c r="B164" t="s">
        <v>21</v>
      </c>
      <c r="C164" t="s">
        <v>9</v>
      </c>
      <c r="D164" s="3">
        <v>368.92799999999994</v>
      </c>
      <c r="E164" s="3">
        <v>0</v>
      </c>
      <c r="F164" t="s">
        <v>45</v>
      </c>
      <c r="G164" s="3">
        <f t="shared" si="15"/>
        <v>-368.92799999999994</v>
      </c>
      <c r="H164" s="3">
        <f t="shared" si="16"/>
        <v>368.92799999999994</v>
      </c>
      <c r="I164" s="5" t="str">
        <f t="shared" si="17"/>
        <v>018</v>
      </c>
      <c r="J164" s="5" t="str">
        <f t="shared" si="18"/>
        <v>2220</v>
      </c>
      <c r="K164" s="5" t="str">
        <f t="shared" si="19"/>
        <v>000</v>
      </c>
      <c r="L164" s="5">
        <f t="shared" si="20"/>
        <v>11</v>
      </c>
      <c r="M164" s="5">
        <f t="shared" si="21"/>
        <v>2011</v>
      </c>
    </row>
    <row r="165" spans="1:13" ht="17.45" customHeight="1" x14ac:dyDescent="0.25">
      <c r="A165" s="1">
        <f>DATE(2011,11,12)</f>
        <v>40859</v>
      </c>
      <c r="B165" t="s">
        <v>22</v>
      </c>
      <c r="C165" t="s">
        <v>10</v>
      </c>
      <c r="D165" s="3">
        <v>69.31049999999999</v>
      </c>
      <c r="E165" s="3">
        <v>0</v>
      </c>
      <c r="F165" t="s">
        <v>45</v>
      </c>
      <c r="G165" s="3">
        <f t="shared" si="15"/>
        <v>-69.31049999999999</v>
      </c>
      <c r="H165" s="3">
        <f t="shared" si="16"/>
        <v>69.31049999999999</v>
      </c>
      <c r="I165" s="5" t="str">
        <f t="shared" si="17"/>
        <v>018</v>
      </c>
      <c r="J165" s="5" t="str">
        <f t="shared" si="18"/>
        <v>2230</v>
      </c>
      <c r="K165" s="5" t="str">
        <f t="shared" si="19"/>
        <v>000</v>
      </c>
      <c r="L165" s="5">
        <f t="shared" si="20"/>
        <v>11</v>
      </c>
      <c r="M165" s="5">
        <f t="shared" si="21"/>
        <v>2011</v>
      </c>
    </row>
    <row r="166" spans="1:13" ht="17.45" customHeight="1" x14ac:dyDescent="0.25">
      <c r="A166" s="1">
        <f>DATE(2011,11,13)</f>
        <v>40860</v>
      </c>
      <c r="B166" t="s">
        <v>19</v>
      </c>
      <c r="C166" t="s">
        <v>6</v>
      </c>
      <c r="D166" s="3">
        <v>7700.1509999999989</v>
      </c>
      <c r="E166" s="3">
        <v>0</v>
      </c>
      <c r="F166" t="s">
        <v>45</v>
      </c>
      <c r="G166" s="3">
        <f t="shared" si="15"/>
        <v>-7700.1509999999989</v>
      </c>
      <c r="H166" s="3">
        <f t="shared" si="16"/>
        <v>7700.1509999999989</v>
      </c>
      <c r="I166" s="5" t="str">
        <f t="shared" si="17"/>
        <v>018</v>
      </c>
      <c r="J166" s="5" t="str">
        <f t="shared" si="18"/>
        <v>2100</v>
      </c>
      <c r="K166" s="5" t="str">
        <f t="shared" si="19"/>
        <v>000</v>
      </c>
      <c r="L166" s="5">
        <f t="shared" si="20"/>
        <v>11</v>
      </c>
      <c r="M166" s="5">
        <f t="shared" si="21"/>
        <v>2011</v>
      </c>
    </row>
    <row r="167" spans="1:13" ht="17.45" customHeight="1" x14ac:dyDescent="0.25">
      <c r="A167" s="1">
        <f>DATE(2011,11,13)</f>
        <v>40860</v>
      </c>
      <c r="B167" t="s">
        <v>20</v>
      </c>
      <c r="C167" t="s">
        <v>8</v>
      </c>
      <c r="D167" s="3">
        <v>649.98</v>
      </c>
      <c r="E167" s="3">
        <v>0</v>
      </c>
      <c r="F167" t="s">
        <v>45</v>
      </c>
      <c r="G167" s="3">
        <f t="shared" si="15"/>
        <v>-649.98</v>
      </c>
      <c r="H167" s="3">
        <f t="shared" si="16"/>
        <v>649.98</v>
      </c>
      <c r="I167" s="5" t="str">
        <f t="shared" si="17"/>
        <v>018</v>
      </c>
      <c r="J167" s="5" t="str">
        <f t="shared" si="18"/>
        <v>2210</v>
      </c>
      <c r="K167" s="5" t="str">
        <f t="shared" si="19"/>
        <v>000</v>
      </c>
      <c r="L167" s="5">
        <f t="shared" si="20"/>
        <v>11</v>
      </c>
      <c r="M167" s="5">
        <f t="shared" si="21"/>
        <v>2011</v>
      </c>
    </row>
    <row r="168" spans="1:13" ht="17.45" customHeight="1" x14ac:dyDescent="0.25">
      <c r="A168" s="1">
        <f>DATE(2011,11,13)</f>
        <v>40860</v>
      </c>
      <c r="B168" t="s">
        <v>21</v>
      </c>
      <c r="C168" t="s">
        <v>9</v>
      </c>
      <c r="D168" s="3">
        <v>195.84450000000001</v>
      </c>
      <c r="E168" s="3">
        <v>0</v>
      </c>
      <c r="F168" t="s">
        <v>45</v>
      </c>
      <c r="G168" s="3">
        <f t="shared" si="15"/>
        <v>-195.84450000000001</v>
      </c>
      <c r="H168" s="3">
        <f t="shared" si="16"/>
        <v>195.84450000000001</v>
      </c>
      <c r="I168" s="5" t="str">
        <f t="shared" si="17"/>
        <v>018</v>
      </c>
      <c r="J168" s="5" t="str">
        <f t="shared" si="18"/>
        <v>2220</v>
      </c>
      <c r="K168" s="5" t="str">
        <f t="shared" si="19"/>
        <v>000</v>
      </c>
      <c r="L168" s="5">
        <f t="shared" si="20"/>
        <v>11</v>
      </c>
      <c r="M168" s="5">
        <f t="shared" si="21"/>
        <v>2011</v>
      </c>
    </row>
    <row r="169" spans="1:13" ht="17.45" customHeight="1" x14ac:dyDescent="0.25">
      <c r="A169" s="1">
        <f>DATE(2011,11,13)</f>
        <v>40860</v>
      </c>
      <c r="B169" t="s">
        <v>22</v>
      </c>
      <c r="C169" t="s">
        <v>10</v>
      </c>
      <c r="D169" s="3">
        <v>57.381</v>
      </c>
      <c r="E169" s="3">
        <v>0</v>
      </c>
      <c r="F169" t="s">
        <v>45</v>
      </c>
      <c r="G169" s="3">
        <f t="shared" si="15"/>
        <v>-57.381</v>
      </c>
      <c r="H169" s="3">
        <f t="shared" si="16"/>
        <v>57.381</v>
      </c>
      <c r="I169" s="5" t="str">
        <f t="shared" si="17"/>
        <v>018</v>
      </c>
      <c r="J169" s="5" t="str">
        <f t="shared" si="18"/>
        <v>2230</v>
      </c>
      <c r="K169" s="5" t="str">
        <f t="shared" si="19"/>
        <v>000</v>
      </c>
      <c r="L169" s="5">
        <f t="shared" si="20"/>
        <v>11</v>
      </c>
      <c r="M169" s="5">
        <f t="shared" si="21"/>
        <v>2011</v>
      </c>
    </row>
    <row r="170" spans="1:13" ht="17.45" customHeight="1" x14ac:dyDescent="0.25">
      <c r="A170" s="1">
        <f>DATE(2011,11,14)</f>
        <v>40861</v>
      </c>
      <c r="B170" t="s">
        <v>11</v>
      </c>
      <c r="C170" t="s">
        <v>6</v>
      </c>
      <c r="D170" s="3">
        <v>1328.7959999999998</v>
      </c>
      <c r="E170" s="3">
        <v>0</v>
      </c>
      <c r="F170" t="s">
        <v>45</v>
      </c>
      <c r="G170" s="3">
        <f t="shared" si="15"/>
        <v>-1328.7959999999998</v>
      </c>
      <c r="H170" s="3">
        <f t="shared" si="16"/>
        <v>1328.7959999999998</v>
      </c>
      <c r="I170" s="5" t="str">
        <f t="shared" si="17"/>
        <v>016</v>
      </c>
      <c r="J170" s="5" t="str">
        <f t="shared" si="18"/>
        <v>2100</v>
      </c>
      <c r="K170" s="5" t="str">
        <f t="shared" si="19"/>
        <v>000</v>
      </c>
      <c r="L170" s="5">
        <f t="shared" si="20"/>
        <v>11</v>
      </c>
      <c r="M170" s="5">
        <f t="shared" si="21"/>
        <v>2011</v>
      </c>
    </row>
    <row r="171" spans="1:13" ht="17.45" customHeight="1" x14ac:dyDescent="0.25">
      <c r="A171" s="1">
        <f>DATE(2011,11,14)</f>
        <v>40861</v>
      </c>
      <c r="B171" t="s">
        <v>12</v>
      </c>
      <c r="C171" t="s">
        <v>8</v>
      </c>
      <c r="D171" s="3">
        <v>418.65100000000001</v>
      </c>
      <c r="E171" s="3">
        <v>0</v>
      </c>
      <c r="F171" t="s">
        <v>45</v>
      </c>
      <c r="G171" s="3">
        <f t="shared" si="15"/>
        <v>-418.65100000000001</v>
      </c>
      <c r="H171" s="3">
        <f t="shared" si="16"/>
        <v>418.65100000000001</v>
      </c>
      <c r="I171" s="5" t="str">
        <f t="shared" si="17"/>
        <v>016</v>
      </c>
      <c r="J171" s="5" t="str">
        <f t="shared" si="18"/>
        <v>2210</v>
      </c>
      <c r="K171" s="5" t="str">
        <f t="shared" si="19"/>
        <v>000</v>
      </c>
      <c r="L171" s="5">
        <f t="shared" si="20"/>
        <v>11</v>
      </c>
      <c r="M171" s="5">
        <f t="shared" si="21"/>
        <v>2011</v>
      </c>
    </row>
    <row r="172" spans="1:13" ht="17.45" customHeight="1" x14ac:dyDescent="0.25">
      <c r="A172" s="1">
        <f>DATE(2011,11,14)</f>
        <v>40861</v>
      </c>
      <c r="B172" t="s">
        <v>13</v>
      </c>
      <c r="C172" t="s">
        <v>9</v>
      </c>
      <c r="D172" s="3">
        <v>55.35</v>
      </c>
      <c r="E172" s="3">
        <v>0</v>
      </c>
      <c r="F172" t="s">
        <v>45</v>
      </c>
      <c r="G172" s="3">
        <f t="shared" si="15"/>
        <v>-55.35</v>
      </c>
      <c r="H172" s="3">
        <f t="shared" si="16"/>
        <v>55.35</v>
      </c>
      <c r="I172" s="5" t="str">
        <f t="shared" si="17"/>
        <v>016</v>
      </c>
      <c r="J172" s="5" t="str">
        <f t="shared" si="18"/>
        <v>2220</v>
      </c>
      <c r="K172" s="5" t="str">
        <f t="shared" si="19"/>
        <v>000</v>
      </c>
      <c r="L172" s="5">
        <f t="shared" si="20"/>
        <v>11</v>
      </c>
      <c r="M172" s="5">
        <f t="shared" si="21"/>
        <v>2011</v>
      </c>
    </row>
    <row r="173" spans="1:13" ht="17.45" customHeight="1" x14ac:dyDescent="0.25">
      <c r="A173" s="1">
        <f>DATE(2011,11,14)</f>
        <v>40861</v>
      </c>
      <c r="B173" t="s">
        <v>14</v>
      </c>
      <c r="C173" t="s">
        <v>10</v>
      </c>
      <c r="D173" s="3">
        <v>96.278000000000006</v>
      </c>
      <c r="E173" s="3">
        <v>0</v>
      </c>
      <c r="F173" t="s">
        <v>45</v>
      </c>
      <c r="G173" s="3">
        <f t="shared" si="15"/>
        <v>-96.278000000000006</v>
      </c>
      <c r="H173" s="3">
        <f t="shared" si="16"/>
        <v>96.278000000000006</v>
      </c>
      <c r="I173" s="5" t="str">
        <f t="shared" si="17"/>
        <v>016</v>
      </c>
      <c r="J173" s="5" t="str">
        <f t="shared" si="18"/>
        <v>2230</v>
      </c>
      <c r="K173" s="5" t="str">
        <f t="shared" si="19"/>
        <v>000</v>
      </c>
      <c r="L173" s="5">
        <f t="shared" si="20"/>
        <v>11</v>
      </c>
      <c r="M173" s="5">
        <f t="shared" si="21"/>
        <v>2011</v>
      </c>
    </row>
    <row r="174" spans="1:13" ht="17.45" customHeight="1" x14ac:dyDescent="0.25">
      <c r="A174" s="1">
        <f>DATE(2011,11,15)</f>
        <v>40862</v>
      </c>
      <c r="B174" t="s">
        <v>11</v>
      </c>
      <c r="C174" t="s">
        <v>6</v>
      </c>
      <c r="D174" s="3">
        <v>2059.9733000000001</v>
      </c>
      <c r="E174" s="3">
        <v>0</v>
      </c>
      <c r="F174" t="s">
        <v>45</v>
      </c>
      <c r="G174" s="3">
        <f t="shared" si="15"/>
        <v>-2059.9733000000001</v>
      </c>
      <c r="H174" s="3">
        <f t="shared" si="16"/>
        <v>2059.9733000000001</v>
      </c>
      <c r="I174" s="5" t="str">
        <f t="shared" si="17"/>
        <v>016</v>
      </c>
      <c r="J174" s="5" t="str">
        <f t="shared" si="18"/>
        <v>2100</v>
      </c>
      <c r="K174" s="5" t="str">
        <f t="shared" si="19"/>
        <v>000</v>
      </c>
      <c r="L174" s="5">
        <f t="shared" si="20"/>
        <v>11</v>
      </c>
      <c r="M174" s="5">
        <f t="shared" si="21"/>
        <v>2011</v>
      </c>
    </row>
    <row r="175" spans="1:13" ht="17.45" customHeight="1" x14ac:dyDescent="0.25">
      <c r="A175" s="1">
        <f>DATE(2011,11,15)</f>
        <v>40862</v>
      </c>
      <c r="B175" t="s">
        <v>12</v>
      </c>
      <c r="C175" t="s">
        <v>8</v>
      </c>
      <c r="D175" s="3">
        <v>335.23750000000001</v>
      </c>
      <c r="E175" s="3">
        <v>0</v>
      </c>
      <c r="F175" t="s">
        <v>45</v>
      </c>
      <c r="G175" s="3">
        <f t="shared" si="15"/>
        <v>-335.23750000000001</v>
      </c>
      <c r="H175" s="3">
        <f t="shared" si="16"/>
        <v>335.23750000000001</v>
      </c>
      <c r="I175" s="5" t="str">
        <f t="shared" si="17"/>
        <v>016</v>
      </c>
      <c r="J175" s="5" t="str">
        <f t="shared" si="18"/>
        <v>2210</v>
      </c>
      <c r="K175" s="5" t="str">
        <f t="shared" si="19"/>
        <v>000</v>
      </c>
      <c r="L175" s="5">
        <f t="shared" si="20"/>
        <v>11</v>
      </c>
      <c r="M175" s="5">
        <f t="shared" si="21"/>
        <v>2011</v>
      </c>
    </row>
    <row r="176" spans="1:13" ht="17.45" customHeight="1" x14ac:dyDescent="0.25">
      <c r="A176" s="1">
        <f>DATE(2011,11,15)</f>
        <v>40862</v>
      </c>
      <c r="B176" t="s">
        <v>13</v>
      </c>
      <c r="C176" t="s">
        <v>9</v>
      </c>
      <c r="D176" s="3">
        <v>88</v>
      </c>
      <c r="E176" s="3">
        <v>0</v>
      </c>
      <c r="F176" t="s">
        <v>45</v>
      </c>
      <c r="G176" s="3">
        <f t="shared" si="15"/>
        <v>-88</v>
      </c>
      <c r="H176" s="3">
        <f t="shared" si="16"/>
        <v>88</v>
      </c>
      <c r="I176" s="5" t="str">
        <f t="shared" si="17"/>
        <v>016</v>
      </c>
      <c r="J176" s="5" t="str">
        <f t="shared" si="18"/>
        <v>2220</v>
      </c>
      <c r="K176" s="5" t="str">
        <f t="shared" si="19"/>
        <v>000</v>
      </c>
      <c r="L176" s="5">
        <f t="shared" si="20"/>
        <v>11</v>
      </c>
      <c r="M176" s="5">
        <f t="shared" si="21"/>
        <v>2011</v>
      </c>
    </row>
    <row r="177" spans="1:13" ht="17.45" customHeight="1" x14ac:dyDescent="0.25">
      <c r="A177" s="1">
        <f>DATE(2011,11,15)</f>
        <v>40862</v>
      </c>
      <c r="B177" t="s">
        <v>14</v>
      </c>
      <c r="C177" t="s">
        <v>10</v>
      </c>
      <c r="D177" s="3">
        <v>59.940000000000005</v>
      </c>
      <c r="E177" s="3">
        <v>0</v>
      </c>
      <c r="F177" t="s">
        <v>45</v>
      </c>
      <c r="G177" s="3">
        <f t="shared" si="15"/>
        <v>-59.940000000000005</v>
      </c>
      <c r="H177" s="3">
        <f t="shared" si="16"/>
        <v>59.940000000000005</v>
      </c>
      <c r="I177" s="5" t="str">
        <f t="shared" si="17"/>
        <v>016</v>
      </c>
      <c r="J177" s="5" t="str">
        <f t="shared" si="18"/>
        <v>2230</v>
      </c>
      <c r="K177" s="5" t="str">
        <f t="shared" si="19"/>
        <v>000</v>
      </c>
      <c r="L177" s="5">
        <f t="shared" si="20"/>
        <v>11</v>
      </c>
      <c r="M177" s="5">
        <f t="shared" si="21"/>
        <v>2011</v>
      </c>
    </row>
    <row r="178" spans="1:13" ht="17.45" customHeight="1" x14ac:dyDescent="0.25">
      <c r="A178" s="1">
        <f>DATE(2011,11,16)</f>
        <v>40863</v>
      </c>
      <c r="B178" t="s">
        <v>11</v>
      </c>
      <c r="C178" t="s">
        <v>6</v>
      </c>
      <c r="D178" s="3">
        <v>2997.1739999999995</v>
      </c>
      <c r="E178" s="3">
        <v>0</v>
      </c>
      <c r="F178" t="s">
        <v>45</v>
      </c>
      <c r="G178" s="3">
        <f t="shared" si="15"/>
        <v>-2997.1739999999995</v>
      </c>
      <c r="H178" s="3">
        <f t="shared" si="16"/>
        <v>2997.1739999999995</v>
      </c>
      <c r="I178" s="5" t="str">
        <f t="shared" si="17"/>
        <v>016</v>
      </c>
      <c r="J178" s="5" t="str">
        <f t="shared" si="18"/>
        <v>2100</v>
      </c>
      <c r="K178" s="5" t="str">
        <f t="shared" si="19"/>
        <v>000</v>
      </c>
      <c r="L178" s="5">
        <f t="shared" si="20"/>
        <v>11</v>
      </c>
      <c r="M178" s="5">
        <f t="shared" si="21"/>
        <v>2011</v>
      </c>
    </row>
    <row r="179" spans="1:13" ht="17.45" customHeight="1" x14ac:dyDescent="0.25">
      <c r="A179" s="1">
        <f>DATE(2011,11,16)</f>
        <v>40863</v>
      </c>
      <c r="B179" t="s">
        <v>12</v>
      </c>
      <c r="C179" t="s">
        <v>8</v>
      </c>
      <c r="D179" s="3">
        <v>1801.9124999999999</v>
      </c>
      <c r="E179" s="3">
        <v>0</v>
      </c>
      <c r="F179" t="s">
        <v>45</v>
      </c>
      <c r="G179" s="3">
        <f t="shared" si="15"/>
        <v>-1801.9124999999999</v>
      </c>
      <c r="H179" s="3">
        <f t="shared" si="16"/>
        <v>1801.9124999999999</v>
      </c>
      <c r="I179" s="5" t="str">
        <f t="shared" si="17"/>
        <v>016</v>
      </c>
      <c r="J179" s="5" t="str">
        <f t="shared" si="18"/>
        <v>2210</v>
      </c>
      <c r="K179" s="5" t="str">
        <f t="shared" si="19"/>
        <v>000</v>
      </c>
      <c r="L179" s="5">
        <f t="shared" si="20"/>
        <v>11</v>
      </c>
      <c r="M179" s="5">
        <f t="shared" si="21"/>
        <v>2011</v>
      </c>
    </row>
    <row r="180" spans="1:13" ht="17.45" customHeight="1" x14ac:dyDescent="0.25">
      <c r="A180" s="1">
        <f>DATE(2011,11,16)</f>
        <v>40863</v>
      </c>
      <c r="B180" t="s">
        <v>13</v>
      </c>
      <c r="C180" t="s">
        <v>9</v>
      </c>
      <c r="D180" s="3">
        <v>255.47399999999996</v>
      </c>
      <c r="E180" s="3">
        <v>0</v>
      </c>
      <c r="F180" t="s">
        <v>45</v>
      </c>
      <c r="G180" s="3">
        <f t="shared" si="15"/>
        <v>-255.47399999999996</v>
      </c>
      <c r="H180" s="3">
        <f t="shared" si="16"/>
        <v>255.47399999999996</v>
      </c>
      <c r="I180" s="5" t="str">
        <f t="shared" si="17"/>
        <v>016</v>
      </c>
      <c r="J180" s="5" t="str">
        <f t="shared" si="18"/>
        <v>2220</v>
      </c>
      <c r="K180" s="5" t="str">
        <f t="shared" si="19"/>
        <v>000</v>
      </c>
      <c r="L180" s="5">
        <f t="shared" si="20"/>
        <v>11</v>
      </c>
      <c r="M180" s="5">
        <f t="shared" si="21"/>
        <v>2011</v>
      </c>
    </row>
    <row r="181" spans="1:13" ht="17.45" customHeight="1" x14ac:dyDescent="0.25">
      <c r="A181" s="1">
        <f>DATE(2011,11,16)</f>
        <v>40863</v>
      </c>
      <c r="B181" t="s">
        <v>14</v>
      </c>
      <c r="C181" t="s">
        <v>10</v>
      </c>
      <c r="D181" s="3">
        <v>228.45899999999997</v>
      </c>
      <c r="E181" s="3">
        <v>0</v>
      </c>
      <c r="F181" t="s">
        <v>45</v>
      </c>
      <c r="G181" s="3">
        <f t="shared" si="15"/>
        <v>-228.45899999999997</v>
      </c>
      <c r="H181" s="3">
        <f t="shared" si="16"/>
        <v>228.45899999999997</v>
      </c>
      <c r="I181" s="5" t="str">
        <f t="shared" si="17"/>
        <v>016</v>
      </c>
      <c r="J181" s="5" t="str">
        <f t="shared" si="18"/>
        <v>2230</v>
      </c>
      <c r="K181" s="5" t="str">
        <f t="shared" si="19"/>
        <v>000</v>
      </c>
      <c r="L181" s="5">
        <f t="shared" si="20"/>
        <v>11</v>
      </c>
      <c r="M181" s="5">
        <f t="shared" si="21"/>
        <v>2011</v>
      </c>
    </row>
    <row r="182" spans="1:13" ht="17.45" customHeight="1" x14ac:dyDescent="0.25">
      <c r="A182" s="1">
        <f>DATE(2011,11,17)</f>
        <v>40864</v>
      </c>
      <c r="B182" t="s">
        <v>11</v>
      </c>
      <c r="C182" t="s">
        <v>6</v>
      </c>
      <c r="D182" s="3">
        <v>2401.7802999999999</v>
      </c>
      <c r="E182" s="3">
        <v>0</v>
      </c>
      <c r="F182" t="s">
        <v>45</v>
      </c>
      <c r="G182" s="3">
        <f t="shared" si="15"/>
        <v>-2401.7802999999999</v>
      </c>
      <c r="H182" s="3">
        <f t="shared" si="16"/>
        <v>2401.7802999999999</v>
      </c>
      <c r="I182" s="5" t="str">
        <f t="shared" si="17"/>
        <v>016</v>
      </c>
      <c r="J182" s="5" t="str">
        <f t="shared" si="18"/>
        <v>2100</v>
      </c>
      <c r="K182" s="5" t="str">
        <f t="shared" si="19"/>
        <v>000</v>
      </c>
      <c r="L182" s="5">
        <f t="shared" si="20"/>
        <v>11</v>
      </c>
      <c r="M182" s="5">
        <f t="shared" si="21"/>
        <v>2011</v>
      </c>
    </row>
    <row r="183" spans="1:13" ht="17.45" customHeight="1" x14ac:dyDescent="0.25">
      <c r="A183" s="1">
        <f>DATE(2011,11,17)</f>
        <v>40864</v>
      </c>
      <c r="B183" t="s">
        <v>12</v>
      </c>
      <c r="C183" t="s">
        <v>8</v>
      </c>
      <c r="D183" s="3">
        <v>540.88250000000005</v>
      </c>
      <c r="E183" s="3">
        <v>0</v>
      </c>
      <c r="F183" t="s">
        <v>45</v>
      </c>
      <c r="G183" s="3">
        <f t="shared" si="15"/>
        <v>-540.88250000000005</v>
      </c>
      <c r="H183" s="3">
        <f t="shared" si="16"/>
        <v>540.88250000000005</v>
      </c>
      <c r="I183" s="5" t="str">
        <f t="shared" si="17"/>
        <v>016</v>
      </c>
      <c r="J183" s="5" t="str">
        <f t="shared" si="18"/>
        <v>2210</v>
      </c>
      <c r="K183" s="5" t="str">
        <f t="shared" si="19"/>
        <v>000</v>
      </c>
      <c r="L183" s="5">
        <f t="shared" si="20"/>
        <v>11</v>
      </c>
      <c r="M183" s="5">
        <f t="shared" si="21"/>
        <v>2011</v>
      </c>
    </row>
    <row r="184" spans="1:13" ht="17.45" customHeight="1" x14ac:dyDescent="0.25">
      <c r="A184" s="1">
        <f>DATE(2011,11,17)</f>
        <v>40864</v>
      </c>
      <c r="B184" t="s">
        <v>13</v>
      </c>
      <c r="C184" t="s">
        <v>9</v>
      </c>
      <c r="D184" s="3">
        <v>225.29250000000002</v>
      </c>
      <c r="E184" s="3">
        <v>0</v>
      </c>
      <c r="F184" t="s">
        <v>45</v>
      </c>
      <c r="G184" s="3">
        <f t="shared" si="15"/>
        <v>-225.29250000000002</v>
      </c>
      <c r="H184" s="3">
        <f t="shared" si="16"/>
        <v>225.29250000000002</v>
      </c>
      <c r="I184" s="5" t="str">
        <f t="shared" si="17"/>
        <v>016</v>
      </c>
      <c r="J184" s="5" t="str">
        <f t="shared" si="18"/>
        <v>2220</v>
      </c>
      <c r="K184" s="5" t="str">
        <f t="shared" si="19"/>
        <v>000</v>
      </c>
      <c r="L184" s="5">
        <f t="shared" si="20"/>
        <v>11</v>
      </c>
      <c r="M184" s="5">
        <f t="shared" si="21"/>
        <v>2011</v>
      </c>
    </row>
    <row r="185" spans="1:13" ht="17.45" customHeight="1" x14ac:dyDescent="0.25">
      <c r="A185" s="1">
        <f>DATE(2011,11,17)</f>
        <v>40864</v>
      </c>
      <c r="B185" t="s">
        <v>14</v>
      </c>
      <c r="C185" t="s">
        <v>10</v>
      </c>
      <c r="D185" s="3">
        <v>51.051000000000002</v>
      </c>
      <c r="E185" s="3">
        <v>0</v>
      </c>
      <c r="F185" t="s">
        <v>45</v>
      </c>
      <c r="G185" s="3">
        <f t="shared" si="15"/>
        <v>-51.051000000000002</v>
      </c>
      <c r="H185" s="3">
        <f t="shared" si="16"/>
        <v>51.051000000000002</v>
      </c>
      <c r="I185" s="5" t="str">
        <f t="shared" si="17"/>
        <v>016</v>
      </c>
      <c r="J185" s="5" t="str">
        <f t="shared" si="18"/>
        <v>2230</v>
      </c>
      <c r="K185" s="5" t="str">
        <f t="shared" si="19"/>
        <v>000</v>
      </c>
      <c r="L185" s="5">
        <f t="shared" si="20"/>
        <v>11</v>
      </c>
      <c r="M185" s="5">
        <f t="shared" si="21"/>
        <v>2011</v>
      </c>
    </row>
    <row r="186" spans="1:13" ht="17.45" customHeight="1" x14ac:dyDescent="0.25">
      <c r="A186" s="1">
        <f>DATE(2011,11,18)</f>
        <v>40865</v>
      </c>
      <c r="B186" t="s">
        <v>11</v>
      </c>
      <c r="C186" t="s">
        <v>6</v>
      </c>
      <c r="D186" s="3">
        <v>7170.4767000000002</v>
      </c>
      <c r="E186" s="3">
        <v>0</v>
      </c>
      <c r="F186" t="s">
        <v>45</v>
      </c>
      <c r="G186" s="3">
        <f t="shared" si="15"/>
        <v>-7170.4767000000002</v>
      </c>
      <c r="H186" s="3">
        <f t="shared" si="16"/>
        <v>7170.4767000000002</v>
      </c>
      <c r="I186" s="5" t="str">
        <f t="shared" si="17"/>
        <v>016</v>
      </c>
      <c r="J186" s="5" t="str">
        <f t="shared" si="18"/>
        <v>2100</v>
      </c>
      <c r="K186" s="5" t="str">
        <f t="shared" si="19"/>
        <v>000</v>
      </c>
      <c r="L186" s="5">
        <f t="shared" si="20"/>
        <v>11</v>
      </c>
      <c r="M186" s="5">
        <f t="shared" si="21"/>
        <v>2011</v>
      </c>
    </row>
    <row r="187" spans="1:13" ht="17.45" customHeight="1" x14ac:dyDescent="0.25">
      <c r="A187" s="1">
        <f>DATE(2011,11,18)</f>
        <v>40865</v>
      </c>
      <c r="B187" t="s">
        <v>12</v>
      </c>
      <c r="C187" t="s">
        <v>8</v>
      </c>
      <c r="D187" s="3">
        <v>2862.4935</v>
      </c>
      <c r="E187" s="3">
        <v>0</v>
      </c>
      <c r="F187" t="s">
        <v>45</v>
      </c>
      <c r="G187" s="3">
        <f t="shared" si="15"/>
        <v>-2862.4935</v>
      </c>
      <c r="H187" s="3">
        <f t="shared" si="16"/>
        <v>2862.4935</v>
      </c>
      <c r="I187" s="5" t="str">
        <f t="shared" si="17"/>
        <v>016</v>
      </c>
      <c r="J187" s="5" t="str">
        <f t="shared" si="18"/>
        <v>2210</v>
      </c>
      <c r="K187" s="5" t="str">
        <f t="shared" si="19"/>
        <v>000</v>
      </c>
      <c r="L187" s="5">
        <f t="shared" si="20"/>
        <v>11</v>
      </c>
      <c r="M187" s="5">
        <f t="shared" si="21"/>
        <v>2011</v>
      </c>
    </row>
    <row r="188" spans="1:13" ht="17.45" customHeight="1" x14ac:dyDescent="0.25">
      <c r="A188" s="1">
        <f>DATE(2011,11,18)</f>
        <v>40865</v>
      </c>
      <c r="B188" t="s">
        <v>13</v>
      </c>
      <c r="C188" t="s">
        <v>9</v>
      </c>
      <c r="D188" s="3">
        <v>463.8075</v>
      </c>
      <c r="E188" s="3">
        <v>0</v>
      </c>
      <c r="F188" t="s">
        <v>45</v>
      </c>
      <c r="G188" s="3">
        <f t="shared" si="15"/>
        <v>-463.8075</v>
      </c>
      <c r="H188" s="3">
        <f t="shared" si="16"/>
        <v>463.8075</v>
      </c>
      <c r="I188" s="5" t="str">
        <f t="shared" si="17"/>
        <v>016</v>
      </c>
      <c r="J188" s="5" t="str">
        <f t="shared" si="18"/>
        <v>2220</v>
      </c>
      <c r="K188" s="5" t="str">
        <f t="shared" si="19"/>
        <v>000</v>
      </c>
      <c r="L188" s="5">
        <f t="shared" si="20"/>
        <v>11</v>
      </c>
      <c r="M188" s="5">
        <f t="shared" si="21"/>
        <v>2011</v>
      </c>
    </row>
    <row r="189" spans="1:13" ht="17.45" customHeight="1" x14ac:dyDescent="0.25">
      <c r="A189" s="1">
        <f>DATE(2011,11,18)</f>
        <v>40865</v>
      </c>
      <c r="B189" t="s">
        <v>14</v>
      </c>
      <c r="C189" t="s">
        <v>10</v>
      </c>
      <c r="D189" s="3">
        <v>174.72549999999998</v>
      </c>
      <c r="E189" s="3">
        <v>0</v>
      </c>
      <c r="F189" t="s">
        <v>45</v>
      </c>
      <c r="G189" s="3">
        <f t="shared" si="15"/>
        <v>-174.72549999999998</v>
      </c>
      <c r="H189" s="3">
        <f t="shared" si="16"/>
        <v>174.72549999999998</v>
      </c>
      <c r="I189" s="5" t="str">
        <f t="shared" si="17"/>
        <v>016</v>
      </c>
      <c r="J189" s="5" t="str">
        <f t="shared" si="18"/>
        <v>2230</v>
      </c>
      <c r="K189" s="5" t="str">
        <f t="shared" si="19"/>
        <v>000</v>
      </c>
      <c r="L189" s="5">
        <f t="shared" si="20"/>
        <v>11</v>
      </c>
      <c r="M189" s="5">
        <f t="shared" si="21"/>
        <v>2011</v>
      </c>
    </row>
    <row r="190" spans="1:13" ht="17.45" customHeight="1" x14ac:dyDescent="0.25">
      <c r="A190" s="1">
        <f>DATE(2011,11,19)</f>
        <v>40866</v>
      </c>
      <c r="B190" t="s">
        <v>11</v>
      </c>
      <c r="C190" t="s">
        <v>6</v>
      </c>
      <c r="D190" s="3">
        <v>8952.8075000000008</v>
      </c>
      <c r="E190" s="3">
        <v>0</v>
      </c>
      <c r="F190" t="s">
        <v>45</v>
      </c>
      <c r="G190" s="3">
        <f t="shared" si="15"/>
        <v>-8952.8075000000008</v>
      </c>
      <c r="H190" s="3">
        <f t="shared" si="16"/>
        <v>8952.8075000000008</v>
      </c>
      <c r="I190" s="5" t="str">
        <f t="shared" si="17"/>
        <v>016</v>
      </c>
      <c r="J190" s="5" t="str">
        <f t="shared" si="18"/>
        <v>2100</v>
      </c>
      <c r="K190" s="5" t="str">
        <f t="shared" si="19"/>
        <v>000</v>
      </c>
      <c r="L190" s="5">
        <f t="shared" si="20"/>
        <v>11</v>
      </c>
      <c r="M190" s="5">
        <f t="shared" si="21"/>
        <v>2011</v>
      </c>
    </row>
    <row r="191" spans="1:13" ht="17.45" customHeight="1" x14ac:dyDescent="0.25">
      <c r="A191" s="1">
        <f>DATE(2011,11,19)</f>
        <v>40866</v>
      </c>
      <c r="B191" t="s">
        <v>12</v>
      </c>
      <c r="C191" t="s">
        <v>8</v>
      </c>
      <c r="D191" s="3">
        <v>1845.3500000000001</v>
      </c>
      <c r="E191" s="3">
        <v>0</v>
      </c>
      <c r="F191" t="s">
        <v>45</v>
      </c>
      <c r="G191" s="3">
        <f t="shared" si="15"/>
        <v>-1845.3500000000001</v>
      </c>
      <c r="H191" s="3">
        <f t="shared" si="16"/>
        <v>1845.3500000000001</v>
      </c>
      <c r="I191" s="5" t="str">
        <f t="shared" si="17"/>
        <v>016</v>
      </c>
      <c r="J191" s="5" t="str">
        <f t="shared" si="18"/>
        <v>2210</v>
      </c>
      <c r="K191" s="5" t="str">
        <f t="shared" si="19"/>
        <v>000</v>
      </c>
      <c r="L191" s="5">
        <f t="shared" si="20"/>
        <v>11</v>
      </c>
      <c r="M191" s="5">
        <f t="shared" si="21"/>
        <v>2011</v>
      </c>
    </row>
    <row r="192" spans="1:13" ht="17.45" customHeight="1" x14ac:dyDescent="0.25">
      <c r="A192" s="1">
        <f>DATE(2011,11,19)</f>
        <v>40866</v>
      </c>
      <c r="B192" t="s">
        <v>13</v>
      </c>
      <c r="C192" t="s">
        <v>9</v>
      </c>
      <c r="D192" s="3">
        <v>315.40049999999997</v>
      </c>
      <c r="E192" s="3">
        <v>0</v>
      </c>
      <c r="F192" t="s">
        <v>45</v>
      </c>
      <c r="G192" s="3">
        <f t="shared" si="15"/>
        <v>-315.40049999999997</v>
      </c>
      <c r="H192" s="3">
        <f t="shared" si="16"/>
        <v>315.40049999999997</v>
      </c>
      <c r="I192" s="5" t="str">
        <f t="shared" si="17"/>
        <v>016</v>
      </c>
      <c r="J192" s="5" t="str">
        <f t="shared" si="18"/>
        <v>2220</v>
      </c>
      <c r="K192" s="5" t="str">
        <f t="shared" si="19"/>
        <v>000</v>
      </c>
      <c r="L192" s="5">
        <f t="shared" si="20"/>
        <v>11</v>
      </c>
      <c r="M192" s="5">
        <f t="shared" si="21"/>
        <v>2011</v>
      </c>
    </row>
    <row r="193" spans="1:13" ht="17.45" customHeight="1" x14ac:dyDescent="0.25">
      <c r="A193" s="1">
        <f>DATE(2011,11,19)</f>
        <v>40866</v>
      </c>
      <c r="B193" t="s">
        <v>14</v>
      </c>
      <c r="C193" t="s">
        <v>10</v>
      </c>
      <c r="D193" s="3">
        <v>260.59100000000001</v>
      </c>
      <c r="E193" s="3">
        <v>0</v>
      </c>
      <c r="F193" t="s">
        <v>45</v>
      </c>
      <c r="G193" s="3">
        <f t="shared" si="15"/>
        <v>-260.59100000000001</v>
      </c>
      <c r="H193" s="3">
        <f t="shared" si="16"/>
        <v>260.59100000000001</v>
      </c>
      <c r="I193" s="5" t="str">
        <f t="shared" si="17"/>
        <v>016</v>
      </c>
      <c r="J193" s="5" t="str">
        <f t="shared" si="18"/>
        <v>2230</v>
      </c>
      <c r="K193" s="5" t="str">
        <f t="shared" si="19"/>
        <v>000</v>
      </c>
      <c r="L193" s="5">
        <f t="shared" si="20"/>
        <v>11</v>
      </c>
      <c r="M193" s="5">
        <f t="shared" si="21"/>
        <v>2011</v>
      </c>
    </row>
    <row r="194" spans="1:13" ht="17.45" customHeight="1" x14ac:dyDescent="0.25">
      <c r="A194" s="1">
        <f>DATE(2011,11,20)</f>
        <v>40867</v>
      </c>
      <c r="B194" t="s">
        <v>11</v>
      </c>
      <c r="C194" t="s">
        <v>6</v>
      </c>
      <c r="D194" s="3">
        <v>5052.6360999999997</v>
      </c>
      <c r="E194" s="3">
        <v>0</v>
      </c>
      <c r="F194" t="s">
        <v>45</v>
      </c>
      <c r="G194" s="3">
        <f t="shared" ref="G194:G257" si="22">E194-D194</f>
        <v>-5052.6360999999997</v>
      </c>
      <c r="H194" s="3">
        <f t="shared" ref="H194:H257" si="23">ABS(G194)</f>
        <v>5052.6360999999997</v>
      </c>
      <c r="I194" s="5" t="str">
        <f t="shared" ref="I194:I257" si="24">MID(B194,1,3)</f>
        <v>016</v>
      </c>
      <c r="J194" s="5" t="str">
        <f t="shared" ref="J194:J257" si="25">MID(B194,5,4)</f>
        <v>2100</v>
      </c>
      <c r="K194" s="5" t="str">
        <f t="shared" ref="K194:K257" si="26">MID(B194,10,3)</f>
        <v>000</v>
      </c>
      <c r="L194" s="5">
        <f t="shared" ref="L194:L257" si="27">MONTH(A194)</f>
        <v>11</v>
      </c>
      <c r="M194" s="5">
        <f t="shared" ref="M194:M257" si="28">YEAR(A194)</f>
        <v>2011</v>
      </c>
    </row>
    <row r="195" spans="1:13" ht="17.45" customHeight="1" x14ac:dyDescent="0.25">
      <c r="A195" s="1">
        <f>DATE(2011,11,20)</f>
        <v>40867</v>
      </c>
      <c r="B195" t="s">
        <v>12</v>
      </c>
      <c r="C195" t="s">
        <v>8</v>
      </c>
      <c r="D195" s="3">
        <v>1410.13</v>
      </c>
      <c r="E195" s="3">
        <v>0</v>
      </c>
      <c r="F195" t="s">
        <v>45</v>
      </c>
      <c r="G195" s="3">
        <f t="shared" si="22"/>
        <v>-1410.13</v>
      </c>
      <c r="H195" s="3">
        <f t="shared" si="23"/>
        <v>1410.13</v>
      </c>
      <c r="I195" s="5" t="str">
        <f t="shared" si="24"/>
        <v>016</v>
      </c>
      <c r="J195" s="5" t="str">
        <f t="shared" si="25"/>
        <v>2210</v>
      </c>
      <c r="K195" s="5" t="str">
        <f t="shared" si="26"/>
        <v>000</v>
      </c>
      <c r="L195" s="5">
        <f t="shared" si="27"/>
        <v>11</v>
      </c>
      <c r="M195" s="5">
        <f t="shared" si="28"/>
        <v>2011</v>
      </c>
    </row>
    <row r="196" spans="1:13" ht="17.45" customHeight="1" x14ac:dyDescent="0.25">
      <c r="A196" s="1">
        <f>DATE(2011,11,20)</f>
        <v>40867</v>
      </c>
      <c r="B196" t="s">
        <v>13</v>
      </c>
      <c r="C196" t="s">
        <v>9</v>
      </c>
      <c r="D196" s="3">
        <v>573.84</v>
      </c>
      <c r="E196" s="3">
        <v>0</v>
      </c>
      <c r="F196" t="s">
        <v>45</v>
      </c>
      <c r="G196" s="3">
        <f t="shared" si="22"/>
        <v>-573.84</v>
      </c>
      <c r="H196" s="3">
        <f t="shared" si="23"/>
        <v>573.84</v>
      </c>
      <c r="I196" s="5" t="str">
        <f t="shared" si="24"/>
        <v>016</v>
      </c>
      <c r="J196" s="5" t="str">
        <f t="shared" si="25"/>
        <v>2220</v>
      </c>
      <c r="K196" s="5" t="str">
        <f t="shared" si="26"/>
        <v>000</v>
      </c>
      <c r="L196" s="5">
        <f t="shared" si="27"/>
        <v>11</v>
      </c>
      <c r="M196" s="5">
        <f t="shared" si="28"/>
        <v>2011</v>
      </c>
    </row>
    <row r="197" spans="1:13" ht="17.45" customHeight="1" x14ac:dyDescent="0.25">
      <c r="A197" s="1">
        <f>DATE(2011,11,20)</f>
        <v>40867</v>
      </c>
      <c r="B197" t="s">
        <v>14</v>
      </c>
      <c r="C197" t="s">
        <v>10</v>
      </c>
      <c r="D197" s="3">
        <v>494.73000000000008</v>
      </c>
      <c r="E197" s="3">
        <v>0</v>
      </c>
      <c r="F197" t="s">
        <v>45</v>
      </c>
      <c r="G197" s="3">
        <f t="shared" si="22"/>
        <v>-494.73000000000008</v>
      </c>
      <c r="H197" s="3">
        <f t="shared" si="23"/>
        <v>494.73000000000008</v>
      </c>
      <c r="I197" s="5" t="str">
        <f t="shared" si="24"/>
        <v>016</v>
      </c>
      <c r="J197" s="5" t="str">
        <f t="shared" si="25"/>
        <v>2230</v>
      </c>
      <c r="K197" s="5" t="str">
        <f t="shared" si="26"/>
        <v>000</v>
      </c>
      <c r="L197" s="5">
        <f t="shared" si="27"/>
        <v>11</v>
      </c>
      <c r="M197" s="5">
        <f t="shared" si="28"/>
        <v>2011</v>
      </c>
    </row>
    <row r="198" spans="1:13" ht="17.45" customHeight="1" x14ac:dyDescent="0.25">
      <c r="A198" s="1">
        <f>DATE(2011,11,14)</f>
        <v>40861</v>
      </c>
      <c r="B198" t="s">
        <v>15</v>
      </c>
      <c r="C198" t="s">
        <v>6</v>
      </c>
      <c r="D198" s="3">
        <v>4416.9920000000002</v>
      </c>
      <c r="E198" s="3">
        <v>0</v>
      </c>
      <c r="F198" t="s">
        <v>45</v>
      </c>
      <c r="G198" s="3">
        <f t="shared" si="22"/>
        <v>-4416.9920000000002</v>
      </c>
      <c r="H198" s="3">
        <f t="shared" si="23"/>
        <v>4416.9920000000002</v>
      </c>
      <c r="I198" s="5" t="str">
        <f t="shared" si="24"/>
        <v>017</v>
      </c>
      <c r="J198" s="5" t="str">
        <f t="shared" si="25"/>
        <v>2100</v>
      </c>
      <c r="K198" s="5" t="str">
        <f t="shared" si="26"/>
        <v>000</v>
      </c>
      <c r="L198" s="5">
        <f t="shared" si="27"/>
        <v>11</v>
      </c>
      <c r="M198" s="5">
        <f t="shared" si="28"/>
        <v>2011</v>
      </c>
    </row>
    <row r="199" spans="1:13" ht="17.45" customHeight="1" x14ac:dyDescent="0.25">
      <c r="A199" s="1">
        <f>DATE(2011,11,14)</f>
        <v>40861</v>
      </c>
      <c r="B199" t="s">
        <v>16</v>
      </c>
      <c r="C199" t="s">
        <v>8</v>
      </c>
      <c r="D199" s="3">
        <v>825.19199999999989</v>
      </c>
      <c r="E199" s="3">
        <v>0</v>
      </c>
      <c r="F199" t="s">
        <v>45</v>
      </c>
      <c r="G199" s="3">
        <f t="shared" si="22"/>
        <v>-825.19199999999989</v>
      </c>
      <c r="H199" s="3">
        <f t="shared" si="23"/>
        <v>825.19199999999989</v>
      </c>
      <c r="I199" s="5" t="str">
        <f t="shared" si="24"/>
        <v>017</v>
      </c>
      <c r="J199" s="5" t="str">
        <f t="shared" si="25"/>
        <v>2210</v>
      </c>
      <c r="K199" s="5" t="str">
        <f t="shared" si="26"/>
        <v>000</v>
      </c>
      <c r="L199" s="5">
        <f t="shared" si="27"/>
        <v>11</v>
      </c>
      <c r="M199" s="5">
        <f t="shared" si="28"/>
        <v>2011</v>
      </c>
    </row>
    <row r="200" spans="1:13" ht="17.45" customHeight="1" x14ac:dyDescent="0.25">
      <c r="A200" s="1">
        <f>DATE(2011,11,14)</f>
        <v>40861</v>
      </c>
      <c r="B200" t="s">
        <v>17</v>
      </c>
      <c r="C200" t="s">
        <v>9</v>
      </c>
      <c r="D200" s="3">
        <v>518.52</v>
      </c>
      <c r="E200" s="3">
        <v>0</v>
      </c>
      <c r="F200" t="s">
        <v>45</v>
      </c>
      <c r="G200" s="3">
        <f t="shared" si="22"/>
        <v>-518.52</v>
      </c>
      <c r="H200" s="3">
        <f t="shared" si="23"/>
        <v>518.52</v>
      </c>
      <c r="I200" s="5" t="str">
        <f t="shared" si="24"/>
        <v>017</v>
      </c>
      <c r="J200" s="5" t="str">
        <f t="shared" si="25"/>
        <v>2220</v>
      </c>
      <c r="K200" s="5" t="str">
        <f t="shared" si="26"/>
        <v>000</v>
      </c>
      <c r="L200" s="5">
        <f t="shared" si="27"/>
        <v>11</v>
      </c>
      <c r="M200" s="5">
        <f t="shared" si="28"/>
        <v>2011</v>
      </c>
    </row>
    <row r="201" spans="1:13" ht="17.45" customHeight="1" x14ac:dyDescent="0.25">
      <c r="A201" s="1">
        <f>DATE(2011,11,14)</f>
        <v>40861</v>
      </c>
      <c r="B201" t="s">
        <v>18</v>
      </c>
      <c r="C201" t="s">
        <v>10</v>
      </c>
      <c r="D201" s="3">
        <v>93.738</v>
      </c>
      <c r="E201" s="3">
        <v>0</v>
      </c>
      <c r="F201" t="s">
        <v>45</v>
      </c>
      <c r="G201" s="3">
        <f t="shared" si="22"/>
        <v>-93.738</v>
      </c>
      <c r="H201" s="3">
        <f t="shared" si="23"/>
        <v>93.738</v>
      </c>
      <c r="I201" s="5" t="str">
        <f t="shared" si="24"/>
        <v>017</v>
      </c>
      <c r="J201" s="5" t="str">
        <f t="shared" si="25"/>
        <v>2230</v>
      </c>
      <c r="K201" s="5" t="str">
        <f t="shared" si="26"/>
        <v>000</v>
      </c>
      <c r="L201" s="5">
        <f t="shared" si="27"/>
        <v>11</v>
      </c>
      <c r="M201" s="5">
        <f t="shared" si="28"/>
        <v>2011</v>
      </c>
    </row>
    <row r="202" spans="1:13" ht="17.45" customHeight="1" x14ac:dyDescent="0.25">
      <c r="A202" s="1">
        <f>DATE(2011,11,15)</f>
        <v>40862</v>
      </c>
      <c r="B202" t="s">
        <v>15</v>
      </c>
      <c r="C202" t="s">
        <v>6</v>
      </c>
      <c r="D202" s="3">
        <v>4137.3860000000004</v>
      </c>
      <c r="E202" s="3">
        <v>0</v>
      </c>
      <c r="F202" t="s">
        <v>45</v>
      </c>
      <c r="G202" s="3">
        <f t="shared" si="22"/>
        <v>-4137.3860000000004</v>
      </c>
      <c r="H202" s="3">
        <f t="shared" si="23"/>
        <v>4137.3860000000004</v>
      </c>
      <c r="I202" s="5" t="str">
        <f t="shared" si="24"/>
        <v>017</v>
      </c>
      <c r="J202" s="5" t="str">
        <f t="shared" si="25"/>
        <v>2100</v>
      </c>
      <c r="K202" s="5" t="str">
        <f t="shared" si="26"/>
        <v>000</v>
      </c>
      <c r="L202" s="5">
        <f t="shared" si="27"/>
        <v>11</v>
      </c>
      <c r="M202" s="5">
        <f t="shared" si="28"/>
        <v>2011</v>
      </c>
    </row>
    <row r="203" spans="1:13" ht="17.45" customHeight="1" x14ac:dyDescent="0.25">
      <c r="A203" s="1">
        <f>DATE(2011,11,15)</f>
        <v>40862</v>
      </c>
      <c r="B203" t="s">
        <v>16</v>
      </c>
      <c r="C203" t="s">
        <v>8</v>
      </c>
      <c r="D203" s="3">
        <v>1324.664</v>
      </c>
      <c r="E203" s="3">
        <v>0</v>
      </c>
      <c r="F203" t="s">
        <v>45</v>
      </c>
      <c r="G203" s="3">
        <f t="shared" si="22"/>
        <v>-1324.664</v>
      </c>
      <c r="H203" s="3">
        <f t="shared" si="23"/>
        <v>1324.664</v>
      </c>
      <c r="I203" s="5" t="str">
        <f t="shared" si="24"/>
        <v>017</v>
      </c>
      <c r="J203" s="5" t="str">
        <f t="shared" si="25"/>
        <v>2210</v>
      </c>
      <c r="K203" s="5" t="str">
        <f t="shared" si="26"/>
        <v>000</v>
      </c>
      <c r="L203" s="5">
        <f t="shared" si="27"/>
        <v>11</v>
      </c>
      <c r="M203" s="5">
        <f t="shared" si="28"/>
        <v>2011</v>
      </c>
    </row>
    <row r="204" spans="1:13" ht="17.45" customHeight="1" x14ac:dyDescent="0.25">
      <c r="A204" s="1">
        <f>DATE(2011,11,15)</f>
        <v>40862</v>
      </c>
      <c r="B204" t="s">
        <v>17</v>
      </c>
      <c r="C204" t="s">
        <v>9</v>
      </c>
      <c r="D204" s="3">
        <v>339.72750000000002</v>
      </c>
      <c r="E204" s="3">
        <v>0</v>
      </c>
      <c r="F204" t="s">
        <v>45</v>
      </c>
      <c r="G204" s="3">
        <f t="shared" si="22"/>
        <v>-339.72750000000002</v>
      </c>
      <c r="H204" s="3">
        <f t="shared" si="23"/>
        <v>339.72750000000002</v>
      </c>
      <c r="I204" s="5" t="str">
        <f t="shared" si="24"/>
        <v>017</v>
      </c>
      <c r="J204" s="5" t="str">
        <f t="shared" si="25"/>
        <v>2220</v>
      </c>
      <c r="K204" s="5" t="str">
        <f t="shared" si="26"/>
        <v>000</v>
      </c>
      <c r="L204" s="5">
        <f t="shared" si="27"/>
        <v>11</v>
      </c>
      <c r="M204" s="5">
        <f t="shared" si="28"/>
        <v>2011</v>
      </c>
    </row>
    <row r="205" spans="1:13" ht="17.45" customHeight="1" x14ac:dyDescent="0.25">
      <c r="A205" s="1">
        <f>DATE(2011,11,15)</f>
        <v>40862</v>
      </c>
      <c r="B205" t="s">
        <v>18</v>
      </c>
      <c r="C205" t="s">
        <v>10</v>
      </c>
      <c r="D205" s="3">
        <v>166.083</v>
      </c>
      <c r="E205" s="3">
        <v>0</v>
      </c>
      <c r="F205" t="s">
        <v>45</v>
      </c>
      <c r="G205" s="3">
        <f t="shared" si="22"/>
        <v>-166.083</v>
      </c>
      <c r="H205" s="3">
        <f t="shared" si="23"/>
        <v>166.083</v>
      </c>
      <c r="I205" s="5" t="str">
        <f t="shared" si="24"/>
        <v>017</v>
      </c>
      <c r="J205" s="5" t="str">
        <f t="shared" si="25"/>
        <v>2230</v>
      </c>
      <c r="K205" s="5" t="str">
        <f t="shared" si="26"/>
        <v>000</v>
      </c>
      <c r="L205" s="5">
        <f t="shared" si="27"/>
        <v>11</v>
      </c>
      <c r="M205" s="5">
        <f t="shared" si="28"/>
        <v>2011</v>
      </c>
    </row>
    <row r="206" spans="1:13" ht="17.45" customHeight="1" x14ac:dyDescent="0.25">
      <c r="A206" s="1">
        <f>DATE(2011,11,16)</f>
        <v>40863</v>
      </c>
      <c r="B206" t="s">
        <v>15</v>
      </c>
      <c r="C206" t="s">
        <v>6</v>
      </c>
      <c r="D206" s="3">
        <v>8066.3850000000002</v>
      </c>
      <c r="E206" s="3">
        <v>0</v>
      </c>
      <c r="F206" t="s">
        <v>45</v>
      </c>
      <c r="G206" s="3">
        <f t="shared" si="22"/>
        <v>-8066.3850000000002</v>
      </c>
      <c r="H206" s="3">
        <f t="shared" si="23"/>
        <v>8066.3850000000002</v>
      </c>
      <c r="I206" s="5" t="str">
        <f t="shared" si="24"/>
        <v>017</v>
      </c>
      <c r="J206" s="5" t="str">
        <f t="shared" si="25"/>
        <v>2100</v>
      </c>
      <c r="K206" s="5" t="str">
        <f t="shared" si="26"/>
        <v>000</v>
      </c>
      <c r="L206" s="5">
        <f t="shared" si="27"/>
        <v>11</v>
      </c>
      <c r="M206" s="5">
        <f t="shared" si="28"/>
        <v>2011</v>
      </c>
    </row>
    <row r="207" spans="1:13" ht="17.45" customHeight="1" x14ac:dyDescent="0.25">
      <c r="A207" s="1">
        <f>DATE(2011,11,16)</f>
        <v>40863</v>
      </c>
      <c r="B207" t="s">
        <v>16</v>
      </c>
      <c r="C207" t="s">
        <v>8</v>
      </c>
      <c r="D207" s="3">
        <v>2152.2059999999997</v>
      </c>
      <c r="E207" s="3">
        <v>0</v>
      </c>
      <c r="F207" t="s">
        <v>45</v>
      </c>
      <c r="G207" s="3">
        <f t="shared" si="22"/>
        <v>-2152.2059999999997</v>
      </c>
      <c r="H207" s="3">
        <f t="shared" si="23"/>
        <v>2152.2059999999997</v>
      </c>
      <c r="I207" s="5" t="str">
        <f t="shared" si="24"/>
        <v>017</v>
      </c>
      <c r="J207" s="5" t="str">
        <f t="shared" si="25"/>
        <v>2210</v>
      </c>
      <c r="K207" s="5" t="str">
        <f t="shared" si="26"/>
        <v>000</v>
      </c>
      <c r="L207" s="5">
        <f t="shared" si="27"/>
        <v>11</v>
      </c>
      <c r="M207" s="5">
        <f t="shared" si="28"/>
        <v>2011</v>
      </c>
    </row>
    <row r="208" spans="1:13" ht="17.45" customHeight="1" x14ac:dyDescent="0.25">
      <c r="A208" s="1">
        <f>DATE(2011,11,16)</f>
        <v>40863</v>
      </c>
      <c r="B208" t="s">
        <v>17</v>
      </c>
      <c r="C208" t="s">
        <v>9</v>
      </c>
      <c r="D208" s="3">
        <v>1131.29</v>
      </c>
      <c r="E208" s="3">
        <v>0</v>
      </c>
      <c r="F208" t="s">
        <v>45</v>
      </c>
      <c r="G208" s="3">
        <f t="shared" si="22"/>
        <v>-1131.29</v>
      </c>
      <c r="H208" s="3">
        <f t="shared" si="23"/>
        <v>1131.29</v>
      </c>
      <c r="I208" s="5" t="str">
        <f t="shared" si="24"/>
        <v>017</v>
      </c>
      <c r="J208" s="5" t="str">
        <f t="shared" si="25"/>
        <v>2220</v>
      </c>
      <c r="K208" s="5" t="str">
        <f t="shared" si="26"/>
        <v>000</v>
      </c>
      <c r="L208" s="5">
        <f t="shared" si="27"/>
        <v>11</v>
      </c>
      <c r="M208" s="5">
        <f t="shared" si="28"/>
        <v>2011</v>
      </c>
    </row>
    <row r="209" spans="1:13" ht="17.45" customHeight="1" x14ac:dyDescent="0.25">
      <c r="A209" s="1">
        <f>DATE(2011,11,16)</f>
        <v>40863</v>
      </c>
      <c r="B209" t="s">
        <v>18</v>
      </c>
      <c r="C209" t="s">
        <v>10</v>
      </c>
      <c r="D209" s="3">
        <v>342.06300000000005</v>
      </c>
      <c r="E209" s="3">
        <v>0</v>
      </c>
      <c r="F209" t="s">
        <v>45</v>
      </c>
      <c r="G209" s="3">
        <f t="shared" si="22"/>
        <v>-342.06300000000005</v>
      </c>
      <c r="H209" s="3">
        <f t="shared" si="23"/>
        <v>342.06300000000005</v>
      </c>
      <c r="I209" s="5" t="str">
        <f t="shared" si="24"/>
        <v>017</v>
      </c>
      <c r="J209" s="5" t="str">
        <f t="shared" si="25"/>
        <v>2230</v>
      </c>
      <c r="K209" s="5" t="str">
        <f t="shared" si="26"/>
        <v>000</v>
      </c>
      <c r="L209" s="5">
        <f t="shared" si="27"/>
        <v>11</v>
      </c>
      <c r="M209" s="5">
        <f t="shared" si="28"/>
        <v>2011</v>
      </c>
    </row>
    <row r="210" spans="1:13" ht="17.45" customHeight="1" x14ac:dyDescent="0.25">
      <c r="A210" s="1">
        <f>DATE(2011,11,17)</f>
        <v>40864</v>
      </c>
      <c r="B210" t="s">
        <v>15</v>
      </c>
      <c r="C210" t="s">
        <v>6</v>
      </c>
      <c r="D210" s="3">
        <v>3662.1145000000006</v>
      </c>
      <c r="E210" s="3">
        <v>0</v>
      </c>
      <c r="F210" t="s">
        <v>45</v>
      </c>
      <c r="G210" s="3">
        <f t="shared" si="22"/>
        <v>-3662.1145000000006</v>
      </c>
      <c r="H210" s="3">
        <f t="shared" si="23"/>
        <v>3662.1145000000006</v>
      </c>
      <c r="I210" s="5" t="str">
        <f t="shared" si="24"/>
        <v>017</v>
      </c>
      <c r="J210" s="5" t="str">
        <f t="shared" si="25"/>
        <v>2100</v>
      </c>
      <c r="K210" s="5" t="str">
        <f t="shared" si="26"/>
        <v>000</v>
      </c>
      <c r="L210" s="5">
        <f t="shared" si="27"/>
        <v>11</v>
      </c>
      <c r="M210" s="5">
        <f t="shared" si="28"/>
        <v>2011</v>
      </c>
    </row>
    <row r="211" spans="1:13" ht="17.45" customHeight="1" x14ac:dyDescent="0.25">
      <c r="A211" s="1">
        <f>DATE(2011,11,17)</f>
        <v>40864</v>
      </c>
      <c r="B211" t="s">
        <v>16</v>
      </c>
      <c r="C211" t="s">
        <v>8</v>
      </c>
      <c r="D211" s="3">
        <v>873.54000000000008</v>
      </c>
      <c r="E211" s="3">
        <v>0</v>
      </c>
      <c r="F211" t="s">
        <v>45</v>
      </c>
      <c r="G211" s="3">
        <f t="shared" si="22"/>
        <v>-873.54000000000008</v>
      </c>
      <c r="H211" s="3">
        <f t="shared" si="23"/>
        <v>873.54000000000008</v>
      </c>
      <c r="I211" s="5" t="str">
        <f t="shared" si="24"/>
        <v>017</v>
      </c>
      <c r="J211" s="5" t="str">
        <f t="shared" si="25"/>
        <v>2210</v>
      </c>
      <c r="K211" s="5" t="str">
        <f t="shared" si="26"/>
        <v>000</v>
      </c>
      <c r="L211" s="5">
        <f t="shared" si="27"/>
        <v>11</v>
      </c>
      <c r="M211" s="5">
        <f t="shared" si="28"/>
        <v>2011</v>
      </c>
    </row>
    <row r="212" spans="1:13" ht="17.45" customHeight="1" x14ac:dyDescent="0.25">
      <c r="A212" s="1">
        <f>DATE(2011,11,17)</f>
        <v>40864</v>
      </c>
      <c r="B212" t="s">
        <v>17</v>
      </c>
      <c r="C212" t="s">
        <v>9</v>
      </c>
      <c r="D212" s="3">
        <v>432.63</v>
      </c>
      <c r="E212" s="3">
        <v>0</v>
      </c>
      <c r="F212" t="s">
        <v>45</v>
      </c>
      <c r="G212" s="3">
        <f t="shared" si="22"/>
        <v>-432.63</v>
      </c>
      <c r="H212" s="3">
        <f t="shared" si="23"/>
        <v>432.63</v>
      </c>
      <c r="I212" s="5" t="str">
        <f t="shared" si="24"/>
        <v>017</v>
      </c>
      <c r="J212" s="5" t="str">
        <f t="shared" si="25"/>
        <v>2220</v>
      </c>
      <c r="K212" s="5" t="str">
        <f t="shared" si="26"/>
        <v>000</v>
      </c>
      <c r="L212" s="5">
        <f t="shared" si="27"/>
        <v>11</v>
      </c>
      <c r="M212" s="5">
        <f t="shared" si="28"/>
        <v>2011</v>
      </c>
    </row>
    <row r="213" spans="1:13" ht="17.45" customHeight="1" x14ac:dyDescent="0.25">
      <c r="A213" s="1">
        <f>DATE(2011,11,17)</f>
        <v>40864</v>
      </c>
      <c r="B213" t="s">
        <v>18</v>
      </c>
      <c r="C213" t="s">
        <v>10</v>
      </c>
      <c r="D213" s="3">
        <v>59.864999999999995</v>
      </c>
      <c r="E213" s="3">
        <v>0</v>
      </c>
      <c r="F213" t="s">
        <v>45</v>
      </c>
      <c r="G213" s="3">
        <f t="shared" si="22"/>
        <v>-59.864999999999995</v>
      </c>
      <c r="H213" s="3">
        <f t="shared" si="23"/>
        <v>59.864999999999995</v>
      </c>
      <c r="I213" s="5" t="str">
        <f t="shared" si="24"/>
        <v>017</v>
      </c>
      <c r="J213" s="5" t="str">
        <f t="shared" si="25"/>
        <v>2230</v>
      </c>
      <c r="K213" s="5" t="str">
        <f t="shared" si="26"/>
        <v>000</v>
      </c>
      <c r="L213" s="5">
        <f t="shared" si="27"/>
        <v>11</v>
      </c>
      <c r="M213" s="5">
        <f t="shared" si="28"/>
        <v>2011</v>
      </c>
    </row>
    <row r="214" spans="1:13" ht="17.45" customHeight="1" x14ac:dyDescent="0.25">
      <c r="A214" s="1">
        <f>DATE(2011,11,18)</f>
        <v>40865</v>
      </c>
      <c r="B214" t="s">
        <v>15</v>
      </c>
      <c r="C214" t="s">
        <v>6</v>
      </c>
      <c r="D214" s="3">
        <v>8797.4109999999982</v>
      </c>
      <c r="E214" s="3">
        <v>0</v>
      </c>
      <c r="F214" t="s">
        <v>45</v>
      </c>
      <c r="G214" s="3">
        <f t="shared" si="22"/>
        <v>-8797.4109999999982</v>
      </c>
      <c r="H214" s="3">
        <f t="shared" si="23"/>
        <v>8797.4109999999982</v>
      </c>
      <c r="I214" s="5" t="str">
        <f t="shared" si="24"/>
        <v>017</v>
      </c>
      <c r="J214" s="5" t="str">
        <f t="shared" si="25"/>
        <v>2100</v>
      </c>
      <c r="K214" s="5" t="str">
        <f t="shared" si="26"/>
        <v>000</v>
      </c>
      <c r="L214" s="5">
        <f t="shared" si="27"/>
        <v>11</v>
      </c>
      <c r="M214" s="5">
        <f t="shared" si="28"/>
        <v>2011</v>
      </c>
    </row>
    <row r="215" spans="1:13" ht="17.45" customHeight="1" x14ac:dyDescent="0.25">
      <c r="A215" s="1">
        <f>DATE(2011,11,18)</f>
        <v>40865</v>
      </c>
      <c r="B215" t="s">
        <v>16</v>
      </c>
      <c r="C215" t="s">
        <v>8</v>
      </c>
      <c r="D215" s="3">
        <v>1965.0930000000001</v>
      </c>
      <c r="E215" s="3">
        <v>0</v>
      </c>
      <c r="F215" t="s">
        <v>45</v>
      </c>
      <c r="G215" s="3">
        <f t="shared" si="22"/>
        <v>-1965.0930000000001</v>
      </c>
      <c r="H215" s="3">
        <f t="shared" si="23"/>
        <v>1965.0930000000001</v>
      </c>
      <c r="I215" s="5" t="str">
        <f t="shared" si="24"/>
        <v>017</v>
      </c>
      <c r="J215" s="5" t="str">
        <f t="shared" si="25"/>
        <v>2210</v>
      </c>
      <c r="K215" s="5" t="str">
        <f t="shared" si="26"/>
        <v>000</v>
      </c>
      <c r="L215" s="5">
        <f t="shared" si="27"/>
        <v>11</v>
      </c>
      <c r="M215" s="5">
        <f t="shared" si="28"/>
        <v>2011</v>
      </c>
    </row>
    <row r="216" spans="1:13" ht="17.45" customHeight="1" x14ac:dyDescent="0.25">
      <c r="A216" s="1">
        <f>DATE(2011,11,18)</f>
        <v>40865</v>
      </c>
      <c r="B216" t="s">
        <v>17</v>
      </c>
      <c r="C216" t="s">
        <v>9</v>
      </c>
      <c r="D216" s="3">
        <v>549.54</v>
      </c>
      <c r="E216" s="3">
        <v>0</v>
      </c>
      <c r="F216" t="s">
        <v>45</v>
      </c>
      <c r="G216" s="3">
        <f t="shared" si="22"/>
        <v>-549.54</v>
      </c>
      <c r="H216" s="3">
        <f t="shared" si="23"/>
        <v>549.54</v>
      </c>
      <c r="I216" s="5" t="str">
        <f t="shared" si="24"/>
        <v>017</v>
      </c>
      <c r="J216" s="5" t="str">
        <f t="shared" si="25"/>
        <v>2220</v>
      </c>
      <c r="K216" s="5" t="str">
        <f t="shared" si="26"/>
        <v>000</v>
      </c>
      <c r="L216" s="5">
        <f t="shared" si="27"/>
        <v>11</v>
      </c>
      <c r="M216" s="5">
        <f t="shared" si="28"/>
        <v>2011</v>
      </c>
    </row>
    <row r="217" spans="1:13" ht="17.45" customHeight="1" x14ac:dyDescent="0.25">
      <c r="A217" s="1">
        <f>DATE(2011,11,18)</f>
        <v>40865</v>
      </c>
      <c r="B217" t="s">
        <v>18</v>
      </c>
      <c r="C217" t="s">
        <v>10</v>
      </c>
      <c r="D217" s="3">
        <v>120.83500000000001</v>
      </c>
      <c r="E217" s="3">
        <v>0</v>
      </c>
      <c r="F217" t="s">
        <v>45</v>
      </c>
      <c r="G217" s="3">
        <f t="shared" si="22"/>
        <v>-120.83500000000001</v>
      </c>
      <c r="H217" s="3">
        <f t="shared" si="23"/>
        <v>120.83500000000001</v>
      </c>
      <c r="I217" s="5" t="str">
        <f t="shared" si="24"/>
        <v>017</v>
      </c>
      <c r="J217" s="5" t="str">
        <f t="shared" si="25"/>
        <v>2230</v>
      </c>
      <c r="K217" s="5" t="str">
        <f t="shared" si="26"/>
        <v>000</v>
      </c>
      <c r="L217" s="5">
        <f t="shared" si="27"/>
        <v>11</v>
      </c>
      <c r="M217" s="5">
        <f t="shared" si="28"/>
        <v>2011</v>
      </c>
    </row>
    <row r="218" spans="1:13" ht="17.45" customHeight="1" x14ac:dyDescent="0.25">
      <c r="A218" s="1">
        <f>DATE(2011,11,19)</f>
        <v>40866</v>
      </c>
      <c r="B218" t="s">
        <v>15</v>
      </c>
      <c r="C218" t="s">
        <v>6</v>
      </c>
      <c r="D218" s="3">
        <v>5106.0625</v>
      </c>
      <c r="E218" s="3">
        <v>0</v>
      </c>
      <c r="F218" t="s">
        <v>45</v>
      </c>
      <c r="G218" s="3">
        <f t="shared" si="22"/>
        <v>-5106.0625</v>
      </c>
      <c r="H218" s="3">
        <f t="shared" si="23"/>
        <v>5106.0625</v>
      </c>
      <c r="I218" s="5" t="str">
        <f t="shared" si="24"/>
        <v>017</v>
      </c>
      <c r="J218" s="5" t="str">
        <f t="shared" si="25"/>
        <v>2100</v>
      </c>
      <c r="K218" s="5" t="str">
        <f t="shared" si="26"/>
        <v>000</v>
      </c>
      <c r="L218" s="5">
        <f t="shared" si="27"/>
        <v>11</v>
      </c>
      <c r="M218" s="5">
        <f t="shared" si="28"/>
        <v>2011</v>
      </c>
    </row>
    <row r="219" spans="1:13" ht="17.45" customHeight="1" x14ac:dyDescent="0.25">
      <c r="A219" s="1">
        <f>DATE(2011,11,19)</f>
        <v>40866</v>
      </c>
      <c r="B219" t="s">
        <v>16</v>
      </c>
      <c r="C219" t="s">
        <v>8</v>
      </c>
      <c r="D219" s="3">
        <v>1351.336</v>
      </c>
      <c r="E219" s="3">
        <v>0</v>
      </c>
      <c r="F219" t="s">
        <v>45</v>
      </c>
      <c r="G219" s="3">
        <f t="shared" si="22"/>
        <v>-1351.336</v>
      </c>
      <c r="H219" s="3">
        <f t="shared" si="23"/>
        <v>1351.336</v>
      </c>
      <c r="I219" s="5" t="str">
        <f t="shared" si="24"/>
        <v>017</v>
      </c>
      <c r="J219" s="5" t="str">
        <f t="shared" si="25"/>
        <v>2210</v>
      </c>
      <c r="K219" s="5" t="str">
        <f t="shared" si="26"/>
        <v>000</v>
      </c>
      <c r="L219" s="5">
        <f t="shared" si="27"/>
        <v>11</v>
      </c>
      <c r="M219" s="5">
        <f t="shared" si="28"/>
        <v>2011</v>
      </c>
    </row>
    <row r="220" spans="1:13" ht="17.45" customHeight="1" x14ac:dyDescent="0.25">
      <c r="A220" s="1">
        <f>DATE(2011,11,19)</f>
        <v>40866</v>
      </c>
      <c r="B220" t="s">
        <v>17</v>
      </c>
      <c r="C220" t="s">
        <v>9</v>
      </c>
      <c r="D220" s="3">
        <v>250.08750000000001</v>
      </c>
      <c r="E220" s="3">
        <v>0</v>
      </c>
      <c r="F220" t="s">
        <v>45</v>
      </c>
      <c r="G220" s="3">
        <f t="shared" si="22"/>
        <v>-250.08750000000001</v>
      </c>
      <c r="H220" s="3">
        <f t="shared" si="23"/>
        <v>250.08750000000001</v>
      </c>
      <c r="I220" s="5" t="str">
        <f t="shared" si="24"/>
        <v>017</v>
      </c>
      <c r="J220" s="5" t="str">
        <f t="shared" si="25"/>
        <v>2220</v>
      </c>
      <c r="K220" s="5" t="str">
        <f t="shared" si="26"/>
        <v>000</v>
      </c>
      <c r="L220" s="5">
        <f t="shared" si="27"/>
        <v>11</v>
      </c>
      <c r="M220" s="5">
        <f t="shared" si="28"/>
        <v>2011</v>
      </c>
    </row>
    <row r="221" spans="1:13" ht="17.45" customHeight="1" x14ac:dyDescent="0.25">
      <c r="A221" s="1">
        <f>DATE(2011,11,19)</f>
        <v>40866</v>
      </c>
      <c r="B221" t="s">
        <v>18</v>
      </c>
      <c r="C221" t="s">
        <v>10</v>
      </c>
      <c r="D221" s="3">
        <v>97.825000000000003</v>
      </c>
      <c r="E221" s="3">
        <v>0</v>
      </c>
      <c r="F221" t="s">
        <v>45</v>
      </c>
      <c r="G221" s="3">
        <f t="shared" si="22"/>
        <v>-97.825000000000003</v>
      </c>
      <c r="H221" s="3">
        <f t="shared" si="23"/>
        <v>97.825000000000003</v>
      </c>
      <c r="I221" s="5" t="str">
        <f t="shared" si="24"/>
        <v>017</v>
      </c>
      <c r="J221" s="5" t="str">
        <f t="shared" si="25"/>
        <v>2230</v>
      </c>
      <c r="K221" s="5" t="str">
        <f t="shared" si="26"/>
        <v>000</v>
      </c>
      <c r="L221" s="5">
        <f t="shared" si="27"/>
        <v>11</v>
      </c>
      <c r="M221" s="5">
        <f t="shared" si="28"/>
        <v>2011</v>
      </c>
    </row>
    <row r="222" spans="1:13" ht="17.45" customHeight="1" x14ac:dyDescent="0.25">
      <c r="A222" s="1">
        <f>DATE(2011,11,20)</f>
        <v>40867</v>
      </c>
      <c r="B222" t="s">
        <v>15</v>
      </c>
      <c r="C222" t="s">
        <v>6</v>
      </c>
      <c r="D222" s="3">
        <v>4524.5275000000001</v>
      </c>
      <c r="E222" s="3">
        <v>0</v>
      </c>
      <c r="F222" t="s">
        <v>45</v>
      </c>
      <c r="G222" s="3">
        <f t="shared" si="22"/>
        <v>-4524.5275000000001</v>
      </c>
      <c r="H222" s="3">
        <f t="shared" si="23"/>
        <v>4524.5275000000001</v>
      </c>
      <c r="I222" s="5" t="str">
        <f t="shared" si="24"/>
        <v>017</v>
      </c>
      <c r="J222" s="5" t="str">
        <f t="shared" si="25"/>
        <v>2100</v>
      </c>
      <c r="K222" s="5" t="str">
        <f t="shared" si="26"/>
        <v>000</v>
      </c>
      <c r="L222" s="5">
        <f t="shared" si="27"/>
        <v>11</v>
      </c>
      <c r="M222" s="5">
        <f t="shared" si="28"/>
        <v>2011</v>
      </c>
    </row>
    <row r="223" spans="1:13" ht="17.45" customHeight="1" x14ac:dyDescent="0.25">
      <c r="A223" s="1">
        <f>DATE(2011,11,20)</f>
        <v>40867</v>
      </c>
      <c r="B223" t="s">
        <v>16</v>
      </c>
      <c r="C223" t="s">
        <v>8</v>
      </c>
      <c r="D223" s="3">
        <v>467.41200000000003</v>
      </c>
      <c r="E223" s="3">
        <v>0</v>
      </c>
      <c r="F223" t="s">
        <v>45</v>
      </c>
      <c r="G223" s="3">
        <f t="shared" si="22"/>
        <v>-467.41200000000003</v>
      </c>
      <c r="H223" s="3">
        <f t="shared" si="23"/>
        <v>467.41200000000003</v>
      </c>
      <c r="I223" s="5" t="str">
        <f t="shared" si="24"/>
        <v>017</v>
      </c>
      <c r="J223" s="5" t="str">
        <f t="shared" si="25"/>
        <v>2210</v>
      </c>
      <c r="K223" s="5" t="str">
        <f t="shared" si="26"/>
        <v>000</v>
      </c>
      <c r="L223" s="5">
        <f t="shared" si="27"/>
        <v>11</v>
      </c>
      <c r="M223" s="5">
        <f t="shared" si="28"/>
        <v>2011</v>
      </c>
    </row>
    <row r="224" spans="1:13" ht="17.45" customHeight="1" x14ac:dyDescent="0.25">
      <c r="A224" s="1">
        <f>DATE(2011,11,20)</f>
        <v>40867</v>
      </c>
      <c r="B224" t="s">
        <v>17</v>
      </c>
      <c r="C224" t="s">
        <v>9</v>
      </c>
      <c r="D224" s="3">
        <v>208.67999999999998</v>
      </c>
      <c r="E224" s="3">
        <v>0</v>
      </c>
      <c r="F224" t="s">
        <v>45</v>
      </c>
      <c r="G224" s="3">
        <f t="shared" si="22"/>
        <v>-208.67999999999998</v>
      </c>
      <c r="H224" s="3">
        <f t="shared" si="23"/>
        <v>208.67999999999998</v>
      </c>
      <c r="I224" s="5" t="str">
        <f t="shared" si="24"/>
        <v>017</v>
      </c>
      <c r="J224" s="5" t="str">
        <f t="shared" si="25"/>
        <v>2220</v>
      </c>
      <c r="K224" s="5" t="str">
        <f t="shared" si="26"/>
        <v>000</v>
      </c>
      <c r="L224" s="5">
        <f t="shared" si="27"/>
        <v>11</v>
      </c>
      <c r="M224" s="5">
        <f t="shared" si="28"/>
        <v>2011</v>
      </c>
    </row>
    <row r="225" spans="1:13" ht="17.45" customHeight="1" x14ac:dyDescent="0.25">
      <c r="A225" s="1">
        <f>DATE(2011,11,20)</f>
        <v>40867</v>
      </c>
      <c r="B225" t="s">
        <v>18</v>
      </c>
      <c r="C225" t="s">
        <v>10</v>
      </c>
      <c r="D225" s="3">
        <v>159.80799999999999</v>
      </c>
      <c r="E225" s="3">
        <v>0</v>
      </c>
      <c r="F225" t="s">
        <v>45</v>
      </c>
      <c r="G225" s="3">
        <f t="shared" si="22"/>
        <v>-159.80799999999999</v>
      </c>
      <c r="H225" s="3">
        <f t="shared" si="23"/>
        <v>159.80799999999999</v>
      </c>
      <c r="I225" s="5" t="str">
        <f t="shared" si="24"/>
        <v>017</v>
      </c>
      <c r="J225" s="5" t="str">
        <f t="shared" si="25"/>
        <v>2230</v>
      </c>
      <c r="K225" s="5" t="str">
        <f t="shared" si="26"/>
        <v>000</v>
      </c>
      <c r="L225" s="5">
        <f t="shared" si="27"/>
        <v>11</v>
      </c>
      <c r="M225" s="5">
        <f t="shared" si="28"/>
        <v>2011</v>
      </c>
    </row>
    <row r="226" spans="1:13" ht="17.45" customHeight="1" x14ac:dyDescent="0.25">
      <c r="A226" s="1">
        <f>DATE(2011,11,14)</f>
        <v>40861</v>
      </c>
      <c r="B226" t="s">
        <v>19</v>
      </c>
      <c r="C226" t="s">
        <v>6</v>
      </c>
      <c r="D226" s="3">
        <v>2377.38</v>
      </c>
      <c r="E226" s="3">
        <v>0</v>
      </c>
      <c r="F226" t="s">
        <v>45</v>
      </c>
      <c r="G226" s="3">
        <f t="shared" si="22"/>
        <v>-2377.38</v>
      </c>
      <c r="H226" s="3">
        <f t="shared" si="23"/>
        <v>2377.38</v>
      </c>
      <c r="I226" s="5" t="str">
        <f t="shared" si="24"/>
        <v>018</v>
      </c>
      <c r="J226" s="5" t="str">
        <f t="shared" si="25"/>
        <v>2100</v>
      </c>
      <c r="K226" s="5" t="str">
        <f t="shared" si="26"/>
        <v>000</v>
      </c>
      <c r="L226" s="5">
        <f t="shared" si="27"/>
        <v>11</v>
      </c>
      <c r="M226" s="5">
        <f t="shared" si="28"/>
        <v>2011</v>
      </c>
    </row>
    <row r="227" spans="1:13" ht="17.45" customHeight="1" x14ac:dyDescent="0.25">
      <c r="A227" s="1">
        <f>DATE(2011,11,14)</f>
        <v>40861</v>
      </c>
      <c r="B227" t="s">
        <v>20</v>
      </c>
      <c r="C227" t="s">
        <v>8</v>
      </c>
      <c r="D227" s="3">
        <v>692.17200000000003</v>
      </c>
      <c r="E227" s="3">
        <v>0</v>
      </c>
      <c r="F227" t="s">
        <v>45</v>
      </c>
      <c r="G227" s="3">
        <f t="shared" si="22"/>
        <v>-692.17200000000003</v>
      </c>
      <c r="H227" s="3">
        <f t="shared" si="23"/>
        <v>692.17200000000003</v>
      </c>
      <c r="I227" s="5" t="str">
        <f t="shared" si="24"/>
        <v>018</v>
      </c>
      <c r="J227" s="5" t="str">
        <f t="shared" si="25"/>
        <v>2210</v>
      </c>
      <c r="K227" s="5" t="str">
        <f t="shared" si="26"/>
        <v>000</v>
      </c>
      <c r="L227" s="5">
        <f t="shared" si="27"/>
        <v>11</v>
      </c>
      <c r="M227" s="5">
        <f t="shared" si="28"/>
        <v>2011</v>
      </c>
    </row>
    <row r="228" spans="1:13" ht="17.45" customHeight="1" x14ac:dyDescent="0.25">
      <c r="A228" s="1">
        <f>DATE(2011,11,14)</f>
        <v>40861</v>
      </c>
      <c r="B228" t="s">
        <v>21</v>
      </c>
      <c r="C228" t="s">
        <v>9</v>
      </c>
      <c r="D228" s="3">
        <v>162.4975</v>
      </c>
      <c r="E228" s="3">
        <v>0</v>
      </c>
      <c r="F228" t="s">
        <v>45</v>
      </c>
      <c r="G228" s="3">
        <f t="shared" si="22"/>
        <v>-162.4975</v>
      </c>
      <c r="H228" s="3">
        <f t="shared" si="23"/>
        <v>162.4975</v>
      </c>
      <c r="I228" s="5" t="str">
        <f t="shared" si="24"/>
        <v>018</v>
      </c>
      <c r="J228" s="5" t="str">
        <f t="shared" si="25"/>
        <v>2220</v>
      </c>
      <c r="K228" s="5" t="str">
        <f t="shared" si="26"/>
        <v>000</v>
      </c>
      <c r="L228" s="5">
        <f t="shared" si="27"/>
        <v>11</v>
      </c>
      <c r="M228" s="5">
        <f t="shared" si="28"/>
        <v>2011</v>
      </c>
    </row>
    <row r="229" spans="1:13" ht="17.45" customHeight="1" x14ac:dyDescent="0.25">
      <c r="A229" s="1">
        <f>DATE(2011,11,14)</f>
        <v>40861</v>
      </c>
      <c r="B229" t="s">
        <v>22</v>
      </c>
      <c r="C229" t="s">
        <v>10</v>
      </c>
      <c r="D229" s="3">
        <v>30.7135</v>
      </c>
      <c r="E229" s="3">
        <v>0</v>
      </c>
      <c r="F229" t="s">
        <v>45</v>
      </c>
      <c r="G229" s="3">
        <f t="shared" si="22"/>
        <v>-30.7135</v>
      </c>
      <c r="H229" s="3">
        <f t="shared" si="23"/>
        <v>30.7135</v>
      </c>
      <c r="I229" s="5" t="str">
        <f t="shared" si="24"/>
        <v>018</v>
      </c>
      <c r="J229" s="5" t="str">
        <f t="shared" si="25"/>
        <v>2230</v>
      </c>
      <c r="K229" s="5" t="str">
        <f t="shared" si="26"/>
        <v>000</v>
      </c>
      <c r="L229" s="5">
        <f t="shared" si="27"/>
        <v>11</v>
      </c>
      <c r="M229" s="5">
        <f t="shared" si="28"/>
        <v>2011</v>
      </c>
    </row>
    <row r="230" spans="1:13" ht="17.45" customHeight="1" x14ac:dyDescent="0.25">
      <c r="A230" s="1">
        <f>DATE(2011,11,15)</f>
        <v>40862</v>
      </c>
      <c r="B230" t="s">
        <v>19</v>
      </c>
      <c r="C230" t="s">
        <v>6</v>
      </c>
      <c r="D230" s="3">
        <v>2757.7728000000002</v>
      </c>
      <c r="E230" s="3">
        <v>0</v>
      </c>
      <c r="F230" t="s">
        <v>45</v>
      </c>
      <c r="G230" s="3">
        <f t="shared" si="22"/>
        <v>-2757.7728000000002</v>
      </c>
      <c r="H230" s="3">
        <f t="shared" si="23"/>
        <v>2757.7728000000002</v>
      </c>
      <c r="I230" s="5" t="str">
        <f t="shared" si="24"/>
        <v>018</v>
      </c>
      <c r="J230" s="5" t="str">
        <f t="shared" si="25"/>
        <v>2100</v>
      </c>
      <c r="K230" s="5" t="str">
        <f t="shared" si="26"/>
        <v>000</v>
      </c>
      <c r="L230" s="5">
        <f t="shared" si="27"/>
        <v>11</v>
      </c>
      <c r="M230" s="5">
        <f t="shared" si="28"/>
        <v>2011</v>
      </c>
    </row>
    <row r="231" spans="1:13" ht="17.45" customHeight="1" x14ac:dyDescent="0.25">
      <c r="A231" s="1">
        <f>DATE(2011,11,15)</f>
        <v>40862</v>
      </c>
      <c r="B231" t="s">
        <v>20</v>
      </c>
      <c r="C231" t="s">
        <v>8</v>
      </c>
      <c r="D231" s="3">
        <v>430.416</v>
      </c>
      <c r="E231" s="3">
        <v>0</v>
      </c>
      <c r="F231" t="s">
        <v>45</v>
      </c>
      <c r="G231" s="3">
        <f t="shared" si="22"/>
        <v>-430.416</v>
      </c>
      <c r="H231" s="3">
        <f t="shared" si="23"/>
        <v>430.416</v>
      </c>
      <c r="I231" s="5" t="str">
        <f t="shared" si="24"/>
        <v>018</v>
      </c>
      <c r="J231" s="5" t="str">
        <f t="shared" si="25"/>
        <v>2210</v>
      </c>
      <c r="K231" s="5" t="str">
        <f t="shared" si="26"/>
        <v>000</v>
      </c>
      <c r="L231" s="5">
        <f t="shared" si="27"/>
        <v>11</v>
      </c>
      <c r="M231" s="5">
        <f t="shared" si="28"/>
        <v>2011</v>
      </c>
    </row>
    <row r="232" spans="1:13" ht="17.45" customHeight="1" x14ac:dyDescent="0.25">
      <c r="A232" s="1">
        <f>DATE(2011,11,15)</f>
        <v>40862</v>
      </c>
      <c r="B232" t="s">
        <v>21</v>
      </c>
      <c r="C232" t="s">
        <v>9</v>
      </c>
      <c r="D232" s="3">
        <v>196.07499999999999</v>
      </c>
      <c r="E232" s="3">
        <v>0</v>
      </c>
      <c r="F232" t="s">
        <v>45</v>
      </c>
      <c r="G232" s="3">
        <f t="shared" si="22"/>
        <v>-196.07499999999999</v>
      </c>
      <c r="H232" s="3">
        <f t="shared" si="23"/>
        <v>196.07499999999999</v>
      </c>
      <c r="I232" s="5" t="str">
        <f t="shared" si="24"/>
        <v>018</v>
      </c>
      <c r="J232" s="5" t="str">
        <f t="shared" si="25"/>
        <v>2220</v>
      </c>
      <c r="K232" s="5" t="str">
        <f t="shared" si="26"/>
        <v>000</v>
      </c>
      <c r="L232" s="5">
        <f t="shared" si="27"/>
        <v>11</v>
      </c>
      <c r="M232" s="5">
        <f t="shared" si="28"/>
        <v>2011</v>
      </c>
    </row>
    <row r="233" spans="1:13" ht="17.45" customHeight="1" x14ac:dyDescent="0.25">
      <c r="A233" s="1">
        <f>DATE(2011,11,15)</f>
        <v>40862</v>
      </c>
      <c r="B233" t="s">
        <v>22</v>
      </c>
      <c r="C233" t="s">
        <v>10</v>
      </c>
      <c r="D233" s="3">
        <v>37.4</v>
      </c>
      <c r="E233" s="3">
        <v>0</v>
      </c>
      <c r="F233" t="s">
        <v>45</v>
      </c>
      <c r="G233" s="3">
        <f t="shared" si="22"/>
        <v>-37.4</v>
      </c>
      <c r="H233" s="3">
        <f t="shared" si="23"/>
        <v>37.4</v>
      </c>
      <c r="I233" s="5" t="str">
        <f t="shared" si="24"/>
        <v>018</v>
      </c>
      <c r="J233" s="5" t="str">
        <f t="shared" si="25"/>
        <v>2230</v>
      </c>
      <c r="K233" s="5" t="str">
        <f t="shared" si="26"/>
        <v>000</v>
      </c>
      <c r="L233" s="5">
        <f t="shared" si="27"/>
        <v>11</v>
      </c>
      <c r="M233" s="5">
        <f t="shared" si="28"/>
        <v>2011</v>
      </c>
    </row>
    <row r="234" spans="1:13" ht="17.45" customHeight="1" x14ac:dyDescent="0.25">
      <c r="A234" s="1">
        <f>DATE(2011,11,16)</f>
        <v>40863</v>
      </c>
      <c r="B234" t="s">
        <v>19</v>
      </c>
      <c r="C234" t="s">
        <v>6</v>
      </c>
      <c r="D234" s="3">
        <v>2670.5844000000002</v>
      </c>
      <c r="E234" s="3">
        <v>0</v>
      </c>
      <c r="F234" t="s">
        <v>45</v>
      </c>
      <c r="G234" s="3">
        <f t="shared" si="22"/>
        <v>-2670.5844000000002</v>
      </c>
      <c r="H234" s="3">
        <f t="shared" si="23"/>
        <v>2670.5844000000002</v>
      </c>
      <c r="I234" s="5" t="str">
        <f t="shared" si="24"/>
        <v>018</v>
      </c>
      <c r="J234" s="5" t="str">
        <f t="shared" si="25"/>
        <v>2100</v>
      </c>
      <c r="K234" s="5" t="str">
        <f t="shared" si="26"/>
        <v>000</v>
      </c>
      <c r="L234" s="5">
        <f t="shared" si="27"/>
        <v>11</v>
      </c>
      <c r="M234" s="5">
        <f t="shared" si="28"/>
        <v>2011</v>
      </c>
    </row>
    <row r="235" spans="1:13" ht="17.45" customHeight="1" x14ac:dyDescent="0.25">
      <c r="A235" s="1">
        <f>DATE(2011,11,16)</f>
        <v>40863</v>
      </c>
      <c r="B235" t="s">
        <v>20</v>
      </c>
      <c r="C235" t="s">
        <v>8</v>
      </c>
      <c r="D235" s="3">
        <v>569.73349999999994</v>
      </c>
      <c r="E235" s="3">
        <v>0</v>
      </c>
      <c r="F235" t="s">
        <v>45</v>
      </c>
      <c r="G235" s="3">
        <f t="shared" si="22"/>
        <v>-569.73349999999994</v>
      </c>
      <c r="H235" s="3">
        <f t="shared" si="23"/>
        <v>569.73349999999994</v>
      </c>
      <c r="I235" s="5" t="str">
        <f t="shared" si="24"/>
        <v>018</v>
      </c>
      <c r="J235" s="5" t="str">
        <f t="shared" si="25"/>
        <v>2210</v>
      </c>
      <c r="K235" s="5" t="str">
        <f t="shared" si="26"/>
        <v>000</v>
      </c>
      <c r="L235" s="5">
        <f t="shared" si="27"/>
        <v>11</v>
      </c>
      <c r="M235" s="5">
        <f t="shared" si="28"/>
        <v>2011</v>
      </c>
    </row>
    <row r="236" spans="1:13" ht="17.45" customHeight="1" x14ac:dyDescent="0.25">
      <c r="A236" s="1">
        <f>DATE(2011,11,16)</f>
        <v>40863</v>
      </c>
      <c r="B236" t="s">
        <v>21</v>
      </c>
      <c r="C236" t="s">
        <v>9</v>
      </c>
      <c r="D236" s="3">
        <v>175.02800000000002</v>
      </c>
      <c r="E236" s="3">
        <v>0</v>
      </c>
      <c r="F236" t="s">
        <v>45</v>
      </c>
      <c r="G236" s="3">
        <f t="shared" si="22"/>
        <v>-175.02800000000002</v>
      </c>
      <c r="H236" s="3">
        <f t="shared" si="23"/>
        <v>175.02800000000002</v>
      </c>
      <c r="I236" s="5" t="str">
        <f t="shared" si="24"/>
        <v>018</v>
      </c>
      <c r="J236" s="5" t="str">
        <f t="shared" si="25"/>
        <v>2220</v>
      </c>
      <c r="K236" s="5" t="str">
        <f t="shared" si="26"/>
        <v>000</v>
      </c>
      <c r="L236" s="5">
        <f t="shared" si="27"/>
        <v>11</v>
      </c>
      <c r="M236" s="5">
        <f t="shared" si="28"/>
        <v>2011</v>
      </c>
    </row>
    <row r="237" spans="1:13" ht="17.45" customHeight="1" x14ac:dyDescent="0.25">
      <c r="A237" s="1">
        <f>DATE(2011,11,16)</f>
        <v>40863</v>
      </c>
      <c r="B237" t="s">
        <v>22</v>
      </c>
      <c r="C237" t="s">
        <v>10</v>
      </c>
      <c r="D237" s="3">
        <v>24.165000000000003</v>
      </c>
      <c r="E237" s="3">
        <v>0</v>
      </c>
      <c r="F237" t="s">
        <v>45</v>
      </c>
      <c r="G237" s="3">
        <f t="shared" si="22"/>
        <v>-24.165000000000003</v>
      </c>
      <c r="H237" s="3">
        <f t="shared" si="23"/>
        <v>24.165000000000003</v>
      </c>
      <c r="I237" s="5" t="str">
        <f t="shared" si="24"/>
        <v>018</v>
      </c>
      <c r="J237" s="5" t="str">
        <f t="shared" si="25"/>
        <v>2230</v>
      </c>
      <c r="K237" s="5" t="str">
        <f t="shared" si="26"/>
        <v>000</v>
      </c>
      <c r="L237" s="5">
        <f t="shared" si="27"/>
        <v>11</v>
      </c>
      <c r="M237" s="5">
        <f t="shared" si="28"/>
        <v>2011</v>
      </c>
    </row>
    <row r="238" spans="1:13" ht="17.45" customHeight="1" x14ac:dyDescent="0.25">
      <c r="A238" s="1">
        <f>DATE(2011,11,17)</f>
        <v>40864</v>
      </c>
      <c r="B238" t="s">
        <v>19</v>
      </c>
      <c r="C238" t="s">
        <v>6</v>
      </c>
      <c r="D238" s="3">
        <v>3062.5281999999997</v>
      </c>
      <c r="E238" s="3">
        <v>0</v>
      </c>
      <c r="F238" t="s">
        <v>45</v>
      </c>
      <c r="G238" s="3">
        <f t="shared" si="22"/>
        <v>-3062.5281999999997</v>
      </c>
      <c r="H238" s="3">
        <f t="shared" si="23"/>
        <v>3062.5281999999997</v>
      </c>
      <c r="I238" s="5" t="str">
        <f t="shared" si="24"/>
        <v>018</v>
      </c>
      <c r="J238" s="5" t="str">
        <f t="shared" si="25"/>
        <v>2100</v>
      </c>
      <c r="K238" s="5" t="str">
        <f t="shared" si="26"/>
        <v>000</v>
      </c>
      <c r="L238" s="5">
        <f t="shared" si="27"/>
        <v>11</v>
      </c>
      <c r="M238" s="5">
        <f t="shared" si="28"/>
        <v>2011</v>
      </c>
    </row>
    <row r="239" spans="1:13" ht="17.45" customHeight="1" x14ac:dyDescent="0.25">
      <c r="A239" s="1">
        <f>DATE(2011,11,17)</f>
        <v>40864</v>
      </c>
      <c r="B239" t="s">
        <v>20</v>
      </c>
      <c r="C239" t="s">
        <v>8</v>
      </c>
      <c r="D239" s="3">
        <v>668.553</v>
      </c>
      <c r="E239" s="3">
        <v>0</v>
      </c>
      <c r="F239" t="s">
        <v>45</v>
      </c>
      <c r="G239" s="3">
        <f t="shared" si="22"/>
        <v>-668.553</v>
      </c>
      <c r="H239" s="3">
        <f t="shared" si="23"/>
        <v>668.553</v>
      </c>
      <c r="I239" s="5" t="str">
        <f t="shared" si="24"/>
        <v>018</v>
      </c>
      <c r="J239" s="5" t="str">
        <f t="shared" si="25"/>
        <v>2210</v>
      </c>
      <c r="K239" s="5" t="str">
        <f t="shared" si="26"/>
        <v>000</v>
      </c>
      <c r="L239" s="5">
        <f t="shared" si="27"/>
        <v>11</v>
      </c>
      <c r="M239" s="5">
        <f t="shared" si="28"/>
        <v>2011</v>
      </c>
    </row>
    <row r="240" spans="1:13" ht="17.45" customHeight="1" x14ac:dyDescent="0.25">
      <c r="A240" s="1">
        <f>DATE(2011,11,17)</f>
        <v>40864</v>
      </c>
      <c r="B240" t="s">
        <v>21</v>
      </c>
      <c r="C240" t="s">
        <v>9</v>
      </c>
      <c r="D240" s="3">
        <v>210.41899999999998</v>
      </c>
      <c r="E240" s="3">
        <v>0</v>
      </c>
      <c r="F240" t="s">
        <v>45</v>
      </c>
      <c r="G240" s="3">
        <f t="shared" si="22"/>
        <v>-210.41899999999998</v>
      </c>
      <c r="H240" s="3">
        <f t="shared" si="23"/>
        <v>210.41899999999998</v>
      </c>
      <c r="I240" s="5" t="str">
        <f t="shared" si="24"/>
        <v>018</v>
      </c>
      <c r="J240" s="5" t="str">
        <f t="shared" si="25"/>
        <v>2220</v>
      </c>
      <c r="K240" s="5" t="str">
        <f t="shared" si="26"/>
        <v>000</v>
      </c>
      <c r="L240" s="5">
        <f t="shared" si="27"/>
        <v>11</v>
      </c>
      <c r="M240" s="5">
        <f t="shared" si="28"/>
        <v>2011</v>
      </c>
    </row>
    <row r="241" spans="1:13" ht="17.45" customHeight="1" x14ac:dyDescent="0.25">
      <c r="A241" s="1">
        <f>DATE(2011,11,17)</f>
        <v>40864</v>
      </c>
      <c r="B241" t="s">
        <v>22</v>
      </c>
      <c r="C241" t="s">
        <v>10</v>
      </c>
      <c r="D241" s="3">
        <v>45.972000000000001</v>
      </c>
      <c r="E241" s="3">
        <v>0</v>
      </c>
      <c r="F241" t="s">
        <v>45</v>
      </c>
      <c r="G241" s="3">
        <f t="shared" si="22"/>
        <v>-45.972000000000001</v>
      </c>
      <c r="H241" s="3">
        <f t="shared" si="23"/>
        <v>45.972000000000001</v>
      </c>
      <c r="I241" s="5" t="str">
        <f t="shared" si="24"/>
        <v>018</v>
      </c>
      <c r="J241" s="5" t="str">
        <f t="shared" si="25"/>
        <v>2230</v>
      </c>
      <c r="K241" s="5" t="str">
        <f t="shared" si="26"/>
        <v>000</v>
      </c>
      <c r="L241" s="5">
        <f t="shared" si="27"/>
        <v>11</v>
      </c>
      <c r="M241" s="5">
        <f t="shared" si="28"/>
        <v>2011</v>
      </c>
    </row>
    <row r="242" spans="1:13" ht="17.45" customHeight="1" x14ac:dyDescent="0.25">
      <c r="A242" s="1">
        <f>DATE(2011,11,18)</f>
        <v>40865</v>
      </c>
      <c r="B242" t="s">
        <v>19</v>
      </c>
      <c r="C242" t="s">
        <v>6</v>
      </c>
      <c r="D242" s="3">
        <v>6692.9228999999987</v>
      </c>
      <c r="E242" s="3">
        <v>0</v>
      </c>
      <c r="F242" t="s">
        <v>45</v>
      </c>
      <c r="G242" s="3">
        <f t="shared" si="22"/>
        <v>-6692.9228999999987</v>
      </c>
      <c r="H242" s="3">
        <f t="shared" si="23"/>
        <v>6692.9228999999987</v>
      </c>
      <c r="I242" s="5" t="str">
        <f t="shared" si="24"/>
        <v>018</v>
      </c>
      <c r="J242" s="5" t="str">
        <f t="shared" si="25"/>
        <v>2100</v>
      </c>
      <c r="K242" s="5" t="str">
        <f t="shared" si="26"/>
        <v>000</v>
      </c>
      <c r="L242" s="5">
        <f t="shared" si="27"/>
        <v>11</v>
      </c>
      <c r="M242" s="5">
        <f t="shared" si="28"/>
        <v>2011</v>
      </c>
    </row>
    <row r="243" spans="1:13" ht="17.45" customHeight="1" x14ac:dyDescent="0.25">
      <c r="A243" s="1">
        <f>DATE(2011,11,18)</f>
        <v>40865</v>
      </c>
      <c r="B243" t="s">
        <v>20</v>
      </c>
      <c r="C243" t="s">
        <v>8</v>
      </c>
      <c r="D243" s="3">
        <v>2569.9490000000001</v>
      </c>
      <c r="E243" s="3">
        <v>0</v>
      </c>
      <c r="F243" t="s">
        <v>45</v>
      </c>
      <c r="G243" s="3">
        <f t="shared" si="22"/>
        <v>-2569.9490000000001</v>
      </c>
      <c r="H243" s="3">
        <f t="shared" si="23"/>
        <v>2569.9490000000001</v>
      </c>
      <c r="I243" s="5" t="str">
        <f t="shared" si="24"/>
        <v>018</v>
      </c>
      <c r="J243" s="5" t="str">
        <f t="shared" si="25"/>
        <v>2210</v>
      </c>
      <c r="K243" s="5" t="str">
        <f t="shared" si="26"/>
        <v>000</v>
      </c>
      <c r="L243" s="5">
        <f t="shared" si="27"/>
        <v>11</v>
      </c>
      <c r="M243" s="5">
        <f t="shared" si="28"/>
        <v>2011</v>
      </c>
    </row>
    <row r="244" spans="1:13" ht="17.45" customHeight="1" x14ac:dyDescent="0.25">
      <c r="A244" s="1">
        <f>DATE(2011,11,18)</f>
        <v>40865</v>
      </c>
      <c r="B244" t="s">
        <v>21</v>
      </c>
      <c r="C244" t="s">
        <v>9</v>
      </c>
      <c r="D244" s="3">
        <v>446.33700000000005</v>
      </c>
      <c r="E244" s="3">
        <v>0</v>
      </c>
      <c r="F244" t="s">
        <v>45</v>
      </c>
      <c r="G244" s="3">
        <f t="shared" si="22"/>
        <v>-446.33700000000005</v>
      </c>
      <c r="H244" s="3">
        <f t="shared" si="23"/>
        <v>446.33700000000005</v>
      </c>
      <c r="I244" s="5" t="str">
        <f t="shared" si="24"/>
        <v>018</v>
      </c>
      <c r="J244" s="5" t="str">
        <f t="shared" si="25"/>
        <v>2220</v>
      </c>
      <c r="K244" s="5" t="str">
        <f t="shared" si="26"/>
        <v>000</v>
      </c>
      <c r="L244" s="5">
        <f t="shared" si="27"/>
        <v>11</v>
      </c>
      <c r="M244" s="5">
        <f t="shared" si="28"/>
        <v>2011</v>
      </c>
    </row>
    <row r="245" spans="1:13" ht="17.45" customHeight="1" x14ac:dyDescent="0.25">
      <c r="A245" s="1">
        <f>DATE(2011,11,18)</f>
        <v>40865</v>
      </c>
      <c r="B245" t="s">
        <v>22</v>
      </c>
      <c r="C245" t="s">
        <v>10</v>
      </c>
      <c r="D245" s="3">
        <v>110.59200000000001</v>
      </c>
      <c r="E245" s="3">
        <v>0</v>
      </c>
      <c r="F245" t="s">
        <v>45</v>
      </c>
      <c r="G245" s="3">
        <f t="shared" si="22"/>
        <v>-110.59200000000001</v>
      </c>
      <c r="H245" s="3">
        <f t="shared" si="23"/>
        <v>110.59200000000001</v>
      </c>
      <c r="I245" s="5" t="str">
        <f t="shared" si="24"/>
        <v>018</v>
      </c>
      <c r="J245" s="5" t="str">
        <f t="shared" si="25"/>
        <v>2230</v>
      </c>
      <c r="K245" s="5" t="str">
        <f t="shared" si="26"/>
        <v>000</v>
      </c>
      <c r="L245" s="5">
        <f t="shared" si="27"/>
        <v>11</v>
      </c>
      <c r="M245" s="5">
        <f t="shared" si="28"/>
        <v>2011</v>
      </c>
    </row>
    <row r="246" spans="1:13" ht="17.45" customHeight="1" x14ac:dyDescent="0.25">
      <c r="A246" s="1">
        <f>DATE(2011,11,19)</f>
        <v>40866</v>
      </c>
      <c r="B246" t="s">
        <v>19</v>
      </c>
      <c r="C246" t="s">
        <v>6</v>
      </c>
      <c r="D246" s="3">
        <v>8944.8950000000004</v>
      </c>
      <c r="E246" s="3">
        <v>0</v>
      </c>
      <c r="F246" t="s">
        <v>45</v>
      </c>
      <c r="G246" s="3">
        <f t="shared" si="22"/>
        <v>-8944.8950000000004</v>
      </c>
      <c r="H246" s="3">
        <f t="shared" si="23"/>
        <v>8944.8950000000004</v>
      </c>
      <c r="I246" s="5" t="str">
        <f t="shared" si="24"/>
        <v>018</v>
      </c>
      <c r="J246" s="5" t="str">
        <f t="shared" si="25"/>
        <v>2100</v>
      </c>
      <c r="K246" s="5" t="str">
        <f t="shared" si="26"/>
        <v>000</v>
      </c>
      <c r="L246" s="5">
        <f t="shared" si="27"/>
        <v>11</v>
      </c>
      <c r="M246" s="5">
        <f t="shared" si="28"/>
        <v>2011</v>
      </c>
    </row>
    <row r="247" spans="1:13" ht="17.45" customHeight="1" x14ac:dyDescent="0.25">
      <c r="A247" s="1">
        <f>DATE(2011,11,19)</f>
        <v>40866</v>
      </c>
      <c r="B247" t="s">
        <v>20</v>
      </c>
      <c r="C247" t="s">
        <v>8</v>
      </c>
      <c r="D247" s="3">
        <v>1836.4355</v>
      </c>
      <c r="E247" s="3">
        <v>0</v>
      </c>
      <c r="F247" t="s">
        <v>45</v>
      </c>
      <c r="G247" s="3">
        <f t="shared" si="22"/>
        <v>-1836.4355</v>
      </c>
      <c r="H247" s="3">
        <f t="shared" si="23"/>
        <v>1836.4355</v>
      </c>
      <c r="I247" s="5" t="str">
        <f t="shared" si="24"/>
        <v>018</v>
      </c>
      <c r="J247" s="5" t="str">
        <f t="shared" si="25"/>
        <v>2210</v>
      </c>
      <c r="K247" s="5" t="str">
        <f t="shared" si="26"/>
        <v>000</v>
      </c>
      <c r="L247" s="5">
        <f t="shared" si="27"/>
        <v>11</v>
      </c>
      <c r="M247" s="5">
        <f t="shared" si="28"/>
        <v>2011</v>
      </c>
    </row>
    <row r="248" spans="1:13" ht="17.45" customHeight="1" x14ac:dyDescent="0.25">
      <c r="A248" s="1">
        <f>DATE(2011,11,19)</f>
        <v>40866</v>
      </c>
      <c r="B248" t="s">
        <v>21</v>
      </c>
      <c r="C248" t="s">
        <v>9</v>
      </c>
      <c r="D248" s="3">
        <v>563.94000000000005</v>
      </c>
      <c r="E248" s="3">
        <v>0</v>
      </c>
      <c r="F248" t="s">
        <v>45</v>
      </c>
      <c r="G248" s="3">
        <f t="shared" si="22"/>
        <v>-563.94000000000005</v>
      </c>
      <c r="H248" s="3">
        <f t="shared" si="23"/>
        <v>563.94000000000005</v>
      </c>
      <c r="I248" s="5" t="str">
        <f t="shared" si="24"/>
        <v>018</v>
      </c>
      <c r="J248" s="5" t="str">
        <f t="shared" si="25"/>
        <v>2220</v>
      </c>
      <c r="K248" s="5" t="str">
        <f t="shared" si="26"/>
        <v>000</v>
      </c>
      <c r="L248" s="5">
        <f t="shared" si="27"/>
        <v>11</v>
      </c>
      <c r="M248" s="5">
        <f t="shared" si="28"/>
        <v>2011</v>
      </c>
    </row>
    <row r="249" spans="1:13" ht="17.45" customHeight="1" x14ac:dyDescent="0.25">
      <c r="A249" s="1">
        <f>DATE(2011,11,19)</f>
        <v>40866</v>
      </c>
      <c r="B249" t="s">
        <v>22</v>
      </c>
      <c r="C249" t="s">
        <v>10</v>
      </c>
      <c r="D249" s="3">
        <v>87.266999999999996</v>
      </c>
      <c r="E249" s="3">
        <v>0</v>
      </c>
      <c r="F249" t="s">
        <v>45</v>
      </c>
      <c r="G249" s="3">
        <f t="shared" si="22"/>
        <v>-87.266999999999996</v>
      </c>
      <c r="H249" s="3">
        <f t="shared" si="23"/>
        <v>87.266999999999996</v>
      </c>
      <c r="I249" s="5" t="str">
        <f t="shared" si="24"/>
        <v>018</v>
      </c>
      <c r="J249" s="5" t="str">
        <f t="shared" si="25"/>
        <v>2230</v>
      </c>
      <c r="K249" s="5" t="str">
        <f t="shared" si="26"/>
        <v>000</v>
      </c>
      <c r="L249" s="5">
        <f t="shared" si="27"/>
        <v>11</v>
      </c>
      <c r="M249" s="5">
        <f t="shared" si="28"/>
        <v>2011</v>
      </c>
    </row>
    <row r="250" spans="1:13" ht="17.45" customHeight="1" x14ac:dyDescent="0.25">
      <c r="A250" s="1">
        <f>DATE(2011,11,20)</f>
        <v>40867</v>
      </c>
      <c r="B250" t="s">
        <v>19</v>
      </c>
      <c r="C250" t="s">
        <v>6</v>
      </c>
      <c r="D250" s="3">
        <v>7151.1923999999999</v>
      </c>
      <c r="E250" s="3">
        <v>0</v>
      </c>
      <c r="F250" t="s">
        <v>45</v>
      </c>
      <c r="G250" s="3">
        <f t="shared" si="22"/>
        <v>-7151.1923999999999</v>
      </c>
      <c r="H250" s="3">
        <f t="shared" si="23"/>
        <v>7151.1923999999999</v>
      </c>
      <c r="I250" s="5" t="str">
        <f t="shared" si="24"/>
        <v>018</v>
      </c>
      <c r="J250" s="5" t="str">
        <f t="shared" si="25"/>
        <v>2100</v>
      </c>
      <c r="K250" s="5" t="str">
        <f t="shared" si="26"/>
        <v>000</v>
      </c>
      <c r="L250" s="5">
        <f t="shared" si="27"/>
        <v>11</v>
      </c>
      <c r="M250" s="5">
        <f t="shared" si="28"/>
        <v>2011</v>
      </c>
    </row>
    <row r="251" spans="1:13" ht="17.45" customHeight="1" x14ac:dyDescent="0.25">
      <c r="A251" s="1">
        <f>DATE(2011,11,20)</f>
        <v>40867</v>
      </c>
      <c r="B251" t="s">
        <v>20</v>
      </c>
      <c r="C251" t="s">
        <v>8</v>
      </c>
      <c r="D251" s="3">
        <v>818.55</v>
      </c>
      <c r="E251" s="3">
        <v>0</v>
      </c>
      <c r="F251" t="s">
        <v>45</v>
      </c>
      <c r="G251" s="3">
        <f t="shared" si="22"/>
        <v>-818.55</v>
      </c>
      <c r="H251" s="3">
        <f t="shared" si="23"/>
        <v>818.55</v>
      </c>
      <c r="I251" s="5" t="str">
        <f t="shared" si="24"/>
        <v>018</v>
      </c>
      <c r="J251" s="5" t="str">
        <f t="shared" si="25"/>
        <v>2210</v>
      </c>
      <c r="K251" s="5" t="str">
        <f t="shared" si="26"/>
        <v>000</v>
      </c>
      <c r="L251" s="5">
        <f t="shared" si="27"/>
        <v>11</v>
      </c>
      <c r="M251" s="5">
        <f t="shared" si="28"/>
        <v>2011</v>
      </c>
    </row>
    <row r="252" spans="1:13" ht="17.45" customHeight="1" x14ac:dyDescent="0.25">
      <c r="A252" s="1">
        <f>DATE(2011,11,20)</f>
        <v>40867</v>
      </c>
      <c r="B252" t="s">
        <v>21</v>
      </c>
      <c r="C252" t="s">
        <v>9</v>
      </c>
      <c r="D252" s="3">
        <v>327.49199999999996</v>
      </c>
      <c r="E252" s="3">
        <v>0</v>
      </c>
      <c r="F252" t="s">
        <v>45</v>
      </c>
      <c r="G252" s="3">
        <f t="shared" si="22"/>
        <v>-327.49199999999996</v>
      </c>
      <c r="H252" s="3">
        <f t="shared" si="23"/>
        <v>327.49199999999996</v>
      </c>
      <c r="I252" s="5" t="str">
        <f t="shared" si="24"/>
        <v>018</v>
      </c>
      <c r="J252" s="5" t="str">
        <f t="shared" si="25"/>
        <v>2220</v>
      </c>
      <c r="K252" s="5" t="str">
        <f t="shared" si="26"/>
        <v>000</v>
      </c>
      <c r="L252" s="5">
        <f t="shared" si="27"/>
        <v>11</v>
      </c>
      <c r="M252" s="5">
        <f t="shared" si="28"/>
        <v>2011</v>
      </c>
    </row>
    <row r="253" spans="1:13" ht="17.45" customHeight="1" x14ac:dyDescent="0.25">
      <c r="A253" s="1">
        <f>DATE(2011,11,20)</f>
        <v>40867</v>
      </c>
      <c r="B253" t="s">
        <v>22</v>
      </c>
      <c r="C253" t="s">
        <v>10</v>
      </c>
      <c r="D253" s="3">
        <v>44.308999999999997</v>
      </c>
      <c r="E253" s="3">
        <v>0</v>
      </c>
      <c r="F253" t="s">
        <v>45</v>
      </c>
      <c r="G253" s="3">
        <f t="shared" si="22"/>
        <v>-44.308999999999997</v>
      </c>
      <c r="H253" s="3">
        <f t="shared" si="23"/>
        <v>44.308999999999997</v>
      </c>
      <c r="I253" s="5" t="str">
        <f t="shared" si="24"/>
        <v>018</v>
      </c>
      <c r="J253" s="5" t="str">
        <f t="shared" si="25"/>
        <v>2230</v>
      </c>
      <c r="K253" s="5" t="str">
        <f t="shared" si="26"/>
        <v>000</v>
      </c>
      <c r="L253" s="5">
        <f t="shared" si="27"/>
        <v>11</v>
      </c>
      <c r="M253" s="5">
        <f t="shared" si="28"/>
        <v>2011</v>
      </c>
    </row>
    <row r="254" spans="1:13" ht="17.45" customHeight="1" x14ac:dyDescent="0.25">
      <c r="A254" s="1">
        <f>DATE(2011,11,21)</f>
        <v>40868</v>
      </c>
      <c r="B254" t="s">
        <v>11</v>
      </c>
      <c r="C254" t="s">
        <v>6</v>
      </c>
      <c r="D254" s="3">
        <v>1792.8263999999999</v>
      </c>
      <c r="E254" s="3">
        <v>0</v>
      </c>
      <c r="F254" t="s">
        <v>45</v>
      </c>
      <c r="G254" s="3">
        <f t="shared" si="22"/>
        <v>-1792.8263999999999</v>
      </c>
      <c r="H254" s="3">
        <f t="shared" si="23"/>
        <v>1792.8263999999999</v>
      </c>
      <c r="I254" s="5" t="str">
        <f t="shared" si="24"/>
        <v>016</v>
      </c>
      <c r="J254" s="5" t="str">
        <f t="shared" si="25"/>
        <v>2100</v>
      </c>
      <c r="K254" s="5" t="str">
        <f t="shared" si="26"/>
        <v>000</v>
      </c>
      <c r="L254" s="5">
        <f t="shared" si="27"/>
        <v>11</v>
      </c>
      <c r="M254" s="5">
        <f t="shared" si="28"/>
        <v>2011</v>
      </c>
    </row>
    <row r="255" spans="1:13" ht="17.45" customHeight="1" x14ac:dyDescent="0.25">
      <c r="A255" s="1">
        <f>DATE(2011,11,21)</f>
        <v>40868</v>
      </c>
      <c r="B255" t="s">
        <v>12</v>
      </c>
      <c r="C255" t="s">
        <v>8</v>
      </c>
      <c r="D255" s="3">
        <v>417.76399999999995</v>
      </c>
      <c r="E255" s="3">
        <v>0</v>
      </c>
      <c r="F255" t="s">
        <v>45</v>
      </c>
      <c r="G255" s="3">
        <f t="shared" si="22"/>
        <v>-417.76399999999995</v>
      </c>
      <c r="H255" s="3">
        <f t="shared" si="23"/>
        <v>417.76399999999995</v>
      </c>
      <c r="I255" s="5" t="str">
        <f t="shared" si="24"/>
        <v>016</v>
      </c>
      <c r="J255" s="5" t="str">
        <f t="shared" si="25"/>
        <v>2210</v>
      </c>
      <c r="K255" s="5" t="str">
        <f t="shared" si="26"/>
        <v>000</v>
      </c>
      <c r="L255" s="5">
        <f t="shared" si="27"/>
        <v>11</v>
      </c>
      <c r="M255" s="5">
        <f t="shared" si="28"/>
        <v>2011</v>
      </c>
    </row>
    <row r="256" spans="1:13" ht="17.45" customHeight="1" x14ac:dyDescent="0.25">
      <c r="A256" s="1">
        <f>DATE(2011,11,21)</f>
        <v>40868</v>
      </c>
      <c r="B256" t="s">
        <v>13</v>
      </c>
      <c r="C256" t="s">
        <v>9</v>
      </c>
      <c r="D256" s="3">
        <v>43.604999999999997</v>
      </c>
      <c r="E256" s="3">
        <v>0</v>
      </c>
      <c r="F256" t="s">
        <v>45</v>
      </c>
      <c r="G256" s="3">
        <f t="shared" si="22"/>
        <v>-43.604999999999997</v>
      </c>
      <c r="H256" s="3">
        <f t="shared" si="23"/>
        <v>43.604999999999997</v>
      </c>
      <c r="I256" s="5" t="str">
        <f t="shared" si="24"/>
        <v>016</v>
      </c>
      <c r="J256" s="5" t="str">
        <f t="shared" si="25"/>
        <v>2220</v>
      </c>
      <c r="K256" s="5" t="str">
        <f t="shared" si="26"/>
        <v>000</v>
      </c>
      <c r="L256" s="5">
        <f t="shared" si="27"/>
        <v>11</v>
      </c>
      <c r="M256" s="5">
        <f t="shared" si="28"/>
        <v>2011</v>
      </c>
    </row>
    <row r="257" spans="1:13" ht="17.45" customHeight="1" x14ac:dyDescent="0.25">
      <c r="A257" s="1">
        <f>DATE(2011,11,21)</f>
        <v>40868</v>
      </c>
      <c r="B257" t="s">
        <v>14</v>
      </c>
      <c r="C257" t="s">
        <v>10</v>
      </c>
      <c r="D257" s="3">
        <v>99.080500000000001</v>
      </c>
      <c r="E257" s="3">
        <v>0</v>
      </c>
      <c r="F257" t="s">
        <v>45</v>
      </c>
      <c r="G257" s="3">
        <f t="shared" si="22"/>
        <v>-99.080500000000001</v>
      </c>
      <c r="H257" s="3">
        <f t="shared" si="23"/>
        <v>99.080500000000001</v>
      </c>
      <c r="I257" s="5" t="str">
        <f t="shared" si="24"/>
        <v>016</v>
      </c>
      <c r="J257" s="5" t="str">
        <f t="shared" si="25"/>
        <v>2230</v>
      </c>
      <c r="K257" s="5" t="str">
        <f t="shared" si="26"/>
        <v>000</v>
      </c>
      <c r="L257" s="5">
        <f t="shared" si="27"/>
        <v>11</v>
      </c>
      <c r="M257" s="5">
        <f t="shared" si="28"/>
        <v>2011</v>
      </c>
    </row>
    <row r="258" spans="1:13" ht="17.45" customHeight="1" x14ac:dyDescent="0.25">
      <c r="A258" s="1">
        <f>DATE(2011,11,22)</f>
        <v>40869</v>
      </c>
      <c r="B258" t="s">
        <v>11</v>
      </c>
      <c r="C258" t="s">
        <v>6</v>
      </c>
      <c r="D258" s="3">
        <v>4370.7663999999995</v>
      </c>
      <c r="E258" s="3">
        <v>0</v>
      </c>
      <c r="F258" t="s">
        <v>45</v>
      </c>
      <c r="G258" s="3">
        <f t="shared" ref="G258:G321" si="29">E258-D258</f>
        <v>-4370.7663999999995</v>
      </c>
      <c r="H258" s="3">
        <f t="shared" ref="H258:H321" si="30">ABS(G258)</f>
        <v>4370.7663999999995</v>
      </c>
      <c r="I258" s="5" t="str">
        <f t="shared" ref="I258:I321" si="31">MID(B258,1,3)</f>
        <v>016</v>
      </c>
      <c r="J258" s="5" t="str">
        <f t="shared" ref="J258:J321" si="32">MID(B258,5,4)</f>
        <v>2100</v>
      </c>
      <c r="K258" s="5" t="str">
        <f t="shared" ref="K258:K321" si="33">MID(B258,10,3)</f>
        <v>000</v>
      </c>
      <c r="L258" s="5">
        <f t="shared" ref="L258:L321" si="34">MONTH(A258)</f>
        <v>11</v>
      </c>
      <c r="M258" s="5">
        <f t="shared" ref="M258:M321" si="35">YEAR(A258)</f>
        <v>2011</v>
      </c>
    </row>
    <row r="259" spans="1:13" ht="17.45" customHeight="1" x14ac:dyDescent="0.25">
      <c r="A259" s="1">
        <f>DATE(2011,11,22)</f>
        <v>40869</v>
      </c>
      <c r="B259" t="s">
        <v>12</v>
      </c>
      <c r="C259" t="s">
        <v>8</v>
      </c>
      <c r="D259" s="3">
        <v>933.97750000000008</v>
      </c>
      <c r="E259" s="3">
        <v>0</v>
      </c>
      <c r="F259" t="s">
        <v>45</v>
      </c>
      <c r="G259" s="3">
        <f t="shared" si="29"/>
        <v>-933.97750000000008</v>
      </c>
      <c r="H259" s="3">
        <f t="shared" si="30"/>
        <v>933.97750000000008</v>
      </c>
      <c r="I259" s="5" t="str">
        <f t="shared" si="31"/>
        <v>016</v>
      </c>
      <c r="J259" s="5" t="str">
        <f t="shared" si="32"/>
        <v>2210</v>
      </c>
      <c r="K259" s="5" t="str">
        <f t="shared" si="33"/>
        <v>000</v>
      </c>
      <c r="L259" s="5">
        <f t="shared" si="34"/>
        <v>11</v>
      </c>
      <c r="M259" s="5">
        <f t="shared" si="35"/>
        <v>2011</v>
      </c>
    </row>
    <row r="260" spans="1:13" ht="17.45" customHeight="1" x14ac:dyDescent="0.25">
      <c r="A260" s="1">
        <f>DATE(2011,11,22)</f>
        <v>40869</v>
      </c>
      <c r="B260" t="s">
        <v>13</v>
      </c>
      <c r="C260" t="s">
        <v>9</v>
      </c>
      <c r="D260" s="3">
        <v>145.91400000000002</v>
      </c>
      <c r="E260" s="3">
        <v>0</v>
      </c>
      <c r="F260" t="s">
        <v>45</v>
      </c>
      <c r="G260" s="3">
        <f t="shared" si="29"/>
        <v>-145.91400000000002</v>
      </c>
      <c r="H260" s="3">
        <f t="shared" si="30"/>
        <v>145.91400000000002</v>
      </c>
      <c r="I260" s="5" t="str">
        <f t="shared" si="31"/>
        <v>016</v>
      </c>
      <c r="J260" s="5" t="str">
        <f t="shared" si="32"/>
        <v>2220</v>
      </c>
      <c r="K260" s="5" t="str">
        <f t="shared" si="33"/>
        <v>000</v>
      </c>
      <c r="L260" s="5">
        <f t="shared" si="34"/>
        <v>11</v>
      </c>
      <c r="M260" s="5">
        <f t="shared" si="35"/>
        <v>2011</v>
      </c>
    </row>
    <row r="261" spans="1:13" ht="17.45" customHeight="1" x14ac:dyDescent="0.25">
      <c r="A261" s="1">
        <f>DATE(2011,11,22)</f>
        <v>40869</v>
      </c>
      <c r="B261" t="s">
        <v>14</v>
      </c>
      <c r="C261" t="s">
        <v>10</v>
      </c>
      <c r="D261" s="3">
        <v>107.16</v>
      </c>
      <c r="E261" s="3">
        <v>0</v>
      </c>
      <c r="F261" t="s">
        <v>45</v>
      </c>
      <c r="G261" s="3">
        <f t="shared" si="29"/>
        <v>-107.16</v>
      </c>
      <c r="H261" s="3">
        <f t="shared" si="30"/>
        <v>107.16</v>
      </c>
      <c r="I261" s="5" t="str">
        <f t="shared" si="31"/>
        <v>016</v>
      </c>
      <c r="J261" s="5" t="str">
        <f t="shared" si="32"/>
        <v>2230</v>
      </c>
      <c r="K261" s="5" t="str">
        <f t="shared" si="33"/>
        <v>000</v>
      </c>
      <c r="L261" s="5">
        <f t="shared" si="34"/>
        <v>11</v>
      </c>
      <c r="M261" s="5">
        <f t="shared" si="35"/>
        <v>2011</v>
      </c>
    </row>
    <row r="262" spans="1:13" ht="17.45" customHeight="1" x14ac:dyDescent="0.25">
      <c r="A262" s="1">
        <f>DATE(2011,11,23)</f>
        <v>40870</v>
      </c>
      <c r="B262" t="s">
        <v>11</v>
      </c>
      <c r="C262" t="s">
        <v>6</v>
      </c>
      <c r="D262" s="3">
        <v>5349.9984999999997</v>
      </c>
      <c r="E262" s="3">
        <v>0</v>
      </c>
      <c r="F262" t="s">
        <v>45</v>
      </c>
      <c r="G262" s="3">
        <f t="shared" si="29"/>
        <v>-5349.9984999999997</v>
      </c>
      <c r="H262" s="3">
        <f t="shared" si="30"/>
        <v>5349.9984999999997</v>
      </c>
      <c r="I262" s="5" t="str">
        <f t="shared" si="31"/>
        <v>016</v>
      </c>
      <c r="J262" s="5" t="str">
        <f t="shared" si="32"/>
        <v>2100</v>
      </c>
      <c r="K262" s="5" t="str">
        <f t="shared" si="33"/>
        <v>000</v>
      </c>
      <c r="L262" s="5">
        <f t="shared" si="34"/>
        <v>11</v>
      </c>
      <c r="M262" s="5">
        <f t="shared" si="35"/>
        <v>2011</v>
      </c>
    </row>
    <row r="263" spans="1:13" ht="17.45" customHeight="1" x14ac:dyDescent="0.25">
      <c r="A263" s="1">
        <f>DATE(2011,11,23)</f>
        <v>40870</v>
      </c>
      <c r="B263" t="s">
        <v>12</v>
      </c>
      <c r="C263" t="s">
        <v>8</v>
      </c>
      <c r="D263" s="3">
        <v>1691.0039999999997</v>
      </c>
      <c r="E263" s="3">
        <v>0</v>
      </c>
      <c r="F263" t="s">
        <v>45</v>
      </c>
      <c r="G263" s="3">
        <f t="shared" si="29"/>
        <v>-1691.0039999999997</v>
      </c>
      <c r="H263" s="3">
        <f t="shared" si="30"/>
        <v>1691.0039999999997</v>
      </c>
      <c r="I263" s="5" t="str">
        <f t="shared" si="31"/>
        <v>016</v>
      </c>
      <c r="J263" s="5" t="str">
        <f t="shared" si="32"/>
        <v>2210</v>
      </c>
      <c r="K263" s="5" t="str">
        <f t="shared" si="33"/>
        <v>000</v>
      </c>
      <c r="L263" s="5">
        <f t="shared" si="34"/>
        <v>11</v>
      </c>
      <c r="M263" s="5">
        <f t="shared" si="35"/>
        <v>2011</v>
      </c>
    </row>
    <row r="264" spans="1:13" ht="17.45" customHeight="1" x14ac:dyDescent="0.25">
      <c r="A264" s="1">
        <f>DATE(2011,11,23)</f>
        <v>40870</v>
      </c>
      <c r="B264" t="s">
        <v>13</v>
      </c>
      <c r="C264" t="s">
        <v>9</v>
      </c>
      <c r="D264" s="3">
        <v>254.47500000000002</v>
      </c>
      <c r="E264" s="3">
        <v>0</v>
      </c>
      <c r="F264" t="s">
        <v>45</v>
      </c>
      <c r="G264" s="3">
        <f t="shared" si="29"/>
        <v>-254.47500000000002</v>
      </c>
      <c r="H264" s="3">
        <f t="shared" si="30"/>
        <v>254.47500000000002</v>
      </c>
      <c r="I264" s="5" t="str">
        <f t="shared" si="31"/>
        <v>016</v>
      </c>
      <c r="J264" s="5" t="str">
        <f t="shared" si="32"/>
        <v>2220</v>
      </c>
      <c r="K264" s="5" t="str">
        <f t="shared" si="33"/>
        <v>000</v>
      </c>
      <c r="L264" s="5">
        <f t="shared" si="34"/>
        <v>11</v>
      </c>
      <c r="M264" s="5">
        <f t="shared" si="35"/>
        <v>2011</v>
      </c>
    </row>
    <row r="265" spans="1:13" ht="17.45" customHeight="1" x14ac:dyDescent="0.25">
      <c r="A265" s="1">
        <f>DATE(2011,11,23)</f>
        <v>40870</v>
      </c>
      <c r="B265" t="s">
        <v>14</v>
      </c>
      <c r="C265" t="s">
        <v>10</v>
      </c>
      <c r="D265" s="3">
        <v>158.185</v>
      </c>
      <c r="E265" s="3">
        <v>0</v>
      </c>
      <c r="F265" t="s">
        <v>45</v>
      </c>
      <c r="G265" s="3">
        <f t="shared" si="29"/>
        <v>-158.185</v>
      </c>
      <c r="H265" s="3">
        <f t="shared" si="30"/>
        <v>158.185</v>
      </c>
      <c r="I265" s="5" t="str">
        <f t="shared" si="31"/>
        <v>016</v>
      </c>
      <c r="J265" s="5" t="str">
        <f t="shared" si="32"/>
        <v>2230</v>
      </c>
      <c r="K265" s="5" t="str">
        <f t="shared" si="33"/>
        <v>000</v>
      </c>
      <c r="L265" s="5">
        <f t="shared" si="34"/>
        <v>11</v>
      </c>
      <c r="M265" s="5">
        <f t="shared" si="35"/>
        <v>2011</v>
      </c>
    </row>
    <row r="266" spans="1:13" ht="17.45" customHeight="1" x14ac:dyDescent="0.25">
      <c r="A266" s="1">
        <f>DATE(2011,11,25)</f>
        <v>40872</v>
      </c>
      <c r="B266" t="s">
        <v>11</v>
      </c>
      <c r="C266" t="s">
        <v>6</v>
      </c>
      <c r="D266" s="3">
        <v>7937.2709999999997</v>
      </c>
      <c r="E266" s="3">
        <v>0</v>
      </c>
      <c r="F266" t="s">
        <v>45</v>
      </c>
      <c r="G266" s="3">
        <f t="shared" si="29"/>
        <v>-7937.2709999999997</v>
      </c>
      <c r="H266" s="3">
        <f t="shared" si="30"/>
        <v>7937.2709999999997</v>
      </c>
      <c r="I266" s="5" t="str">
        <f t="shared" si="31"/>
        <v>016</v>
      </c>
      <c r="J266" s="5" t="str">
        <f t="shared" si="32"/>
        <v>2100</v>
      </c>
      <c r="K266" s="5" t="str">
        <f t="shared" si="33"/>
        <v>000</v>
      </c>
      <c r="L266" s="5">
        <f t="shared" si="34"/>
        <v>11</v>
      </c>
      <c r="M266" s="5">
        <f t="shared" si="35"/>
        <v>2011</v>
      </c>
    </row>
    <row r="267" spans="1:13" ht="17.45" customHeight="1" x14ac:dyDescent="0.25">
      <c r="A267" s="1">
        <f>DATE(2011,11,25)</f>
        <v>40872</v>
      </c>
      <c r="B267" t="s">
        <v>12</v>
      </c>
      <c r="C267" t="s">
        <v>8</v>
      </c>
      <c r="D267" s="3">
        <v>4052.3664999999996</v>
      </c>
      <c r="E267" s="3">
        <v>0</v>
      </c>
      <c r="F267" t="s">
        <v>45</v>
      </c>
      <c r="G267" s="3">
        <f t="shared" si="29"/>
        <v>-4052.3664999999996</v>
      </c>
      <c r="H267" s="3">
        <f t="shared" si="30"/>
        <v>4052.3664999999996</v>
      </c>
      <c r="I267" s="5" t="str">
        <f t="shared" si="31"/>
        <v>016</v>
      </c>
      <c r="J267" s="5" t="str">
        <f t="shared" si="32"/>
        <v>2210</v>
      </c>
      <c r="K267" s="5" t="str">
        <f t="shared" si="33"/>
        <v>000</v>
      </c>
      <c r="L267" s="5">
        <f t="shared" si="34"/>
        <v>11</v>
      </c>
      <c r="M267" s="5">
        <f t="shared" si="35"/>
        <v>2011</v>
      </c>
    </row>
    <row r="268" spans="1:13" ht="17.45" customHeight="1" x14ac:dyDescent="0.25">
      <c r="A268" s="1">
        <f>DATE(2011,11,25)</f>
        <v>40872</v>
      </c>
      <c r="B268" t="s">
        <v>13</v>
      </c>
      <c r="C268" t="s">
        <v>9</v>
      </c>
      <c r="D268" s="3">
        <v>710.53500000000008</v>
      </c>
      <c r="E268" s="3">
        <v>0</v>
      </c>
      <c r="F268" t="s">
        <v>45</v>
      </c>
      <c r="G268" s="3">
        <f t="shared" si="29"/>
        <v>-710.53500000000008</v>
      </c>
      <c r="H268" s="3">
        <f t="shared" si="30"/>
        <v>710.53500000000008</v>
      </c>
      <c r="I268" s="5" t="str">
        <f t="shared" si="31"/>
        <v>016</v>
      </c>
      <c r="J268" s="5" t="str">
        <f t="shared" si="32"/>
        <v>2220</v>
      </c>
      <c r="K268" s="5" t="str">
        <f t="shared" si="33"/>
        <v>000</v>
      </c>
      <c r="L268" s="5">
        <f t="shared" si="34"/>
        <v>11</v>
      </c>
      <c r="M268" s="5">
        <f t="shared" si="35"/>
        <v>2011</v>
      </c>
    </row>
    <row r="269" spans="1:13" ht="17.45" customHeight="1" x14ac:dyDescent="0.25">
      <c r="A269" s="1">
        <f>DATE(2011,11,25)</f>
        <v>40872</v>
      </c>
      <c r="B269" t="s">
        <v>14</v>
      </c>
      <c r="C269" t="s">
        <v>10</v>
      </c>
      <c r="D269" s="3">
        <v>268.33600000000001</v>
      </c>
      <c r="E269" s="3">
        <v>0</v>
      </c>
      <c r="F269" t="s">
        <v>45</v>
      </c>
      <c r="G269" s="3">
        <f t="shared" si="29"/>
        <v>-268.33600000000001</v>
      </c>
      <c r="H269" s="3">
        <f t="shared" si="30"/>
        <v>268.33600000000001</v>
      </c>
      <c r="I269" s="5" t="str">
        <f t="shared" si="31"/>
        <v>016</v>
      </c>
      <c r="J269" s="5" t="str">
        <f t="shared" si="32"/>
        <v>2230</v>
      </c>
      <c r="K269" s="5" t="str">
        <f t="shared" si="33"/>
        <v>000</v>
      </c>
      <c r="L269" s="5">
        <f t="shared" si="34"/>
        <v>11</v>
      </c>
      <c r="M269" s="5">
        <f t="shared" si="35"/>
        <v>2011</v>
      </c>
    </row>
    <row r="270" spans="1:13" ht="17.45" customHeight="1" x14ac:dyDescent="0.25">
      <c r="A270" s="1">
        <f>DATE(2011,11,26)</f>
        <v>40873</v>
      </c>
      <c r="B270" t="s">
        <v>11</v>
      </c>
      <c r="C270" t="s">
        <v>6</v>
      </c>
      <c r="D270" s="3">
        <v>10580.800000000001</v>
      </c>
      <c r="E270" s="3">
        <v>0</v>
      </c>
      <c r="F270" t="s">
        <v>45</v>
      </c>
      <c r="G270" s="3">
        <f t="shared" si="29"/>
        <v>-10580.800000000001</v>
      </c>
      <c r="H270" s="3">
        <f t="shared" si="30"/>
        <v>10580.800000000001</v>
      </c>
      <c r="I270" s="5" t="str">
        <f t="shared" si="31"/>
        <v>016</v>
      </c>
      <c r="J270" s="5" t="str">
        <f t="shared" si="32"/>
        <v>2100</v>
      </c>
      <c r="K270" s="5" t="str">
        <f t="shared" si="33"/>
        <v>000</v>
      </c>
      <c r="L270" s="5">
        <f t="shared" si="34"/>
        <v>11</v>
      </c>
      <c r="M270" s="5">
        <f t="shared" si="35"/>
        <v>2011</v>
      </c>
    </row>
    <row r="271" spans="1:13" ht="17.45" customHeight="1" x14ac:dyDescent="0.25">
      <c r="A271" s="1">
        <f>DATE(2011,11,26)</f>
        <v>40873</v>
      </c>
      <c r="B271" t="s">
        <v>12</v>
      </c>
      <c r="C271" t="s">
        <v>8</v>
      </c>
      <c r="D271" s="3">
        <v>4429.2920000000004</v>
      </c>
      <c r="E271" s="3">
        <v>0</v>
      </c>
      <c r="F271" t="s">
        <v>45</v>
      </c>
      <c r="G271" s="3">
        <f t="shared" si="29"/>
        <v>-4429.2920000000004</v>
      </c>
      <c r="H271" s="3">
        <f t="shared" si="30"/>
        <v>4429.2920000000004</v>
      </c>
      <c r="I271" s="5" t="str">
        <f t="shared" si="31"/>
        <v>016</v>
      </c>
      <c r="J271" s="5" t="str">
        <f t="shared" si="32"/>
        <v>2210</v>
      </c>
      <c r="K271" s="5" t="str">
        <f t="shared" si="33"/>
        <v>000</v>
      </c>
      <c r="L271" s="5">
        <f t="shared" si="34"/>
        <v>11</v>
      </c>
      <c r="M271" s="5">
        <f t="shared" si="35"/>
        <v>2011</v>
      </c>
    </row>
    <row r="272" spans="1:13" ht="17.45" customHeight="1" x14ac:dyDescent="0.25">
      <c r="A272" s="1">
        <f>DATE(2011,11,26)</f>
        <v>40873</v>
      </c>
      <c r="B272" t="s">
        <v>13</v>
      </c>
      <c r="C272" t="s">
        <v>9</v>
      </c>
      <c r="D272" s="3">
        <v>1641.0239999999999</v>
      </c>
      <c r="E272" s="3">
        <v>0</v>
      </c>
      <c r="F272" t="s">
        <v>45</v>
      </c>
      <c r="G272" s="3">
        <f t="shared" si="29"/>
        <v>-1641.0239999999999</v>
      </c>
      <c r="H272" s="3">
        <f t="shared" si="30"/>
        <v>1641.0239999999999</v>
      </c>
      <c r="I272" s="5" t="str">
        <f t="shared" si="31"/>
        <v>016</v>
      </c>
      <c r="J272" s="5" t="str">
        <f t="shared" si="32"/>
        <v>2220</v>
      </c>
      <c r="K272" s="5" t="str">
        <f t="shared" si="33"/>
        <v>000</v>
      </c>
      <c r="L272" s="5">
        <f t="shared" si="34"/>
        <v>11</v>
      </c>
      <c r="M272" s="5">
        <f t="shared" si="35"/>
        <v>2011</v>
      </c>
    </row>
    <row r="273" spans="1:13" ht="17.45" customHeight="1" x14ac:dyDescent="0.25">
      <c r="A273" s="1">
        <f>DATE(2011,11,26)</f>
        <v>40873</v>
      </c>
      <c r="B273" t="s">
        <v>14</v>
      </c>
      <c r="C273" t="s">
        <v>10</v>
      </c>
      <c r="D273" s="3">
        <v>397.34800000000001</v>
      </c>
      <c r="E273" s="3">
        <v>0</v>
      </c>
      <c r="F273" t="s">
        <v>45</v>
      </c>
      <c r="G273" s="3">
        <f t="shared" si="29"/>
        <v>-397.34800000000001</v>
      </c>
      <c r="H273" s="3">
        <f t="shared" si="30"/>
        <v>397.34800000000001</v>
      </c>
      <c r="I273" s="5" t="str">
        <f t="shared" si="31"/>
        <v>016</v>
      </c>
      <c r="J273" s="5" t="str">
        <f t="shared" si="32"/>
        <v>2230</v>
      </c>
      <c r="K273" s="5" t="str">
        <f t="shared" si="33"/>
        <v>000</v>
      </c>
      <c r="L273" s="5">
        <f t="shared" si="34"/>
        <v>11</v>
      </c>
      <c r="M273" s="5">
        <f t="shared" si="35"/>
        <v>2011</v>
      </c>
    </row>
    <row r="274" spans="1:13" ht="17.45" customHeight="1" x14ac:dyDescent="0.25">
      <c r="A274" s="1">
        <f>DATE(2011,11,27)</f>
        <v>40874</v>
      </c>
      <c r="B274" t="s">
        <v>11</v>
      </c>
      <c r="C274" t="s">
        <v>6</v>
      </c>
      <c r="D274" s="3">
        <v>4090.866</v>
      </c>
      <c r="E274" s="3">
        <v>0</v>
      </c>
      <c r="F274" t="s">
        <v>45</v>
      </c>
      <c r="G274" s="3">
        <f t="shared" si="29"/>
        <v>-4090.866</v>
      </c>
      <c r="H274" s="3">
        <f t="shared" si="30"/>
        <v>4090.866</v>
      </c>
      <c r="I274" s="5" t="str">
        <f t="shared" si="31"/>
        <v>016</v>
      </c>
      <c r="J274" s="5" t="str">
        <f t="shared" si="32"/>
        <v>2100</v>
      </c>
      <c r="K274" s="5" t="str">
        <f t="shared" si="33"/>
        <v>000</v>
      </c>
      <c r="L274" s="5">
        <f t="shared" si="34"/>
        <v>11</v>
      </c>
      <c r="M274" s="5">
        <f t="shared" si="35"/>
        <v>2011</v>
      </c>
    </row>
    <row r="275" spans="1:13" ht="17.45" customHeight="1" x14ac:dyDescent="0.25">
      <c r="A275" s="1">
        <f>DATE(2011,11,27)</f>
        <v>40874</v>
      </c>
      <c r="B275" t="s">
        <v>12</v>
      </c>
      <c r="C275" t="s">
        <v>8</v>
      </c>
      <c r="D275" s="3">
        <v>1121.2565000000002</v>
      </c>
      <c r="E275" s="3">
        <v>0</v>
      </c>
      <c r="F275" t="s">
        <v>45</v>
      </c>
      <c r="G275" s="3">
        <f t="shared" si="29"/>
        <v>-1121.2565000000002</v>
      </c>
      <c r="H275" s="3">
        <f t="shared" si="30"/>
        <v>1121.2565000000002</v>
      </c>
      <c r="I275" s="5" t="str">
        <f t="shared" si="31"/>
        <v>016</v>
      </c>
      <c r="J275" s="5" t="str">
        <f t="shared" si="32"/>
        <v>2210</v>
      </c>
      <c r="K275" s="5" t="str">
        <f t="shared" si="33"/>
        <v>000</v>
      </c>
      <c r="L275" s="5">
        <f t="shared" si="34"/>
        <v>11</v>
      </c>
      <c r="M275" s="5">
        <f t="shared" si="35"/>
        <v>2011</v>
      </c>
    </row>
    <row r="276" spans="1:13" ht="17.45" customHeight="1" x14ac:dyDescent="0.25">
      <c r="A276" s="1">
        <f>DATE(2011,11,27)</f>
        <v>40874</v>
      </c>
      <c r="B276" t="s">
        <v>13</v>
      </c>
      <c r="C276" t="s">
        <v>9</v>
      </c>
      <c r="D276" s="3">
        <v>127.36800000000001</v>
      </c>
      <c r="E276" s="3">
        <v>0</v>
      </c>
      <c r="F276" t="s">
        <v>45</v>
      </c>
      <c r="G276" s="3">
        <f t="shared" si="29"/>
        <v>-127.36800000000001</v>
      </c>
      <c r="H276" s="3">
        <f t="shared" si="30"/>
        <v>127.36800000000001</v>
      </c>
      <c r="I276" s="5" t="str">
        <f t="shared" si="31"/>
        <v>016</v>
      </c>
      <c r="J276" s="5" t="str">
        <f t="shared" si="32"/>
        <v>2220</v>
      </c>
      <c r="K276" s="5" t="str">
        <f t="shared" si="33"/>
        <v>000</v>
      </c>
      <c r="L276" s="5">
        <f t="shared" si="34"/>
        <v>11</v>
      </c>
      <c r="M276" s="5">
        <f t="shared" si="35"/>
        <v>2011</v>
      </c>
    </row>
    <row r="277" spans="1:13" ht="17.45" customHeight="1" x14ac:dyDescent="0.25">
      <c r="A277" s="1">
        <f>DATE(2011,11,27)</f>
        <v>40874</v>
      </c>
      <c r="B277" t="s">
        <v>14</v>
      </c>
      <c r="C277" t="s">
        <v>10</v>
      </c>
      <c r="D277" s="3">
        <v>130.7475</v>
      </c>
      <c r="E277" s="3">
        <v>0</v>
      </c>
      <c r="F277" t="s">
        <v>45</v>
      </c>
      <c r="G277" s="3">
        <f t="shared" si="29"/>
        <v>-130.7475</v>
      </c>
      <c r="H277" s="3">
        <f t="shared" si="30"/>
        <v>130.7475</v>
      </c>
      <c r="I277" s="5" t="str">
        <f t="shared" si="31"/>
        <v>016</v>
      </c>
      <c r="J277" s="5" t="str">
        <f t="shared" si="32"/>
        <v>2230</v>
      </c>
      <c r="K277" s="5" t="str">
        <f t="shared" si="33"/>
        <v>000</v>
      </c>
      <c r="L277" s="5">
        <f t="shared" si="34"/>
        <v>11</v>
      </c>
      <c r="M277" s="5">
        <f t="shared" si="35"/>
        <v>2011</v>
      </c>
    </row>
    <row r="278" spans="1:13" ht="17.45" customHeight="1" x14ac:dyDescent="0.25">
      <c r="A278" s="1">
        <f>DATE(2011,11,21)</f>
        <v>40868</v>
      </c>
      <c r="B278" t="s">
        <v>15</v>
      </c>
      <c r="C278" t="s">
        <v>6</v>
      </c>
      <c r="D278" s="3">
        <v>5389.0709999999999</v>
      </c>
      <c r="E278" s="3">
        <v>0</v>
      </c>
      <c r="F278" t="s">
        <v>45</v>
      </c>
      <c r="G278" s="3">
        <f t="shared" si="29"/>
        <v>-5389.0709999999999</v>
      </c>
      <c r="H278" s="3">
        <f t="shared" si="30"/>
        <v>5389.0709999999999</v>
      </c>
      <c r="I278" s="5" t="str">
        <f t="shared" si="31"/>
        <v>017</v>
      </c>
      <c r="J278" s="5" t="str">
        <f t="shared" si="32"/>
        <v>2100</v>
      </c>
      <c r="K278" s="5" t="str">
        <f t="shared" si="33"/>
        <v>000</v>
      </c>
      <c r="L278" s="5">
        <f t="shared" si="34"/>
        <v>11</v>
      </c>
      <c r="M278" s="5">
        <f t="shared" si="35"/>
        <v>2011</v>
      </c>
    </row>
    <row r="279" spans="1:13" ht="17.45" customHeight="1" x14ac:dyDescent="0.25">
      <c r="A279" s="1">
        <f>DATE(2011,11,21)</f>
        <v>40868</v>
      </c>
      <c r="B279" t="s">
        <v>16</v>
      </c>
      <c r="C279" t="s">
        <v>8</v>
      </c>
      <c r="D279" s="3">
        <v>780.41250000000002</v>
      </c>
      <c r="E279" s="3">
        <v>0</v>
      </c>
      <c r="F279" t="s">
        <v>45</v>
      </c>
      <c r="G279" s="3">
        <f t="shared" si="29"/>
        <v>-780.41250000000002</v>
      </c>
      <c r="H279" s="3">
        <f t="shared" si="30"/>
        <v>780.41250000000002</v>
      </c>
      <c r="I279" s="5" t="str">
        <f t="shared" si="31"/>
        <v>017</v>
      </c>
      <c r="J279" s="5" t="str">
        <f t="shared" si="32"/>
        <v>2210</v>
      </c>
      <c r="K279" s="5" t="str">
        <f t="shared" si="33"/>
        <v>000</v>
      </c>
      <c r="L279" s="5">
        <f t="shared" si="34"/>
        <v>11</v>
      </c>
      <c r="M279" s="5">
        <f t="shared" si="35"/>
        <v>2011</v>
      </c>
    </row>
    <row r="280" spans="1:13" ht="17.45" customHeight="1" x14ac:dyDescent="0.25">
      <c r="A280" s="1">
        <f>DATE(2011,11,21)</f>
        <v>40868</v>
      </c>
      <c r="B280" t="s">
        <v>17</v>
      </c>
      <c r="C280" t="s">
        <v>9</v>
      </c>
      <c r="D280" s="3">
        <v>247.97499999999999</v>
      </c>
      <c r="E280" s="3">
        <v>0</v>
      </c>
      <c r="F280" t="s">
        <v>45</v>
      </c>
      <c r="G280" s="3">
        <f t="shared" si="29"/>
        <v>-247.97499999999999</v>
      </c>
      <c r="H280" s="3">
        <f t="shared" si="30"/>
        <v>247.97499999999999</v>
      </c>
      <c r="I280" s="5" t="str">
        <f t="shared" si="31"/>
        <v>017</v>
      </c>
      <c r="J280" s="5" t="str">
        <f t="shared" si="32"/>
        <v>2220</v>
      </c>
      <c r="K280" s="5" t="str">
        <f t="shared" si="33"/>
        <v>000</v>
      </c>
      <c r="L280" s="5">
        <f t="shared" si="34"/>
        <v>11</v>
      </c>
      <c r="M280" s="5">
        <f t="shared" si="35"/>
        <v>2011</v>
      </c>
    </row>
    <row r="281" spans="1:13" ht="17.45" customHeight="1" x14ac:dyDescent="0.25">
      <c r="A281" s="1">
        <f>DATE(2011,11,21)</f>
        <v>40868</v>
      </c>
      <c r="B281" t="s">
        <v>18</v>
      </c>
      <c r="C281" t="s">
        <v>10</v>
      </c>
      <c r="D281" s="3">
        <v>179.50249999999997</v>
      </c>
      <c r="E281" s="3">
        <v>0</v>
      </c>
      <c r="F281" t="s">
        <v>45</v>
      </c>
      <c r="G281" s="3">
        <f t="shared" si="29"/>
        <v>-179.50249999999997</v>
      </c>
      <c r="H281" s="3">
        <f t="shared" si="30"/>
        <v>179.50249999999997</v>
      </c>
      <c r="I281" s="5" t="str">
        <f t="shared" si="31"/>
        <v>017</v>
      </c>
      <c r="J281" s="5" t="str">
        <f t="shared" si="32"/>
        <v>2230</v>
      </c>
      <c r="K281" s="5" t="str">
        <f t="shared" si="33"/>
        <v>000</v>
      </c>
      <c r="L281" s="5">
        <f t="shared" si="34"/>
        <v>11</v>
      </c>
      <c r="M281" s="5">
        <f t="shared" si="35"/>
        <v>2011</v>
      </c>
    </row>
    <row r="282" spans="1:13" ht="17.45" customHeight="1" x14ac:dyDescent="0.25">
      <c r="A282" s="1">
        <f t="shared" ref="A282:A285" si="36">DATE(2011,11,22)</f>
        <v>40869</v>
      </c>
      <c r="B282" t="s">
        <v>15</v>
      </c>
      <c r="C282" t="s">
        <v>6</v>
      </c>
      <c r="D282" s="3">
        <v>5568.4034999999994</v>
      </c>
      <c r="E282" s="3">
        <v>0</v>
      </c>
      <c r="F282" t="s">
        <v>45</v>
      </c>
      <c r="G282" s="3">
        <f t="shared" si="29"/>
        <v>-5568.4034999999994</v>
      </c>
      <c r="H282" s="3">
        <f t="shared" si="30"/>
        <v>5568.4034999999994</v>
      </c>
      <c r="I282" s="5" t="str">
        <f t="shared" si="31"/>
        <v>017</v>
      </c>
      <c r="J282" s="5" t="str">
        <f t="shared" si="32"/>
        <v>2100</v>
      </c>
      <c r="K282" s="5" t="str">
        <f t="shared" si="33"/>
        <v>000</v>
      </c>
      <c r="L282" s="5">
        <f t="shared" si="34"/>
        <v>11</v>
      </c>
      <c r="M282" s="5">
        <f t="shared" si="35"/>
        <v>2011</v>
      </c>
    </row>
    <row r="283" spans="1:13" ht="17.45" customHeight="1" x14ac:dyDescent="0.25">
      <c r="A283" s="1">
        <f t="shared" si="36"/>
        <v>40869</v>
      </c>
      <c r="B283" t="s">
        <v>16</v>
      </c>
      <c r="C283" t="s">
        <v>8</v>
      </c>
      <c r="D283" s="3">
        <v>1157.002</v>
      </c>
      <c r="E283" s="3">
        <v>0</v>
      </c>
      <c r="F283" t="s">
        <v>45</v>
      </c>
      <c r="G283" s="3">
        <f t="shared" si="29"/>
        <v>-1157.002</v>
      </c>
      <c r="H283" s="3">
        <f t="shared" si="30"/>
        <v>1157.002</v>
      </c>
      <c r="I283" s="5" t="str">
        <f t="shared" si="31"/>
        <v>017</v>
      </c>
      <c r="J283" s="5" t="str">
        <f t="shared" si="32"/>
        <v>2210</v>
      </c>
      <c r="K283" s="5" t="str">
        <f t="shared" si="33"/>
        <v>000</v>
      </c>
      <c r="L283" s="5">
        <f t="shared" si="34"/>
        <v>11</v>
      </c>
      <c r="M283" s="5">
        <f t="shared" si="35"/>
        <v>2011</v>
      </c>
    </row>
    <row r="284" spans="1:13" ht="17.45" customHeight="1" x14ac:dyDescent="0.25">
      <c r="A284" s="1">
        <f t="shared" si="36"/>
        <v>40869</v>
      </c>
      <c r="B284" t="s">
        <v>17</v>
      </c>
      <c r="C284" t="s">
        <v>9</v>
      </c>
      <c r="D284" s="3">
        <v>314.78999999999996</v>
      </c>
      <c r="E284" s="3">
        <v>0</v>
      </c>
      <c r="F284" t="s">
        <v>45</v>
      </c>
      <c r="G284" s="3">
        <f t="shared" si="29"/>
        <v>-314.78999999999996</v>
      </c>
      <c r="H284" s="3">
        <f t="shared" si="30"/>
        <v>314.78999999999996</v>
      </c>
      <c r="I284" s="5" t="str">
        <f t="shared" si="31"/>
        <v>017</v>
      </c>
      <c r="J284" s="5" t="str">
        <f t="shared" si="32"/>
        <v>2220</v>
      </c>
      <c r="K284" s="5" t="str">
        <f t="shared" si="33"/>
        <v>000</v>
      </c>
      <c r="L284" s="5">
        <f t="shared" si="34"/>
        <v>11</v>
      </c>
      <c r="M284" s="5">
        <f t="shared" si="35"/>
        <v>2011</v>
      </c>
    </row>
    <row r="285" spans="1:13" ht="17.45" customHeight="1" x14ac:dyDescent="0.25">
      <c r="A285" s="1">
        <f t="shared" si="36"/>
        <v>40869</v>
      </c>
      <c r="B285" t="s">
        <v>18</v>
      </c>
      <c r="C285" t="s">
        <v>10</v>
      </c>
      <c r="D285" s="3">
        <v>36.463999999999999</v>
      </c>
      <c r="E285" s="3">
        <v>0</v>
      </c>
      <c r="F285" t="s">
        <v>45</v>
      </c>
      <c r="G285" s="3">
        <f t="shared" si="29"/>
        <v>-36.463999999999999</v>
      </c>
      <c r="H285" s="3">
        <f t="shared" si="30"/>
        <v>36.463999999999999</v>
      </c>
      <c r="I285" s="5" t="str">
        <f t="shared" si="31"/>
        <v>017</v>
      </c>
      <c r="J285" s="5" t="str">
        <f t="shared" si="32"/>
        <v>2230</v>
      </c>
      <c r="K285" s="5" t="str">
        <f t="shared" si="33"/>
        <v>000</v>
      </c>
      <c r="L285" s="5">
        <f t="shared" si="34"/>
        <v>11</v>
      </c>
      <c r="M285" s="5">
        <f t="shared" si="35"/>
        <v>2011</v>
      </c>
    </row>
    <row r="286" spans="1:13" ht="17.45" customHeight="1" x14ac:dyDescent="0.25">
      <c r="A286" s="1">
        <f>DATE(2011,11,23)</f>
        <v>40870</v>
      </c>
      <c r="B286" t="s">
        <v>15</v>
      </c>
      <c r="C286" t="s">
        <v>6</v>
      </c>
      <c r="D286" s="3">
        <v>5042.2094999999999</v>
      </c>
      <c r="E286" s="3">
        <v>0</v>
      </c>
      <c r="F286" t="s">
        <v>45</v>
      </c>
      <c r="G286" s="3">
        <f t="shared" si="29"/>
        <v>-5042.2094999999999</v>
      </c>
      <c r="H286" s="3">
        <f t="shared" si="30"/>
        <v>5042.2094999999999</v>
      </c>
      <c r="I286" s="5" t="str">
        <f t="shared" si="31"/>
        <v>017</v>
      </c>
      <c r="J286" s="5" t="str">
        <f t="shared" si="32"/>
        <v>2100</v>
      </c>
      <c r="K286" s="5" t="str">
        <f t="shared" si="33"/>
        <v>000</v>
      </c>
      <c r="L286" s="5">
        <f t="shared" si="34"/>
        <v>11</v>
      </c>
      <c r="M286" s="5">
        <f t="shared" si="35"/>
        <v>2011</v>
      </c>
    </row>
    <row r="287" spans="1:13" ht="17.45" customHeight="1" x14ac:dyDescent="0.25">
      <c r="A287" s="1">
        <f>DATE(2011,11,23)</f>
        <v>40870</v>
      </c>
      <c r="B287" t="s">
        <v>16</v>
      </c>
      <c r="C287" t="s">
        <v>8</v>
      </c>
      <c r="D287" s="3">
        <v>1487.2440000000001</v>
      </c>
      <c r="E287" s="3">
        <v>0</v>
      </c>
      <c r="F287" t="s">
        <v>45</v>
      </c>
      <c r="G287" s="3">
        <f t="shared" si="29"/>
        <v>-1487.2440000000001</v>
      </c>
      <c r="H287" s="3">
        <f t="shared" si="30"/>
        <v>1487.2440000000001</v>
      </c>
      <c r="I287" s="5" t="str">
        <f t="shared" si="31"/>
        <v>017</v>
      </c>
      <c r="J287" s="5" t="str">
        <f t="shared" si="32"/>
        <v>2210</v>
      </c>
      <c r="K287" s="5" t="str">
        <f t="shared" si="33"/>
        <v>000</v>
      </c>
      <c r="L287" s="5">
        <f t="shared" si="34"/>
        <v>11</v>
      </c>
      <c r="M287" s="5">
        <f t="shared" si="35"/>
        <v>2011</v>
      </c>
    </row>
    <row r="288" spans="1:13" ht="17.45" customHeight="1" x14ac:dyDescent="0.25">
      <c r="A288" s="1">
        <f>DATE(2011,11,23)</f>
        <v>40870</v>
      </c>
      <c r="B288" t="s">
        <v>17</v>
      </c>
      <c r="C288" t="s">
        <v>9</v>
      </c>
      <c r="D288" s="3">
        <v>247.95</v>
      </c>
      <c r="E288" s="3">
        <v>0</v>
      </c>
      <c r="F288" t="s">
        <v>45</v>
      </c>
      <c r="G288" s="3">
        <f t="shared" si="29"/>
        <v>-247.95</v>
      </c>
      <c r="H288" s="3">
        <f t="shared" si="30"/>
        <v>247.95</v>
      </c>
      <c r="I288" s="5" t="str">
        <f t="shared" si="31"/>
        <v>017</v>
      </c>
      <c r="J288" s="5" t="str">
        <f t="shared" si="32"/>
        <v>2220</v>
      </c>
      <c r="K288" s="5" t="str">
        <f t="shared" si="33"/>
        <v>000</v>
      </c>
      <c r="L288" s="5">
        <f t="shared" si="34"/>
        <v>11</v>
      </c>
      <c r="M288" s="5">
        <f t="shared" si="35"/>
        <v>2011</v>
      </c>
    </row>
    <row r="289" spans="1:13" ht="17.45" customHeight="1" x14ac:dyDescent="0.25">
      <c r="A289" s="1">
        <f>DATE(2011,11,23)</f>
        <v>40870</v>
      </c>
      <c r="B289" t="s">
        <v>18</v>
      </c>
      <c r="C289" t="s">
        <v>10</v>
      </c>
      <c r="D289" s="3">
        <v>104.253</v>
      </c>
      <c r="E289" s="3">
        <v>0</v>
      </c>
      <c r="F289" t="s">
        <v>45</v>
      </c>
      <c r="G289" s="3">
        <f t="shared" si="29"/>
        <v>-104.253</v>
      </c>
      <c r="H289" s="3">
        <f t="shared" si="30"/>
        <v>104.253</v>
      </c>
      <c r="I289" s="5" t="str">
        <f t="shared" si="31"/>
        <v>017</v>
      </c>
      <c r="J289" s="5" t="str">
        <f t="shared" si="32"/>
        <v>2230</v>
      </c>
      <c r="K289" s="5" t="str">
        <f t="shared" si="33"/>
        <v>000</v>
      </c>
      <c r="L289" s="5">
        <f t="shared" si="34"/>
        <v>11</v>
      </c>
      <c r="M289" s="5">
        <f t="shared" si="35"/>
        <v>2011</v>
      </c>
    </row>
    <row r="290" spans="1:13" ht="17.45" customHeight="1" x14ac:dyDescent="0.25">
      <c r="A290" s="1">
        <f>DATE(2011,11,25)</f>
        <v>40872</v>
      </c>
      <c r="B290" t="s">
        <v>15</v>
      </c>
      <c r="C290" t="s">
        <v>6</v>
      </c>
      <c r="D290" s="3">
        <v>5491.0380999999998</v>
      </c>
      <c r="E290" s="3">
        <v>0</v>
      </c>
      <c r="F290" t="s">
        <v>45</v>
      </c>
      <c r="G290" s="3">
        <f t="shared" si="29"/>
        <v>-5491.0380999999998</v>
      </c>
      <c r="H290" s="3">
        <f t="shared" si="30"/>
        <v>5491.0380999999998</v>
      </c>
      <c r="I290" s="5" t="str">
        <f t="shared" si="31"/>
        <v>017</v>
      </c>
      <c r="J290" s="5" t="str">
        <f t="shared" si="32"/>
        <v>2100</v>
      </c>
      <c r="K290" s="5" t="str">
        <f t="shared" si="33"/>
        <v>000</v>
      </c>
      <c r="L290" s="5">
        <f t="shared" si="34"/>
        <v>11</v>
      </c>
      <c r="M290" s="5">
        <f t="shared" si="35"/>
        <v>2011</v>
      </c>
    </row>
    <row r="291" spans="1:13" ht="17.45" customHeight="1" x14ac:dyDescent="0.25">
      <c r="A291" s="1">
        <f>DATE(2011,11,25)</f>
        <v>40872</v>
      </c>
      <c r="B291" t="s">
        <v>16</v>
      </c>
      <c r="C291" t="s">
        <v>8</v>
      </c>
      <c r="D291" s="3">
        <v>1392.6374999999998</v>
      </c>
      <c r="E291" s="3">
        <v>0</v>
      </c>
      <c r="F291" t="s">
        <v>45</v>
      </c>
      <c r="G291" s="3">
        <f t="shared" si="29"/>
        <v>-1392.6374999999998</v>
      </c>
      <c r="H291" s="3">
        <f t="shared" si="30"/>
        <v>1392.6374999999998</v>
      </c>
      <c r="I291" s="5" t="str">
        <f t="shared" si="31"/>
        <v>017</v>
      </c>
      <c r="J291" s="5" t="str">
        <f t="shared" si="32"/>
        <v>2210</v>
      </c>
      <c r="K291" s="5" t="str">
        <f t="shared" si="33"/>
        <v>000</v>
      </c>
      <c r="L291" s="5">
        <f t="shared" si="34"/>
        <v>11</v>
      </c>
      <c r="M291" s="5">
        <f t="shared" si="35"/>
        <v>2011</v>
      </c>
    </row>
    <row r="292" spans="1:13" ht="17.45" customHeight="1" x14ac:dyDescent="0.25">
      <c r="A292" s="1">
        <f>DATE(2011,11,25)</f>
        <v>40872</v>
      </c>
      <c r="B292" t="s">
        <v>17</v>
      </c>
      <c r="C292" t="s">
        <v>9</v>
      </c>
      <c r="D292" s="3">
        <v>277.3125</v>
      </c>
      <c r="E292" s="3">
        <v>0</v>
      </c>
      <c r="F292" t="s">
        <v>45</v>
      </c>
      <c r="G292" s="3">
        <f t="shared" si="29"/>
        <v>-277.3125</v>
      </c>
      <c r="H292" s="3">
        <f t="shared" si="30"/>
        <v>277.3125</v>
      </c>
      <c r="I292" s="5" t="str">
        <f t="shared" si="31"/>
        <v>017</v>
      </c>
      <c r="J292" s="5" t="str">
        <f t="shared" si="32"/>
        <v>2220</v>
      </c>
      <c r="K292" s="5" t="str">
        <f t="shared" si="33"/>
        <v>000</v>
      </c>
      <c r="L292" s="5">
        <f t="shared" si="34"/>
        <v>11</v>
      </c>
      <c r="M292" s="5">
        <f t="shared" si="35"/>
        <v>2011</v>
      </c>
    </row>
    <row r="293" spans="1:13" ht="17.45" customHeight="1" x14ac:dyDescent="0.25">
      <c r="A293" s="1">
        <f>DATE(2011,11,25)</f>
        <v>40872</v>
      </c>
      <c r="B293" t="s">
        <v>18</v>
      </c>
      <c r="C293" t="s">
        <v>10</v>
      </c>
      <c r="D293" s="3">
        <v>46.905999999999999</v>
      </c>
      <c r="E293" s="3">
        <v>0</v>
      </c>
      <c r="F293" t="s">
        <v>45</v>
      </c>
      <c r="G293" s="3">
        <f t="shared" si="29"/>
        <v>-46.905999999999999</v>
      </c>
      <c r="H293" s="3">
        <f t="shared" si="30"/>
        <v>46.905999999999999</v>
      </c>
      <c r="I293" s="5" t="str">
        <f t="shared" si="31"/>
        <v>017</v>
      </c>
      <c r="J293" s="5" t="str">
        <f t="shared" si="32"/>
        <v>2230</v>
      </c>
      <c r="K293" s="5" t="str">
        <f t="shared" si="33"/>
        <v>000</v>
      </c>
      <c r="L293" s="5">
        <f t="shared" si="34"/>
        <v>11</v>
      </c>
      <c r="M293" s="5">
        <f t="shared" si="35"/>
        <v>2011</v>
      </c>
    </row>
    <row r="294" spans="1:13" ht="17.45" customHeight="1" x14ac:dyDescent="0.25">
      <c r="A294" s="1">
        <f>DATE(2011,11,26)</f>
        <v>40873</v>
      </c>
      <c r="B294" t="s">
        <v>15</v>
      </c>
      <c r="C294" t="s">
        <v>6</v>
      </c>
      <c r="D294" s="3">
        <v>3970.3675000000007</v>
      </c>
      <c r="E294" s="3">
        <v>0</v>
      </c>
      <c r="F294" t="s">
        <v>45</v>
      </c>
      <c r="G294" s="3">
        <f t="shared" si="29"/>
        <v>-3970.3675000000007</v>
      </c>
      <c r="H294" s="3">
        <f t="shared" si="30"/>
        <v>3970.3675000000007</v>
      </c>
      <c r="I294" s="5" t="str">
        <f t="shared" si="31"/>
        <v>017</v>
      </c>
      <c r="J294" s="5" t="str">
        <f t="shared" si="32"/>
        <v>2100</v>
      </c>
      <c r="K294" s="5" t="str">
        <f t="shared" si="33"/>
        <v>000</v>
      </c>
      <c r="L294" s="5">
        <f t="shared" si="34"/>
        <v>11</v>
      </c>
      <c r="M294" s="5">
        <f t="shared" si="35"/>
        <v>2011</v>
      </c>
    </row>
    <row r="295" spans="1:13" ht="17.45" customHeight="1" x14ac:dyDescent="0.25">
      <c r="A295" s="1">
        <f>DATE(2011,11,26)</f>
        <v>40873</v>
      </c>
      <c r="B295" t="s">
        <v>16</v>
      </c>
      <c r="C295" t="s">
        <v>8</v>
      </c>
      <c r="D295" s="3">
        <v>982.32550000000003</v>
      </c>
      <c r="E295" s="3">
        <v>0</v>
      </c>
      <c r="F295" t="s">
        <v>45</v>
      </c>
      <c r="G295" s="3">
        <f t="shared" si="29"/>
        <v>-982.32550000000003</v>
      </c>
      <c r="H295" s="3">
        <f t="shared" si="30"/>
        <v>982.32550000000003</v>
      </c>
      <c r="I295" s="5" t="str">
        <f t="shared" si="31"/>
        <v>017</v>
      </c>
      <c r="J295" s="5" t="str">
        <f t="shared" si="32"/>
        <v>2210</v>
      </c>
      <c r="K295" s="5" t="str">
        <f t="shared" si="33"/>
        <v>000</v>
      </c>
      <c r="L295" s="5">
        <f t="shared" si="34"/>
        <v>11</v>
      </c>
      <c r="M295" s="5">
        <f t="shared" si="35"/>
        <v>2011</v>
      </c>
    </row>
    <row r="296" spans="1:13" ht="17.45" customHeight="1" x14ac:dyDescent="0.25">
      <c r="A296" s="1">
        <f>DATE(2011,11,26)</f>
        <v>40873</v>
      </c>
      <c r="B296" t="s">
        <v>17</v>
      </c>
      <c r="C296" t="s">
        <v>9</v>
      </c>
      <c r="D296" s="3">
        <v>258.16249999999997</v>
      </c>
      <c r="E296" s="3">
        <v>0</v>
      </c>
      <c r="F296" t="s">
        <v>45</v>
      </c>
      <c r="G296" s="3">
        <f t="shared" si="29"/>
        <v>-258.16249999999997</v>
      </c>
      <c r="H296" s="3">
        <f t="shared" si="30"/>
        <v>258.16249999999997</v>
      </c>
      <c r="I296" s="5" t="str">
        <f t="shared" si="31"/>
        <v>017</v>
      </c>
      <c r="J296" s="5" t="str">
        <f t="shared" si="32"/>
        <v>2220</v>
      </c>
      <c r="K296" s="5" t="str">
        <f t="shared" si="33"/>
        <v>000</v>
      </c>
      <c r="L296" s="5">
        <f t="shared" si="34"/>
        <v>11</v>
      </c>
      <c r="M296" s="5">
        <f t="shared" si="35"/>
        <v>2011</v>
      </c>
    </row>
    <row r="297" spans="1:13" ht="17.45" customHeight="1" x14ac:dyDescent="0.25">
      <c r="A297" s="1">
        <f>DATE(2011,11,26)</f>
        <v>40873</v>
      </c>
      <c r="B297" t="s">
        <v>18</v>
      </c>
      <c r="C297" t="s">
        <v>10</v>
      </c>
      <c r="D297" s="3">
        <v>64.185000000000002</v>
      </c>
      <c r="E297" s="3">
        <v>0</v>
      </c>
      <c r="F297" t="s">
        <v>45</v>
      </c>
      <c r="G297" s="3">
        <f t="shared" si="29"/>
        <v>-64.185000000000002</v>
      </c>
      <c r="H297" s="3">
        <f t="shared" si="30"/>
        <v>64.185000000000002</v>
      </c>
      <c r="I297" s="5" t="str">
        <f t="shared" si="31"/>
        <v>017</v>
      </c>
      <c r="J297" s="5" t="str">
        <f t="shared" si="32"/>
        <v>2230</v>
      </c>
      <c r="K297" s="5" t="str">
        <f t="shared" si="33"/>
        <v>000</v>
      </c>
      <c r="L297" s="5">
        <f t="shared" si="34"/>
        <v>11</v>
      </c>
      <c r="M297" s="5">
        <f t="shared" si="35"/>
        <v>2011</v>
      </c>
    </row>
    <row r="298" spans="1:13" ht="17.45" customHeight="1" x14ac:dyDescent="0.25">
      <c r="A298" s="1">
        <f>DATE(2011,11,27)</f>
        <v>40874</v>
      </c>
      <c r="B298" t="s">
        <v>15</v>
      </c>
      <c r="C298" t="s">
        <v>6</v>
      </c>
      <c r="D298" s="3">
        <v>2706.2745</v>
      </c>
      <c r="E298" s="3">
        <v>0</v>
      </c>
      <c r="F298" t="s">
        <v>45</v>
      </c>
      <c r="G298" s="3">
        <f t="shared" si="29"/>
        <v>-2706.2745</v>
      </c>
      <c r="H298" s="3">
        <f t="shared" si="30"/>
        <v>2706.2745</v>
      </c>
      <c r="I298" s="5" t="str">
        <f t="shared" si="31"/>
        <v>017</v>
      </c>
      <c r="J298" s="5" t="str">
        <f t="shared" si="32"/>
        <v>2100</v>
      </c>
      <c r="K298" s="5" t="str">
        <f t="shared" si="33"/>
        <v>000</v>
      </c>
      <c r="L298" s="5">
        <f t="shared" si="34"/>
        <v>11</v>
      </c>
      <c r="M298" s="5">
        <f t="shared" si="35"/>
        <v>2011</v>
      </c>
    </row>
    <row r="299" spans="1:13" ht="17.45" customHeight="1" x14ac:dyDescent="0.25">
      <c r="A299" s="1">
        <f>DATE(2011,11,27)</f>
        <v>40874</v>
      </c>
      <c r="B299" t="s">
        <v>16</v>
      </c>
      <c r="C299" t="s">
        <v>8</v>
      </c>
      <c r="D299" s="3">
        <v>653.99400000000003</v>
      </c>
      <c r="E299" s="3">
        <v>0</v>
      </c>
      <c r="F299" t="s">
        <v>45</v>
      </c>
      <c r="G299" s="3">
        <f t="shared" si="29"/>
        <v>-653.99400000000003</v>
      </c>
      <c r="H299" s="3">
        <f t="shared" si="30"/>
        <v>653.99400000000003</v>
      </c>
      <c r="I299" s="5" t="str">
        <f t="shared" si="31"/>
        <v>017</v>
      </c>
      <c r="J299" s="5" t="str">
        <f t="shared" si="32"/>
        <v>2210</v>
      </c>
      <c r="K299" s="5" t="str">
        <f t="shared" si="33"/>
        <v>000</v>
      </c>
      <c r="L299" s="5">
        <f t="shared" si="34"/>
        <v>11</v>
      </c>
      <c r="M299" s="5">
        <f t="shared" si="35"/>
        <v>2011</v>
      </c>
    </row>
    <row r="300" spans="1:13" ht="17.45" customHeight="1" x14ac:dyDescent="0.25">
      <c r="A300" s="1">
        <f>DATE(2011,11,27)</f>
        <v>40874</v>
      </c>
      <c r="B300" t="s">
        <v>17</v>
      </c>
      <c r="C300" t="s">
        <v>9</v>
      </c>
      <c r="D300" s="3">
        <v>242.10499999999999</v>
      </c>
      <c r="E300" s="3">
        <v>0</v>
      </c>
      <c r="F300" t="s">
        <v>45</v>
      </c>
      <c r="G300" s="3">
        <f t="shared" si="29"/>
        <v>-242.10499999999999</v>
      </c>
      <c r="H300" s="3">
        <f t="shared" si="30"/>
        <v>242.10499999999999</v>
      </c>
      <c r="I300" s="5" t="str">
        <f t="shared" si="31"/>
        <v>017</v>
      </c>
      <c r="J300" s="5" t="str">
        <f t="shared" si="32"/>
        <v>2220</v>
      </c>
      <c r="K300" s="5" t="str">
        <f t="shared" si="33"/>
        <v>000</v>
      </c>
      <c r="L300" s="5">
        <f t="shared" si="34"/>
        <v>11</v>
      </c>
      <c r="M300" s="5">
        <f t="shared" si="35"/>
        <v>2011</v>
      </c>
    </row>
    <row r="301" spans="1:13" ht="17.45" customHeight="1" x14ac:dyDescent="0.25">
      <c r="A301" s="1">
        <f>DATE(2011,11,27)</f>
        <v>40874</v>
      </c>
      <c r="B301" t="s">
        <v>18</v>
      </c>
      <c r="C301" t="s">
        <v>10</v>
      </c>
      <c r="D301" s="3">
        <v>46.447500000000005</v>
      </c>
      <c r="E301" s="3">
        <v>0</v>
      </c>
      <c r="F301" t="s">
        <v>45</v>
      </c>
      <c r="G301" s="3">
        <f t="shared" si="29"/>
        <v>-46.447500000000005</v>
      </c>
      <c r="H301" s="3">
        <f t="shared" si="30"/>
        <v>46.447500000000005</v>
      </c>
      <c r="I301" s="5" t="str">
        <f t="shared" si="31"/>
        <v>017</v>
      </c>
      <c r="J301" s="5" t="str">
        <f t="shared" si="32"/>
        <v>2230</v>
      </c>
      <c r="K301" s="5" t="str">
        <f t="shared" si="33"/>
        <v>000</v>
      </c>
      <c r="L301" s="5">
        <f t="shared" si="34"/>
        <v>11</v>
      </c>
      <c r="M301" s="5">
        <f t="shared" si="35"/>
        <v>2011</v>
      </c>
    </row>
    <row r="302" spans="1:13" ht="17.45" customHeight="1" x14ac:dyDescent="0.25">
      <c r="A302" s="1">
        <f>DATE(2011,11,21)</f>
        <v>40868</v>
      </c>
      <c r="B302" t="s">
        <v>19</v>
      </c>
      <c r="C302" t="s">
        <v>6</v>
      </c>
      <c r="D302" s="3">
        <v>2878.97</v>
      </c>
      <c r="E302" s="3">
        <v>0</v>
      </c>
      <c r="F302" t="s">
        <v>45</v>
      </c>
      <c r="G302" s="3">
        <f t="shared" si="29"/>
        <v>-2878.97</v>
      </c>
      <c r="H302" s="3">
        <f t="shared" si="30"/>
        <v>2878.97</v>
      </c>
      <c r="I302" s="5" t="str">
        <f t="shared" si="31"/>
        <v>018</v>
      </c>
      <c r="J302" s="5" t="str">
        <f t="shared" si="32"/>
        <v>2100</v>
      </c>
      <c r="K302" s="5" t="str">
        <f t="shared" si="33"/>
        <v>000</v>
      </c>
      <c r="L302" s="5">
        <f t="shared" si="34"/>
        <v>11</v>
      </c>
      <c r="M302" s="5">
        <f t="shared" si="35"/>
        <v>2011</v>
      </c>
    </row>
    <row r="303" spans="1:13" ht="17.45" customHeight="1" x14ac:dyDescent="0.25">
      <c r="A303" s="1">
        <f>DATE(2011,11,21)</f>
        <v>40868</v>
      </c>
      <c r="B303" t="s">
        <v>20</v>
      </c>
      <c r="C303" t="s">
        <v>8</v>
      </c>
      <c r="D303" s="3">
        <v>386.74799999999999</v>
      </c>
      <c r="E303" s="3">
        <v>0</v>
      </c>
      <c r="F303" t="s">
        <v>45</v>
      </c>
      <c r="G303" s="3">
        <f t="shared" si="29"/>
        <v>-386.74799999999999</v>
      </c>
      <c r="H303" s="3">
        <f t="shared" si="30"/>
        <v>386.74799999999999</v>
      </c>
      <c r="I303" s="5" t="str">
        <f t="shared" si="31"/>
        <v>018</v>
      </c>
      <c r="J303" s="5" t="str">
        <f t="shared" si="32"/>
        <v>2210</v>
      </c>
      <c r="K303" s="5" t="str">
        <f t="shared" si="33"/>
        <v>000</v>
      </c>
      <c r="L303" s="5">
        <f t="shared" si="34"/>
        <v>11</v>
      </c>
      <c r="M303" s="5">
        <f t="shared" si="35"/>
        <v>2011</v>
      </c>
    </row>
    <row r="304" spans="1:13" ht="17.45" customHeight="1" x14ac:dyDescent="0.25">
      <c r="A304" s="1">
        <f>DATE(2011,11,21)</f>
        <v>40868</v>
      </c>
      <c r="B304" t="s">
        <v>21</v>
      </c>
      <c r="C304" t="s">
        <v>9</v>
      </c>
      <c r="D304" s="3">
        <v>33.305500000000002</v>
      </c>
      <c r="E304" s="3">
        <v>0</v>
      </c>
      <c r="F304" t="s">
        <v>45</v>
      </c>
      <c r="G304" s="3">
        <f t="shared" si="29"/>
        <v>-33.305500000000002</v>
      </c>
      <c r="H304" s="3">
        <f t="shared" si="30"/>
        <v>33.305500000000002</v>
      </c>
      <c r="I304" s="5" t="str">
        <f t="shared" si="31"/>
        <v>018</v>
      </c>
      <c r="J304" s="5" t="str">
        <f t="shared" si="32"/>
        <v>2220</v>
      </c>
      <c r="K304" s="5" t="str">
        <f t="shared" si="33"/>
        <v>000</v>
      </c>
      <c r="L304" s="5">
        <f t="shared" si="34"/>
        <v>11</v>
      </c>
      <c r="M304" s="5">
        <f t="shared" si="35"/>
        <v>2011</v>
      </c>
    </row>
    <row r="305" spans="1:13" ht="17.45" customHeight="1" x14ac:dyDescent="0.25">
      <c r="A305" s="1">
        <f>DATE(2011,11,21)</f>
        <v>40868</v>
      </c>
      <c r="B305" t="s">
        <v>22</v>
      </c>
      <c r="C305" t="s">
        <v>10</v>
      </c>
      <c r="D305" s="3">
        <v>60.487500000000004</v>
      </c>
      <c r="E305" s="3">
        <v>0</v>
      </c>
      <c r="F305" t="s">
        <v>45</v>
      </c>
      <c r="G305" s="3">
        <f t="shared" si="29"/>
        <v>-60.487500000000004</v>
      </c>
      <c r="H305" s="3">
        <f t="shared" si="30"/>
        <v>60.487500000000004</v>
      </c>
      <c r="I305" s="5" t="str">
        <f t="shared" si="31"/>
        <v>018</v>
      </c>
      <c r="J305" s="5" t="str">
        <f t="shared" si="32"/>
        <v>2230</v>
      </c>
      <c r="K305" s="5" t="str">
        <f t="shared" si="33"/>
        <v>000</v>
      </c>
      <c r="L305" s="5">
        <f t="shared" si="34"/>
        <v>11</v>
      </c>
      <c r="M305" s="5">
        <f t="shared" si="35"/>
        <v>2011</v>
      </c>
    </row>
    <row r="306" spans="1:13" ht="17.45" customHeight="1" x14ac:dyDescent="0.25">
      <c r="A306" s="1">
        <f>DATE(2011,11,22)</f>
        <v>40869</v>
      </c>
      <c r="B306" t="s">
        <v>19</v>
      </c>
      <c r="C306" t="s">
        <v>6</v>
      </c>
      <c r="D306" s="3">
        <v>3664.9359999999997</v>
      </c>
      <c r="E306" s="3">
        <v>0</v>
      </c>
      <c r="F306" t="s">
        <v>45</v>
      </c>
      <c r="G306" s="3">
        <f t="shared" si="29"/>
        <v>-3664.9359999999997</v>
      </c>
      <c r="H306" s="3">
        <f t="shared" si="30"/>
        <v>3664.9359999999997</v>
      </c>
      <c r="I306" s="5" t="str">
        <f t="shared" si="31"/>
        <v>018</v>
      </c>
      <c r="J306" s="5" t="str">
        <f t="shared" si="32"/>
        <v>2100</v>
      </c>
      <c r="K306" s="5" t="str">
        <f t="shared" si="33"/>
        <v>000</v>
      </c>
      <c r="L306" s="5">
        <f t="shared" si="34"/>
        <v>11</v>
      </c>
      <c r="M306" s="5">
        <f t="shared" si="35"/>
        <v>2011</v>
      </c>
    </row>
    <row r="307" spans="1:13" ht="17.45" customHeight="1" x14ac:dyDescent="0.25">
      <c r="A307" s="1">
        <f>DATE(2011,11,22)</f>
        <v>40869</v>
      </c>
      <c r="B307" t="s">
        <v>20</v>
      </c>
      <c r="C307" t="s">
        <v>8</v>
      </c>
      <c r="D307" s="3">
        <v>829.65300000000002</v>
      </c>
      <c r="E307" s="3">
        <v>0</v>
      </c>
      <c r="F307" t="s">
        <v>45</v>
      </c>
      <c r="G307" s="3">
        <f t="shared" si="29"/>
        <v>-829.65300000000002</v>
      </c>
      <c r="H307" s="3">
        <f t="shared" si="30"/>
        <v>829.65300000000002</v>
      </c>
      <c r="I307" s="5" t="str">
        <f t="shared" si="31"/>
        <v>018</v>
      </c>
      <c r="J307" s="5" t="str">
        <f t="shared" si="32"/>
        <v>2210</v>
      </c>
      <c r="K307" s="5" t="str">
        <f t="shared" si="33"/>
        <v>000</v>
      </c>
      <c r="L307" s="5">
        <f t="shared" si="34"/>
        <v>11</v>
      </c>
      <c r="M307" s="5">
        <f t="shared" si="35"/>
        <v>2011</v>
      </c>
    </row>
    <row r="308" spans="1:13" ht="17.45" customHeight="1" x14ac:dyDescent="0.25">
      <c r="A308" s="1">
        <f>DATE(2011,11,22)</f>
        <v>40869</v>
      </c>
      <c r="B308" t="s">
        <v>21</v>
      </c>
      <c r="C308" t="s">
        <v>9</v>
      </c>
      <c r="D308" s="3">
        <v>120.544</v>
      </c>
      <c r="E308" s="3">
        <v>0</v>
      </c>
      <c r="F308" t="s">
        <v>45</v>
      </c>
      <c r="G308" s="3">
        <f t="shared" si="29"/>
        <v>-120.544</v>
      </c>
      <c r="H308" s="3">
        <f t="shared" si="30"/>
        <v>120.544</v>
      </c>
      <c r="I308" s="5" t="str">
        <f t="shared" si="31"/>
        <v>018</v>
      </c>
      <c r="J308" s="5" t="str">
        <f t="shared" si="32"/>
        <v>2220</v>
      </c>
      <c r="K308" s="5" t="str">
        <f t="shared" si="33"/>
        <v>000</v>
      </c>
      <c r="L308" s="5">
        <f t="shared" si="34"/>
        <v>11</v>
      </c>
      <c r="M308" s="5">
        <f t="shared" si="35"/>
        <v>2011</v>
      </c>
    </row>
    <row r="309" spans="1:13" ht="17.45" customHeight="1" x14ac:dyDescent="0.25">
      <c r="A309" s="1">
        <f>DATE(2011,11,22)</f>
        <v>40869</v>
      </c>
      <c r="B309" t="s">
        <v>22</v>
      </c>
      <c r="C309" t="s">
        <v>10</v>
      </c>
      <c r="D309" s="3">
        <v>15.105</v>
      </c>
      <c r="E309" s="3">
        <v>0</v>
      </c>
      <c r="F309" t="s">
        <v>45</v>
      </c>
      <c r="G309" s="3">
        <f t="shared" si="29"/>
        <v>-15.105</v>
      </c>
      <c r="H309" s="3">
        <f t="shared" si="30"/>
        <v>15.105</v>
      </c>
      <c r="I309" s="5" t="str">
        <f t="shared" si="31"/>
        <v>018</v>
      </c>
      <c r="J309" s="5" t="str">
        <f t="shared" si="32"/>
        <v>2230</v>
      </c>
      <c r="K309" s="5" t="str">
        <f t="shared" si="33"/>
        <v>000</v>
      </c>
      <c r="L309" s="5">
        <f t="shared" si="34"/>
        <v>11</v>
      </c>
      <c r="M309" s="5">
        <f t="shared" si="35"/>
        <v>2011</v>
      </c>
    </row>
    <row r="310" spans="1:13" ht="17.45" customHeight="1" x14ac:dyDescent="0.25">
      <c r="A310" s="1">
        <f>DATE(2011,11,23)</f>
        <v>40870</v>
      </c>
      <c r="B310" t="s">
        <v>19</v>
      </c>
      <c r="C310" t="s">
        <v>6</v>
      </c>
      <c r="D310" s="3">
        <v>7553.6560000000009</v>
      </c>
      <c r="E310" s="3">
        <v>0</v>
      </c>
      <c r="F310" t="s">
        <v>45</v>
      </c>
      <c r="G310" s="3">
        <f t="shared" si="29"/>
        <v>-7553.6560000000009</v>
      </c>
      <c r="H310" s="3">
        <f t="shared" si="30"/>
        <v>7553.6560000000009</v>
      </c>
      <c r="I310" s="5" t="str">
        <f t="shared" si="31"/>
        <v>018</v>
      </c>
      <c r="J310" s="5" t="str">
        <f t="shared" si="32"/>
        <v>2100</v>
      </c>
      <c r="K310" s="5" t="str">
        <f t="shared" si="33"/>
        <v>000</v>
      </c>
      <c r="L310" s="5">
        <f t="shared" si="34"/>
        <v>11</v>
      </c>
      <c r="M310" s="5">
        <f t="shared" si="35"/>
        <v>2011</v>
      </c>
    </row>
    <row r="311" spans="1:13" ht="17.45" customHeight="1" x14ac:dyDescent="0.25">
      <c r="A311" s="1">
        <f>DATE(2011,11,23)</f>
        <v>40870</v>
      </c>
      <c r="B311" t="s">
        <v>20</v>
      </c>
      <c r="C311" t="s">
        <v>8</v>
      </c>
      <c r="D311" s="3">
        <v>1320.1384999999998</v>
      </c>
      <c r="E311" s="3">
        <v>0</v>
      </c>
      <c r="F311" t="s">
        <v>45</v>
      </c>
      <c r="G311" s="3">
        <f t="shared" si="29"/>
        <v>-1320.1384999999998</v>
      </c>
      <c r="H311" s="3">
        <f t="shared" si="30"/>
        <v>1320.1384999999998</v>
      </c>
      <c r="I311" s="5" t="str">
        <f t="shared" si="31"/>
        <v>018</v>
      </c>
      <c r="J311" s="5" t="str">
        <f t="shared" si="32"/>
        <v>2210</v>
      </c>
      <c r="K311" s="5" t="str">
        <f t="shared" si="33"/>
        <v>000</v>
      </c>
      <c r="L311" s="5">
        <f t="shared" si="34"/>
        <v>11</v>
      </c>
      <c r="M311" s="5">
        <f t="shared" si="35"/>
        <v>2011</v>
      </c>
    </row>
    <row r="312" spans="1:13" ht="17.45" customHeight="1" x14ac:dyDescent="0.25">
      <c r="A312" s="1">
        <f>DATE(2011,11,23)</f>
        <v>40870</v>
      </c>
      <c r="B312" t="s">
        <v>21</v>
      </c>
      <c r="C312" t="s">
        <v>9</v>
      </c>
      <c r="D312" s="3">
        <v>226.3415</v>
      </c>
      <c r="E312" s="3">
        <v>0</v>
      </c>
      <c r="F312" t="s">
        <v>45</v>
      </c>
      <c r="G312" s="3">
        <f t="shared" si="29"/>
        <v>-226.3415</v>
      </c>
      <c r="H312" s="3">
        <f t="shared" si="30"/>
        <v>226.3415</v>
      </c>
      <c r="I312" s="5" t="str">
        <f t="shared" si="31"/>
        <v>018</v>
      </c>
      <c r="J312" s="5" t="str">
        <f t="shared" si="32"/>
        <v>2220</v>
      </c>
      <c r="K312" s="5" t="str">
        <f t="shared" si="33"/>
        <v>000</v>
      </c>
      <c r="L312" s="5">
        <f t="shared" si="34"/>
        <v>11</v>
      </c>
      <c r="M312" s="5">
        <f t="shared" si="35"/>
        <v>2011</v>
      </c>
    </row>
    <row r="313" spans="1:13" ht="17.45" customHeight="1" x14ac:dyDescent="0.25">
      <c r="A313" s="1">
        <f>DATE(2011,11,23)</f>
        <v>40870</v>
      </c>
      <c r="B313" t="s">
        <v>22</v>
      </c>
      <c r="C313" t="s">
        <v>10</v>
      </c>
      <c r="D313" s="3">
        <v>89.383499999999998</v>
      </c>
      <c r="E313" s="3">
        <v>0</v>
      </c>
      <c r="F313" t="s">
        <v>45</v>
      </c>
      <c r="G313" s="3">
        <f t="shared" si="29"/>
        <v>-89.383499999999998</v>
      </c>
      <c r="H313" s="3">
        <f t="shared" si="30"/>
        <v>89.383499999999998</v>
      </c>
      <c r="I313" s="5" t="str">
        <f t="shared" si="31"/>
        <v>018</v>
      </c>
      <c r="J313" s="5" t="str">
        <f t="shared" si="32"/>
        <v>2230</v>
      </c>
      <c r="K313" s="5" t="str">
        <f t="shared" si="33"/>
        <v>000</v>
      </c>
      <c r="L313" s="5">
        <f t="shared" si="34"/>
        <v>11</v>
      </c>
      <c r="M313" s="5">
        <f t="shared" si="35"/>
        <v>2011</v>
      </c>
    </row>
    <row r="314" spans="1:13" ht="17.45" customHeight="1" x14ac:dyDescent="0.25">
      <c r="A314" s="1">
        <f>DATE(2011,11,25)</f>
        <v>40872</v>
      </c>
      <c r="B314" t="s">
        <v>19</v>
      </c>
      <c r="C314" t="s">
        <v>6</v>
      </c>
      <c r="D314" s="3">
        <v>8387.4284000000007</v>
      </c>
      <c r="E314" s="3">
        <v>0</v>
      </c>
      <c r="F314" t="s">
        <v>45</v>
      </c>
      <c r="G314" s="3">
        <f t="shared" si="29"/>
        <v>-8387.4284000000007</v>
      </c>
      <c r="H314" s="3">
        <f t="shared" si="30"/>
        <v>8387.4284000000007</v>
      </c>
      <c r="I314" s="5" t="str">
        <f t="shared" si="31"/>
        <v>018</v>
      </c>
      <c r="J314" s="5" t="str">
        <f t="shared" si="32"/>
        <v>2100</v>
      </c>
      <c r="K314" s="5" t="str">
        <f t="shared" si="33"/>
        <v>000</v>
      </c>
      <c r="L314" s="5">
        <f t="shared" si="34"/>
        <v>11</v>
      </c>
      <c r="M314" s="5">
        <f t="shared" si="35"/>
        <v>2011</v>
      </c>
    </row>
    <row r="315" spans="1:13" ht="17.45" customHeight="1" x14ac:dyDescent="0.25">
      <c r="A315" s="1">
        <f>DATE(2011,11,25)</f>
        <v>40872</v>
      </c>
      <c r="B315" t="s">
        <v>20</v>
      </c>
      <c r="C315" t="s">
        <v>8</v>
      </c>
      <c r="D315" s="3">
        <v>1049.1690000000001</v>
      </c>
      <c r="E315" s="3">
        <v>0</v>
      </c>
      <c r="F315" t="s">
        <v>45</v>
      </c>
      <c r="G315" s="3">
        <f t="shared" si="29"/>
        <v>-1049.1690000000001</v>
      </c>
      <c r="H315" s="3">
        <f t="shared" si="30"/>
        <v>1049.1690000000001</v>
      </c>
      <c r="I315" s="5" t="str">
        <f t="shared" si="31"/>
        <v>018</v>
      </c>
      <c r="J315" s="5" t="str">
        <f t="shared" si="32"/>
        <v>2210</v>
      </c>
      <c r="K315" s="5" t="str">
        <f t="shared" si="33"/>
        <v>000</v>
      </c>
      <c r="L315" s="5">
        <f t="shared" si="34"/>
        <v>11</v>
      </c>
      <c r="M315" s="5">
        <f t="shared" si="35"/>
        <v>2011</v>
      </c>
    </row>
    <row r="316" spans="1:13" ht="17.45" customHeight="1" x14ac:dyDescent="0.25">
      <c r="A316" s="1">
        <f>DATE(2011,11,25)</f>
        <v>40872</v>
      </c>
      <c r="B316" t="s">
        <v>21</v>
      </c>
      <c r="C316" t="s">
        <v>9</v>
      </c>
      <c r="D316" s="3">
        <v>448.78</v>
      </c>
      <c r="E316" s="3">
        <v>0</v>
      </c>
      <c r="F316" t="s">
        <v>45</v>
      </c>
      <c r="G316" s="3">
        <f t="shared" si="29"/>
        <v>-448.78</v>
      </c>
      <c r="H316" s="3">
        <f t="shared" si="30"/>
        <v>448.78</v>
      </c>
      <c r="I316" s="5" t="str">
        <f t="shared" si="31"/>
        <v>018</v>
      </c>
      <c r="J316" s="5" t="str">
        <f t="shared" si="32"/>
        <v>2220</v>
      </c>
      <c r="K316" s="5" t="str">
        <f t="shared" si="33"/>
        <v>000</v>
      </c>
      <c r="L316" s="5">
        <f t="shared" si="34"/>
        <v>11</v>
      </c>
      <c r="M316" s="5">
        <f t="shared" si="35"/>
        <v>2011</v>
      </c>
    </row>
    <row r="317" spans="1:13" ht="17.45" customHeight="1" x14ac:dyDescent="0.25">
      <c r="A317" s="1">
        <f>DATE(2011,11,25)</f>
        <v>40872</v>
      </c>
      <c r="B317" t="s">
        <v>22</v>
      </c>
      <c r="C317" t="s">
        <v>10</v>
      </c>
      <c r="D317" s="3">
        <v>58.866500000000002</v>
      </c>
      <c r="E317" s="3">
        <v>0</v>
      </c>
      <c r="F317" t="s">
        <v>45</v>
      </c>
      <c r="G317" s="3">
        <f t="shared" si="29"/>
        <v>-58.866500000000002</v>
      </c>
      <c r="H317" s="3">
        <f t="shared" si="30"/>
        <v>58.866500000000002</v>
      </c>
      <c r="I317" s="5" t="str">
        <f t="shared" si="31"/>
        <v>018</v>
      </c>
      <c r="J317" s="5" t="str">
        <f t="shared" si="32"/>
        <v>2230</v>
      </c>
      <c r="K317" s="5" t="str">
        <f t="shared" si="33"/>
        <v>000</v>
      </c>
      <c r="L317" s="5">
        <f t="shared" si="34"/>
        <v>11</v>
      </c>
      <c r="M317" s="5">
        <f t="shared" si="35"/>
        <v>2011</v>
      </c>
    </row>
    <row r="318" spans="1:13" ht="17.45" customHeight="1" x14ac:dyDescent="0.25">
      <c r="A318" s="1">
        <f>DATE(2011,11,26)</f>
        <v>40873</v>
      </c>
      <c r="B318" t="s">
        <v>19</v>
      </c>
      <c r="C318" t="s">
        <v>6</v>
      </c>
      <c r="D318" s="3">
        <v>7238.5855999999994</v>
      </c>
      <c r="E318" s="3">
        <v>0</v>
      </c>
      <c r="F318" t="s">
        <v>45</v>
      </c>
      <c r="G318" s="3">
        <f t="shared" si="29"/>
        <v>-7238.5855999999994</v>
      </c>
      <c r="H318" s="3">
        <f t="shared" si="30"/>
        <v>7238.5855999999994</v>
      </c>
      <c r="I318" s="5" t="str">
        <f t="shared" si="31"/>
        <v>018</v>
      </c>
      <c r="J318" s="5" t="str">
        <f t="shared" si="32"/>
        <v>2100</v>
      </c>
      <c r="K318" s="5" t="str">
        <f t="shared" si="33"/>
        <v>000</v>
      </c>
      <c r="L318" s="5">
        <f t="shared" si="34"/>
        <v>11</v>
      </c>
      <c r="M318" s="5">
        <f t="shared" si="35"/>
        <v>2011</v>
      </c>
    </row>
    <row r="319" spans="1:13" ht="17.45" customHeight="1" x14ac:dyDescent="0.25">
      <c r="A319" s="1">
        <f>DATE(2011,11,26)</f>
        <v>40873</v>
      </c>
      <c r="B319" t="s">
        <v>20</v>
      </c>
      <c r="C319" t="s">
        <v>8</v>
      </c>
      <c r="D319" s="3">
        <v>1996.3949999999998</v>
      </c>
      <c r="E319" s="3">
        <v>0</v>
      </c>
      <c r="F319" t="s">
        <v>45</v>
      </c>
      <c r="G319" s="3">
        <f t="shared" si="29"/>
        <v>-1996.3949999999998</v>
      </c>
      <c r="H319" s="3">
        <f t="shared" si="30"/>
        <v>1996.3949999999998</v>
      </c>
      <c r="I319" s="5" t="str">
        <f t="shared" si="31"/>
        <v>018</v>
      </c>
      <c r="J319" s="5" t="str">
        <f t="shared" si="32"/>
        <v>2210</v>
      </c>
      <c r="K319" s="5" t="str">
        <f t="shared" si="33"/>
        <v>000</v>
      </c>
      <c r="L319" s="5">
        <f t="shared" si="34"/>
        <v>11</v>
      </c>
      <c r="M319" s="5">
        <f t="shared" si="35"/>
        <v>2011</v>
      </c>
    </row>
    <row r="320" spans="1:13" ht="17.45" customHeight="1" x14ac:dyDescent="0.25">
      <c r="A320" s="1">
        <f>DATE(2011,11,26)</f>
        <v>40873</v>
      </c>
      <c r="B320" t="s">
        <v>21</v>
      </c>
      <c r="C320" t="s">
        <v>9</v>
      </c>
      <c r="D320" s="3">
        <v>657.34199999999987</v>
      </c>
      <c r="E320" s="3">
        <v>0</v>
      </c>
      <c r="F320" t="s">
        <v>45</v>
      </c>
      <c r="G320" s="3">
        <f t="shared" si="29"/>
        <v>-657.34199999999987</v>
      </c>
      <c r="H320" s="3">
        <f t="shared" si="30"/>
        <v>657.34199999999987</v>
      </c>
      <c r="I320" s="5" t="str">
        <f t="shared" si="31"/>
        <v>018</v>
      </c>
      <c r="J320" s="5" t="str">
        <f t="shared" si="32"/>
        <v>2220</v>
      </c>
      <c r="K320" s="5" t="str">
        <f t="shared" si="33"/>
        <v>000</v>
      </c>
      <c r="L320" s="5">
        <f t="shared" si="34"/>
        <v>11</v>
      </c>
      <c r="M320" s="5">
        <f t="shared" si="35"/>
        <v>2011</v>
      </c>
    </row>
    <row r="321" spans="1:13" ht="17.45" customHeight="1" x14ac:dyDescent="0.25">
      <c r="A321" s="1">
        <f>DATE(2011,11,26)</f>
        <v>40873</v>
      </c>
      <c r="B321" t="s">
        <v>22</v>
      </c>
      <c r="C321" t="s">
        <v>10</v>
      </c>
      <c r="D321" s="3">
        <v>77.210999999999999</v>
      </c>
      <c r="E321" s="3">
        <v>0</v>
      </c>
      <c r="F321" t="s">
        <v>45</v>
      </c>
      <c r="G321" s="3">
        <f t="shared" si="29"/>
        <v>-77.210999999999999</v>
      </c>
      <c r="H321" s="3">
        <f t="shared" si="30"/>
        <v>77.210999999999999</v>
      </c>
      <c r="I321" s="5" t="str">
        <f t="shared" si="31"/>
        <v>018</v>
      </c>
      <c r="J321" s="5" t="str">
        <f t="shared" si="32"/>
        <v>2230</v>
      </c>
      <c r="K321" s="5" t="str">
        <f t="shared" si="33"/>
        <v>000</v>
      </c>
      <c r="L321" s="5">
        <f t="shared" si="34"/>
        <v>11</v>
      </c>
      <c r="M321" s="5">
        <f t="shared" si="35"/>
        <v>2011</v>
      </c>
    </row>
    <row r="322" spans="1:13" ht="17.45" customHeight="1" x14ac:dyDescent="0.25">
      <c r="A322" s="1">
        <f>DATE(2011,11,27)</f>
        <v>40874</v>
      </c>
      <c r="B322" t="s">
        <v>19</v>
      </c>
      <c r="C322" t="s">
        <v>6</v>
      </c>
      <c r="D322" s="3">
        <v>4928.2374</v>
      </c>
      <c r="E322" s="3">
        <v>0</v>
      </c>
      <c r="F322" t="s">
        <v>45</v>
      </c>
      <c r="G322" s="3">
        <f t="shared" ref="G322:G385" si="37">E322-D322</f>
        <v>-4928.2374</v>
      </c>
      <c r="H322" s="3">
        <f t="shared" ref="H322:H385" si="38">ABS(G322)</f>
        <v>4928.2374</v>
      </c>
      <c r="I322" s="5" t="str">
        <f t="shared" ref="I322:I385" si="39">MID(B322,1,3)</f>
        <v>018</v>
      </c>
      <c r="J322" s="5" t="str">
        <f t="shared" ref="J322:J385" si="40">MID(B322,5,4)</f>
        <v>2100</v>
      </c>
      <c r="K322" s="5" t="str">
        <f t="shared" ref="K322:K385" si="41">MID(B322,10,3)</f>
        <v>000</v>
      </c>
      <c r="L322" s="5">
        <f t="shared" ref="L322:L385" si="42">MONTH(A322)</f>
        <v>11</v>
      </c>
      <c r="M322" s="5">
        <f t="shared" ref="M322:M385" si="43">YEAR(A322)</f>
        <v>2011</v>
      </c>
    </row>
    <row r="323" spans="1:13" ht="17.45" customHeight="1" x14ac:dyDescent="0.25">
      <c r="A323" s="1">
        <f>DATE(2011,11,27)</f>
        <v>40874</v>
      </c>
      <c r="B323" t="s">
        <v>20</v>
      </c>
      <c r="C323" t="s">
        <v>8</v>
      </c>
      <c r="D323" s="3">
        <v>575.46</v>
      </c>
      <c r="E323" s="3">
        <v>0</v>
      </c>
      <c r="F323" t="s">
        <v>45</v>
      </c>
      <c r="G323" s="3">
        <f t="shared" si="37"/>
        <v>-575.46</v>
      </c>
      <c r="H323" s="3">
        <f t="shared" si="38"/>
        <v>575.46</v>
      </c>
      <c r="I323" s="5" t="str">
        <f t="shared" si="39"/>
        <v>018</v>
      </c>
      <c r="J323" s="5" t="str">
        <f t="shared" si="40"/>
        <v>2210</v>
      </c>
      <c r="K323" s="5" t="str">
        <f t="shared" si="41"/>
        <v>000</v>
      </c>
      <c r="L323" s="5">
        <f t="shared" si="42"/>
        <v>11</v>
      </c>
      <c r="M323" s="5">
        <f t="shared" si="43"/>
        <v>2011</v>
      </c>
    </row>
    <row r="324" spans="1:13" ht="17.45" customHeight="1" x14ac:dyDescent="0.25">
      <c r="A324" s="1">
        <f>DATE(2011,11,27)</f>
        <v>40874</v>
      </c>
      <c r="B324" t="s">
        <v>21</v>
      </c>
      <c r="C324" t="s">
        <v>9</v>
      </c>
      <c r="D324" s="3">
        <v>191.565</v>
      </c>
      <c r="E324" s="3">
        <v>0</v>
      </c>
      <c r="F324" t="s">
        <v>45</v>
      </c>
      <c r="G324" s="3">
        <f t="shared" si="37"/>
        <v>-191.565</v>
      </c>
      <c r="H324" s="3">
        <f t="shared" si="38"/>
        <v>191.565</v>
      </c>
      <c r="I324" s="5" t="str">
        <f t="shared" si="39"/>
        <v>018</v>
      </c>
      <c r="J324" s="5" t="str">
        <f t="shared" si="40"/>
        <v>2220</v>
      </c>
      <c r="K324" s="5" t="str">
        <f t="shared" si="41"/>
        <v>000</v>
      </c>
      <c r="L324" s="5">
        <f t="shared" si="42"/>
        <v>11</v>
      </c>
      <c r="M324" s="5">
        <f t="shared" si="43"/>
        <v>2011</v>
      </c>
    </row>
    <row r="325" spans="1:13" ht="17.45" customHeight="1" x14ac:dyDescent="0.25">
      <c r="A325" s="1">
        <f>DATE(2011,11,27)</f>
        <v>40874</v>
      </c>
      <c r="B325" t="s">
        <v>22</v>
      </c>
      <c r="C325" t="s">
        <v>10</v>
      </c>
      <c r="D325" s="3">
        <v>57.353999999999999</v>
      </c>
      <c r="E325" s="3">
        <v>0</v>
      </c>
      <c r="F325" t="s">
        <v>45</v>
      </c>
      <c r="G325" s="3">
        <f t="shared" si="37"/>
        <v>-57.353999999999999</v>
      </c>
      <c r="H325" s="3">
        <f t="shared" si="38"/>
        <v>57.353999999999999</v>
      </c>
      <c r="I325" s="5" t="str">
        <f t="shared" si="39"/>
        <v>018</v>
      </c>
      <c r="J325" s="5" t="str">
        <f t="shared" si="40"/>
        <v>2230</v>
      </c>
      <c r="K325" s="5" t="str">
        <f t="shared" si="41"/>
        <v>000</v>
      </c>
      <c r="L325" s="5">
        <f t="shared" si="42"/>
        <v>11</v>
      </c>
      <c r="M325" s="5">
        <f t="shared" si="43"/>
        <v>2011</v>
      </c>
    </row>
    <row r="326" spans="1:13" ht="17.45" customHeight="1" x14ac:dyDescent="0.25">
      <c r="A326" s="1">
        <f>DATE(2011,11,28)</f>
        <v>40875</v>
      </c>
      <c r="B326" t="s">
        <v>11</v>
      </c>
      <c r="C326" t="s">
        <v>6</v>
      </c>
      <c r="D326" s="3">
        <v>2824.3424</v>
      </c>
      <c r="E326" s="3">
        <v>0</v>
      </c>
      <c r="F326" t="s">
        <v>45</v>
      </c>
      <c r="G326" s="3">
        <f t="shared" si="37"/>
        <v>-2824.3424</v>
      </c>
      <c r="H326" s="3">
        <f t="shared" si="38"/>
        <v>2824.3424</v>
      </c>
      <c r="I326" s="5" t="str">
        <f t="shared" si="39"/>
        <v>016</v>
      </c>
      <c r="J326" s="5" t="str">
        <f t="shared" si="40"/>
        <v>2100</v>
      </c>
      <c r="K326" s="5" t="str">
        <f t="shared" si="41"/>
        <v>000</v>
      </c>
      <c r="L326" s="5">
        <f t="shared" si="42"/>
        <v>11</v>
      </c>
      <c r="M326" s="5">
        <f t="shared" si="43"/>
        <v>2011</v>
      </c>
    </row>
    <row r="327" spans="1:13" ht="17.45" customHeight="1" x14ac:dyDescent="0.25">
      <c r="A327" s="1">
        <f>DATE(2011,11,28)</f>
        <v>40875</v>
      </c>
      <c r="B327" t="s">
        <v>12</v>
      </c>
      <c r="C327" t="s">
        <v>8</v>
      </c>
      <c r="D327" s="3">
        <v>521.77800000000002</v>
      </c>
      <c r="E327" s="3">
        <v>0</v>
      </c>
      <c r="F327" t="s">
        <v>45</v>
      </c>
      <c r="G327" s="3">
        <f t="shared" si="37"/>
        <v>-521.77800000000002</v>
      </c>
      <c r="H327" s="3">
        <f t="shared" si="38"/>
        <v>521.77800000000002</v>
      </c>
      <c r="I327" s="5" t="str">
        <f t="shared" si="39"/>
        <v>016</v>
      </c>
      <c r="J327" s="5" t="str">
        <f t="shared" si="40"/>
        <v>2210</v>
      </c>
      <c r="K327" s="5" t="str">
        <f t="shared" si="41"/>
        <v>000</v>
      </c>
      <c r="L327" s="5">
        <f t="shared" si="42"/>
        <v>11</v>
      </c>
      <c r="M327" s="5">
        <f t="shared" si="43"/>
        <v>2011</v>
      </c>
    </row>
    <row r="328" spans="1:13" ht="17.45" customHeight="1" x14ac:dyDescent="0.25">
      <c r="A328" s="1">
        <f>DATE(2011,11,28)</f>
        <v>40875</v>
      </c>
      <c r="B328" t="s">
        <v>13</v>
      </c>
      <c r="C328" t="s">
        <v>9</v>
      </c>
      <c r="D328" s="3">
        <v>39.974999999999994</v>
      </c>
      <c r="E328" s="3">
        <v>0</v>
      </c>
      <c r="F328" t="s">
        <v>45</v>
      </c>
      <c r="G328" s="3">
        <f t="shared" si="37"/>
        <v>-39.974999999999994</v>
      </c>
      <c r="H328" s="3">
        <f t="shared" si="38"/>
        <v>39.974999999999994</v>
      </c>
      <c r="I328" s="5" t="str">
        <f t="shared" si="39"/>
        <v>016</v>
      </c>
      <c r="J328" s="5" t="str">
        <f t="shared" si="40"/>
        <v>2220</v>
      </c>
      <c r="K328" s="5" t="str">
        <f t="shared" si="41"/>
        <v>000</v>
      </c>
      <c r="L328" s="5">
        <f t="shared" si="42"/>
        <v>11</v>
      </c>
      <c r="M328" s="5">
        <f t="shared" si="43"/>
        <v>2011</v>
      </c>
    </row>
    <row r="329" spans="1:13" ht="17.45" customHeight="1" x14ac:dyDescent="0.25">
      <c r="A329" s="1">
        <f>DATE(2011,11,28)</f>
        <v>40875</v>
      </c>
      <c r="B329" t="s">
        <v>14</v>
      </c>
      <c r="C329" t="s">
        <v>10</v>
      </c>
      <c r="D329" s="3">
        <v>99.417500000000004</v>
      </c>
      <c r="E329" s="3">
        <v>0</v>
      </c>
      <c r="F329" t="s">
        <v>45</v>
      </c>
      <c r="G329" s="3">
        <f t="shared" si="37"/>
        <v>-99.417500000000004</v>
      </c>
      <c r="H329" s="3">
        <f t="shared" si="38"/>
        <v>99.417500000000004</v>
      </c>
      <c r="I329" s="5" t="str">
        <f t="shared" si="39"/>
        <v>016</v>
      </c>
      <c r="J329" s="5" t="str">
        <f t="shared" si="40"/>
        <v>2230</v>
      </c>
      <c r="K329" s="5" t="str">
        <f t="shared" si="41"/>
        <v>000</v>
      </c>
      <c r="L329" s="5">
        <f t="shared" si="42"/>
        <v>11</v>
      </c>
      <c r="M329" s="5">
        <f t="shared" si="43"/>
        <v>2011</v>
      </c>
    </row>
    <row r="330" spans="1:13" ht="17.45" customHeight="1" x14ac:dyDescent="0.25">
      <c r="A330" s="1">
        <f>DATE(2011,11,29)</f>
        <v>40876</v>
      </c>
      <c r="B330" t="s">
        <v>11</v>
      </c>
      <c r="C330" t="s">
        <v>6</v>
      </c>
      <c r="D330" s="3">
        <v>2489.2764000000002</v>
      </c>
      <c r="E330" s="3">
        <v>0</v>
      </c>
      <c r="F330" t="s">
        <v>45</v>
      </c>
      <c r="G330" s="3">
        <f t="shared" si="37"/>
        <v>-2489.2764000000002</v>
      </c>
      <c r="H330" s="3">
        <f t="shared" si="38"/>
        <v>2489.2764000000002</v>
      </c>
      <c r="I330" s="5" t="str">
        <f t="shared" si="39"/>
        <v>016</v>
      </c>
      <c r="J330" s="5" t="str">
        <f t="shared" si="40"/>
        <v>2100</v>
      </c>
      <c r="K330" s="5" t="str">
        <f t="shared" si="41"/>
        <v>000</v>
      </c>
      <c r="L330" s="5">
        <f t="shared" si="42"/>
        <v>11</v>
      </c>
      <c r="M330" s="5">
        <f t="shared" si="43"/>
        <v>2011</v>
      </c>
    </row>
    <row r="331" spans="1:13" ht="17.45" customHeight="1" x14ac:dyDescent="0.25">
      <c r="A331" s="1">
        <f>DATE(2011,11,29)</f>
        <v>40876</v>
      </c>
      <c r="B331" t="s">
        <v>12</v>
      </c>
      <c r="C331" t="s">
        <v>8</v>
      </c>
      <c r="D331" s="3">
        <v>855.32999999999993</v>
      </c>
      <c r="E331" s="3">
        <v>0</v>
      </c>
      <c r="F331" t="s">
        <v>45</v>
      </c>
      <c r="G331" s="3">
        <f t="shared" si="37"/>
        <v>-855.32999999999993</v>
      </c>
      <c r="H331" s="3">
        <f t="shared" si="38"/>
        <v>855.32999999999993</v>
      </c>
      <c r="I331" s="5" t="str">
        <f t="shared" si="39"/>
        <v>016</v>
      </c>
      <c r="J331" s="5" t="str">
        <f t="shared" si="40"/>
        <v>2210</v>
      </c>
      <c r="K331" s="5" t="str">
        <f t="shared" si="41"/>
        <v>000</v>
      </c>
      <c r="L331" s="5">
        <f t="shared" si="42"/>
        <v>11</v>
      </c>
      <c r="M331" s="5">
        <f t="shared" si="43"/>
        <v>2011</v>
      </c>
    </row>
    <row r="332" spans="1:13" ht="17.45" customHeight="1" x14ac:dyDescent="0.25">
      <c r="A332" s="1">
        <f>DATE(2011,11,29)</f>
        <v>40876</v>
      </c>
      <c r="B332" t="s">
        <v>13</v>
      </c>
      <c r="C332" t="s">
        <v>9</v>
      </c>
      <c r="D332" s="3">
        <v>127.92600000000002</v>
      </c>
      <c r="E332" s="3">
        <v>0</v>
      </c>
      <c r="F332" t="s">
        <v>45</v>
      </c>
      <c r="G332" s="3">
        <f t="shared" si="37"/>
        <v>-127.92600000000002</v>
      </c>
      <c r="H332" s="3">
        <f t="shared" si="38"/>
        <v>127.92600000000002</v>
      </c>
      <c r="I332" s="5" t="str">
        <f t="shared" si="39"/>
        <v>016</v>
      </c>
      <c r="J332" s="5" t="str">
        <f t="shared" si="40"/>
        <v>2220</v>
      </c>
      <c r="K332" s="5" t="str">
        <f t="shared" si="41"/>
        <v>000</v>
      </c>
      <c r="L332" s="5">
        <f t="shared" si="42"/>
        <v>11</v>
      </c>
      <c r="M332" s="5">
        <f t="shared" si="43"/>
        <v>2011</v>
      </c>
    </row>
    <row r="333" spans="1:13" ht="17.45" customHeight="1" x14ac:dyDescent="0.25">
      <c r="A333" s="1">
        <f>DATE(2011,11,29)</f>
        <v>40876</v>
      </c>
      <c r="B333" t="s">
        <v>14</v>
      </c>
      <c r="C333" t="s">
        <v>10</v>
      </c>
      <c r="D333" s="3">
        <v>38.335500000000003</v>
      </c>
      <c r="E333" s="3">
        <v>0</v>
      </c>
      <c r="F333" t="s">
        <v>45</v>
      </c>
      <c r="G333" s="3">
        <f t="shared" si="37"/>
        <v>-38.335500000000003</v>
      </c>
      <c r="H333" s="3">
        <f t="shared" si="38"/>
        <v>38.335500000000003</v>
      </c>
      <c r="I333" s="5" t="str">
        <f t="shared" si="39"/>
        <v>016</v>
      </c>
      <c r="J333" s="5" t="str">
        <f t="shared" si="40"/>
        <v>2230</v>
      </c>
      <c r="K333" s="5" t="str">
        <f t="shared" si="41"/>
        <v>000</v>
      </c>
      <c r="L333" s="5">
        <f t="shared" si="42"/>
        <v>11</v>
      </c>
      <c r="M333" s="5">
        <f t="shared" si="43"/>
        <v>2011</v>
      </c>
    </row>
    <row r="334" spans="1:13" ht="17.45" customHeight="1" x14ac:dyDescent="0.25">
      <c r="A334" s="1">
        <f>DATE(2011,11,30)</f>
        <v>40877</v>
      </c>
      <c r="B334" t="s">
        <v>11</v>
      </c>
      <c r="C334" t="s">
        <v>6</v>
      </c>
      <c r="D334" s="3">
        <v>2662.2673</v>
      </c>
      <c r="E334" s="3">
        <v>0</v>
      </c>
      <c r="F334" t="s">
        <v>45</v>
      </c>
      <c r="G334" s="3">
        <f t="shared" si="37"/>
        <v>-2662.2673</v>
      </c>
      <c r="H334" s="3">
        <f t="shared" si="38"/>
        <v>2662.2673</v>
      </c>
      <c r="I334" s="5" t="str">
        <f t="shared" si="39"/>
        <v>016</v>
      </c>
      <c r="J334" s="5" t="str">
        <f t="shared" si="40"/>
        <v>2100</v>
      </c>
      <c r="K334" s="5" t="str">
        <f t="shared" si="41"/>
        <v>000</v>
      </c>
      <c r="L334" s="5">
        <f t="shared" si="42"/>
        <v>11</v>
      </c>
      <c r="M334" s="5">
        <f t="shared" si="43"/>
        <v>2011</v>
      </c>
    </row>
    <row r="335" spans="1:13" ht="17.45" customHeight="1" x14ac:dyDescent="0.25">
      <c r="A335" s="1">
        <f>DATE(2011,11,30)</f>
        <v>40877</v>
      </c>
      <c r="B335" t="s">
        <v>12</v>
      </c>
      <c r="C335" t="s">
        <v>8</v>
      </c>
      <c r="D335" s="3">
        <v>666.66599999999994</v>
      </c>
      <c r="E335" s="3">
        <v>0</v>
      </c>
      <c r="F335" t="s">
        <v>45</v>
      </c>
      <c r="G335" s="3">
        <f t="shared" si="37"/>
        <v>-666.66599999999994</v>
      </c>
      <c r="H335" s="3">
        <f t="shared" si="38"/>
        <v>666.66599999999994</v>
      </c>
      <c r="I335" s="5" t="str">
        <f t="shared" si="39"/>
        <v>016</v>
      </c>
      <c r="J335" s="5" t="str">
        <f t="shared" si="40"/>
        <v>2210</v>
      </c>
      <c r="K335" s="5" t="str">
        <f t="shared" si="41"/>
        <v>000</v>
      </c>
      <c r="L335" s="5">
        <f t="shared" si="42"/>
        <v>11</v>
      </c>
      <c r="M335" s="5">
        <f t="shared" si="43"/>
        <v>2011</v>
      </c>
    </row>
    <row r="336" spans="1:13" ht="17.45" customHeight="1" x14ac:dyDescent="0.25">
      <c r="A336" s="1">
        <f>DATE(2011,11,30)</f>
        <v>40877</v>
      </c>
      <c r="B336" t="s">
        <v>13</v>
      </c>
      <c r="C336" t="s">
        <v>9</v>
      </c>
      <c r="D336" s="3">
        <v>104.39999999999999</v>
      </c>
      <c r="E336" s="3">
        <v>0</v>
      </c>
      <c r="F336" t="s">
        <v>45</v>
      </c>
      <c r="G336" s="3">
        <f t="shared" si="37"/>
        <v>-104.39999999999999</v>
      </c>
      <c r="H336" s="3">
        <f t="shared" si="38"/>
        <v>104.39999999999999</v>
      </c>
      <c r="I336" s="5" t="str">
        <f t="shared" si="39"/>
        <v>016</v>
      </c>
      <c r="J336" s="5" t="str">
        <f t="shared" si="40"/>
        <v>2220</v>
      </c>
      <c r="K336" s="5" t="str">
        <f t="shared" si="41"/>
        <v>000</v>
      </c>
      <c r="L336" s="5">
        <f t="shared" si="42"/>
        <v>11</v>
      </c>
      <c r="M336" s="5">
        <f t="shared" si="43"/>
        <v>2011</v>
      </c>
    </row>
    <row r="337" spans="1:13" ht="17.45" customHeight="1" x14ac:dyDescent="0.25">
      <c r="A337" s="1">
        <f>DATE(2011,11,30)</f>
        <v>40877</v>
      </c>
      <c r="B337" t="s">
        <v>14</v>
      </c>
      <c r="C337" t="s">
        <v>10</v>
      </c>
      <c r="D337" s="3">
        <v>113.23800000000001</v>
      </c>
      <c r="E337" s="3">
        <v>0</v>
      </c>
      <c r="F337" t="s">
        <v>45</v>
      </c>
      <c r="G337" s="3">
        <f t="shared" si="37"/>
        <v>-113.23800000000001</v>
      </c>
      <c r="H337" s="3">
        <f t="shared" si="38"/>
        <v>113.23800000000001</v>
      </c>
      <c r="I337" s="5" t="str">
        <f t="shared" si="39"/>
        <v>016</v>
      </c>
      <c r="J337" s="5" t="str">
        <f t="shared" si="40"/>
        <v>2230</v>
      </c>
      <c r="K337" s="5" t="str">
        <f t="shared" si="41"/>
        <v>000</v>
      </c>
      <c r="L337" s="5">
        <f t="shared" si="42"/>
        <v>11</v>
      </c>
      <c r="M337" s="5">
        <f t="shared" si="43"/>
        <v>2011</v>
      </c>
    </row>
    <row r="338" spans="1:13" ht="17.45" customHeight="1" x14ac:dyDescent="0.25">
      <c r="A338" s="1">
        <f>DATE(2011,12,1)</f>
        <v>40878</v>
      </c>
      <c r="B338" t="s">
        <v>11</v>
      </c>
      <c r="C338" t="s">
        <v>6</v>
      </c>
      <c r="D338" s="3">
        <v>2985.1889999999999</v>
      </c>
      <c r="E338" s="3">
        <v>0</v>
      </c>
      <c r="F338" t="s">
        <v>45</v>
      </c>
      <c r="G338" s="3">
        <f t="shared" si="37"/>
        <v>-2985.1889999999999</v>
      </c>
      <c r="H338" s="3">
        <f t="shared" si="38"/>
        <v>2985.1889999999999</v>
      </c>
      <c r="I338" s="5" t="str">
        <f t="shared" si="39"/>
        <v>016</v>
      </c>
      <c r="J338" s="5" t="str">
        <f t="shared" si="40"/>
        <v>2100</v>
      </c>
      <c r="K338" s="5" t="str">
        <f t="shared" si="41"/>
        <v>000</v>
      </c>
      <c r="L338" s="5">
        <f t="shared" si="42"/>
        <v>12</v>
      </c>
      <c r="M338" s="5">
        <f t="shared" si="43"/>
        <v>2011</v>
      </c>
    </row>
    <row r="339" spans="1:13" ht="17.45" customHeight="1" x14ac:dyDescent="0.25">
      <c r="A339" s="1">
        <f>DATE(2011,12,1)</f>
        <v>40878</v>
      </c>
      <c r="B339" t="s">
        <v>12</v>
      </c>
      <c r="C339" t="s">
        <v>8</v>
      </c>
      <c r="D339" s="3">
        <v>840.87199999999996</v>
      </c>
      <c r="E339" s="3">
        <v>0</v>
      </c>
      <c r="F339" t="s">
        <v>45</v>
      </c>
      <c r="G339" s="3">
        <f t="shared" si="37"/>
        <v>-840.87199999999996</v>
      </c>
      <c r="H339" s="3">
        <f t="shared" si="38"/>
        <v>840.87199999999996</v>
      </c>
      <c r="I339" s="5" t="str">
        <f t="shared" si="39"/>
        <v>016</v>
      </c>
      <c r="J339" s="5" t="str">
        <f t="shared" si="40"/>
        <v>2210</v>
      </c>
      <c r="K339" s="5" t="str">
        <f t="shared" si="41"/>
        <v>000</v>
      </c>
      <c r="L339" s="5">
        <f t="shared" si="42"/>
        <v>12</v>
      </c>
      <c r="M339" s="5">
        <f t="shared" si="43"/>
        <v>2011</v>
      </c>
    </row>
    <row r="340" spans="1:13" ht="17.45" customHeight="1" x14ac:dyDescent="0.25">
      <c r="A340" s="1">
        <f>DATE(2011,12,1)</f>
        <v>40878</v>
      </c>
      <c r="B340" t="s">
        <v>13</v>
      </c>
      <c r="C340" t="s">
        <v>9</v>
      </c>
      <c r="D340" s="3">
        <v>114.36749999999999</v>
      </c>
      <c r="E340" s="3">
        <v>0</v>
      </c>
      <c r="F340" t="s">
        <v>45</v>
      </c>
      <c r="G340" s="3">
        <f t="shared" si="37"/>
        <v>-114.36749999999999</v>
      </c>
      <c r="H340" s="3">
        <f t="shared" si="38"/>
        <v>114.36749999999999</v>
      </c>
      <c r="I340" s="5" t="str">
        <f t="shared" si="39"/>
        <v>016</v>
      </c>
      <c r="J340" s="5" t="str">
        <f t="shared" si="40"/>
        <v>2220</v>
      </c>
      <c r="K340" s="5" t="str">
        <f t="shared" si="41"/>
        <v>000</v>
      </c>
      <c r="L340" s="5">
        <f t="shared" si="42"/>
        <v>12</v>
      </c>
      <c r="M340" s="5">
        <f t="shared" si="43"/>
        <v>2011</v>
      </c>
    </row>
    <row r="341" spans="1:13" ht="17.45" customHeight="1" x14ac:dyDescent="0.25">
      <c r="A341" s="1">
        <f>DATE(2011,12,1)</f>
        <v>40878</v>
      </c>
      <c r="B341" t="s">
        <v>14</v>
      </c>
      <c r="C341" t="s">
        <v>10</v>
      </c>
      <c r="D341" s="3">
        <v>61.489999999999995</v>
      </c>
      <c r="E341" s="3">
        <v>0</v>
      </c>
      <c r="F341" t="s">
        <v>45</v>
      </c>
      <c r="G341" s="3">
        <f t="shared" si="37"/>
        <v>-61.489999999999995</v>
      </c>
      <c r="H341" s="3">
        <f t="shared" si="38"/>
        <v>61.489999999999995</v>
      </c>
      <c r="I341" s="5" t="str">
        <f t="shared" si="39"/>
        <v>016</v>
      </c>
      <c r="J341" s="5" t="str">
        <f t="shared" si="40"/>
        <v>2230</v>
      </c>
      <c r="K341" s="5" t="str">
        <f t="shared" si="41"/>
        <v>000</v>
      </c>
      <c r="L341" s="5">
        <f t="shared" si="42"/>
        <v>12</v>
      </c>
      <c r="M341" s="5">
        <f t="shared" si="43"/>
        <v>2011</v>
      </c>
    </row>
    <row r="342" spans="1:13" ht="17.45" customHeight="1" x14ac:dyDescent="0.25">
      <c r="A342" s="1">
        <f t="shared" ref="A342:A345" si="44">DATE(2011,12,2)</f>
        <v>40879</v>
      </c>
      <c r="B342" t="s">
        <v>11</v>
      </c>
      <c r="C342" t="s">
        <v>6</v>
      </c>
      <c r="D342" s="3">
        <v>4610.9187999999995</v>
      </c>
      <c r="E342" s="3">
        <v>0</v>
      </c>
      <c r="F342" t="s">
        <v>45</v>
      </c>
      <c r="G342" s="3">
        <f t="shared" si="37"/>
        <v>-4610.9187999999995</v>
      </c>
      <c r="H342" s="3">
        <f t="shared" si="38"/>
        <v>4610.9187999999995</v>
      </c>
      <c r="I342" s="5" t="str">
        <f t="shared" si="39"/>
        <v>016</v>
      </c>
      <c r="J342" s="5" t="str">
        <f t="shared" si="40"/>
        <v>2100</v>
      </c>
      <c r="K342" s="5" t="str">
        <f t="shared" si="41"/>
        <v>000</v>
      </c>
      <c r="L342" s="5">
        <f t="shared" si="42"/>
        <v>12</v>
      </c>
      <c r="M342" s="5">
        <f t="shared" si="43"/>
        <v>2011</v>
      </c>
    </row>
    <row r="343" spans="1:13" ht="17.45" customHeight="1" x14ac:dyDescent="0.25">
      <c r="A343" s="1">
        <f t="shared" si="44"/>
        <v>40879</v>
      </c>
      <c r="B343" t="s">
        <v>12</v>
      </c>
      <c r="C343" t="s">
        <v>8</v>
      </c>
      <c r="D343" s="3">
        <v>2540.0319999999997</v>
      </c>
      <c r="E343" s="3">
        <v>0</v>
      </c>
      <c r="F343" t="s">
        <v>45</v>
      </c>
      <c r="G343" s="3">
        <f t="shared" si="37"/>
        <v>-2540.0319999999997</v>
      </c>
      <c r="H343" s="3">
        <f t="shared" si="38"/>
        <v>2540.0319999999997</v>
      </c>
      <c r="I343" s="5" t="str">
        <f t="shared" si="39"/>
        <v>016</v>
      </c>
      <c r="J343" s="5" t="str">
        <f t="shared" si="40"/>
        <v>2210</v>
      </c>
      <c r="K343" s="5" t="str">
        <f t="shared" si="41"/>
        <v>000</v>
      </c>
      <c r="L343" s="5">
        <f t="shared" si="42"/>
        <v>12</v>
      </c>
      <c r="M343" s="5">
        <f t="shared" si="43"/>
        <v>2011</v>
      </c>
    </row>
    <row r="344" spans="1:13" ht="17.45" customHeight="1" x14ac:dyDescent="0.25">
      <c r="A344" s="1">
        <f t="shared" si="44"/>
        <v>40879</v>
      </c>
      <c r="B344" t="s">
        <v>13</v>
      </c>
      <c r="C344" t="s">
        <v>9</v>
      </c>
      <c r="D344" s="3">
        <v>310.55399999999997</v>
      </c>
      <c r="E344" s="3">
        <v>0</v>
      </c>
      <c r="F344" t="s">
        <v>45</v>
      </c>
      <c r="G344" s="3">
        <f t="shared" si="37"/>
        <v>-310.55399999999997</v>
      </c>
      <c r="H344" s="3">
        <f t="shared" si="38"/>
        <v>310.55399999999997</v>
      </c>
      <c r="I344" s="5" t="str">
        <f t="shared" si="39"/>
        <v>016</v>
      </c>
      <c r="J344" s="5" t="str">
        <f t="shared" si="40"/>
        <v>2220</v>
      </c>
      <c r="K344" s="5" t="str">
        <f t="shared" si="41"/>
        <v>000</v>
      </c>
      <c r="L344" s="5">
        <f t="shared" si="42"/>
        <v>12</v>
      </c>
      <c r="M344" s="5">
        <f t="shared" si="43"/>
        <v>2011</v>
      </c>
    </row>
    <row r="345" spans="1:13" ht="17.45" customHeight="1" x14ac:dyDescent="0.25">
      <c r="A345" s="1">
        <f t="shared" si="44"/>
        <v>40879</v>
      </c>
      <c r="B345" t="s">
        <v>14</v>
      </c>
      <c r="C345" t="s">
        <v>10</v>
      </c>
      <c r="D345" s="3">
        <v>305.5</v>
      </c>
      <c r="E345" s="3">
        <v>0</v>
      </c>
      <c r="F345" t="s">
        <v>45</v>
      </c>
      <c r="G345" s="3">
        <f t="shared" si="37"/>
        <v>-305.5</v>
      </c>
      <c r="H345" s="3">
        <f t="shared" si="38"/>
        <v>305.5</v>
      </c>
      <c r="I345" s="5" t="str">
        <f t="shared" si="39"/>
        <v>016</v>
      </c>
      <c r="J345" s="5" t="str">
        <f t="shared" si="40"/>
        <v>2230</v>
      </c>
      <c r="K345" s="5" t="str">
        <f t="shared" si="41"/>
        <v>000</v>
      </c>
      <c r="L345" s="5">
        <f t="shared" si="42"/>
        <v>12</v>
      </c>
      <c r="M345" s="5">
        <f t="shared" si="43"/>
        <v>2011</v>
      </c>
    </row>
    <row r="346" spans="1:13" ht="17.45" customHeight="1" x14ac:dyDescent="0.25">
      <c r="A346" s="1">
        <f>DATE(2011,12,3)</f>
        <v>40880</v>
      </c>
      <c r="B346" t="s">
        <v>11</v>
      </c>
      <c r="C346" t="s">
        <v>6</v>
      </c>
      <c r="D346" s="3">
        <v>7146.1079999999993</v>
      </c>
      <c r="E346" s="3">
        <v>0</v>
      </c>
      <c r="F346" t="s">
        <v>45</v>
      </c>
      <c r="G346" s="3">
        <f t="shared" si="37"/>
        <v>-7146.1079999999993</v>
      </c>
      <c r="H346" s="3">
        <f t="shared" si="38"/>
        <v>7146.1079999999993</v>
      </c>
      <c r="I346" s="5" t="str">
        <f t="shared" si="39"/>
        <v>016</v>
      </c>
      <c r="J346" s="5" t="str">
        <f t="shared" si="40"/>
        <v>2100</v>
      </c>
      <c r="K346" s="5" t="str">
        <f t="shared" si="41"/>
        <v>000</v>
      </c>
      <c r="L346" s="5">
        <f t="shared" si="42"/>
        <v>12</v>
      </c>
      <c r="M346" s="5">
        <f t="shared" si="43"/>
        <v>2011</v>
      </c>
    </row>
    <row r="347" spans="1:13" ht="17.45" customHeight="1" x14ac:dyDescent="0.25">
      <c r="A347" s="1">
        <f>DATE(2011,12,3)</f>
        <v>40880</v>
      </c>
      <c r="B347" t="s">
        <v>12</v>
      </c>
      <c r="C347" t="s">
        <v>8</v>
      </c>
      <c r="D347" s="3">
        <v>2654.6765</v>
      </c>
      <c r="E347" s="3">
        <v>0</v>
      </c>
      <c r="F347" t="s">
        <v>45</v>
      </c>
      <c r="G347" s="3">
        <f t="shared" si="37"/>
        <v>-2654.6765</v>
      </c>
      <c r="H347" s="3">
        <f t="shared" si="38"/>
        <v>2654.6765</v>
      </c>
      <c r="I347" s="5" t="str">
        <f t="shared" si="39"/>
        <v>016</v>
      </c>
      <c r="J347" s="5" t="str">
        <f t="shared" si="40"/>
        <v>2210</v>
      </c>
      <c r="K347" s="5" t="str">
        <f t="shared" si="41"/>
        <v>000</v>
      </c>
      <c r="L347" s="5">
        <f t="shared" si="42"/>
        <v>12</v>
      </c>
      <c r="M347" s="5">
        <f t="shared" si="43"/>
        <v>2011</v>
      </c>
    </row>
    <row r="348" spans="1:13" ht="17.45" customHeight="1" x14ac:dyDescent="0.25">
      <c r="A348" s="1">
        <f>DATE(2011,12,3)</f>
        <v>40880</v>
      </c>
      <c r="B348" t="s">
        <v>13</v>
      </c>
      <c r="C348" t="s">
        <v>9</v>
      </c>
      <c r="D348" s="3">
        <v>396.74250000000006</v>
      </c>
      <c r="E348" s="3">
        <v>0</v>
      </c>
      <c r="F348" t="s">
        <v>45</v>
      </c>
      <c r="G348" s="3">
        <f t="shared" si="37"/>
        <v>-396.74250000000006</v>
      </c>
      <c r="H348" s="3">
        <f t="shared" si="38"/>
        <v>396.74250000000006</v>
      </c>
      <c r="I348" s="5" t="str">
        <f t="shared" si="39"/>
        <v>016</v>
      </c>
      <c r="J348" s="5" t="str">
        <f t="shared" si="40"/>
        <v>2220</v>
      </c>
      <c r="K348" s="5" t="str">
        <f t="shared" si="41"/>
        <v>000</v>
      </c>
      <c r="L348" s="5">
        <f t="shared" si="42"/>
        <v>12</v>
      </c>
      <c r="M348" s="5">
        <f t="shared" si="43"/>
        <v>2011</v>
      </c>
    </row>
    <row r="349" spans="1:13" ht="17.45" customHeight="1" x14ac:dyDescent="0.25">
      <c r="A349" s="1">
        <f>DATE(2011,12,3)</f>
        <v>40880</v>
      </c>
      <c r="B349" t="s">
        <v>14</v>
      </c>
      <c r="C349" t="s">
        <v>10</v>
      </c>
      <c r="D349" s="3">
        <v>325.24799999999999</v>
      </c>
      <c r="E349" s="3">
        <v>0</v>
      </c>
      <c r="F349" t="s">
        <v>45</v>
      </c>
      <c r="G349" s="3">
        <f t="shared" si="37"/>
        <v>-325.24799999999999</v>
      </c>
      <c r="H349" s="3">
        <f t="shared" si="38"/>
        <v>325.24799999999999</v>
      </c>
      <c r="I349" s="5" t="str">
        <f t="shared" si="39"/>
        <v>016</v>
      </c>
      <c r="J349" s="5" t="str">
        <f t="shared" si="40"/>
        <v>2230</v>
      </c>
      <c r="K349" s="5" t="str">
        <f t="shared" si="41"/>
        <v>000</v>
      </c>
      <c r="L349" s="5">
        <f t="shared" si="42"/>
        <v>12</v>
      </c>
      <c r="M349" s="5">
        <f t="shared" si="43"/>
        <v>2011</v>
      </c>
    </row>
    <row r="350" spans="1:13" ht="17.45" customHeight="1" x14ac:dyDescent="0.25">
      <c r="A350" s="1">
        <f>DATE(2011,12,4)</f>
        <v>40881</v>
      </c>
      <c r="B350" t="s">
        <v>11</v>
      </c>
      <c r="C350" t="s">
        <v>6</v>
      </c>
      <c r="D350" s="3">
        <v>3266.835</v>
      </c>
      <c r="E350" s="3">
        <v>0</v>
      </c>
      <c r="F350" t="s">
        <v>45</v>
      </c>
      <c r="G350" s="3">
        <f t="shared" si="37"/>
        <v>-3266.835</v>
      </c>
      <c r="H350" s="3">
        <f t="shared" si="38"/>
        <v>3266.835</v>
      </c>
      <c r="I350" s="5" t="str">
        <f t="shared" si="39"/>
        <v>016</v>
      </c>
      <c r="J350" s="5" t="str">
        <f t="shared" si="40"/>
        <v>2100</v>
      </c>
      <c r="K350" s="5" t="str">
        <f t="shared" si="41"/>
        <v>000</v>
      </c>
      <c r="L350" s="5">
        <f t="shared" si="42"/>
        <v>12</v>
      </c>
      <c r="M350" s="5">
        <f t="shared" si="43"/>
        <v>2011</v>
      </c>
    </row>
    <row r="351" spans="1:13" ht="17.45" customHeight="1" x14ac:dyDescent="0.25">
      <c r="A351" s="1">
        <f>DATE(2011,12,4)</f>
        <v>40881</v>
      </c>
      <c r="B351" t="s">
        <v>12</v>
      </c>
      <c r="C351" t="s">
        <v>8</v>
      </c>
      <c r="D351" s="3">
        <v>641.71800000000007</v>
      </c>
      <c r="E351" s="3">
        <v>0</v>
      </c>
      <c r="F351" t="s">
        <v>45</v>
      </c>
      <c r="G351" s="3">
        <f t="shared" si="37"/>
        <v>-641.71800000000007</v>
      </c>
      <c r="H351" s="3">
        <f t="shared" si="38"/>
        <v>641.71800000000007</v>
      </c>
      <c r="I351" s="5" t="str">
        <f t="shared" si="39"/>
        <v>016</v>
      </c>
      <c r="J351" s="5" t="str">
        <f t="shared" si="40"/>
        <v>2210</v>
      </c>
      <c r="K351" s="5" t="str">
        <f t="shared" si="41"/>
        <v>000</v>
      </c>
      <c r="L351" s="5">
        <f t="shared" si="42"/>
        <v>12</v>
      </c>
      <c r="M351" s="5">
        <f t="shared" si="43"/>
        <v>2011</v>
      </c>
    </row>
    <row r="352" spans="1:13" ht="17.45" customHeight="1" x14ac:dyDescent="0.25">
      <c r="A352" s="1">
        <f>DATE(2011,12,4)</f>
        <v>40881</v>
      </c>
      <c r="B352" t="s">
        <v>13</v>
      </c>
      <c r="C352" t="s">
        <v>9</v>
      </c>
      <c r="D352" s="3">
        <v>230.89500000000001</v>
      </c>
      <c r="E352" s="3">
        <v>0</v>
      </c>
      <c r="F352" t="s">
        <v>45</v>
      </c>
      <c r="G352" s="3">
        <f t="shared" si="37"/>
        <v>-230.89500000000001</v>
      </c>
      <c r="H352" s="3">
        <f t="shared" si="38"/>
        <v>230.89500000000001</v>
      </c>
      <c r="I352" s="5" t="str">
        <f t="shared" si="39"/>
        <v>016</v>
      </c>
      <c r="J352" s="5" t="str">
        <f t="shared" si="40"/>
        <v>2220</v>
      </c>
      <c r="K352" s="5" t="str">
        <f t="shared" si="41"/>
        <v>000</v>
      </c>
      <c r="L352" s="5">
        <f t="shared" si="42"/>
        <v>12</v>
      </c>
      <c r="M352" s="5">
        <f t="shared" si="43"/>
        <v>2011</v>
      </c>
    </row>
    <row r="353" spans="1:13" ht="17.45" customHeight="1" x14ac:dyDescent="0.25">
      <c r="A353" s="1">
        <f>DATE(2011,12,4)</f>
        <v>40881</v>
      </c>
      <c r="B353" t="s">
        <v>14</v>
      </c>
      <c r="C353" t="s">
        <v>10</v>
      </c>
      <c r="D353" s="3">
        <v>78.027499999999989</v>
      </c>
      <c r="E353" s="3">
        <v>0</v>
      </c>
      <c r="F353" t="s">
        <v>45</v>
      </c>
      <c r="G353" s="3">
        <f t="shared" si="37"/>
        <v>-78.027499999999989</v>
      </c>
      <c r="H353" s="3">
        <f t="shared" si="38"/>
        <v>78.027499999999989</v>
      </c>
      <c r="I353" s="5" t="str">
        <f t="shared" si="39"/>
        <v>016</v>
      </c>
      <c r="J353" s="5" t="str">
        <f t="shared" si="40"/>
        <v>2230</v>
      </c>
      <c r="K353" s="5" t="str">
        <f t="shared" si="41"/>
        <v>000</v>
      </c>
      <c r="L353" s="5">
        <f t="shared" si="42"/>
        <v>12</v>
      </c>
      <c r="M353" s="5">
        <f t="shared" si="43"/>
        <v>2011</v>
      </c>
    </row>
    <row r="354" spans="1:13" ht="17.45" customHeight="1" x14ac:dyDescent="0.25">
      <c r="A354" s="1">
        <f>DATE(2011,11,28)</f>
        <v>40875</v>
      </c>
      <c r="B354" t="s">
        <v>15</v>
      </c>
      <c r="C354" t="s">
        <v>6</v>
      </c>
      <c r="D354" s="3">
        <v>3724.1010000000001</v>
      </c>
      <c r="E354" s="3">
        <v>0</v>
      </c>
      <c r="F354" t="s">
        <v>45</v>
      </c>
      <c r="G354" s="3">
        <f t="shared" si="37"/>
        <v>-3724.1010000000001</v>
      </c>
      <c r="H354" s="3">
        <f t="shared" si="38"/>
        <v>3724.1010000000001</v>
      </c>
      <c r="I354" s="5" t="str">
        <f t="shared" si="39"/>
        <v>017</v>
      </c>
      <c r="J354" s="5" t="str">
        <f t="shared" si="40"/>
        <v>2100</v>
      </c>
      <c r="K354" s="5" t="str">
        <f t="shared" si="41"/>
        <v>000</v>
      </c>
      <c r="L354" s="5">
        <f t="shared" si="42"/>
        <v>11</v>
      </c>
      <c r="M354" s="5">
        <f t="shared" si="43"/>
        <v>2011</v>
      </c>
    </row>
    <row r="355" spans="1:13" ht="17.45" customHeight="1" x14ac:dyDescent="0.25">
      <c r="A355" s="1">
        <f>DATE(2011,11,28)</f>
        <v>40875</v>
      </c>
      <c r="B355" t="s">
        <v>16</v>
      </c>
      <c r="C355" t="s">
        <v>8</v>
      </c>
      <c r="D355" s="3">
        <v>713.62099999999998</v>
      </c>
      <c r="E355" s="3">
        <v>0</v>
      </c>
      <c r="F355" t="s">
        <v>45</v>
      </c>
      <c r="G355" s="3">
        <f t="shared" si="37"/>
        <v>-713.62099999999998</v>
      </c>
      <c r="H355" s="3">
        <f t="shared" si="38"/>
        <v>713.62099999999998</v>
      </c>
      <c r="I355" s="5" t="str">
        <f t="shared" si="39"/>
        <v>017</v>
      </c>
      <c r="J355" s="5" t="str">
        <f t="shared" si="40"/>
        <v>2210</v>
      </c>
      <c r="K355" s="5" t="str">
        <f t="shared" si="41"/>
        <v>000</v>
      </c>
      <c r="L355" s="5">
        <f t="shared" si="42"/>
        <v>11</v>
      </c>
      <c r="M355" s="5">
        <f t="shared" si="43"/>
        <v>2011</v>
      </c>
    </row>
    <row r="356" spans="1:13" ht="17.45" customHeight="1" x14ac:dyDescent="0.25">
      <c r="A356" s="1">
        <f>DATE(2011,11,28)</f>
        <v>40875</v>
      </c>
      <c r="B356" t="s">
        <v>17</v>
      </c>
      <c r="C356" t="s">
        <v>9</v>
      </c>
      <c r="D356" s="3">
        <v>256.89999999999998</v>
      </c>
      <c r="E356" s="3">
        <v>0</v>
      </c>
      <c r="F356" t="s">
        <v>45</v>
      </c>
      <c r="G356" s="3">
        <f t="shared" si="37"/>
        <v>-256.89999999999998</v>
      </c>
      <c r="H356" s="3">
        <f t="shared" si="38"/>
        <v>256.89999999999998</v>
      </c>
      <c r="I356" s="5" t="str">
        <f t="shared" si="39"/>
        <v>017</v>
      </c>
      <c r="J356" s="5" t="str">
        <f t="shared" si="40"/>
        <v>2220</v>
      </c>
      <c r="K356" s="5" t="str">
        <f t="shared" si="41"/>
        <v>000</v>
      </c>
      <c r="L356" s="5">
        <f t="shared" si="42"/>
        <v>11</v>
      </c>
      <c r="M356" s="5">
        <f t="shared" si="43"/>
        <v>2011</v>
      </c>
    </row>
    <row r="357" spans="1:13" ht="17.45" customHeight="1" x14ac:dyDescent="0.25">
      <c r="A357" s="1">
        <f>DATE(2011,11,28)</f>
        <v>40875</v>
      </c>
      <c r="B357" t="s">
        <v>18</v>
      </c>
      <c r="C357" t="s">
        <v>10</v>
      </c>
      <c r="D357" s="3">
        <v>22.308</v>
      </c>
      <c r="E357" s="3">
        <v>0</v>
      </c>
      <c r="F357" t="s">
        <v>45</v>
      </c>
      <c r="G357" s="3">
        <f t="shared" si="37"/>
        <v>-22.308</v>
      </c>
      <c r="H357" s="3">
        <f t="shared" si="38"/>
        <v>22.308</v>
      </c>
      <c r="I357" s="5" t="str">
        <f t="shared" si="39"/>
        <v>017</v>
      </c>
      <c r="J357" s="5" t="str">
        <f t="shared" si="40"/>
        <v>2230</v>
      </c>
      <c r="K357" s="5" t="str">
        <f t="shared" si="41"/>
        <v>000</v>
      </c>
      <c r="L357" s="5">
        <f t="shared" si="42"/>
        <v>11</v>
      </c>
      <c r="M357" s="5">
        <f t="shared" si="43"/>
        <v>2011</v>
      </c>
    </row>
    <row r="358" spans="1:13" ht="17.45" customHeight="1" x14ac:dyDescent="0.25">
      <c r="A358" s="1">
        <f>DATE(2011,11,29)</f>
        <v>40876</v>
      </c>
      <c r="B358" t="s">
        <v>15</v>
      </c>
      <c r="C358" t="s">
        <v>6</v>
      </c>
      <c r="D358" s="3">
        <v>4314.7424999999994</v>
      </c>
      <c r="E358" s="3">
        <v>0</v>
      </c>
      <c r="F358" t="s">
        <v>45</v>
      </c>
      <c r="G358" s="3">
        <f t="shared" si="37"/>
        <v>-4314.7424999999994</v>
      </c>
      <c r="H358" s="3">
        <f t="shared" si="38"/>
        <v>4314.7424999999994</v>
      </c>
      <c r="I358" s="5" t="str">
        <f t="shared" si="39"/>
        <v>017</v>
      </c>
      <c r="J358" s="5" t="str">
        <f t="shared" si="40"/>
        <v>2100</v>
      </c>
      <c r="K358" s="5" t="str">
        <f t="shared" si="41"/>
        <v>000</v>
      </c>
      <c r="L358" s="5">
        <f t="shared" si="42"/>
        <v>11</v>
      </c>
      <c r="M358" s="5">
        <f t="shared" si="43"/>
        <v>2011</v>
      </c>
    </row>
    <row r="359" spans="1:13" ht="17.45" customHeight="1" x14ac:dyDescent="0.25">
      <c r="A359" s="1">
        <f>DATE(2011,11,29)</f>
        <v>40876</v>
      </c>
      <c r="B359" t="s">
        <v>16</v>
      </c>
      <c r="C359" t="s">
        <v>8</v>
      </c>
      <c r="D359" s="3">
        <v>1224.2239999999999</v>
      </c>
      <c r="E359" s="3">
        <v>0</v>
      </c>
      <c r="F359" t="s">
        <v>45</v>
      </c>
      <c r="G359" s="3">
        <f t="shared" si="37"/>
        <v>-1224.2239999999999</v>
      </c>
      <c r="H359" s="3">
        <f t="shared" si="38"/>
        <v>1224.2239999999999</v>
      </c>
      <c r="I359" s="5" t="str">
        <f t="shared" si="39"/>
        <v>017</v>
      </c>
      <c r="J359" s="5" t="str">
        <f t="shared" si="40"/>
        <v>2210</v>
      </c>
      <c r="K359" s="5" t="str">
        <f t="shared" si="41"/>
        <v>000</v>
      </c>
      <c r="L359" s="5">
        <f t="shared" si="42"/>
        <v>11</v>
      </c>
      <c r="M359" s="5">
        <f t="shared" si="43"/>
        <v>2011</v>
      </c>
    </row>
    <row r="360" spans="1:13" ht="17.45" customHeight="1" x14ac:dyDescent="0.25">
      <c r="A360" s="1">
        <f>DATE(2011,11,29)</f>
        <v>40876</v>
      </c>
      <c r="B360" t="s">
        <v>17</v>
      </c>
      <c r="C360" t="s">
        <v>9</v>
      </c>
      <c r="D360" s="3">
        <v>338.86500000000001</v>
      </c>
      <c r="E360" s="3">
        <v>0</v>
      </c>
      <c r="F360" t="s">
        <v>45</v>
      </c>
      <c r="G360" s="3">
        <f t="shared" si="37"/>
        <v>-338.86500000000001</v>
      </c>
      <c r="H360" s="3">
        <f t="shared" si="38"/>
        <v>338.86500000000001</v>
      </c>
      <c r="I360" s="5" t="str">
        <f t="shared" si="39"/>
        <v>017</v>
      </c>
      <c r="J360" s="5" t="str">
        <f t="shared" si="40"/>
        <v>2220</v>
      </c>
      <c r="K360" s="5" t="str">
        <f t="shared" si="41"/>
        <v>000</v>
      </c>
      <c r="L360" s="5">
        <f t="shared" si="42"/>
        <v>11</v>
      </c>
      <c r="M360" s="5">
        <f t="shared" si="43"/>
        <v>2011</v>
      </c>
    </row>
    <row r="361" spans="1:13" ht="17.45" customHeight="1" x14ac:dyDescent="0.25">
      <c r="A361" s="1">
        <f>DATE(2011,11,29)</f>
        <v>40876</v>
      </c>
      <c r="B361" t="s">
        <v>18</v>
      </c>
      <c r="C361" t="s">
        <v>10</v>
      </c>
      <c r="D361" s="3">
        <v>97.845000000000013</v>
      </c>
      <c r="E361" s="3">
        <v>0</v>
      </c>
      <c r="F361" t="s">
        <v>45</v>
      </c>
      <c r="G361" s="3">
        <f t="shared" si="37"/>
        <v>-97.845000000000013</v>
      </c>
      <c r="H361" s="3">
        <f t="shared" si="38"/>
        <v>97.845000000000013</v>
      </c>
      <c r="I361" s="5" t="str">
        <f t="shared" si="39"/>
        <v>017</v>
      </c>
      <c r="J361" s="5" t="str">
        <f t="shared" si="40"/>
        <v>2230</v>
      </c>
      <c r="K361" s="5" t="str">
        <f t="shared" si="41"/>
        <v>000</v>
      </c>
      <c r="L361" s="5">
        <f t="shared" si="42"/>
        <v>11</v>
      </c>
      <c r="M361" s="5">
        <f t="shared" si="43"/>
        <v>2011</v>
      </c>
    </row>
    <row r="362" spans="1:13" ht="17.45" customHeight="1" x14ac:dyDescent="0.25">
      <c r="A362" s="1">
        <f>DATE(2011,11,30)</f>
        <v>40877</v>
      </c>
      <c r="B362" t="s">
        <v>15</v>
      </c>
      <c r="C362" t="s">
        <v>6</v>
      </c>
      <c r="D362" s="3">
        <v>6092.4031999999997</v>
      </c>
      <c r="E362" s="3">
        <v>0</v>
      </c>
      <c r="F362" t="s">
        <v>45</v>
      </c>
      <c r="G362" s="3">
        <f t="shared" si="37"/>
        <v>-6092.4031999999997</v>
      </c>
      <c r="H362" s="3">
        <f t="shared" si="38"/>
        <v>6092.4031999999997</v>
      </c>
      <c r="I362" s="5" t="str">
        <f t="shared" si="39"/>
        <v>017</v>
      </c>
      <c r="J362" s="5" t="str">
        <f t="shared" si="40"/>
        <v>2100</v>
      </c>
      <c r="K362" s="5" t="str">
        <f t="shared" si="41"/>
        <v>000</v>
      </c>
      <c r="L362" s="5">
        <f t="shared" si="42"/>
        <v>11</v>
      </c>
      <c r="M362" s="5">
        <f t="shared" si="43"/>
        <v>2011</v>
      </c>
    </row>
    <row r="363" spans="1:13" ht="17.45" customHeight="1" x14ac:dyDescent="0.25">
      <c r="A363" s="1">
        <f>DATE(2011,11,30)</f>
        <v>40877</v>
      </c>
      <c r="B363" t="s">
        <v>16</v>
      </c>
      <c r="C363" t="s">
        <v>8</v>
      </c>
      <c r="D363" s="3">
        <v>1150.826</v>
      </c>
      <c r="E363" s="3">
        <v>0</v>
      </c>
      <c r="F363" t="s">
        <v>45</v>
      </c>
      <c r="G363" s="3">
        <f t="shared" si="37"/>
        <v>-1150.826</v>
      </c>
      <c r="H363" s="3">
        <f t="shared" si="38"/>
        <v>1150.826</v>
      </c>
      <c r="I363" s="5" t="str">
        <f t="shared" si="39"/>
        <v>017</v>
      </c>
      <c r="J363" s="5" t="str">
        <f t="shared" si="40"/>
        <v>2210</v>
      </c>
      <c r="K363" s="5" t="str">
        <f t="shared" si="41"/>
        <v>000</v>
      </c>
      <c r="L363" s="5">
        <f t="shared" si="42"/>
        <v>11</v>
      </c>
      <c r="M363" s="5">
        <f t="shared" si="43"/>
        <v>2011</v>
      </c>
    </row>
    <row r="364" spans="1:13" ht="17.45" customHeight="1" x14ac:dyDescent="0.25">
      <c r="A364" s="1">
        <f>DATE(2011,11,30)</f>
        <v>40877</v>
      </c>
      <c r="B364" t="s">
        <v>17</v>
      </c>
      <c r="C364" t="s">
        <v>9</v>
      </c>
      <c r="D364" s="3">
        <v>461.44000000000005</v>
      </c>
      <c r="E364" s="3">
        <v>0</v>
      </c>
      <c r="F364" t="s">
        <v>45</v>
      </c>
      <c r="G364" s="3">
        <f t="shared" si="37"/>
        <v>-461.44000000000005</v>
      </c>
      <c r="H364" s="3">
        <f t="shared" si="38"/>
        <v>461.44000000000005</v>
      </c>
      <c r="I364" s="5" t="str">
        <f t="shared" si="39"/>
        <v>017</v>
      </c>
      <c r="J364" s="5" t="str">
        <f t="shared" si="40"/>
        <v>2220</v>
      </c>
      <c r="K364" s="5" t="str">
        <f t="shared" si="41"/>
        <v>000</v>
      </c>
      <c r="L364" s="5">
        <f t="shared" si="42"/>
        <v>11</v>
      </c>
      <c r="M364" s="5">
        <f t="shared" si="43"/>
        <v>2011</v>
      </c>
    </row>
    <row r="365" spans="1:13" ht="17.45" customHeight="1" x14ac:dyDescent="0.25">
      <c r="A365" s="1">
        <f>DATE(2011,11,30)</f>
        <v>40877</v>
      </c>
      <c r="B365" t="s">
        <v>18</v>
      </c>
      <c r="C365" t="s">
        <v>10</v>
      </c>
      <c r="D365" s="3">
        <v>208.16299999999998</v>
      </c>
      <c r="E365" s="3">
        <v>0</v>
      </c>
      <c r="F365" t="s">
        <v>45</v>
      </c>
      <c r="G365" s="3">
        <f t="shared" si="37"/>
        <v>-208.16299999999998</v>
      </c>
      <c r="H365" s="3">
        <f t="shared" si="38"/>
        <v>208.16299999999998</v>
      </c>
      <c r="I365" s="5" t="str">
        <f t="shared" si="39"/>
        <v>017</v>
      </c>
      <c r="J365" s="5" t="str">
        <f t="shared" si="40"/>
        <v>2230</v>
      </c>
      <c r="K365" s="5" t="str">
        <f t="shared" si="41"/>
        <v>000</v>
      </c>
      <c r="L365" s="5">
        <f t="shared" si="42"/>
        <v>11</v>
      </c>
      <c r="M365" s="5">
        <f t="shared" si="43"/>
        <v>2011</v>
      </c>
    </row>
    <row r="366" spans="1:13" ht="17.45" customHeight="1" x14ac:dyDescent="0.25">
      <c r="A366" s="1">
        <f>DATE(2011,12,1)</f>
        <v>40878</v>
      </c>
      <c r="B366" t="s">
        <v>15</v>
      </c>
      <c r="C366" t="s">
        <v>6</v>
      </c>
      <c r="D366" s="3">
        <v>5494.72</v>
      </c>
      <c r="E366" s="3">
        <v>0</v>
      </c>
      <c r="F366" t="s">
        <v>45</v>
      </c>
      <c r="G366" s="3">
        <f t="shared" si="37"/>
        <v>-5494.72</v>
      </c>
      <c r="H366" s="3">
        <f t="shared" si="38"/>
        <v>5494.72</v>
      </c>
      <c r="I366" s="5" t="str">
        <f t="shared" si="39"/>
        <v>017</v>
      </c>
      <c r="J366" s="5" t="str">
        <f t="shared" si="40"/>
        <v>2100</v>
      </c>
      <c r="K366" s="5" t="str">
        <f t="shared" si="41"/>
        <v>000</v>
      </c>
      <c r="L366" s="5">
        <f t="shared" si="42"/>
        <v>12</v>
      </c>
      <c r="M366" s="5">
        <f t="shared" si="43"/>
        <v>2011</v>
      </c>
    </row>
    <row r="367" spans="1:13" ht="17.45" customHeight="1" x14ac:dyDescent="0.25">
      <c r="A367" s="1">
        <f>DATE(2011,12,1)</f>
        <v>40878</v>
      </c>
      <c r="B367" t="s">
        <v>16</v>
      </c>
      <c r="C367" t="s">
        <v>8</v>
      </c>
      <c r="D367" s="3">
        <v>2015.6280000000002</v>
      </c>
      <c r="E367" s="3">
        <v>0</v>
      </c>
      <c r="F367" t="s">
        <v>45</v>
      </c>
      <c r="G367" s="3">
        <f t="shared" si="37"/>
        <v>-2015.6280000000002</v>
      </c>
      <c r="H367" s="3">
        <f t="shared" si="38"/>
        <v>2015.6280000000002</v>
      </c>
      <c r="I367" s="5" t="str">
        <f t="shared" si="39"/>
        <v>017</v>
      </c>
      <c r="J367" s="5" t="str">
        <f t="shared" si="40"/>
        <v>2210</v>
      </c>
      <c r="K367" s="5" t="str">
        <f t="shared" si="41"/>
        <v>000</v>
      </c>
      <c r="L367" s="5">
        <f t="shared" si="42"/>
        <v>12</v>
      </c>
      <c r="M367" s="5">
        <f t="shared" si="43"/>
        <v>2011</v>
      </c>
    </row>
    <row r="368" spans="1:13" ht="17.45" customHeight="1" x14ac:dyDescent="0.25">
      <c r="A368" s="1">
        <f>DATE(2011,12,1)</f>
        <v>40878</v>
      </c>
      <c r="B368" t="s">
        <v>17</v>
      </c>
      <c r="C368" t="s">
        <v>9</v>
      </c>
      <c r="D368" s="3">
        <v>651.56000000000006</v>
      </c>
      <c r="E368" s="3">
        <v>0</v>
      </c>
      <c r="F368" t="s">
        <v>45</v>
      </c>
      <c r="G368" s="3">
        <f t="shared" si="37"/>
        <v>-651.56000000000006</v>
      </c>
      <c r="H368" s="3">
        <f t="shared" si="38"/>
        <v>651.56000000000006</v>
      </c>
      <c r="I368" s="5" t="str">
        <f t="shared" si="39"/>
        <v>017</v>
      </c>
      <c r="J368" s="5" t="str">
        <f t="shared" si="40"/>
        <v>2220</v>
      </c>
      <c r="K368" s="5" t="str">
        <f t="shared" si="41"/>
        <v>000</v>
      </c>
      <c r="L368" s="5">
        <f t="shared" si="42"/>
        <v>12</v>
      </c>
      <c r="M368" s="5">
        <f t="shared" si="43"/>
        <v>2011</v>
      </c>
    </row>
    <row r="369" spans="1:13" ht="17.45" customHeight="1" x14ac:dyDescent="0.25">
      <c r="A369" s="1">
        <f>DATE(2011,12,1)</f>
        <v>40878</v>
      </c>
      <c r="B369" t="s">
        <v>18</v>
      </c>
      <c r="C369" t="s">
        <v>10</v>
      </c>
      <c r="D369" s="3">
        <v>146.13749999999999</v>
      </c>
      <c r="E369" s="3">
        <v>0</v>
      </c>
      <c r="F369" t="s">
        <v>45</v>
      </c>
      <c r="G369" s="3">
        <f t="shared" si="37"/>
        <v>-146.13749999999999</v>
      </c>
      <c r="H369" s="3">
        <f t="shared" si="38"/>
        <v>146.13749999999999</v>
      </c>
      <c r="I369" s="5" t="str">
        <f t="shared" si="39"/>
        <v>017</v>
      </c>
      <c r="J369" s="5" t="str">
        <f t="shared" si="40"/>
        <v>2230</v>
      </c>
      <c r="K369" s="5" t="str">
        <f t="shared" si="41"/>
        <v>000</v>
      </c>
      <c r="L369" s="5">
        <f t="shared" si="42"/>
        <v>12</v>
      </c>
      <c r="M369" s="5">
        <f t="shared" si="43"/>
        <v>2011</v>
      </c>
    </row>
    <row r="370" spans="1:13" ht="17.45" customHeight="1" x14ac:dyDescent="0.25">
      <c r="A370" s="1">
        <f>DATE(2011,12,2)</f>
        <v>40879</v>
      </c>
      <c r="B370" t="s">
        <v>15</v>
      </c>
      <c r="C370" t="s">
        <v>6</v>
      </c>
      <c r="D370" s="3">
        <v>7403.9865</v>
      </c>
      <c r="E370" s="3">
        <v>0</v>
      </c>
      <c r="F370" t="s">
        <v>45</v>
      </c>
      <c r="G370" s="3">
        <f t="shared" si="37"/>
        <v>-7403.9865</v>
      </c>
      <c r="H370" s="3">
        <f t="shared" si="38"/>
        <v>7403.9865</v>
      </c>
      <c r="I370" s="5" t="str">
        <f t="shared" si="39"/>
        <v>017</v>
      </c>
      <c r="J370" s="5" t="str">
        <f t="shared" si="40"/>
        <v>2100</v>
      </c>
      <c r="K370" s="5" t="str">
        <f t="shared" si="41"/>
        <v>000</v>
      </c>
      <c r="L370" s="5">
        <f t="shared" si="42"/>
        <v>12</v>
      </c>
      <c r="M370" s="5">
        <f t="shared" si="43"/>
        <v>2011</v>
      </c>
    </row>
    <row r="371" spans="1:13" ht="17.45" customHeight="1" x14ac:dyDescent="0.25">
      <c r="A371" s="1">
        <f>DATE(2011,12,2)</f>
        <v>40879</v>
      </c>
      <c r="B371" t="s">
        <v>16</v>
      </c>
      <c r="C371" t="s">
        <v>8</v>
      </c>
      <c r="D371" s="3">
        <v>3493.76</v>
      </c>
      <c r="E371" s="3">
        <v>0</v>
      </c>
      <c r="F371" t="s">
        <v>45</v>
      </c>
      <c r="G371" s="3">
        <f t="shared" si="37"/>
        <v>-3493.76</v>
      </c>
      <c r="H371" s="3">
        <f t="shared" si="38"/>
        <v>3493.76</v>
      </c>
      <c r="I371" s="5" t="str">
        <f t="shared" si="39"/>
        <v>017</v>
      </c>
      <c r="J371" s="5" t="str">
        <f t="shared" si="40"/>
        <v>2210</v>
      </c>
      <c r="K371" s="5" t="str">
        <f t="shared" si="41"/>
        <v>000</v>
      </c>
      <c r="L371" s="5">
        <f t="shared" si="42"/>
        <v>12</v>
      </c>
      <c r="M371" s="5">
        <f t="shared" si="43"/>
        <v>2011</v>
      </c>
    </row>
    <row r="372" spans="1:13" ht="17.45" customHeight="1" x14ac:dyDescent="0.25">
      <c r="A372" s="1">
        <f>DATE(2011,12,2)</f>
        <v>40879</v>
      </c>
      <c r="B372" t="s">
        <v>17</v>
      </c>
      <c r="C372" t="s">
        <v>9</v>
      </c>
      <c r="D372" s="3">
        <v>860.40000000000009</v>
      </c>
      <c r="E372" s="3">
        <v>0</v>
      </c>
      <c r="F372" t="s">
        <v>45</v>
      </c>
      <c r="G372" s="3">
        <f t="shared" si="37"/>
        <v>-860.40000000000009</v>
      </c>
      <c r="H372" s="3">
        <f t="shared" si="38"/>
        <v>860.40000000000009</v>
      </c>
      <c r="I372" s="5" t="str">
        <f t="shared" si="39"/>
        <v>017</v>
      </c>
      <c r="J372" s="5" t="str">
        <f t="shared" si="40"/>
        <v>2220</v>
      </c>
      <c r="K372" s="5" t="str">
        <f t="shared" si="41"/>
        <v>000</v>
      </c>
      <c r="L372" s="5">
        <f t="shared" si="42"/>
        <v>12</v>
      </c>
      <c r="M372" s="5">
        <f t="shared" si="43"/>
        <v>2011</v>
      </c>
    </row>
    <row r="373" spans="1:13" ht="17.45" customHeight="1" x14ac:dyDescent="0.25">
      <c r="A373" s="1">
        <f>DATE(2011,12,2)</f>
        <v>40879</v>
      </c>
      <c r="B373" t="s">
        <v>18</v>
      </c>
      <c r="C373" t="s">
        <v>10</v>
      </c>
      <c r="D373" s="3">
        <v>415.33199999999994</v>
      </c>
      <c r="E373" s="3">
        <v>0</v>
      </c>
      <c r="F373" t="s">
        <v>45</v>
      </c>
      <c r="G373" s="3">
        <f t="shared" si="37"/>
        <v>-415.33199999999994</v>
      </c>
      <c r="H373" s="3">
        <f t="shared" si="38"/>
        <v>415.33199999999994</v>
      </c>
      <c r="I373" s="5" t="str">
        <f t="shared" si="39"/>
        <v>017</v>
      </c>
      <c r="J373" s="5" t="str">
        <f t="shared" si="40"/>
        <v>2230</v>
      </c>
      <c r="K373" s="5" t="str">
        <f t="shared" si="41"/>
        <v>000</v>
      </c>
      <c r="L373" s="5">
        <f t="shared" si="42"/>
        <v>12</v>
      </c>
      <c r="M373" s="5">
        <f t="shared" si="43"/>
        <v>2011</v>
      </c>
    </row>
    <row r="374" spans="1:13" ht="17.45" customHeight="1" x14ac:dyDescent="0.25">
      <c r="A374" s="1">
        <f t="shared" ref="A374:A377" si="45">DATE(2011,12,3)</f>
        <v>40880</v>
      </c>
      <c r="B374" t="s">
        <v>15</v>
      </c>
      <c r="C374" t="s">
        <v>6</v>
      </c>
      <c r="D374" s="3">
        <v>7464.02</v>
      </c>
      <c r="E374" s="3">
        <v>0</v>
      </c>
      <c r="F374" t="s">
        <v>45</v>
      </c>
      <c r="G374" s="3">
        <f t="shared" si="37"/>
        <v>-7464.02</v>
      </c>
      <c r="H374" s="3">
        <f t="shared" si="38"/>
        <v>7464.02</v>
      </c>
      <c r="I374" s="5" t="str">
        <f t="shared" si="39"/>
        <v>017</v>
      </c>
      <c r="J374" s="5" t="str">
        <f t="shared" si="40"/>
        <v>2100</v>
      </c>
      <c r="K374" s="5" t="str">
        <f t="shared" si="41"/>
        <v>000</v>
      </c>
      <c r="L374" s="5">
        <f t="shared" si="42"/>
        <v>12</v>
      </c>
      <c r="M374" s="5">
        <f t="shared" si="43"/>
        <v>2011</v>
      </c>
    </row>
    <row r="375" spans="1:13" ht="17.45" customHeight="1" x14ac:dyDescent="0.25">
      <c r="A375" s="1">
        <f t="shared" si="45"/>
        <v>40880</v>
      </c>
      <c r="B375" t="s">
        <v>16</v>
      </c>
      <c r="C375" t="s">
        <v>8</v>
      </c>
      <c r="D375" s="3">
        <v>1149.6870000000001</v>
      </c>
      <c r="E375" s="3">
        <v>0</v>
      </c>
      <c r="F375" t="s">
        <v>45</v>
      </c>
      <c r="G375" s="3">
        <f t="shared" si="37"/>
        <v>-1149.6870000000001</v>
      </c>
      <c r="H375" s="3">
        <f t="shared" si="38"/>
        <v>1149.6870000000001</v>
      </c>
      <c r="I375" s="5" t="str">
        <f t="shared" si="39"/>
        <v>017</v>
      </c>
      <c r="J375" s="5" t="str">
        <f t="shared" si="40"/>
        <v>2210</v>
      </c>
      <c r="K375" s="5" t="str">
        <f t="shared" si="41"/>
        <v>000</v>
      </c>
      <c r="L375" s="5">
        <f t="shared" si="42"/>
        <v>12</v>
      </c>
      <c r="M375" s="5">
        <f t="shared" si="43"/>
        <v>2011</v>
      </c>
    </row>
    <row r="376" spans="1:13" ht="17.45" customHeight="1" x14ac:dyDescent="0.25">
      <c r="A376" s="1">
        <f t="shared" si="45"/>
        <v>40880</v>
      </c>
      <c r="B376" t="s">
        <v>17</v>
      </c>
      <c r="C376" t="s">
        <v>9</v>
      </c>
      <c r="D376" s="3">
        <v>286.75</v>
      </c>
      <c r="E376" s="3">
        <v>0</v>
      </c>
      <c r="F376" t="s">
        <v>45</v>
      </c>
      <c r="G376" s="3">
        <f t="shared" si="37"/>
        <v>-286.75</v>
      </c>
      <c r="H376" s="3">
        <f t="shared" si="38"/>
        <v>286.75</v>
      </c>
      <c r="I376" s="5" t="str">
        <f t="shared" si="39"/>
        <v>017</v>
      </c>
      <c r="J376" s="5" t="str">
        <f t="shared" si="40"/>
        <v>2220</v>
      </c>
      <c r="K376" s="5" t="str">
        <f t="shared" si="41"/>
        <v>000</v>
      </c>
      <c r="L376" s="5">
        <f t="shared" si="42"/>
        <v>12</v>
      </c>
      <c r="M376" s="5">
        <f t="shared" si="43"/>
        <v>2011</v>
      </c>
    </row>
    <row r="377" spans="1:13" ht="17.45" customHeight="1" x14ac:dyDescent="0.25">
      <c r="A377" s="1">
        <f t="shared" si="45"/>
        <v>40880</v>
      </c>
      <c r="B377" t="s">
        <v>18</v>
      </c>
      <c r="C377" t="s">
        <v>10</v>
      </c>
      <c r="D377" s="3">
        <v>118.52850000000001</v>
      </c>
      <c r="E377" s="3">
        <v>0</v>
      </c>
      <c r="F377" t="s">
        <v>45</v>
      </c>
      <c r="G377" s="3">
        <f t="shared" si="37"/>
        <v>-118.52850000000001</v>
      </c>
      <c r="H377" s="3">
        <f t="shared" si="38"/>
        <v>118.52850000000001</v>
      </c>
      <c r="I377" s="5" t="str">
        <f t="shared" si="39"/>
        <v>017</v>
      </c>
      <c r="J377" s="5" t="str">
        <f t="shared" si="40"/>
        <v>2230</v>
      </c>
      <c r="K377" s="5" t="str">
        <f t="shared" si="41"/>
        <v>000</v>
      </c>
      <c r="L377" s="5">
        <f t="shared" si="42"/>
        <v>12</v>
      </c>
      <c r="M377" s="5">
        <f t="shared" si="43"/>
        <v>2011</v>
      </c>
    </row>
    <row r="378" spans="1:13" ht="17.45" customHeight="1" x14ac:dyDescent="0.25">
      <c r="A378" s="1">
        <f>DATE(2011,12,4)</f>
        <v>40881</v>
      </c>
      <c r="B378" t="s">
        <v>15</v>
      </c>
      <c r="C378" t="s">
        <v>6</v>
      </c>
      <c r="D378" s="3">
        <v>4774.8189999999995</v>
      </c>
      <c r="E378" s="3">
        <v>0</v>
      </c>
      <c r="F378" t="s">
        <v>45</v>
      </c>
      <c r="G378" s="3">
        <f t="shared" si="37"/>
        <v>-4774.8189999999995</v>
      </c>
      <c r="H378" s="3">
        <f t="shared" si="38"/>
        <v>4774.8189999999995</v>
      </c>
      <c r="I378" s="5" t="str">
        <f t="shared" si="39"/>
        <v>017</v>
      </c>
      <c r="J378" s="5" t="str">
        <f t="shared" si="40"/>
        <v>2100</v>
      </c>
      <c r="K378" s="5" t="str">
        <f t="shared" si="41"/>
        <v>000</v>
      </c>
      <c r="L378" s="5">
        <f t="shared" si="42"/>
        <v>12</v>
      </c>
      <c r="M378" s="5">
        <f t="shared" si="43"/>
        <v>2011</v>
      </c>
    </row>
    <row r="379" spans="1:13" ht="17.45" customHeight="1" x14ac:dyDescent="0.25">
      <c r="A379" s="1">
        <f>DATE(2011,12,4)</f>
        <v>40881</v>
      </c>
      <c r="B379" t="s">
        <v>16</v>
      </c>
      <c r="C379" t="s">
        <v>8</v>
      </c>
      <c r="D379" s="3">
        <v>771.476</v>
      </c>
      <c r="E379" s="3">
        <v>0</v>
      </c>
      <c r="F379" t="s">
        <v>45</v>
      </c>
      <c r="G379" s="3">
        <f t="shared" si="37"/>
        <v>-771.476</v>
      </c>
      <c r="H379" s="3">
        <f t="shared" si="38"/>
        <v>771.476</v>
      </c>
      <c r="I379" s="5" t="str">
        <f t="shared" si="39"/>
        <v>017</v>
      </c>
      <c r="J379" s="5" t="str">
        <f t="shared" si="40"/>
        <v>2210</v>
      </c>
      <c r="K379" s="5" t="str">
        <f t="shared" si="41"/>
        <v>000</v>
      </c>
      <c r="L379" s="5">
        <f t="shared" si="42"/>
        <v>12</v>
      </c>
      <c r="M379" s="5">
        <f t="shared" si="43"/>
        <v>2011</v>
      </c>
    </row>
    <row r="380" spans="1:13" ht="17.45" customHeight="1" x14ac:dyDescent="0.25">
      <c r="A380" s="1">
        <f>DATE(2011,12,4)</f>
        <v>40881</v>
      </c>
      <c r="B380" t="s">
        <v>17</v>
      </c>
      <c r="C380" t="s">
        <v>9</v>
      </c>
      <c r="D380" s="3">
        <v>197.14500000000001</v>
      </c>
      <c r="E380" s="3">
        <v>0</v>
      </c>
      <c r="F380" t="s">
        <v>45</v>
      </c>
      <c r="G380" s="3">
        <f t="shared" si="37"/>
        <v>-197.14500000000001</v>
      </c>
      <c r="H380" s="3">
        <f t="shared" si="38"/>
        <v>197.14500000000001</v>
      </c>
      <c r="I380" s="5" t="str">
        <f t="shared" si="39"/>
        <v>017</v>
      </c>
      <c r="J380" s="5" t="str">
        <f t="shared" si="40"/>
        <v>2220</v>
      </c>
      <c r="K380" s="5" t="str">
        <f t="shared" si="41"/>
        <v>000</v>
      </c>
      <c r="L380" s="5">
        <f t="shared" si="42"/>
        <v>12</v>
      </c>
      <c r="M380" s="5">
        <f t="shared" si="43"/>
        <v>2011</v>
      </c>
    </row>
    <row r="381" spans="1:13" ht="17.45" customHeight="1" x14ac:dyDescent="0.25">
      <c r="A381" s="1">
        <f>DATE(2011,12,4)</f>
        <v>40881</v>
      </c>
      <c r="B381" t="s">
        <v>18</v>
      </c>
      <c r="C381" t="s">
        <v>10</v>
      </c>
      <c r="D381" s="3">
        <v>101.2</v>
      </c>
      <c r="E381" s="3">
        <v>0</v>
      </c>
      <c r="F381" t="s">
        <v>45</v>
      </c>
      <c r="G381" s="3">
        <f t="shared" si="37"/>
        <v>-101.2</v>
      </c>
      <c r="H381" s="3">
        <f t="shared" si="38"/>
        <v>101.2</v>
      </c>
      <c r="I381" s="5" t="str">
        <f t="shared" si="39"/>
        <v>017</v>
      </c>
      <c r="J381" s="5" t="str">
        <f t="shared" si="40"/>
        <v>2230</v>
      </c>
      <c r="K381" s="5" t="str">
        <f t="shared" si="41"/>
        <v>000</v>
      </c>
      <c r="L381" s="5">
        <f t="shared" si="42"/>
        <v>12</v>
      </c>
      <c r="M381" s="5">
        <f t="shared" si="43"/>
        <v>2011</v>
      </c>
    </row>
    <row r="382" spans="1:13" ht="17.45" customHeight="1" x14ac:dyDescent="0.25">
      <c r="A382" s="1">
        <f>DATE(2011,11,28)</f>
        <v>40875</v>
      </c>
      <c r="B382" t="s">
        <v>19</v>
      </c>
      <c r="C382" t="s">
        <v>6</v>
      </c>
      <c r="D382" s="3">
        <v>2665.0884000000001</v>
      </c>
      <c r="E382" s="3">
        <v>0</v>
      </c>
      <c r="F382" t="s">
        <v>45</v>
      </c>
      <c r="G382" s="3">
        <f t="shared" si="37"/>
        <v>-2665.0884000000001</v>
      </c>
      <c r="H382" s="3">
        <f t="shared" si="38"/>
        <v>2665.0884000000001</v>
      </c>
      <c r="I382" s="5" t="str">
        <f t="shared" si="39"/>
        <v>018</v>
      </c>
      <c r="J382" s="5" t="str">
        <f t="shared" si="40"/>
        <v>2100</v>
      </c>
      <c r="K382" s="5" t="str">
        <f t="shared" si="41"/>
        <v>000</v>
      </c>
      <c r="L382" s="5">
        <f t="shared" si="42"/>
        <v>11</v>
      </c>
      <c r="M382" s="5">
        <f t="shared" si="43"/>
        <v>2011</v>
      </c>
    </row>
    <row r="383" spans="1:13" ht="17.45" customHeight="1" x14ac:dyDescent="0.25">
      <c r="A383" s="1">
        <f>DATE(2011,11,28)</f>
        <v>40875</v>
      </c>
      <c r="B383" t="s">
        <v>20</v>
      </c>
      <c r="C383" t="s">
        <v>8</v>
      </c>
      <c r="D383" s="3">
        <v>317.45</v>
      </c>
      <c r="E383" s="3">
        <v>0</v>
      </c>
      <c r="F383" t="s">
        <v>45</v>
      </c>
      <c r="G383" s="3">
        <f t="shared" si="37"/>
        <v>-317.45</v>
      </c>
      <c r="H383" s="3">
        <f t="shared" si="38"/>
        <v>317.45</v>
      </c>
      <c r="I383" s="5" t="str">
        <f t="shared" si="39"/>
        <v>018</v>
      </c>
      <c r="J383" s="5" t="str">
        <f t="shared" si="40"/>
        <v>2210</v>
      </c>
      <c r="K383" s="5" t="str">
        <f t="shared" si="41"/>
        <v>000</v>
      </c>
      <c r="L383" s="5">
        <f t="shared" si="42"/>
        <v>11</v>
      </c>
      <c r="M383" s="5">
        <f t="shared" si="43"/>
        <v>2011</v>
      </c>
    </row>
    <row r="384" spans="1:13" ht="17.45" customHeight="1" x14ac:dyDescent="0.25">
      <c r="A384" s="1">
        <f>DATE(2011,11,28)</f>
        <v>40875</v>
      </c>
      <c r="B384" t="s">
        <v>21</v>
      </c>
      <c r="C384" t="s">
        <v>9</v>
      </c>
      <c r="D384" s="3">
        <v>75.295000000000002</v>
      </c>
      <c r="E384" s="3">
        <v>0</v>
      </c>
      <c r="F384" t="s">
        <v>45</v>
      </c>
      <c r="G384" s="3">
        <f t="shared" si="37"/>
        <v>-75.295000000000002</v>
      </c>
      <c r="H384" s="3">
        <f t="shared" si="38"/>
        <v>75.295000000000002</v>
      </c>
      <c r="I384" s="5" t="str">
        <f t="shared" si="39"/>
        <v>018</v>
      </c>
      <c r="J384" s="5" t="str">
        <f t="shared" si="40"/>
        <v>2220</v>
      </c>
      <c r="K384" s="5" t="str">
        <f t="shared" si="41"/>
        <v>000</v>
      </c>
      <c r="L384" s="5">
        <f t="shared" si="42"/>
        <v>11</v>
      </c>
      <c r="M384" s="5">
        <f t="shared" si="43"/>
        <v>2011</v>
      </c>
    </row>
    <row r="385" spans="1:13" ht="17.45" customHeight="1" x14ac:dyDescent="0.25">
      <c r="A385" s="1">
        <f>DATE(2011,11,28)</f>
        <v>40875</v>
      </c>
      <c r="B385" t="s">
        <v>22</v>
      </c>
      <c r="C385" t="s">
        <v>10</v>
      </c>
      <c r="D385" s="3">
        <v>40.014000000000003</v>
      </c>
      <c r="E385" s="3">
        <v>0</v>
      </c>
      <c r="F385" t="s">
        <v>45</v>
      </c>
      <c r="G385" s="3">
        <f t="shared" si="37"/>
        <v>-40.014000000000003</v>
      </c>
      <c r="H385" s="3">
        <f t="shared" si="38"/>
        <v>40.014000000000003</v>
      </c>
      <c r="I385" s="5" t="str">
        <f t="shared" si="39"/>
        <v>018</v>
      </c>
      <c r="J385" s="5" t="str">
        <f t="shared" si="40"/>
        <v>2230</v>
      </c>
      <c r="K385" s="5" t="str">
        <f t="shared" si="41"/>
        <v>000</v>
      </c>
      <c r="L385" s="5">
        <f t="shared" si="42"/>
        <v>11</v>
      </c>
      <c r="M385" s="5">
        <f t="shared" si="43"/>
        <v>2011</v>
      </c>
    </row>
    <row r="386" spans="1:13" ht="17.45" customHeight="1" x14ac:dyDescent="0.25">
      <c r="A386" s="1">
        <f>DATE(2011,11,29)</f>
        <v>40876</v>
      </c>
      <c r="B386" t="s">
        <v>19</v>
      </c>
      <c r="C386" t="s">
        <v>6</v>
      </c>
      <c r="D386" s="3">
        <v>2875.2107999999998</v>
      </c>
      <c r="E386" s="3">
        <v>0</v>
      </c>
      <c r="F386" t="s">
        <v>45</v>
      </c>
      <c r="G386" s="3">
        <f t="shared" ref="G386:G449" si="46">E386-D386</f>
        <v>-2875.2107999999998</v>
      </c>
      <c r="H386" s="3">
        <f t="shared" ref="H386:H449" si="47">ABS(G386)</f>
        <v>2875.2107999999998</v>
      </c>
      <c r="I386" s="5" t="str">
        <f t="shared" ref="I386:I449" si="48">MID(B386,1,3)</f>
        <v>018</v>
      </c>
      <c r="J386" s="5" t="str">
        <f t="shared" ref="J386:J449" si="49">MID(B386,5,4)</f>
        <v>2100</v>
      </c>
      <c r="K386" s="5" t="str">
        <f t="shared" ref="K386:K449" si="50">MID(B386,10,3)</f>
        <v>000</v>
      </c>
      <c r="L386" s="5">
        <f t="shared" ref="L386:L449" si="51">MONTH(A386)</f>
        <v>11</v>
      </c>
      <c r="M386" s="5">
        <f t="shared" ref="M386:M449" si="52">YEAR(A386)</f>
        <v>2011</v>
      </c>
    </row>
    <row r="387" spans="1:13" ht="17.45" customHeight="1" x14ac:dyDescent="0.25">
      <c r="A387" s="1">
        <f>DATE(2011,11,29)</f>
        <v>40876</v>
      </c>
      <c r="B387" t="s">
        <v>20</v>
      </c>
      <c r="C387" t="s">
        <v>8</v>
      </c>
      <c r="D387" s="3">
        <v>411.262</v>
      </c>
      <c r="E387" s="3">
        <v>0</v>
      </c>
      <c r="F387" t="s">
        <v>45</v>
      </c>
      <c r="G387" s="3">
        <f t="shared" si="46"/>
        <v>-411.262</v>
      </c>
      <c r="H387" s="3">
        <f t="shared" si="47"/>
        <v>411.262</v>
      </c>
      <c r="I387" s="5" t="str">
        <f t="shared" si="48"/>
        <v>018</v>
      </c>
      <c r="J387" s="5" t="str">
        <f t="shared" si="49"/>
        <v>2210</v>
      </c>
      <c r="K387" s="5" t="str">
        <f t="shared" si="50"/>
        <v>000</v>
      </c>
      <c r="L387" s="5">
        <f t="shared" si="51"/>
        <v>11</v>
      </c>
      <c r="M387" s="5">
        <f t="shared" si="52"/>
        <v>2011</v>
      </c>
    </row>
    <row r="388" spans="1:13" ht="17.45" customHeight="1" x14ac:dyDescent="0.25">
      <c r="A388" s="1">
        <f>DATE(2011,11,29)</f>
        <v>40876</v>
      </c>
      <c r="B388" t="s">
        <v>21</v>
      </c>
      <c r="C388" t="s">
        <v>9</v>
      </c>
      <c r="D388" s="3">
        <v>36.712500000000006</v>
      </c>
      <c r="E388" s="3">
        <v>0</v>
      </c>
      <c r="F388" t="s">
        <v>45</v>
      </c>
      <c r="G388" s="3">
        <f t="shared" si="46"/>
        <v>-36.712500000000006</v>
      </c>
      <c r="H388" s="3">
        <f t="shared" si="47"/>
        <v>36.712500000000006</v>
      </c>
      <c r="I388" s="5" t="str">
        <f t="shared" si="48"/>
        <v>018</v>
      </c>
      <c r="J388" s="5" t="str">
        <f t="shared" si="49"/>
        <v>2220</v>
      </c>
      <c r="K388" s="5" t="str">
        <f t="shared" si="50"/>
        <v>000</v>
      </c>
      <c r="L388" s="5">
        <f t="shared" si="51"/>
        <v>11</v>
      </c>
      <c r="M388" s="5">
        <f t="shared" si="52"/>
        <v>2011</v>
      </c>
    </row>
    <row r="389" spans="1:13" ht="17.45" customHeight="1" x14ac:dyDescent="0.25">
      <c r="A389" s="1">
        <f>DATE(2011,11,29)</f>
        <v>40876</v>
      </c>
      <c r="B389" t="s">
        <v>22</v>
      </c>
      <c r="C389" t="s">
        <v>10</v>
      </c>
      <c r="D389" s="3">
        <v>65.84</v>
      </c>
      <c r="E389" s="3">
        <v>0</v>
      </c>
      <c r="F389" t="s">
        <v>45</v>
      </c>
      <c r="G389" s="3">
        <f t="shared" si="46"/>
        <v>-65.84</v>
      </c>
      <c r="H389" s="3">
        <f t="shared" si="47"/>
        <v>65.84</v>
      </c>
      <c r="I389" s="5" t="str">
        <f t="shared" si="48"/>
        <v>018</v>
      </c>
      <c r="J389" s="5" t="str">
        <f t="shared" si="49"/>
        <v>2230</v>
      </c>
      <c r="K389" s="5" t="str">
        <f t="shared" si="50"/>
        <v>000</v>
      </c>
      <c r="L389" s="5">
        <f t="shared" si="51"/>
        <v>11</v>
      </c>
      <c r="M389" s="5">
        <f t="shared" si="52"/>
        <v>2011</v>
      </c>
    </row>
    <row r="390" spans="1:13" ht="17.45" customHeight="1" x14ac:dyDescent="0.25">
      <c r="A390" s="1">
        <f>DATE(2011,11,30)</f>
        <v>40877</v>
      </c>
      <c r="B390" t="s">
        <v>19</v>
      </c>
      <c r="C390" t="s">
        <v>6</v>
      </c>
      <c r="D390" s="3">
        <v>3895.3904000000002</v>
      </c>
      <c r="E390" s="3">
        <v>0</v>
      </c>
      <c r="F390" t="s">
        <v>45</v>
      </c>
      <c r="G390" s="3">
        <f t="shared" si="46"/>
        <v>-3895.3904000000002</v>
      </c>
      <c r="H390" s="3">
        <f t="shared" si="47"/>
        <v>3895.3904000000002</v>
      </c>
      <c r="I390" s="5" t="str">
        <f t="shared" si="48"/>
        <v>018</v>
      </c>
      <c r="J390" s="5" t="str">
        <f t="shared" si="49"/>
        <v>2100</v>
      </c>
      <c r="K390" s="5" t="str">
        <f t="shared" si="50"/>
        <v>000</v>
      </c>
      <c r="L390" s="5">
        <f t="shared" si="51"/>
        <v>11</v>
      </c>
      <c r="M390" s="5">
        <f t="shared" si="52"/>
        <v>2011</v>
      </c>
    </row>
    <row r="391" spans="1:13" ht="17.45" customHeight="1" x14ac:dyDescent="0.25">
      <c r="A391" s="1">
        <f>DATE(2011,11,30)</f>
        <v>40877</v>
      </c>
      <c r="B391" t="s">
        <v>20</v>
      </c>
      <c r="C391" t="s">
        <v>8</v>
      </c>
      <c r="D391" s="3">
        <v>588</v>
      </c>
      <c r="E391" s="3">
        <v>0</v>
      </c>
      <c r="F391" t="s">
        <v>45</v>
      </c>
      <c r="G391" s="3">
        <f t="shared" si="46"/>
        <v>-588</v>
      </c>
      <c r="H391" s="3">
        <f t="shared" si="47"/>
        <v>588</v>
      </c>
      <c r="I391" s="5" t="str">
        <f t="shared" si="48"/>
        <v>018</v>
      </c>
      <c r="J391" s="5" t="str">
        <f t="shared" si="49"/>
        <v>2210</v>
      </c>
      <c r="K391" s="5" t="str">
        <f t="shared" si="50"/>
        <v>000</v>
      </c>
      <c r="L391" s="5">
        <f t="shared" si="51"/>
        <v>11</v>
      </c>
      <c r="M391" s="5">
        <f t="shared" si="52"/>
        <v>2011</v>
      </c>
    </row>
    <row r="392" spans="1:13" ht="17.45" customHeight="1" x14ac:dyDescent="0.25">
      <c r="A392" s="1">
        <f>DATE(2011,11,30)</f>
        <v>40877</v>
      </c>
      <c r="B392" t="s">
        <v>21</v>
      </c>
      <c r="C392" t="s">
        <v>9</v>
      </c>
      <c r="D392" s="3">
        <v>149.25450000000001</v>
      </c>
      <c r="E392" s="3">
        <v>0</v>
      </c>
      <c r="F392" t="s">
        <v>45</v>
      </c>
      <c r="G392" s="3">
        <f t="shared" si="46"/>
        <v>-149.25450000000001</v>
      </c>
      <c r="H392" s="3">
        <f t="shared" si="47"/>
        <v>149.25450000000001</v>
      </c>
      <c r="I392" s="5" t="str">
        <f t="shared" si="48"/>
        <v>018</v>
      </c>
      <c r="J392" s="5" t="str">
        <f t="shared" si="49"/>
        <v>2220</v>
      </c>
      <c r="K392" s="5" t="str">
        <f t="shared" si="50"/>
        <v>000</v>
      </c>
      <c r="L392" s="5">
        <f t="shared" si="51"/>
        <v>11</v>
      </c>
      <c r="M392" s="5">
        <f t="shared" si="52"/>
        <v>2011</v>
      </c>
    </row>
    <row r="393" spans="1:13" ht="17.45" customHeight="1" x14ac:dyDescent="0.25">
      <c r="A393" s="1">
        <f>DATE(2011,11,30)</f>
        <v>40877</v>
      </c>
      <c r="B393" t="s">
        <v>22</v>
      </c>
      <c r="C393" t="s">
        <v>10</v>
      </c>
      <c r="D393" s="3">
        <v>74.897999999999996</v>
      </c>
      <c r="E393" s="3">
        <v>0</v>
      </c>
      <c r="F393" t="s">
        <v>45</v>
      </c>
      <c r="G393" s="3">
        <f t="shared" si="46"/>
        <v>-74.897999999999996</v>
      </c>
      <c r="H393" s="3">
        <f t="shared" si="47"/>
        <v>74.897999999999996</v>
      </c>
      <c r="I393" s="5" t="str">
        <f t="shared" si="48"/>
        <v>018</v>
      </c>
      <c r="J393" s="5" t="str">
        <f t="shared" si="49"/>
        <v>2230</v>
      </c>
      <c r="K393" s="5" t="str">
        <f t="shared" si="50"/>
        <v>000</v>
      </c>
      <c r="L393" s="5">
        <f t="shared" si="51"/>
        <v>11</v>
      </c>
      <c r="M393" s="5">
        <f t="shared" si="52"/>
        <v>2011</v>
      </c>
    </row>
    <row r="394" spans="1:13" ht="17.45" customHeight="1" x14ac:dyDescent="0.25">
      <c r="A394" s="1">
        <f>DATE(2011,12,1)</f>
        <v>40878</v>
      </c>
      <c r="B394" t="s">
        <v>19</v>
      </c>
      <c r="C394" t="s">
        <v>6</v>
      </c>
      <c r="D394" s="3">
        <v>2970.7275000000004</v>
      </c>
      <c r="E394" s="3">
        <v>0</v>
      </c>
      <c r="F394" t="s">
        <v>45</v>
      </c>
      <c r="G394" s="3">
        <f t="shared" si="46"/>
        <v>-2970.7275000000004</v>
      </c>
      <c r="H394" s="3">
        <f t="shared" si="47"/>
        <v>2970.7275000000004</v>
      </c>
      <c r="I394" s="5" t="str">
        <f t="shared" si="48"/>
        <v>018</v>
      </c>
      <c r="J394" s="5" t="str">
        <f t="shared" si="49"/>
        <v>2100</v>
      </c>
      <c r="K394" s="5" t="str">
        <f t="shared" si="50"/>
        <v>000</v>
      </c>
      <c r="L394" s="5">
        <f t="shared" si="51"/>
        <v>12</v>
      </c>
      <c r="M394" s="5">
        <f t="shared" si="52"/>
        <v>2011</v>
      </c>
    </row>
    <row r="395" spans="1:13" ht="17.45" customHeight="1" x14ac:dyDescent="0.25">
      <c r="A395" s="1">
        <f>DATE(2011,12,1)</f>
        <v>40878</v>
      </c>
      <c r="B395" t="s">
        <v>20</v>
      </c>
      <c r="C395" t="s">
        <v>8</v>
      </c>
      <c r="D395" s="3">
        <v>701.34900000000005</v>
      </c>
      <c r="E395" s="3">
        <v>0</v>
      </c>
      <c r="F395" t="s">
        <v>45</v>
      </c>
      <c r="G395" s="3">
        <f t="shared" si="46"/>
        <v>-701.34900000000005</v>
      </c>
      <c r="H395" s="3">
        <f t="shared" si="47"/>
        <v>701.34900000000005</v>
      </c>
      <c r="I395" s="5" t="str">
        <f t="shared" si="48"/>
        <v>018</v>
      </c>
      <c r="J395" s="5" t="str">
        <f t="shared" si="49"/>
        <v>2210</v>
      </c>
      <c r="K395" s="5" t="str">
        <f t="shared" si="50"/>
        <v>000</v>
      </c>
      <c r="L395" s="5">
        <f t="shared" si="51"/>
        <v>12</v>
      </c>
      <c r="M395" s="5">
        <f t="shared" si="52"/>
        <v>2011</v>
      </c>
    </row>
    <row r="396" spans="1:13" ht="17.45" customHeight="1" x14ac:dyDescent="0.25">
      <c r="A396" s="1">
        <f>DATE(2011,12,1)</f>
        <v>40878</v>
      </c>
      <c r="B396" t="s">
        <v>21</v>
      </c>
      <c r="C396" t="s">
        <v>9</v>
      </c>
      <c r="D396" s="3">
        <v>99.717999999999989</v>
      </c>
      <c r="E396" s="3">
        <v>0</v>
      </c>
      <c r="F396" t="s">
        <v>45</v>
      </c>
      <c r="G396" s="3">
        <f t="shared" si="46"/>
        <v>-99.717999999999989</v>
      </c>
      <c r="H396" s="3">
        <f t="shared" si="47"/>
        <v>99.717999999999989</v>
      </c>
      <c r="I396" s="5" t="str">
        <f t="shared" si="48"/>
        <v>018</v>
      </c>
      <c r="J396" s="5" t="str">
        <f t="shared" si="49"/>
        <v>2220</v>
      </c>
      <c r="K396" s="5" t="str">
        <f t="shared" si="50"/>
        <v>000</v>
      </c>
      <c r="L396" s="5">
        <f t="shared" si="51"/>
        <v>12</v>
      </c>
      <c r="M396" s="5">
        <f t="shared" si="52"/>
        <v>2011</v>
      </c>
    </row>
    <row r="397" spans="1:13" ht="17.45" customHeight="1" x14ac:dyDescent="0.25">
      <c r="A397" s="1">
        <f>DATE(2011,12,1)</f>
        <v>40878</v>
      </c>
      <c r="B397" t="s">
        <v>22</v>
      </c>
      <c r="C397" t="s">
        <v>10</v>
      </c>
      <c r="D397" s="3">
        <v>87.016000000000005</v>
      </c>
      <c r="E397" s="3">
        <v>0</v>
      </c>
      <c r="F397" t="s">
        <v>45</v>
      </c>
      <c r="G397" s="3">
        <f t="shared" si="46"/>
        <v>-87.016000000000005</v>
      </c>
      <c r="H397" s="3">
        <f t="shared" si="47"/>
        <v>87.016000000000005</v>
      </c>
      <c r="I397" s="5" t="str">
        <f t="shared" si="48"/>
        <v>018</v>
      </c>
      <c r="J397" s="5" t="str">
        <f t="shared" si="49"/>
        <v>2230</v>
      </c>
      <c r="K397" s="5" t="str">
        <f t="shared" si="50"/>
        <v>000</v>
      </c>
      <c r="L397" s="5">
        <f t="shared" si="51"/>
        <v>12</v>
      </c>
      <c r="M397" s="5">
        <f t="shared" si="52"/>
        <v>2011</v>
      </c>
    </row>
    <row r="398" spans="1:13" ht="17.45" customHeight="1" x14ac:dyDescent="0.25">
      <c r="A398" s="1">
        <f>DATE(2011,12,2)</f>
        <v>40879</v>
      </c>
      <c r="B398" t="s">
        <v>19</v>
      </c>
      <c r="C398" t="s">
        <v>6</v>
      </c>
      <c r="D398" s="3">
        <v>7080.2039999999997</v>
      </c>
      <c r="E398" s="3">
        <v>0</v>
      </c>
      <c r="F398" t="s">
        <v>45</v>
      </c>
      <c r="G398" s="3">
        <f t="shared" si="46"/>
        <v>-7080.2039999999997</v>
      </c>
      <c r="H398" s="3">
        <f t="shared" si="47"/>
        <v>7080.2039999999997</v>
      </c>
      <c r="I398" s="5" t="str">
        <f t="shared" si="48"/>
        <v>018</v>
      </c>
      <c r="J398" s="5" t="str">
        <f t="shared" si="49"/>
        <v>2100</v>
      </c>
      <c r="K398" s="5" t="str">
        <f t="shared" si="50"/>
        <v>000</v>
      </c>
      <c r="L398" s="5">
        <f t="shared" si="51"/>
        <v>12</v>
      </c>
      <c r="M398" s="5">
        <f t="shared" si="52"/>
        <v>2011</v>
      </c>
    </row>
    <row r="399" spans="1:13" ht="17.45" customHeight="1" x14ac:dyDescent="0.25">
      <c r="A399" s="1">
        <f>DATE(2011,12,2)</f>
        <v>40879</v>
      </c>
      <c r="B399" t="s">
        <v>20</v>
      </c>
      <c r="C399" t="s">
        <v>8</v>
      </c>
      <c r="D399" s="3">
        <v>2255.3520000000003</v>
      </c>
      <c r="E399" s="3">
        <v>0</v>
      </c>
      <c r="F399" t="s">
        <v>45</v>
      </c>
      <c r="G399" s="3">
        <f t="shared" si="46"/>
        <v>-2255.3520000000003</v>
      </c>
      <c r="H399" s="3">
        <f t="shared" si="47"/>
        <v>2255.3520000000003</v>
      </c>
      <c r="I399" s="5" t="str">
        <f t="shared" si="48"/>
        <v>018</v>
      </c>
      <c r="J399" s="5" t="str">
        <f t="shared" si="49"/>
        <v>2210</v>
      </c>
      <c r="K399" s="5" t="str">
        <f t="shared" si="50"/>
        <v>000</v>
      </c>
      <c r="L399" s="5">
        <f t="shared" si="51"/>
        <v>12</v>
      </c>
      <c r="M399" s="5">
        <f t="shared" si="52"/>
        <v>2011</v>
      </c>
    </row>
    <row r="400" spans="1:13" ht="17.45" customHeight="1" x14ac:dyDescent="0.25">
      <c r="A400" s="1">
        <f>DATE(2011,12,2)</f>
        <v>40879</v>
      </c>
      <c r="B400" t="s">
        <v>21</v>
      </c>
      <c r="C400" t="s">
        <v>9</v>
      </c>
      <c r="D400" s="3">
        <v>460.25400000000002</v>
      </c>
      <c r="E400" s="3">
        <v>0</v>
      </c>
      <c r="F400" t="s">
        <v>45</v>
      </c>
      <c r="G400" s="3">
        <f t="shared" si="46"/>
        <v>-460.25400000000002</v>
      </c>
      <c r="H400" s="3">
        <f t="shared" si="47"/>
        <v>460.25400000000002</v>
      </c>
      <c r="I400" s="5" t="str">
        <f t="shared" si="48"/>
        <v>018</v>
      </c>
      <c r="J400" s="5" t="str">
        <f t="shared" si="49"/>
        <v>2220</v>
      </c>
      <c r="K400" s="5" t="str">
        <f t="shared" si="50"/>
        <v>000</v>
      </c>
      <c r="L400" s="5">
        <f t="shared" si="51"/>
        <v>12</v>
      </c>
      <c r="M400" s="5">
        <f t="shared" si="52"/>
        <v>2011</v>
      </c>
    </row>
    <row r="401" spans="1:13" ht="17.45" customHeight="1" x14ac:dyDescent="0.25">
      <c r="A401" s="1">
        <f>DATE(2011,12,2)</f>
        <v>40879</v>
      </c>
      <c r="B401" t="s">
        <v>22</v>
      </c>
      <c r="C401" t="s">
        <v>10</v>
      </c>
      <c r="D401" s="3">
        <v>100.80000000000001</v>
      </c>
      <c r="E401" s="3">
        <v>0</v>
      </c>
      <c r="F401" t="s">
        <v>45</v>
      </c>
      <c r="G401" s="3">
        <f t="shared" si="46"/>
        <v>-100.80000000000001</v>
      </c>
      <c r="H401" s="3">
        <f t="shared" si="47"/>
        <v>100.80000000000001</v>
      </c>
      <c r="I401" s="5" t="str">
        <f t="shared" si="48"/>
        <v>018</v>
      </c>
      <c r="J401" s="5" t="str">
        <f t="shared" si="49"/>
        <v>2230</v>
      </c>
      <c r="K401" s="5" t="str">
        <f t="shared" si="50"/>
        <v>000</v>
      </c>
      <c r="L401" s="5">
        <f t="shared" si="51"/>
        <v>12</v>
      </c>
      <c r="M401" s="5">
        <f t="shared" si="52"/>
        <v>2011</v>
      </c>
    </row>
    <row r="402" spans="1:13" ht="17.45" customHeight="1" x14ac:dyDescent="0.25">
      <c r="A402" s="1">
        <f>DATE(2011,12,3)</f>
        <v>40880</v>
      </c>
      <c r="B402" t="s">
        <v>19</v>
      </c>
      <c r="C402" t="s">
        <v>6</v>
      </c>
      <c r="D402" s="3">
        <v>9338.1476000000002</v>
      </c>
      <c r="E402" s="3">
        <v>0</v>
      </c>
      <c r="F402" t="s">
        <v>45</v>
      </c>
      <c r="G402" s="3">
        <f t="shared" si="46"/>
        <v>-9338.1476000000002</v>
      </c>
      <c r="H402" s="3">
        <f t="shared" si="47"/>
        <v>9338.1476000000002</v>
      </c>
      <c r="I402" s="5" t="str">
        <f t="shared" si="48"/>
        <v>018</v>
      </c>
      <c r="J402" s="5" t="str">
        <f t="shared" si="49"/>
        <v>2100</v>
      </c>
      <c r="K402" s="5" t="str">
        <f t="shared" si="50"/>
        <v>000</v>
      </c>
      <c r="L402" s="5">
        <f t="shared" si="51"/>
        <v>12</v>
      </c>
      <c r="M402" s="5">
        <f t="shared" si="52"/>
        <v>2011</v>
      </c>
    </row>
    <row r="403" spans="1:13" ht="17.45" customHeight="1" x14ac:dyDescent="0.25">
      <c r="A403" s="1">
        <f>DATE(2011,12,3)</f>
        <v>40880</v>
      </c>
      <c r="B403" t="s">
        <v>20</v>
      </c>
      <c r="C403" t="s">
        <v>8</v>
      </c>
      <c r="D403" s="3">
        <v>2093.7249999999999</v>
      </c>
      <c r="E403" s="3">
        <v>0</v>
      </c>
      <c r="F403" t="s">
        <v>45</v>
      </c>
      <c r="G403" s="3">
        <f t="shared" si="46"/>
        <v>-2093.7249999999999</v>
      </c>
      <c r="H403" s="3">
        <f t="shared" si="47"/>
        <v>2093.7249999999999</v>
      </c>
      <c r="I403" s="5" t="str">
        <f t="shared" si="48"/>
        <v>018</v>
      </c>
      <c r="J403" s="5" t="str">
        <f t="shared" si="49"/>
        <v>2210</v>
      </c>
      <c r="K403" s="5" t="str">
        <f t="shared" si="50"/>
        <v>000</v>
      </c>
      <c r="L403" s="5">
        <f t="shared" si="51"/>
        <v>12</v>
      </c>
      <c r="M403" s="5">
        <f t="shared" si="52"/>
        <v>2011</v>
      </c>
    </row>
    <row r="404" spans="1:13" ht="17.45" customHeight="1" x14ac:dyDescent="0.25">
      <c r="A404" s="1">
        <f>DATE(2011,12,3)</f>
        <v>40880</v>
      </c>
      <c r="B404" t="s">
        <v>21</v>
      </c>
      <c r="C404" t="s">
        <v>9</v>
      </c>
      <c r="D404" s="3">
        <v>338.18400000000003</v>
      </c>
      <c r="E404" s="3">
        <v>0</v>
      </c>
      <c r="F404" t="s">
        <v>45</v>
      </c>
      <c r="G404" s="3">
        <f t="shared" si="46"/>
        <v>-338.18400000000003</v>
      </c>
      <c r="H404" s="3">
        <f t="shared" si="47"/>
        <v>338.18400000000003</v>
      </c>
      <c r="I404" s="5" t="str">
        <f t="shared" si="48"/>
        <v>018</v>
      </c>
      <c r="J404" s="5" t="str">
        <f t="shared" si="49"/>
        <v>2220</v>
      </c>
      <c r="K404" s="5" t="str">
        <f t="shared" si="50"/>
        <v>000</v>
      </c>
      <c r="L404" s="5">
        <f t="shared" si="51"/>
        <v>12</v>
      </c>
      <c r="M404" s="5">
        <f t="shared" si="52"/>
        <v>2011</v>
      </c>
    </row>
    <row r="405" spans="1:13" ht="17.45" customHeight="1" x14ac:dyDescent="0.25">
      <c r="A405" s="1">
        <f>DATE(2011,12,3)</f>
        <v>40880</v>
      </c>
      <c r="B405" t="s">
        <v>22</v>
      </c>
      <c r="C405" t="s">
        <v>10</v>
      </c>
      <c r="D405" s="3">
        <v>39.101999999999997</v>
      </c>
      <c r="E405" s="3">
        <v>0</v>
      </c>
      <c r="F405" t="s">
        <v>45</v>
      </c>
      <c r="G405" s="3">
        <f t="shared" si="46"/>
        <v>-39.101999999999997</v>
      </c>
      <c r="H405" s="3">
        <f t="shared" si="47"/>
        <v>39.101999999999997</v>
      </c>
      <c r="I405" s="5" t="str">
        <f t="shared" si="48"/>
        <v>018</v>
      </c>
      <c r="J405" s="5" t="str">
        <f t="shared" si="49"/>
        <v>2230</v>
      </c>
      <c r="K405" s="5" t="str">
        <f t="shared" si="50"/>
        <v>000</v>
      </c>
      <c r="L405" s="5">
        <f t="shared" si="51"/>
        <v>12</v>
      </c>
      <c r="M405" s="5">
        <f t="shared" si="52"/>
        <v>2011</v>
      </c>
    </row>
    <row r="406" spans="1:13" ht="17.45" customHeight="1" x14ac:dyDescent="0.25">
      <c r="A406" s="1">
        <f>DATE(2011,12,4)</f>
        <v>40881</v>
      </c>
      <c r="B406" t="s">
        <v>19</v>
      </c>
      <c r="C406" t="s">
        <v>6</v>
      </c>
      <c r="D406" s="3">
        <v>4743.7965000000004</v>
      </c>
      <c r="E406" s="3">
        <v>0</v>
      </c>
      <c r="F406" t="s">
        <v>45</v>
      </c>
      <c r="G406" s="3">
        <f t="shared" si="46"/>
        <v>-4743.7965000000004</v>
      </c>
      <c r="H406" s="3">
        <f t="shared" si="47"/>
        <v>4743.7965000000004</v>
      </c>
      <c r="I406" s="5" t="str">
        <f t="shared" si="48"/>
        <v>018</v>
      </c>
      <c r="J406" s="5" t="str">
        <f t="shared" si="49"/>
        <v>2100</v>
      </c>
      <c r="K406" s="5" t="str">
        <f t="shared" si="50"/>
        <v>000</v>
      </c>
      <c r="L406" s="5">
        <f t="shared" si="51"/>
        <v>12</v>
      </c>
      <c r="M406" s="5">
        <f t="shared" si="52"/>
        <v>2011</v>
      </c>
    </row>
    <row r="407" spans="1:13" ht="17.45" customHeight="1" x14ac:dyDescent="0.25">
      <c r="A407" s="1">
        <f>DATE(2011,12,4)</f>
        <v>40881</v>
      </c>
      <c r="B407" t="s">
        <v>20</v>
      </c>
      <c r="C407" t="s">
        <v>8</v>
      </c>
      <c r="D407" s="3">
        <v>707.39700000000005</v>
      </c>
      <c r="E407" s="3">
        <v>0</v>
      </c>
      <c r="F407" t="s">
        <v>45</v>
      </c>
      <c r="G407" s="3">
        <f t="shared" si="46"/>
        <v>-707.39700000000005</v>
      </c>
      <c r="H407" s="3">
        <f t="shared" si="47"/>
        <v>707.39700000000005</v>
      </c>
      <c r="I407" s="5" t="str">
        <f t="shared" si="48"/>
        <v>018</v>
      </c>
      <c r="J407" s="5" t="str">
        <f t="shared" si="49"/>
        <v>2210</v>
      </c>
      <c r="K407" s="5" t="str">
        <f t="shared" si="50"/>
        <v>000</v>
      </c>
      <c r="L407" s="5">
        <f t="shared" si="51"/>
        <v>12</v>
      </c>
      <c r="M407" s="5">
        <f t="shared" si="52"/>
        <v>2011</v>
      </c>
    </row>
    <row r="408" spans="1:13" ht="17.45" customHeight="1" x14ac:dyDescent="0.25">
      <c r="A408" s="1">
        <f>DATE(2011,12,4)</f>
        <v>40881</v>
      </c>
      <c r="B408" t="s">
        <v>21</v>
      </c>
      <c r="C408" t="s">
        <v>9</v>
      </c>
      <c r="D408" s="3">
        <v>185.12100000000001</v>
      </c>
      <c r="E408" s="3">
        <v>0</v>
      </c>
      <c r="F408" t="s">
        <v>45</v>
      </c>
      <c r="G408" s="3">
        <f t="shared" si="46"/>
        <v>-185.12100000000001</v>
      </c>
      <c r="H408" s="3">
        <f t="shared" si="47"/>
        <v>185.12100000000001</v>
      </c>
      <c r="I408" s="5" t="str">
        <f t="shared" si="48"/>
        <v>018</v>
      </c>
      <c r="J408" s="5" t="str">
        <f t="shared" si="49"/>
        <v>2220</v>
      </c>
      <c r="K408" s="5" t="str">
        <f t="shared" si="50"/>
        <v>000</v>
      </c>
      <c r="L408" s="5">
        <f t="shared" si="51"/>
        <v>12</v>
      </c>
      <c r="M408" s="5">
        <f t="shared" si="52"/>
        <v>2011</v>
      </c>
    </row>
    <row r="409" spans="1:13" ht="17.45" customHeight="1" x14ac:dyDescent="0.25">
      <c r="A409" s="1">
        <f>DATE(2011,12,4)</f>
        <v>40881</v>
      </c>
      <c r="B409" t="s">
        <v>22</v>
      </c>
      <c r="C409" t="s">
        <v>10</v>
      </c>
      <c r="D409" s="3">
        <v>84.727500000000006</v>
      </c>
      <c r="E409" s="3">
        <v>0</v>
      </c>
      <c r="F409" t="s">
        <v>45</v>
      </c>
      <c r="G409" s="3">
        <f t="shared" si="46"/>
        <v>-84.727500000000006</v>
      </c>
      <c r="H409" s="3">
        <f t="shared" si="47"/>
        <v>84.727500000000006</v>
      </c>
      <c r="I409" s="5" t="str">
        <f t="shared" si="48"/>
        <v>018</v>
      </c>
      <c r="J409" s="5" t="str">
        <f t="shared" si="49"/>
        <v>2230</v>
      </c>
      <c r="K409" s="5" t="str">
        <f t="shared" si="50"/>
        <v>000</v>
      </c>
      <c r="L409" s="5">
        <f t="shared" si="51"/>
        <v>12</v>
      </c>
      <c r="M409" s="5">
        <f t="shared" si="52"/>
        <v>2011</v>
      </c>
    </row>
    <row r="410" spans="1:13" ht="17.45" customHeight="1" x14ac:dyDescent="0.25">
      <c r="A410" s="1">
        <f>DATE(2011,12,5)</f>
        <v>40882</v>
      </c>
      <c r="B410" t="s">
        <v>11</v>
      </c>
      <c r="C410" t="s">
        <v>6</v>
      </c>
      <c r="D410" s="3">
        <v>2924.5609999999997</v>
      </c>
      <c r="E410" s="3">
        <v>0</v>
      </c>
      <c r="F410" t="s">
        <v>45</v>
      </c>
      <c r="G410" s="3">
        <f t="shared" si="46"/>
        <v>-2924.5609999999997</v>
      </c>
      <c r="H410" s="3">
        <f t="shared" si="47"/>
        <v>2924.5609999999997</v>
      </c>
      <c r="I410" s="5" t="str">
        <f t="shared" si="48"/>
        <v>016</v>
      </c>
      <c r="J410" s="5" t="str">
        <f t="shared" si="49"/>
        <v>2100</v>
      </c>
      <c r="K410" s="5" t="str">
        <f t="shared" si="50"/>
        <v>000</v>
      </c>
      <c r="L410" s="5">
        <f t="shared" si="51"/>
        <v>12</v>
      </c>
      <c r="M410" s="5">
        <f t="shared" si="52"/>
        <v>2011</v>
      </c>
    </row>
    <row r="411" spans="1:13" ht="17.45" customHeight="1" x14ac:dyDescent="0.25">
      <c r="A411" s="1">
        <f>DATE(2011,12,5)</f>
        <v>40882</v>
      </c>
      <c r="B411" t="s">
        <v>12</v>
      </c>
      <c r="C411" t="s">
        <v>8</v>
      </c>
      <c r="D411" s="3">
        <v>471.97499999999997</v>
      </c>
      <c r="E411" s="3">
        <v>0</v>
      </c>
      <c r="F411" t="s">
        <v>45</v>
      </c>
      <c r="G411" s="3">
        <f t="shared" si="46"/>
        <v>-471.97499999999997</v>
      </c>
      <c r="H411" s="3">
        <f t="shared" si="47"/>
        <v>471.97499999999997</v>
      </c>
      <c r="I411" s="5" t="str">
        <f t="shared" si="48"/>
        <v>016</v>
      </c>
      <c r="J411" s="5" t="str">
        <f t="shared" si="49"/>
        <v>2210</v>
      </c>
      <c r="K411" s="5" t="str">
        <f t="shared" si="50"/>
        <v>000</v>
      </c>
      <c r="L411" s="5">
        <f t="shared" si="51"/>
        <v>12</v>
      </c>
      <c r="M411" s="5">
        <f t="shared" si="52"/>
        <v>2011</v>
      </c>
    </row>
    <row r="412" spans="1:13" ht="17.45" customHeight="1" x14ac:dyDescent="0.25">
      <c r="A412" s="1">
        <f>DATE(2011,12,5)</f>
        <v>40882</v>
      </c>
      <c r="B412" t="s">
        <v>13</v>
      </c>
      <c r="C412" t="s">
        <v>9</v>
      </c>
      <c r="D412" s="3">
        <v>197.73599999999999</v>
      </c>
      <c r="E412" s="3">
        <v>0</v>
      </c>
      <c r="F412" t="s">
        <v>45</v>
      </c>
      <c r="G412" s="3">
        <f t="shared" si="46"/>
        <v>-197.73599999999999</v>
      </c>
      <c r="H412" s="3">
        <f t="shared" si="47"/>
        <v>197.73599999999999</v>
      </c>
      <c r="I412" s="5" t="str">
        <f t="shared" si="48"/>
        <v>016</v>
      </c>
      <c r="J412" s="5" t="str">
        <f t="shared" si="49"/>
        <v>2220</v>
      </c>
      <c r="K412" s="5" t="str">
        <f t="shared" si="50"/>
        <v>000</v>
      </c>
      <c r="L412" s="5">
        <f t="shared" si="51"/>
        <v>12</v>
      </c>
      <c r="M412" s="5">
        <f t="shared" si="52"/>
        <v>2011</v>
      </c>
    </row>
    <row r="413" spans="1:13" ht="17.45" customHeight="1" x14ac:dyDescent="0.25">
      <c r="A413" s="1">
        <f>DATE(2011,12,5)</f>
        <v>40882</v>
      </c>
      <c r="B413" t="s">
        <v>14</v>
      </c>
      <c r="C413" t="s">
        <v>10</v>
      </c>
      <c r="D413" s="3">
        <v>102.62949999999999</v>
      </c>
      <c r="E413" s="3">
        <v>0</v>
      </c>
      <c r="F413" t="s">
        <v>45</v>
      </c>
      <c r="G413" s="3">
        <f t="shared" si="46"/>
        <v>-102.62949999999999</v>
      </c>
      <c r="H413" s="3">
        <f t="shared" si="47"/>
        <v>102.62949999999999</v>
      </c>
      <c r="I413" s="5" t="str">
        <f t="shared" si="48"/>
        <v>016</v>
      </c>
      <c r="J413" s="5" t="str">
        <f t="shared" si="49"/>
        <v>2230</v>
      </c>
      <c r="K413" s="5" t="str">
        <f t="shared" si="50"/>
        <v>000</v>
      </c>
      <c r="L413" s="5">
        <f t="shared" si="51"/>
        <v>12</v>
      </c>
      <c r="M413" s="5">
        <f t="shared" si="52"/>
        <v>2011</v>
      </c>
    </row>
    <row r="414" spans="1:13" ht="17.45" customHeight="1" x14ac:dyDescent="0.25">
      <c r="A414" s="1">
        <f>DATE(2011,12,6)</f>
        <v>40883</v>
      </c>
      <c r="B414" t="s">
        <v>11</v>
      </c>
      <c r="C414" t="s">
        <v>6</v>
      </c>
      <c r="D414" s="3">
        <v>2028.9507999999998</v>
      </c>
      <c r="E414" s="3">
        <v>0</v>
      </c>
      <c r="F414" t="s">
        <v>45</v>
      </c>
      <c r="G414" s="3">
        <f t="shared" si="46"/>
        <v>-2028.9507999999998</v>
      </c>
      <c r="H414" s="3">
        <f t="shared" si="47"/>
        <v>2028.9507999999998</v>
      </c>
      <c r="I414" s="5" t="str">
        <f t="shared" si="48"/>
        <v>016</v>
      </c>
      <c r="J414" s="5" t="str">
        <f t="shared" si="49"/>
        <v>2100</v>
      </c>
      <c r="K414" s="5" t="str">
        <f t="shared" si="50"/>
        <v>000</v>
      </c>
      <c r="L414" s="5">
        <f t="shared" si="51"/>
        <v>12</v>
      </c>
      <c r="M414" s="5">
        <f t="shared" si="52"/>
        <v>2011</v>
      </c>
    </row>
    <row r="415" spans="1:13" ht="17.45" customHeight="1" x14ac:dyDescent="0.25">
      <c r="A415" s="1">
        <f>DATE(2011,12,6)</f>
        <v>40883</v>
      </c>
      <c r="B415" t="s">
        <v>12</v>
      </c>
      <c r="C415" t="s">
        <v>8</v>
      </c>
      <c r="D415" s="3">
        <v>473.79</v>
      </c>
      <c r="E415" s="3">
        <v>0</v>
      </c>
      <c r="F415" t="s">
        <v>45</v>
      </c>
      <c r="G415" s="3">
        <f t="shared" si="46"/>
        <v>-473.79</v>
      </c>
      <c r="H415" s="3">
        <f t="shared" si="47"/>
        <v>473.79</v>
      </c>
      <c r="I415" s="5" t="str">
        <f t="shared" si="48"/>
        <v>016</v>
      </c>
      <c r="J415" s="5" t="str">
        <f t="shared" si="49"/>
        <v>2210</v>
      </c>
      <c r="K415" s="5" t="str">
        <f t="shared" si="50"/>
        <v>000</v>
      </c>
      <c r="L415" s="5">
        <f t="shared" si="51"/>
        <v>12</v>
      </c>
      <c r="M415" s="5">
        <f t="shared" si="52"/>
        <v>2011</v>
      </c>
    </row>
    <row r="416" spans="1:13" ht="17.45" customHeight="1" x14ac:dyDescent="0.25">
      <c r="A416" s="1">
        <f>DATE(2011,12,6)</f>
        <v>40883</v>
      </c>
      <c r="B416" t="s">
        <v>13</v>
      </c>
      <c r="C416" t="s">
        <v>9</v>
      </c>
      <c r="D416" s="3">
        <v>61.730999999999995</v>
      </c>
      <c r="E416" s="3">
        <v>0</v>
      </c>
      <c r="F416" t="s">
        <v>45</v>
      </c>
      <c r="G416" s="3">
        <f t="shared" si="46"/>
        <v>-61.730999999999995</v>
      </c>
      <c r="H416" s="3">
        <f t="shared" si="47"/>
        <v>61.730999999999995</v>
      </c>
      <c r="I416" s="5" t="str">
        <f t="shared" si="48"/>
        <v>016</v>
      </c>
      <c r="J416" s="5" t="str">
        <f t="shared" si="49"/>
        <v>2220</v>
      </c>
      <c r="K416" s="5" t="str">
        <f t="shared" si="50"/>
        <v>000</v>
      </c>
      <c r="L416" s="5">
        <f t="shared" si="51"/>
        <v>12</v>
      </c>
      <c r="M416" s="5">
        <f t="shared" si="52"/>
        <v>2011</v>
      </c>
    </row>
    <row r="417" spans="1:13" ht="17.45" customHeight="1" x14ac:dyDescent="0.25">
      <c r="A417" s="1">
        <f>DATE(2011,12,6)</f>
        <v>40883</v>
      </c>
      <c r="B417" t="s">
        <v>14</v>
      </c>
      <c r="C417" t="s">
        <v>10</v>
      </c>
      <c r="D417" s="3">
        <v>33.456500000000005</v>
      </c>
      <c r="E417" s="3">
        <v>0</v>
      </c>
      <c r="F417" t="s">
        <v>45</v>
      </c>
      <c r="G417" s="3">
        <f t="shared" si="46"/>
        <v>-33.456500000000005</v>
      </c>
      <c r="H417" s="3">
        <f t="shared" si="47"/>
        <v>33.456500000000005</v>
      </c>
      <c r="I417" s="5" t="str">
        <f t="shared" si="48"/>
        <v>016</v>
      </c>
      <c r="J417" s="5" t="str">
        <f t="shared" si="49"/>
        <v>2230</v>
      </c>
      <c r="K417" s="5" t="str">
        <f t="shared" si="50"/>
        <v>000</v>
      </c>
      <c r="L417" s="5">
        <f t="shared" si="51"/>
        <v>12</v>
      </c>
      <c r="M417" s="5">
        <f t="shared" si="52"/>
        <v>2011</v>
      </c>
    </row>
    <row r="418" spans="1:13" ht="17.45" customHeight="1" x14ac:dyDescent="0.25">
      <c r="A418" s="1">
        <f>DATE(2011,12,7)</f>
        <v>40884</v>
      </c>
      <c r="B418" t="s">
        <v>11</v>
      </c>
      <c r="C418" t="s">
        <v>6</v>
      </c>
      <c r="D418" s="3">
        <v>3357.3836000000001</v>
      </c>
      <c r="E418" s="3">
        <v>0</v>
      </c>
      <c r="F418" t="s">
        <v>45</v>
      </c>
      <c r="G418" s="3">
        <f t="shared" si="46"/>
        <v>-3357.3836000000001</v>
      </c>
      <c r="H418" s="3">
        <f t="shared" si="47"/>
        <v>3357.3836000000001</v>
      </c>
      <c r="I418" s="5" t="str">
        <f t="shared" si="48"/>
        <v>016</v>
      </c>
      <c r="J418" s="5" t="str">
        <f t="shared" si="49"/>
        <v>2100</v>
      </c>
      <c r="K418" s="5" t="str">
        <f t="shared" si="50"/>
        <v>000</v>
      </c>
      <c r="L418" s="5">
        <f t="shared" si="51"/>
        <v>12</v>
      </c>
      <c r="M418" s="5">
        <f t="shared" si="52"/>
        <v>2011</v>
      </c>
    </row>
    <row r="419" spans="1:13" ht="17.45" customHeight="1" x14ac:dyDescent="0.25">
      <c r="A419" s="1">
        <f>DATE(2011,12,7)</f>
        <v>40884</v>
      </c>
      <c r="B419" t="s">
        <v>12</v>
      </c>
      <c r="C419" t="s">
        <v>8</v>
      </c>
      <c r="D419" s="3">
        <v>803.09100000000001</v>
      </c>
      <c r="E419" s="3">
        <v>0</v>
      </c>
      <c r="F419" t="s">
        <v>45</v>
      </c>
      <c r="G419" s="3">
        <f t="shared" si="46"/>
        <v>-803.09100000000001</v>
      </c>
      <c r="H419" s="3">
        <f t="shared" si="47"/>
        <v>803.09100000000001</v>
      </c>
      <c r="I419" s="5" t="str">
        <f t="shared" si="48"/>
        <v>016</v>
      </c>
      <c r="J419" s="5" t="str">
        <f t="shared" si="49"/>
        <v>2210</v>
      </c>
      <c r="K419" s="5" t="str">
        <f t="shared" si="50"/>
        <v>000</v>
      </c>
      <c r="L419" s="5">
        <f t="shared" si="51"/>
        <v>12</v>
      </c>
      <c r="M419" s="5">
        <f t="shared" si="52"/>
        <v>2011</v>
      </c>
    </row>
    <row r="420" spans="1:13" ht="17.45" customHeight="1" x14ac:dyDescent="0.25">
      <c r="A420" s="1">
        <f>DATE(2011,12,7)</f>
        <v>40884</v>
      </c>
      <c r="B420" t="s">
        <v>13</v>
      </c>
      <c r="C420" t="s">
        <v>9</v>
      </c>
      <c r="D420" s="3">
        <v>156.672</v>
      </c>
      <c r="E420" s="3">
        <v>0</v>
      </c>
      <c r="F420" t="s">
        <v>45</v>
      </c>
      <c r="G420" s="3">
        <f t="shared" si="46"/>
        <v>-156.672</v>
      </c>
      <c r="H420" s="3">
        <f t="shared" si="47"/>
        <v>156.672</v>
      </c>
      <c r="I420" s="5" t="str">
        <f t="shared" si="48"/>
        <v>016</v>
      </c>
      <c r="J420" s="5" t="str">
        <f t="shared" si="49"/>
        <v>2220</v>
      </c>
      <c r="K420" s="5" t="str">
        <f t="shared" si="50"/>
        <v>000</v>
      </c>
      <c r="L420" s="5">
        <f t="shared" si="51"/>
        <v>12</v>
      </c>
      <c r="M420" s="5">
        <f t="shared" si="52"/>
        <v>2011</v>
      </c>
    </row>
    <row r="421" spans="1:13" ht="17.45" customHeight="1" x14ac:dyDescent="0.25">
      <c r="A421" s="1">
        <f>DATE(2011,12,7)</f>
        <v>40884</v>
      </c>
      <c r="B421" t="s">
        <v>14</v>
      </c>
      <c r="C421" t="s">
        <v>10</v>
      </c>
      <c r="D421" s="3">
        <v>114.646</v>
      </c>
      <c r="E421" s="3">
        <v>0</v>
      </c>
      <c r="F421" t="s">
        <v>45</v>
      </c>
      <c r="G421" s="3">
        <f t="shared" si="46"/>
        <v>-114.646</v>
      </c>
      <c r="H421" s="3">
        <f t="shared" si="47"/>
        <v>114.646</v>
      </c>
      <c r="I421" s="5" t="str">
        <f t="shared" si="48"/>
        <v>016</v>
      </c>
      <c r="J421" s="5" t="str">
        <f t="shared" si="49"/>
        <v>2230</v>
      </c>
      <c r="K421" s="5" t="str">
        <f t="shared" si="50"/>
        <v>000</v>
      </c>
      <c r="L421" s="5">
        <f t="shared" si="51"/>
        <v>12</v>
      </c>
      <c r="M421" s="5">
        <f t="shared" si="52"/>
        <v>2011</v>
      </c>
    </row>
    <row r="422" spans="1:13" ht="17.45" customHeight="1" x14ac:dyDescent="0.25">
      <c r="A422" s="1">
        <f>DATE(2011,12,8)</f>
        <v>40885</v>
      </c>
      <c r="B422" t="s">
        <v>11</v>
      </c>
      <c r="C422" t="s">
        <v>6</v>
      </c>
      <c r="D422" s="3">
        <v>2819.0639999999999</v>
      </c>
      <c r="E422" s="3">
        <v>0</v>
      </c>
      <c r="F422" t="s">
        <v>45</v>
      </c>
      <c r="G422" s="3">
        <f t="shared" si="46"/>
        <v>-2819.0639999999999</v>
      </c>
      <c r="H422" s="3">
        <f t="shared" si="47"/>
        <v>2819.0639999999999</v>
      </c>
      <c r="I422" s="5" t="str">
        <f t="shared" si="48"/>
        <v>016</v>
      </c>
      <c r="J422" s="5" t="str">
        <f t="shared" si="49"/>
        <v>2100</v>
      </c>
      <c r="K422" s="5" t="str">
        <f t="shared" si="50"/>
        <v>000</v>
      </c>
      <c r="L422" s="5">
        <f t="shared" si="51"/>
        <v>12</v>
      </c>
      <c r="M422" s="5">
        <f t="shared" si="52"/>
        <v>2011</v>
      </c>
    </row>
    <row r="423" spans="1:13" ht="17.45" customHeight="1" x14ac:dyDescent="0.25">
      <c r="A423" s="1">
        <f>DATE(2011,12,8)</f>
        <v>40885</v>
      </c>
      <c r="B423" t="s">
        <v>12</v>
      </c>
      <c r="C423" t="s">
        <v>8</v>
      </c>
      <c r="D423" s="3">
        <v>948.08999999999992</v>
      </c>
      <c r="E423" s="3">
        <v>0</v>
      </c>
      <c r="F423" t="s">
        <v>45</v>
      </c>
      <c r="G423" s="3">
        <f t="shared" si="46"/>
        <v>-948.08999999999992</v>
      </c>
      <c r="H423" s="3">
        <f t="shared" si="47"/>
        <v>948.08999999999992</v>
      </c>
      <c r="I423" s="5" t="str">
        <f t="shared" si="48"/>
        <v>016</v>
      </c>
      <c r="J423" s="5" t="str">
        <f t="shared" si="49"/>
        <v>2210</v>
      </c>
      <c r="K423" s="5" t="str">
        <f t="shared" si="50"/>
        <v>000</v>
      </c>
      <c r="L423" s="5">
        <f t="shared" si="51"/>
        <v>12</v>
      </c>
      <c r="M423" s="5">
        <f t="shared" si="52"/>
        <v>2011</v>
      </c>
    </row>
    <row r="424" spans="1:13" ht="17.45" customHeight="1" x14ac:dyDescent="0.25">
      <c r="A424" s="1">
        <f>DATE(2011,12,8)</f>
        <v>40885</v>
      </c>
      <c r="B424" t="s">
        <v>13</v>
      </c>
      <c r="C424" t="s">
        <v>9</v>
      </c>
      <c r="D424" s="3">
        <v>240.38099999999997</v>
      </c>
      <c r="E424" s="3">
        <v>0</v>
      </c>
      <c r="F424" t="s">
        <v>45</v>
      </c>
      <c r="G424" s="3">
        <f t="shared" si="46"/>
        <v>-240.38099999999997</v>
      </c>
      <c r="H424" s="3">
        <f t="shared" si="47"/>
        <v>240.38099999999997</v>
      </c>
      <c r="I424" s="5" t="str">
        <f t="shared" si="48"/>
        <v>016</v>
      </c>
      <c r="J424" s="5" t="str">
        <f t="shared" si="49"/>
        <v>2220</v>
      </c>
      <c r="K424" s="5" t="str">
        <f t="shared" si="50"/>
        <v>000</v>
      </c>
      <c r="L424" s="5">
        <f t="shared" si="51"/>
        <v>12</v>
      </c>
      <c r="M424" s="5">
        <f t="shared" si="52"/>
        <v>2011</v>
      </c>
    </row>
    <row r="425" spans="1:13" ht="17.45" customHeight="1" x14ac:dyDescent="0.25">
      <c r="A425" s="1">
        <f>DATE(2011,12,8)</f>
        <v>40885</v>
      </c>
      <c r="B425" t="s">
        <v>14</v>
      </c>
      <c r="C425" t="s">
        <v>10</v>
      </c>
      <c r="D425" s="3">
        <v>150.43</v>
      </c>
      <c r="E425" s="3">
        <v>0</v>
      </c>
      <c r="F425" t="s">
        <v>45</v>
      </c>
      <c r="G425" s="3">
        <f t="shared" si="46"/>
        <v>-150.43</v>
      </c>
      <c r="H425" s="3">
        <f t="shared" si="47"/>
        <v>150.43</v>
      </c>
      <c r="I425" s="5" t="str">
        <f t="shared" si="48"/>
        <v>016</v>
      </c>
      <c r="J425" s="5" t="str">
        <f t="shared" si="49"/>
        <v>2230</v>
      </c>
      <c r="K425" s="5" t="str">
        <f t="shared" si="50"/>
        <v>000</v>
      </c>
      <c r="L425" s="5">
        <f t="shared" si="51"/>
        <v>12</v>
      </c>
      <c r="M425" s="5">
        <f t="shared" si="52"/>
        <v>2011</v>
      </c>
    </row>
    <row r="426" spans="1:13" ht="17.45" customHeight="1" x14ac:dyDescent="0.25">
      <c r="A426" s="1">
        <f>DATE(2011,12,9)</f>
        <v>40886</v>
      </c>
      <c r="B426" t="s">
        <v>11</v>
      </c>
      <c r="C426" t="s">
        <v>6</v>
      </c>
      <c r="D426" s="3">
        <v>5001.0060000000003</v>
      </c>
      <c r="E426" s="3">
        <v>0</v>
      </c>
      <c r="F426" t="s">
        <v>45</v>
      </c>
      <c r="G426" s="3">
        <f t="shared" si="46"/>
        <v>-5001.0060000000003</v>
      </c>
      <c r="H426" s="3">
        <f t="shared" si="47"/>
        <v>5001.0060000000003</v>
      </c>
      <c r="I426" s="5" t="str">
        <f t="shared" si="48"/>
        <v>016</v>
      </c>
      <c r="J426" s="5" t="str">
        <f t="shared" si="49"/>
        <v>2100</v>
      </c>
      <c r="K426" s="5" t="str">
        <f t="shared" si="50"/>
        <v>000</v>
      </c>
      <c r="L426" s="5">
        <f t="shared" si="51"/>
        <v>12</v>
      </c>
      <c r="M426" s="5">
        <f t="shared" si="52"/>
        <v>2011</v>
      </c>
    </row>
    <row r="427" spans="1:13" ht="17.45" customHeight="1" x14ac:dyDescent="0.25">
      <c r="A427" s="1">
        <f>DATE(2011,12,9)</f>
        <v>40886</v>
      </c>
      <c r="B427" t="s">
        <v>12</v>
      </c>
      <c r="C427" t="s">
        <v>8</v>
      </c>
      <c r="D427" s="3">
        <v>2367.4504999999999</v>
      </c>
      <c r="E427" s="3">
        <v>0</v>
      </c>
      <c r="F427" t="s">
        <v>45</v>
      </c>
      <c r="G427" s="3">
        <f t="shared" si="46"/>
        <v>-2367.4504999999999</v>
      </c>
      <c r="H427" s="3">
        <f t="shared" si="47"/>
        <v>2367.4504999999999</v>
      </c>
      <c r="I427" s="5" t="str">
        <f t="shared" si="48"/>
        <v>016</v>
      </c>
      <c r="J427" s="5" t="str">
        <f t="shared" si="49"/>
        <v>2210</v>
      </c>
      <c r="K427" s="5" t="str">
        <f t="shared" si="50"/>
        <v>000</v>
      </c>
      <c r="L427" s="5">
        <f t="shared" si="51"/>
        <v>12</v>
      </c>
      <c r="M427" s="5">
        <f t="shared" si="52"/>
        <v>2011</v>
      </c>
    </row>
    <row r="428" spans="1:13" ht="17.45" customHeight="1" x14ac:dyDescent="0.25">
      <c r="A428" s="1">
        <f>DATE(2011,12,9)</f>
        <v>40886</v>
      </c>
      <c r="B428" t="s">
        <v>13</v>
      </c>
      <c r="C428" t="s">
        <v>9</v>
      </c>
      <c r="D428" s="3">
        <v>613.548</v>
      </c>
      <c r="E428" s="3">
        <v>0</v>
      </c>
      <c r="F428" t="s">
        <v>45</v>
      </c>
      <c r="G428" s="3">
        <f t="shared" si="46"/>
        <v>-613.548</v>
      </c>
      <c r="H428" s="3">
        <f t="shared" si="47"/>
        <v>613.548</v>
      </c>
      <c r="I428" s="5" t="str">
        <f t="shared" si="48"/>
        <v>016</v>
      </c>
      <c r="J428" s="5" t="str">
        <f t="shared" si="49"/>
        <v>2220</v>
      </c>
      <c r="K428" s="5" t="str">
        <f t="shared" si="50"/>
        <v>000</v>
      </c>
      <c r="L428" s="5">
        <f t="shared" si="51"/>
        <v>12</v>
      </c>
      <c r="M428" s="5">
        <f t="shared" si="52"/>
        <v>2011</v>
      </c>
    </row>
    <row r="429" spans="1:13" ht="17.45" customHeight="1" x14ac:dyDescent="0.25">
      <c r="A429" s="1">
        <f>DATE(2011,12,9)</f>
        <v>40886</v>
      </c>
      <c r="B429" t="s">
        <v>14</v>
      </c>
      <c r="C429" t="s">
        <v>10</v>
      </c>
      <c r="D429" s="3">
        <v>193.47</v>
      </c>
      <c r="E429" s="3">
        <v>0</v>
      </c>
      <c r="F429" t="s">
        <v>45</v>
      </c>
      <c r="G429" s="3">
        <f t="shared" si="46"/>
        <v>-193.47</v>
      </c>
      <c r="H429" s="3">
        <f t="shared" si="47"/>
        <v>193.47</v>
      </c>
      <c r="I429" s="5" t="str">
        <f t="shared" si="48"/>
        <v>016</v>
      </c>
      <c r="J429" s="5" t="str">
        <f t="shared" si="49"/>
        <v>2230</v>
      </c>
      <c r="K429" s="5" t="str">
        <f t="shared" si="50"/>
        <v>000</v>
      </c>
      <c r="L429" s="5">
        <f t="shared" si="51"/>
        <v>12</v>
      </c>
      <c r="M429" s="5">
        <f t="shared" si="52"/>
        <v>2011</v>
      </c>
    </row>
    <row r="430" spans="1:13" ht="17.45" customHeight="1" x14ac:dyDescent="0.25">
      <c r="A430" s="1">
        <f>DATE(2011,12,10)</f>
        <v>40887</v>
      </c>
      <c r="B430" t="s">
        <v>11</v>
      </c>
      <c r="C430" t="s">
        <v>6</v>
      </c>
      <c r="D430" s="3">
        <v>5277.0039999999999</v>
      </c>
      <c r="E430" s="3">
        <v>0</v>
      </c>
      <c r="F430" t="s">
        <v>45</v>
      </c>
      <c r="G430" s="3">
        <f t="shared" si="46"/>
        <v>-5277.0039999999999</v>
      </c>
      <c r="H430" s="3">
        <f t="shared" si="47"/>
        <v>5277.0039999999999</v>
      </c>
      <c r="I430" s="5" t="str">
        <f t="shared" si="48"/>
        <v>016</v>
      </c>
      <c r="J430" s="5" t="str">
        <f t="shared" si="49"/>
        <v>2100</v>
      </c>
      <c r="K430" s="5" t="str">
        <f t="shared" si="50"/>
        <v>000</v>
      </c>
      <c r="L430" s="5">
        <f t="shared" si="51"/>
        <v>12</v>
      </c>
      <c r="M430" s="5">
        <f t="shared" si="52"/>
        <v>2011</v>
      </c>
    </row>
    <row r="431" spans="1:13" ht="17.45" customHeight="1" x14ac:dyDescent="0.25">
      <c r="A431" s="1">
        <f>DATE(2011,12,10)</f>
        <v>40887</v>
      </c>
      <c r="B431" t="s">
        <v>12</v>
      </c>
      <c r="C431" t="s">
        <v>8</v>
      </c>
      <c r="D431" s="3">
        <v>1707.6750000000002</v>
      </c>
      <c r="E431" s="3">
        <v>0</v>
      </c>
      <c r="F431" t="s">
        <v>45</v>
      </c>
      <c r="G431" s="3">
        <f t="shared" si="46"/>
        <v>-1707.6750000000002</v>
      </c>
      <c r="H431" s="3">
        <f t="shared" si="47"/>
        <v>1707.6750000000002</v>
      </c>
      <c r="I431" s="5" t="str">
        <f t="shared" si="48"/>
        <v>016</v>
      </c>
      <c r="J431" s="5" t="str">
        <f t="shared" si="49"/>
        <v>2210</v>
      </c>
      <c r="K431" s="5" t="str">
        <f t="shared" si="50"/>
        <v>000</v>
      </c>
      <c r="L431" s="5">
        <f t="shared" si="51"/>
        <v>12</v>
      </c>
      <c r="M431" s="5">
        <f t="shared" si="52"/>
        <v>2011</v>
      </c>
    </row>
    <row r="432" spans="1:13" ht="17.45" customHeight="1" x14ac:dyDescent="0.25">
      <c r="A432" s="1">
        <f>DATE(2011,12,10)</f>
        <v>40887</v>
      </c>
      <c r="B432" t="s">
        <v>13</v>
      </c>
      <c r="C432" t="s">
        <v>9</v>
      </c>
      <c r="D432" s="3">
        <v>334.04399999999998</v>
      </c>
      <c r="E432" s="3">
        <v>0</v>
      </c>
      <c r="F432" t="s">
        <v>45</v>
      </c>
      <c r="G432" s="3">
        <f t="shared" si="46"/>
        <v>-334.04399999999998</v>
      </c>
      <c r="H432" s="3">
        <f t="shared" si="47"/>
        <v>334.04399999999998</v>
      </c>
      <c r="I432" s="5" t="str">
        <f t="shared" si="48"/>
        <v>016</v>
      </c>
      <c r="J432" s="5" t="str">
        <f t="shared" si="49"/>
        <v>2220</v>
      </c>
      <c r="K432" s="5" t="str">
        <f t="shared" si="50"/>
        <v>000</v>
      </c>
      <c r="L432" s="5">
        <f t="shared" si="51"/>
        <v>12</v>
      </c>
      <c r="M432" s="5">
        <f t="shared" si="52"/>
        <v>2011</v>
      </c>
    </row>
    <row r="433" spans="1:13" ht="17.45" customHeight="1" x14ac:dyDescent="0.25">
      <c r="A433" s="1">
        <f>DATE(2011,12,10)</f>
        <v>40887</v>
      </c>
      <c r="B433" t="s">
        <v>14</v>
      </c>
      <c r="C433" t="s">
        <v>10</v>
      </c>
      <c r="D433" s="3">
        <v>121.21549999999999</v>
      </c>
      <c r="E433" s="3">
        <v>0</v>
      </c>
      <c r="F433" t="s">
        <v>45</v>
      </c>
      <c r="G433" s="3">
        <f t="shared" si="46"/>
        <v>-121.21549999999999</v>
      </c>
      <c r="H433" s="3">
        <f t="shared" si="47"/>
        <v>121.21549999999999</v>
      </c>
      <c r="I433" s="5" t="str">
        <f t="shared" si="48"/>
        <v>016</v>
      </c>
      <c r="J433" s="5" t="str">
        <f t="shared" si="49"/>
        <v>2230</v>
      </c>
      <c r="K433" s="5" t="str">
        <f t="shared" si="50"/>
        <v>000</v>
      </c>
      <c r="L433" s="5">
        <f t="shared" si="51"/>
        <v>12</v>
      </c>
      <c r="M433" s="5">
        <f t="shared" si="52"/>
        <v>2011</v>
      </c>
    </row>
    <row r="434" spans="1:13" ht="17.45" customHeight="1" x14ac:dyDescent="0.25">
      <c r="A434" s="1">
        <f>DATE(2011,12,11)</f>
        <v>40888</v>
      </c>
      <c r="B434" t="s">
        <v>11</v>
      </c>
      <c r="C434" t="s">
        <v>6</v>
      </c>
      <c r="D434" s="3">
        <v>2816.0109999999995</v>
      </c>
      <c r="E434" s="3">
        <v>0</v>
      </c>
      <c r="F434" t="s">
        <v>45</v>
      </c>
      <c r="G434" s="3">
        <f t="shared" si="46"/>
        <v>-2816.0109999999995</v>
      </c>
      <c r="H434" s="3">
        <f t="shared" si="47"/>
        <v>2816.0109999999995</v>
      </c>
      <c r="I434" s="5" t="str">
        <f t="shared" si="48"/>
        <v>016</v>
      </c>
      <c r="J434" s="5" t="str">
        <f t="shared" si="49"/>
        <v>2100</v>
      </c>
      <c r="K434" s="5" t="str">
        <f t="shared" si="50"/>
        <v>000</v>
      </c>
      <c r="L434" s="5">
        <f t="shared" si="51"/>
        <v>12</v>
      </c>
      <c r="M434" s="5">
        <f t="shared" si="52"/>
        <v>2011</v>
      </c>
    </row>
    <row r="435" spans="1:13" ht="17.45" customHeight="1" x14ac:dyDescent="0.25">
      <c r="A435" s="1">
        <f>DATE(2011,12,11)</f>
        <v>40888</v>
      </c>
      <c r="B435" t="s">
        <v>12</v>
      </c>
      <c r="C435" t="s">
        <v>8</v>
      </c>
      <c r="D435" s="3">
        <v>753.57999999999993</v>
      </c>
      <c r="E435" s="3">
        <v>0</v>
      </c>
      <c r="F435" t="s">
        <v>45</v>
      </c>
      <c r="G435" s="3">
        <f t="shared" si="46"/>
        <v>-753.57999999999993</v>
      </c>
      <c r="H435" s="3">
        <f t="shared" si="47"/>
        <v>753.57999999999993</v>
      </c>
      <c r="I435" s="5" t="str">
        <f t="shared" si="48"/>
        <v>016</v>
      </c>
      <c r="J435" s="5" t="str">
        <f t="shared" si="49"/>
        <v>2210</v>
      </c>
      <c r="K435" s="5" t="str">
        <f t="shared" si="50"/>
        <v>000</v>
      </c>
      <c r="L435" s="5">
        <f t="shared" si="51"/>
        <v>12</v>
      </c>
      <c r="M435" s="5">
        <f t="shared" si="52"/>
        <v>2011</v>
      </c>
    </row>
    <row r="436" spans="1:13" ht="17.45" customHeight="1" x14ac:dyDescent="0.25">
      <c r="A436" s="1">
        <f>DATE(2011,12,11)</f>
        <v>40888</v>
      </c>
      <c r="B436" t="s">
        <v>13</v>
      </c>
      <c r="C436" t="s">
        <v>9</v>
      </c>
      <c r="D436" s="3">
        <v>164.43</v>
      </c>
      <c r="E436" s="3">
        <v>0</v>
      </c>
      <c r="F436" t="s">
        <v>45</v>
      </c>
      <c r="G436" s="3">
        <f t="shared" si="46"/>
        <v>-164.43</v>
      </c>
      <c r="H436" s="3">
        <f t="shared" si="47"/>
        <v>164.43</v>
      </c>
      <c r="I436" s="5" t="str">
        <f t="shared" si="48"/>
        <v>016</v>
      </c>
      <c r="J436" s="5" t="str">
        <f t="shared" si="49"/>
        <v>2220</v>
      </c>
      <c r="K436" s="5" t="str">
        <f t="shared" si="50"/>
        <v>000</v>
      </c>
      <c r="L436" s="5">
        <f t="shared" si="51"/>
        <v>12</v>
      </c>
      <c r="M436" s="5">
        <f t="shared" si="52"/>
        <v>2011</v>
      </c>
    </row>
    <row r="437" spans="1:13" ht="17.45" customHeight="1" x14ac:dyDescent="0.25">
      <c r="A437" s="1">
        <f>DATE(2011,12,11)</f>
        <v>40888</v>
      </c>
      <c r="B437" t="s">
        <v>14</v>
      </c>
      <c r="C437" t="s">
        <v>10</v>
      </c>
      <c r="D437" s="3">
        <v>55.431999999999995</v>
      </c>
      <c r="E437" s="3">
        <v>0</v>
      </c>
      <c r="F437" t="s">
        <v>45</v>
      </c>
      <c r="G437" s="3">
        <f t="shared" si="46"/>
        <v>-55.431999999999995</v>
      </c>
      <c r="H437" s="3">
        <f t="shared" si="47"/>
        <v>55.431999999999995</v>
      </c>
      <c r="I437" s="5" t="str">
        <f t="shared" si="48"/>
        <v>016</v>
      </c>
      <c r="J437" s="5" t="str">
        <f t="shared" si="49"/>
        <v>2230</v>
      </c>
      <c r="K437" s="5" t="str">
        <f t="shared" si="50"/>
        <v>000</v>
      </c>
      <c r="L437" s="5">
        <f t="shared" si="51"/>
        <v>12</v>
      </c>
      <c r="M437" s="5">
        <f t="shared" si="52"/>
        <v>2011</v>
      </c>
    </row>
    <row r="438" spans="1:13" ht="17.45" customHeight="1" x14ac:dyDescent="0.25">
      <c r="A438" s="1">
        <f>DATE(2011,12,5)</f>
        <v>40882</v>
      </c>
      <c r="B438" t="s">
        <v>15</v>
      </c>
      <c r="C438" t="s">
        <v>6</v>
      </c>
      <c r="D438" s="3">
        <v>3283.8720000000003</v>
      </c>
      <c r="E438" s="3">
        <v>0</v>
      </c>
      <c r="F438" t="s">
        <v>45</v>
      </c>
      <c r="G438" s="3">
        <f t="shared" si="46"/>
        <v>-3283.8720000000003</v>
      </c>
      <c r="H438" s="3">
        <f t="shared" si="47"/>
        <v>3283.8720000000003</v>
      </c>
      <c r="I438" s="5" t="str">
        <f t="shared" si="48"/>
        <v>017</v>
      </c>
      <c r="J438" s="5" t="str">
        <f t="shared" si="49"/>
        <v>2100</v>
      </c>
      <c r="K438" s="5" t="str">
        <f t="shared" si="50"/>
        <v>000</v>
      </c>
      <c r="L438" s="5">
        <f t="shared" si="51"/>
        <v>12</v>
      </c>
      <c r="M438" s="5">
        <f t="shared" si="52"/>
        <v>2011</v>
      </c>
    </row>
    <row r="439" spans="1:13" ht="17.45" customHeight="1" x14ac:dyDescent="0.25">
      <c r="A439" s="1">
        <f>DATE(2011,12,5)</f>
        <v>40882</v>
      </c>
      <c r="B439" t="s">
        <v>16</v>
      </c>
      <c r="C439" t="s">
        <v>8</v>
      </c>
      <c r="D439" s="3">
        <v>858.75999999999988</v>
      </c>
      <c r="E439" s="3">
        <v>0</v>
      </c>
      <c r="F439" t="s">
        <v>45</v>
      </c>
      <c r="G439" s="3">
        <f t="shared" si="46"/>
        <v>-858.75999999999988</v>
      </c>
      <c r="H439" s="3">
        <f t="shared" si="47"/>
        <v>858.75999999999988</v>
      </c>
      <c r="I439" s="5" t="str">
        <f t="shared" si="48"/>
        <v>017</v>
      </c>
      <c r="J439" s="5" t="str">
        <f t="shared" si="49"/>
        <v>2210</v>
      </c>
      <c r="K439" s="5" t="str">
        <f t="shared" si="50"/>
        <v>000</v>
      </c>
      <c r="L439" s="5">
        <f t="shared" si="51"/>
        <v>12</v>
      </c>
      <c r="M439" s="5">
        <f t="shared" si="52"/>
        <v>2011</v>
      </c>
    </row>
    <row r="440" spans="1:13" ht="17.45" customHeight="1" x14ac:dyDescent="0.25">
      <c r="A440" s="1">
        <f>DATE(2011,12,5)</f>
        <v>40882</v>
      </c>
      <c r="B440" t="s">
        <v>17</v>
      </c>
      <c r="C440" t="s">
        <v>9</v>
      </c>
      <c r="D440" s="3">
        <v>162.32999999999998</v>
      </c>
      <c r="E440" s="3">
        <v>0</v>
      </c>
      <c r="F440" t="s">
        <v>45</v>
      </c>
      <c r="G440" s="3">
        <f t="shared" si="46"/>
        <v>-162.32999999999998</v>
      </c>
      <c r="H440" s="3">
        <f t="shared" si="47"/>
        <v>162.32999999999998</v>
      </c>
      <c r="I440" s="5" t="str">
        <f t="shared" si="48"/>
        <v>017</v>
      </c>
      <c r="J440" s="5" t="str">
        <f t="shared" si="49"/>
        <v>2220</v>
      </c>
      <c r="K440" s="5" t="str">
        <f t="shared" si="50"/>
        <v>000</v>
      </c>
      <c r="L440" s="5">
        <f t="shared" si="51"/>
        <v>12</v>
      </c>
      <c r="M440" s="5">
        <f t="shared" si="52"/>
        <v>2011</v>
      </c>
    </row>
    <row r="441" spans="1:13" ht="17.45" customHeight="1" x14ac:dyDescent="0.25">
      <c r="A441" s="1">
        <f>DATE(2011,12,5)</f>
        <v>40882</v>
      </c>
      <c r="B441" t="s">
        <v>18</v>
      </c>
      <c r="C441" t="s">
        <v>10</v>
      </c>
      <c r="D441" s="3">
        <v>53.405000000000001</v>
      </c>
      <c r="E441" s="3">
        <v>0</v>
      </c>
      <c r="F441" t="s">
        <v>45</v>
      </c>
      <c r="G441" s="3">
        <f t="shared" si="46"/>
        <v>-53.405000000000001</v>
      </c>
      <c r="H441" s="3">
        <f t="shared" si="47"/>
        <v>53.405000000000001</v>
      </c>
      <c r="I441" s="5" t="str">
        <f t="shared" si="48"/>
        <v>017</v>
      </c>
      <c r="J441" s="5" t="str">
        <f t="shared" si="49"/>
        <v>2230</v>
      </c>
      <c r="K441" s="5" t="str">
        <f t="shared" si="50"/>
        <v>000</v>
      </c>
      <c r="L441" s="5">
        <f t="shared" si="51"/>
        <v>12</v>
      </c>
      <c r="M441" s="5">
        <f t="shared" si="52"/>
        <v>2011</v>
      </c>
    </row>
    <row r="442" spans="1:13" ht="17.45" customHeight="1" x14ac:dyDescent="0.25">
      <c r="A442" s="1">
        <f>DATE(2011,12,6)</f>
        <v>40883</v>
      </c>
      <c r="B442" t="s">
        <v>15</v>
      </c>
      <c r="C442" t="s">
        <v>6</v>
      </c>
      <c r="D442" s="3">
        <v>4960.9169999999995</v>
      </c>
      <c r="E442" s="3">
        <v>0</v>
      </c>
      <c r="F442" t="s">
        <v>45</v>
      </c>
      <c r="G442" s="3">
        <f t="shared" si="46"/>
        <v>-4960.9169999999995</v>
      </c>
      <c r="H442" s="3">
        <f t="shared" si="47"/>
        <v>4960.9169999999995</v>
      </c>
      <c r="I442" s="5" t="str">
        <f t="shared" si="48"/>
        <v>017</v>
      </c>
      <c r="J442" s="5" t="str">
        <f t="shared" si="49"/>
        <v>2100</v>
      </c>
      <c r="K442" s="5" t="str">
        <f t="shared" si="50"/>
        <v>000</v>
      </c>
      <c r="L442" s="5">
        <f t="shared" si="51"/>
        <v>12</v>
      </c>
      <c r="M442" s="5">
        <f t="shared" si="52"/>
        <v>2011</v>
      </c>
    </row>
    <row r="443" spans="1:13" ht="17.45" customHeight="1" x14ac:dyDescent="0.25">
      <c r="A443" s="1">
        <f>DATE(2011,12,6)</f>
        <v>40883</v>
      </c>
      <c r="B443" t="s">
        <v>16</v>
      </c>
      <c r="C443" t="s">
        <v>8</v>
      </c>
      <c r="D443" s="3">
        <v>1556.3939999999998</v>
      </c>
      <c r="E443" s="3">
        <v>0</v>
      </c>
      <c r="F443" t="s">
        <v>45</v>
      </c>
      <c r="G443" s="3">
        <f t="shared" si="46"/>
        <v>-1556.3939999999998</v>
      </c>
      <c r="H443" s="3">
        <f t="shared" si="47"/>
        <v>1556.3939999999998</v>
      </c>
      <c r="I443" s="5" t="str">
        <f t="shared" si="48"/>
        <v>017</v>
      </c>
      <c r="J443" s="5" t="str">
        <f t="shared" si="49"/>
        <v>2210</v>
      </c>
      <c r="K443" s="5" t="str">
        <f t="shared" si="50"/>
        <v>000</v>
      </c>
      <c r="L443" s="5">
        <f t="shared" si="51"/>
        <v>12</v>
      </c>
      <c r="M443" s="5">
        <f t="shared" si="52"/>
        <v>2011</v>
      </c>
    </row>
    <row r="444" spans="1:13" ht="17.45" customHeight="1" x14ac:dyDescent="0.25">
      <c r="A444" s="1">
        <f>DATE(2011,12,6)</f>
        <v>40883</v>
      </c>
      <c r="B444" t="s">
        <v>17</v>
      </c>
      <c r="C444" t="s">
        <v>9</v>
      </c>
      <c r="D444" s="3">
        <v>434.3</v>
      </c>
      <c r="E444" s="3">
        <v>0</v>
      </c>
      <c r="F444" t="s">
        <v>45</v>
      </c>
      <c r="G444" s="3">
        <f t="shared" si="46"/>
        <v>-434.3</v>
      </c>
      <c r="H444" s="3">
        <f t="shared" si="47"/>
        <v>434.3</v>
      </c>
      <c r="I444" s="5" t="str">
        <f t="shared" si="48"/>
        <v>017</v>
      </c>
      <c r="J444" s="5" t="str">
        <f t="shared" si="49"/>
        <v>2220</v>
      </c>
      <c r="K444" s="5" t="str">
        <f t="shared" si="50"/>
        <v>000</v>
      </c>
      <c r="L444" s="5">
        <f t="shared" si="51"/>
        <v>12</v>
      </c>
      <c r="M444" s="5">
        <f t="shared" si="52"/>
        <v>2011</v>
      </c>
    </row>
    <row r="445" spans="1:13" ht="17.45" customHeight="1" x14ac:dyDescent="0.25">
      <c r="A445" s="1">
        <f>DATE(2011,12,6)</f>
        <v>40883</v>
      </c>
      <c r="B445" t="s">
        <v>18</v>
      </c>
      <c r="C445" t="s">
        <v>10</v>
      </c>
      <c r="D445" s="3">
        <v>174.31199999999998</v>
      </c>
      <c r="E445" s="3">
        <v>0</v>
      </c>
      <c r="F445" t="s">
        <v>45</v>
      </c>
      <c r="G445" s="3">
        <f t="shared" si="46"/>
        <v>-174.31199999999998</v>
      </c>
      <c r="H445" s="3">
        <f t="shared" si="47"/>
        <v>174.31199999999998</v>
      </c>
      <c r="I445" s="5" t="str">
        <f t="shared" si="48"/>
        <v>017</v>
      </c>
      <c r="J445" s="5" t="str">
        <f t="shared" si="49"/>
        <v>2230</v>
      </c>
      <c r="K445" s="5" t="str">
        <f t="shared" si="50"/>
        <v>000</v>
      </c>
      <c r="L445" s="5">
        <f t="shared" si="51"/>
        <v>12</v>
      </c>
      <c r="M445" s="5">
        <f t="shared" si="52"/>
        <v>2011</v>
      </c>
    </row>
    <row r="446" spans="1:13" ht="17.45" customHeight="1" x14ac:dyDescent="0.25">
      <c r="A446" s="1">
        <f>DATE(2011,12,7)</f>
        <v>40884</v>
      </c>
      <c r="B446" t="s">
        <v>15</v>
      </c>
      <c r="C446" t="s">
        <v>6</v>
      </c>
      <c r="D446" s="3">
        <v>5613.4512000000004</v>
      </c>
      <c r="E446" s="3">
        <v>0</v>
      </c>
      <c r="F446" t="s">
        <v>45</v>
      </c>
      <c r="G446" s="3">
        <f t="shared" si="46"/>
        <v>-5613.4512000000004</v>
      </c>
      <c r="H446" s="3">
        <f t="shared" si="47"/>
        <v>5613.4512000000004</v>
      </c>
      <c r="I446" s="5" t="str">
        <f t="shared" si="48"/>
        <v>017</v>
      </c>
      <c r="J446" s="5" t="str">
        <f t="shared" si="49"/>
        <v>2100</v>
      </c>
      <c r="K446" s="5" t="str">
        <f t="shared" si="50"/>
        <v>000</v>
      </c>
      <c r="L446" s="5">
        <f t="shared" si="51"/>
        <v>12</v>
      </c>
      <c r="M446" s="5">
        <f t="shared" si="52"/>
        <v>2011</v>
      </c>
    </row>
    <row r="447" spans="1:13" ht="17.45" customHeight="1" x14ac:dyDescent="0.25">
      <c r="A447" s="1">
        <f>DATE(2011,12,7)</f>
        <v>40884</v>
      </c>
      <c r="B447" t="s">
        <v>16</v>
      </c>
      <c r="C447" t="s">
        <v>8</v>
      </c>
      <c r="D447" s="3">
        <v>2005.704</v>
      </c>
      <c r="E447" s="3">
        <v>0</v>
      </c>
      <c r="F447" t="s">
        <v>45</v>
      </c>
      <c r="G447" s="3">
        <f t="shared" si="46"/>
        <v>-2005.704</v>
      </c>
      <c r="H447" s="3">
        <f t="shared" si="47"/>
        <v>2005.704</v>
      </c>
      <c r="I447" s="5" t="str">
        <f t="shared" si="48"/>
        <v>017</v>
      </c>
      <c r="J447" s="5" t="str">
        <f t="shared" si="49"/>
        <v>2210</v>
      </c>
      <c r="K447" s="5" t="str">
        <f t="shared" si="50"/>
        <v>000</v>
      </c>
      <c r="L447" s="5">
        <f t="shared" si="51"/>
        <v>12</v>
      </c>
      <c r="M447" s="5">
        <f t="shared" si="52"/>
        <v>2011</v>
      </c>
    </row>
    <row r="448" spans="1:13" ht="17.45" customHeight="1" x14ac:dyDescent="0.25">
      <c r="A448" s="1">
        <f>DATE(2011,12,7)</f>
        <v>40884</v>
      </c>
      <c r="B448" t="s">
        <v>17</v>
      </c>
      <c r="C448" t="s">
        <v>9</v>
      </c>
      <c r="D448" s="3">
        <v>497.31</v>
      </c>
      <c r="E448" s="3">
        <v>0</v>
      </c>
      <c r="F448" t="s">
        <v>45</v>
      </c>
      <c r="G448" s="3">
        <f t="shared" si="46"/>
        <v>-497.31</v>
      </c>
      <c r="H448" s="3">
        <f t="shared" si="47"/>
        <v>497.31</v>
      </c>
      <c r="I448" s="5" t="str">
        <f t="shared" si="48"/>
        <v>017</v>
      </c>
      <c r="J448" s="5" t="str">
        <f t="shared" si="49"/>
        <v>2220</v>
      </c>
      <c r="K448" s="5" t="str">
        <f t="shared" si="50"/>
        <v>000</v>
      </c>
      <c r="L448" s="5">
        <f t="shared" si="51"/>
        <v>12</v>
      </c>
      <c r="M448" s="5">
        <f t="shared" si="52"/>
        <v>2011</v>
      </c>
    </row>
    <row r="449" spans="1:13" ht="17.45" customHeight="1" x14ac:dyDescent="0.25">
      <c r="A449" s="1">
        <f>DATE(2011,12,7)</f>
        <v>40884</v>
      </c>
      <c r="B449" t="s">
        <v>18</v>
      </c>
      <c r="C449" t="s">
        <v>10</v>
      </c>
      <c r="D449" s="3">
        <v>131.39400000000001</v>
      </c>
      <c r="E449" s="3">
        <v>0</v>
      </c>
      <c r="F449" t="s">
        <v>45</v>
      </c>
      <c r="G449" s="3">
        <f t="shared" si="46"/>
        <v>-131.39400000000001</v>
      </c>
      <c r="H449" s="3">
        <f t="shared" si="47"/>
        <v>131.39400000000001</v>
      </c>
      <c r="I449" s="5" t="str">
        <f t="shared" si="48"/>
        <v>017</v>
      </c>
      <c r="J449" s="5" t="str">
        <f t="shared" si="49"/>
        <v>2230</v>
      </c>
      <c r="K449" s="5" t="str">
        <f t="shared" si="50"/>
        <v>000</v>
      </c>
      <c r="L449" s="5">
        <f t="shared" si="51"/>
        <v>12</v>
      </c>
      <c r="M449" s="5">
        <f t="shared" si="52"/>
        <v>2011</v>
      </c>
    </row>
    <row r="450" spans="1:13" ht="17.45" customHeight="1" x14ac:dyDescent="0.25">
      <c r="A450" s="1">
        <f>DATE(2011,12,8)</f>
        <v>40885</v>
      </c>
      <c r="B450" t="s">
        <v>15</v>
      </c>
      <c r="C450" t="s">
        <v>6</v>
      </c>
      <c r="D450" s="3">
        <v>4591.3499999999995</v>
      </c>
      <c r="E450" s="3">
        <v>0</v>
      </c>
      <c r="F450" t="s">
        <v>45</v>
      </c>
      <c r="G450" s="3">
        <f t="shared" ref="G450:G513" si="53">E450-D450</f>
        <v>-4591.3499999999995</v>
      </c>
      <c r="H450" s="3">
        <f t="shared" ref="H450:H513" si="54">ABS(G450)</f>
        <v>4591.3499999999995</v>
      </c>
      <c r="I450" s="5" t="str">
        <f t="shared" ref="I450:I513" si="55">MID(B450,1,3)</f>
        <v>017</v>
      </c>
      <c r="J450" s="5" t="str">
        <f t="shared" ref="J450:J513" si="56">MID(B450,5,4)</f>
        <v>2100</v>
      </c>
      <c r="K450" s="5" t="str">
        <f t="shared" ref="K450:K513" si="57">MID(B450,10,3)</f>
        <v>000</v>
      </c>
      <c r="L450" s="5">
        <f t="shared" ref="L450:L513" si="58">MONTH(A450)</f>
        <v>12</v>
      </c>
      <c r="M450" s="5">
        <f t="shared" ref="M450:M513" si="59">YEAR(A450)</f>
        <v>2011</v>
      </c>
    </row>
    <row r="451" spans="1:13" ht="17.45" customHeight="1" x14ac:dyDescent="0.25">
      <c r="A451" s="1">
        <f>DATE(2011,12,8)</f>
        <v>40885</v>
      </c>
      <c r="B451" t="s">
        <v>16</v>
      </c>
      <c r="C451" t="s">
        <v>8</v>
      </c>
      <c r="D451" s="3">
        <v>1117.8434999999999</v>
      </c>
      <c r="E451" s="3">
        <v>0</v>
      </c>
      <c r="F451" t="s">
        <v>45</v>
      </c>
      <c r="G451" s="3">
        <f t="shared" si="53"/>
        <v>-1117.8434999999999</v>
      </c>
      <c r="H451" s="3">
        <f t="shared" si="54"/>
        <v>1117.8434999999999</v>
      </c>
      <c r="I451" s="5" t="str">
        <f t="shared" si="55"/>
        <v>017</v>
      </c>
      <c r="J451" s="5" t="str">
        <f t="shared" si="56"/>
        <v>2210</v>
      </c>
      <c r="K451" s="5" t="str">
        <f t="shared" si="57"/>
        <v>000</v>
      </c>
      <c r="L451" s="5">
        <f t="shared" si="58"/>
        <v>12</v>
      </c>
      <c r="M451" s="5">
        <f t="shared" si="59"/>
        <v>2011</v>
      </c>
    </row>
    <row r="452" spans="1:13" ht="17.45" customHeight="1" x14ac:dyDescent="0.25">
      <c r="A452" s="1">
        <f>DATE(2011,12,8)</f>
        <v>40885</v>
      </c>
      <c r="B452" t="s">
        <v>17</v>
      </c>
      <c r="C452" t="s">
        <v>9</v>
      </c>
      <c r="D452" s="3">
        <v>375.06</v>
      </c>
      <c r="E452" s="3">
        <v>0</v>
      </c>
      <c r="F452" t="s">
        <v>45</v>
      </c>
      <c r="G452" s="3">
        <f t="shared" si="53"/>
        <v>-375.06</v>
      </c>
      <c r="H452" s="3">
        <f t="shared" si="54"/>
        <v>375.06</v>
      </c>
      <c r="I452" s="5" t="str">
        <f t="shared" si="55"/>
        <v>017</v>
      </c>
      <c r="J452" s="5" t="str">
        <f t="shared" si="56"/>
        <v>2220</v>
      </c>
      <c r="K452" s="5" t="str">
        <f t="shared" si="57"/>
        <v>000</v>
      </c>
      <c r="L452" s="5">
        <f t="shared" si="58"/>
        <v>12</v>
      </c>
      <c r="M452" s="5">
        <f t="shared" si="59"/>
        <v>2011</v>
      </c>
    </row>
    <row r="453" spans="1:13" ht="17.45" customHeight="1" x14ac:dyDescent="0.25">
      <c r="A453" s="1">
        <f>DATE(2011,12,8)</f>
        <v>40885</v>
      </c>
      <c r="B453" t="s">
        <v>18</v>
      </c>
      <c r="C453" t="s">
        <v>10</v>
      </c>
      <c r="D453" s="3">
        <v>89.352000000000004</v>
      </c>
      <c r="E453" s="3">
        <v>0</v>
      </c>
      <c r="F453" t="s">
        <v>45</v>
      </c>
      <c r="G453" s="3">
        <f t="shared" si="53"/>
        <v>-89.352000000000004</v>
      </c>
      <c r="H453" s="3">
        <f t="shared" si="54"/>
        <v>89.352000000000004</v>
      </c>
      <c r="I453" s="5" t="str">
        <f t="shared" si="55"/>
        <v>017</v>
      </c>
      <c r="J453" s="5" t="str">
        <f t="shared" si="56"/>
        <v>2230</v>
      </c>
      <c r="K453" s="5" t="str">
        <f t="shared" si="57"/>
        <v>000</v>
      </c>
      <c r="L453" s="5">
        <f t="shared" si="58"/>
        <v>12</v>
      </c>
      <c r="M453" s="5">
        <f t="shared" si="59"/>
        <v>2011</v>
      </c>
    </row>
    <row r="454" spans="1:13" ht="17.45" customHeight="1" x14ac:dyDescent="0.25">
      <c r="A454" s="1">
        <f>DATE(2011,12,9)</f>
        <v>40886</v>
      </c>
      <c r="B454" t="s">
        <v>15</v>
      </c>
      <c r="C454" t="s">
        <v>6</v>
      </c>
      <c r="D454" s="3">
        <v>6304.0779999999995</v>
      </c>
      <c r="E454" s="3">
        <v>0</v>
      </c>
      <c r="F454" t="s">
        <v>45</v>
      </c>
      <c r="G454" s="3">
        <f t="shared" si="53"/>
        <v>-6304.0779999999995</v>
      </c>
      <c r="H454" s="3">
        <f t="shared" si="54"/>
        <v>6304.0779999999995</v>
      </c>
      <c r="I454" s="5" t="str">
        <f t="shared" si="55"/>
        <v>017</v>
      </c>
      <c r="J454" s="5" t="str">
        <f t="shared" si="56"/>
        <v>2100</v>
      </c>
      <c r="K454" s="5" t="str">
        <f t="shared" si="57"/>
        <v>000</v>
      </c>
      <c r="L454" s="5">
        <f t="shared" si="58"/>
        <v>12</v>
      </c>
      <c r="M454" s="5">
        <f t="shared" si="59"/>
        <v>2011</v>
      </c>
    </row>
    <row r="455" spans="1:13" ht="17.45" customHeight="1" x14ac:dyDescent="0.25">
      <c r="A455" s="1">
        <f>DATE(2011,12,9)</f>
        <v>40886</v>
      </c>
      <c r="B455" t="s">
        <v>16</v>
      </c>
      <c r="C455" t="s">
        <v>8</v>
      </c>
      <c r="D455" s="3">
        <v>2108.0249999999996</v>
      </c>
      <c r="E455" s="3">
        <v>0</v>
      </c>
      <c r="F455" t="s">
        <v>45</v>
      </c>
      <c r="G455" s="3">
        <f t="shared" si="53"/>
        <v>-2108.0249999999996</v>
      </c>
      <c r="H455" s="3">
        <f t="shared" si="54"/>
        <v>2108.0249999999996</v>
      </c>
      <c r="I455" s="5" t="str">
        <f t="shared" si="55"/>
        <v>017</v>
      </c>
      <c r="J455" s="5" t="str">
        <f t="shared" si="56"/>
        <v>2210</v>
      </c>
      <c r="K455" s="5" t="str">
        <f t="shared" si="57"/>
        <v>000</v>
      </c>
      <c r="L455" s="5">
        <f t="shared" si="58"/>
        <v>12</v>
      </c>
      <c r="M455" s="5">
        <f t="shared" si="59"/>
        <v>2011</v>
      </c>
    </row>
    <row r="456" spans="1:13" ht="17.45" customHeight="1" x14ac:dyDescent="0.25">
      <c r="A456" s="1">
        <f>DATE(2011,12,9)</f>
        <v>40886</v>
      </c>
      <c r="B456" t="s">
        <v>17</v>
      </c>
      <c r="C456" t="s">
        <v>9</v>
      </c>
      <c r="D456" s="3">
        <v>717.56999999999994</v>
      </c>
      <c r="E456" s="3">
        <v>0</v>
      </c>
      <c r="F456" t="s">
        <v>45</v>
      </c>
      <c r="G456" s="3">
        <f t="shared" si="53"/>
        <v>-717.56999999999994</v>
      </c>
      <c r="H456" s="3">
        <f t="shared" si="54"/>
        <v>717.56999999999994</v>
      </c>
      <c r="I456" s="5" t="str">
        <f t="shared" si="55"/>
        <v>017</v>
      </c>
      <c r="J456" s="5" t="str">
        <f t="shared" si="56"/>
        <v>2220</v>
      </c>
      <c r="K456" s="5" t="str">
        <f t="shared" si="57"/>
        <v>000</v>
      </c>
      <c r="L456" s="5">
        <f t="shared" si="58"/>
        <v>12</v>
      </c>
      <c r="M456" s="5">
        <f t="shared" si="59"/>
        <v>2011</v>
      </c>
    </row>
    <row r="457" spans="1:13" ht="17.45" customHeight="1" x14ac:dyDescent="0.25">
      <c r="A457" s="1">
        <f>DATE(2011,12,9)</f>
        <v>40886</v>
      </c>
      <c r="B457" t="s">
        <v>18</v>
      </c>
      <c r="C457" t="s">
        <v>10</v>
      </c>
      <c r="D457" s="3">
        <v>406.69200000000006</v>
      </c>
      <c r="E457" s="3">
        <v>0</v>
      </c>
      <c r="F457" t="s">
        <v>45</v>
      </c>
      <c r="G457" s="3">
        <f t="shared" si="53"/>
        <v>-406.69200000000006</v>
      </c>
      <c r="H457" s="3">
        <f t="shared" si="54"/>
        <v>406.69200000000006</v>
      </c>
      <c r="I457" s="5" t="str">
        <f t="shared" si="55"/>
        <v>017</v>
      </c>
      <c r="J457" s="5" t="str">
        <f t="shared" si="56"/>
        <v>2230</v>
      </c>
      <c r="K457" s="5" t="str">
        <f t="shared" si="57"/>
        <v>000</v>
      </c>
      <c r="L457" s="5">
        <f t="shared" si="58"/>
        <v>12</v>
      </c>
      <c r="M457" s="5">
        <f t="shared" si="59"/>
        <v>2011</v>
      </c>
    </row>
    <row r="458" spans="1:13" ht="17.45" customHeight="1" x14ac:dyDescent="0.25">
      <c r="A458" s="1">
        <f>DATE(2011,12,10)</f>
        <v>40887</v>
      </c>
      <c r="B458" t="s">
        <v>15</v>
      </c>
      <c r="C458" t="s">
        <v>6</v>
      </c>
      <c r="D458" s="3">
        <v>6965.433</v>
      </c>
      <c r="E458" s="3">
        <v>0</v>
      </c>
      <c r="F458" t="s">
        <v>45</v>
      </c>
      <c r="G458" s="3">
        <f t="shared" si="53"/>
        <v>-6965.433</v>
      </c>
      <c r="H458" s="3">
        <f t="shared" si="54"/>
        <v>6965.433</v>
      </c>
      <c r="I458" s="5" t="str">
        <f t="shared" si="55"/>
        <v>017</v>
      </c>
      <c r="J458" s="5" t="str">
        <f t="shared" si="56"/>
        <v>2100</v>
      </c>
      <c r="K458" s="5" t="str">
        <f t="shared" si="57"/>
        <v>000</v>
      </c>
      <c r="L458" s="5">
        <f t="shared" si="58"/>
        <v>12</v>
      </c>
      <c r="M458" s="5">
        <f t="shared" si="59"/>
        <v>2011</v>
      </c>
    </row>
    <row r="459" spans="1:13" ht="17.45" customHeight="1" x14ac:dyDescent="0.25">
      <c r="A459" s="1">
        <f>DATE(2011,12,10)</f>
        <v>40887</v>
      </c>
      <c r="B459" t="s">
        <v>16</v>
      </c>
      <c r="C459" t="s">
        <v>8</v>
      </c>
      <c r="D459" s="3">
        <v>1177.6590000000001</v>
      </c>
      <c r="E459" s="3">
        <v>0</v>
      </c>
      <c r="F459" t="s">
        <v>45</v>
      </c>
      <c r="G459" s="3">
        <f t="shared" si="53"/>
        <v>-1177.6590000000001</v>
      </c>
      <c r="H459" s="3">
        <f t="shared" si="54"/>
        <v>1177.6590000000001</v>
      </c>
      <c r="I459" s="5" t="str">
        <f t="shared" si="55"/>
        <v>017</v>
      </c>
      <c r="J459" s="5" t="str">
        <f t="shared" si="56"/>
        <v>2210</v>
      </c>
      <c r="K459" s="5" t="str">
        <f t="shared" si="57"/>
        <v>000</v>
      </c>
      <c r="L459" s="5">
        <f t="shared" si="58"/>
        <v>12</v>
      </c>
      <c r="M459" s="5">
        <f t="shared" si="59"/>
        <v>2011</v>
      </c>
    </row>
    <row r="460" spans="1:13" ht="17.45" customHeight="1" x14ac:dyDescent="0.25">
      <c r="A460" s="1">
        <f>DATE(2011,12,10)</f>
        <v>40887</v>
      </c>
      <c r="B460" t="s">
        <v>17</v>
      </c>
      <c r="C460" t="s">
        <v>9</v>
      </c>
      <c r="D460" s="3">
        <v>445.62</v>
      </c>
      <c r="E460" s="3">
        <v>0</v>
      </c>
      <c r="F460" t="s">
        <v>45</v>
      </c>
      <c r="G460" s="3">
        <f t="shared" si="53"/>
        <v>-445.62</v>
      </c>
      <c r="H460" s="3">
        <f t="shared" si="54"/>
        <v>445.62</v>
      </c>
      <c r="I460" s="5" t="str">
        <f t="shared" si="55"/>
        <v>017</v>
      </c>
      <c r="J460" s="5" t="str">
        <f t="shared" si="56"/>
        <v>2220</v>
      </c>
      <c r="K460" s="5" t="str">
        <f t="shared" si="57"/>
        <v>000</v>
      </c>
      <c r="L460" s="5">
        <f t="shared" si="58"/>
        <v>12</v>
      </c>
      <c r="M460" s="5">
        <f t="shared" si="59"/>
        <v>2011</v>
      </c>
    </row>
    <row r="461" spans="1:13" ht="17.45" customHeight="1" x14ac:dyDescent="0.25">
      <c r="A461" s="1">
        <f>DATE(2011,12,10)</f>
        <v>40887</v>
      </c>
      <c r="B461" t="s">
        <v>18</v>
      </c>
      <c r="C461" t="s">
        <v>10</v>
      </c>
      <c r="D461" s="3">
        <v>78.009999999999991</v>
      </c>
      <c r="E461" s="3">
        <v>0</v>
      </c>
      <c r="F461" t="s">
        <v>45</v>
      </c>
      <c r="G461" s="3">
        <f t="shared" si="53"/>
        <v>-78.009999999999991</v>
      </c>
      <c r="H461" s="3">
        <f t="shared" si="54"/>
        <v>78.009999999999991</v>
      </c>
      <c r="I461" s="5" t="str">
        <f t="shared" si="55"/>
        <v>017</v>
      </c>
      <c r="J461" s="5" t="str">
        <f t="shared" si="56"/>
        <v>2230</v>
      </c>
      <c r="K461" s="5" t="str">
        <f t="shared" si="57"/>
        <v>000</v>
      </c>
      <c r="L461" s="5">
        <f t="shared" si="58"/>
        <v>12</v>
      </c>
      <c r="M461" s="5">
        <f t="shared" si="59"/>
        <v>2011</v>
      </c>
    </row>
    <row r="462" spans="1:13" ht="17.45" customHeight="1" x14ac:dyDescent="0.25">
      <c r="A462" s="1">
        <f>DATE(2011,12,11)</f>
        <v>40888</v>
      </c>
      <c r="B462" t="s">
        <v>15</v>
      </c>
      <c r="C462" t="s">
        <v>6</v>
      </c>
      <c r="D462" s="3">
        <v>6161.4360000000006</v>
      </c>
      <c r="E462" s="3">
        <v>0</v>
      </c>
      <c r="F462" t="s">
        <v>45</v>
      </c>
      <c r="G462" s="3">
        <f t="shared" si="53"/>
        <v>-6161.4360000000006</v>
      </c>
      <c r="H462" s="3">
        <f t="shared" si="54"/>
        <v>6161.4360000000006</v>
      </c>
      <c r="I462" s="5" t="str">
        <f t="shared" si="55"/>
        <v>017</v>
      </c>
      <c r="J462" s="5" t="str">
        <f t="shared" si="56"/>
        <v>2100</v>
      </c>
      <c r="K462" s="5" t="str">
        <f t="shared" si="57"/>
        <v>000</v>
      </c>
      <c r="L462" s="5">
        <f t="shared" si="58"/>
        <v>12</v>
      </c>
      <c r="M462" s="5">
        <f t="shared" si="59"/>
        <v>2011</v>
      </c>
    </row>
    <row r="463" spans="1:13" ht="17.45" customHeight="1" x14ac:dyDescent="0.25">
      <c r="A463" s="1">
        <f>DATE(2011,12,11)</f>
        <v>40888</v>
      </c>
      <c r="B463" t="s">
        <v>16</v>
      </c>
      <c r="C463" t="s">
        <v>8</v>
      </c>
      <c r="D463" s="3">
        <v>1172.402</v>
      </c>
      <c r="E463" s="3">
        <v>0</v>
      </c>
      <c r="F463" t="s">
        <v>45</v>
      </c>
      <c r="G463" s="3">
        <f t="shared" si="53"/>
        <v>-1172.402</v>
      </c>
      <c r="H463" s="3">
        <f t="shared" si="54"/>
        <v>1172.402</v>
      </c>
      <c r="I463" s="5" t="str">
        <f t="shared" si="55"/>
        <v>017</v>
      </c>
      <c r="J463" s="5" t="str">
        <f t="shared" si="56"/>
        <v>2210</v>
      </c>
      <c r="K463" s="5" t="str">
        <f t="shared" si="57"/>
        <v>000</v>
      </c>
      <c r="L463" s="5">
        <f t="shared" si="58"/>
        <v>12</v>
      </c>
      <c r="M463" s="5">
        <f t="shared" si="59"/>
        <v>2011</v>
      </c>
    </row>
    <row r="464" spans="1:13" ht="17.45" customHeight="1" x14ac:dyDescent="0.25">
      <c r="A464" s="1">
        <f>DATE(2011,12,11)</f>
        <v>40888</v>
      </c>
      <c r="B464" t="s">
        <v>17</v>
      </c>
      <c r="C464" t="s">
        <v>9</v>
      </c>
      <c r="D464" s="3">
        <v>182.25</v>
      </c>
      <c r="E464" s="3">
        <v>0</v>
      </c>
      <c r="F464" t="s">
        <v>45</v>
      </c>
      <c r="G464" s="3">
        <f t="shared" si="53"/>
        <v>-182.25</v>
      </c>
      <c r="H464" s="3">
        <f t="shared" si="54"/>
        <v>182.25</v>
      </c>
      <c r="I464" s="5" t="str">
        <f t="shared" si="55"/>
        <v>017</v>
      </c>
      <c r="J464" s="5" t="str">
        <f t="shared" si="56"/>
        <v>2220</v>
      </c>
      <c r="K464" s="5" t="str">
        <f t="shared" si="57"/>
        <v>000</v>
      </c>
      <c r="L464" s="5">
        <f t="shared" si="58"/>
        <v>12</v>
      </c>
      <c r="M464" s="5">
        <f t="shared" si="59"/>
        <v>2011</v>
      </c>
    </row>
    <row r="465" spans="1:13" ht="17.45" customHeight="1" x14ac:dyDescent="0.25">
      <c r="A465" s="1">
        <f>DATE(2011,12,11)</f>
        <v>40888</v>
      </c>
      <c r="B465" t="s">
        <v>18</v>
      </c>
      <c r="C465" t="s">
        <v>10</v>
      </c>
      <c r="D465" s="3">
        <v>76.644000000000005</v>
      </c>
      <c r="E465" s="3">
        <v>0</v>
      </c>
      <c r="F465" t="s">
        <v>45</v>
      </c>
      <c r="G465" s="3">
        <f t="shared" si="53"/>
        <v>-76.644000000000005</v>
      </c>
      <c r="H465" s="3">
        <f t="shared" si="54"/>
        <v>76.644000000000005</v>
      </c>
      <c r="I465" s="5" t="str">
        <f t="shared" si="55"/>
        <v>017</v>
      </c>
      <c r="J465" s="5" t="str">
        <f t="shared" si="56"/>
        <v>2230</v>
      </c>
      <c r="K465" s="5" t="str">
        <f t="shared" si="57"/>
        <v>000</v>
      </c>
      <c r="L465" s="5">
        <f t="shared" si="58"/>
        <v>12</v>
      </c>
      <c r="M465" s="5">
        <f t="shared" si="59"/>
        <v>2011</v>
      </c>
    </row>
    <row r="466" spans="1:13" ht="17.45" customHeight="1" x14ac:dyDescent="0.25">
      <c r="A466" s="1">
        <f>DATE(2011,12,5)</f>
        <v>40882</v>
      </c>
      <c r="B466" t="s">
        <v>19</v>
      </c>
      <c r="C466" t="s">
        <v>6</v>
      </c>
      <c r="D466" s="3">
        <v>2672.5545000000002</v>
      </c>
      <c r="E466" s="3">
        <v>0</v>
      </c>
      <c r="F466" t="s">
        <v>45</v>
      </c>
      <c r="G466" s="3">
        <f t="shared" si="53"/>
        <v>-2672.5545000000002</v>
      </c>
      <c r="H466" s="3">
        <f t="shared" si="54"/>
        <v>2672.5545000000002</v>
      </c>
      <c r="I466" s="5" t="str">
        <f t="shared" si="55"/>
        <v>018</v>
      </c>
      <c r="J466" s="5" t="str">
        <f t="shared" si="56"/>
        <v>2100</v>
      </c>
      <c r="K466" s="5" t="str">
        <f t="shared" si="57"/>
        <v>000</v>
      </c>
      <c r="L466" s="5">
        <f t="shared" si="58"/>
        <v>12</v>
      </c>
      <c r="M466" s="5">
        <f t="shared" si="59"/>
        <v>2011</v>
      </c>
    </row>
    <row r="467" spans="1:13" ht="17.45" customHeight="1" x14ac:dyDescent="0.25">
      <c r="A467" s="1">
        <f>DATE(2011,12,5)</f>
        <v>40882</v>
      </c>
      <c r="B467" t="s">
        <v>20</v>
      </c>
      <c r="C467" t="s">
        <v>8</v>
      </c>
      <c r="D467" s="3">
        <v>327.49950000000001</v>
      </c>
      <c r="E467" s="3">
        <v>0</v>
      </c>
      <c r="F467" t="s">
        <v>45</v>
      </c>
      <c r="G467" s="3">
        <f t="shared" si="53"/>
        <v>-327.49950000000001</v>
      </c>
      <c r="H467" s="3">
        <f t="shared" si="54"/>
        <v>327.49950000000001</v>
      </c>
      <c r="I467" s="5" t="str">
        <f t="shared" si="55"/>
        <v>018</v>
      </c>
      <c r="J467" s="5" t="str">
        <f t="shared" si="56"/>
        <v>2210</v>
      </c>
      <c r="K467" s="5" t="str">
        <f t="shared" si="57"/>
        <v>000</v>
      </c>
      <c r="L467" s="5">
        <f t="shared" si="58"/>
        <v>12</v>
      </c>
      <c r="M467" s="5">
        <f t="shared" si="59"/>
        <v>2011</v>
      </c>
    </row>
    <row r="468" spans="1:13" ht="17.45" customHeight="1" x14ac:dyDescent="0.25">
      <c r="A468" s="1">
        <f>DATE(2011,12,5)</f>
        <v>40882</v>
      </c>
      <c r="B468" t="s">
        <v>21</v>
      </c>
      <c r="C468" t="s">
        <v>9</v>
      </c>
      <c r="D468" s="3">
        <v>92</v>
      </c>
      <c r="E468" s="3">
        <v>0</v>
      </c>
      <c r="F468" t="s">
        <v>45</v>
      </c>
      <c r="G468" s="3">
        <f t="shared" si="53"/>
        <v>-92</v>
      </c>
      <c r="H468" s="3">
        <f t="shared" si="54"/>
        <v>92</v>
      </c>
      <c r="I468" s="5" t="str">
        <f t="shared" si="55"/>
        <v>018</v>
      </c>
      <c r="J468" s="5" t="str">
        <f t="shared" si="56"/>
        <v>2220</v>
      </c>
      <c r="K468" s="5" t="str">
        <f t="shared" si="57"/>
        <v>000</v>
      </c>
      <c r="L468" s="5">
        <f t="shared" si="58"/>
        <v>12</v>
      </c>
      <c r="M468" s="5">
        <f t="shared" si="59"/>
        <v>2011</v>
      </c>
    </row>
    <row r="469" spans="1:13" ht="17.45" customHeight="1" x14ac:dyDescent="0.25">
      <c r="A469" s="1">
        <f>DATE(2011,12,5)</f>
        <v>40882</v>
      </c>
      <c r="B469" t="s">
        <v>22</v>
      </c>
      <c r="C469" t="s">
        <v>10</v>
      </c>
      <c r="D469" s="3">
        <v>47.320999999999998</v>
      </c>
      <c r="E469" s="3">
        <v>0</v>
      </c>
      <c r="F469" t="s">
        <v>45</v>
      </c>
      <c r="G469" s="3">
        <f t="shared" si="53"/>
        <v>-47.320999999999998</v>
      </c>
      <c r="H469" s="3">
        <f t="shared" si="54"/>
        <v>47.320999999999998</v>
      </c>
      <c r="I469" s="5" t="str">
        <f t="shared" si="55"/>
        <v>018</v>
      </c>
      <c r="J469" s="5" t="str">
        <f t="shared" si="56"/>
        <v>2230</v>
      </c>
      <c r="K469" s="5" t="str">
        <f t="shared" si="57"/>
        <v>000</v>
      </c>
      <c r="L469" s="5">
        <f t="shared" si="58"/>
        <v>12</v>
      </c>
      <c r="M469" s="5">
        <f t="shared" si="59"/>
        <v>2011</v>
      </c>
    </row>
    <row r="470" spans="1:13" ht="17.45" customHeight="1" x14ac:dyDescent="0.25">
      <c r="A470" s="1">
        <f>DATE(2011,12,6)</f>
        <v>40883</v>
      </c>
      <c r="B470" t="s">
        <v>19</v>
      </c>
      <c r="C470" t="s">
        <v>6</v>
      </c>
      <c r="D470" s="3">
        <v>1897.0813999999998</v>
      </c>
      <c r="E470" s="3">
        <v>0</v>
      </c>
      <c r="F470" t="s">
        <v>45</v>
      </c>
      <c r="G470" s="3">
        <f t="shared" si="53"/>
        <v>-1897.0813999999998</v>
      </c>
      <c r="H470" s="3">
        <f t="shared" si="54"/>
        <v>1897.0813999999998</v>
      </c>
      <c r="I470" s="5" t="str">
        <f t="shared" si="55"/>
        <v>018</v>
      </c>
      <c r="J470" s="5" t="str">
        <f t="shared" si="56"/>
        <v>2100</v>
      </c>
      <c r="K470" s="5" t="str">
        <f t="shared" si="57"/>
        <v>000</v>
      </c>
      <c r="L470" s="5">
        <f t="shared" si="58"/>
        <v>12</v>
      </c>
      <c r="M470" s="5">
        <f t="shared" si="59"/>
        <v>2011</v>
      </c>
    </row>
    <row r="471" spans="1:13" ht="17.45" customHeight="1" x14ac:dyDescent="0.25">
      <c r="A471" s="1">
        <f>DATE(2011,12,6)</f>
        <v>40883</v>
      </c>
      <c r="B471" t="s">
        <v>20</v>
      </c>
      <c r="C471" t="s">
        <v>8</v>
      </c>
      <c r="D471" s="3">
        <v>273.30800000000005</v>
      </c>
      <c r="E471" s="3">
        <v>0</v>
      </c>
      <c r="F471" t="s">
        <v>45</v>
      </c>
      <c r="G471" s="3">
        <f t="shared" si="53"/>
        <v>-273.30800000000005</v>
      </c>
      <c r="H471" s="3">
        <f t="shared" si="54"/>
        <v>273.30800000000005</v>
      </c>
      <c r="I471" s="5" t="str">
        <f t="shared" si="55"/>
        <v>018</v>
      </c>
      <c r="J471" s="5" t="str">
        <f t="shared" si="56"/>
        <v>2210</v>
      </c>
      <c r="K471" s="5" t="str">
        <f t="shared" si="57"/>
        <v>000</v>
      </c>
      <c r="L471" s="5">
        <f t="shared" si="58"/>
        <v>12</v>
      </c>
      <c r="M471" s="5">
        <f t="shared" si="59"/>
        <v>2011</v>
      </c>
    </row>
    <row r="472" spans="1:13" ht="17.45" customHeight="1" x14ac:dyDescent="0.25">
      <c r="A472" s="1">
        <f>DATE(2011,12,6)</f>
        <v>40883</v>
      </c>
      <c r="B472" t="s">
        <v>21</v>
      </c>
      <c r="C472" t="s">
        <v>9</v>
      </c>
      <c r="D472" s="3">
        <v>125.67149999999999</v>
      </c>
      <c r="E472" s="3">
        <v>0</v>
      </c>
      <c r="F472" t="s">
        <v>45</v>
      </c>
      <c r="G472" s="3">
        <f t="shared" si="53"/>
        <v>-125.67149999999999</v>
      </c>
      <c r="H472" s="3">
        <f t="shared" si="54"/>
        <v>125.67149999999999</v>
      </c>
      <c r="I472" s="5" t="str">
        <f t="shared" si="55"/>
        <v>018</v>
      </c>
      <c r="J472" s="5" t="str">
        <f t="shared" si="56"/>
        <v>2220</v>
      </c>
      <c r="K472" s="5" t="str">
        <f t="shared" si="57"/>
        <v>000</v>
      </c>
      <c r="L472" s="5">
        <f t="shared" si="58"/>
        <v>12</v>
      </c>
      <c r="M472" s="5">
        <f t="shared" si="59"/>
        <v>2011</v>
      </c>
    </row>
    <row r="473" spans="1:13" ht="17.45" customHeight="1" x14ac:dyDescent="0.25">
      <c r="A473" s="1">
        <f>DATE(2011,12,6)</f>
        <v>40883</v>
      </c>
      <c r="B473" t="s">
        <v>22</v>
      </c>
      <c r="C473" t="s">
        <v>10</v>
      </c>
      <c r="D473" s="3">
        <v>49.077500000000001</v>
      </c>
      <c r="E473" s="3">
        <v>0</v>
      </c>
      <c r="F473" t="s">
        <v>45</v>
      </c>
      <c r="G473" s="3">
        <f t="shared" si="53"/>
        <v>-49.077500000000001</v>
      </c>
      <c r="H473" s="3">
        <f t="shared" si="54"/>
        <v>49.077500000000001</v>
      </c>
      <c r="I473" s="5" t="str">
        <f t="shared" si="55"/>
        <v>018</v>
      </c>
      <c r="J473" s="5" t="str">
        <f t="shared" si="56"/>
        <v>2230</v>
      </c>
      <c r="K473" s="5" t="str">
        <f t="shared" si="57"/>
        <v>000</v>
      </c>
      <c r="L473" s="5">
        <f t="shared" si="58"/>
        <v>12</v>
      </c>
      <c r="M473" s="5">
        <f t="shared" si="59"/>
        <v>2011</v>
      </c>
    </row>
    <row r="474" spans="1:13" ht="17.45" customHeight="1" x14ac:dyDescent="0.25">
      <c r="A474" s="1">
        <f>DATE(2011,12,7)</f>
        <v>40884</v>
      </c>
      <c r="B474" t="s">
        <v>19</v>
      </c>
      <c r="C474" t="s">
        <v>6</v>
      </c>
      <c r="D474" s="3">
        <v>2355.7829999999999</v>
      </c>
      <c r="E474" s="3">
        <v>0</v>
      </c>
      <c r="F474" t="s">
        <v>45</v>
      </c>
      <c r="G474" s="3">
        <f t="shared" si="53"/>
        <v>-2355.7829999999999</v>
      </c>
      <c r="H474" s="3">
        <f t="shared" si="54"/>
        <v>2355.7829999999999</v>
      </c>
      <c r="I474" s="5" t="str">
        <f t="shared" si="55"/>
        <v>018</v>
      </c>
      <c r="J474" s="5" t="str">
        <f t="shared" si="56"/>
        <v>2100</v>
      </c>
      <c r="K474" s="5" t="str">
        <f t="shared" si="57"/>
        <v>000</v>
      </c>
      <c r="L474" s="5">
        <f t="shared" si="58"/>
        <v>12</v>
      </c>
      <c r="M474" s="5">
        <f t="shared" si="59"/>
        <v>2011</v>
      </c>
    </row>
    <row r="475" spans="1:13" ht="17.45" customHeight="1" x14ac:dyDescent="0.25">
      <c r="A475" s="1">
        <f>DATE(2011,12,7)</f>
        <v>40884</v>
      </c>
      <c r="B475" t="s">
        <v>20</v>
      </c>
      <c r="C475" t="s">
        <v>8</v>
      </c>
      <c r="D475" s="3">
        <v>296.18549999999999</v>
      </c>
      <c r="E475" s="3">
        <v>0</v>
      </c>
      <c r="F475" t="s">
        <v>45</v>
      </c>
      <c r="G475" s="3">
        <f t="shared" si="53"/>
        <v>-296.18549999999999</v>
      </c>
      <c r="H475" s="3">
        <f t="shared" si="54"/>
        <v>296.18549999999999</v>
      </c>
      <c r="I475" s="5" t="str">
        <f t="shared" si="55"/>
        <v>018</v>
      </c>
      <c r="J475" s="5" t="str">
        <f t="shared" si="56"/>
        <v>2210</v>
      </c>
      <c r="K475" s="5" t="str">
        <f t="shared" si="57"/>
        <v>000</v>
      </c>
      <c r="L475" s="5">
        <f t="shared" si="58"/>
        <v>12</v>
      </c>
      <c r="M475" s="5">
        <f t="shared" si="59"/>
        <v>2011</v>
      </c>
    </row>
    <row r="476" spans="1:13" ht="17.45" customHeight="1" x14ac:dyDescent="0.25">
      <c r="A476" s="1">
        <f>DATE(2011,12,7)</f>
        <v>40884</v>
      </c>
      <c r="B476" t="s">
        <v>21</v>
      </c>
      <c r="C476" t="s">
        <v>9</v>
      </c>
      <c r="D476" s="3">
        <v>104.67500000000001</v>
      </c>
      <c r="E476" s="3">
        <v>0</v>
      </c>
      <c r="F476" t="s">
        <v>45</v>
      </c>
      <c r="G476" s="3">
        <f t="shared" si="53"/>
        <v>-104.67500000000001</v>
      </c>
      <c r="H476" s="3">
        <f t="shared" si="54"/>
        <v>104.67500000000001</v>
      </c>
      <c r="I476" s="5" t="str">
        <f t="shared" si="55"/>
        <v>018</v>
      </c>
      <c r="J476" s="5" t="str">
        <f t="shared" si="56"/>
        <v>2220</v>
      </c>
      <c r="K476" s="5" t="str">
        <f t="shared" si="57"/>
        <v>000</v>
      </c>
      <c r="L476" s="5">
        <f t="shared" si="58"/>
        <v>12</v>
      </c>
      <c r="M476" s="5">
        <f t="shared" si="59"/>
        <v>2011</v>
      </c>
    </row>
    <row r="477" spans="1:13" ht="17.45" customHeight="1" x14ac:dyDescent="0.25">
      <c r="A477" s="1">
        <f>DATE(2011,12,7)</f>
        <v>40884</v>
      </c>
      <c r="B477" t="s">
        <v>22</v>
      </c>
      <c r="C477" t="s">
        <v>10</v>
      </c>
      <c r="D477" s="3">
        <v>10.491999999999999</v>
      </c>
      <c r="E477" s="3">
        <v>0</v>
      </c>
      <c r="F477" t="s">
        <v>45</v>
      </c>
      <c r="G477" s="3">
        <f t="shared" si="53"/>
        <v>-10.491999999999999</v>
      </c>
      <c r="H477" s="3">
        <f t="shared" si="54"/>
        <v>10.491999999999999</v>
      </c>
      <c r="I477" s="5" t="str">
        <f t="shared" si="55"/>
        <v>018</v>
      </c>
      <c r="J477" s="5" t="str">
        <f t="shared" si="56"/>
        <v>2230</v>
      </c>
      <c r="K477" s="5" t="str">
        <f t="shared" si="57"/>
        <v>000</v>
      </c>
      <c r="L477" s="5">
        <f t="shared" si="58"/>
        <v>12</v>
      </c>
      <c r="M477" s="5">
        <f t="shared" si="59"/>
        <v>2011</v>
      </c>
    </row>
    <row r="478" spans="1:13" ht="17.45" customHeight="1" x14ac:dyDescent="0.25">
      <c r="A478" s="1">
        <f>DATE(2011,12,8)</f>
        <v>40885</v>
      </c>
      <c r="B478" t="s">
        <v>19</v>
      </c>
      <c r="C478" t="s">
        <v>6</v>
      </c>
      <c r="D478" s="3">
        <v>4553.3637000000008</v>
      </c>
      <c r="E478" s="3">
        <v>0</v>
      </c>
      <c r="F478" t="s">
        <v>45</v>
      </c>
      <c r="G478" s="3">
        <f t="shared" si="53"/>
        <v>-4553.3637000000008</v>
      </c>
      <c r="H478" s="3">
        <f t="shared" si="54"/>
        <v>4553.3637000000008</v>
      </c>
      <c r="I478" s="5" t="str">
        <f t="shared" si="55"/>
        <v>018</v>
      </c>
      <c r="J478" s="5" t="str">
        <f t="shared" si="56"/>
        <v>2100</v>
      </c>
      <c r="K478" s="5" t="str">
        <f t="shared" si="57"/>
        <v>000</v>
      </c>
      <c r="L478" s="5">
        <f t="shared" si="58"/>
        <v>12</v>
      </c>
      <c r="M478" s="5">
        <f t="shared" si="59"/>
        <v>2011</v>
      </c>
    </row>
    <row r="479" spans="1:13" ht="17.45" customHeight="1" x14ac:dyDescent="0.25">
      <c r="A479" s="1">
        <f>DATE(2011,12,8)</f>
        <v>40885</v>
      </c>
      <c r="B479" t="s">
        <v>20</v>
      </c>
      <c r="C479" t="s">
        <v>8</v>
      </c>
      <c r="D479" s="3">
        <v>977.13199999999995</v>
      </c>
      <c r="E479" s="3">
        <v>0</v>
      </c>
      <c r="F479" t="s">
        <v>45</v>
      </c>
      <c r="G479" s="3">
        <f t="shared" si="53"/>
        <v>-977.13199999999995</v>
      </c>
      <c r="H479" s="3">
        <f t="shared" si="54"/>
        <v>977.13199999999995</v>
      </c>
      <c r="I479" s="5" t="str">
        <f t="shared" si="55"/>
        <v>018</v>
      </c>
      <c r="J479" s="5" t="str">
        <f t="shared" si="56"/>
        <v>2210</v>
      </c>
      <c r="K479" s="5" t="str">
        <f t="shared" si="57"/>
        <v>000</v>
      </c>
      <c r="L479" s="5">
        <f t="shared" si="58"/>
        <v>12</v>
      </c>
      <c r="M479" s="5">
        <f t="shared" si="59"/>
        <v>2011</v>
      </c>
    </row>
    <row r="480" spans="1:13" ht="17.45" customHeight="1" x14ac:dyDescent="0.25">
      <c r="A480" s="1">
        <f>DATE(2011,12,8)</f>
        <v>40885</v>
      </c>
      <c r="B480" t="s">
        <v>21</v>
      </c>
      <c r="C480" t="s">
        <v>9</v>
      </c>
      <c r="D480" s="3">
        <v>172.73750000000001</v>
      </c>
      <c r="E480" s="3">
        <v>0</v>
      </c>
      <c r="F480" t="s">
        <v>45</v>
      </c>
      <c r="G480" s="3">
        <f t="shared" si="53"/>
        <v>-172.73750000000001</v>
      </c>
      <c r="H480" s="3">
        <f t="shared" si="54"/>
        <v>172.73750000000001</v>
      </c>
      <c r="I480" s="5" t="str">
        <f t="shared" si="55"/>
        <v>018</v>
      </c>
      <c r="J480" s="5" t="str">
        <f t="shared" si="56"/>
        <v>2220</v>
      </c>
      <c r="K480" s="5" t="str">
        <f t="shared" si="57"/>
        <v>000</v>
      </c>
      <c r="L480" s="5">
        <f t="shared" si="58"/>
        <v>12</v>
      </c>
      <c r="M480" s="5">
        <f t="shared" si="59"/>
        <v>2011</v>
      </c>
    </row>
    <row r="481" spans="1:13" ht="17.45" customHeight="1" x14ac:dyDescent="0.25">
      <c r="A481" s="1">
        <f>DATE(2011,12,8)</f>
        <v>40885</v>
      </c>
      <c r="B481" t="s">
        <v>22</v>
      </c>
      <c r="C481" t="s">
        <v>10</v>
      </c>
      <c r="D481" s="3">
        <v>48.730499999999999</v>
      </c>
      <c r="E481" s="3">
        <v>0</v>
      </c>
      <c r="F481" t="s">
        <v>45</v>
      </c>
      <c r="G481" s="3">
        <f t="shared" si="53"/>
        <v>-48.730499999999999</v>
      </c>
      <c r="H481" s="3">
        <f t="shared" si="54"/>
        <v>48.730499999999999</v>
      </c>
      <c r="I481" s="5" t="str">
        <f t="shared" si="55"/>
        <v>018</v>
      </c>
      <c r="J481" s="5" t="str">
        <f t="shared" si="56"/>
        <v>2230</v>
      </c>
      <c r="K481" s="5" t="str">
        <f t="shared" si="57"/>
        <v>000</v>
      </c>
      <c r="L481" s="5">
        <f t="shared" si="58"/>
        <v>12</v>
      </c>
      <c r="M481" s="5">
        <f t="shared" si="59"/>
        <v>2011</v>
      </c>
    </row>
    <row r="482" spans="1:13" ht="17.45" customHeight="1" x14ac:dyDescent="0.25">
      <c r="A482" s="1">
        <f>DATE(2011,12,9)</f>
        <v>40886</v>
      </c>
      <c r="B482" t="s">
        <v>19</v>
      </c>
      <c r="C482" t="s">
        <v>6</v>
      </c>
      <c r="D482" s="3">
        <v>9728.9529999999995</v>
      </c>
      <c r="E482" s="3">
        <v>0</v>
      </c>
      <c r="F482" t="s">
        <v>45</v>
      </c>
      <c r="G482" s="3">
        <f t="shared" si="53"/>
        <v>-9728.9529999999995</v>
      </c>
      <c r="H482" s="3">
        <f t="shared" si="54"/>
        <v>9728.9529999999995</v>
      </c>
      <c r="I482" s="5" t="str">
        <f t="shared" si="55"/>
        <v>018</v>
      </c>
      <c r="J482" s="5" t="str">
        <f t="shared" si="56"/>
        <v>2100</v>
      </c>
      <c r="K482" s="5" t="str">
        <f t="shared" si="57"/>
        <v>000</v>
      </c>
      <c r="L482" s="5">
        <f t="shared" si="58"/>
        <v>12</v>
      </c>
      <c r="M482" s="5">
        <f t="shared" si="59"/>
        <v>2011</v>
      </c>
    </row>
    <row r="483" spans="1:13" ht="17.45" customHeight="1" x14ac:dyDescent="0.25">
      <c r="A483" s="1">
        <f>DATE(2011,12,9)</f>
        <v>40886</v>
      </c>
      <c r="B483" t="s">
        <v>20</v>
      </c>
      <c r="C483" t="s">
        <v>8</v>
      </c>
      <c r="D483" s="3">
        <v>2042.962</v>
      </c>
      <c r="E483" s="3">
        <v>0</v>
      </c>
      <c r="F483" t="s">
        <v>45</v>
      </c>
      <c r="G483" s="3">
        <f t="shared" si="53"/>
        <v>-2042.962</v>
      </c>
      <c r="H483" s="3">
        <f t="shared" si="54"/>
        <v>2042.962</v>
      </c>
      <c r="I483" s="5" t="str">
        <f t="shared" si="55"/>
        <v>018</v>
      </c>
      <c r="J483" s="5" t="str">
        <f t="shared" si="56"/>
        <v>2210</v>
      </c>
      <c r="K483" s="5" t="str">
        <f t="shared" si="57"/>
        <v>000</v>
      </c>
      <c r="L483" s="5">
        <f t="shared" si="58"/>
        <v>12</v>
      </c>
      <c r="M483" s="5">
        <f t="shared" si="59"/>
        <v>2011</v>
      </c>
    </row>
    <row r="484" spans="1:13" ht="17.45" customHeight="1" x14ac:dyDescent="0.25">
      <c r="A484" s="1">
        <f>DATE(2011,12,9)</f>
        <v>40886</v>
      </c>
      <c r="B484" t="s">
        <v>21</v>
      </c>
      <c r="C484" t="s">
        <v>9</v>
      </c>
      <c r="D484" s="3">
        <v>382.11750000000001</v>
      </c>
      <c r="E484" s="3">
        <v>0</v>
      </c>
      <c r="F484" t="s">
        <v>45</v>
      </c>
      <c r="G484" s="3">
        <f t="shared" si="53"/>
        <v>-382.11750000000001</v>
      </c>
      <c r="H484" s="3">
        <f t="shared" si="54"/>
        <v>382.11750000000001</v>
      </c>
      <c r="I484" s="5" t="str">
        <f t="shared" si="55"/>
        <v>018</v>
      </c>
      <c r="J484" s="5" t="str">
        <f t="shared" si="56"/>
        <v>2220</v>
      </c>
      <c r="K484" s="5" t="str">
        <f t="shared" si="57"/>
        <v>000</v>
      </c>
      <c r="L484" s="5">
        <f t="shared" si="58"/>
        <v>12</v>
      </c>
      <c r="M484" s="5">
        <f t="shared" si="59"/>
        <v>2011</v>
      </c>
    </row>
    <row r="485" spans="1:13" ht="17.45" customHeight="1" x14ac:dyDescent="0.25">
      <c r="A485" s="1">
        <f>DATE(2011,12,9)</f>
        <v>40886</v>
      </c>
      <c r="B485" t="s">
        <v>22</v>
      </c>
      <c r="C485" t="s">
        <v>10</v>
      </c>
      <c r="D485" s="3">
        <v>112.37</v>
      </c>
      <c r="E485" s="3">
        <v>0</v>
      </c>
      <c r="F485" t="s">
        <v>45</v>
      </c>
      <c r="G485" s="3">
        <f t="shared" si="53"/>
        <v>-112.37</v>
      </c>
      <c r="H485" s="3">
        <f t="shared" si="54"/>
        <v>112.37</v>
      </c>
      <c r="I485" s="5" t="str">
        <f t="shared" si="55"/>
        <v>018</v>
      </c>
      <c r="J485" s="5" t="str">
        <f t="shared" si="56"/>
        <v>2230</v>
      </c>
      <c r="K485" s="5" t="str">
        <f t="shared" si="57"/>
        <v>000</v>
      </c>
      <c r="L485" s="5">
        <f t="shared" si="58"/>
        <v>12</v>
      </c>
      <c r="M485" s="5">
        <f t="shared" si="59"/>
        <v>2011</v>
      </c>
    </row>
    <row r="486" spans="1:13" ht="17.45" customHeight="1" x14ac:dyDescent="0.25">
      <c r="A486" s="1">
        <f>DATE(2011,12,10)</f>
        <v>40887</v>
      </c>
      <c r="B486" t="s">
        <v>19</v>
      </c>
      <c r="C486" t="s">
        <v>6</v>
      </c>
      <c r="D486" s="3">
        <v>8840.4585000000006</v>
      </c>
      <c r="E486" s="3">
        <v>0</v>
      </c>
      <c r="F486" t="s">
        <v>45</v>
      </c>
      <c r="G486" s="3">
        <f t="shared" si="53"/>
        <v>-8840.4585000000006</v>
      </c>
      <c r="H486" s="3">
        <f t="shared" si="54"/>
        <v>8840.4585000000006</v>
      </c>
      <c r="I486" s="5" t="str">
        <f t="shared" si="55"/>
        <v>018</v>
      </c>
      <c r="J486" s="5" t="str">
        <f t="shared" si="56"/>
        <v>2100</v>
      </c>
      <c r="K486" s="5" t="str">
        <f t="shared" si="57"/>
        <v>000</v>
      </c>
      <c r="L486" s="5">
        <f t="shared" si="58"/>
        <v>12</v>
      </c>
      <c r="M486" s="5">
        <f t="shared" si="59"/>
        <v>2011</v>
      </c>
    </row>
    <row r="487" spans="1:13" ht="17.45" customHeight="1" x14ac:dyDescent="0.25">
      <c r="A487" s="1">
        <f>DATE(2011,12,10)</f>
        <v>40887</v>
      </c>
      <c r="B487" t="s">
        <v>20</v>
      </c>
      <c r="C487" t="s">
        <v>8</v>
      </c>
      <c r="D487" s="3">
        <v>1373.7010000000002</v>
      </c>
      <c r="E487" s="3">
        <v>0</v>
      </c>
      <c r="F487" t="s">
        <v>45</v>
      </c>
      <c r="G487" s="3">
        <f t="shared" si="53"/>
        <v>-1373.7010000000002</v>
      </c>
      <c r="H487" s="3">
        <f t="shared" si="54"/>
        <v>1373.7010000000002</v>
      </c>
      <c r="I487" s="5" t="str">
        <f t="shared" si="55"/>
        <v>018</v>
      </c>
      <c r="J487" s="5" t="str">
        <f t="shared" si="56"/>
        <v>2210</v>
      </c>
      <c r="K487" s="5" t="str">
        <f t="shared" si="57"/>
        <v>000</v>
      </c>
      <c r="L487" s="5">
        <f t="shared" si="58"/>
        <v>12</v>
      </c>
      <c r="M487" s="5">
        <f t="shared" si="59"/>
        <v>2011</v>
      </c>
    </row>
    <row r="488" spans="1:13" ht="17.45" customHeight="1" x14ac:dyDescent="0.25">
      <c r="A488" s="1">
        <f>DATE(2011,12,10)</f>
        <v>40887</v>
      </c>
      <c r="B488" t="s">
        <v>21</v>
      </c>
      <c r="C488" t="s">
        <v>9</v>
      </c>
      <c r="D488" s="3">
        <v>653.0625</v>
      </c>
      <c r="E488" s="3">
        <v>0</v>
      </c>
      <c r="F488" t="s">
        <v>45</v>
      </c>
      <c r="G488" s="3">
        <f t="shared" si="53"/>
        <v>-653.0625</v>
      </c>
      <c r="H488" s="3">
        <f t="shared" si="54"/>
        <v>653.0625</v>
      </c>
      <c r="I488" s="5" t="str">
        <f t="shared" si="55"/>
        <v>018</v>
      </c>
      <c r="J488" s="5" t="str">
        <f t="shared" si="56"/>
        <v>2220</v>
      </c>
      <c r="K488" s="5" t="str">
        <f t="shared" si="57"/>
        <v>000</v>
      </c>
      <c r="L488" s="5">
        <f t="shared" si="58"/>
        <v>12</v>
      </c>
      <c r="M488" s="5">
        <f t="shared" si="59"/>
        <v>2011</v>
      </c>
    </row>
    <row r="489" spans="1:13" ht="17.45" customHeight="1" x14ac:dyDescent="0.25">
      <c r="A489" s="1">
        <f>DATE(2011,12,10)</f>
        <v>40887</v>
      </c>
      <c r="B489" t="s">
        <v>22</v>
      </c>
      <c r="C489" t="s">
        <v>10</v>
      </c>
      <c r="D489" s="3">
        <v>126.56699999999999</v>
      </c>
      <c r="E489" s="3">
        <v>0</v>
      </c>
      <c r="F489" t="s">
        <v>45</v>
      </c>
      <c r="G489" s="3">
        <f t="shared" si="53"/>
        <v>-126.56699999999999</v>
      </c>
      <c r="H489" s="3">
        <f t="shared" si="54"/>
        <v>126.56699999999999</v>
      </c>
      <c r="I489" s="5" t="str">
        <f t="shared" si="55"/>
        <v>018</v>
      </c>
      <c r="J489" s="5" t="str">
        <f t="shared" si="56"/>
        <v>2230</v>
      </c>
      <c r="K489" s="5" t="str">
        <f t="shared" si="57"/>
        <v>000</v>
      </c>
      <c r="L489" s="5">
        <f t="shared" si="58"/>
        <v>12</v>
      </c>
      <c r="M489" s="5">
        <f t="shared" si="59"/>
        <v>2011</v>
      </c>
    </row>
    <row r="490" spans="1:13" ht="17.45" customHeight="1" x14ac:dyDescent="0.25">
      <c r="A490" s="1">
        <f>DATE(2011,12,11)</f>
        <v>40888</v>
      </c>
      <c r="B490" t="s">
        <v>19</v>
      </c>
      <c r="C490" t="s">
        <v>6</v>
      </c>
      <c r="D490" s="3">
        <v>6874.8</v>
      </c>
      <c r="E490" s="3">
        <v>0</v>
      </c>
      <c r="F490" t="s">
        <v>45</v>
      </c>
      <c r="G490" s="3">
        <f t="shared" si="53"/>
        <v>-6874.8</v>
      </c>
      <c r="H490" s="3">
        <f t="shared" si="54"/>
        <v>6874.8</v>
      </c>
      <c r="I490" s="5" t="str">
        <f t="shared" si="55"/>
        <v>018</v>
      </c>
      <c r="J490" s="5" t="str">
        <f t="shared" si="56"/>
        <v>2100</v>
      </c>
      <c r="K490" s="5" t="str">
        <f t="shared" si="57"/>
        <v>000</v>
      </c>
      <c r="L490" s="5">
        <f t="shared" si="58"/>
        <v>12</v>
      </c>
      <c r="M490" s="5">
        <f t="shared" si="59"/>
        <v>2011</v>
      </c>
    </row>
    <row r="491" spans="1:13" ht="17.45" customHeight="1" x14ac:dyDescent="0.25">
      <c r="A491" s="1">
        <f>DATE(2011,12,11)</f>
        <v>40888</v>
      </c>
      <c r="B491" t="s">
        <v>20</v>
      </c>
      <c r="C491" t="s">
        <v>8</v>
      </c>
      <c r="D491" s="3">
        <v>733.71</v>
      </c>
      <c r="E491" s="3">
        <v>0</v>
      </c>
      <c r="F491" t="s">
        <v>45</v>
      </c>
      <c r="G491" s="3">
        <f t="shared" si="53"/>
        <v>-733.71</v>
      </c>
      <c r="H491" s="3">
        <f t="shared" si="54"/>
        <v>733.71</v>
      </c>
      <c r="I491" s="5" t="str">
        <f t="shared" si="55"/>
        <v>018</v>
      </c>
      <c r="J491" s="5" t="str">
        <f t="shared" si="56"/>
        <v>2210</v>
      </c>
      <c r="K491" s="5" t="str">
        <f t="shared" si="57"/>
        <v>000</v>
      </c>
      <c r="L491" s="5">
        <f t="shared" si="58"/>
        <v>12</v>
      </c>
      <c r="M491" s="5">
        <f t="shared" si="59"/>
        <v>2011</v>
      </c>
    </row>
    <row r="492" spans="1:13" ht="17.45" customHeight="1" x14ac:dyDescent="0.25">
      <c r="A492" s="1">
        <f>DATE(2011,12,11)</f>
        <v>40888</v>
      </c>
      <c r="B492" t="s">
        <v>21</v>
      </c>
      <c r="C492" t="s">
        <v>9</v>
      </c>
      <c r="D492" s="3">
        <v>173.655</v>
      </c>
      <c r="E492" s="3">
        <v>0</v>
      </c>
      <c r="F492" t="s">
        <v>45</v>
      </c>
      <c r="G492" s="3">
        <f t="shared" si="53"/>
        <v>-173.655</v>
      </c>
      <c r="H492" s="3">
        <f t="shared" si="54"/>
        <v>173.655</v>
      </c>
      <c r="I492" s="5" t="str">
        <f t="shared" si="55"/>
        <v>018</v>
      </c>
      <c r="J492" s="5" t="str">
        <f t="shared" si="56"/>
        <v>2220</v>
      </c>
      <c r="K492" s="5" t="str">
        <f t="shared" si="57"/>
        <v>000</v>
      </c>
      <c r="L492" s="5">
        <f t="shared" si="58"/>
        <v>12</v>
      </c>
      <c r="M492" s="5">
        <f t="shared" si="59"/>
        <v>2011</v>
      </c>
    </row>
    <row r="493" spans="1:13" ht="17.45" customHeight="1" x14ac:dyDescent="0.25">
      <c r="A493" s="1">
        <f>DATE(2011,12,11)</f>
        <v>40888</v>
      </c>
      <c r="B493" t="s">
        <v>22</v>
      </c>
      <c r="C493" t="s">
        <v>10</v>
      </c>
      <c r="D493" s="3">
        <v>107.49249999999999</v>
      </c>
      <c r="E493" s="3">
        <v>0</v>
      </c>
      <c r="F493" t="s">
        <v>45</v>
      </c>
      <c r="G493" s="3">
        <f t="shared" si="53"/>
        <v>-107.49249999999999</v>
      </c>
      <c r="H493" s="3">
        <f t="shared" si="54"/>
        <v>107.49249999999999</v>
      </c>
      <c r="I493" s="5" t="str">
        <f t="shared" si="55"/>
        <v>018</v>
      </c>
      <c r="J493" s="5" t="str">
        <f t="shared" si="56"/>
        <v>2230</v>
      </c>
      <c r="K493" s="5" t="str">
        <f t="shared" si="57"/>
        <v>000</v>
      </c>
      <c r="L493" s="5">
        <f t="shared" si="58"/>
        <v>12</v>
      </c>
      <c r="M493" s="5">
        <f t="shared" si="59"/>
        <v>2011</v>
      </c>
    </row>
    <row r="494" spans="1:13" ht="17.45" customHeight="1" x14ac:dyDescent="0.25">
      <c r="A494" s="1">
        <f>DATE(2011,12,12)</f>
        <v>40889</v>
      </c>
      <c r="B494" t="s">
        <v>11</v>
      </c>
      <c r="C494" t="s">
        <v>6</v>
      </c>
      <c r="D494" s="3">
        <v>1843.3989000000001</v>
      </c>
      <c r="E494" s="3">
        <v>0</v>
      </c>
      <c r="F494" t="s">
        <v>45</v>
      </c>
      <c r="G494" s="3">
        <f t="shared" si="53"/>
        <v>-1843.3989000000001</v>
      </c>
      <c r="H494" s="3">
        <f t="shared" si="54"/>
        <v>1843.3989000000001</v>
      </c>
      <c r="I494" s="5" t="str">
        <f t="shared" si="55"/>
        <v>016</v>
      </c>
      <c r="J494" s="5" t="str">
        <f t="shared" si="56"/>
        <v>2100</v>
      </c>
      <c r="K494" s="5" t="str">
        <f t="shared" si="57"/>
        <v>000</v>
      </c>
      <c r="L494" s="5">
        <f t="shared" si="58"/>
        <v>12</v>
      </c>
      <c r="M494" s="5">
        <f t="shared" si="59"/>
        <v>2011</v>
      </c>
    </row>
    <row r="495" spans="1:13" ht="17.45" customHeight="1" x14ac:dyDescent="0.25">
      <c r="A495" s="1">
        <f>DATE(2011,12,12)</f>
        <v>40889</v>
      </c>
      <c r="B495" t="s">
        <v>12</v>
      </c>
      <c r="C495" t="s">
        <v>8</v>
      </c>
      <c r="D495" s="3">
        <v>301.75450000000001</v>
      </c>
      <c r="E495" s="3">
        <v>0</v>
      </c>
      <c r="F495" t="s">
        <v>45</v>
      </c>
      <c r="G495" s="3">
        <f t="shared" si="53"/>
        <v>-301.75450000000001</v>
      </c>
      <c r="H495" s="3">
        <f t="shared" si="54"/>
        <v>301.75450000000001</v>
      </c>
      <c r="I495" s="5" t="str">
        <f t="shared" si="55"/>
        <v>016</v>
      </c>
      <c r="J495" s="5" t="str">
        <f t="shared" si="56"/>
        <v>2210</v>
      </c>
      <c r="K495" s="5" t="str">
        <f t="shared" si="57"/>
        <v>000</v>
      </c>
      <c r="L495" s="5">
        <f t="shared" si="58"/>
        <v>12</v>
      </c>
      <c r="M495" s="5">
        <f t="shared" si="59"/>
        <v>2011</v>
      </c>
    </row>
    <row r="496" spans="1:13" ht="17.45" customHeight="1" x14ac:dyDescent="0.25">
      <c r="A496" s="1">
        <f>DATE(2011,12,12)</f>
        <v>40889</v>
      </c>
      <c r="B496" t="s">
        <v>13</v>
      </c>
      <c r="C496" t="s">
        <v>9</v>
      </c>
      <c r="D496" s="3">
        <v>91.872000000000014</v>
      </c>
      <c r="E496" s="3">
        <v>0</v>
      </c>
      <c r="F496" t="s">
        <v>45</v>
      </c>
      <c r="G496" s="3">
        <f t="shared" si="53"/>
        <v>-91.872000000000014</v>
      </c>
      <c r="H496" s="3">
        <f t="shared" si="54"/>
        <v>91.872000000000014</v>
      </c>
      <c r="I496" s="5" t="str">
        <f t="shared" si="55"/>
        <v>016</v>
      </c>
      <c r="J496" s="5" t="str">
        <f t="shared" si="56"/>
        <v>2220</v>
      </c>
      <c r="K496" s="5" t="str">
        <f t="shared" si="57"/>
        <v>000</v>
      </c>
      <c r="L496" s="5">
        <f t="shared" si="58"/>
        <v>12</v>
      </c>
      <c r="M496" s="5">
        <f t="shared" si="59"/>
        <v>2011</v>
      </c>
    </row>
    <row r="497" spans="1:13" ht="17.45" customHeight="1" x14ac:dyDescent="0.25">
      <c r="A497" s="1">
        <f>DATE(2011,12,12)</f>
        <v>40889</v>
      </c>
      <c r="B497" t="s">
        <v>14</v>
      </c>
      <c r="C497" t="s">
        <v>10</v>
      </c>
      <c r="D497" s="3">
        <v>29.875999999999998</v>
      </c>
      <c r="E497" s="3">
        <v>0</v>
      </c>
      <c r="F497" t="s">
        <v>45</v>
      </c>
      <c r="G497" s="3">
        <f t="shared" si="53"/>
        <v>-29.875999999999998</v>
      </c>
      <c r="H497" s="3">
        <f t="shared" si="54"/>
        <v>29.875999999999998</v>
      </c>
      <c r="I497" s="5" t="str">
        <f t="shared" si="55"/>
        <v>016</v>
      </c>
      <c r="J497" s="5" t="str">
        <f t="shared" si="56"/>
        <v>2230</v>
      </c>
      <c r="K497" s="5" t="str">
        <f t="shared" si="57"/>
        <v>000</v>
      </c>
      <c r="L497" s="5">
        <f t="shared" si="58"/>
        <v>12</v>
      </c>
      <c r="M497" s="5">
        <f t="shared" si="59"/>
        <v>2011</v>
      </c>
    </row>
    <row r="498" spans="1:13" ht="17.45" customHeight="1" x14ac:dyDescent="0.25">
      <c r="A498" s="1">
        <f>DATE(2011,12,13)</f>
        <v>40890</v>
      </c>
      <c r="B498" t="s">
        <v>11</v>
      </c>
      <c r="C498" t="s">
        <v>6</v>
      </c>
      <c r="D498" s="3">
        <v>2466.5237999999999</v>
      </c>
      <c r="E498" s="3">
        <v>0</v>
      </c>
      <c r="F498" t="s">
        <v>45</v>
      </c>
      <c r="G498" s="3">
        <f t="shared" si="53"/>
        <v>-2466.5237999999999</v>
      </c>
      <c r="H498" s="3">
        <f t="shared" si="54"/>
        <v>2466.5237999999999</v>
      </c>
      <c r="I498" s="5" t="str">
        <f t="shared" si="55"/>
        <v>016</v>
      </c>
      <c r="J498" s="5" t="str">
        <f t="shared" si="56"/>
        <v>2100</v>
      </c>
      <c r="K498" s="5" t="str">
        <f t="shared" si="57"/>
        <v>000</v>
      </c>
      <c r="L498" s="5">
        <f t="shared" si="58"/>
        <v>12</v>
      </c>
      <c r="M498" s="5">
        <f t="shared" si="59"/>
        <v>2011</v>
      </c>
    </row>
    <row r="499" spans="1:13" ht="17.45" customHeight="1" x14ac:dyDescent="0.25">
      <c r="A499" s="1">
        <f>DATE(2011,12,13)</f>
        <v>40890</v>
      </c>
      <c r="B499" t="s">
        <v>12</v>
      </c>
      <c r="C499" t="s">
        <v>8</v>
      </c>
      <c r="D499" s="3">
        <v>543.42999999999995</v>
      </c>
      <c r="E499" s="3">
        <v>0</v>
      </c>
      <c r="F499" t="s">
        <v>45</v>
      </c>
      <c r="G499" s="3">
        <f t="shared" si="53"/>
        <v>-543.42999999999995</v>
      </c>
      <c r="H499" s="3">
        <f t="shared" si="54"/>
        <v>543.42999999999995</v>
      </c>
      <c r="I499" s="5" t="str">
        <f t="shared" si="55"/>
        <v>016</v>
      </c>
      <c r="J499" s="5" t="str">
        <f t="shared" si="56"/>
        <v>2210</v>
      </c>
      <c r="K499" s="5" t="str">
        <f t="shared" si="57"/>
        <v>000</v>
      </c>
      <c r="L499" s="5">
        <f t="shared" si="58"/>
        <v>12</v>
      </c>
      <c r="M499" s="5">
        <f t="shared" si="59"/>
        <v>2011</v>
      </c>
    </row>
    <row r="500" spans="1:13" ht="17.45" customHeight="1" x14ac:dyDescent="0.25">
      <c r="A500" s="1">
        <f>DATE(2011,12,13)</f>
        <v>40890</v>
      </c>
      <c r="B500" t="s">
        <v>13</v>
      </c>
      <c r="C500" t="s">
        <v>9</v>
      </c>
      <c r="D500" s="3">
        <v>200.48999999999998</v>
      </c>
      <c r="E500" s="3">
        <v>0</v>
      </c>
      <c r="F500" t="s">
        <v>45</v>
      </c>
      <c r="G500" s="3">
        <f t="shared" si="53"/>
        <v>-200.48999999999998</v>
      </c>
      <c r="H500" s="3">
        <f t="shared" si="54"/>
        <v>200.48999999999998</v>
      </c>
      <c r="I500" s="5" t="str">
        <f t="shared" si="55"/>
        <v>016</v>
      </c>
      <c r="J500" s="5" t="str">
        <f t="shared" si="56"/>
        <v>2220</v>
      </c>
      <c r="K500" s="5" t="str">
        <f t="shared" si="57"/>
        <v>000</v>
      </c>
      <c r="L500" s="5">
        <f t="shared" si="58"/>
        <v>12</v>
      </c>
      <c r="M500" s="5">
        <f t="shared" si="59"/>
        <v>2011</v>
      </c>
    </row>
    <row r="501" spans="1:13" ht="17.45" customHeight="1" x14ac:dyDescent="0.25">
      <c r="A501" s="1">
        <f>DATE(2011,12,13)</f>
        <v>40890</v>
      </c>
      <c r="B501" t="s">
        <v>14</v>
      </c>
      <c r="C501" t="s">
        <v>10</v>
      </c>
      <c r="D501" s="3">
        <v>102.28500000000001</v>
      </c>
      <c r="E501" s="3">
        <v>0</v>
      </c>
      <c r="F501" t="s">
        <v>45</v>
      </c>
      <c r="G501" s="3">
        <f t="shared" si="53"/>
        <v>-102.28500000000001</v>
      </c>
      <c r="H501" s="3">
        <f t="shared" si="54"/>
        <v>102.28500000000001</v>
      </c>
      <c r="I501" s="5" t="str">
        <f t="shared" si="55"/>
        <v>016</v>
      </c>
      <c r="J501" s="5" t="str">
        <f t="shared" si="56"/>
        <v>2230</v>
      </c>
      <c r="K501" s="5" t="str">
        <f t="shared" si="57"/>
        <v>000</v>
      </c>
      <c r="L501" s="5">
        <f t="shared" si="58"/>
        <v>12</v>
      </c>
      <c r="M501" s="5">
        <f t="shared" si="59"/>
        <v>2011</v>
      </c>
    </row>
    <row r="502" spans="1:13" ht="17.45" customHeight="1" x14ac:dyDescent="0.25">
      <c r="A502" s="1">
        <f>DATE(2011,12,14)</f>
        <v>40891</v>
      </c>
      <c r="B502" t="s">
        <v>11</v>
      </c>
      <c r="C502" t="s">
        <v>6</v>
      </c>
      <c r="D502" s="3">
        <v>2667.2559999999999</v>
      </c>
      <c r="E502" s="3">
        <v>0</v>
      </c>
      <c r="F502" t="s">
        <v>45</v>
      </c>
      <c r="G502" s="3">
        <f t="shared" si="53"/>
        <v>-2667.2559999999999</v>
      </c>
      <c r="H502" s="3">
        <f t="shared" si="54"/>
        <v>2667.2559999999999</v>
      </c>
      <c r="I502" s="5" t="str">
        <f t="shared" si="55"/>
        <v>016</v>
      </c>
      <c r="J502" s="5" t="str">
        <f t="shared" si="56"/>
        <v>2100</v>
      </c>
      <c r="K502" s="5" t="str">
        <f t="shared" si="57"/>
        <v>000</v>
      </c>
      <c r="L502" s="5">
        <f t="shared" si="58"/>
        <v>12</v>
      </c>
      <c r="M502" s="5">
        <f t="shared" si="59"/>
        <v>2011</v>
      </c>
    </row>
    <row r="503" spans="1:13" ht="17.45" customHeight="1" x14ac:dyDescent="0.25">
      <c r="A503" s="1">
        <f>DATE(2011,12,14)</f>
        <v>40891</v>
      </c>
      <c r="B503" t="s">
        <v>12</v>
      </c>
      <c r="C503" t="s">
        <v>8</v>
      </c>
      <c r="D503" s="3">
        <v>865.94999999999993</v>
      </c>
      <c r="E503" s="3">
        <v>0</v>
      </c>
      <c r="F503" t="s">
        <v>45</v>
      </c>
      <c r="G503" s="3">
        <f t="shared" si="53"/>
        <v>-865.94999999999993</v>
      </c>
      <c r="H503" s="3">
        <f t="shared" si="54"/>
        <v>865.94999999999993</v>
      </c>
      <c r="I503" s="5" t="str">
        <f t="shared" si="55"/>
        <v>016</v>
      </c>
      <c r="J503" s="5" t="str">
        <f t="shared" si="56"/>
        <v>2210</v>
      </c>
      <c r="K503" s="5" t="str">
        <f t="shared" si="57"/>
        <v>000</v>
      </c>
      <c r="L503" s="5">
        <f t="shared" si="58"/>
        <v>12</v>
      </c>
      <c r="M503" s="5">
        <f t="shared" si="59"/>
        <v>2011</v>
      </c>
    </row>
    <row r="504" spans="1:13" ht="17.45" customHeight="1" x14ac:dyDescent="0.25">
      <c r="A504" s="1">
        <f>DATE(2011,12,14)</f>
        <v>40891</v>
      </c>
      <c r="B504" t="s">
        <v>13</v>
      </c>
      <c r="C504" t="s">
        <v>9</v>
      </c>
      <c r="D504" s="3">
        <v>113.85000000000001</v>
      </c>
      <c r="E504" s="3">
        <v>0</v>
      </c>
      <c r="F504" t="s">
        <v>45</v>
      </c>
      <c r="G504" s="3">
        <f t="shared" si="53"/>
        <v>-113.85000000000001</v>
      </c>
      <c r="H504" s="3">
        <f t="shared" si="54"/>
        <v>113.85000000000001</v>
      </c>
      <c r="I504" s="5" t="str">
        <f t="shared" si="55"/>
        <v>016</v>
      </c>
      <c r="J504" s="5" t="str">
        <f t="shared" si="56"/>
        <v>2220</v>
      </c>
      <c r="K504" s="5" t="str">
        <f t="shared" si="57"/>
        <v>000</v>
      </c>
      <c r="L504" s="5">
        <f t="shared" si="58"/>
        <v>12</v>
      </c>
      <c r="M504" s="5">
        <f t="shared" si="59"/>
        <v>2011</v>
      </c>
    </row>
    <row r="505" spans="1:13" ht="17.45" customHeight="1" x14ac:dyDescent="0.25">
      <c r="A505" s="1">
        <f>DATE(2011,12,14)</f>
        <v>40891</v>
      </c>
      <c r="B505" t="s">
        <v>14</v>
      </c>
      <c r="C505" t="s">
        <v>10</v>
      </c>
      <c r="D505" s="3">
        <v>60.695</v>
      </c>
      <c r="E505" s="3">
        <v>0</v>
      </c>
      <c r="F505" t="s">
        <v>45</v>
      </c>
      <c r="G505" s="3">
        <f t="shared" si="53"/>
        <v>-60.695</v>
      </c>
      <c r="H505" s="3">
        <f t="shared" si="54"/>
        <v>60.695</v>
      </c>
      <c r="I505" s="5" t="str">
        <f t="shared" si="55"/>
        <v>016</v>
      </c>
      <c r="J505" s="5" t="str">
        <f t="shared" si="56"/>
        <v>2230</v>
      </c>
      <c r="K505" s="5" t="str">
        <f t="shared" si="57"/>
        <v>000</v>
      </c>
      <c r="L505" s="5">
        <f t="shared" si="58"/>
        <v>12</v>
      </c>
      <c r="M505" s="5">
        <f t="shared" si="59"/>
        <v>2011</v>
      </c>
    </row>
    <row r="506" spans="1:13" ht="17.45" customHeight="1" x14ac:dyDescent="0.25">
      <c r="A506" s="1">
        <f>DATE(2011,12,15)</f>
        <v>40892</v>
      </c>
      <c r="B506" t="s">
        <v>11</v>
      </c>
      <c r="C506" t="s">
        <v>6</v>
      </c>
      <c r="D506" s="3">
        <v>4217.5559999999996</v>
      </c>
      <c r="E506" s="3">
        <v>0</v>
      </c>
      <c r="F506" t="s">
        <v>45</v>
      </c>
      <c r="G506" s="3">
        <f t="shared" si="53"/>
        <v>-4217.5559999999996</v>
      </c>
      <c r="H506" s="3">
        <f t="shared" si="54"/>
        <v>4217.5559999999996</v>
      </c>
      <c r="I506" s="5" t="str">
        <f t="shared" si="55"/>
        <v>016</v>
      </c>
      <c r="J506" s="5" t="str">
        <f t="shared" si="56"/>
        <v>2100</v>
      </c>
      <c r="K506" s="5" t="str">
        <f t="shared" si="57"/>
        <v>000</v>
      </c>
      <c r="L506" s="5">
        <f t="shared" si="58"/>
        <v>12</v>
      </c>
      <c r="M506" s="5">
        <f t="shared" si="59"/>
        <v>2011</v>
      </c>
    </row>
    <row r="507" spans="1:13" ht="17.45" customHeight="1" x14ac:dyDescent="0.25">
      <c r="A507" s="1">
        <f>DATE(2011,12,15)</f>
        <v>40892</v>
      </c>
      <c r="B507" t="s">
        <v>12</v>
      </c>
      <c r="C507" t="s">
        <v>8</v>
      </c>
      <c r="D507" s="3">
        <v>1573.8839999999998</v>
      </c>
      <c r="E507" s="3">
        <v>0</v>
      </c>
      <c r="F507" t="s">
        <v>45</v>
      </c>
      <c r="G507" s="3">
        <f t="shared" si="53"/>
        <v>-1573.8839999999998</v>
      </c>
      <c r="H507" s="3">
        <f t="shared" si="54"/>
        <v>1573.8839999999998</v>
      </c>
      <c r="I507" s="5" t="str">
        <f t="shared" si="55"/>
        <v>016</v>
      </c>
      <c r="J507" s="5" t="str">
        <f t="shared" si="56"/>
        <v>2210</v>
      </c>
      <c r="K507" s="5" t="str">
        <f t="shared" si="57"/>
        <v>000</v>
      </c>
      <c r="L507" s="5">
        <f t="shared" si="58"/>
        <v>12</v>
      </c>
      <c r="M507" s="5">
        <f t="shared" si="59"/>
        <v>2011</v>
      </c>
    </row>
    <row r="508" spans="1:13" ht="17.45" customHeight="1" x14ac:dyDescent="0.25">
      <c r="A508" s="1">
        <f>DATE(2011,12,15)</f>
        <v>40892</v>
      </c>
      <c r="B508" t="s">
        <v>13</v>
      </c>
      <c r="C508" t="s">
        <v>9</v>
      </c>
      <c r="D508" s="3">
        <v>385.15500000000003</v>
      </c>
      <c r="E508" s="3">
        <v>0</v>
      </c>
      <c r="F508" t="s">
        <v>45</v>
      </c>
      <c r="G508" s="3">
        <f t="shared" si="53"/>
        <v>-385.15500000000003</v>
      </c>
      <c r="H508" s="3">
        <f t="shared" si="54"/>
        <v>385.15500000000003</v>
      </c>
      <c r="I508" s="5" t="str">
        <f t="shared" si="55"/>
        <v>016</v>
      </c>
      <c r="J508" s="5" t="str">
        <f t="shared" si="56"/>
        <v>2220</v>
      </c>
      <c r="K508" s="5" t="str">
        <f t="shared" si="57"/>
        <v>000</v>
      </c>
      <c r="L508" s="5">
        <f t="shared" si="58"/>
        <v>12</v>
      </c>
      <c r="M508" s="5">
        <f t="shared" si="59"/>
        <v>2011</v>
      </c>
    </row>
    <row r="509" spans="1:13" ht="17.45" customHeight="1" x14ac:dyDescent="0.25">
      <c r="A509" s="1">
        <f>DATE(2011,12,15)</f>
        <v>40892</v>
      </c>
      <c r="B509" t="s">
        <v>14</v>
      </c>
      <c r="C509" t="s">
        <v>10</v>
      </c>
      <c r="D509" s="3">
        <v>101.00700000000001</v>
      </c>
      <c r="E509" s="3">
        <v>0</v>
      </c>
      <c r="F509" t="s">
        <v>45</v>
      </c>
      <c r="G509" s="3">
        <f t="shared" si="53"/>
        <v>-101.00700000000001</v>
      </c>
      <c r="H509" s="3">
        <f t="shared" si="54"/>
        <v>101.00700000000001</v>
      </c>
      <c r="I509" s="5" t="str">
        <f t="shared" si="55"/>
        <v>016</v>
      </c>
      <c r="J509" s="5" t="str">
        <f t="shared" si="56"/>
        <v>2230</v>
      </c>
      <c r="K509" s="5" t="str">
        <f t="shared" si="57"/>
        <v>000</v>
      </c>
      <c r="L509" s="5">
        <f t="shared" si="58"/>
        <v>12</v>
      </c>
      <c r="M509" s="5">
        <f t="shared" si="59"/>
        <v>2011</v>
      </c>
    </row>
    <row r="510" spans="1:13" ht="17.45" customHeight="1" x14ac:dyDescent="0.25">
      <c r="A510" s="1">
        <f>DATE(2011,12,16)</f>
        <v>40893</v>
      </c>
      <c r="B510" t="s">
        <v>11</v>
      </c>
      <c r="C510" t="s">
        <v>6</v>
      </c>
      <c r="D510" s="3">
        <v>6371.1185999999998</v>
      </c>
      <c r="E510" s="3">
        <v>0</v>
      </c>
      <c r="F510" t="s">
        <v>45</v>
      </c>
      <c r="G510" s="3">
        <f t="shared" si="53"/>
        <v>-6371.1185999999998</v>
      </c>
      <c r="H510" s="3">
        <f t="shared" si="54"/>
        <v>6371.1185999999998</v>
      </c>
      <c r="I510" s="5" t="str">
        <f t="shared" si="55"/>
        <v>016</v>
      </c>
      <c r="J510" s="5" t="str">
        <f t="shared" si="56"/>
        <v>2100</v>
      </c>
      <c r="K510" s="5" t="str">
        <f t="shared" si="57"/>
        <v>000</v>
      </c>
      <c r="L510" s="5">
        <f t="shared" si="58"/>
        <v>12</v>
      </c>
      <c r="M510" s="5">
        <f t="shared" si="59"/>
        <v>2011</v>
      </c>
    </row>
    <row r="511" spans="1:13" ht="17.45" customHeight="1" x14ac:dyDescent="0.25">
      <c r="A511" s="1">
        <f>DATE(2011,12,16)</f>
        <v>40893</v>
      </c>
      <c r="B511" t="s">
        <v>12</v>
      </c>
      <c r="C511" t="s">
        <v>8</v>
      </c>
      <c r="D511" s="3">
        <v>2735.3010000000004</v>
      </c>
      <c r="E511" s="3">
        <v>0</v>
      </c>
      <c r="F511" t="s">
        <v>45</v>
      </c>
      <c r="G511" s="3">
        <f t="shared" si="53"/>
        <v>-2735.3010000000004</v>
      </c>
      <c r="H511" s="3">
        <f t="shared" si="54"/>
        <v>2735.3010000000004</v>
      </c>
      <c r="I511" s="5" t="str">
        <f t="shared" si="55"/>
        <v>016</v>
      </c>
      <c r="J511" s="5" t="str">
        <f t="shared" si="56"/>
        <v>2210</v>
      </c>
      <c r="K511" s="5" t="str">
        <f t="shared" si="57"/>
        <v>000</v>
      </c>
      <c r="L511" s="5">
        <f t="shared" si="58"/>
        <v>12</v>
      </c>
      <c r="M511" s="5">
        <f t="shared" si="59"/>
        <v>2011</v>
      </c>
    </row>
    <row r="512" spans="1:13" ht="17.45" customHeight="1" x14ac:dyDescent="0.25">
      <c r="A512" s="1">
        <f>DATE(2011,12,16)</f>
        <v>40893</v>
      </c>
      <c r="B512" t="s">
        <v>13</v>
      </c>
      <c r="C512" t="s">
        <v>9</v>
      </c>
      <c r="D512" s="3">
        <v>430.96499999999997</v>
      </c>
      <c r="E512" s="3">
        <v>0</v>
      </c>
      <c r="F512" t="s">
        <v>45</v>
      </c>
      <c r="G512" s="3">
        <f t="shared" si="53"/>
        <v>-430.96499999999997</v>
      </c>
      <c r="H512" s="3">
        <f t="shared" si="54"/>
        <v>430.96499999999997</v>
      </c>
      <c r="I512" s="5" t="str">
        <f t="shared" si="55"/>
        <v>016</v>
      </c>
      <c r="J512" s="5" t="str">
        <f t="shared" si="56"/>
        <v>2220</v>
      </c>
      <c r="K512" s="5" t="str">
        <f t="shared" si="57"/>
        <v>000</v>
      </c>
      <c r="L512" s="5">
        <f t="shared" si="58"/>
        <v>12</v>
      </c>
      <c r="M512" s="5">
        <f t="shared" si="59"/>
        <v>2011</v>
      </c>
    </row>
    <row r="513" spans="1:13" ht="17.45" customHeight="1" x14ac:dyDescent="0.25">
      <c r="A513" s="1">
        <f>DATE(2011,12,16)</f>
        <v>40893</v>
      </c>
      <c r="B513" t="s">
        <v>14</v>
      </c>
      <c r="C513" t="s">
        <v>10</v>
      </c>
      <c r="D513" s="3">
        <v>122.86400000000002</v>
      </c>
      <c r="E513" s="3">
        <v>0</v>
      </c>
      <c r="F513" t="s">
        <v>45</v>
      </c>
      <c r="G513" s="3">
        <f t="shared" si="53"/>
        <v>-122.86400000000002</v>
      </c>
      <c r="H513" s="3">
        <f t="shared" si="54"/>
        <v>122.86400000000002</v>
      </c>
      <c r="I513" s="5" t="str">
        <f t="shared" si="55"/>
        <v>016</v>
      </c>
      <c r="J513" s="5" t="str">
        <f t="shared" si="56"/>
        <v>2230</v>
      </c>
      <c r="K513" s="5" t="str">
        <f t="shared" si="57"/>
        <v>000</v>
      </c>
      <c r="L513" s="5">
        <f t="shared" si="58"/>
        <v>12</v>
      </c>
      <c r="M513" s="5">
        <f t="shared" si="59"/>
        <v>2011</v>
      </c>
    </row>
    <row r="514" spans="1:13" ht="17.45" customHeight="1" x14ac:dyDescent="0.25">
      <c r="A514" s="1">
        <f>DATE(2011,12,17)</f>
        <v>40894</v>
      </c>
      <c r="B514" t="s">
        <v>11</v>
      </c>
      <c r="C514" t="s">
        <v>6</v>
      </c>
      <c r="D514" s="3">
        <v>9873.6792000000005</v>
      </c>
      <c r="E514" s="3">
        <v>0</v>
      </c>
      <c r="F514" t="s">
        <v>45</v>
      </c>
      <c r="G514" s="3">
        <f t="shared" ref="G514:G577" si="60">E514-D514</f>
        <v>-9873.6792000000005</v>
      </c>
      <c r="H514" s="3">
        <f t="shared" ref="H514:H577" si="61">ABS(G514)</f>
        <v>9873.6792000000005</v>
      </c>
      <c r="I514" s="5" t="str">
        <f t="shared" ref="I514:I577" si="62">MID(B514,1,3)</f>
        <v>016</v>
      </c>
      <c r="J514" s="5" t="str">
        <f t="shared" ref="J514:J577" si="63">MID(B514,5,4)</f>
        <v>2100</v>
      </c>
      <c r="K514" s="5" t="str">
        <f t="shared" ref="K514:K577" si="64">MID(B514,10,3)</f>
        <v>000</v>
      </c>
      <c r="L514" s="5">
        <f t="shared" ref="L514:L577" si="65">MONTH(A514)</f>
        <v>12</v>
      </c>
      <c r="M514" s="5">
        <f t="shared" ref="M514:M577" si="66">YEAR(A514)</f>
        <v>2011</v>
      </c>
    </row>
    <row r="515" spans="1:13" ht="17.45" customHeight="1" x14ac:dyDescent="0.25">
      <c r="A515" s="1">
        <f>DATE(2011,12,17)</f>
        <v>40894</v>
      </c>
      <c r="B515" t="s">
        <v>12</v>
      </c>
      <c r="C515" t="s">
        <v>8</v>
      </c>
      <c r="D515" s="3">
        <v>2923.3548000000001</v>
      </c>
      <c r="E515" s="3">
        <v>0</v>
      </c>
      <c r="F515" t="s">
        <v>45</v>
      </c>
      <c r="G515" s="3">
        <f t="shared" si="60"/>
        <v>-2923.3548000000001</v>
      </c>
      <c r="H515" s="3">
        <f t="shared" si="61"/>
        <v>2923.3548000000001</v>
      </c>
      <c r="I515" s="5" t="str">
        <f t="shared" si="62"/>
        <v>016</v>
      </c>
      <c r="J515" s="5" t="str">
        <f t="shared" si="63"/>
        <v>2210</v>
      </c>
      <c r="K515" s="5" t="str">
        <f t="shared" si="64"/>
        <v>000</v>
      </c>
      <c r="L515" s="5">
        <f t="shared" si="65"/>
        <v>12</v>
      </c>
      <c r="M515" s="5">
        <f t="shared" si="66"/>
        <v>2011</v>
      </c>
    </row>
    <row r="516" spans="1:13" ht="17.45" customHeight="1" x14ac:dyDescent="0.25">
      <c r="A516" s="1">
        <f>DATE(2011,12,17)</f>
        <v>40894</v>
      </c>
      <c r="B516" t="s">
        <v>13</v>
      </c>
      <c r="C516" t="s">
        <v>9</v>
      </c>
      <c r="D516" s="3">
        <v>376.13249999999999</v>
      </c>
      <c r="E516" s="3">
        <v>0</v>
      </c>
      <c r="F516" t="s">
        <v>45</v>
      </c>
      <c r="G516" s="3">
        <f t="shared" si="60"/>
        <v>-376.13249999999999</v>
      </c>
      <c r="H516" s="3">
        <f t="shared" si="61"/>
        <v>376.13249999999999</v>
      </c>
      <c r="I516" s="5" t="str">
        <f t="shared" si="62"/>
        <v>016</v>
      </c>
      <c r="J516" s="5" t="str">
        <f t="shared" si="63"/>
        <v>2220</v>
      </c>
      <c r="K516" s="5" t="str">
        <f t="shared" si="64"/>
        <v>000</v>
      </c>
      <c r="L516" s="5">
        <f t="shared" si="65"/>
        <v>12</v>
      </c>
      <c r="M516" s="5">
        <f t="shared" si="66"/>
        <v>2011</v>
      </c>
    </row>
    <row r="517" spans="1:13" ht="17.45" customHeight="1" x14ac:dyDescent="0.25">
      <c r="A517" s="1">
        <f>DATE(2011,12,17)</f>
        <v>40894</v>
      </c>
      <c r="B517" t="s">
        <v>14</v>
      </c>
      <c r="C517" t="s">
        <v>10</v>
      </c>
      <c r="D517" s="3">
        <v>496.24799999999999</v>
      </c>
      <c r="E517" s="3">
        <v>0</v>
      </c>
      <c r="F517" t="s">
        <v>45</v>
      </c>
      <c r="G517" s="3">
        <f t="shared" si="60"/>
        <v>-496.24799999999999</v>
      </c>
      <c r="H517" s="3">
        <f t="shared" si="61"/>
        <v>496.24799999999999</v>
      </c>
      <c r="I517" s="5" t="str">
        <f t="shared" si="62"/>
        <v>016</v>
      </c>
      <c r="J517" s="5" t="str">
        <f t="shared" si="63"/>
        <v>2230</v>
      </c>
      <c r="K517" s="5" t="str">
        <f t="shared" si="64"/>
        <v>000</v>
      </c>
      <c r="L517" s="5">
        <f t="shared" si="65"/>
        <v>12</v>
      </c>
      <c r="M517" s="5">
        <f t="shared" si="66"/>
        <v>2011</v>
      </c>
    </row>
    <row r="518" spans="1:13" ht="17.45" customHeight="1" x14ac:dyDescent="0.25">
      <c r="A518" s="1">
        <f>DATE(2011,12,18)</f>
        <v>40895</v>
      </c>
      <c r="B518" t="s">
        <v>11</v>
      </c>
      <c r="C518" t="s">
        <v>6</v>
      </c>
      <c r="D518" s="3">
        <v>3133.4751000000001</v>
      </c>
      <c r="E518" s="3">
        <v>0</v>
      </c>
      <c r="F518" t="s">
        <v>45</v>
      </c>
      <c r="G518" s="3">
        <f t="shared" si="60"/>
        <v>-3133.4751000000001</v>
      </c>
      <c r="H518" s="3">
        <f t="shared" si="61"/>
        <v>3133.4751000000001</v>
      </c>
      <c r="I518" s="5" t="str">
        <f t="shared" si="62"/>
        <v>016</v>
      </c>
      <c r="J518" s="5" t="str">
        <f t="shared" si="63"/>
        <v>2100</v>
      </c>
      <c r="K518" s="5" t="str">
        <f t="shared" si="64"/>
        <v>000</v>
      </c>
      <c r="L518" s="5">
        <f t="shared" si="65"/>
        <v>12</v>
      </c>
      <c r="M518" s="5">
        <f t="shared" si="66"/>
        <v>2011</v>
      </c>
    </row>
    <row r="519" spans="1:13" ht="17.45" customHeight="1" x14ac:dyDescent="0.25">
      <c r="A519" s="1">
        <f>DATE(2011,12,18)</f>
        <v>40895</v>
      </c>
      <c r="B519" t="s">
        <v>12</v>
      </c>
      <c r="C519" t="s">
        <v>8</v>
      </c>
      <c r="D519" s="3">
        <v>750.57650000000001</v>
      </c>
      <c r="E519" s="3">
        <v>0</v>
      </c>
      <c r="F519" t="s">
        <v>45</v>
      </c>
      <c r="G519" s="3">
        <f t="shared" si="60"/>
        <v>-750.57650000000001</v>
      </c>
      <c r="H519" s="3">
        <f t="shared" si="61"/>
        <v>750.57650000000001</v>
      </c>
      <c r="I519" s="5" t="str">
        <f t="shared" si="62"/>
        <v>016</v>
      </c>
      <c r="J519" s="5" t="str">
        <f t="shared" si="63"/>
        <v>2210</v>
      </c>
      <c r="K519" s="5" t="str">
        <f t="shared" si="64"/>
        <v>000</v>
      </c>
      <c r="L519" s="5">
        <f t="shared" si="65"/>
        <v>12</v>
      </c>
      <c r="M519" s="5">
        <f t="shared" si="66"/>
        <v>2011</v>
      </c>
    </row>
    <row r="520" spans="1:13" ht="17.45" customHeight="1" x14ac:dyDescent="0.25">
      <c r="A520" s="1">
        <f>DATE(2011,12,18)</f>
        <v>40895</v>
      </c>
      <c r="B520" t="s">
        <v>13</v>
      </c>
      <c r="C520" t="s">
        <v>9</v>
      </c>
      <c r="D520" s="3">
        <v>170.74799999999999</v>
      </c>
      <c r="E520" s="3">
        <v>0</v>
      </c>
      <c r="F520" t="s">
        <v>45</v>
      </c>
      <c r="G520" s="3">
        <f t="shared" si="60"/>
        <v>-170.74799999999999</v>
      </c>
      <c r="H520" s="3">
        <f t="shared" si="61"/>
        <v>170.74799999999999</v>
      </c>
      <c r="I520" s="5" t="str">
        <f t="shared" si="62"/>
        <v>016</v>
      </c>
      <c r="J520" s="5" t="str">
        <f t="shared" si="63"/>
        <v>2220</v>
      </c>
      <c r="K520" s="5" t="str">
        <f t="shared" si="64"/>
        <v>000</v>
      </c>
      <c r="L520" s="5">
        <f t="shared" si="65"/>
        <v>12</v>
      </c>
      <c r="M520" s="5">
        <f t="shared" si="66"/>
        <v>2011</v>
      </c>
    </row>
    <row r="521" spans="1:13" ht="17.45" customHeight="1" x14ac:dyDescent="0.25">
      <c r="A521" s="1">
        <f>DATE(2011,12,18)</f>
        <v>40895</v>
      </c>
      <c r="B521" t="s">
        <v>14</v>
      </c>
      <c r="C521" t="s">
        <v>10</v>
      </c>
      <c r="D521" s="3">
        <v>75.189000000000007</v>
      </c>
      <c r="E521" s="3">
        <v>0</v>
      </c>
      <c r="F521" t="s">
        <v>45</v>
      </c>
      <c r="G521" s="3">
        <f t="shared" si="60"/>
        <v>-75.189000000000007</v>
      </c>
      <c r="H521" s="3">
        <f t="shared" si="61"/>
        <v>75.189000000000007</v>
      </c>
      <c r="I521" s="5" t="str">
        <f t="shared" si="62"/>
        <v>016</v>
      </c>
      <c r="J521" s="5" t="str">
        <f t="shared" si="63"/>
        <v>2230</v>
      </c>
      <c r="K521" s="5" t="str">
        <f t="shared" si="64"/>
        <v>000</v>
      </c>
      <c r="L521" s="5">
        <f t="shared" si="65"/>
        <v>12</v>
      </c>
      <c r="M521" s="5">
        <f t="shared" si="66"/>
        <v>2011</v>
      </c>
    </row>
    <row r="522" spans="1:13" ht="17.45" customHeight="1" x14ac:dyDescent="0.25">
      <c r="A522" s="1">
        <f>DATE(2011,12,12)</f>
        <v>40889</v>
      </c>
      <c r="B522" t="s">
        <v>15</v>
      </c>
      <c r="C522" t="s">
        <v>6</v>
      </c>
      <c r="D522" s="3">
        <v>3402.4650000000006</v>
      </c>
      <c r="E522" s="3">
        <v>0</v>
      </c>
      <c r="F522" t="s">
        <v>45</v>
      </c>
      <c r="G522" s="3">
        <f t="shared" si="60"/>
        <v>-3402.4650000000006</v>
      </c>
      <c r="H522" s="3">
        <f t="shared" si="61"/>
        <v>3402.4650000000006</v>
      </c>
      <c r="I522" s="5" t="str">
        <f t="shared" si="62"/>
        <v>017</v>
      </c>
      <c r="J522" s="5" t="str">
        <f t="shared" si="63"/>
        <v>2100</v>
      </c>
      <c r="K522" s="5" t="str">
        <f t="shared" si="64"/>
        <v>000</v>
      </c>
      <c r="L522" s="5">
        <f t="shared" si="65"/>
        <v>12</v>
      </c>
      <c r="M522" s="5">
        <f t="shared" si="66"/>
        <v>2011</v>
      </c>
    </row>
    <row r="523" spans="1:13" ht="17.45" customHeight="1" x14ac:dyDescent="0.25">
      <c r="A523" s="1">
        <f>DATE(2011,12,12)</f>
        <v>40889</v>
      </c>
      <c r="B523" t="s">
        <v>16</v>
      </c>
      <c r="C523" t="s">
        <v>8</v>
      </c>
      <c r="D523" s="3">
        <v>936.88049999999998</v>
      </c>
      <c r="E523" s="3">
        <v>0</v>
      </c>
      <c r="F523" t="s">
        <v>45</v>
      </c>
      <c r="G523" s="3">
        <f t="shared" si="60"/>
        <v>-936.88049999999998</v>
      </c>
      <c r="H523" s="3">
        <f t="shared" si="61"/>
        <v>936.88049999999998</v>
      </c>
      <c r="I523" s="5" t="str">
        <f t="shared" si="62"/>
        <v>017</v>
      </c>
      <c r="J523" s="5" t="str">
        <f t="shared" si="63"/>
        <v>2210</v>
      </c>
      <c r="K523" s="5" t="str">
        <f t="shared" si="64"/>
        <v>000</v>
      </c>
      <c r="L523" s="5">
        <f t="shared" si="65"/>
        <v>12</v>
      </c>
      <c r="M523" s="5">
        <f t="shared" si="66"/>
        <v>2011</v>
      </c>
    </row>
    <row r="524" spans="1:13" ht="17.45" customHeight="1" x14ac:dyDescent="0.25">
      <c r="A524" s="1">
        <f>DATE(2011,12,12)</f>
        <v>40889</v>
      </c>
      <c r="B524" t="s">
        <v>17</v>
      </c>
      <c r="C524" t="s">
        <v>9</v>
      </c>
      <c r="D524" s="3">
        <v>448.38</v>
      </c>
      <c r="E524" s="3">
        <v>0</v>
      </c>
      <c r="F524" t="s">
        <v>45</v>
      </c>
      <c r="G524" s="3">
        <f t="shared" si="60"/>
        <v>-448.38</v>
      </c>
      <c r="H524" s="3">
        <f t="shared" si="61"/>
        <v>448.38</v>
      </c>
      <c r="I524" s="5" t="str">
        <f t="shared" si="62"/>
        <v>017</v>
      </c>
      <c r="J524" s="5" t="str">
        <f t="shared" si="63"/>
        <v>2220</v>
      </c>
      <c r="K524" s="5" t="str">
        <f t="shared" si="64"/>
        <v>000</v>
      </c>
      <c r="L524" s="5">
        <f t="shared" si="65"/>
        <v>12</v>
      </c>
      <c r="M524" s="5">
        <f t="shared" si="66"/>
        <v>2011</v>
      </c>
    </row>
    <row r="525" spans="1:13" ht="17.45" customHeight="1" x14ac:dyDescent="0.25">
      <c r="A525" s="1">
        <f>DATE(2011,12,12)</f>
        <v>40889</v>
      </c>
      <c r="B525" t="s">
        <v>18</v>
      </c>
      <c r="C525" t="s">
        <v>10</v>
      </c>
      <c r="D525" s="3">
        <v>248.89500000000001</v>
      </c>
      <c r="E525" s="3">
        <v>0</v>
      </c>
      <c r="F525" t="s">
        <v>45</v>
      </c>
      <c r="G525" s="3">
        <f t="shared" si="60"/>
        <v>-248.89500000000001</v>
      </c>
      <c r="H525" s="3">
        <f t="shared" si="61"/>
        <v>248.89500000000001</v>
      </c>
      <c r="I525" s="5" t="str">
        <f t="shared" si="62"/>
        <v>017</v>
      </c>
      <c r="J525" s="5" t="str">
        <f t="shared" si="63"/>
        <v>2230</v>
      </c>
      <c r="K525" s="5" t="str">
        <f t="shared" si="64"/>
        <v>000</v>
      </c>
      <c r="L525" s="5">
        <f t="shared" si="65"/>
        <v>12</v>
      </c>
      <c r="M525" s="5">
        <f t="shared" si="66"/>
        <v>2011</v>
      </c>
    </row>
    <row r="526" spans="1:13" ht="17.45" customHeight="1" x14ac:dyDescent="0.25">
      <c r="A526" s="1">
        <f>DATE(2011,12,13)</f>
        <v>40890</v>
      </c>
      <c r="B526" t="s">
        <v>15</v>
      </c>
      <c r="C526" t="s">
        <v>6</v>
      </c>
      <c r="D526" s="3">
        <v>6352.5344999999998</v>
      </c>
      <c r="E526" s="3">
        <v>0</v>
      </c>
      <c r="F526" t="s">
        <v>45</v>
      </c>
      <c r="G526" s="3">
        <f t="shared" si="60"/>
        <v>-6352.5344999999998</v>
      </c>
      <c r="H526" s="3">
        <f t="shared" si="61"/>
        <v>6352.5344999999998</v>
      </c>
      <c r="I526" s="5" t="str">
        <f t="shared" si="62"/>
        <v>017</v>
      </c>
      <c r="J526" s="5" t="str">
        <f t="shared" si="63"/>
        <v>2100</v>
      </c>
      <c r="K526" s="5" t="str">
        <f t="shared" si="64"/>
        <v>000</v>
      </c>
      <c r="L526" s="5">
        <f t="shared" si="65"/>
        <v>12</v>
      </c>
      <c r="M526" s="5">
        <f t="shared" si="66"/>
        <v>2011</v>
      </c>
    </row>
    <row r="527" spans="1:13" ht="17.45" customHeight="1" x14ac:dyDescent="0.25">
      <c r="A527" s="1">
        <f>DATE(2011,12,13)</f>
        <v>40890</v>
      </c>
      <c r="B527" t="s">
        <v>16</v>
      </c>
      <c r="C527" t="s">
        <v>8</v>
      </c>
      <c r="D527" s="3">
        <v>1865.682</v>
      </c>
      <c r="E527" s="3">
        <v>0</v>
      </c>
      <c r="F527" t="s">
        <v>45</v>
      </c>
      <c r="G527" s="3">
        <f t="shared" si="60"/>
        <v>-1865.682</v>
      </c>
      <c r="H527" s="3">
        <f t="shared" si="61"/>
        <v>1865.682</v>
      </c>
      <c r="I527" s="5" t="str">
        <f t="shared" si="62"/>
        <v>017</v>
      </c>
      <c r="J527" s="5" t="str">
        <f t="shared" si="63"/>
        <v>2210</v>
      </c>
      <c r="K527" s="5" t="str">
        <f t="shared" si="64"/>
        <v>000</v>
      </c>
      <c r="L527" s="5">
        <f t="shared" si="65"/>
        <v>12</v>
      </c>
      <c r="M527" s="5">
        <f t="shared" si="66"/>
        <v>2011</v>
      </c>
    </row>
    <row r="528" spans="1:13" ht="17.45" customHeight="1" x14ac:dyDescent="0.25">
      <c r="A528" s="1">
        <f>DATE(2011,12,13)</f>
        <v>40890</v>
      </c>
      <c r="B528" t="s">
        <v>17</v>
      </c>
      <c r="C528" t="s">
        <v>9</v>
      </c>
      <c r="D528" s="3">
        <v>595.69999999999993</v>
      </c>
      <c r="E528" s="3">
        <v>0</v>
      </c>
      <c r="F528" t="s">
        <v>45</v>
      </c>
      <c r="G528" s="3">
        <f t="shared" si="60"/>
        <v>-595.69999999999993</v>
      </c>
      <c r="H528" s="3">
        <f t="shared" si="61"/>
        <v>595.69999999999993</v>
      </c>
      <c r="I528" s="5" t="str">
        <f t="shared" si="62"/>
        <v>017</v>
      </c>
      <c r="J528" s="5" t="str">
        <f t="shared" si="63"/>
        <v>2220</v>
      </c>
      <c r="K528" s="5" t="str">
        <f t="shared" si="64"/>
        <v>000</v>
      </c>
      <c r="L528" s="5">
        <f t="shared" si="65"/>
        <v>12</v>
      </c>
      <c r="M528" s="5">
        <f t="shared" si="66"/>
        <v>2011</v>
      </c>
    </row>
    <row r="529" spans="1:13" ht="17.45" customHeight="1" x14ac:dyDescent="0.25">
      <c r="A529" s="1">
        <f>DATE(2011,12,13)</f>
        <v>40890</v>
      </c>
      <c r="B529" t="s">
        <v>18</v>
      </c>
      <c r="C529" t="s">
        <v>10</v>
      </c>
      <c r="D529" s="3">
        <v>116.35800000000002</v>
      </c>
      <c r="E529" s="3">
        <v>0</v>
      </c>
      <c r="F529" t="s">
        <v>45</v>
      </c>
      <c r="G529" s="3">
        <f t="shared" si="60"/>
        <v>-116.35800000000002</v>
      </c>
      <c r="H529" s="3">
        <f t="shared" si="61"/>
        <v>116.35800000000002</v>
      </c>
      <c r="I529" s="5" t="str">
        <f t="shared" si="62"/>
        <v>017</v>
      </c>
      <c r="J529" s="5" t="str">
        <f t="shared" si="63"/>
        <v>2230</v>
      </c>
      <c r="K529" s="5" t="str">
        <f t="shared" si="64"/>
        <v>000</v>
      </c>
      <c r="L529" s="5">
        <f t="shared" si="65"/>
        <v>12</v>
      </c>
      <c r="M529" s="5">
        <f t="shared" si="66"/>
        <v>2011</v>
      </c>
    </row>
    <row r="530" spans="1:13" ht="17.45" customHeight="1" x14ac:dyDescent="0.25">
      <c r="A530" s="1">
        <f>DATE(2011,12,14)</f>
        <v>40891</v>
      </c>
      <c r="B530" t="s">
        <v>15</v>
      </c>
      <c r="C530" t="s">
        <v>6</v>
      </c>
      <c r="D530" s="3">
        <v>7462.1095999999998</v>
      </c>
      <c r="E530" s="3">
        <v>0</v>
      </c>
      <c r="F530" t="s">
        <v>45</v>
      </c>
      <c r="G530" s="3">
        <f t="shared" si="60"/>
        <v>-7462.1095999999998</v>
      </c>
      <c r="H530" s="3">
        <f t="shared" si="61"/>
        <v>7462.1095999999998</v>
      </c>
      <c r="I530" s="5" t="str">
        <f t="shared" si="62"/>
        <v>017</v>
      </c>
      <c r="J530" s="5" t="str">
        <f t="shared" si="63"/>
        <v>2100</v>
      </c>
      <c r="K530" s="5" t="str">
        <f t="shared" si="64"/>
        <v>000</v>
      </c>
      <c r="L530" s="5">
        <f t="shared" si="65"/>
        <v>12</v>
      </c>
      <c r="M530" s="5">
        <f t="shared" si="66"/>
        <v>2011</v>
      </c>
    </row>
    <row r="531" spans="1:13" ht="17.45" customHeight="1" x14ac:dyDescent="0.25">
      <c r="A531" s="1">
        <f>DATE(2011,12,14)</f>
        <v>40891</v>
      </c>
      <c r="B531" t="s">
        <v>16</v>
      </c>
      <c r="C531" t="s">
        <v>8</v>
      </c>
      <c r="D531" s="3">
        <v>1539.912</v>
      </c>
      <c r="E531" s="3">
        <v>0</v>
      </c>
      <c r="F531" t="s">
        <v>45</v>
      </c>
      <c r="G531" s="3">
        <f t="shared" si="60"/>
        <v>-1539.912</v>
      </c>
      <c r="H531" s="3">
        <f t="shared" si="61"/>
        <v>1539.912</v>
      </c>
      <c r="I531" s="5" t="str">
        <f t="shared" si="62"/>
        <v>017</v>
      </c>
      <c r="J531" s="5" t="str">
        <f t="shared" si="63"/>
        <v>2210</v>
      </c>
      <c r="K531" s="5" t="str">
        <f t="shared" si="64"/>
        <v>000</v>
      </c>
      <c r="L531" s="5">
        <f t="shared" si="65"/>
        <v>12</v>
      </c>
      <c r="M531" s="5">
        <f t="shared" si="66"/>
        <v>2011</v>
      </c>
    </row>
    <row r="532" spans="1:13" ht="17.45" customHeight="1" x14ac:dyDescent="0.25">
      <c r="A532" s="1">
        <f>DATE(2011,12,14)</f>
        <v>40891</v>
      </c>
      <c r="B532" t="s">
        <v>17</v>
      </c>
      <c r="C532" t="s">
        <v>9</v>
      </c>
      <c r="D532" s="3">
        <v>894.66000000000008</v>
      </c>
      <c r="E532" s="3">
        <v>0</v>
      </c>
      <c r="F532" t="s">
        <v>45</v>
      </c>
      <c r="G532" s="3">
        <f t="shared" si="60"/>
        <v>-894.66000000000008</v>
      </c>
      <c r="H532" s="3">
        <f t="shared" si="61"/>
        <v>894.66000000000008</v>
      </c>
      <c r="I532" s="5" t="str">
        <f t="shared" si="62"/>
        <v>017</v>
      </c>
      <c r="J532" s="5" t="str">
        <f t="shared" si="63"/>
        <v>2220</v>
      </c>
      <c r="K532" s="5" t="str">
        <f t="shared" si="64"/>
        <v>000</v>
      </c>
      <c r="L532" s="5">
        <f t="shared" si="65"/>
        <v>12</v>
      </c>
      <c r="M532" s="5">
        <f t="shared" si="66"/>
        <v>2011</v>
      </c>
    </row>
    <row r="533" spans="1:13" ht="17.45" customHeight="1" x14ac:dyDescent="0.25">
      <c r="A533" s="1">
        <f>DATE(2011,12,14)</f>
        <v>40891</v>
      </c>
      <c r="B533" t="s">
        <v>18</v>
      </c>
      <c r="C533" t="s">
        <v>10</v>
      </c>
      <c r="D533" s="3">
        <v>131.68799999999999</v>
      </c>
      <c r="E533" s="3">
        <v>0</v>
      </c>
      <c r="F533" t="s">
        <v>45</v>
      </c>
      <c r="G533" s="3">
        <f t="shared" si="60"/>
        <v>-131.68799999999999</v>
      </c>
      <c r="H533" s="3">
        <f t="shared" si="61"/>
        <v>131.68799999999999</v>
      </c>
      <c r="I533" s="5" t="str">
        <f t="shared" si="62"/>
        <v>017</v>
      </c>
      <c r="J533" s="5" t="str">
        <f t="shared" si="63"/>
        <v>2230</v>
      </c>
      <c r="K533" s="5" t="str">
        <f t="shared" si="64"/>
        <v>000</v>
      </c>
      <c r="L533" s="5">
        <f t="shared" si="65"/>
        <v>12</v>
      </c>
      <c r="M533" s="5">
        <f t="shared" si="66"/>
        <v>2011</v>
      </c>
    </row>
    <row r="534" spans="1:13" ht="17.45" customHeight="1" x14ac:dyDescent="0.25">
      <c r="A534" s="1">
        <f>DATE(2011,12,15)</f>
        <v>40892</v>
      </c>
      <c r="B534" t="s">
        <v>15</v>
      </c>
      <c r="C534" t="s">
        <v>6</v>
      </c>
      <c r="D534" s="3">
        <v>8226.4569999999985</v>
      </c>
      <c r="E534" s="3">
        <v>0</v>
      </c>
      <c r="F534" t="s">
        <v>45</v>
      </c>
      <c r="G534" s="3">
        <f t="shared" si="60"/>
        <v>-8226.4569999999985</v>
      </c>
      <c r="H534" s="3">
        <f t="shared" si="61"/>
        <v>8226.4569999999985</v>
      </c>
      <c r="I534" s="5" t="str">
        <f t="shared" si="62"/>
        <v>017</v>
      </c>
      <c r="J534" s="5" t="str">
        <f t="shared" si="63"/>
        <v>2100</v>
      </c>
      <c r="K534" s="5" t="str">
        <f t="shared" si="64"/>
        <v>000</v>
      </c>
      <c r="L534" s="5">
        <f t="shared" si="65"/>
        <v>12</v>
      </c>
      <c r="M534" s="5">
        <f t="shared" si="66"/>
        <v>2011</v>
      </c>
    </row>
    <row r="535" spans="1:13" ht="17.45" customHeight="1" x14ac:dyDescent="0.25">
      <c r="A535" s="1">
        <f>DATE(2011,12,15)</f>
        <v>40892</v>
      </c>
      <c r="B535" t="s">
        <v>16</v>
      </c>
      <c r="C535" t="s">
        <v>8</v>
      </c>
      <c r="D535" s="3">
        <v>1794.2925</v>
      </c>
      <c r="E535" s="3">
        <v>0</v>
      </c>
      <c r="F535" t="s">
        <v>45</v>
      </c>
      <c r="G535" s="3">
        <f t="shared" si="60"/>
        <v>-1794.2925</v>
      </c>
      <c r="H535" s="3">
        <f t="shared" si="61"/>
        <v>1794.2925</v>
      </c>
      <c r="I535" s="5" t="str">
        <f t="shared" si="62"/>
        <v>017</v>
      </c>
      <c r="J535" s="5" t="str">
        <f t="shared" si="63"/>
        <v>2210</v>
      </c>
      <c r="K535" s="5" t="str">
        <f t="shared" si="64"/>
        <v>000</v>
      </c>
      <c r="L535" s="5">
        <f t="shared" si="65"/>
        <v>12</v>
      </c>
      <c r="M535" s="5">
        <f t="shared" si="66"/>
        <v>2011</v>
      </c>
    </row>
    <row r="536" spans="1:13" ht="17.45" customHeight="1" x14ac:dyDescent="0.25">
      <c r="A536" s="1">
        <f>DATE(2011,12,15)</f>
        <v>40892</v>
      </c>
      <c r="B536" t="s">
        <v>17</v>
      </c>
      <c r="C536" t="s">
        <v>9</v>
      </c>
      <c r="D536" s="3">
        <v>499.47750000000002</v>
      </c>
      <c r="E536" s="3">
        <v>0</v>
      </c>
      <c r="F536" t="s">
        <v>45</v>
      </c>
      <c r="G536" s="3">
        <f t="shared" si="60"/>
        <v>-499.47750000000002</v>
      </c>
      <c r="H536" s="3">
        <f t="shared" si="61"/>
        <v>499.47750000000002</v>
      </c>
      <c r="I536" s="5" t="str">
        <f t="shared" si="62"/>
        <v>017</v>
      </c>
      <c r="J536" s="5" t="str">
        <f t="shared" si="63"/>
        <v>2220</v>
      </c>
      <c r="K536" s="5" t="str">
        <f t="shared" si="64"/>
        <v>000</v>
      </c>
      <c r="L536" s="5">
        <f t="shared" si="65"/>
        <v>12</v>
      </c>
      <c r="M536" s="5">
        <f t="shared" si="66"/>
        <v>2011</v>
      </c>
    </row>
    <row r="537" spans="1:13" ht="17.45" customHeight="1" x14ac:dyDescent="0.25">
      <c r="A537" s="1">
        <f>DATE(2011,12,15)</f>
        <v>40892</v>
      </c>
      <c r="B537" t="s">
        <v>18</v>
      </c>
      <c r="C537" t="s">
        <v>10</v>
      </c>
      <c r="D537" s="3">
        <v>134.01300000000001</v>
      </c>
      <c r="E537" s="3">
        <v>0</v>
      </c>
      <c r="F537" t="s">
        <v>45</v>
      </c>
      <c r="G537" s="3">
        <f t="shared" si="60"/>
        <v>-134.01300000000001</v>
      </c>
      <c r="H537" s="3">
        <f t="shared" si="61"/>
        <v>134.01300000000001</v>
      </c>
      <c r="I537" s="5" t="str">
        <f t="shared" si="62"/>
        <v>017</v>
      </c>
      <c r="J537" s="5" t="str">
        <f t="shared" si="63"/>
        <v>2230</v>
      </c>
      <c r="K537" s="5" t="str">
        <f t="shared" si="64"/>
        <v>000</v>
      </c>
      <c r="L537" s="5">
        <f t="shared" si="65"/>
        <v>12</v>
      </c>
      <c r="M537" s="5">
        <f t="shared" si="66"/>
        <v>2011</v>
      </c>
    </row>
    <row r="538" spans="1:13" ht="17.45" customHeight="1" x14ac:dyDescent="0.25">
      <c r="A538" s="1">
        <f>DATE(2011,12,16)</f>
        <v>40893</v>
      </c>
      <c r="B538" t="s">
        <v>15</v>
      </c>
      <c r="C538" t="s">
        <v>6</v>
      </c>
      <c r="D538" s="3">
        <v>10829.412</v>
      </c>
      <c r="E538" s="3">
        <v>0</v>
      </c>
      <c r="F538" t="s">
        <v>45</v>
      </c>
      <c r="G538" s="3">
        <f t="shared" si="60"/>
        <v>-10829.412</v>
      </c>
      <c r="H538" s="3">
        <f t="shared" si="61"/>
        <v>10829.412</v>
      </c>
      <c r="I538" s="5" t="str">
        <f t="shared" si="62"/>
        <v>017</v>
      </c>
      <c r="J538" s="5" t="str">
        <f t="shared" si="63"/>
        <v>2100</v>
      </c>
      <c r="K538" s="5" t="str">
        <f t="shared" si="64"/>
        <v>000</v>
      </c>
      <c r="L538" s="5">
        <f t="shared" si="65"/>
        <v>12</v>
      </c>
      <c r="M538" s="5">
        <f t="shared" si="66"/>
        <v>2011</v>
      </c>
    </row>
    <row r="539" spans="1:13" ht="17.45" customHeight="1" x14ac:dyDescent="0.25">
      <c r="A539" s="1">
        <f>DATE(2011,12,16)</f>
        <v>40893</v>
      </c>
      <c r="B539" t="s">
        <v>16</v>
      </c>
      <c r="C539" t="s">
        <v>8</v>
      </c>
      <c r="D539" s="3">
        <v>4349.2965000000004</v>
      </c>
      <c r="E539" s="3">
        <v>0</v>
      </c>
      <c r="F539" t="s">
        <v>45</v>
      </c>
      <c r="G539" s="3">
        <f t="shared" si="60"/>
        <v>-4349.2965000000004</v>
      </c>
      <c r="H539" s="3">
        <f t="shared" si="61"/>
        <v>4349.2965000000004</v>
      </c>
      <c r="I539" s="5" t="str">
        <f t="shared" si="62"/>
        <v>017</v>
      </c>
      <c r="J539" s="5" t="str">
        <f t="shared" si="63"/>
        <v>2210</v>
      </c>
      <c r="K539" s="5" t="str">
        <f t="shared" si="64"/>
        <v>000</v>
      </c>
      <c r="L539" s="5">
        <f t="shared" si="65"/>
        <v>12</v>
      </c>
      <c r="M539" s="5">
        <f t="shared" si="66"/>
        <v>2011</v>
      </c>
    </row>
    <row r="540" spans="1:13" ht="17.45" customHeight="1" x14ac:dyDescent="0.25">
      <c r="A540" s="1">
        <f>DATE(2011,12,16)</f>
        <v>40893</v>
      </c>
      <c r="B540" t="s">
        <v>17</v>
      </c>
      <c r="C540" t="s">
        <v>9</v>
      </c>
      <c r="D540" s="3">
        <v>968.17500000000007</v>
      </c>
      <c r="E540" s="3">
        <v>0</v>
      </c>
      <c r="F540" t="s">
        <v>45</v>
      </c>
      <c r="G540" s="3">
        <f t="shared" si="60"/>
        <v>-968.17500000000007</v>
      </c>
      <c r="H540" s="3">
        <f t="shared" si="61"/>
        <v>968.17500000000007</v>
      </c>
      <c r="I540" s="5" t="str">
        <f t="shared" si="62"/>
        <v>017</v>
      </c>
      <c r="J540" s="5" t="str">
        <f t="shared" si="63"/>
        <v>2220</v>
      </c>
      <c r="K540" s="5" t="str">
        <f t="shared" si="64"/>
        <v>000</v>
      </c>
      <c r="L540" s="5">
        <f t="shared" si="65"/>
        <v>12</v>
      </c>
      <c r="M540" s="5">
        <f t="shared" si="66"/>
        <v>2011</v>
      </c>
    </row>
    <row r="541" spans="1:13" ht="17.45" customHeight="1" x14ac:dyDescent="0.25">
      <c r="A541" s="1">
        <f>DATE(2011,12,16)</f>
        <v>40893</v>
      </c>
      <c r="B541" t="s">
        <v>18</v>
      </c>
      <c r="C541" t="s">
        <v>10</v>
      </c>
      <c r="D541" s="3">
        <v>309.51399999999995</v>
      </c>
      <c r="E541" s="3">
        <v>0</v>
      </c>
      <c r="F541" t="s">
        <v>45</v>
      </c>
      <c r="G541" s="3">
        <f t="shared" si="60"/>
        <v>-309.51399999999995</v>
      </c>
      <c r="H541" s="3">
        <f t="shared" si="61"/>
        <v>309.51399999999995</v>
      </c>
      <c r="I541" s="5" t="str">
        <f t="shared" si="62"/>
        <v>017</v>
      </c>
      <c r="J541" s="5" t="str">
        <f t="shared" si="63"/>
        <v>2230</v>
      </c>
      <c r="K541" s="5" t="str">
        <f t="shared" si="64"/>
        <v>000</v>
      </c>
      <c r="L541" s="5">
        <f t="shared" si="65"/>
        <v>12</v>
      </c>
      <c r="M541" s="5">
        <f t="shared" si="66"/>
        <v>2011</v>
      </c>
    </row>
    <row r="542" spans="1:13" ht="17.45" customHeight="1" x14ac:dyDescent="0.25">
      <c r="A542" s="1">
        <f>DATE(2011,12,17)</f>
        <v>40894</v>
      </c>
      <c r="B542" t="s">
        <v>15</v>
      </c>
      <c r="C542" t="s">
        <v>6</v>
      </c>
      <c r="D542" s="3">
        <v>5493.47</v>
      </c>
      <c r="E542" s="3">
        <v>0</v>
      </c>
      <c r="F542" t="s">
        <v>45</v>
      </c>
      <c r="G542" s="3">
        <f t="shared" si="60"/>
        <v>-5493.47</v>
      </c>
      <c r="H542" s="3">
        <f t="shared" si="61"/>
        <v>5493.47</v>
      </c>
      <c r="I542" s="5" t="str">
        <f t="shared" si="62"/>
        <v>017</v>
      </c>
      <c r="J542" s="5" t="str">
        <f t="shared" si="63"/>
        <v>2100</v>
      </c>
      <c r="K542" s="5" t="str">
        <f t="shared" si="64"/>
        <v>000</v>
      </c>
      <c r="L542" s="5">
        <f t="shared" si="65"/>
        <v>12</v>
      </c>
      <c r="M542" s="5">
        <f t="shared" si="66"/>
        <v>2011</v>
      </c>
    </row>
    <row r="543" spans="1:13" ht="17.45" customHeight="1" x14ac:dyDescent="0.25">
      <c r="A543" s="1">
        <f>DATE(2011,12,17)</f>
        <v>40894</v>
      </c>
      <c r="B543" t="s">
        <v>16</v>
      </c>
      <c r="C543" t="s">
        <v>8</v>
      </c>
      <c r="D543" s="3">
        <v>1034.9485</v>
      </c>
      <c r="E543" s="3">
        <v>0</v>
      </c>
      <c r="F543" t="s">
        <v>45</v>
      </c>
      <c r="G543" s="3">
        <f t="shared" si="60"/>
        <v>-1034.9485</v>
      </c>
      <c r="H543" s="3">
        <f t="shared" si="61"/>
        <v>1034.9485</v>
      </c>
      <c r="I543" s="5" t="str">
        <f t="shared" si="62"/>
        <v>017</v>
      </c>
      <c r="J543" s="5" t="str">
        <f t="shared" si="63"/>
        <v>2210</v>
      </c>
      <c r="K543" s="5" t="str">
        <f t="shared" si="64"/>
        <v>000</v>
      </c>
      <c r="L543" s="5">
        <f t="shared" si="65"/>
        <v>12</v>
      </c>
      <c r="M543" s="5">
        <f t="shared" si="66"/>
        <v>2011</v>
      </c>
    </row>
    <row r="544" spans="1:13" ht="17.45" customHeight="1" x14ac:dyDescent="0.25">
      <c r="A544" s="1">
        <f>DATE(2011,12,17)</f>
        <v>40894</v>
      </c>
      <c r="B544" t="s">
        <v>17</v>
      </c>
      <c r="C544" t="s">
        <v>9</v>
      </c>
      <c r="D544" s="3">
        <v>272.41249999999997</v>
      </c>
      <c r="E544" s="3">
        <v>0</v>
      </c>
      <c r="F544" t="s">
        <v>45</v>
      </c>
      <c r="G544" s="3">
        <f t="shared" si="60"/>
        <v>-272.41249999999997</v>
      </c>
      <c r="H544" s="3">
        <f t="shared" si="61"/>
        <v>272.41249999999997</v>
      </c>
      <c r="I544" s="5" t="str">
        <f t="shared" si="62"/>
        <v>017</v>
      </c>
      <c r="J544" s="5" t="str">
        <f t="shared" si="63"/>
        <v>2220</v>
      </c>
      <c r="K544" s="5" t="str">
        <f t="shared" si="64"/>
        <v>000</v>
      </c>
      <c r="L544" s="5">
        <f t="shared" si="65"/>
        <v>12</v>
      </c>
      <c r="M544" s="5">
        <f t="shared" si="66"/>
        <v>2011</v>
      </c>
    </row>
    <row r="545" spans="1:13" ht="17.45" customHeight="1" x14ac:dyDescent="0.25">
      <c r="A545" s="1">
        <f>DATE(2011,12,17)</f>
        <v>40894</v>
      </c>
      <c r="B545" t="s">
        <v>18</v>
      </c>
      <c r="C545" t="s">
        <v>10</v>
      </c>
      <c r="D545" s="3">
        <v>143.54300000000001</v>
      </c>
      <c r="E545" s="3">
        <v>0</v>
      </c>
      <c r="F545" t="s">
        <v>45</v>
      </c>
      <c r="G545" s="3">
        <f t="shared" si="60"/>
        <v>-143.54300000000001</v>
      </c>
      <c r="H545" s="3">
        <f t="shared" si="61"/>
        <v>143.54300000000001</v>
      </c>
      <c r="I545" s="5" t="str">
        <f t="shared" si="62"/>
        <v>017</v>
      </c>
      <c r="J545" s="5" t="str">
        <f t="shared" si="63"/>
        <v>2230</v>
      </c>
      <c r="K545" s="5" t="str">
        <f t="shared" si="64"/>
        <v>000</v>
      </c>
      <c r="L545" s="5">
        <f t="shared" si="65"/>
        <v>12</v>
      </c>
      <c r="M545" s="5">
        <f t="shared" si="66"/>
        <v>2011</v>
      </c>
    </row>
    <row r="546" spans="1:13" ht="17.45" customHeight="1" x14ac:dyDescent="0.25">
      <c r="A546" s="1">
        <f>DATE(2011,12,18)</f>
        <v>40895</v>
      </c>
      <c r="B546" t="s">
        <v>15</v>
      </c>
      <c r="C546" t="s">
        <v>6</v>
      </c>
      <c r="D546" s="3">
        <v>4686.25</v>
      </c>
      <c r="E546" s="3">
        <v>0</v>
      </c>
      <c r="F546" t="s">
        <v>45</v>
      </c>
      <c r="G546" s="3">
        <f t="shared" si="60"/>
        <v>-4686.25</v>
      </c>
      <c r="H546" s="3">
        <f t="shared" si="61"/>
        <v>4686.25</v>
      </c>
      <c r="I546" s="5" t="str">
        <f t="shared" si="62"/>
        <v>017</v>
      </c>
      <c r="J546" s="5" t="str">
        <f t="shared" si="63"/>
        <v>2100</v>
      </c>
      <c r="K546" s="5" t="str">
        <f t="shared" si="64"/>
        <v>000</v>
      </c>
      <c r="L546" s="5">
        <f t="shared" si="65"/>
        <v>12</v>
      </c>
      <c r="M546" s="5">
        <f t="shared" si="66"/>
        <v>2011</v>
      </c>
    </row>
    <row r="547" spans="1:13" ht="17.45" customHeight="1" x14ac:dyDescent="0.25">
      <c r="A547" s="1">
        <f>DATE(2011,12,18)</f>
        <v>40895</v>
      </c>
      <c r="B547" t="s">
        <v>16</v>
      </c>
      <c r="C547" t="s">
        <v>8</v>
      </c>
      <c r="D547" s="3">
        <v>653.60249999999996</v>
      </c>
      <c r="E547" s="3">
        <v>0</v>
      </c>
      <c r="F547" t="s">
        <v>45</v>
      </c>
      <c r="G547" s="3">
        <f t="shared" si="60"/>
        <v>-653.60249999999996</v>
      </c>
      <c r="H547" s="3">
        <f t="shared" si="61"/>
        <v>653.60249999999996</v>
      </c>
      <c r="I547" s="5" t="str">
        <f t="shared" si="62"/>
        <v>017</v>
      </c>
      <c r="J547" s="5" t="str">
        <f t="shared" si="63"/>
        <v>2210</v>
      </c>
      <c r="K547" s="5" t="str">
        <f t="shared" si="64"/>
        <v>000</v>
      </c>
      <c r="L547" s="5">
        <f t="shared" si="65"/>
        <v>12</v>
      </c>
      <c r="M547" s="5">
        <f t="shared" si="66"/>
        <v>2011</v>
      </c>
    </row>
    <row r="548" spans="1:13" ht="17.45" customHeight="1" x14ac:dyDescent="0.25">
      <c r="A548" s="1">
        <f>DATE(2011,12,18)</f>
        <v>40895</v>
      </c>
      <c r="B548" t="s">
        <v>17</v>
      </c>
      <c r="C548" t="s">
        <v>9</v>
      </c>
      <c r="D548" s="3">
        <v>149.6</v>
      </c>
      <c r="E548" s="3">
        <v>0</v>
      </c>
      <c r="F548" t="s">
        <v>45</v>
      </c>
      <c r="G548" s="3">
        <f t="shared" si="60"/>
        <v>-149.6</v>
      </c>
      <c r="H548" s="3">
        <f t="shared" si="61"/>
        <v>149.6</v>
      </c>
      <c r="I548" s="5" t="str">
        <f t="shared" si="62"/>
        <v>017</v>
      </c>
      <c r="J548" s="5" t="str">
        <f t="shared" si="63"/>
        <v>2220</v>
      </c>
      <c r="K548" s="5" t="str">
        <f t="shared" si="64"/>
        <v>000</v>
      </c>
      <c r="L548" s="5">
        <f t="shared" si="65"/>
        <v>12</v>
      </c>
      <c r="M548" s="5">
        <f t="shared" si="66"/>
        <v>2011</v>
      </c>
    </row>
    <row r="549" spans="1:13" ht="17.45" customHeight="1" x14ac:dyDescent="0.25">
      <c r="A549" s="1">
        <f>DATE(2011,12,18)</f>
        <v>40895</v>
      </c>
      <c r="B549" t="s">
        <v>18</v>
      </c>
      <c r="C549" t="s">
        <v>10</v>
      </c>
      <c r="D549" s="3">
        <v>84.581999999999994</v>
      </c>
      <c r="E549" s="3">
        <v>0</v>
      </c>
      <c r="F549" t="s">
        <v>45</v>
      </c>
      <c r="G549" s="3">
        <f t="shared" si="60"/>
        <v>-84.581999999999994</v>
      </c>
      <c r="H549" s="3">
        <f t="shared" si="61"/>
        <v>84.581999999999994</v>
      </c>
      <c r="I549" s="5" t="str">
        <f t="shared" si="62"/>
        <v>017</v>
      </c>
      <c r="J549" s="5" t="str">
        <f t="shared" si="63"/>
        <v>2230</v>
      </c>
      <c r="K549" s="5" t="str">
        <f t="shared" si="64"/>
        <v>000</v>
      </c>
      <c r="L549" s="5">
        <f t="shared" si="65"/>
        <v>12</v>
      </c>
      <c r="M549" s="5">
        <f t="shared" si="66"/>
        <v>2011</v>
      </c>
    </row>
    <row r="550" spans="1:13" ht="17.45" customHeight="1" x14ac:dyDescent="0.25">
      <c r="A550" s="1">
        <f>DATE(2011,12,12)</f>
        <v>40889</v>
      </c>
      <c r="B550" t="s">
        <v>19</v>
      </c>
      <c r="C550" t="s">
        <v>6</v>
      </c>
      <c r="D550" s="3">
        <v>2617.7689999999998</v>
      </c>
      <c r="E550" s="3">
        <v>0</v>
      </c>
      <c r="F550" t="s">
        <v>45</v>
      </c>
      <c r="G550" s="3">
        <f t="shared" si="60"/>
        <v>-2617.7689999999998</v>
      </c>
      <c r="H550" s="3">
        <f t="shared" si="61"/>
        <v>2617.7689999999998</v>
      </c>
      <c r="I550" s="5" t="str">
        <f t="shared" si="62"/>
        <v>018</v>
      </c>
      <c r="J550" s="5" t="str">
        <f t="shared" si="63"/>
        <v>2100</v>
      </c>
      <c r="K550" s="5" t="str">
        <f t="shared" si="64"/>
        <v>000</v>
      </c>
      <c r="L550" s="5">
        <f t="shared" si="65"/>
        <v>12</v>
      </c>
      <c r="M550" s="5">
        <f t="shared" si="66"/>
        <v>2011</v>
      </c>
    </row>
    <row r="551" spans="1:13" ht="17.45" customHeight="1" x14ac:dyDescent="0.25">
      <c r="A551" s="1">
        <f>DATE(2011,12,12)</f>
        <v>40889</v>
      </c>
      <c r="B551" t="s">
        <v>20</v>
      </c>
      <c r="C551" t="s">
        <v>8</v>
      </c>
      <c r="D551" s="3">
        <v>438.68000000000006</v>
      </c>
      <c r="E551" s="3">
        <v>0</v>
      </c>
      <c r="F551" t="s">
        <v>45</v>
      </c>
      <c r="G551" s="3">
        <f t="shared" si="60"/>
        <v>-438.68000000000006</v>
      </c>
      <c r="H551" s="3">
        <f t="shared" si="61"/>
        <v>438.68000000000006</v>
      </c>
      <c r="I551" s="5" t="str">
        <f t="shared" si="62"/>
        <v>018</v>
      </c>
      <c r="J551" s="5" t="str">
        <f t="shared" si="63"/>
        <v>2210</v>
      </c>
      <c r="K551" s="5" t="str">
        <f t="shared" si="64"/>
        <v>000</v>
      </c>
      <c r="L551" s="5">
        <f t="shared" si="65"/>
        <v>12</v>
      </c>
      <c r="M551" s="5">
        <f t="shared" si="66"/>
        <v>2011</v>
      </c>
    </row>
    <row r="552" spans="1:13" ht="17.45" customHeight="1" x14ac:dyDescent="0.25">
      <c r="A552" s="1">
        <f>DATE(2011,12,12)</f>
        <v>40889</v>
      </c>
      <c r="B552" t="s">
        <v>21</v>
      </c>
      <c r="C552" t="s">
        <v>9</v>
      </c>
      <c r="D552" s="3">
        <v>79.738500000000002</v>
      </c>
      <c r="E552" s="3">
        <v>0</v>
      </c>
      <c r="F552" t="s">
        <v>45</v>
      </c>
      <c r="G552" s="3">
        <f t="shared" si="60"/>
        <v>-79.738500000000002</v>
      </c>
      <c r="H552" s="3">
        <f t="shared" si="61"/>
        <v>79.738500000000002</v>
      </c>
      <c r="I552" s="5" t="str">
        <f t="shared" si="62"/>
        <v>018</v>
      </c>
      <c r="J552" s="5" t="str">
        <f t="shared" si="63"/>
        <v>2220</v>
      </c>
      <c r="K552" s="5" t="str">
        <f t="shared" si="64"/>
        <v>000</v>
      </c>
      <c r="L552" s="5">
        <f t="shared" si="65"/>
        <v>12</v>
      </c>
      <c r="M552" s="5">
        <f t="shared" si="66"/>
        <v>2011</v>
      </c>
    </row>
    <row r="553" spans="1:13" ht="17.45" customHeight="1" x14ac:dyDescent="0.25">
      <c r="A553" s="1">
        <f>DATE(2011,12,12)</f>
        <v>40889</v>
      </c>
      <c r="B553" t="s">
        <v>22</v>
      </c>
      <c r="C553" t="s">
        <v>10</v>
      </c>
      <c r="D553" s="3">
        <v>38.448</v>
      </c>
      <c r="E553" s="3">
        <v>0</v>
      </c>
      <c r="F553" t="s">
        <v>45</v>
      </c>
      <c r="G553" s="3">
        <f t="shared" si="60"/>
        <v>-38.448</v>
      </c>
      <c r="H553" s="3">
        <f t="shared" si="61"/>
        <v>38.448</v>
      </c>
      <c r="I553" s="5" t="str">
        <f t="shared" si="62"/>
        <v>018</v>
      </c>
      <c r="J553" s="5" t="str">
        <f t="shared" si="63"/>
        <v>2230</v>
      </c>
      <c r="K553" s="5" t="str">
        <f t="shared" si="64"/>
        <v>000</v>
      </c>
      <c r="L553" s="5">
        <f t="shared" si="65"/>
        <v>12</v>
      </c>
      <c r="M553" s="5">
        <f t="shared" si="66"/>
        <v>2011</v>
      </c>
    </row>
    <row r="554" spans="1:13" ht="17.45" customHeight="1" x14ac:dyDescent="0.25">
      <c r="A554" s="1">
        <f>DATE(2011,12,13)</f>
        <v>40890</v>
      </c>
      <c r="B554" t="s">
        <v>19</v>
      </c>
      <c r="C554" t="s">
        <v>6</v>
      </c>
      <c r="D554" s="3">
        <v>4375.7119999999995</v>
      </c>
      <c r="E554" s="3">
        <v>0</v>
      </c>
      <c r="F554" t="s">
        <v>45</v>
      </c>
      <c r="G554" s="3">
        <f t="shared" si="60"/>
        <v>-4375.7119999999995</v>
      </c>
      <c r="H554" s="3">
        <f t="shared" si="61"/>
        <v>4375.7119999999995</v>
      </c>
      <c r="I554" s="5" t="str">
        <f t="shared" si="62"/>
        <v>018</v>
      </c>
      <c r="J554" s="5" t="str">
        <f t="shared" si="63"/>
        <v>2100</v>
      </c>
      <c r="K554" s="5" t="str">
        <f t="shared" si="64"/>
        <v>000</v>
      </c>
      <c r="L554" s="5">
        <f t="shared" si="65"/>
        <v>12</v>
      </c>
      <c r="M554" s="5">
        <f t="shared" si="66"/>
        <v>2011</v>
      </c>
    </row>
    <row r="555" spans="1:13" ht="17.45" customHeight="1" x14ac:dyDescent="0.25">
      <c r="A555" s="1">
        <f>DATE(2011,12,13)</f>
        <v>40890</v>
      </c>
      <c r="B555" t="s">
        <v>20</v>
      </c>
      <c r="C555" t="s">
        <v>8</v>
      </c>
      <c r="D555" s="3">
        <v>668.25199999999995</v>
      </c>
      <c r="E555" s="3">
        <v>0</v>
      </c>
      <c r="F555" t="s">
        <v>45</v>
      </c>
      <c r="G555" s="3">
        <f t="shared" si="60"/>
        <v>-668.25199999999995</v>
      </c>
      <c r="H555" s="3">
        <f t="shared" si="61"/>
        <v>668.25199999999995</v>
      </c>
      <c r="I555" s="5" t="str">
        <f t="shared" si="62"/>
        <v>018</v>
      </c>
      <c r="J555" s="5" t="str">
        <f t="shared" si="63"/>
        <v>2210</v>
      </c>
      <c r="K555" s="5" t="str">
        <f t="shared" si="64"/>
        <v>000</v>
      </c>
      <c r="L555" s="5">
        <f t="shared" si="65"/>
        <v>12</v>
      </c>
      <c r="M555" s="5">
        <f t="shared" si="66"/>
        <v>2011</v>
      </c>
    </row>
    <row r="556" spans="1:13" ht="17.45" customHeight="1" x14ac:dyDescent="0.25">
      <c r="A556" s="1">
        <f>DATE(2011,12,13)</f>
        <v>40890</v>
      </c>
      <c r="B556" t="s">
        <v>21</v>
      </c>
      <c r="C556" t="s">
        <v>9</v>
      </c>
      <c r="D556" s="3">
        <v>154.4025</v>
      </c>
      <c r="E556" s="3">
        <v>0</v>
      </c>
      <c r="F556" t="s">
        <v>45</v>
      </c>
      <c r="G556" s="3">
        <f t="shared" si="60"/>
        <v>-154.4025</v>
      </c>
      <c r="H556" s="3">
        <f t="shared" si="61"/>
        <v>154.4025</v>
      </c>
      <c r="I556" s="5" t="str">
        <f t="shared" si="62"/>
        <v>018</v>
      </c>
      <c r="J556" s="5" t="str">
        <f t="shared" si="63"/>
        <v>2220</v>
      </c>
      <c r="K556" s="5" t="str">
        <f t="shared" si="64"/>
        <v>000</v>
      </c>
      <c r="L556" s="5">
        <f t="shared" si="65"/>
        <v>12</v>
      </c>
      <c r="M556" s="5">
        <f t="shared" si="66"/>
        <v>2011</v>
      </c>
    </row>
    <row r="557" spans="1:13" ht="17.45" customHeight="1" x14ac:dyDescent="0.25">
      <c r="A557" s="1">
        <f>DATE(2011,12,13)</f>
        <v>40890</v>
      </c>
      <c r="B557" t="s">
        <v>22</v>
      </c>
      <c r="C557" t="s">
        <v>10</v>
      </c>
      <c r="D557" s="3">
        <v>52.965999999999994</v>
      </c>
      <c r="E557" s="3">
        <v>0</v>
      </c>
      <c r="F557" t="s">
        <v>45</v>
      </c>
      <c r="G557" s="3">
        <f t="shared" si="60"/>
        <v>-52.965999999999994</v>
      </c>
      <c r="H557" s="3">
        <f t="shared" si="61"/>
        <v>52.965999999999994</v>
      </c>
      <c r="I557" s="5" t="str">
        <f t="shared" si="62"/>
        <v>018</v>
      </c>
      <c r="J557" s="5" t="str">
        <f t="shared" si="63"/>
        <v>2230</v>
      </c>
      <c r="K557" s="5" t="str">
        <f t="shared" si="64"/>
        <v>000</v>
      </c>
      <c r="L557" s="5">
        <f t="shared" si="65"/>
        <v>12</v>
      </c>
      <c r="M557" s="5">
        <f t="shared" si="66"/>
        <v>2011</v>
      </c>
    </row>
    <row r="558" spans="1:13" ht="17.45" customHeight="1" x14ac:dyDescent="0.25">
      <c r="A558" s="1">
        <f>DATE(2011,12,14)</f>
        <v>40891</v>
      </c>
      <c r="B558" t="s">
        <v>19</v>
      </c>
      <c r="C558" t="s">
        <v>6</v>
      </c>
      <c r="D558" s="3">
        <v>4127.3364999999994</v>
      </c>
      <c r="E558" s="3">
        <v>0</v>
      </c>
      <c r="F558" t="s">
        <v>45</v>
      </c>
      <c r="G558" s="3">
        <f t="shared" si="60"/>
        <v>-4127.3364999999994</v>
      </c>
      <c r="H558" s="3">
        <f t="shared" si="61"/>
        <v>4127.3364999999994</v>
      </c>
      <c r="I558" s="5" t="str">
        <f t="shared" si="62"/>
        <v>018</v>
      </c>
      <c r="J558" s="5" t="str">
        <f t="shared" si="63"/>
        <v>2100</v>
      </c>
      <c r="K558" s="5" t="str">
        <f t="shared" si="64"/>
        <v>000</v>
      </c>
      <c r="L558" s="5">
        <f t="shared" si="65"/>
        <v>12</v>
      </c>
      <c r="M558" s="5">
        <f t="shared" si="66"/>
        <v>2011</v>
      </c>
    </row>
    <row r="559" spans="1:13" ht="17.45" customHeight="1" x14ac:dyDescent="0.25">
      <c r="A559" s="1">
        <f>DATE(2011,12,14)</f>
        <v>40891</v>
      </c>
      <c r="B559" t="s">
        <v>20</v>
      </c>
      <c r="C559" t="s">
        <v>8</v>
      </c>
      <c r="D559" s="3">
        <v>483.74899999999997</v>
      </c>
      <c r="E559" s="3">
        <v>0</v>
      </c>
      <c r="F559" t="s">
        <v>45</v>
      </c>
      <c r="G559" s="3">
        <f t="shared" si="60"/>
        <v>-483.74899999999997</v>
      </c>
      <c r="H559" s="3">
        <f t="shared" si="61"/>
        <v>483.74899999999997</v>
      </c>
      <c r="I559" s="5" t="str">
        <f t="shared" si="62"/>
        <v>018</v>
      </c>
      <c r="J559" s="5" t="str">
        <f t="shared" si="63"/>
        <v>2210</v>
      </c>
      <c r="K559" s="5" t="str">
        <f t="shared" si="64"/>
        <v>000</v>
      </c>
      <c r="L559" s="5">
        <f t="shared" si="65"/>
        <v>12</v>
      </c>
      <c r="M559" s="5">
        <f t="shared" si="66"/>
        <v>2011</v>
      </c>
    </row>
    <row r="560" spans="1:13" ht="17.45" customHeight="1" x14ac:dyDescent="0.25">
      <c r="A560" s="1">
        <f>DATE(2011,12,14)</f>
        <v>40891</v>
      </c>
      <c r="B560" t="s">
        <v>21</v>
      </c>
      <c r="C560" t="s">
        <v>9</v>
      </c>
      <c r="D560" s="3">
        <v>293.8845</v>
      </c>
      <c r="E560" s="3">
        <v>0</v>
      </c>
      <c r="F560" t="s">
        <v>45</v>
      </c>
      <c r="G560" s="3">
        <f t="shared" si="60"/>
        <v>-293.8845</v>
      </c>
      <c r="H560" s="3">
        <f t="shared" si="61"/>
        <v>293.8845</v>
      </c>
      <c r="I560" s="5" t="str">
        <f t="shared" si="62"/>
        <v>018</v>
      </c>
      <c r="J560" s="5" t="str">
        <f t="shared" si="63"/>
        <v>2220</v>
      </c>
      <c r="K560" s="5" t="str">
        <f t="shared" si="64"/>
        <v>000</v>
      </c>
      <c r="L560" s="5">
        <f t="shared" si="65"/>
        <v>12</v>
      </c>
      <c r="M560" s="5">
        <f t="shared" si="66"/>
        <v>2011</v>
      </c>
    </row>
    <row r="561" spans="1:13" ht="17.45" customHeight="1" x14ac:dyDescent="0.25">
      <c r="A561" s="1">
        <f>DATE(2011,12,14)</f>
        <v>40891</v>
      </c>
      <c r="B561" t="s">
        <v>22</v>
      </c>
      <c r="C561" t="s">
        <v>10</v>
      </c>
      <c r="D561" s="3">
        <v>107.245</v>
      </c>
      <c r="E561" s="3">
        <v>0</v>
      </c>
      <c r="F561" t="s">
        <v>45</v>
      </c>
      <c r="G561" s="3">
        <f t="shared" si="60"/>
        <v>-107.245</v>
      </c>
      <c r="H561" s="3">
        <f t="shared" si="61"/>
        <v>107.245</v>
      </c>
      <c r="I561" s="5" t="str">
        <f t="shared" si="62"/>
        <v>018</v>
      </c>
      <c r="J561" s="5" t="str">
        <f t="shared" si="63"/>
        <v>2230</v>
      </c>
      <c r="K561" s="5" t="str">
        <f t="shared" si="64"/>
        <v>000</v>
      </c>
      <c r="L561" s="5">
        <f t="shared" si="65"/>
        <v>12</v>
      </c>
      <c r="M561" s="5">
        <f t="shared" si="66"/>
        <v>2011</v>
      </c>
    </row>
    <row r="562" spans="1:13" ht="17.45" customHeight="1" x14ac:dyDescent="0.25">
      <c r="A562" s="1">
        <f>DATE(2011,12,15)</f>
        <v>40892</v>
      </c>
      <c r="B562" t="s">
        <v>19</v>
      </c>
      <c r="C562" t="s">
        <v>6</v>
      </c>
      <c r="D562" s="3">
        <v>3210.6120000000001</v>
      </c>
      <c r="E562" s="3">
        <v>0</v>
      </c>
      <c r="F562" t="s">
        <v>45</v>
      </c>
      <c r="G562" s="3">
        <f t="shared" si="60"/>
        <v>-3210.6120000000001</v>
      </c>
      <c r="H562" s="3">
        <f t="shared" si="61"/>
        <v>3210.6120000000001</v>
      </c>
      <c r="I562" s="5" t="str">
        <f t="shared" si="62"/>
        <v>018</v>
      </c>
      <c r="J562" s="5" t="str">
        <f t="shared" si="63"/>
        <v>2100</v>
      </c>
      <c r="K562" s="5" t="str">
        <f t="shared" si="64"/>
        <v>000</v>
      </c>
      <c r="L562" s="5">
        <f t="shared" si="65"/>
        <v>12</v>
      </c>
      <c r="M562" s="5">
        <f t="shared" si="66"/>
        <v>2011</v>
      </c>
    </row>
    <row r="563" spans="1:13" ht="17.45" customHeight="1" x14ac:dyDescent="0.25">
      <c r="A563" s="1">
        <f>DATE(2011,12,15)</f>
        <v>40892</v>
      </c>
      <c r="B563" t="s">
        <v>20</v>
      </c>
      <c r="C563" t="s">
        <v>8</v>
      </c>
      <c r="D563" s="3">
        <v>732.97200000000009</v>
      </c>
      <c r="E563" s="3">
        <v>0</v>
      </c>
      <c r="F563" t="s">
        <v>45</v>
      </c>
      <c r="G563" s="3">
        <f t="shared" si="60"/>
        <v>-732.97200000000009</v>
      </c>
      <c r="H563" s="3">
        <f t="shared" si="61"/>
        <v>732.97200000000009</v>
      </c>
      <c r="I563" s="5" t="str">
        <f t="shared" si="62"/>
        <v>018</v>
      </c>
      <c r="J563" s="5" t="str">
        <f t="shared" si="63"/>
        <v>2210</v>
      </c>
      <c r="K563" s="5" t="str">
        <f t="shared" si="64"/>
        <v>000</v>
      </c>
      <c r="L563" s="5">
        <f t="shared" si="65"/>
        <v>12</v>
      </c>
      <c r="M563" s="5">
        <f t="shared" si="66"/>
        <v>2011</v>
      </c>
    </row>
    <row r="564" spans="1:13" ht="17.45" customHeight="1" x14ac:dyDescent="0.25">
      <c r="A564" s="1">
        <f>DATE(2011,12,15)</f>
        <v>40892</v>
      </c>
      <c r="B564" t="s">
        <v>21</v>
      </c>
      <c r="C564" t="s">
        <v>9</v>
      </c>
      <c r="D564" s="3">
        <v>103.2805</v>
      </c>
      <c r="E564" s="3">
        <v>0</v>
      </c>
      <c r="F564" t="s">
        <v>45</v>
      </c>
      <c r="G564" s="3">
        <f t="shared" si="60"/>
        <v>-103.2805</v>
      </c>
      <c r="H564" s="3">
        <f t="shared" si="61"/>
        <v>103.2805</v>
      </c>
      <c r="I564" s="5" t="str">
        <f t="shared" si="62"/>
        <v>018</v>
      </c>
      <c r="J564" s="5" t="str">
        <f t="shared" si="63"/>
        <v>2220</v>
      </c>
      <c r="K564" s="5" t="str">
        <f t="shared" si="64"/>
        <v>000</v>
      </c>
      <c r="L564" s="5">
        <f t="shared" si="65"/>
        <v>12</v>
      </c>
      <c r="M564" s="5">
        <f t="shared" si="66"/>
        <v>2011</v>
      </c>
    </row>
    <row r="565" spans="1:13" ht="17.45" customHeight="1" x14ac:dyDescent="0.25">
      <c r="A565" s="1">
        <f>DATE(2011,12,15)</f>
        <v>40892</v>
      </c>
      <c r="B565" t="s">
        <v>22</v>
      </c>
      <c r="C565" t="s">
        <v>10</v>
      </c>
      <c r="D565" s="3">
        <v>90.674999999999997</v>
      </c>
      <c r="E565" s="3">
        <v>0</v>
      </c>
      <c r="F565" t="s">
        <v>45</v>
      </c>
      <c r="G565" s="3">
        <f t="shared" si="60"/>
        <v>-90.674999999999997</v>
      </c>
      <c r="H565" s="3">
        <f t="shared" si="61"/>
        <v>90.674999999999997</v>
      </c>
      <c r="I565" s="5" t="str">
        <f t="shared" si="62"/>
        <v>018</v>
      </c>
      <c r="J565" s="5" t="str">
        <f t="shared" si="63"/>
        <v>2230</v>
      </c>
      <c r="K565" s="5" t="str">
        <f t="shared" si="64"/>
        <v>000</v>
      </c>
      <c r="L565" s="5">
        <f t="shared" si="65"/>
        <v>12</v>
      </c>
      <c r="M565" s="5">
        <f t="shared" si="66"/>
        <v>2011</v>
      </c>
    </row>
    <row r="566" spans="1:13" ht="17.45" customHeight="1" x14ac:dyDescent="0.25">
      <c r="A566" s="1">
        <f>DATE(2011,12,16)</f>
        <v>40893</v>
      </c>
      <c r="B566" t="s">
        <v>19</v>
      </c>
      <c r="C566" t="s">
        <v>6</v>
      </c>
      <c r="D566" s="3">
        <v>7344.1480000000001</v>
      </c>
      <c r="E566" s="3">
        <v>0</v>
      </c>
      <c r="F566" t="s">
        <v>45</v>
      </c>
      <c r="G566" s="3">
        <f t="shared" si="60"/>
        <v>-7344.1480000000001</v>
      </c>
      <c r="H566" s="3">
        <f t="shared" si="61"/>
        <v>7344.1480000000001</v>
      </c>
      <c r="I566" s="5" t="str">
        <f t="shared" si="62"/>
        <v>018</v>
      </c>
      <c r="J566" s="5" t="str">
        <f t="shared" si="63"/>
        <v>2100</v>
      </c>
      <c r="K566" s="5" t="str">
        <f t="shared" si="64"/>
        <v>000</v>
      </c>
      <c r="L566" s="5">
        <f t="shared" si="65"/>
        <v>12</v>
      </c>
      <c r="M566" s="5">
        <f t="shared" si="66"/>
        <v>2011</v>
      </c>
    </row>
    <row r="567" spans="1:13" ht="17.45" customHeight="1" x14ac:dyDescent="0.25">
      <c r="A567" s="1">
        <f>DATE(2011,12,16)</f>
        <v>40893</v>
      </c>
      <c r="B567" t="s">
        <v>20</v>
      </c>
      <c r="C567" t="s">
        <v>8</v>
      </c>
      <c r="D567" s="3">
        <v>1692.6734999999999</v>
      </c>
      <c r="E567" s="3">
        <v>0</v>
      </c>
      <c r="F567" t="s">
        <v>45</v>
      </c>
      <c r="G567" s="3">
        <f t="shared" si="60"/>
        <v>-1692.6734999999999</v>
      </c>
      <c r="H567" s="3">
        <f t="shared" si="61"/>
        <v>1692.6734999999999</v>
      </c>
      <c r="I567" s="5" t="str">
        <f t="shared" si="62"/>
        <v>018</v>
      </c>
      <c r="J567" s="5" t="str">
        <f t="shared" si="63"/>
        <v>2210</v>
      </c>
      <c r="K567" s="5" t="str">
        <f t="shared" si="64"/>
        <v>000</v>
      </c>
      <c r="L567" s="5">
        <f t="shared" si="65"/>
        <v>12</v>
      </c>
      <c r="M567" s="5">
        <f t="shared" si="66"/>
        <v>2011</v>
      </c>
    </row>
    <row r="568" spans="1:13" ht="17.45" customHeight="1" x14ac:dyDescent="0.25">
      <c r="A568" s="1">
        <f>DATE(2011,12,16)</f>
        <v>40893</v>
      </c>
      <c r="B568" t="s">
        <v>21</v>
      </c>
      <c r="C568" t="s">
        <v>9</v>
      </c>
      <c r="D568" s="3">
        <v>583.64200000000005</v>
      </c>
      <c r="E568" s="3">
        <v>0</v>
      </c>
      <c r="F568" t="s">
        <v>45</v>
      </c>
      <c r="G568" s="3">
        <f t="shared" si="60"/>
        <v>-583.64200000000005</v>
      </c>
      <c r="H568" s="3">
        <f t="shared" si="61"/>
        <v>583.64200000000005</v>
      </c>
      <c r="I568" s="5" t="str">
        <f t="shared" si="62"/>
        <v>018</v>
      </c>
      <c r="J568" s="5" t="str">
        <f t="shared" si="63"/>
        <v>2220</v>
      </c>
      <c r="K568" s="5" t="str">
        <f t="shared" si="64"/>
        <v>000</v>
      </c>
      <c r="L568" s="5">
        <f t="shared" si="65"/>
        <v>12</v>
      </c>
      <c r="M568" s="5">
        <f t="shared" si="66"/>
        <v>2011</v>
      </c>
    </row>
    <row r="569" spans="1:13" ht="17.45" customHeight="1" x14ac:dyDescent="0.25">
      <c r="A569" s="1">
        <f>DATE(2011,12,16)</f>
        <v>40893</v>
      </c>
      <c r="B569" t="s">
        <v>22</v>
      </c>
      <c r="C569" t="s">
        <v>10</v>
      </c>
      <c r="D569" s="3">
        <v>122.854</v>
      </c>
      <c r="E569" s="3">
        <v>0</v>
      </c>
      <c r="F569" t="s">
        <v>45</v>
      </c>
      <c r="G569" s="3">
        <f t="shared" si="60"/>
        <v>-122.854</v>
      </c>
      <c r="H569" s="3">
        <f t="shared" si="61"/>
        <v>122.854</v>
      </c>
      <c r="I569" s="5" t="str">
        <f t="shared" si="62"/>
        <v>018</v>
      </c>
      <c r="J569" s="5" t="str">
        <f t="shared" si="63"/>
        <v>2230</v>
      </c>
      <c r="K569" s="5" t="str">
        <f t="shared" si="64"/>
        <v>000</v>
      </c>
      <c r="L569" s="5">
        <f t="shared" si="65"/>
        <v>12</v>
      </c>
      <c r="M569" s="5">
        <f t="shared" si="66"/>
        <v>2011</v>
      </c>
    </row>
    <row r="570" spans="1:13" ht="17.45" customHeight="1" x14ac:dyDescent="0.25">
      <c r="A570" s="1">
        <f>DATE(2011,12,17)</f>
        <v>40894</v>
      </c>
      <c r="B570" t="s">
        <v>19</v>
      </c>
      <c r="C570" t="s">
        <v>6</v>
      </c>
      <c r="D570" s="3">
        <v>10860.557999999999</v>
      </c>
      <c r="E570" s="3">
        <v>0</v>
      </c>
      <c r="F570" t="s">
        <v>45</v>
      </c>
      <c r="G570" s="3">
        <f t="shared" si="60"/>
        <v>-10860.557999999999</v>
      </c>
      <c r="H570" s="3">
        <f t="shared" si="61"/>
        <v>10860.557999999999</v>
      </c>
      <c r="I570" s="5" t="str">
        <f t="shared" si="62"/>
        <v>018</v>
      </c>
      <c r="J570" s="5" t="str">
        <f t="shared" si="63"/>
        <v>2100</v>
      </c>
      <c r="K570" s="5" t="str">
        <f t="shared" si="64"/>
        <v>000</v>
      </c>
      <c r="L570" s="5">
        <f t="shared" si="65"/>
        <v>12</v>
      </c>
      <c r="M570" s="5">
        <f t="shared" si="66"/>
        <v>2011</v>
      </c>
    </row>
    <row r="571" spans="1:13" ht="17.45" customHeight="1" x14ac:dyDescent="0.25">
      <c r="A571" s="1">
        <f>DATE(2011,12,17)</f>
        <v>40894</v>
      </c>
      <c r="B571" t="s">
        <v>20</v>
      </c>
      <c r="C571" t="s">
        <v>8</v>
      </c>
      <c r="D571" s="3">
        <v>1317.3579999999999</v>
      </c>
      <c r="E571" s="3">
        <v>0</v>
      </c>
      <c r="F571" t="s">
        <v>45</v>
      </c>
      <c r="G571" s="3">
        <f t="shared" si="60"/>
        <v>-1317.3579999999999</v>
      </c>
      <c r="H571" s="3">
        <f t="shared" si="61"/>
        <v>1317.3579999999999</v>
      </c>
      <c r="I571" s="5" t="str">
        <f t="shared" si="62"/>
        <v>018</v>
      </c>
      <c r="J571" s="5" t="str">
        <f t="shared" si="63"/>
        <v>2210</v>
      </c>
      <c r="K571" s="5" t="str">
        <f t="shared" si="64"/>
        <v>000</v>
      </c>
      <c r="L571" s="5">
        <f t="shared" si="65"/>
        <v>12</v>
      </c>
      <c r="M571" s="5">
        <f t="shared" si="66"/>
        <v>2011</v>
      </c>
    </row>
    <row r="572" spans="1:13" ht="17.45" customHeight="1" x14ac:dyDescent="0.25">
      <c r="A572" s="1">
        <f>DATE(2011,12,17)</f>
        <v>40894</v>
      </c>
      <c r="B572" t="s">
        <v>21</v>
      </c>
      <c r="C572" t="s">
        <v>9</v>
      </c>
      <c r="D572" s="3">
        <v>400.86899999999997</v>
      </c>
      <c r="E572" s="3">
        <v>0</v>
      </c>
      <c r="F572" t="s">
        <v>45</v>
      </c>
      <c r="G572" s="3">
        <f t="shared" si="60"/>
        <v>-400.86899999999997</v>
      </c>
      <c r="H572" s="3">
        <f t="shared" si="61"/>
        <v>400.86899999999997</v>
      </c>
      <c r="I572" s="5" t="str">
        <f t="shared" si="62"/>
        <v>018</v>
      </c>
      <c r="J572" s="5" t="str">
        <f t="shared" si="63"/>
        <v>2220</v>
      </c>
      <c r="K572" s="5" t="str">
        <f t="shared" si="64"/>
        <v>000</v>
      </c>
      <c r="L572" s="5">
        <f t="shared" si="65"/>
        <v>12</v>
      </c>
      <c r="M572" s="5">
        <f t="shared" si="66"/>
        <v>2011</v>
      </c>
    </row>
    <row r="573" spans="1:13" ht="17.45" customHeight="1" x14ac:dyDescent="0.25">
      <c r="A573" s="1">
        <f>DATE(2011,12,17)</f>
        <v>40894</v>
      </c>
      <c r="B573" t="s">
        <v>22</v>
      </c>
      <c r="C573" t="s">
        <v>10</v>
      </c>
      <c r="D573" s="3">
        <v>78.224999999999994</v>
      </c>
      <c r="E573" s="3">
        <v>0</v>
      </c>
      <c r="F573" t="s">
        <v>45</v>
      </c>
      <c r="G573" s="3">
        <f t="shared" si="60"/>
        <v>-78.224999999999994</v>
      </c>
      <c r="H573" s="3">
        <f t="shared" si="61"/>
        <v>78.224999999999994</v>
      </c>
      <c r="I573" s="5" t="str">
        <f t="shared" si="62"/>
        <v>018</v>
      </c>
      <c r="J573" s="5" t="str">
        <f t="shared" si="63"/>
        <v>2230</v>
      </c>
      <c r="K573" s="5" t="str">
        <f t="shared" si="64"/>
        <v>000</v>
      </c>
      <c r="L573" s="5">
        <f t="shared" si="65"/>
        <v>12</v>
      </c>
      <c r="M573" s="5">
        <f t="shared" si="66"/>
        <v>2011</v>
      </c>
    </row>
    <row r="574" spans="1:13" ht="17.45" customHeight="1" x14ac:dyDescent="0.25">
      <c r="A574" s="1">
        <f>DATE(2011,12,18)</f>
        <v>40895</v>
      </c>
      <c r="B574" t="s">
        <v>19</v>
      </c>
      <c r="C574" t="s">
        <v>6</v>
      </c>
      <c r="D574" s="3">
        <v>9054.6720000000005</v>
      </c>
      <c r="E574" s="3">
        <v>0</v>
      </c>
      <c r="F574" t="s">
        <v>45</v>
      </c>
      <c r="G574" s="3">
        <f t="shared" si="60"/>
        <v>-9054.6720000000005</v>
      </c>
      <c r="H574" s="3">
        <f t="shared" si="61"/>
        <v>9054.6720000000005</v>
      </c>
      <c r="I574" s="5" t="str">
        <f t="shared" si="62"/>
        <v>018</v>
      </c>
      <c r="J574" s="5" t="str">
        <f t="shared" si="63"/>
        <v>2100</v>
      </c>
      <c r="K574" s="5" t="str">
        <f t="shared" si="64"/>
        <v>000</v>
      </c>
      <c r="L574" s="5">
        <f t="shared" si="65"/>
        <v>12</v>
      </c>
      <c r="M574" s="5">
        <f t="shared" si="66"/>
        <v>2011</v>
      </c>
    </row>
    <row r="575" spans="1:13" ht="17.45" customHeight="1" x14ac:dyDescent="0.25">
      <c r="A575" s="1">
        <f>DATE(2011,12,18)</f>
        <v>40895</v>
      </c>
      <c r="B575" t="s">
        <v>20</v>
      </c>
      <c r="C575" t="s">
        <v>8</v>
      </c>
      <c r="D575" s="3">
        <v>897.92100000000005</v>
      </c>
      <c r="E575" s="3">
        <v>0</v>
      </c>
      <c r="F575" t="s">
        <v>45</v>
      </c>
      <c r="G575" s="3">
        <f t="shared" si="60"/>
        <v>-897.92100000000005</v>
      </c>
      <c r="H575" s="3">
        <f t="shared" si="61"/>
        <v>897.92100000000005</v>
      </c>
      <c r="I575" s="5" t="str">
        <f t="shared" si="62"/>
        <v>018</v>
      </c>
      <c r="J575" s="5" t="str">
        <f t="shared" si="63"/>
        <v>2210</v>
      </c>
      <c r="K575" s="5" t="str">
        <f t="shared" si="64"/>
        <v>000</v>
      </c>
      <c r="L575" s="5">
        <f t="shared" si="65"/>
        <v>12</v>
      </c>
      <c r="M575" s="5">
        <f t="shared" si="66"/>
        <v>2011</v>
      </c>
    </row>
    <row r="576" spans="1:13" ht="17.45" customHeight="1" x14ac:dyDescent="0.25">
      <c r="A576" s="1">
        <f>DATE(2011,12,18)</f>
        <v>40895</v>
      </c>
      <c r="B576" t="s">
        <v>21</v>
      </c>
      <c r="C576" t="s">
        <v>9</v>
      </c>
      <c r="D576" s="3">
        <v>147.88800000000001</v>
      </c>
      <c r="E576" s="3">
        <v>0</v>
      </c>
      <c r="F576" t="s">
        <v>45</v>
      </c>
      <c r="G576" s="3">
        <f t="shared" si="60"/>
        <v>-147.88800000000001</v>
      </c>
      <c r="H576" s="3">
        <f t="shared" si="61"/>
        <v>147.88800000000001</v>
      </c>
      <c r="I576" s="5" t="str">
        <f t="shared" si="62"/>
        <v>018</v>
      </c>
      <c r="J576" s="5" t="str">
        <f t="shared" si="63"/>
        <v>2220</v>
      </c>
      <c r="K576" s="5" t="str">
        <f t="shared" si="64"/>
        <v>000</v>
      </c>
      <c r="L576" s="5">
        <f t="shared" si="65"/>
        <v>12</v>
      </c>
      <c r="M576" s="5">
        <f t="shared" si="66"/>
        <v>2011</v>
      </c>
    </row>
    <row r="577" spans="1:13" ht="17.45" customHeight="1" x14ac:dyDescent="0.25">
      <c r="A577" s="1">
        <f>DATE(2011,12,18)</f>
        <v>40895</v>
      </c>
      <c r="B577" t="s">
        <v>22</v>
      </c>
      <c r="C577" t="s">
        <v>10</v>
      </c>
      <c r="D577" s="3">
        <v>89.175999999999988</v>
      </c>
      <c r="E577" s="3">
        <v>0</v>
      </c>
      <c r="F577" t="s">
        <v>45</v>
      </c>
      <c r="G577" s="3">
        <f t="shared" si="60"/>
        <v>-89.175999999999988</v>
      </c>
      <c r="H577" s="3">
        <f t="shared" si="61"/>
        <v>89.175999999999988</v>
      </c>
      <c r="I577" s="5" t="str">
        <f t="shared" si="62"/>
        <v>018</v>
      </c>
      <c r="J577" s="5" t="str">
        <f t="shared" si="63"/>
        <v>2230</v>
      </c>
      <c r="K577" s="5" t="str">
        <f t="shared" si="64"/>
        <v>000</v>
      </c>
      <c r="L577" s="5">
        <f t="shared" si="65"/>
        <v>12</v>
      </c>
      <c r="M577" s="5">
        <f t="shared" si="66"/>
        <v>2011</v>
      </c>
    </row>
    <row r="578" spans="1:13" ht="17.45" customHeight="1" x14ac:dyDescent="0.25">
      <c r="A578" s="1">
        <f>DATE(2011,12,19)</f>
        <v>40896</v>
      </c>
      <c r="B578" t="s">
        <v>11</v>
      </c>
      <c r="C578" t="s">
        <v>6</v>
      </c>
      <c r="D578" s="3">
        <v>2816.0770000000002</v>
      </c>
      <c r="E578" s="3">
        <v>0</v>
      </c>
      <c r="F578" t="s">
        <v>45</v>
      </c>
      <c r="G578" s="3">
        <f t="shared" ref="G578:G641" si="67">E578-D578</f>
        <v>-2816.0770000000002</v>
      </c>
      <c r="H578" s="3">
        <f t="shared" ref="H578:H641" si="68">ABS(G578)</f>
        <v>2816.0770000000002</v>
      </c>
      <c r="I578" s="5" t="str">
        <f t="shared" ref="I578:I641" si="69">MID(B578,1,3)</f>
        <v>016</v>
      </c>
      <c r="J578" s="5" t="str">
        <f t="shared" ref="J578:J641" si="70">MID(B578,5,4)</f>
        <v>2100</v>
      </c>
      <c r="K578" s="5" t="str">
        <f t="shared" ref="K578:K641" si="71">MID(B578,10,3)</f>
        <v>000</v>
      </c>
      <c r="L578" s="5">
        <f t="shared" ref="L578:L641" si="72">MONTH(A578)</f>
        <v>12</v>
      </c>
      <c r="M578" s="5">
        <f t="shared" ref="M578:M641" si="73">YEAR(A578)</f>
        <v>2011</v>
      </c>
    </row>
    <row r="579" spans="1:13" ht="17.45" customHeight="1" x14ac:dyDescent="0.25">
      <c r="A579" s="1">
        <f>DATE(2011,12,19)</f>
        <v>40896</v>
      </c>
      <c r="B579" t="s">
        <v>12</v>
      </c>
      <c r="C579" t="s">
        <v>8</v>
      </c>
      <c r="D579" s="3">
        <v>828.44399999999996</v>
      </c>
      <c r="E579" s="3">
        <v>0</v>
      </c>
      <c r="F579" t="s">
        <v>45</v>
      </c>
      <c r="G579" s="3">
        <f t="shared" si="67"/>
        <v>-828.44399999999996</v>
      </c>
      <c r="H579" s="3">
        <f t="shared" si="68"/>
        <v>828.44399999999996</v>
      </c>
      <c r="I579" s="5" t="str">
        <f t="shared" si="69"/>
        <v>016</v>
      </c>
      <c r="J579" s="5" t="str">
        <f t="shared" si="70"/>
        <v>2210</v>
      </c>
      <c r="K579" s="5" t="str">
        <f t="shared" si="71"/>
        <v>000</v>
      </c>
      <c r="L579" s="5">
        <f t="shared" si="72"/>
        <v>12</v>
      </c>
      <c r="M579" s="5">
        <f t="shared" si="73"/>
        <v>2011</v>
      </c>
    </row>
    <row r="580" spans="1:13" ht="17.45" customHeight="1" x14ac:dyDescent="0.25">
      <c r="A580" s="1">
        <f>DATE(2011,12,19)</f>
        <v>40896</v>
      </c>
      <c r="B580" t="s">
        <v>13</v>
      </c>
      <c r="C580" t="s">
        <v>9</v>
      </c>
      <c r="D580" s="3">
        <v>87.278999999999996</v>
      </c>
      <c r="E580" s="3">
        <v>0</v>
      </c>
      <c r="F580" t="s">
        <v>45</v>
      </c>
      <c r="G580" s="3">
        <f t="shared" si="67"/>
        <v>-87.278999999999996</v>
      </c>
      <c r="H580" s="3">
        <f t="shared" si="68"/>
        <v>87.278999999999996</v>
      </c>
      <c r="I580" s="5" t="str">
        <f t="shared" si="69"/>
        <v>016</v>
      </c>
      <c r="J580" s="5" t="str">
        <f t="shared" si="70"/>
        <v>2220</v>
      </c>
      <c r="K580" s="5" t="str">
        <f t="shared" si="71"/>
        <v>000</v>
      </c>
      <c r="L580" s="5">
        <f t="shared" si="72"/>
        <v>12</v>
      </c>
      <c r="M580" s="5">
        <f t="shared" si="73"/>
        <v>2011</v>
      </c>
    </row>
    <row r="581" spans="1:13" ht="17.45" customHeight="1" x14ac:dyDescent="0.25">
      <c r="A581" s="1">
        <f>DATE(2011,12,19)</f>
        <v>40896</v>
      </c>
      <c r="B581" t="s">
        <v>14</v>
      </c>
      <c r="C581" t="s">
        <v>10</v>
      </c>
      <c r="D581" s="3">
        <v>35.0625</v>
      </c>
      <c r="E581" s="3">
        <v>0</v>
      </c>
      <c r="F581" t="s">
        <v>45</v>
      </c>
      <c r="G581" s="3">
        <f t="shared" si="67"/>
        <v>-35.0625</v>
      </c>
      <c r="H581" s="3">
        <f t="shared" si="68"/>
        <v>35.0625</v>
      </c>
      <c r="I581" s="5" t="str">
        <f t="shared" si="69"/>
        <v>016</v>
      </c>
      <c r="J581" s="5" t="str">
        <f t="shared" si="70"/>
        <v>2230</v>
      </c>
      <c r="K581" s="5" t="str">
        <f t="shared" si="71"/>
        <v>000</v>
      </c>
      <c r="L581" s="5">
        <f t="shared" si="72"/>
        <v>12</v>
      </c>
      <c r="M581" s="5">
        <f t="shared" si="73"/>
        <v>2011</v>
      </c>
    </row>
    <row r="582" spans="1:13" ht="17.45" customHeight="1" x14ac:dyDescent="0.25">
      <c r="A582" s="1">
        <f>DATE(2011,12,20)</f>
        <v>40897</v>
      </c>
      <c r="B582" t="s">
        <v>11</v>
      </c>
      <c r="C582" t="s">
        <v>6</v>
      </c>
      <c r="D582" s="3">
        <v>3336.4065999999998</v>
      </c>
      <c r="E582" s="3">
        <v>0</v>
      </c>
      <c r="F582" t="s">
        <v>45</v>
      </c>
      <c r="G582" s="3">
        <f t="shared" si="67"/>
        <v>-3336.4065999999998</v>
      </c>
      <c r="H582" s="3">
        <f t="shared" si="68"/>
        <v>3336.4065999999998</v>
      </c>
      <c r="I582" s="5" t="str">
        <f t="shared" si="69"/>
        <v>016</v>
      </c>
      <c r="J582" s="5" t="str">
        <f t="shared" si="70"/>
        <v>2100</v>
      </c>
      <c r="K582" s="5" t="str">
        <f t="shared" si="71"/>
        <v>000</v>
      </c>
      <c r="L582" s="5">
        <f t="shared" si="72"/>
        <v>12</v>
      </c>
      <c r="M582" s="5">
        <f t="shared" si="73"/>
        <v>2011</v>
      </c>
    </row>
    <row r="583" spans="1:13" ht="17.45" customHeight="1" x14ac:dyDescent="0.25">
      <c r="A583" s="1">
        <f>DATE(2011,12,20)</f>
        <v>40897</v>
      </c>
      <c r="B583" t="s">
        <v>12</v>
      </c>
      <c r="C583" t="s">
        <v>8</v>
      </c>
      <c r="D583" s="3">
        <v>913.24800000000005</v>
      </c>
      <c r="E583" s="3">
        <v>0</v>
      </c>
      <c r="F583" t="s">
        <v>45</v>
      </c>
      <c r="G583" s="3">
        <f t="shared" si="67"/>
        <v>-913.24800000000005</v>
      </c>
      <c r="H583" s="3">
        <f t="shared" si="68"/>
        <v>913.24800000000005</v>
      </c>
      <c r="I583" s="5" t="str">
        <f t="shared" si="69"/>
        <v>016</v>
      </c>
      <c r="J583" s="5" t="str">
        <f t="shared" si="70"/>
        <v>2210</v>
      </c>
      <c r="K583" s="5" t="str">
        <f t="shared" si="71"/>
        <v>000</v>
      </c>
      <c r="L583" s="5">
        <f t="shared" si="72"/>
        <v>12</v>
      </c>
      <c r="M583" s="5">
        <f t="shared" si="73"/>
        <v>2011</v>
      </c>
    </row>
    <row r="584" spans="1:13" ht="17.45" customHeight="1" x14ac:dyDescent="0.25">
      <c r="A584" s="1">
        <f>DATE(2011,12,20)</f>
        <v>40897</v>
      </c>
      <c r="B584" t="s">
        <v>13</v>
      </c>
      <c r="C584" t="s">
        <v>9</v>
      </c>
      <c r="D584" s="3">
        <v>178.77600000000001</v>
      </c>
      <c r="E584" s="3">
        <v>0</v>
      </c>
      <c r="F584" t="s">
        <v>45</v>
      </c>
      <c r="G584" s="3">
        <f t="shared" si="67"/>
        <v>-178.77600000000001</v>
      </c>
      <c r="H584" s="3">
        <f t="shared" si="68"/>
        <v>178.77600000000001</v>
      </c>
      <c r="I584" s="5" t="str">
        <f t="shared" si="69"/>
        <v>016</v>
      </c>
      <c r="J584" s="5" t="str">
        <f t="shared" si="70"/>
        <v>2220</v>
      </c>
      <c r="K584" s="5" t="str">
        <f t="shared" si="71"/>
        <v>000</v>
      </c>
      <c r="L584" s="5">
        <f t="shared" si="72"/>
        <v>12</v>
      </c>
      <c r="M584" s="5">
        <f t="shared" si="73"/>
        <v>2011</v>
      </c>
    </row>
    <row r="585" spans="1:13" ht="17.45" customHeight="1" x14ac:dyDescent="0.25">
      <c r="A585" s="1">
        <f>DATE(2011,12,20)</f>
        <v>40897</v>
      </c>
      <c r="B585" t="s">
        <v>14</v>
      </c>
      <c r="C585" t="s">
        <v>10</v>
      </c>
      <c r="D585" s="3">
        <v>141.32300000000001</v>
      </c>
      <c r="E585" s="3">
        <v>0</v>
      </c>
      <c r="F585" t="s">
        <v>45</v>
      </c>
      <c r="G585" s="3">
        <f t="shared" si="67"/>
        <v>-141.32300000000001</v>
      </c>
      <c r="H585" s="3">
        <f t="shared" si="68"/>
        <v>141.32300000000001</v>
      </c>
      <c r="I585" s="5" t="str">
        <f t="shared" si="69"/>
        <v>016</v>
      </c>
      <c r="J585" s="5" t="str">
        <f t="shared" si="70"/>
        <v>2230</v>
      </c>
      <c r="K585" s="5" t="str">
        <f t="shared" si="71"/>
        <v>000</v>
      </c>
      <c r="L585" s="5">
        <f t="shared" si="72"/>
        <v>12</v>
      </c>
      <c r="M585" s="5">
        <f t="shared" si="73"/>
        <v>2011</v>
      </c>
    </row>
    <row r="586" spans="1:13" ht="17.45" customHeight="1" x14ac:dyDescent="0.25">
      <c r="A586" s="1">
        <f>DATE(2011,12,21)</f>
        <v>40898</v>
      </c>
      <c r="B586" t="s">
        <v>11</v>
      </c>
      <c r="C586" t="s">
        <v>6</v>
      </c>
      <c r="D586" s="3">
        <v>4278.2817999999997</v>
      </c>
      <c r="E586" s="3">
        <v>0</v>
      </c>
      <c r="F586" t="s">
        <v>45</v>
      </c>
      <c r="G586" s="3">
        <f t="shared" si="67"/>
        <v>-4278.2817999999997</v>
      </c>
      <c r="H586" s="3">
        <f t="shared" si="68"/>
        <v>4278.2817999999997</v>
      </c>
      <c r="I586" s="5" t="str">
        <f t="shared" si="69"/>
        <v>016</v>
      </c>
      <c r="J586" s="5" t="str">
        <f t="shared" si="70"/>
        <v>2100</v>
      </c>
      <c r="K586" s="5" t="str">
        <f t="shared" si="71"/>
        <v>000</v>
      </c>
      <c r="L586" s="5">
        <f t="shared" si="72"/>
        <v>12</v>
      </c>
      <c r="M586" s="5">
        <f t="shared" si="73"/>
        <v>2011</v>
      </c>
    </row>
    <row r="587" spans="1:13" ht="17.45" customHeight="1" x14ac:dyDescent="0.25">
      <c r="A587" s="1">
        <f>DATE(2011,12,21)</f>
        <v>40898</v>
      </c>
      <c r="B587" t="s">
        <v>12</v>
      </c>
      <c r="C587" t="s">
        <v>8</v>
      </c>
      <c r="D587" s="3">
        <v>724.52</v>
      </c>
      <c r="E587" s="3">
        <v>0</v>
      </c>
      <c r="F587" t="s">
        <v>45</v>
      </c>
      <c r="G587" s="3">
        <f t="shared" si="67"/>
        <v>-724.52</v>
      </c>
      <c r="H587" s="3">
        <f t="shared" si="68"/>
        <v>724.52</v>
      </c>
      <c r="I587" s="5" t="str">
        <f t="shared" si="69"/>
        <v>016</v>
      </c>
      <c r="J587" s="5" t="str">
        <f t="shared" si="70"/>
        <v>2210</v>
      </c>
      <c r="K587" s="5" t="str">
        <f t="shared" si="71"/>
        <v>000</v>
      </c>
      <c r="L587" s="5">
        <f t="shared" si="72"/>
        <v>12</v>
      </c>
      <c r="M587" s="5">
        <f t="shared" si="73"/>
        <v>2011</v>
      </c>
    </row>
    <row r="588" spans="1:13" ht="17.45" customHeight="1" x14ac:dyDescent="0.25">
      <c r="A588" s="1">
        <f>DATE(2011,12,21)</f>
        <v>40898</v>
      </c>
      <c r="B588" t="s">
        <v>13</v>
      </c>
      <c r="C588" t="s">
        <v>9</v>
      </c>
      <c r="D588" s="3">
        <v>179.29200000000003</v>
      </c>
      <c r="E588" s="3">
        <v>0</v>
      </c>
      <c r="F588" t="s">
        <v>45</v>
      </c>
      <c r="G588" s="3">
        <f t="shared" si="67"/>
        <v>-179.29200000000003</v>
      </c>
      <c r="H588" s="3">
        <f t="shared" si="68"/>
        <v>179.29200000000003</v>
      </c>
      <c r="I588" s="5" t="str">
        <f t="shared" si="69"/>
        <v>016</v>
      </c>
      <c r="J588" s="5" t="str">
        <f t="shared" si="70"/>
        <v>2220</v>
      </c>
      <c r="K588" s="5" t="str">
        <f t="shared" si="71"/>
        <v>000</v>
      </c>
      <c r="L588" s="5">
        <f t="shared" si="72"/>
        <v>12</v>
      </c>
      <c r="M588" s="5">
        <f t="shared" si="73"/>
        <v>2011</v>
      </c>
    </row>
    <row r="589" spans="1:13" ht="17.45" customHeight="1" x14ac:dyDescent="0.25">
      <c r="A589" s="1">
        <f>DATE(2011,12,21)</f>
        <v>40898</v>
      </c>
      <c r="B589" t="s">
        <v>14</v>
      </c>
      <c r="C589" t="s">
        <v>10</v>
      </c>
      <c r="D589" s="3">
        <v>106.99</v>
      </c>
      <c r="E589" s="3">
        <v>0</v>
      </c>
      <c r="F589" t="s">
        <v>45</v>
      </c>
      <c r="G589" s="3">
        <f t="shared" si="67"/>
        <v>-106.99</v>
      </c>
      <c r="H589" s="3">
        <f t="shared" si="68"/>
        <v>106.99</v>
      </c>
      <c r="I589" s="5" t="str">
        <f t="shared" si="69"/>
        <v>016</v>
      </c>
      <c r="J589" s="5" t="str">
        <f t="shared" si="70"/>
        <v>2230</v>
      </c>
      <c r="K589" s="5" t="str">
        <f t="shared" si="71"/>
        <v>000</v>
      </c>
      <c r="L589" s="5">
        <f t="shared" si="72"/>
        <v>12</v>
      </c>
      <c r="M589" s="5">
        <f t="shared" si="73"/>
        <v>2011</v>
      </c>
    </row>
    <row r="590" spans="1:13" ht="17.45" customHeight="1" x14ac:dyDescent="0.25">
      <c r="A590" s="1">
        <f>DATE(2011,12,22)</f>
        <v>40899</v>
      </c>
      <c r="B590" t="s">
        <v>11</v>
      </c>
      <c r="C590" t="s">
        <v>6</v>
      </c>
      <c r="D590" s="3">
        <v>6199.0432000000001</v>
      </c>
      <c r="E590" s="3">
        <v>0</v>
      </c>
      <c r="F590" t="s">
        <v>45</v>
      </c>
      <c r="G590" s="3">
        <f t="shared" si="67"/>
        <v>-6199.0432000000001</v>
      </c>
      <c r="H590" s="3">
        <f t="shared" si="68"/>
        <v>6199.0432000000001</v>
      </c>
      <c r="I590" s="5" t="str">
        <f t="shared" si="69"/>
        <v>016</v>
      </c>
      <c r="J590" s="5" t="str">
        <f t="shared" si="70"/>
        <v>2100</v>
      </c>
      <c r="K590" s="5" t="str">
        <f t="shared" si="71"/>
        <v>000</v>
      </c>
      <c r="L590" s="5">
        <f t="shared" si="72"/>
        <v>12</v>
      </c>
      <c r="M590" s="5">
        <f t="shared" si="73"/>
        <v>2011</v>
      </c>
    </row>
    <row r="591" spans="1:13" ht="17.45" customHeight="1" x14ac:dyDescent="0.25">
      <c r="A591" s="1">
        <f>DATE(2011,12,22)</f>
        <v>40899</v>
      </c>
      <c r="B591" t="s">
        <v>12</v>
      </c>
      <c r="C591" t="s">
        <v>8</v>
      </c>
      <c r="D591" s="3">
        <v>2312.0980000000004</v>
      </c>
      <c r="E591" s="3">
        <v>0</v>
      </c>
      <c r="F591" t="s">
        <v>45</v>
      </c>
      <c r="G591" s="3">
        <f t="shared" si="67"/>
        <v>-2312.0980000000004</v>
      </c>
      <c r="H591" s="3">
        <f t="shared" si="68"/>
        <v>2312.0980000000004</v>
      </c>
      <c r="I591" s="5" t="str">
        <f t="shared" si="69"/>
        <v>016</v>
      </c>
      <c r="J591" s="5" t="str">
        <f t="shared" si="70"/>
        <v>2210</v>
      </c>
      <c r="K591" s="5" t="str">
        <f t="shared" si="71"/>
        <v>000</v>
      </c>
      <c r="L591" s="5">
        <f t="shared" si="72"/>
        <v>12</v>
      </c>
      <c r="M591" s="5">
        <f t="shared" si="73"/>
        <v>2011</v>
      </c>
    </row>
    <row r="592" spans="1:13" ht="17.45" customHeight="1" x14ac:dyDescent="0.25">
      <c r="A592" s="1">
        <f>DATE(2011,12,22)</f>
        <v>40899</v>
      </c>
      <c r="B592" t="s">
        <v>13</v>
      </c>
      <c r="C592" t="s">
        <v>9</v>
      </c>
      <c r="D592" s="3">
        <v>307.79100000000005</v>
      </c>
      <c r="E592" s="3">
        <v>0</v>
      </c>
      <c r="F592" t="s">
        <v>45</v>
      </c>
      <c r="G592" s="3">
        <f t="shared" si="67"/>
        <v>-307.79100000000005</v>
      </c>
      <c r="H592" s="3">
        <f t="shared" si="68"/>
        <v>307.79100000000005</v>
      </c>
      <c r="I592" s="5" t="str">
        <f t="shared" si="69"/>
        <v>016</v>
      </c>
      <c r="J592" s="5" t="str">
        <f t="shared" si="70"/>
        <v>2220</v>
      </c>
      <c r="K592" s="5" t="str">
        <f t="shared" si="71"/>
        <v>000</v>
      </c>
      <c r="L592" s="5">
        <f t="shared" si="72"/>
        <v>12</v>
      </c>
      <c r="M592" s="5">
        <f t="shared" si="73"/>
        <v>2011</v>
      </c>
    </row>
    <row r="593" spans="1:13" ht="17.45" customHeight="1" x14ac:dyDescent="0.25">
      <c r="A593" s="1">
        <f>DATE(2011,12,22)</f>
        <v>40899</v>
      </c>
      <c r="B593" t="s">
        <v>14</v>
      </c>
      <c r="C593" t="s">
        <v>10</v>
      </c>
      <c r="D593" s="3">
        <v>135.48099999999999</v>
      </c>
      <c r="E593" s="3">
        <v>0</v>
      </c>
      <c r="F593" t="s">
        <v>45</v>
      </c>
      <c r="G593" s="3">
        <f t="shared" si="67"/>
        <v>-135.48099999999999</v>
      </c>
      <c r="H593" s="3">
        <f t="shared" si="68"/>
        <v>135.48099999999999</v>
      </c>
      <c r="I593" s="5" t="str">
        <f t="shared" si="69"/>
        <v>016</v>
      </c>
      <c r="J593" s="5" t="str">
        <f t="shared" si="70"/>
        <v>2230</v>
      </c>
      <c r="K593" s="5" t="str">
        <f t="shared" si="71"/>
        <v>000</v>
      </c>
      <c r="L593" s="5">
        <f t="shared" si="72"/>
        <v>12</v>
      </c>
      <c r="M593" s="5">
        <f t="shared" si="73"/>
        <v>2011</v>
      </c>
    </row>
    <row r="594" spans="1:13" ht="17.45" customHeight="1" x14ac:dyDescent="0.25">
      <c r="A594" s="1">
        <f>DATE(2011,12,23)</f>
        <v>40900</v>
      </c>
      <c r="B594" t="s">
        <v>11</v>
      </c>
      <c r="C594" t="s">
        <v>6</v>
      </c>
      <c r="D594" s="3">
        <v>9344.503999999999</v>
      </c>
      <c r="E594" s="3">
        <v>0</v>
      </c>
      <c r="F594" t="s">
        <v>45</v>
      </c>
      <c r="G594" s="3">
        <f t="shared" si="67"/>
        <v>-9344.503999999999</v>
      </c>
      <c r="H594" s="3">
        <f t="shared" si="68"/>
        <v>9344.503999999999</v>
      </c>
      <c r="I594" s="5" t="str">
        <f t="shared" si="69"/>
        <v>016</v>
      </c>
      <c r="J594" s="5" t="str">
        <f t="shared" si="70"/>
        <v>2100</v>
      </c>
      <c r="K594" s="5" t="str">
        <f t="shared" si="71"/>
        <v>000</v>
      </c>
      <c r="L594" s="5">
        <f t="shared" si="72"/>
        <v>12</v>
      </c>
      <c r="M594" s="5">
        <f t="shared" si="73"/>
        <v>2011</v>
      </c>
    </row>
    <row r="595" spans="1:13" ht="17.45" customHeight="1" x14ac:dyDescent="0.25">
      <c r="A595" s="1">
        <f>DATE(2011,12,23)</f>
        <v>40900</v>
      </c>
      <c r="B595" t="s">
        <v>12</v>
      </c>
      <c r="C595" t="s">
        <v>8</v>
      </c>
      <c r="D595" s="3">
        <v>2354.3939999999998</v>
      </c>
      <c r="E595" s="3">
        <v>0</v>
      </c>
      <c r="F595" t="s">
        <v>45</v>
      </c>
      <c r="G595" s="3">
        <f t="shared" si="67"/>
        <v>-2354.3939999999998</v>
      </c>
      <c r="H595" s="3">
        <f t="shared" si="68"/>
        <v>2354.3939999999998</v>
      </c>
      <c r="I595" s="5" t="str">
        <f t="shared" si="69"/>
        <v>016</v>
      </c>
      <c r="J595" s="5" t="str">
        <f t="shared" si="70"/>
        <v>2210</v>
      </c>
      <c r="K595" s="5" t="str">
        <f t="shared" si="71"/>
        <v>000</v>
      </c>
      <c r="L595" s="5">
        <f t="shared" si="72"/>
        <v>12</v>
      </c>
      <c r="M595" s="5">
        <f t="shared" si="73"/>
        <v>2011</v>
      </c>
    </row>
    <row r="596" spans="1:13" ht="17.45" customHeight="1" x14ac:dyDescent="0.25">
      <c r="A596" s="1">
        <f>DATE(2011,12,23)</f>
        <v>40900</v>
      </c>
      <c r="B596" t="s">
        <v>13</v>
      </c>
      <c r="C596" t="s">
        <v>9</v>
      </c>
      <c r="D596" s="3">
        <v>391.5</v>
      </c>
      <c r="E596" s="3">
        <v>0</v>
      </c>
      <c r="F596" t="s">
        <v>45</v>
      </c>
      <c r="G596" s="3">
        <f t="shared" si="67"/>
        <v>-391.5</v>
      </c>
      <c r="H596" s="3">
        <f t="shared" si="68"/>
        <v>391.5</v>
      </c>
      <c r="I596" s="5" t="str">
        <f t="shared" si="69"/>
        <v>016</v>
      </c>
      <c r="J596" s="5" t="str">
        <f t="shared" si="70"/>
        <v>2220</v>
      </c>
      <c r="K596" s="5" t="str">
        <f t="shared" si="71"/>
        <v>000</v>
      </c>
      <c r="L596" s="5">
        <f t="shared" si="72"/>
        <v>12</v>
      </c>
      <c r="M596" s="5">
        <f t="shared" si="73"/>
        <v>2011</v>
      </c>
    </row>
    <row r="597" spans="1:13" ht="17.45" customHeight="1" x14ac:dyDescent="0.25">
      <c r="A597" s="1">
        <f>DATE(2011,12,23)</f>
        <v>40900</v>
      </c>
      <c r="B597" t="s">
        <v>14</v>
      </c>
      <c r="C597" t="s">
        <v>10</v>
      </c>
      <c r="D597" s="3">
        <v>146.36150000000001</v>
      </c>
      <c r="E597" s="3">
        <v>0</v>
      </c>
      <c r="F597" t="s">
        <v>45</v>
      </c>
      <c r="G597" s="3">
        <f t="shared" si="67"/>
        <v>-146.36150000000001</v>
      </c>
      <c r="H597" s="3">
        <f t="shared" si="68"/>
        <v>146.36150000000001</v>
      </c>
      <c r="I597" s="5" t="str">
        <f t="shared" si="69"/>
        <v>016</v>
      </c>
      <c r="J597" s="5" t="str">
        <f t="shared" si="70"/>
        <v>2230</v>
      </c>
      <c r="K597" s="5" t="str">
        <f t="shared" si="71"/>
        <v>000</v>
      </c>
      <c r="L597" s="5">
        <f t="shared" si="72"/>
        <v>12</v>
      </c>
      <c r="M597" s="5">
        <f t="shared" si="73"/>
        <v>2011</v>
      </c>
    </row>
    <row r="598" spans="1:13" ht="17.45" customHeight="1" x14ac:dyDescent="0.25">
      <c r="A598" s="1">
        <f>DATE(2011,12,24)</f>
        <v>40901</v>
      </c>
      <c r="B598" t="s">
        <v>11</v>
      </c>
      <c r="C598" t="s">
        <v>6</v>
      </c>
      <c r="D598" s="3">
        <v>5075.5157999999992</v>
      </c>
      <c r="E598" s="3">
        <v>0</v>
      </c>
      <c r="F598" t="s">
        <v>45</v>
      </c>
      <c r="G598" s="3">
        <f t="shared" si="67"/>
        <v>-5075.5157999999992</v>
      </c>
      <c r="H598" s="3">
        <f t="shared" si="68"/>
        <v>5075.5157999999992</v>
      </c>
      <c r="I598" s="5" t="str">
        <f t="shared" si="69"/>
        <v>016</v>
      </c>
      <c r="J598" s="5" t="str">
        <f t="shared" si="70"/>
        <v>2100</v>
      </c>
      <c r="K598" s="5" t="str">
        <f t="shared" si="71"/>
        <v>000</v>
      </c>
      <c r="L598" s="5">
        <f t="shared" si="72"/>
        <v>12</v>
      </c>
      <c r="M598" s="5">
        <f t="shared" si="73"/>
        <v>2011</v>
      </c>
    </row>
    <row r="599" spans="1:13" ht="17.45" customHeight="1" x14ac:dyDescent="0.25">
      <c r="A599" s="1">
        <f>DATE(2011,12,24)</f>
        <v>40901</v>
      </c>
      <c r="B599" t="s">
        <v>12</v>
      </c>
      <c r="C599" t="s">
        <v>8</v>
      </c>
      <c r="D599" s="3">
        <v>1078.5749999999998</v>
      </c>
      <c r="E599" s="3">
        <v>0</v>
      </c>
      <c r="F599" t="s">
        <v>45</v>
      </c>
      <c r="G599" s="3">
        <f t="shared" si="67"/>
        <v>-1078.5749999999998</v>
      </c>
      <c r="H599" s="3">
        <f t="shared" si="68"/>
        <v>1078.5749999999998</v>
      </c>
      <c r="I599" s="5" t="str">
        <f t="shared" si="69"/>
        <v>016</v>
      </c>
      <c r="J599" s="5" t="str">
        <f t="shared" si="70"/>
        <v>2210</v>
      </c>
      <c r="K599" s="5" t="str">
        <f t="shared" si="71"/>
        <v>000</v>
      </c>
      <c r="L599" s="5">
        <f t="shared" si="72"/>
        <v>12</v>
      </c>
      <c r="M599" s="5">
        <f t="shared" si="73"/>
        <v>2011</v>
      </c>
    </row>
    <row r="600" spans="1:13" ht="17.45" customHeight="1" x14ac:dyDescent="0.25">
      <c r="A600" s="1">
        <f>DATE(2011,12,24)</f>
        <v>40901</v>
      </c>
      <c r="B600" t="s">
        <v>13</v>
      </c>
      <c r="C600" t="s">
        <v>9</v>
      </c>
      <c r="D600" s="3">
        <v>258.387</v>
      </c>
      <c r="E600" s="3">
        <v>0</v>
      </c>
      <c r="F600" t="s">
        <v>45</v>
      </c>
      <c r="G600" s="3">
        <f t="shared" si="67"/>
        <v>-258.387</v>
      </c>
      <c r="H600" s="3">
        <f t="shared" si="68"/>
        <v>258.387</v>
      </c>
      <c r="I600" s="5" t="str">
        <f t="shared" si="69"/>
        <v>016</v>
      </c>
      <c r="J600" s="5" t="str">
        <f t="shared" si="70"/>
        <v>2220</v>
      </c>
      <c r="K600" s="5" t="str">
        <f t="shared" si="71"/>
        <v>000</v>
      </c>
      <c r="L600" s="5">
        <f t="shared" si="72"/>
        <v>12</v>
      </c>
      <c r="M600" s="5">
        <f t="shared" si="73"/>
        <v>2011</v>
      </c>
    </row>
    <row r="601" spans="1:13" ht="17.45" customHeight="1" x14ac:dyDescent="0.25">
      <c r="A601" s="1">
        <f>DATE(2011,12,24)</f>
        <v>40901</v>
      </c>
      <c r="B601" t="s">
        <v>14</v>
      </c>
      <c r="C601" t="s">
        <v>10</v>
      </c>
      <c r="D601" s="3">
        <v>63.791999999999994</v>
      </c>
      <c r="E601" s="3">
        <v>0</v>
      </c>
      <c r="F601" t="s">
        <v>45</v>
      </c>
      <c r="G601" s="3">
        <f t="shared" si="67"/>
        <v>-63.791999999999994</v>
      </c>
      <c r="H601" s="3">
        <f t="shared" si="68"/>
        <v>63.791999999999994</v>
      </c>
      <c r="I601" s="5" t="str">
        <f t="shared" si="69"/>
        <v>016</v>
      </c>
      <c r="J601" s="5" t="str">
        <f t="shared" si="70"/>
        <v>2230</v>
      </c>
      <c r="K601" s="5" t="str">
        <f t="shared" si="71"/>
        <v>000</v>
      </c>
      <c r="L601" s="5">
        <f t="shared" si="72"/>
        <v>12</v>
      </c>
      <c r="M601" s="5">
        <f t="shared" si="73"/>
        <v>2011</v>
      </c>
    </row>
    <row r="602" spans="1:13" ht="17.45" customHeight="1" x14ac:dyDescent="0.25">
      <c r="A602" s="1">
        <f>DATE(2011,12,19)</f>
        <v>40896</v>
      </c>
      <c r="B602" t="s">
        <v>15</v>
      </c>
      <c r="C602" t="s">
        <v>6</v>
      </c>
      <c r="D602" s="3">
        <v>6542.6220000000003</v>
      </c>
      <c r="E602" s="3">
        <v>0</v>
      </c>
      <c r="F602" t="s">
        <v>45</v>
      </c>
      <c r="G602" s="3">
        <f t="shared" si="67"/>
        <v>-6542.6220000000003</v>
      </c>
      <c r="H602" s="3">
        <f t="shared" si="68"/>
        <v>6542.6220000000003</v>
      </c>
      <c r="I602" s="5" t="str">
        <f t="shared" si="69"/>
        <v>017</v>
      </c>
      <c r="J602" s="5" t="str">
        <f t="shared" si="70"/>
        <v>2100</v>
      </c>
      <c r="K602" s="5" t="str">
        <f t="shared" si="71"/>
        <v>000</v>
      </c>
      <c r="L602" s="5">
        <f t="shared" si="72"/>
        <v>12</v>
      </c>
      <c r="M602" s="5">
        <f t="shared" si="73"/>
        <v>2011</v>
      </c>
    </row>
    <row r="603" spans="1:13" ht="17.45" customHeight="1" x14ac:dyDescent="0.25">
      <c r="A603" s="1">
        <f>DATE(2011,12,19)</f>
        <v>40896</v>
      </c>
      <c r="B603" t="s">
        <v>16</v>
      </c>
      <c r="C603" t="s">
        <v>8</v>
      </c>
      <c r="D603" s="3">
        <v>1308.2919999999999</v>
      </c>
      <c r="E603" s="3">
        <v>0</v>
      </c>
      <c r="F603" t="s">
        <v>45</v>
      </c>
      <c r="G603" s="3">
        <f t="shared" si="67"/>
        <v>-1308.2919999999999</v>
      </c>
      <c r="H603" s="3">
        <f t="shared" si="68"/>
        <v>1308.2919999999999</v>
      </c>
      <c r="I603" s="5" t="str">
        <f t="shared" si="69"/>
        <v>017</v>
      </c>
      <c r="J603" s="5" t="str">
        <f t="shared" si="70"/>
        <v>2210</v>
      </c>
      <c r="K603" s="5" t="str">
        <f t="shared" si="71"/>
        <v>000</v>
      </c>
      <c r="L603" s="5">
        <f t="shared" si="72"/>
        <v>12</v>
      </c>
      <c r="M603" s="5">
        <f t="shared" si="73"/>
        <v>2011</v>
      </c>
    </row>
    <row r="604" spans="1:13" ht="17.45" customHeight="1" x14ac:dyDescent="0.25">
      <c r="A604" s="1">
        <f>DATE(2011,12,19)</f>
        <v>40896</v>
      </c>
      <c r="B604" t="s">
        <v>17</v>
      </c>
      <c r="C604" t="s">
        <v>9</v>
      </c>
      <c r="D604" s="3">
        <v>225.69749999999999</v>
      </c>
      <c r="E604" s="3">
        <v>0</v>
      </c>
      <c r="F604" t="s">
        <v>45</v>
      </c>
      <c r="G604" s="3">
        <f t="shared" si="67"/>
        <v>-225.69749999999999</v>
      </c>
      <c r="H604" s="3">
        <f t="shared" si="68"/>
        <v>225.69749999999999</v>
      </c>
      <c r="I604" s="5" t="str">
        <f t="shared" si="69"/>
        <v>017</v>
      </c>
      <c r="J604" s="5" t="str">
        <f t="shared" si="70"/>
        <v>2220</v>
      </c>
      <c r="K604" s="5" t="str">
        <f t="shared" si="71"/>
        <v>000</v>
      </c>
      <c r="L604" s="5">
        <f t="shared" si="72"/>
        <v>12</v>
      </c>
      <c r="M604" s="5">
        <f t="shared" si="73"/>
        <v>2011</v>
      </c>
    </row>
    <row r="605" spans="1:13" ht="17.45" customHeight="1" x14ac:dyDescent="0.25">
      <c r="A605" s="1">
        <f>DATE(2011,12,19)</f>
        <v>40896</v>
      </c>
      <c r="B605" t="s">
        <v>18</v>
      </c>
      <c r="C605" t="s">
        <v>10</v>
      </c>
      <c r="D605" s="3">
        <v>61.503999999999998</v>
      </c>
      <c r="E605" s="3">
        <v>0</v>
      </c>
      <c r="F605" t="s">
        <v>45</v>
      </c>
      <c r="G605" s="3">
        <f t="shared" si="67"/>
        <v>-61.503999999999998</v>
      </c>
      <c r="H605" s="3">
        <f t="shared" si="68"/>
        <v>61.503999999999998</v>
      </c>
      <c r="I605" s="5" t="str">
        <f t="shared" si="69"/>
        <v>017</v>
      </c>
      <c r="J605" s="5" t="str">
        <f t="shared" si="70"/>
        <v>2230</v>
      </c>
      <c r="K605" s="5" t="str">
        <f t="shared" si="71"/>
        <v>000</v>
      </c>
      <c r="L605" s="5">
        <f t="shared" si="72"/>
        <v>12</v>
      </c>
      <c r="M605" s="5">
        <f t="shared" si="73"/>
        <v>2011</v>
      </c>
    </row>
    <row r="606" spans="1:13" ht="17.45" customHeight="1" x14ac:dyDescent="0.25">
      <c r="A606" s="1">
        <f>DATE(2011,12,20)</f>
        <v>40897</v>
      </c>
      <c r="B606" t="s">
        <v>15</v>
      </c>
      <c r="C606" t="s">
        <v>6</v>
      </c>
      <c r="D606" s="3">
        <v>6394.9500000000007</v>
      </c>
      <c r="E606" s="3">
        <v>0</v>
      </c>
      <c r="F606" t="s">
        <v>45</v>
      </c>
      <c r="G606" s="3">
        <f t="shared" si="67"/>
        <v>-6394.9500000000007</v>
      </c>
      <c r="H606" s="3">
        <f t="shared" si="68"/>
        <v>6394.9500000000007</v>
      </c>
      <c r="I606" s="5" t="str">
        <f t="shared" si="69"/>
        <v>017</v>
      </c>
      <c r="J606" s="5" t="str">
        <f t="shared" si="70"/>
        <v>2100</v>
      </c>
      <c r="K606" s="5" t="str">
        <f t="shared" si="71"/>
        <v>000</v>
      </c>
      <c r="L606" s="5">
        <f t="shared" si="72"/>
        <v>12</v>
      </c>
      <c r="M606" s="5">
        <f t="shared" si="73"/>
        <v>2011</v>
      </c>
    </row>
    <row r="607" spans="1:13" ht="17.45" customHeight="1" x14ac:dyDescent="0.25">
      <c r="A607" s="1">
        <f>DATE(2011,12,20)</f>
        <v>40897</v>
      </c>
      <c r="B607" t="s">
        <v>16</v>
      </c>
      <c r="C607" t="s">
        <v>8</v>
      </c>
      <c r="D607" s="3">
        <v>1178.3520000000001</v>
      </c>
      <c r="E607" s="3">
        <v>0</v>
      </c>
      <c r="F607" t="s">
        <v>45</v>
      </c>
      <c r="G607" s="3">
        <f t="shared" si="67"/>
        <v>-1178.3520000000001</v>
      </c>
      <c r="H607" s="3">
        <f t="shared" si="68"/>
        <v>1178.3520000000001</v>
      </c>
      <c r="I607" s="5" t="str">
        <f t="shared" si="69"/>
        <v>017</v>
      </c>
      <c r="J607" s="5" t="str">
        <f t="shared" si="70"/>
        <v>2210</v>
      </c>
      <c r="K607" s="5" t="str">
        <f t="shared" si="71"/>
        <v>000</v>
      </c>
      <c r="L607" s="5">
        <f t="shared" si="72"/>
        <v>12</v>
      </c>
      <c r="M607" s="5">
        <f t="shared" si="73"/>
        <v>2011</v>
      </c>
    </row>
    <row r="608" spans="1:13" ht="17.45" customHeight="1" x14ac:dyDescent="0.25">
      <c r="A608" s="1">
        <f>DATE(2011,12,20)</f>
        <v>40897</v>
      </c>
      <c r="B608" t="s">
        <v>17</v>
      </c>
      <c r="C608" t="s">
        <v>9</v>
      </c>
      <c r="D608" s="3">
        <v>412.3125</v>
      </c>
      <c r="E608" s="3">
        <v>0</v>
      </c>
      <c r="F608" t="s">
        <v>45</v>
      </c>
      <c r="G608" s="3">
        <f t="shared" si="67"/>
        <v>-412.3125</v>
      </c>
      <c r="H608" s="3">
        <f t="shared" si="68"/>
        <v>412.3125</v>
      </c>
      <c r="I608" s="5" t="str">
        <f t="shared" si="69"/>
        <v>017</v>
      </c>
      <c r="J608" s="5" t="str">
        <f t="shared" si="70"/>
        <v>2220</v>
      </c>
      <c r="K608" s="5" t="str">
        <f t="shared" si="71"/>
        <v>000</v>
      </c>
      <c r="L608" s="5">
        <f t="shared" si="72"/>
        <v>12</v>
      </c>
      <c r="M608" s="5">
        <f t="shared" si="73"/>
        <v>2011</v>
      </c>
    </row>
    <row r="609" spans="1:13" ht="17.45" customHeight="1" x14ac:dyDescent="0.25">
      <c r="A609" s="1">
        <f>DATE(2011,12,20)</f>
        <v>40897</v>
      </c>
      <c r="B609" t="s">
        <v>18</v>
      </c>
      <c r="C609" t="s">
        <v>10</v>
      </c>
      <c r="D609" s="3">
        <v>125.07599999999999</v>
      </c>
      <c r="E609" s="3">
        <v>0</v>
      </c>
      <c r="F609" t="s">
        <v>45</v>
      </c>
      <c r="G609" s="3">
        <f t="shared" si="67"/>
        <v>-125.07599999999999</v>
      </c>
      <c r="H609" s="3">
        <f t="shared" si="68"/>
        <v>125.07599999999999</v>
      </c>
      <c r="I609" s="5" t="str">
        <f t="shared" si="69"/>
        <v>017</v>
      </c>
      <c r="J609" s="5" t="str">
        <f t="shared" si="70"/>
        <v>2230</v>
      </c>
      <c r="K609" s="5" t="str">
        <f t="shared" si="71"/>
        <v>000</v>
      </c>
      <c r="L609" s="5">
        <f t="shared" si="72"/>
        <v>12</v>
      </c>
      <c r="M609" s="5">
        <f t="shared" si="73"/>
        <v>2011</v>
      </c>
    </row>
    <row r="610" spans="1:13" ht="17.45" customHeight="1" x14ac:dyDescent="0.25">
      <c r="A610" s="1">
        <f>DATE(2011,12,21)</f>
        <v>40898</v>
      </c>
      <c r="B610" t="s">
        <v>15</v>
      </c>
      <c r="C610" t="s">
        <v>6</v>
      </c>
      <c r="D610" s="3">
        <v>5903.5475000000006</v>
      </c>
      <c r="E610" s="3">
        <v>0</v>
      </c>
      <c r="F610" t="s">
        <v>45</v>
      </c>
      <c r="G610" s="3">
        <f t="shared" si="67"/>
        <v>-5903.5475000000006</v>
      </c>
      <c r="H610" s="3">
        <f t="shared" si="68"/>
        <v>5903.5475000000006</v>
      </c>
      <c r="I610" s="5" t="str">
        <f t="shared" si="69"/>
        <v>017</v>
      </c>
      <c r="J610" s="5" t="str">
        <f t="shared" si="70"/>
        <v>2100</v>
      </c>
      <c r="K610" s="5" t="str">
        <f t="shared" si="71"/>
        <v>000</v>
      </c>
      <c r="L610" s="5">
        <f t="shared" si="72"/>
        <v>12</v>
      </c>
      <c r="M610" s="5">
        <f t="shared" si="73"/>
        <v>2011</v>
      </c>
    </row>
    <row r="611" spans="1:13" ht="17.45" customHeight="1" x14ac:dyDescent="0.25">
      <c r="A611" s="1">
        <f>DATE(2011,12,21)</f>
        <v>40898</v>
      </c>
      <c r="B611" t="s">
        <v>16</v>
      </c>
      <c r="C611" t="s">
        <v>8</v>
      </c>
      <c r="D611" s="3">
        <v>1287.1189999999999</v>
      </c>
      <c r="E611" s="3">
        <v>0</v>
      </c>
      <c r="F611" t="s">
        <v>45</v>
      </c>
      <c r="G611" s="3">
        <f t="shared" si="67"/>
        <v>-1287.1189999999999</v>
      </c>
      <c r="H611" s="3">
        <f t="shared" si="68"/>
        <v>1287.1189999999999</v>
      </c>
      <c r="I611" s="5" t="str">
        <f t="shared" si="69"/>
        <v>017</v>
      </c>
      <c r="J611" s="5" t="str">
        <f t="shared" si="70"/>
        <v>2210</v>
      </c>
      <c r="K611" s="5" t="str">
        <f t="shared" si="71"/>
        <v>000</v>
      </c>
      <c r="L611" s="5">
        <f t="shared" si="72"/>
        <v>12</v>
      </c>
      <c r="M611" s="5">
        <f t="shared" si="73"/>
        <v>2011</v>
      </c>
    </row>
    <row r="612" spans="1:13" ht="17.45" customHeight="1" x14ac:dyDescent="0.25">
      <c r="A612" s="1">
        <f>DATE(2011,12,21)</f>
        <v>40898</v>
      </c>
      <c r="B612" t="s">
        <v>17</v>
      </c>
      <c r="C612" t="s">
        <v>9</v>
      </c>
      <c r="D612" s="3">
        <v>349.68</v>
      </c>
      <c r="E612" s="3">
        <v>0</v>
      </c>
      <c r="F612" t="s">
        <v>45</v>
      </c>
      <c r="G612" s="3">
        <f t="shared" si="67"/>
        <v>-349.68</v>
      </c>
      <c r="H612" s="3">
        <f t="shared" si="68"/>
        <v>349.68</v>
      </c>
      <c r="I612" s="5" t="str">
        <f t="shared" si="69"/>
        <v>017</v>
      </c>
      <c r="J612" s="5" t="str">
        <f t="shared" si="70"/>
        <v>2220</v>
      </c>
      <c r="K612" s="5" t="str">
        <f t="shared" si="71"/>
        <v>000</v>
      </c>
      <c r="L612" s="5">
        <f t="shared" si="72"/>
        <v>12</v>
      </c>
      <c r="M612" s="5">
        <f t="shared" si="73"/>
        <v>2011</v>
      </c>
    </row>
    <row r="613" spans="1:13" ht="17.45" customHeight="1" x14ac:dyDescent="0.25">
      <c r="A613" s="1">
        <f>DATE(2011,12,21)</f>
        <v>40898</v>
      </c>
      <c r="B613" t="s">
        <v>18</v>
      </c>
      <c r="C613" t="s">
        <v>10</v>
      </c>
      <c r="D613" s="3">
        <v>124.19950000000001</v>
      </c>
      <c r="E613" s="3">
        <v>0</v>
      </c>
      <c r="F613" t="s">
        <v>45</v>
      </c>
      <c r="G613" s="3">
        <f t="shared" si="67"/>
        <v>-124.19950000000001</v>
      </c>
      <c r="H613" s="3">
        <f t="shared" si="68"/>
        <v>124.19950000000001</v>
      </c>
      <c r="I613" s="5" t="str">
        <f t="shared" si="69"/>
        <v>017</v>
      </c>
      <c r="J613" s="5" t="str">
        <f t="shared" si="70"/>
        <v>2230</v>
      </c>
      <c r="K613" s="5" t="str">
        <f t="shared" si="71"/>
        <v>000</v>
      </c>
      <c r="L613" s="5">
        <f t="shared" si="72"/>
        <v>12</v>
      </c>
      <c r="M613" s="5">
        <f t="shared" si="73"/>
        <v>2011</v>
      </c>
    </row>
    <row r="614" spans="1:13" ht="17.45" customHeight="1" x14ac:dyDescent="0.25">
      <c r="A614" s="1">
        <f>DATE(2011,12,22)</f>
        <v>40899</v>
      </c>
      <c r="B614" t="s">
        <v>15</v>
      </c>
      <c r="C614" t="s">
        <v>6</v>
      </c>
      <c r="D614" s="3">
        <v>5563.3829999999998</v>
      </c>
      <c r="E614" s="3">
        <v>0</v>
      </c>
      <c r="F614" t="s">
        <v>45</v>
      </c>
      <c r="G614" s="3">
        <f t="shared" si="67"/>
        <v>-5563.3829999999998</v>
      </c>
      <c r="H614" s="3">
        <f t="shared" si="68"/>
        <v>5563.3829999999998</v>
      </c>
      <c r="I614" s="5" t="str">
        <f t="shared" si="69"/>
        <v>017</v>
      </c>
      <c r="J614" s="5" t="str">
        <f t="shared" si="70"/>
        <v>2100</v>
      </c>
      <c r="K614" s="5" t="str">
        <f t="shared" si="71"/>
        <v>000</v>
      </c>
      <c r="L614" s="5">
        <f t="shared" si="72"/>
        <v>12</v>
      </c>
      <c r="M614" s="5">
        <f t="shared" si="73"/>
        <v>2011</v>
      </c>
    </row>
    <row r="615" spans="1:13" ht="17.45" customHeight="1" x14ac:dyDescent="0.25">
      <c r="A615" s="1">
        <f>DATE(2011,12,22)</f>
        <v>40899</v>
      </c>
      <c r="B615" t="s">
        <v>16</v>
      </c>
      <c r="C615" t="s">
        <v>8</v>
      </c>
      <c r="D615" s="3">
        <v>1214.829</v>
      </c>
      <c r="E615" s="3">
        <v>0</v>
      </c>
      <c r="F615" t="s">
        <v>45</v>
      </c>
      <c r="G615" s="3">
        <f t="shared" si="67"/>
        <v>-1214.829</v>
      </c>
      <c r="H615" s="3">
        <f t="shared" si="68"/>
        <v>1214.829</v>
      </c>
      <c r="I615" s="5" t="str">
        <f t="shared" si="69"/>
        <v>017</v>
      </c>
      <c r="J615" s="5" t="str">
        <f t="shared" si="70"/>
        <v>2210</v>
      </c>
      <c r="K615" s="5" t="str">
        <f t="shared" si="71"/>
        <v>000</v>
      </c>
      <c r="L615" s="5">
        <f t="shared" si="72"/>
        <v>12</v>
      </c>
      <c r="M615" s="5">
        <f t="shared" si="73"/>
        <v>2011</v>
      </c>
    </row>
    <row r="616" spans="1:13" ht="17.45" customHeight="1" x14ac:dyDescent="0.25">
      <c r="A616" s="1">
        <f>DATE(2011,12,22)</f>
        <v>40899</v>
      </c>
      <c r="B616" t="s">
        <v>17</v>
      </c>
      <c r="C616" t="s">
        <v>9</v>
      </c>
      <c r="D616" s="3">
        <v>229.89000000000001</v>
      </c>
      <c r="E616" s="3">
        <v>0</v>
      </c>
      <c r="F616" t="s">
        <v>45</v>
      </c>
      <c r="G616" s="3">
        <f t="shared" si="67"/>
        <v>-229.89000000000001</v>
      </c>
      <c r="H616" s="3">
        <f t="shared" si="68"/>
        <v>229.89000000000001</v>
      </c>
      <c r="I616" s="5" t="str">
        <f t="shared" si="69"/>
        <v>017</v>
      </c>
      <c r="J616" s="5" t="str">
        <f t="shared" si="70"/>
        <v>2220</v>
      </c>
      <c r="K616" s="5" t="str">
        <f t="shared" si="71"/>
        <v>000</v>
      </c>
      <c r="L616" s="5">
        <f t="shared" si="72"/>
        <v>12</v>
      </c>
      <c r="M616" s="5">
        <f t="shared" si="73"/>
        <v>2011</v>
      </c>
    </row>
    <row r="617" spans="1:13" ht="17.45" customHeight="1" x14ac:dyDescent="0.25">
      <c r="A617" s="1">
        <f>DATE(2011,12,22)</f>
        <v>40899</v>
      </c>
      <c r="B617" t="s">
        <v>18</v>
      </c>
      <c r="C617" t="s">
        <v>10</v>
      </c>
      <c r="D617" s="3">
        <v>106.92249999999999</v>
      </c>
      <c r="E617" s="3">
        <v>0</v>
      </c>
      <c r="F617" t="s">
        <v>45</v>
      </c>
      <c r="G617" s="3">
        <f t="shared" si="67"/>
        <v>-106.92249999999999</v>
      </c>
      <c r="H617" s="3">
        <f t="shared" si="68"/>
        <v>106.92249999999999</v>
      </c>
      <c r="I617" s="5" t="str">
        <f t="shared" si="69"/>
        <v>017</v>
      </c>
      <c r="J617" s="5" t="str">
        <f t="shared" si="70"/>
        <v>2230</v>
      </c>
      <c r="K617" s="5" t="str">
        <f t="shared" si="71"/>
        <v>000</v>
      </c>
      <c r="L617" s="5">
        <f t="shared" si="72"/>
        <v>12</v>
      </c>
      <c r="M617" s="5">
        <f t="shared" si="73"/>
        <v>2011</v>
      </c>
    </row>
    <row r="618" spans="1:13" ht="17.45" customHeight="1" x14ac:dyDescent="0.25">
      <c r="A618" s="1">
        <f>DATE(2011,12,23)</f>
        <v>40900</v>
      </c>
      <c r="B618" t="s">
        <v>15</v>
      </c>
      <c r="C618" t="s">
        <v>6</v>
      </c>
      <c r="D618" s="3">
        <v>7802.4645</v>
      </c>
      <c r="E618" s="3">
        <v>0</v>
      </c>
      <c r="F618" t="s">
        <v>45</v>
      </c>
      <c r="G618" s="3">
        <f t="shared" si="67"/>
        <v>-7802.4645</v>
      </c>
      <c r="H618" s="3">
        <f t="shared" si="68"/>
        <v>7802.4645</v>
      </c>
      <c r="I618" s="5" t="str">
        <f t="shared" si="69"/>
        <v>017</v>
      </c>
      <c r="J618" s="5" t="str">
        <f t="shared" si="70"/>
        <v>2100</v>
      </c>
      <c r="K618" s="5" t="str">
        <f t="shared" si="71"/>
        <v>000</v>
      </c>
      <c r="L618" s="5">
        <f t="shared" si="72"/>
        <v>12</v>
      </c>
      <c r="M618" s="5">
        <f t="shared" si="73"/>
        <v>2011</v>
      </c>
    </row>
    <row r="619" spans="1:13" ht="17.45" customHeight="1" x14ac:dyDescent="0.25">
      <c r="A619" s="1">
        <f>DATE(2011,12,23)</f>
        <v>40900</v>
      </c>
      <c r="B619" t="s">
        <v>16</v>
      </c>
      <c r="C619" t="s">
        <v>8</v>
      </c>
      <c r="D619" s="3">
        <v>1242.9480000000003</v>
      </c>
      <c r="E619" s="3">
        <v>0</v>
      </c>
      <c r="F619" t="s">
        <v>45</v>
      </c>
      <c r="G619" s="3">
        <f t="shared" si="67"/>
        <v>-1242.9480000000003</v>
      </c>
      <c r="H619" s="3">
        <f t="shared" si="68"/>
        <v>1242.9480000000003</v>
      </c>
      <c r="I619" s="5" t="str">
        <f t="shared" si="69"/>
        <v>017</v>
      </c>
      <c r="J619" s="5" t="str">
        <f t="shared" si="70"/>
        <v>2210</v>
      </c>
      <c r="K619" s="5" t="str">
        <f t="shared" si="71"/>
        <v>000</v>
      </c>
      <c r="L619" s="5">
        <f t="shared" si="72"/>
        <v>12</v>
      </c>
      <c r="M619" s="5">
        <f t="shared" si="73"/>
        <v>2011</v>
      </c>
    </row>
    <row r="620" spans="1:13" ht="17.45" customHeight="1" x14ac:dyDescent="0.25">
      <c r="A620" s="1">
        <f>DATE(2011,12,23)</f>
        <v>40900</v>
      </c>
      <c r="B620" t="s">
        <v>17</v>
      </c>
      <c r="C620" t="s">
        <v>9</v>
      </c>
      <c r="D620" s="3">
        <v>313.95</v>
      </c>
      <c r="E620" s="3">
        <v>0</v>
      </c>
      <c r="F620" t="s">
        <v>45</v>
      </c>
      <c r="G620" s="3">
        <f t="shared" si="67"/>
        <v>-313.95</v>
      </c>
      <c r="H620" s="3">
        <f t="shared" si="68"/>
        <v>313.95</v>
      </c>
      <c r="I620" s="5" t="str">
        <f t="shared" si="69"/>
        <v>017</v>
      </c>
      <c r="J620" s="5" t="str">
        <f t="shared" si="70"/>
        <v>2220</v>
      </c>
      <c r="K620" s="5" t="str">
        <f t="shared" si="71"/>
        <v>000</v>
      </c>
      <c r="L620" s="5">
        <f t="shared" si="72"/>
        <v>12</v>
      </c>
      <c r="M620" s="5">
        <f t="shared" si="73"/>
        <v>2011</v>
      </c>
    </row>
    <row r="621" spans="1:13" ht="17.45" customHeight="1" x14ac:dyDescent="0.25">
      <c r="A621" s="1">
        <f>DATE(2011,12,23)</f>
        <v>40900</v>
      </c>
      <c r="B621" t="s">
        <v>18</v>
      </c>
      <c r="C621" t="s">
        <v>10</v>
      </c>
      <c r="D621" s="3">
        <v>81.103499999999997</v>
      </c>
      <c r="E621" s="3">
        <v>0</v>
      </c>
      <c r="F621" t="s">
        <v>45</v>
      </c>
      <c r="G621" s="3">
        <f t="shared" si="67"/>
        <v>-81.103499999999997</v>
      </c>
      <c r="H621" s="3">
        <f t="shared" si="68"/>
        <v>81.103499999999997</v>
      </c>
      <c r="I621" s="5" t="str">
        <f t="shared" si="69"/>
        <v>017</v>
      </c>
      <c r="J621" s="5" t="str">
        <f t="shared" si="70"/>
        <v>2230</v>
      </c>
      <c r="K621" s="5" t="str">
        <f t="shared" si="71"/>
        <v>000</v>
      </c>
      <c r="L621" s="5">
        <f t="shared" si="72"/>
        <v>12</v>
      </c>
      <c r="M621" s="5">
        <f t="shared" si="73"/>
        <v>2011</v>
      </c>
    </row>
    <row r="622" spans="1:13" ht="17.45" customHeight="1" x14ac:dyDescent="0.25">
      <c r="A622" s="1">
        <f>DATE(2011,12,24)</f>
        <v>40901</v>
      </c>
      <c r="B622" t="s">
        <v>15</v>
      </c>
      <c r="C622" t="s">
        <v>6</v>
      </c>
      <c r="D622" s="3">
        <v>3087.7440000000001</v>
      </c>
      <c r="E622" s="3">
        <v>0</v>
      </c>
      <c r="F622" t="s">
        <v>45</v>
      </c>
      <c r="G622" s="3">
        <f t="shared" si="67"/>
        <v>-3087.7440000000001</v>
      </c>
      <c r="H622" s="3">
        <f t="shared" si="68"/>
        <v>3087.7440000000001</v>
      </c>
      <c r="I622" s="5" t="str">
        <f t="shared" si="69"/>
        <v>017</v>
      </c>
      <c r="J622" s="5" t="str">
        <f t="shared" si="70"/>
        <v>2100</v>
      </c>
      <c r="K622" s="5" t="str">
        <f t="shared" si="71"/>
        <v>000</v>
      </c>
      <c r="L622" s="5">
        <f t="shared" si="72"/>
        <v>12</v>
      </c>
      <c r="M622" s="5">
        <f t="shared" si="73"/>
        <v>2011</v>
      </c>
    </row>
    <row r="623" spans="1:13" ht="17.45" customHeight="1" x14ac:dyDescent="0.25">
      <c r="A623" s="1">
        <f>DATE(2011,12,24)</f>
        <v>40901</v>
      </c>
      <c r="B623" t="s">
        <v>16</v>
      </c>
      <c r="C623" t="s">
        <v>8</v>
      </c>
      <c r="D623" s="3">
        <v>668.19899999999996</v>
      </c>
      <c r="E623" s="3">
        <v>0</v>
      </c>
      <c r="F623" t="s">
        <v>45</v>
      </c>
      <c r="G623" s="3">
        <f t="shared" si="67"/>
        <v>-668.19899999999996</v>
      </c>
      <c r="H623" s="3">
        <f t="shared" si="68"/>
        <v>668.19899999999996</v>
      </c>
      <c r="I623" s="5" t="str">
        <f t="shared" si="69"/>
        <v>017</v>
      </c>
      <c r="J623" s="5" t="str">
        <f t="shared" si="70"/>
        <v>2210</v>
      </c>
      <c r="K623" s="5" t="str">
        <f t="shared" si="71"/>
        <v>000</v>
      </c>
      <c r="L623" s="5">
        <f t="shared" si="72"/>
        <v>12</v>
      </c>
      <c r="M623" s="5">
        <f t="shared" si="73"/>
        <v>2011</v>
      </c>
    </row>
    <row r="624" spans="1:13" ht="17.45" customHeight="1" x14ac:dyDescent="0.25">
      <c r="A624" s="1">
        <f>DATE(2011,12,24)</f>
        <v>40901</v>
      </c>
      <c r="B624" t="s">
        <v>17</v>
      </c>
      <c r="C624" t="s">
        <v>9</v>
      </c>
      <c r="D624" s="3">
        <v>78.710000000000008</v>
      </c>
      <c r="E624" s="3">
        <v>0</v>
      </c>
      <c r="F624" t="s">
        <v>45</v>
      </c>
      <c r="G624" s="3">
        <f t="shared" si="67"/>
        <v>-78.710000000000008</v>
      </c>
      <c r="H624" s="3">
        <f t="shared" si="68"/>
        <v>78.710000000000008</v>
      </c>
      <c r="I624" s="5" t="str">
        <f t="shared" si="69"/>
        <v>017</v>
      </c>
      <c r="J624" s="5" t="str">
        <f t="shared" si="70"/>
        <v>2220</v>
      </c>
      <c r="K624" s="5" t="str">
        <f t="shared" si="71"/>
        <v>000</v>
      </c>
      <c r="L624" s="5">
        <f t="shared" si="72"/>
        <v>12</v>
      </c>
      <c r="M624" s="5">
        <f t="shared" si="73"/>
        <v>2011</v>
      </c>
    </row>
    <row r="625" spans="1:13" ht="17.45" customHeight="1" x14ac:dyDescent="0.25">
      <c r="A625" s="1">
        <f>DATE(2011,12,24)</f>
        <v>40901</v>
      </c>
      <c r="B625" t="s">
        <v>18</v>
      </c>
      <c r="C625" t="s">
        <v>10</v>
      </c>
      <c r="D625" s="3">
        <v>20.057000000000002</v>
      </c>
      <c r="E625" s="3">
        <v>0</v>
      </c>
      <c r="F625" t="s">
        <v>45</v>
      </c>
      <c r="G625" s="3">
        <f t="shared" si="67"/>
        <v>-20.057000000000002</v>
      </c>
      <c r="H625" s="3">
        <f t="shared" si="68"/>
        <v>20.057000000000002</v>
      </c>
      <c r="I625" s="5" t="str">
        <f t="shared" si="69"/>
        <v>017</v>
      </c>
      <c r="J625" s="5" t="str">
        <f t="shared" si="70"/>
        <v>2230</v>
      </c>
      <c r="K625" s="5" t="str">
        <f t="shared" si="71"/>
        <v>000</v>
      </c>
      <c r="L625" s="5">
        <f t="shared" si="72"/>
        <v>12</v>
      </c>
      <c r="M625" s="5">
        <f t="shared" si="73"/>
        <v>2011</v>
      </c>
    </row>
    <row r="626" spans="1:13" ht="17.45" customHeight="1" x14ac:dyDescent="0.25">
      <c r="A626" s="1">
        <f>DATE(2011,12,19)</f>
        <v>40896</v>
      </c>
      <c r="B626" t="s">
        <v>19</v>
      </c>
      <c r="C626" t="s">
        <v>6</v>
      </c>
      <c r="D626" s="3">
        <v>3684.0738000000006</v>
      </c>
      <c r="E626" s="3">
        <v>0</v>
      </c>
      <c r="F626" t="s">
        <v>45</v>
      </c>
      <c r="G626" s="3">
        <f t="shared" si="67"/>
        <v>-3684.0738000000006</v>
      </c>
      <c r="H626" s="3">
        <f t="shared" si="68"/>
        <v>3684.0738000000006</v>
      </c>
      <c r="I626" s="5" t="str">
        <f t="shared" si="69"/>
        <v>018</v>
      </c>
      <c r="J626" s="5" t="str">
        <f t="shared" si="70"/>
        <v>2100</v>
      </c>
      <c r="K626" s="5" t="str">
        <f t="shared" si="71"/>
        <v>000</v>
      </c>
      <c r="L626" s="5">
        <f t="shared" si="72"/>
        <v>12</v>
      </c>
      <c r="M626" s="5">
        <f t="shared" si="73"/>
        <v>2011</v>
      </c>
    </row>
    <row r="627" spans="1:13" ht="17.45" customHeight="1" x14ac:dyDescent="0.25">
      <c r="A627" s="1">
        <f>DATE(2011,12,19)</f>
        <v>40896</v>
      </c>
      <c r="B627" t="s">
        <v>20</v>
      </c>
      <c r="C627" t="s">
        <v>8</v>
      </c>
      <c r="D627" s="3">
        <v>798.83999999999992</v>
      </c>
      <c r="E627" s="3">
        <v>0</v>
      </c>
      <c r="F627" t="s">
        <v>45</v>
      </c>
      <c r="G627" s="3">
        <f t="shared" si="67"/>
        <v>-798.83999999999992</v>
      </c>
      <c r="H627" s="3">
        <f t="shared" si="68"/>
        <v>798.83999999999992</v>
      </c>
      <c r="I627" s="5" t="str">
        <f t="shared" si="69"/>
        <v>018</v>
      </c>
      <c r="J627" s="5" t="str">
        <f t="shared" si="70"/>
        <v>2210</v>
      </c>
      <c r="K627" s="5" t="str">
        <f t="shared" si="71"/>
        <v>000</v>
      </c>
      <c r="L627" s="5">
        <f t="shared" si="72"/>
        <v>12</v>
      </c>
      <c r="M627" s="5">
        <f t="shared" si="73"/>
        <v>2011</v>
      </c>
    </row>
    <row r="628" spans="1:13" ht="17.45" customHeight="1" x14ac:dyDescent="0.25">
      <c r="A628" s="1">
        <f>DATE(2011,12,19)</f>
        <v>40896</v>
      </c>
      <c r="B628" t="s">
        <v>21</v>
      </c>
      <c r="C628" t="s">
        <v>9</v>
      </c>
      <c r="D628" s="3">
        <v>128.49199999999999</v>
      </c>
      <c r="E628" s="3">
        <v>0</v>
      </c>
      <c r="F628" t="s">
        <v>45</v>
      </c>
      <c r="G628" s="3">
        <f t="shared" si="67"/>
        <v>-128.49199999999999</v>
      </c>
      <c r="H628" s="3">
        <f t="shared" si="68"/>
        <v>128.49199999999999</v>
      </c>
      <c r="I628" s="5" t="str">
        <f t="shared" si="69"/>
        <v>018</v>
      </c>
      <c r="J628" s="5" t="str">
        <f t="shared" si="70"/>
        <v>2220</v>
      </c>
      <c r="K628" s="5" t="str">
        <f t="shared" si="71"/>
        <v>000</v>
      </c>
      <c r="L628" s="5">
        <f t="shared" si="72"/>
        <v>12</v>
      </c>
      <c r="M628" s="5">
        <f t="shared" si="73"/>
        <v>2011</v>
      </c>
    </row>
    <row r="629" spans="1:13" ht="17.45" customHeight="1" x14ac:dyDescent="0.25">
      <c r="A629" s="1">
        <f>DATE(2011,12,19)</f>
        <v>40896</v>
      </c>
      <c r="B629" t="s">
        <v>22</v>
      </c>
      <c r="C629" t="s">
        <v>10</v>
      </c>
      <c r="D629" s="3">
        <v>52.417499999999997</v>
      </c>
      <c r="E629" s="3">
        <v>0</v>
      </c>
      <c r="F629" t="s">
        <v>45</v>
      </c>
      <c r="G629" s="3">
        <f t="shared" si="67"/>
        <v>-52.417499999999997</v>
      </c>
      <c r="H629" s="3">
        <f t="shared" si="68"/>
        <v>52.417499999999997</v>
      </c>
      <c r="I629" s="5" t="str">
        <f t="shared" si="69"/>
        <v>018</v>
      </c>
      <c r="J629" s="5" t="str">
        <f t="shared" si="70"/>
        <v>2230</v>
      </c>
      <c r="K629" s="5" t="str">
        <f t="shared" si="71"/>
        <v>000</v>
      </c>
      <c r="L629" s="5">
        <f t="shared" si="72"/>
        <v>12</v>
      </c>
      <c r="M629" s="5">
        <f t="shared" si="73"/>
        <v>2011</v>
      </c>
    </row>
    <row r="630" spans="1:13" ht="17.45" customHeight="1" x14ac:dyDescent="0.25">
      <c r="A630" s="1">
        <f>DATE(2011,12,20)</f>
        <v>40897</v>
      </c>
      <c r="B630" t="s">
        <v>19</v>
      </c>
      <c r="C630" t="s">
        <v>6</v>
      </c>
      <c r="D630" s="3">
        <v>3826.1323999999995</v>
      </c>
      <c r="E630" s="3">
        <v>0</v>
      </c>
      <c r="F630" t="s">
        <v>45</v>
      </c>
      <c r="G630" s="3">
        <f t="shared" si="67"/>
        <v>-3826.1323999999995</v>
      </c>
      <c r="H630" s="3">
        <f t="shared" si="68"/>
        <v>3826.1323999999995</v>
      </c>
      <c r="I630" s="5" t="str">
        <f t="shared" si="69"/>
        <v>018</v>
      </c>
      <c r="J630" s="5" t="str">
        <f t="shared" si="70"/>
        <v>2100</v>
      </c>
      <c r="K630" s="5" t="str">
        <f t="shared" si="71"/>
        <v>000</v>
      </c>
      <c r="L630" s="5">
        <f t="shared" si="72"/>
        <v>12</v>
      </c>
      <c r="M630" s="5">
        <f t="shared" si="73"/>
        <v>2011</v>
      </c>
    </row>
    <row r="631" spans="1:13" ht="17.45" customHeight="1" x14ac:dyDescent="0.25">
      <c r="A631" s="1">
        <f>DATE(2011,12,20)</f>
        <v>40897</v>
      </c>
      <c r="B631" t="s">
        <v>20</v>
      </c>
      <c r="C631" t="s">
        <v>8</v>
      </c>
      <c r="D631" s="3">
        <v>1319.3625000000002</v>
      </c>
      <c r="E631" s="3">
        <v>0</v>
      </c>
      <c r="F631" t="s">
        <v>45</v>
      </c>
      <c r="G631" s="3">
        <f t="shared" si="67"/>
        <v>-1319.3625000000002</v>
      </c>
      <c r="H631" s="3">
        <f t="shared" si="68"/>
        <v>1319.3625000000002</v>
      </c>
      <c r="I631" s="5" t="str">
        <f t="shared" si="69"/>
        <v>018</v>
      </c>
      <c r="J631" s="5" t="str">
        <f t="shared" si="70"/>
        <v>2210</v>
      </c>
      <c r="K631" s="5" t="str">
        <f t="shared" si="71"/>
        <v>000</v>
      </c>
      <c r="L631" s="5">
        <f t="shared" si="72"/>
        <v>12</v>
      </c>
      <c r="M631" s="5">
        <f t="shared" si="73"/>
        <v>2011</v>
      </c>
    </row>
    <row r="632" spans="1:13" ht="17.45" customHeight="1" x14ac:dyDescent="0.25">
      <c r="A632" s="1">
        <f>DATE(2011,12,20)</f>
        <v>40897</v>
      </c>
      <c r="B632" t="s">
        <v>21</v>
      </c>
      <c r="C632" t="s">
        <v>9</v>
      </c>
      <c r="D632" s="3">
        <v>163.48500000000001</v>
      </c>
      <c r="E632" s="3">
        <v>0</v>
      </c>
      <c r="F632" t="s">
        <v>45</v>
      </c>
      <c r="G632" s="3">
        <f t="shared" si="67"/>
        <v>-163.48500000000001</v>
      </c>
      <c r="H632" s="3">
        <f t="shared" si="68"/>
        <v>163.48500000000001</v>
      </c>
      <c r="I632" s="5" t="str">
        <f t="shared" si="69"/>
        <v>018</v>
      </c>
      <c r="J632" s="5" t="str">
        <f t="shared" si="70"/>
        <v>2220</v>
      </c>
      <c r="K632" s="5" t="str">
        <f t="shared" si="71"/>
        <v>000</v>
      </c>
      <c r="L632" s="5">
        <f t="shared" si="72"/>
        <v>12</v>
      </c>
      <c r="M632" s="5">
        <f t="shared" si="73"/>
        <v>2011</v>
      </c>
    </row>
    <row r="633" spans="1:13" ht="17.45" customHeight="1" x14ac:dyDescent="0.25">
      <c r="A633" s="1">
        <f>DATE(2011,12,20)</f>
        <v>40897</v>
      </c>
      <c r="B633" t="s">
        <v>22</v>
      </c>
      <c r="C633" t="s">
        <v>10</v>
      </c>
      <c r="D633" s="3">
        <v>91.217999999999989</v>
      </c>
      <c r="E633" s="3">
        <v>0</v>
      </c>
      <c r="F633" t="s">
        <v>45</v>
      </c>
      <c r="G633" s="3">
        <f t="shared" si="67"/>
        <v>-91.217999999999989</v>
      </c>
      <c r="H633" s="3">
        <f t="shared" si="68"/>
        <v>91.217999999999989</v>
      </c>
      <c r="I633" s="5" t="str">
        <f t="shared" si="69"/>
        <v>018</v>
      </c>
      <c r="J633" s="5" t="str">
        <f t="shared" si="70"/>
        <v>2230</v>
      </c>
      <c r="K633" s="5" t="str">
        <f t="shared" si="71"/>
        <v>000</v>
      </c>
      <c r="L633" s="5">
        <f t="shared" si="72"/>
        <v>12</v>
      </c>
      <c r="M633" s="5">
        <f t="shared" si="73"/>
        <v>2011</v>
      </c>
    </row>
    <row r="634" spans="1:13" ht="17.45" customHeight="1" x14ac:dyDescent="0.25">
      <c r="A634" s="1">
        <f>DATE(2011,12,21)</f>
        <v>40898</v>
      </c>
      <c r="B634" t="s">
        <v>19</v>
      </c>
      <c r="C634" t="s">
        <v>6</v>
      </c>
      <c r="D634" s="3">
        <v>3892.2780000000002</v>
      </c>
      <c r="E634" s="3">
        <v>0</v>
      </c>
      <c r="F634" t="s">
        <v>45</v>
      </c>
      <c r="G634" s="3">
        <f t="shared" si="67"/>
        <v>-3892.2780000000002</v>
      </c>
      <c r="H634" s="3">
        <f t="shared" si="68"/>
        <v>3892.2780000000002</v>
      </c>
      <c r="I634" s="5" t="str">
        <f t="shared" si="69"/>
        <v>018</v>
      </c>
      <c r="J634" s="5" t="str">
        <f t="shared" si="70"/>
        <v>2100</v>
      </c>
      <c r="K634" s="5" t="str">
        <f t="shared" si="71"/>
        <v>000</v>
      </c>
      <c r="L634" s="5">
        <f t="shared" si="72"/>
        <v>12</v>
      </c>
      <c r="M634" s="5">
        <f t="shared" si="73"/>
        <v>2011</v>
      </c>
    </row>
    <row r="635" spans="1:13" ht="17.45" customHeight="1" x14ac:dyDescent="0.25">
      <c r="A635" s="1">
        <f>DATE(2011,12,21)</f>
        <v>40898</v>
      </c>
      <c r="B635" t="s">
        <v>20</v>
      </c>
      <c r="C635" t="s">
        <v>8</v>
      </c>
      <c r="D635" s="3">
        <v>846.56399999999996</v>
      </c>
      <c r="E635" s="3">
        <v>0</v>
      </c>
      <c r="F635" t="s">
        <v>45</v>
      </c>
      <c r="G635" s="3">
        <f t="shared" si="67"/>
        <v>-846.56399999999996</v>
      </c>
      <c r="H635" s="3">
        <f t="shared" si="68"/>
        <v>846.56399999999996</v>
      </c>
      <c r="I635" s="5" t="str">
        <f t="shared" si="69"/>
        <v>018</v>
      </c>
      <c r="J635" s="5" t="str">
        <f t="shared" si="70"/>
        <v>2210</v>
      </c>
      <c r="K635" s="5" t="str">
        <f t="shared" si="71"/>
        <v>000</v>
      </c>
      <c r="L635" s="5">
        <f t="shared" si="72"/>
        <v>12</v>
      </c>
      <c r="M635" s="5">
        <f t="shared" si="73"/>
        <v>2011</v>
      </c>
    </row>
    <row r="636" spans="1:13" ht="17.45" customHeight="1" x14ac:dyDescent="0.25">
      <c r="A636" s="1">
        <f>DATE(2011,12,21)</f>
        <v>40898</v>
      </c>
      <c r="B636" t="s">
        <v>21</v>
      </c>
      <c r="C636" t="s">
        <v>9</v>
      </c>
      <c r="D636" s="3">
        <v>242.78199999999998</v>
      </c>
      <c r="E636" s="3">
        <v>0</v>
      </c>
      <c r="F636" t="s">
        <v>45</v>
      </c>
      <c r="G636" s="3">
        <f t="shared" si="67"/>
        <v>-242.78199999999998</v>
      </c>
      <c r="H636" s="3">
        <f t="shared" si="68"/>
        <v>242.78199999999998</v>
      </c>
      <c r="I636" s="5" t="str">
        <f t="shared" si="69"/>
        <v>018</v>
      </c>
      <c r="J636" s="5" t="str">
        <f t="shared" si="70"/>
        <v>2220</v>
      </c>
      <c r="K636" s="5" t="str">
        <f t="shared" si="71"/>
        <v>000</v>
      </c>
      <c r="L636" s="5">
        <f t="shared" si="72"/>
        <v>12</v>
      </c>
      <c r="M636" s="5">
        <f t="shared" si="73"/>
        <v>2011</v>
      </c>
    </row>
    <row r="637" spans="1:13" ht="17.45" customHeight="1" x14ac:dyDescent="0.25">
      <c r="A637" s="1">
        <f>DATE(2011,12,21)</f>
        <v>40898</v>
      </c>
      <c r="B637" t="s">
        <v>22</v>
      </c>
      <c r="C637" t="s">
        <v>10</v>
      </c>
      <c r="D637" s="3">
        <v>19.063500000000001</v>
      </c>
      <c r="E637" s="3">
        <v>0</v>
      </c>
      <c r="F637" t="s">
        <v>45</v>
      </c>
      <c r="G637" s="3">
        <f t="shared" si="67"/>
        <v>-19.063500000000001</v>
      </c>
      <c r="H637" s="3">
        <f t="shared" si="68"/>
        <v>19.063500000000001</v>
      </c>
      <c r="I637" s="5" t="str">
        <f t="shared" si="69"/>
        <v>018</v>
      </c>
      <c r="J637" s="5" t="str">
        <f t="shared" si="70"/>
        <v>2230</v>
      </c>
      <c r="K637" s="5" t="str">
        <f t="shared" si="71"/>
        <v>000</v>
      </c>
      <c r="L637" s="5">
        <f t="shared" si="72"/>
        <v>12</v>
      </c>
      <c r="M637" s="5">
        <f t="shared" si="73"/>
        <v>2011</v>
      </c>
    </row>
    <row r="638" spans="1:13" ht="17.45" customHeight="1" x14ac:dyDescent="0.25">
      <c r="A638" s="1">
        <f>DATE(2011,12,22)</f>
        <v>40899</v>
      </c>
      <c r="B638" t="s">
        <v>19</v>
      </c>
      <c r="C638" t="s">
        <v>6</v>
      </c>
      <c r="D638" s="3">
        <v>8541.0655999999999</v>
      </c>
      <c r="E638" s="3">
        <v>0</v>
      </c>
      <c r="F638" t="s">
        <v>45</v>
      </c>
      <c r="G638" s="3">
        <f t="shared" si="67"/>
        <v>-8541.0655999999999</v>
      </c>
      <c r="H638" s="3">
        <f t="shared" si="68"/>
        <v>8541.0655999999999</v>
      </c>
      <c r="I638" s="5" t="str">
        <f t="shared" si="69"/>
        <v>018</v>
      </c>
      <c r="J638" s="5" t="str">
        <f t="shared" si="70"/>
        <v>2100</v>
      </c>
      <c r="K638" s="5" t="str">
        <f t="shared" si="71"/>
        <v>000</v>
      </c>
      <c r="L638" s="5">
        <f t="shared" si="72"/>
        <v>12</v>
      </c>
      <c r="M638" s="5">
        <f t="shared" si="73"/>
        <v>2011</v>
      </c>
    </row>
    <row r="639" spans="1:13" ht="17.45" customHeight="1" x14ac:dyDescent="0.25">
      <c r="A639" s="1">
        <f>DATE(2011,12,22)</f>
        <v>40899</v>
      </c>
      <c r="B639" t="s">
        <v>20</v>
      </c>
      <c r="C639" t="s">
        <v>8</v>
      </c>
      <c r="D639" s="3">
        <v>762.72899999999993</v>
      </c>
      <c r="E639" s="3">
        <v>0</v>
      </c>
      <c r="F639" t="s">
        <v>45</v>
      </c>
      <c r="G639" s="3">
        <f t="shared" si="67"/>
        <v>-762.72899999999993</v>
      </c>
      <c r="H639" s="3">
        <f t="shared" si="68"/>
        <v>762.72899999999993</v>
      </c>
      <c r="I639" s="5" t="str">
        <f t="shared" si="69"/>
        <v>018</v>
      </c>
      <c r="J639" s="5" t="str">
        <f t="shared" si="70"/>
        <v>2210</v>
      </c>
      <c r="K639" s="5" t="str">
        <f t="shared" si="71"/>
        <v>000</v>
      </c>
      <c r="L639" s="5">
        <f t="shared" si="72"/>
        <v>12</v>
      </c>
      <c r="M639" s="5">
        <f t="shared" si="73"/>
        <v>2011</v>
      </c>
    </row>
    <row r="640" spans="1:13" ht="17.45" customHeight="1" x14ac:dyDescent="0.25">
      <c r="A640" s="1">
        <f>DATE(2011,12,22)</f>
        <v>40899</v>
      </c>
      <c r="B640" t="s">
        <v>21</v>
      </c>
      <c r="C640" t="s">
        <v>9</v>
      </c>
      <c r="D640" s="3">
        <v>680.2940000000001</v>
      </c>
      <c r="E640" s="3">
        <v>0</v>
      </c>
      <c r="F640" t="s">
        <v>45</v>
      </c>
      <c r="G640" s="3">
        <f t="shared" si="67"/>
        <v>-680.2940000000001</v>
      </c>
      <c r="H640" s="3">
        <f t="shared" si="68"/>
        <v>680.2940000000001</v>
      </c>
      <c r="I640" s="5" t="str">
        <f t="shared" si="69"/>
        <v>018</v>
      </c>
      <c r="J640" s="5" t="str">
        <f t="shared" si="70"/>
        <v>2220</v>
      </c>
      <c r="K640" s="5" t="str">
        <f t="shared" si="71"/>
        <v>000</v>
      </c>
      <c r="L640" s="5">
        <f t="shared" si="72"/>
        <v>12</v>
      </c>
      <c r="M640" s="5">
        <f t="shared" si="73"/>
        <v>2011</v>
      </c>
    </row>
    <row r="641" spans="1:13" ht="17.45" customHeight="1" x14ac:dyDescent="0.25">
      <c r="A641" s="1">
        <f>DATE(2011,12,22)</f>
        <v>40899</v>
      </c>
      <c r="B641" t="s">
        <v>22</v>
      </c>
      <c r="C641" t="s">
        <v>10</v>
      </c>
      <c r="D641" s="3">
        <v>91.960000000000008</v>
      </c>
      <c r="E641" s="3">
        <v>0</v>
      </c>
      <c r="F641" t="s">
        <v>45</v>
      </c>
      <c r="G641" s="3">
        <f t="shared" si="67"/>
        <v>-91.960000000000008</v>
      </c>
      <c r="H641" s="3">
        <f t="shared" si="68"/>
        <v>91.960000000000008</v>
      </c>
      <c r="I641" s="5" t="str">
        <f t="shared" si="69"/>
        <v>018</v>
      </c>
      <c r="J641" s="5" t="str">
        <f t="shared" si="70"/>
        <v>2230</v>
      </c>
      <c r="K641" s="5" t="str">
        <f t="shared" si="71"/>
        <v>000</v>
      </c>
      <c r="L641" s="5">
        <f t="shared" si="72"/>
        <v>12</v>
      </c>
      <c r="M641" s="5">
        <f t="shared" si="73"/>
        <v>2011</v>
      </c>
    </row>
    <row r="642" spans="1:13" ht="17.45" customHeight="1" x14ac:dyDescent="0.25">
      <c r="A642" s="1">
        <f>DATE(2011,12,23)</f>
        <v>40900</v>
      </c>
      <c r="B642" t="s">
        <v>19</v>
      </c>
      <c r="C642" t="s">
        <v>6</v>
      </c>
      <c r="D642" s="3">
        <v>7590.1689999999999</v>
      </c>
      <c r="E642" s="3">
        <v>0</v>
      </c>
      <c r="F642" t="s">
        <v>45</v>
      </c>
      <c r="G642" s="3">
        <f t="shared" ref="G642:G705" si="74">E642-D642</f>
        <v>-7590.1689999999999</v>
      </c>
      <c r="H642" s="3">
        <f t="shared" ref="H642:H705" si="75">ABS(G642)</f>
        <v>7590.1689999999999</v>
      </c>
      <c r="I642" s="5" t="str">
        <f t="shared" ref="I642:I705" si="76">MID(B642,1,3)</f>
        <v>018</v>
      </c>
      <c r="J642" s="5" t="str">
        <f t="shared" ref="J642:J705" si="77">MID(B642,5,4)</f>
        <v>2100</v>
      </c>
      <c r="K642" s="5" t="str">
        <f t="shared" ref="K642:K705" si="78">MID(B642,10,3)</f>
        <v>000</v>
      </c>
      <c r="L642" s="5">
        <f t="shared" ref="L642:L705" si="79">MONTH(A642)</f>
        <v>12</v>
      </c>
      <c r="M642" s="5">
        <f t="shared" ref="M642:M705" si="80">YEAR(A642)</f>
        <v>2011</v>
      </c>
    </row>
    <row r="643" spans="1:13" ht="17.45" customHeight="1" x14ac:dyDescent="0.25">
      <c r="A643" s="1">
        <f>DATE(2011,12,23)</f>
        <v>40900</v>
      </c>
      <c r="B643" t="s">
        <v>20</v>
      </c>
      <c r="C643" t="s">
        <v>8</v>
      </c>
      <c r="D643" s="3">
        <v>1944.5160000000001</v>
      </c>
      <c r="E643" s="3">
        <v>0</v>
      </c>
      <c r="F643" t="s">
        <v>45</v>
      </c>
      <c r="G643" s="3">
        <f t="shared" si="74"/>
        <v>-1944.5160000000001</v>
      </c>
      <c r="H643" s="3">
        <f t="shared" si="75"/>
        <v>1944.5160000000001</v>
      </c>
      <c r="I643" s="5" t="str">
        <f t="shared" si="76"/>
        <v>018</v>
      </c>
      <c r="J643" s="5" t="str">
        <f t="shared" si="77"/>
        <v>2210</v>
      </c>
      <c r="K643" s="5" t="str">
        <f t="shared" si="78"/>
        <v>000</v>
      </c>
      <c r="L643" s="5">
        <f t="shared" si="79"/>
        <v>12</v>
      </c>
      <c r="M643" s="5">
        <f t="shared" si="80"/>
        <v>2011</v>
      </c>
    </row>
    <row r="644" spans="1:13" ht="17.45" customHeight="1" x14ac:dyDescent="0.25">
      <c r="A644" s="1">
        <f>DATE(2011,12,23)</f>
        <v>40900</v>
      </c>
      <c r="B644" t="s">
        <v>21</v>
      </c>
      <c r="C644" t="s">
        <v>9</v>
      </c>
      <c r="D644" s="3">
        <v>571.95600000000002</v>
      </c>
      <c r="E644" s="3">
        <v>0</v>
      </c>
      <c r="F644" t="s">
        <v>45</v>
      </c>
      <c r="G644" s="3">
        <f t="shared" si="74"/>
        <v>-571.95600000000002</v>
      </c>
      <c r="H644" s="3">
        <f t="shared" si="75"/>
        <v>571.95600000000002</v>
      </c>
      <c r="I644" s="5" t="str">
        <f t="shared" si="76"/>
        <v>018</v>
      </c>
      <c r="J644" s="5" t="str">
        <f t="shared" si="77"/>
        <v>2220</v>
      </c>
      <c r="K644" s="5" t="str">
        <f t="shared" si="78"/>
        <v>000</v>
      </c>
      <c r="L644" s="5">
        <f t="shared" si="79"/>
        <v>12</v>
      </c>
      <c r="M644" s="5">
        <f t="shared" si="80"/>
        <v>2011</v>
      </c>
    </row>
    <row r="645" spans="1:13" ht="17.45" customHeight="1" x14ac:dyDescent="0.25">
      <c r="A645" s="1">
        <f>DATE(2011,12,23)</f>
        <v>40900</v>
      </c>
      <c r="B645" t="s">
        <v>22</v>
      </c>
      <c r="C645" t="s">
        <v>10</v>
      </c>
      <c r="D645" s="3">
        <v>153.32000000000002</v>
      </c>
      <c r="E645" s="3">
        <v>0</v>
      </c>
      <c r="F645" t="s">
        <v>45</v>
      </c>
      <c r="G645" s="3">
        <f t="shared" si="74"/>
        <v>-153.32000000000002</v>
      </c>
      <c r="H645" s="3">
        <f t="shared" si="75"/>
        <v>153.32000000000002</v>
      </c>
      <c r="I645" s="5" t="str">
        <f t="shared" si="76"/>
        <v>018</v>
      </c>
      <c r="J645" s="5" t="str">
        <f t="shared" si="77"/>
        <v>2230</v>
      </c>
      <c r="K645" s="5" t="str">
        <f t="shared" si="78"/>
        <v>000</v>
      </c>
      <c r="L645" s="5">
        <f t="shared" si="79"/>
        <v>12</v>
      </c>
      <c r="M645" s="5">
        <f t="shared" si="80"/>
        <v>2011</v>
      </c>
    </row>
    <row r="646" spans="1:13" ht="17.45" customHeight="1" x14ac:dyDescent="0.25">
      <c r="A646" s="1">
        <f>DATE(2011,12,24)</f>
        <v>40901</v>
      </c>
      <c r="B646" t="s">
        <v>19</v>
      </c>
      <c r="C646" t="s">
        <v>6</v>
      </c>
      <c r="D646" s="3">
        <v>6349.5599999999995</v>
      </c>
      <c r="E646" s="3">
        <v>0</v>
      </c>
      <c r="F646" t="s">
        <v>45</v>
      </c>
      <c r="G646" s="3">
        <f t="shared" si="74"/>
        <v>-6349.5599999999995</v>
      </c>
      <c r="H646" s="3">
        <f t="shared" si="75"/>
        <v>6349.5599999999995</v>
      </c>
      <c r="I646" s="5" t="str">
        <f t="shared" si="76"/>
        <v>018</v>
      </c>
      <c r="J646" s="5" t="str">
        <f t="shared" si="77"/>
        <v>2100</v>
      </c>
      <c r="K646" s="5" t="str">
        <f t="shared" si="78"/>
        <v>000</v>
      </c>
      <c r="L646" s="5">
        <f t="shared" si="79"/>
        <v>12</v>
      </c>
      <c r="M646" s="5">
        <f t="shared" si="80"/>
        <v>2011</v>
      </c>
    </row>
    <row r="647" spans="1:13" ht="17.45" customHeight="1" x14ac:dyDescent="0.25">
      <c r="A647" s="1">
        <f>DATE(2011,12,24)</f>
        <v>40901</v>
      </c>
      <c r="B647" t="s">
        <v>20</v>
      </c>
      <c r="C647" t="s">
        <v>8</v>
      </c>
      <c r="D647" s="3">
        <v>494.3295</v>
      </c>
      <c r="E647" s="3">
        <v>0</v>
      </c>
      <c r="F647" t="s">
        <v>45</v>
      </c>
      <c r="G647" s="3">
        <f t="shared" si="74"/>
        <v>-494.3295</v>
      </c>
      <c r="H647" s="3">
        <f t="shared" si="75"/>
        <v>494.3295</v>
      </c>
      <c r="I647" s="5" t="str">
        <f t="shared" si="76"/>
        <v>018</v>
      </c>
      <c r="J647" s="5" t="str">
        <f t="shared" si="77"/>
        <v>2210</v>
      </c>
      <c r="K647" s="5" t="str">
        <f t="shared" si="78"/>
        <v>000</v>
      </c>
      <c r="L647" s="5">
        <f t="shared" si="79"/>
        <v>12</v>
      </c>
      <c r="M647" s="5">
        <f t="shared" si="80"/>
        <v>2011</v>
      </c>
    </row>
    <row r="648" spans="1:13" ht="17.45" customHeight="1" x14ac:dyDescent="0.25">
      <c r="A648" s="1">
        <f>DATE(2011,12,24)</f>
        <v>40901</v>
      </c>
      <c r="B648" t="s">
        <v>21</v>
      </c>
      <c r="C648" t="s">
        <v>9</v>
      </c>
      <c r="D648" s="3">
        <v>237.654</v>
      </c>
      <c r="E648" s="3">
        <v>0</v>
      </c>
      <c r="F648" t="s">
        <v>45</v>
      </c>
      <c r="G648" s="3">
        <f t="shared" si="74"/>
        <v>-237.654</v>
      </c>
      <c r="H648" s="3">
        <f t="shared" si="75"/>
        <v>237.654</v>
      </c>
      <c r="I648" s="5" t="str">
        <f t="shared" si="76"/>
        <v>018</v>
      </c>
      <c r="J648" s="5" t="str">
        <f t="shared" si="77"/>
        <v>2220</v>
      </c>
      <c r="K648" s="5" t="str">
        <f t="shared" si="78"/>
        <v>000</v>
      </c>
      <c r="L648" s="5">
        <f t="shared" si="79"/>
        <v>12</v>
      </c>
      <c r="M648" s="5">
        <f t="shared" si="80"/>
        <v>2011</v>
      </c>
    </row>
    <row r="649" spans="1:13" ht="17.45" customHeight="1" x14ac:dyDescent="0.25">
      <c r="A649" s="1">
        <f>DATE(2011,12,24)</f>
        <v>40901</v>
      </c>
      <c r="B649" t="s">
        <v>22</v>
      </c>
      <c r="C649" t="s">
        <v>10</v>
      </c>
      <c r="D649" s="3">
        <v>59.04</v>
      </c>
      <c r="E649" s="3">
        <v>0</v>
      </c>
      <c r="F649" t="s">
        <v>45</v>
      </c>
      <c r="G649" s="3">
        <f t="shared" si="74"/>
        <v>-59.04</v>
      </c>
      <c r="H649" s="3">
        <f t="shared" si="75"/>
        <v>59.04</v>
      </c>
      <c r="I649" s="5" t="str">
        <f t="shared" si="76"/>
        <v>018</v>
      </c>
      <c r="J649" s="5" t="str">
        <f t="shared" si="77"/>
        <v>2230</v>
      </c>
      <c r="K649" s="5" t="str">
        <f t="shared" si="78"/>
        <v>000</v>
      </c>
      <c r="L649" s="5">
        <f t="shared" si="79"/>
        <v>12</v>
      </c>
      <c r="M649" s="5">
        <f t="shared" si="80"/>
        <v>2011</v>
      </c>
    </row>
    <row r="650" spans="1:13" ht="17.45" customHeight="1" x14ac:dyDescent="0.25">
      <c r="A650" s="1">
        <f>DATE(2012,1,1)</f>
        <v>40909</v>
      </c>
      <c r="B650" t="s">
        <v>11</v>
      </c>
      <c r="C650" t="s">
        <v>6</v>
      </c>
      <c r="D650" s="3">
        <v>4519.8599999999997</v>
      </c>
      <c r="E650" s="3">
        <v>0</v>
      </c>
      <c r="F650" t="s">
        <v>45</v>
      </c>
      <c r="G650" s="3">
        <f t="shared" si="74"/>
        <v>-4519.8599999999997</v>
      </c>
      <c r="H650" s="3">
        <f t="shared" si="75"/>
        <v>4519.8599999999997</v>
      </c>
      <c r="I650" s="5" t="str">
        <f t="shared" si="76"/>
        <v>016</v>
      </c>
      <c r="J650" s="5" t="str">
        <f t="shared" si="77"/>
        <v>2100</v>
      </c>
      <c r="K650" s="5" t="str">
        <f t="shared" si="78"/>
        <v>000</v>
      </c>
      <c r="L650" s="5">
        <f t="shared" si="79"/>
        <v>1</v>
      </c>
      <c r="M650" s="5">
        <f t="shared" si="80"/>
        <v>2012</v>
      </c>
    </row>
    <row r="651" spans="1:13" ht="17.45" customHeight="1" x14ac:dyDescent="0.25">
      <c r="A651" s="1">
        <f>DATE(2012,1,1)</f>
        <v>40909</v>
      </c>
      <c r="B651" t="s">
        <v>12</v>
      </c>
      <c r="C651" t="s">
        <v>8</v>
      </c>
      <c r="D651" s="3">
        <v>1025.1464999999998</v>
      </c>
      <c r="E651" s="3">
        <v>0</v>
      </c>
      <c r="F651" t="s">
        <v>45</v>
      </c>
      <c r="G651" s="3">
        <f t="shared" si="74"/>
        <v>-1025.1464999999998</v>
      </c>
      <c r="H651" s="3">
        <f t="shared" si="75"/>
        <v>1025.1464999999998</v>
      </c>
      <c r="I651" s="5" t="str">
        <f t="shared" si="76"/>
        <v>016</v>
      </c>
      <c r="J651" s="5" t="str">
        <f t="shared" si="77"/>
        <v>2210</v>
      </c>
      <c r="K651" s="5" t="str">
        <f t="shared" si="78"/>
        <v>000</v>
      </c>
      <c r="L651" s="5">
        <f t="shared" si="79"/>
        <v>1</v>
      </c>
      <c r="M651" s="5">
        <f t="shared" si="80"/>
        <v>2012</v>
      </c>
    </row>
    <row r="652" spans="1:13" ht="17.45" customHeight="1" x14ac:dyDescent="0.25">
      <c r="A652" s="1">
        <f>DATE(2012,1,1)</f>
        <v>40909</v>
      </c>
      <c r="B652" t="s">
        <v>13</v>
      </c>
      <c r="C652" t="s">
        <v>9</v>
      </c>
      <c r="D652" s="3">
        <v>200.61</v>
      </c>
      <c r="E652" s="3">
        <v>0</v>
      </c>
      <c r="F652" t="s">
        <v>45</v>
      </c>
      <c r="G652" s="3">
        <f t="shared" si="74"/>
        <v>-200.61</v>
      </c>
      <c r="H652" s="3">
        <f t="shared" si="75"/>
        <v>200.61</v>
      </c>
      <c r="I652" s="5" t="str">
        <f t="shared" si="76"/>
        <v>016</v>
      </c>
      <c r="J652" s="5" t="str">
        <f t="shared" si="77"/>
        <v>2220</v>
      </c>
      <c r="K652" s="5" t="str">
        <f t="shared" si="78"/>
        <v>000</v>
      </c>
      <c r="L652" s="5">
        <f t="shared" si="79"/>
        <v>1</v>
      </c>
      <c r="M652" s="5">
        <f t="shared" si="80"/>
        <v>2012</v>
      </c>
    </row>
    <row r="653" spans="1:13" ht="17.45" customHeight="1" x14ac:dyDescent="0.25">
      <c r="A653" s="1">
        <f>DATE(2012,1,1)</f>
        <v>40909</v>
      </c>
      <c r="B653" t="s">
        <v>14</v>
      </c>
      <c r="C653" t="s">
        <v>10</v>
      </c>
      <c r="D653" s="3">
        <v>102.20699999999999</v>
      </c>
      <c r="E653" s="3">
        <v>0</v>
      </c>
      <c r="F653" t="s">
        <v>45</v>
      </c>
      <c r="G653" s="3">
        <f t="shared" si="74"/>
        <v>-102.20699999999999</v>
      </c>
      <c r="H653" s="3">
        <f t="shared" si="75"/>
        <v>102.20699999999999</v>
      </c>
      <c r="I653" s="5" t="str">
        <f t="shared" si="76"/>
        <v>016</v>
      </c>
      <c r="J653" s="5" t="str">
        <f t="shared" si="77"/>
        <v>2230</v>
      </c>
      <c r="K653" s="5" t="str">
        <f t="shared" si="78"/>
        <v>000</v>
      </c>
      <c r="L653" s="5">
        <f t="shared" si="79"/>
        <v>1</v>
      </c>
      <c r="M653" s="5">
        <f t="shared" si="80"/>
        <v>2012</v>
      </c>
    </row>
    <row r="654" spans="1:13" ht="17.45" customHeight="1" x14ac:dyDescent="0.25">
      <c r="A654" s="1">
        <f>DATE(2011,12,26)</f>
        <v>40903</v>
      </c>
      <c r="B654" t="s">
        <v>11</v>
      </c>
      <c r="C654" t="s">
        <v>6</v>
      </c>
      <c r="D654" s="3">
        <v>7602.0671999999995</v>
      </c>
      <c r="E654" s="3">
        <v>0</v>
      </c>
      <c r="F654" t="s">
        <v>45</v>
      </c>
      <c r="G654" s="3">
        <f t="shared" si="74"/>
        <v>-7602.0671999999995</v>
      </c>
      <c r="H654" s="3">
        <f t="shared" si="75"/>
        <v>7602.0671999999995</v>
      </c>
      <c r="I654" s="5" t="str">
        <f t="shared" si="76"/>
        <v>016</v>
      </c>
      <c r="J654" s="5" t="str">
        <f t="shared" si="77"/>
        <v>2100</v>
      </c>
      <c r="K654" s="5" t="str">
        <f t="shared" si="78"/>
        <v>000</v>
      </c>
      <c r="L654" s="5">
        <f t="shared" si="79"/>
        <v>12</v>
      </c>
      <c r="M654" s="5">
        <f t="shared" si="80"/>
        <v>2011</v>
      </c>
    </row>
    <row r="655" spans="1:13" ht="17.45" customHeight="1" x14ac:dyDescent="0.25">
      <c r="A655" s="1">
        <f>DATE(2011,12,26)</f>
        <v>40903</v>
      </c>
      <c r="B655" t="s">
        <v>12</v>
      </c>
      <c r="C655" t="s">
        <v>8</v>
      </c>
      <c r="D655" s="3">
        <v>2580.1210000000001</v>
      </c>
      <c r="E655" s="3">
        <v>0</v>
      </c>
      <c r="F655" t="s">
        <v>45</v>
      </c>
      <c r="G655" s="3">
        <f t="shared" si="74"/>
        <v>-2580.1210000000001</v>
      </c>
      <c r="H655" s="3">
        <f t="shared" si="75"/>
        <v>2580.1210000000001</v>
      </c>
      <c r="I655" s="5" t="str">
        <f t="shared" si="76"/>
        <v>016</v>
      </c>
      <c r="J655" s="5" t="str">
        <f t="shared" si="77"/>
        <v>2210</v>
      </c>
      <c r="K655" s="5" t="str">
        <f t="shared" si="78"/>
        <v>000</v>
      </c>
      <c r="L655" s="5">
        <f t="shared" si="79"/>
        <v>12</v>
      </c>
      <c r="M655" s="5">
        <f t="shared" si="80"/>
        <v>2011</v>
      </c>
    </row>
    <row r="656" spans="1:13" ht="17.45" customHeight="1" x14ac:dyDescent="0.25">
      <c r="A656" s="1">
        <f>DATE(2011,12,26)</f>
        <v>40903</v>
      </c>
      <c r="B656" t="s">
        <v>13</v>
      </c>
      <c r="C656" t="s">
        <v>9</v>
      </c>
      <c r="D656" s="3">
        <v>480.50099999999998</v>
      </c>
      <c r="E656" s="3">
        <v>0</v>
      </c>
      <c r="F656" t="s">
        <v>45</v>
      </c>
      <c r="G656" s="3">
        <f t="shared" si="74"/>
        <v>-480.50099999999998</v>
      </c>
      <c r="H656" s="3">
        <f t="shared" si="75"/>
        <v>480.50099999999998</v>
      </c>
      <c r="I656" s="5" t="str">
        <f t="shared" si="76"/>
        <v>016</v>
      </c>
      <c r="J656" s="5" t="str">
        <f t="shared" si="77"/>
        <v>2220</v>
      </c>
      <c r="K656" s="5" t="str">
        <f t="shared" si="78"/>
        <v>000</v>
      </c>
      <c r="L656" s="5">
        <f t="shared" si="79"/>
        <v>12</v>
      </c>
      <c r="M656" s="5">
        <f t="shared" si="80"/>
        <v>2011</v>
      </c>
    </row>
    <row r="657" spans="1:13" ht="17.45" customHeight="1" x14ac:dyDescent="0.25">
      <c r="A657" s="1">
        <f>DATE(2011,12,26)</f>
        <v>40903</v>
      </c>
      <c r="B657" t="s">
        <v>14</v>
      </c>
      <c r="C657" t="s">
        <v>10</v>
      </c>
      <c r="D657" s="3">
        <v>127.36800000000001</v>
      </c>
      <c r="E657" s="3">
        <v>0</v>
      </c>
      <c r="F657" t="s">
        <v>45</v>
      </c>
      <c r="G657" s="3">
        <f t="shared" si="74"/>
        <v>-127.36800000000001</v>
      </c>
      <c r="H657" s="3">
        <f t="shared" si="75"/>
        <v>127.36800000000001</v>
      </c>
      <c r="I657" s="5" t="str">
        <f t="shared" si="76"/>
        <v>016</v>
      </c>
      <c r="J657" s="5" t="str">
        <f t="shared" si="77"/>
        <v>2230</v>
      </c>
      <c r="K657" s="5" t="str">
        <f t="shared" si="78"/>
        <v>000</v>
      </c>
      <c r="L657" s="5">
        <f t="shared" si="79"/>
        <v>12</v>
      </c>
      <c r="M657" s="5">
        <f t="shared" si="80"/>
        <v>2011</v>
      </c>
    </row>
    <row r="658" spans="1:13" ht="17.45" customHeight="1" x14ac:dyDescent="0.25">
      <c r="A658" s="1">
        <f>DATE(2011,12,27)</f>
        <v>40904</v>
      </c>
      <c r="B658" t="s">
        <v>11</v>
      </c>
      <c r="C658" t="s">
        <v>6</v>
      </c>
      <c r="D658" s="3">
        <v>8586.1200000000008</v>
      </c>
      <c r="E658" s="3">
        <v>0</v>
      </c>
      <c r="F658" t="s">
        <v>45</v>
      </c>
      <c r="G658" s="3">
        <f t="shared" si="74"/>
        <v>-8586.1200000000008</v>
      </c>
      <c r="H658" s="3">
        <f t="shared" si="75"/>
        <v>8586.1200000000008</v>
      </c>
      <c r="I658" s="5" t="str">
        <f t="shared" si="76"/>
        <v>016</v>
      </c>
      <c r="J658" s="5" t="str">
        <f t="shared" si="77"/>
        <v>2100</v>
      </c>
      <c r="K658" s="5" t="str">
        <f t="shared" si="78"/>
        <v>000</v>
      </c>
      <c r="L658" s="5">
        <f t="shared" si="79"/>
        <v>12</v>
      </c>
      <c r="M658" s="5">
        <f t="shared" si="80"/>
        <v>2011</v>
      </c>
    </row>
    <row r="659" spans="1:13" ht="17.45" customHeight="1" x14ac:dyDescent="0.25">
      <c r="A659" s="1">
        <f>DATE(2011,12,27)</f>
        <v>40904</v>
      </c>
      <c r="B659" t="s">
        <v>12</v>
      </c>
      <c r="C659" t="s">
        <v>8</v>
      </c>
      <c r="D659" s="3">
        <v>1579.8195000000001</v>
      </c>
      <c r="E659" s="3">
        <v>0</v>
      </c>
      <c r="F659" t="s">
        <v>45</v>
      </c>
      <c r="G659" s="3">
        <f t="shared" si="74"/>
        <v>-1579.8195000000001</v>
      </c>
      <c r="H659" s="3">
        <f t="shared" si="75"/>
        <v>1579.8195000000001</v>
      </c>
      <c r="I659" s="5" t="str">
        <f t="shared" si="76"/>
        <v>016</v>
      </c>
      <c r="J659" s="5" t="str">
        <f t="shared" si="77"/>
        <v>2210</v>
      </c>
      <c r="K659" s="5" t="str">
        <f t="shared" si="78"/>
        <v>000</v>
      </c>
      <c r="L659" s="5">
        <f t="shared" si="79"/>
        <v>12</v>
      </c>
      <c r="M659" s="5">
        <f t="shared" si="80"/>
        <v>2011</v>
      </c>
    </row>
    <row r="660" spans="1:13" ht="17.45" customHeight="1" x14ac:dyDescent="0.25">
      <c r="A660" s="1">
        <f>DATE(2011,12,27)</f>
        <v>40904</v>
      </c>
      <c r="B660" t="s">
        <v>13</v>
      </c>
      <c r="C660" t="s">
        <v>9</v>
      </c>
      <c r="D660" s="3">
        <v>303.58199999999999</v>
      </c>
      <c r="E660" s="3">
        <v>0</v>
      </c>
      <c r="F660" t="s">
        <v>45</v>
      </c>
      <c r="G660" s="3">
        <f t="shared" si="74"/>
        <v>-303.58199999999999</v>
      </c>
      <c r="H660" s="3">
        <f t="shared" si="75"/>
        <v>303.58199999999999</v>
      </c>
      <c r="I660" s="5" t="str">
        <f t="shared" si="76"/>
        <v>016</v>
      </c>
      <c r="J660" s="5" t="str">
        <f t="shared" si="77"/>
        <v>2220</v>
      </c>
      <c r="K660" s="5" t="str">
        <f t="shared" si="78"/>
        <v>000</v>
      </c>
      <c r="L660" s="5">
        <f t="shared" si="79"/>
        <v>12</v>
      </c>
      <c r="M660" s="5">
        <f t="shared" si="80"/>
        <v>2011</v>
      </c>
    </row>
    <row r="661" spans="1:13" ht="17.45" customHeight="1" x14ac:dyDescent="0.25">
      <c r="A661" s="1">
        <f>DATE(2011,12,27)</f>
        <v>40904</v>
      </c>
      <c r="B661" t="s">
        <v>14</v>
      </c>
      <c r="C661" t="s">
        <v>10</v>
      </c>
      <c r="D661" s="3">
        <v>133.03800000000001</v>
      </c>
      <c r="E661" s="3">
        <v>0</v>
      </c>
      <c r="F661" t="s">
        <v>45</v>
      </c>
      <c r="G661" s="3">
        <f t="shared" si="74"/>
        <v>-133.03800000000001</v>
      </c>
      <c r="H661" s="3">
        <f t="shared" si="75"/>
        <v>133.03800000000001</v>
      </c>
      <c r="I661" s="5" t="str">
        <f t="shared" si="76"/>
        <v>016</v>
      </c>
      <c r="J661" s="5" t="str">
        <f t="shared" si="77"/>
        <v>2230</v>
      </c>
      <c r="K661" s="5" t="str">
        <f t="shared" si="78"/>
        <v>000</v>
      </c>
      <c r="L661" s="5">
        <f t="shared" si="79"/>
        <v>12</v>
      </c>
      <c r="M661" s="5">
        <f t="shared" si="80"/>
        <v>2011</v>
      </c>
    </row>
    <row r="662" spans="1:13" ht="17.45" customHeight="1" x14ac:dyDescent="0.25">
      <c r="A662" s="1">
        <f>DATE(2011,12,28)</f>
        <v>40905</v>
      </c>
      <c r="B662" t="s">
        <v>11</v>
      </c>
      <c r="C662" t="s">
        <v>6</v>
      </c>
      <c r="D662" s="3">
        <v>8197.9820999999993</v>
      </c>
      <c r="E662" s="3">
        <v>0</v>
      </c>
      <c r="F662" t="s">
        <v>45</v>
      </c>
      <c r="G662" s="3">
        <f t="shared" si="74"/>
        <v>-8197.9820999999993</v>
      </c>
      <c r="H662" s="3">
        <f t="shared" si="75"/>
        <v>8197.9820999999993</v>
      </c>
      <c r="I662" s="5" t="str">
        <f t="shared" si="76"/>
        <v>016</v>
      </c>
      <c r="J662" s="5" t="str">
        <f t="shared" si="77"/>
        <v>2100</v>
      </c>
      <c r="K662" s="5" t="str">
        <f t="shared" si="78"/>
        <v>000</v>
      </c>
      <c r="L662" s="5">
        <f t="shared" si="79"/>
        <v>12</v>
      </c>
      <c r="M662" s="5">
        <f t="shared" si="80"/>
        <v>2011</v>
      </c>
    </row>
    <row r="663" spans="1:13" ht="17.45" customHeight="1" x14ac:dyDescent="0.25">
      <c r="A663" s="1">
        <f>DATE(2011,12,28)</f>
        <v>40905</v>
      </c>
      <c r="B663" t="s">
        <v>12</v>
      </c>
      <c r="C663" t="s">
        <v>8</v>
      </c>
      <c r="D663" s="3">
        <v>1446.93</v>
      </c>
      <c r="E663" s="3">
        <v>0</v>
      </c>
      <c r="F663" t="s">
        <v>45</v>
      </c>
      <c r="G663" s="3">
        <f t="shared" si="74"/>
        <v>-1446.93</v>
      </c>
      <c r="H663" s="3">
        <f t="shared" si="75"/>
        <v>1446.93</v>
      </c>
      <c r="I663" s="5" t="str">
        <f t="shared" si="76"/>
        <v>016</v>
      </c>
      <c r="J663" s="5" t="str">
        <f t="shared" si="77"/>
        <v>2210</v>
      </c>
      <c r="K663" s="5" t="str">
        <f t="shared" si="78"/>
        <v>000</v>
      </c>
      <c r="L663" s="5">
        <f t="shared" si="79"/>
        <v>12</v>
      </c>
      <c r="M663" s="5">
        <f t="shared" si="80"/>
        <v>2011</v>
      </c>
    </row>
    <row r="664" spans="1:13" ht="17.45" customHeight="1" x14ac:dyDescent="0.25">
      <c r="A664" s="1">
        <f>DATE(2011,12,28)</f>
        <v>40905</v>
      </c>
      <c r="B664" t="s">
        <v>13</v>
      </c>
      <c r="C664" t="s">
        <v>9</v>
      </c>
      <c r="D664" s="3">
        <v>437.98800000000006</v>
      </c>
      <c r="E664" s="3">
        <v>0</v>
      </c>
      <c r="F664" t="s">
        <v>45</v>
      </c>
      <c r="G664" s="3">
        <f t="shared" si="74"/>
        <v>-437.98800000000006</v>
      </c>
      <c r="H664" s="3">
        <f t="shared" si="75"/>
        <v>437.98800000000006</v>
      </c>
      <c r="I664" s="5" t="str">
        <f t="shared" si="76"/>
        <v>016</v>
      </c>
      <c r="J664" s="5" t="str">
        <f t="shared" si="77"/>
        <v>2220</v>
      </c>
      <c r="K664" s="5" t="str">
        <f t="shared" si="78"/>
        <v>000</v>
      </c>
      <c r="L664" s="5">
        <f t="shared" si="79"/>
        <v>12</v>
      </c>
      <c r="M664" s="5">
        <f t="shared" si="80"/>
        <v>2011</v>
      </c>
    </row>
    <row r="665" spans="1:13" ht="17.45" customHeight="1" x14ac:dyDescent="0.25">
      <c r="A665" s="1">
        <f>DATE(2011,12,28)</f>
        <v>40905</v>
      </c>
      <c r="B665" t="s">
        <v>14</v>
      </c>
      <c r="C665" t="s">
        <v>10</v>
      </c>
      <c r="D665" s="3">
        <v>232.2</v>
      </c>
      <c r="E665" s="3">
        <v>0</v>
      </c>
      <c r="F665" t="s">
        <v>45</v>
      </c>
      <c r="G665" s="3">
        <f t="shared" si="74"/>
        <v>-232.2</v>
      </c>
      <c r="H665" s="3">
        <f t="shared" si="75"/>
        <v>232.2</v>
      </c>
      <c r="I665" s="5" t="str">
        <f t="shared" si="76"/>
        <v>016</v>
      </c>
      <c r="J665" s="5" t="str">
        <f t="shared" si="77"/>
        <v>2230</v>
      </c>
      <c r="K665" s="5" t="str">
        <f t="shared" si="78"/>
        <v>000</v>
      </c>
      <c r="L665" s="5">
        <f t="shared" si="79"/>
        <v>12</v>
      </c>
      <c r="M665" s="5">
        <f t="shared" si="80"/>
        <v>2011</v>
      </c>
    </row>
    <row r="666" spans="1:13" ht="17.45" customHeight="1" x14ac:dyDescent="0.25">
      <c r="A666" s="1">
        <f>DATE(2011,12,29)</f>
        <v>40906</v>
      </c>
      <c r="B666" t="s">
        <v>11</v>
      </c>
      <c r="C666" t="s">
        <v>6</v>
      </c>
      <c r="D666" s="3">
        <v>7984.3763999999992</v>
      </c>
      <c r="E666" s="3">
        <v>0</v>
      </c>
      <c r="F666" t="s">
        <v>45</v>
      </c>
      <c r="G666" s="3">
        <f t="shared" si="74"/>
        <v>-7984.3763999999992</v>
      </c>
      <c r="H666" s="3">
        <f t="shared" si="75"/>
        <v>7984.3763999999992</v>
      </c>
      <c r="I666" s="5" t="str">
        <f t="shared" si="76"/>
        <v>016</v>
      </c>
      <c r="J666" s="5" t="str">
        <f t="shared" si="77"/>
        <v>2100</v>
      </c>
      <c r="K666" s="5" t="str">
        <f t="shared" si="78"/>
        <v>000</v>
      </c>
      <c r="L666" s="5">
        <f t="shared" si="79"/>
        <v>12</v>
      </c>
      <c r="M666" s="5">
        <f t="shared" si="80"/>
        <v>2011</v>
      </c>
    </row>
    <row r="667" spans="1:13" ht="17.45" customHeight="1" x14ac:dyDescent="0.25">
      <c r="A667" s="1">
        <f>DATE(2011,12,29)</f>
        <v>40906</v>
      </c>
      <c r="B667" t="s">
        <v>12</v>
      </c>
      <c r="C667" t="s">
        <v>8</v>
      </c>
      <c r="D667" s="3">
        <v>1200.0494999999999</v>
      </c>
      <c r="E667" s="3">
        <v>0</v>
      </c>
      <c r="F667" t="s">
        <v>45</v>
      </c>
      <c r="G667" s="3">
        <f t="shared" si="74"/>
        <v>-1200.0494999999999</v>
      </c>
      <c r="H667" s="3">
        <f t="shared" si="75"/>
        <v>1200.0494999999999</v>
      </c>
      <c r="I667" s="5" t="str">
        <f t="shared" si="76"/>
        <v>016</v>
      </c>
      <c r="J667" s="5" t="str">
        <f t="shared" si="77"/>
        <v>2210</v>
      </c>
      <c r="K667" s="5" t="str">
        <f t="shared" si="78"/>
        <v>000</v>
      </c>
      <c r="L667" s="5">
        <f t="shared" si="79"/>
        <v>12</v>
      </c>
      <c r="M667" s="5">
        <f t="shared" si="80"/>
        <v>2011</v>
      </c>
    </row>
    <row r="668" spans="1:13" ht="17.45" customHeight="1" x14ac:dyDescent="0.25">
      <c r="A668" s="1">
        <f>DATE(2011,12,29)</f>
        <v>40906</v>
      </c>
      <c r="B668" t="s">
        <v>13</v>
      </c>
      <c r="C668" t="s">
        <v>9</v>
      </c>
      <c r="D668" s="3">
        <v>482.06399999999996</v>
      </c>
      <c r="E668" s="3">
        <v>0</v>
      </c>
      <c r="F668" t="s">
        <v>45</v>
      </c>
      <c r="G668" s="3">
        <f t="shared" si="74"/>
        <v>-482.06399999999996</v>
      </c>
      <c r="H668" s="3">
        <f t="shared" si="75"/>
        <v>482.06399999999996</v>
      </c>
      <c r="I668" s="5" t="str">
        <f t="shared" si="76"/>
        <v>016</v>
      </c>
      <c r="J668" s="5" t="str">
        <f t="shared" si="77"/>
        <v>2220</v>
      </c>
      <c r="K668" s="5" t="str">
        <f t="shared" si="78"/>
        <v>000</v>
      </c>
      <c r="L668" s="5">
        <f t="shared" si="79"/>
        <v>12</v>
      </c>
      <c r="M668" s="5">
        <f t="shared" si="80"/>
        <v>2011</v>
      </c>
    </row>
    <row r="669" spans="1:13" ht="17.45" customHeight="1" x14ac:dyDescent="0.25">
      <c r="A669" s="1">
        <f>DATE(2011,12,29)</f>
        <v>40906</v>
      </c>
      <c r="B669" t="s">
        <v>14</v>
      </c>
      <c r="C669" t="s">
        <v>10</v>
      </c>
      <c r="D669" s="3">
        <v>191.31</v>
      </c>
      <c r="E669" s="3">
        <v>0</v>
      </c>
      <c r="F669" t="s">
        <v>45</v>
      </c>
      <c r="G669" s="3">
        <f t="shared" si="74"/>
        <v>-191.31</v>
      </c>
      <c r="H669" s="3">
        <f t="shared" si="75"/>
        <v>191.31</v>
      </c>
      <c r="I669" s="5" t="str">
        <f t="shared" si="76"/>
        <v>016</v>
      </c>
      <c r="J669" s="5" t="str">
        <f t="shared" si="77"/>
        <v>2230</v>
      </c>
      <c r="K669" s="5" t="str">
        <f t="shared" si="78"/>
        <v>000</v>
      </c>
      <c r="L669" s="5">
        <f t="shared" si="79"/>
        <v>12</v>
      </c>
      <c r="M669" s="5">
        <f t="shared" si="80"/>
        <v>2011</v>
      </c>
    </row>
    <row r="670" spans="1:13" ht="17.45" customHeight="1" x14ac:dyDescent="0.25">
      <c r="A670" s="1">
        <f>DATE(2011,12,30)</f>
        <v>40907</v>
      </c>
      <c r="B670" t="s">
        <v>11</v>
      </c>
      <c r="C670" t="s">
        <v>6</v>
      </c>
      <c r="D670" s="3">
        <v>8749.2224000000006</v>
      </c>
      <c r="E670" s="3">
        <v>0</v>
      </c>
      <c r="F670" t="s">
        <v>45</v>
      </c>
      <c r="G670" s="3">
        <f t="shared" si="74"/>
        <v>-8749.2224000000006</v>
      </c>
      <c r="H670" s="3">
        <f t="shared" si="75"/>
        <v>8749.2224000000006</v>
      </c>
      <c r="I670" s="5" t="str">
        <f t="shared" si="76"/>
        <v>016</v>
      </c>
      <c r="J670" s="5" t="str">
        <f t="shared" si="77"/>
        <v>2100</v>
      </c>
      <c r="K670" s="5" t="str">
        <f t="shared" si="78"/>
        <v>000</v>
      </c>
      <c r="L670" s="5">
        <f t="shared" si="79"/>
        <v>12</v>
      </c>
      <c r="M670" s="5">
        <f t="shared" si="80"/>
        <v>2011</v>
      </c>
    </row>
    <row r="671" spans="1:13" ht="17.45" customHeight="1" x14ac:dyDescent="0.25">
      <c r="A671" s="1">
        <f>DATE(2011,12,30)</f>
        <v>40907</v>
      </c>
      <c r="B671" t="s">
        <v>12</v>
      </c>
      <c r="C671" t="s">
        <v>8</v>
      </c>
      <c r="D671" s="3">
        <v>2762.9279999999999</v>
      </c>
      <c r="E671" s="3">
        <v>0</v>
      </c>
      <c r="F671" t="s">
        <v>45</v>
      </c>
      <c r="G671" s="3">
        <f t="shared" si="74"/>
        <v>-2762.9279999999999</v>
      </c>
      <c r="H671" s="3">
        <f t="shared" si="75"/>
        <v>2762.9279999999999</v>
      </c>
      <c r="I671" s="5" t="str">
        <f t="shared" si="76"/>
        <v>016</v>
      </c>
      <c r="J671" s="5" t="str">
        <f t="shared" si="77"/>
        <v>2210</v>
      </c>
      <c r="K671" s="5" t="str">
        <f t="shared" si="78"/>
        <v>000</v>
      </c>
      <c r="L671" s="5">
        <f t="shared" si="79"/>
        <v>12</v>
      </c>
      <c r="M671" s="5">
        <f t="shared" si="80"/>
        <v>2011</v>
      </c>
    </row>
    <row r="672" spans="1:13" ht="17.45" customHeight="1" x14ac:dyDescent="0.25">
      <c r="A672" s="1">
        <f>DATE(2011,12,30)</f>
        <v>40907</v>
      </c>
      <c r="B672" t="s">
        <v>13</v>
      </c>
      <c r="C672" t="s">
        <v>9</v>
      </c>
      <c r="D672" s="3">
        <v>541.16700000000003</v>
      </c>
      <c r="E672" s="3">
        <v>0</v>
      </c>
      <c r="F672" t="s">
        <v>45</v>
      </c>
      <c r="G672" s="3">
        <f t="shared" si="74"/>
        <v>-541.16700000000003</v>
      </c>
      <c r="H672" s="3">
        <f t="shared" si="75"/>
        <v>541.16700000000003</v>
      </c>
      <c r="I672" s="5" t="str">
        <f t="shared" si="76"/>
        <v>016</v>
      </c>
      <c r="J672" s="5" t="str">
        <f t="shared" si="77"/>
        <v>2220</v>
      </c>
      <c r="K672" s="5" t="str">
        <f t="shared" si="78"/>
        <v>000</v>
      </c>
      <c r="L672" s="5">
        <f t="shared" si="79"/>
        <v>12</v>
      </c>
      <c r="M672" s="5">
        <f t="shared" si="80"/>
        <v>2011</v>
      </c>
    </row>
    <row r="673" spans="1:13" ht="17.45" customHeight="1" x14ac:dyDescent="0.25">
      <c r="A673" s="1">
        <f>DATE(2011,12,30)</f>
        <v>40907</v>
      </c>
      <c r="B673" t="s">
        <v>14</v>
      </c>
      <c r="C673" t="s">
        <v>10</v>
      </c>
      <c r="D673" s="3">
        <v>317.53199999999998</v>
      </c>
      <c r="E673" s="3">
        <v>0</v>
      </c>
      <c r="F673" t="s">
        <v>45</v>
      </c>
      <c r="G673" s="3">
        <f t="shared" si="74"/>
        <v>-317.53199999999998</v>
      </c>
      <c r="H673" s="3">
        <f t="shared" si="75"/>
        <v>317.53199999999998</v>
      </c>
      <c r="I673" s="5" t="str">
        <f t="shared" si="76"/>
        <v>016</v>
      </c>
      <c r="J673" s="5" t="str">
        <f t="shared" si="77"/>
        <v>2230</v>
      </c>
      <c r="K673" s="5" t="str">
        <f t="shared" si="78"/>
        <v>000</v>
      </c>
      <c r="L673" s="5">
        <f t="shared" si="79"/>
        <v>12</v>
      </c>
      <c r="M673" s="5">
        <f t="shared" si="80"/>
        <v>2011</v>
      </c>
    </row>
    <row r="674" spans="1:13" ht="17.45" customHeight="1" x14ac:dyDescent="0.25">
      <c r="A674" s="1">
        <f>DATE(2011,12,31)</f>
        <v>40908</v>
      </c>
      <c r="B674" t="s">
        <v>11</v>
      </c>
      <c r="C674" t="s">
        <v>6</v>
      </c>
      <c r="D674" s="3">
        <v>10276.11</v>
      </c>
      <c r="E674" s="3">
        <v>0</v>
      </c>
      <c r="F674" t="s">
        <v>45</v>
      </c>
      <c r="G674" s="3">
        <f t="shared" si="74"/>
        <v>-10276.11</v>
      </c>
      <c r="H674" s="3">
        <f t="shared" si="75"/>
        <v>10276.11</v>
      </c>
      <c r="I674" s="5" t="str">
        <f t="shared" si="76"/>
        <v>016</v>
      </c>
      <c r="J674" s="5" t="str">
        <f t="shared" si="77"/>
        <v>2100</v>
      </c>
      <c r="K674" s="5" t="str">
        <f t="shared" si="78"/>
        <v>000</v>
      </c>
      <c r="L674" s="5">
        <f t="shared" si="79"/>
        <v>12</v>
      </c>
      <c r="M674" s="5">
        <f t="shared" si="80"/>
        <v>2011</v>
      </c>
    </row>
    <row r="675" spans="1:13" ht="17.45" customHeight="1" x14ac:dyDescent="0.25">
      <c r="A675" s="1">
        <f>DATE(2011,12,31)</f>
        <v>40908</v>
      </c>
      <c r="B675" t="s">
        <v>12</v>
      </c>
      <c r="C675" t="s">
        <v>8</v>
      </c>
      <c r="D675" s="3">
        <v>2247.5750000000003</v>
      </c>
      <c r="E675" s="3">
        <v>0</v>
      </c>
      <c r="F675" t="s">
        <v>45</v>
      </c>
      <c r="G675" s="3">
        <f t="shared" si="74"/>
        <v>-2247.5750000000003</v>
      </c>
      <c r="H675" s="3">
        <f t="shared" si="75"/>
        <v>2247.5750000000003</v>
      </c>
      <c r="I675" s="5" t="str">
        <f t="shared" si="76"/>
        <v>016</v>
      </c>
      <c r="J675" s="5" t="str">
        <f t="shared" si="77"/>
        <v>2210</v>
      </c>
      <c r="K675" s="5" t="str">
        <f t="shared" si="78"/>
        <v>000</v>
      </c>
      <c r="L675" s="5">
        <f t="shared" si="79"/>
        <v>12</v>
      </c>
      <c r="M675" s="5">
        <f t="shared" si="80"/>
        <v>2011</v>
      </c>
    </row>
    <row r="676" spans="1:13" ht="17.45" customHeight="1" x14ac:dyDescent="0.25">
      <c r="A676" s="1">
        <f>DATE(2011,12,31)</f>
        <v>40908</v>
      </c>
      <c r="B676" t="s">
        <v>13</v>
      </c>
      <c r="C676" t="s">
        <v>9</v>
      </c>
      <c r="D676" s="3">
        <v>555.03</v>
      </c>
      <c r="E676" s="3">
        <v>0</v>
      </c>
      <c r="F676" t="s">
        <v>45</v>
      </c>
      <c r="G676" s="3">
        <f t="shared" si="74"/>
        <v>-555.03</v>
      </c>
      <c r="H676" s="3">
        <f t="shared" si="75"/>
        <v>555.03</v>
      </c>
      <c r="I676" s="5" t="str">
        <f t="shared" si="76"/>
        <v>016</v>
      </c>
      <c r="J676" s="5" t="str">
        <f t="shared" si="77"/>
        <v>2220</v>
      </c>
      <c r="K676" s="5" t="str">
        <f t="shared" si="78"/>
        <v>000</v>
      </c>
      <c r="L676" s="5">
        <f t="shared" si="79"/>
        <v>12</v>
      </c>
      <c r="M676" s="5">
        <f t="shared" si="80"/>
        <v>2011</v>
      </c>
    </row>
    <row r="677" spans="1:13" ht="17.45" customHeight="1" x14ac:dyDescent="0.25">
      <c r="A677" s="1">
        <f>DATE(2011,12,31)</f>
        <v>40908</v>
      </c>
      <c r="B677" t="s">
        <v>14</v>
      </c>
      <c r="C677" t="s">
        <v>10</v>
      </c>
      <c r="D677" s="3">
        <v>195.52500000000001</v>
      </c>
      <c r="E677" s="3">
        <v>0</v>
      </c>
      <c r="F677" t="s">
        <v>45</v>
      </c>
      <c r="G677" s="3">
        <f t="shared" si="74"/>
        <v>-195.52500000000001</v>
      </c>
      <c r="H677" s="3">
        <f t="shared" si="75"/>
        <v>195.52500000000001</v>
      </c>
      <c r="I677" s="5" t="str">
        <f t="shared" si="76"/>
        <v>016</v>
      </c>
      <c r="J677" s="5" t="str">
        <f t="shared" si="77"/>
        <v>2230</v>
      </c>
      <c r="K677" s="5" t="str">
        <f t="shared" si="78"/>
        <v>000</v>
      </c>
      <c r="L677" s="5">
        <f t="shared" si="79"/>
        <v>12</v>
      </c>
      <c r="M677" s="5">
        <f t="shared" si="80"/>
        <v>2011</v>
      </c>
    </row>
    <row r="678" spans="1:13" ht="17.45" customHeight="1" x14ac:dyDescent="0.25">
      <c r="A678" s="1">
        <f>DATE(2012,1,1)</f>
        <v>40909</v>
      </c>
      <c r="B678" t="s">
        <v>15</v>
      </c>
      <c r="C678" t="s">
        <v>6</v>
      </c>
      <c r="D678" s="3">
        <v>3429.0360000000001</v>
      </c>
      <c r="E678" s="3">
        <v>0</v>
      </c>
      <c r="F678" t="s">
        <v>45</v>
      </c>
      <c r="G678" s="3">
        <f t="shared" si="74"/>
        <v>-3429.0360000000001</v>
      </c>
      <c r="H678" s="3">
        <f t="shared" si="75"/>
        <v>3429.0360000000001</v>
      </c>
      <c r="I678" s="5" t="str">
        <f t="shared" si="76"/>
        <v>017</v>
      </c>
      <c r="J678" s="5" t="str">
        <f t="shared" si="77"/>
        <v>2100</v>
      </c>
      <c r="K678" s="5" t="str">
        <f t="shared" si="78"/>
        <v>000</v>
      </c>
      <c r="L678" s="5">
        <f t="shared" si="79"/>
        <v>1</v>
      </c>
      <c r="M678" s="5">
        <f t="shared" si="80"/>
        <v>2012</v>
      </c>
    </row>
    <row r="679" spans="1:13" ht="17.45" customHeight="1" x14ac:dyDescent="0.25">
      <c r="A679" s="1">
        <f>DATE(2012,1,1)</f>
        <v>40909</v>
      </c>
      <c r="B679" t="s">
        <v>16</v>
      </c>
      <c r="C679" t="s">
        <v>8</v>
      </c>
      <c r="D679" s="3">
        <v>660.42899999999997</v>
      </c>
      <c r="E679" s="3">
        <v>0</v>
      </c>
      <c r="F679" t="s">
        <v>45</v>
      </c>
      <c r="G679" s="3">
        <f t="shared" si="74"/>
        <v>-660.42899999999997</v>
      </c>
      <c r="H679" s="3">
        <f t="shared" si="75"/>
        <v>660.42899999999997</v>
      </c>
      <c r="I679" s="5" t="str">
        <f t="shared" si="76"/>
        <v>017</v>
      </c>
      <c r="J679" s="5" t="str">
        <f t="shared" si="77"/>
        <v>2210</v>
      </c>
      <c r="K679" s="5" t="str">
        <f t="shared" si="78"/>
        <v>000</v>
      </c>
      <c r="L679" s="5">
        <f t="shared" si="79"/>
        <v>1</v>
      </c>
      <c r="M679" s="5">
        <f t="shared" si="80"/>
        <v>2012</v>
      </c>
    </row>
    <row r="680" spans="1:13" ht="17.45" customHeight="1" x14ac:dyDescent="0.25">
      <c r="A680" s="1">
        <f>DATE(2012,1,1)</f>
        <v>40909</v>
      </c>
      <c r="B680" t="s">
        <v>17</v>
      </c>
      <c r="C680" t="s">
        <v>9</v>
      </c>
      <c r="D680" s="3">
        <v>90.617500000000007</v>
      </c>
      <c r="E680" s="3">
        <v>0</v>
      </c>
      <c r="F680" t="s">
        <v>45</v>
      </c>
      <c r="G680" s="3">
        <f t="shared" si="74"/>
        <v>-90.617500000000007</v>
      </c>
      <c r="H680" s="3">
        <f t="shared" si="75"/>
        <v>90.617500000000007</v>
      </c>
      <c r="I680" s="5" t="str">
        <f t="shared" si="76"/>
        <v>017</v>
      </c>
      <c r="J680" s="5" t="str">
        <f t="shared" si="77"/>
        <v>2220</v>
      </c>
      <c r="K680" s="5" t="str">
        <f t="shared" si="78"/>
        <v>000</v>
      </c>
      <c r="L680" s="5">
        <f t="shared" si="79"/>
        <v>1</v>
      </c>
      <c r="M680" s="5">
        <f t="shared" si="80"/>
        <v>2012</v>
      </c>
    </row>
    <row r="681" spans="1:13" ht="17.45" customHeight="1" x14ac:dyDescent="0.25">
      <c r="A681" s="1">
        <f>DATE(2012,1,1)</f>
        <v>40909</v>
      </c>
      <c r="B681" t="s">
        <v>18</v>
      </c>
      <c r="C681" t="s">
        <v>10</v>
      </c>
      <c r="D681" s="3">
        <v>19.964000000000002</v>
      </c>
      <c r="E681" s="3">
        <v>0</v>
      </c>
      <c r="F681" t="s">
        <v>45</v>
      </c>
      <c r="G681" s="3">
        <f t="shared" si="74"/>
        <v>-19.964000000000002</v>
      </c>
      <c r="H681" s="3">
        <f t="shared" si="75"/>
        <v>19.964000000000002</v>
      </c>
      <c r="I681" s="5" t="str">
        <f t="shared" si="76"/>
        <v>017</v>
      </c>
      <c r="J681" s="5" t="str">
        <f t="shared" si="77"/>
        <v>2230</v>
      </c>
      <c r="K681" s="5" t="str">
        <f t="shared" si="78"/>
        <v>000</v>
      </c>
      <c r="L681" s="5">
        <f t="shared" si="79"/>
        <v>1</v>
      </c>
      <c r="M681" s="5">
        <f t="shared" si="80"/>
        <v>2012</v>
      </c>
    </row>
    <row r="682" spans="1:13" ht="17.45" customHeight="1" x14ac:dyDescent="0.25">
      <c r="A682" s="1">
        <f>DATE(2011,12,26)</f>
        <v>40903</v>
      </c>
      <c r="B682" t="s">
        <v>15</v>
      </c>
      <c r="C682" t="s">
        <v>6</v>
      </c>
      <c r="D682" s="3">
        <v>4567.5750000000007</v>
      </c>
      <c r="E682" s="3">
        <v>0</v>
      </c>
      <c r="F682" t="s">
        <v>45</v>
      </c>
      <c r="G682" s="3">
        <f t="shared" si="74"/>
        <v>-4567.5750000000007</v>
      </c>
      <c r="H682" s="3">
        <f t="shared" si="75"/>
        <v>4567.5750000000007</v>
      </c>
      <c r="I682" s="5" t="str">
        <f t="shared" si="76"/>
        <v>017</v>
      </c>
      <c r="J682" s="5" t="str">
        <f t="shared" si="77"/>
        <v>2100</v>
      </c>
      <c r="K682" s="5" t="str">
        <f t="shared" si="78"/>
        <v>000</v>
      </c>
      <c r="L682" s="5">
        <f t="shared" si="79"/>
        <v>12</v>
      </c>
      <c r="M682" s="5">
        <f t="shared" si="80"/>
        <v>2011</v>
      </c>
    </row>
    <row r="683" spans="1:13" ht="17.45" customHeight="1" x14ac:dyDescent="0.25">
      <c r="A683" s="1">
        <f>DATE(2011,12,26)</f>
        <v>40903</v>
      </c>
      <c r="B683" t="s">
        <v>16</v>
      </c>
      <c r="C683" t="s">
        <v>8</v>
      </c>
      <c r="D683" s="3">
        <v>595.91399999999999</v>
      </c>
      <c r="E683" s="3">
        <v>0</v>
      </c>
      <c r="F683" t="s">
        <v>45</v>
      </c>
      <c r="G683" s="3">
        <f t="shared" si="74"/>
        <v>-595.91399999999999</v>
      </c>
      <c r="H683" s="3">
        <f t="shared" si="75"/>
        <v>595.91399999999999</v>
      </c>
      <c r="I683" s="5" t="str">
        <f t="shared" si="76"/>
        <v>017</v>
      </c>
      <c r="J683" s="5" t="str">
        <f t="shared" si="77"/>
        <v>2210</v>
      </c>
      <c r="K683" s="5" t="str">
        <f t="shared" si="78"/>
        <v>000</v>
      </c>
      <c r="L683" s="5">
        <f t="shared" si="79"/>
        <v>12</v>
      </c>
      <c r="M683" s="5">
        <f t="shared" si="80"/>
        <v>2011</v>
      </c>
    </row>
    <row r="684" spans="1:13" ht="17.45" customHeight="1" x14ac:dyDescent="0.25">
      <c r="A684" s="1">
        <f>DATE(2011,12,26)</f>
        <v>40903</v>
      </c>
      <c r="B684" t="s">
        <v>17</v>
      </c>
      <c r="C684" t="s">
        <v>9</v>
      </c>
      <c r="D684" s="3">
        <v>272.09000000000003</v>
      </c>
      <c r="E684" s="3">
        <v>0</v>
      </c>
      <c r="F684" t="s">
        <v>45</v>
      </c>
      <c r="G684" s="3">
        <f t="shared" si="74"/>
        <v>-272.09000000000003</v>
      </c>
      <c r="H684" s="3">
        <f t="shared" si="75"/>
        <v>272.09000000000003</v>
      </c>
      <c r="I684" s="5" t="str">
        <f t="shared" si="76"/>
        <v>017</v>
      </c>
      <c r="J684" s="5" t="str">
        <f t="shared" si="77"/>
        <v>2220</v>
      </c>
      <c r="K684" s="5" t="str">
        <f t="shared" si="78"/>
        <v>000</v>
      </c>
      <c r="L684" s="5">
        <f t="shared" si="79"/>
        <v>12</v>
      </c>
      <c r="M684" s="5">
        <f t="shared" si="80"/>
        <v>2011</v>
      </c>
    </row>
    <row r="685" spans="1:13" ht="17.45" customHeight="1" x14ac:dyDescent="0.25">
      <c r="A685" s="1">
        <f>DATE(2011,12,26)</f>
        <v>40903</v>
      </c>
      <c r="B685" t="s">
        <v>18</v>
      </c>
      <c r="C685" t="s">
        <v>10</v>
      </c>
      <c r="D685" s="3">
        <v>55.774000000000001</v>
      </c>
      <c r="E685" s="3">
        <v>0</v>
      </c>
      <c r="F685" t="s">
        <v>45</v>
      </c>
      <c r="G685" s="3">
        <f t="shared" si="74"/>
        <v>-55.774000000000001</v>
      </c>
      <c r="H685" s="3">
        <f t="shared" si="75"/>
        <v>55.774000000000001</v>
      </c>
      <c r="I685" s="5" t="str">
        <f t="shared" si="76"/>
        <v>017</v>
      </c>
      <c r="J685" s="5" t="str">
        <f t="shared" si="77"/>
        <v>2230</v>
      </c>
      <c r="K685" s="5" t="str">
        <f t="shared" si="78"/>
        <v>000</v>
      </c>
      <c r="L685" s="5">
        <f t="shared" si="79"/>
        <v>12</v>
      </c>
      <c r="M685" s="5">
        <f t="shared" si="80"/>
        <v>2011</v>
      </c>
    </row>
    <row r="686" spans="1:13" ht="17.45" customHeight="1" x14ac:dyDescent="0.25">
      <c r="A686" s="1">
        <f>DATE(2011,12,27)</f>
        <v>40904</v>
      </c>
      <c r="B686" t="s">
        <v>15</v>
      </c>
      <c r="C686" t="s">
        <v>6</v>
      </c>
      <c r="D686" s="3">
        <v>4651.68</v>
      </c>
      <c r="E686" s="3">
        <v>0</v>
      </c>
      <c r="F686" t="s">
        <v>45</v>
      </c>
      <c r="G686" s="3">
        <f t="shared" si="74"/>
        <v>-4651.68</v>
      </c>
      <c r="H686" s="3">
        <f t="shared" si="75"/>
        <v>4651.68</v>
      </c>
      <c r="I686" s="5" t="str">
        <f t="shared" si="76"/>
        <v>017</v>
      </c>
      <c r="J686" s="5" t="str">
        <f t="shared" si="77"/>
        <v>2100</v>
      </c>
      <c r="K686" s="5" t="str">
        <f t="shared" si="78"/>
        <v>000</v>
      </c>
      <c r="L686" s="5">
        <f t="shared" si="79"/>
        <v>12</v>
      </c>
      <c r="M686" s="5">
        <f t="shared" si="80"/>
        <v>2011</v>
      </c>
    </row>
    <row r="687" spans="1:13" ht="17.45" customHeight="1" x14ac:dyDescent="0.25">
      <c r="A687" s="1">
        <f>DATE(2011,12,27)</f>
        <v>40904</v>
      </c>
      <c r="B687" t="s">
        <v>16</v>
      </c>
      <c r="C687" t="s">
        <v>8</v>
      </c>
      <c r="D687" s="3">
        <v>754.98950000000002</v>
      </c>
      <c r="E687" s="3">
        <v>0</v>
      </c>
      <c r="F687" t="s">
        <v>45</v>
      </c>
      <c r="G687" s="3">
        <f t="shared" si="74"/>
        <v>-754.98950000000002</v>
      </c>
      <c r="H687" s="3">
        <f t="shared" si="75"/>
        <v>754.98950000000002</v>
      </c>
      <c r="I687" s="5" t="str">
        <f t="shared" si="76"/>
        <v>017</v>
      </c>
      <c r="J687" s="5" t="str">
        <f t="shared" si="77"/>
        <v>2210</v>
      </c>
      <c r="K687" s="5" t="str">
        <f t="shared" si="78"/>
        <v>000</v>
      </c>
      <c r="L687" s="5">
        <f t="shared" si="79"/>
        <v>12</v>
      </c>
      <c r="M687" s="5">
        <f t="shared" si="80"/>
        <v>2011</v>
      </c>
    </row>
    <row r="688" spans="1:13" ht="17.45" customHeight="1" x14ac:dyDescent="0.25">
      <c r="A688" s="1">
        <f>DATE(2011,12,27)</f>
        <v>40904</v>
      </c>
      <c r="B688" t="s">
        <v>17</v>
      </c>
      <c r="C688" t="s">
        <v>9</v>
      </c>
      <c r="D688" s="3">
        <v>125.95500000000001</v>
      </c>
      <c r="E688" s="3">
        <v>0</v>
      </c>
      <c r="F688" t="s">
        <v>45</v>
      </c>
      <c r="G688" s="3">
        <f t="shared" si="74"/>
        <v>-125.95500000000001</v>
      </c>
      <c r="H688" s="3">
        <f t="shared" si="75"/>
        <v>125.95500000000001</v>
      </c>
      <c r="I688" s="5" t="str">
        <f t="shared" si="76"/>
        <v>017</v>
      </c>
      <c r="J688" s="5" t="str">
        <f t="shared" si="77"/>
        <v>2220</v>
      </c>
      <c r="K688" s="5" t="str">
        <f t="shared" si="78"/>
        <v>000</v>
      </c>
      <c r="L688" s="5">
        <f t="shared" si="79"/>
        <v>12</v>
      </c>
      <c r="M688" s="5">
        <f t="shared" si="80"/>
        <v>2011</v>
      </c>
    </row>
    <row r="689" spans="1:13" ht="17.45" customHeight="1" x14ac:dyDescent="0.25">
      <c r="A689" s="1">
        <f>DATE(2011,12,27)</f>
        <v>40904</v>
      </c>
      <c r="B689" t="s">
        <v>18</v>
      </c>
      <c r="C689" t="s">
        <v>10</v>
      </c>
      <c r="D689" s="3">
        <v>63.063000000000002</v>
      </c>
      <c r="E689" s="3">
        <v>0</v>
      </c>
      <c r="F689" t="s">
        <v>45</v>
      </c>
      <c r="G689" s="3">
        <f t="shared" si="74"/>
        <v>-63.063000000000002</v>
      </c>
      <c r="H689" s="3">
        <f t="shared" si="75"/>
        <v>63.063000000000002</v>
      </c>
      <c r="I689" s="5" t="str">
        <f t="shared" si="76"/>
        <v>017</v>
      </c>
      <c r="J689" s="5" t="str">
        <f t="shared" si="77"/>
        <v>2230</v>
      </c>
      <c r="K689" s="5" t="str">
        <f t="shared" si="78"/>
        <v>000</v>
      </c>
      <c r="L689" s="5">
        <f t="shared" si="79"/>
        <v>12</v>
      </c>
      <c r="M689" s="5">
        <f t="shared" si="80"/>
        <v>2011</v>
      </c>
    </row>
    <row r="690" spans="1:13" ht="17.45" customHeight="1" x14ac:dyDescent="0.25">
      <c r="A690" s="1">
        <f>DATE(2011,12,28)</f>
        <v>40905</v>
      </c>
      <c r="B690" t="s">
        <v>15</v>
      </c>
      <c r="C690" t="s">
        <v>6</v>
      </c>
      <c r="D690" s="3">
        <v>4347.5200000000004</v>
      </c>
      <c r="E690" s="3">
        <v>0</v>
      </c>
      <c r="F690" t="s">
        <v>45</v>
      </c>
      <c r="G690" s="3">
        <f t="shared" si="74"/>
        <v>-4347.5200000000004</v>
      </c>
      <c r="H690" s="3">
        <f t="shared" si="75"/>
        <v>4347.5200000000004</v>
      </c>
      <c r="I690" s="5" t="str">
        <f t="shared" si="76"/>
        <v>017</v>
      </c>
      <c r="J690" s="5" t="str">
        <f t="shared" si="77"/>
        <v>2100</v>
      </c>
      <c r="K690" s="5" t="str">
        <f t="shared" si="78"/>
        <v>000</v>
      </c>
      <c r="L690" s="5">
        <f t="shared" si="79"/>
        <v>12</v>
      </c>
      <c r="M690" s="5">
        <f t="shared" si="80"/>
        <v>2011</v>
      </c>
    </row>
    <row r="691" spans="1:13" ht="17.45" customHeight="1" x14ac:dyDescent="0.25">
      <c r="A691" s="1">
        <f>DATE(2011,12,28)</f>
        <v>40905</v>
      </c>
      <c r="B691" t="s">
        <v>16</v>
      </c>
      <c r="C691" t="s">
        <v>8</v>
      </c>
      <c r="D691" s="3">
        <v>1095.2370000000001</v>
      </c>
      <c r="E691" s="3">
        <v>0</v>
      </c>
      <c r="F691" t="s">
        <v>45</v>
      </c>
      <c r="G691" s="3">
        <f t="shared" si="74"/>
        <v>-1095.2370000000001</v>
      </c>
      <c r="H691" s="3">
        <f t="shared" si="75"/>
        <v>1095.2370000000001</v>
      </c>
      <c r="I691" s="5" t="str">
        <f t="shared" si="76"/>
        <v>017</v>
      </c>
      <c r="J691" s="5" t="str">
        <f t="shared" si="77"/>
        <v>2210</v>
      </c>
      <c r="K691" s="5" t="str">
        <f t="shared" si="78"/>
        <v>000</v>
      </c>
      <c r="L691" s="5">
        <f t="shared" si="79"/>
        <v>12</v>
      </c>
      <c r="M691" s="5">
        <f t="shared" si="80"/>
        <v>2011</v>
      </c>
    </row>
    <row r="692" spans="1:13" ht="17.45" customHeight="1" x14ac:dyDescent="0.25">
      <c r="A692" s="1">
        <f>DATE(2011,12,28)</f>
        <v>40905</v>
      </c>
      <c r="B692" t="s">
        <v>17</v>
      </c>
      <c r="C692" t="s">
        <v>9</v>
      </c>
      <c r="D692" s="3">
        <v>253.84</v>
      </c>
      <c r="E692" s="3">
        <v>0</v>
      </c>
      <c r="F692" t="s">
        <v>45</v>
      </c>
      <c r="G692" s="3">
        <f t="shared" si="74"/>
        <v>-253.84</v>
      </c>
      <c r="H692" s="3">
        <f t="shared" si="75"/>
        <v>253.84</v>
      </c>
      <c r="I692" s="5" t="str">
        <f t="shared" si="76"/>
        <v>017</v>
      </c>
      <c r="J692" s="5" t="str">
        <f t="shared" si="77"/>
        <v>2220</v>
      </c>
      <c r="K692" s="5" t="str">
        <f t="shared" si="78"/>
        <v>000</v>
      </c>
      <c r="L692" s="5">
        <f t="shared" si="79"/>
        <v>12</v>
      </c>
      <c r="M692" s="5">
        <f t="shared" si="80"/>
        <v>2011</v>
      </c>
    </row>
    <row r="693" spans="1:13" ht="17.45" customHeight="1" x14ac:dyDescent="0.25">
      <c r="A693" s="1">
        <f>DATE(2011,12,28)</f>
        <v>40905</v>
      </c>
      <c r="B693" t="s">
        <v>18</v>
      </c>
      <c r="C693" t="s">
        <v>10</v>
      </c>
      <c r="D693" s="3">
        <v>128.03700000000001</v>
      </c>
      <c r="E693" s="3">
        <v>0</v>
      </c>
      <c r="F693" t="s">
        <v>45</v>
      </c>
      <c r="G693" s="3">
        <f t="shared" si="74"/>
        <v>-128.03700000000001</v>
      </c>
      <c r="H693" s="3">
        <f t="shared" si="75"/>
        <v>128.03700000000001</v>
      </c>
      <c r="I693" s="5" t="str">
        <f t="shared" si="76"/>
        <v>017</v>
      </c>
      <c r="J693" s="5" t="str">
        <f t="shared" si="77"/>
        <v>2230</v>
      </c>
      <c r="K693" s="5" t="str">
        <f t="shared" si="78"/>
        <v>000</v>
      </c>
      <c r="L693" s="5">
        <f t="shared" si="79"/>
        <v>12</v>
      </c>
      <c r="M693" s="5">
        <f t="shared" si="80"/>
        <v>2011</v>
      </c>
    </row>
    <row r="694" spans="1:13" ht="17.45" customHeight="1" x14ac:dyDescent="0.25">
      <c r="A694" s="1">
        <f t="shared" ref="A694:A697" si="81">DATE(2011,12,29)</f>
        <v>40906</v>
      </c>
      <c r="B694" t="s">
        <v>15</v>
      </c>
      <c r="C694" t="s">
        <v>6</v>
      </c>
      <c r="D694" s="3">
        <v>7643.1330000000007</v>
      </c>
      <c r="E694" s="3">
        <v>0</v>
      </c>
      <c r="F694" t="s">
        <v>45</v>
      </c>
      <c r="G694" s="3">
        <f t="shared" si="74"/>
        <v>-7643.1330000000007</v>
      </c>
      <c r="H694" s="3">
        <f t="shared" si="75"/>
        <v>7643.1330000000007</v>
      </c>
      <c r="I694" s="5" t="str">
        <f t="shared" si="76"/>
        <v>017</v>
      </c>
      <c r="J694" s="5" t="str">
        <f t="shared" si="77"/>
        <v>2100</v>
      </c>
      <c r="K694" s="5" t="str">
        <f t="shared" si="78"/>
        <v>000</v>
      </c>
      <c r="L694" s="5">
        <f t="shared" si="79"/>
        <v>12</v>
      </c>
      <c r="M694" s="5">
        <f t="shared" si="80"/>
        <v>2011</v>
      </c>
    </row>
    <row r="695" spans="1:13" ht="17.45" customHeight="1" x14ac:dyDescent="0.25">
      <c r="A695" s="1">
        <f t="shared" si="81"/>
        <v>40906</v>
      </c>
      <c r="B695" t="s">
        <v>16</v>
      </c>
      <c r="C695" t="s">
        <v>8</v>
      </c>
      <c r="D695" s="3">
        <v>1437.8055000000002</v>
      </c>
      <c r="E695" s="3">
        <v>0</v>
      </c>
      <c r="F695" t="s">
        <v>45</v>
      </c>
      <c r="G695" s="3">
        <f t="shared" si="74"/>
        <v>-1437.8055000000002</v>
      </c>
      <c r="H695" s="3">
        <f t="shared" si="75"/>
        <v>1437.8055000000002</v>
      </c>
      <c r="I695" s="5" t="str">
        <f t="shared" si="76"/>
        <v>017</v>
      </c>
      <c r="J695" s="5" t="str">
        <f t="shared" si="77"/>
        <v>2210</v>
      </c>
      <c r="K695" s="5" t="str">
        <f t="shared" si="78"/>
        <v>000</v>
      </c>
      <c r="L695" s="5">
        <f t="shared" si="79"/>
        <v>12</v>
      </c>
      <c r="M695" s="5">
        <f t="shared" si="80"/>
        <v>2011</v>
      </c>
    </row>
    <row r="696" spans="1:13" ht="17.45" customHeight="1" x14ac:dyDescent="0.25">
      <c r="A696" s="1">
        <f t="shared" si="81"/>
        <v>40906</v>
      </c>
      <c r="B696" t="s">
        <v>17</v>
      </c>
      <c r="C696" t="s">
        <v>9</v>
      </c>
      <c r="D696" s="3">
        <v>253.79</v>
      </c>
      <c r="E696" s="3">
        <v>0</v>
      </c>
      <c r="F696" t="s">
        <v>45</v>
      </c>
      <c r="G696" s="3">
        <f t="shared" si="74"/>
        <v>-253.79</v>
      </c>
      <c r="H696" s="3">
        <f t="shared" si="75"/>
        <v>253.79</v>
      </c>
      <c r="I696" s="5" t="str">
        <f t="shared" si="76"/>
        <v>017</v>
      </c>
      <c r="J696" s="5" t="str">
        <f t="shared" si="77"/>
        <v>2220</v>
      </c>
      <c r="K696" s="5" t="str">
        <f t="shared" si="78"/>
        <v>000</v>
      </c>
      <c r="L696" s="5">
        <f t="shared" si="79"/>
        <v>12</v>
      </c>
      <c r="M696" s="5">
        <f t="shared" si="80"/>
        <v>2011</v>
      </c>
    </row>
    <row r="697" spans="1:13" ht="17.45" customHeight="1" x14ac:dyDescent="0.25">
      <c r="A697" s="1">
        <f t="shared" si="81"/>
        <v>40906</v>
      </c>
      <c r="B697" t="s">
        <v>18</v>
      </c>
      <c r="C697" t="s">
        <v>10</v>
      </c>
      <c r="D697" s="3">
        <v>130.61299999999997</v>
      </c>
      <c r="E697" s="3">
        <v>0</v>
      </c>
      <c r="F697" t="s">
        <v>45</v>
      </c>
      <c r="G697" s="3">
        <f t="shared" si="74"/>
        <v>-130.61299999999997</v>
      </c>
      <c r="H697" s="3">
        <f t="shared" si="75"/>
        <v>130.61299999999997</v>
      </c>
      <c r="I697" s="5" t="str">
        <f t="shared" si="76"/>
        <v>017</v>
      </c>
      <c r="J697" s="5" t="str">
        <f t="shared" si="77"/>
        <v>2230</v>
      </c>
      <c r="K697" s="5" t="str">
        <f t="shared" si="78"/>
        <v>000</v>
      </c>
      <c r="L697" s="5">
        <f t="shared" si="79"/>
        <v>12</v>
      </c>
      <c r="M697" s="5">
        <f t="shared" si="80"/>
        <v>2011</v>
      </c>
    </row>
    <row r="698" spans="1:13" ht="17.45" customHeight="1" x14ac:dyDescent="0.25">
      <c r="A698" s="1">
        <f>DATE(2011,12,30)</f>
        <v>40907</v>
      </c>
      <c r="B698" t="s">
        <v>15</v>
      </c>
      <c r="C698" t="s">
        <v>6</v>
      </c>
      <c r="D698" s="3">
        <v>9063.9195</v>
      </c>
      <c r="E698" s="3">
        <v>0</v>
      </c>
      <c r="F698" t="s">
        <v>45</v>
      </c>
      <c r="G698" s="3">
        <f t="shared" si="74"/>
        <v>-9063.9195</v>
      </c>
      <c r="H698" s="3">
        <f t="shared" si="75"/>
        <v>9063.9195</v>
      </c>
      <c r="I698" s="5" t="str">
        <f t="shared" si="76"/>
        <v>017</v>
      </c>
      <c r="J698" s="5" t="str">
        <f t="shared" si="77"/>
        <v>2100</v>
      </c>
      <c r="K698" s="5" t="str">
        <f t="shared" si="78"/>
        <v>000</v>
      </c>
      <c r="L698" s="5">
        <f t="shared" si="79"/>
        <v>12</v>
      </c>
      <c r="M698" s="5">
        <f t="shared" si="80"/>
        <v>2011</v>
      </c>
    </row>
    <row r="699" spans="1:13" ht="17.45" customHeight="1" x14ac:dyDescent="0.25">
      <c r="A699" s="1">
        <f>DATE(2011,12,30)</f>
        <v>40907</v>
      </c>
      <c r="B699" t="s">
        <v>16</v>
      </c>
      <c r="C699" t="s">
        <v>8</v>
      </c>
      <c r="D699" s="3">
        <v>2318.7150000000001</v>
      </c>
      <c r="E699" s="3">
        <v>0</v>
      </c>
      <c r="F699" t="s">
        <v>45</v>
      </c>
      <c r="G699" s="3">
        <f t="shared" si="74"/>
        <v>-2318.7150000000001</v>
      </c>
      <c r="H699" s="3">
        <f t="shared" si="75"/>
        <v>2318.7150000000001</v>
      </c>
      <c r="I699" s="5" t="str">
        <f t="shared" si="76"/>
        <v>017</v>
      </c>
      <c r="J699" s="5" t="str">
        <f t="shared" si="77"/>
        <v>2210</v>
      </c>
      <c r="K699" s="5" t="str">
        <f t="shared" si="78"/>
        <v>000</v>
      </c>
      <c r="L699" s="5">
        <f t="shared" si="79"/>
        <v>12</v>
      </c>
      <c r="M699" s="5">
        <f t="shared" si="80"/>
        <v>2011</v>
      </c>
    </row>
    <row r="700" spans="1:13" ht="17.45" customHeight="1" x14ac:dyDescent="0.25">
      <c r="A700" s="1">
        <f>DATE(2011,12,30)</f>
        <v>40907</v>
      </c>
      <c r="B700" t="s">
        <v>17</v>
      </c>
      <c r="C700" t="s">
        <v>9</v>
      </c>
      <c r="D700" s="3">
        <v>268.10000000000002</v>
      </c>
      <c r="E700" s="3">
        <v>0</v>
      </c>
      <c r="F700" t="s">
        <v>45</v>
      </c>
      <c r="G700" s="3">
        <f t="shared" si="74"/>
        <v>-268.10000000000002</v>
      </c>
      <c r="H700" s="3">
        <f t="shared" si="75"/>
        <v>268.10000000000002</v>
      </c>
      <c r="I700" s="5" t="str">
        <f t="shared" si="76"/>
        <v>017</v>
      </c>
      <c r="J700" s="5" t="str">
        <f t="shared" si="77"/>
        <v>2220</v>
      </c>
      <c r="K700" s="5" t="str">
        <f t="shared" si="78"/>
        <v>000</v>
      </c>
      <c r="L700" s="5">
        <f t="shared" si="79"/>
        <v>12</v>
      </c>
      <c r="M700" s="5">
        <f t="shared" si="80"/>
        <v>2011</v>
      </c>
    </row>
    <row r="701" spans="1:13" ht="17.45" customHeight="1" x14ac:dyDescent="0.25">
      <c r="A701" s="1">
        <f>DATE(2011,12,30)</f>
        <v>40907</v>
      </c>
      <c r="B701" t="s">
        <v>18</v>
      </c>
      <c r="C701" t="s">
        <v>10</v>
      </c>
      <c r="D701" s="3">
        <v>135.71250000000001</v>
      </c>
      <c r="E701" s="3">
        <v>0</v>
      </c>
      <c r="F701" t="s">
        <v>45</v>
      </c>
      <c r="G701" s="3">
        <f t="shared" si="74"/>
        <v>-135.71250000000001</v>
      </c>
      <c r="H701" s="3">
        <f t="shared" si="75"/>
        <v>135.71250000000001</v>
      </c>
      <c r="I701" s="5" t="str">
        <f t="shared" si="76"/>
        <v>017</v>
      </c>
      <c r="J701" s="5" t="str">
        <f t="shared" si="77"/>
        <v>2230</v>
      </c>
      <c r="K701" s="5" t="str">
        <f t="shared" si="78"/>
        <v>000</v>
      </c>
      <c r="L701" s="5">
        <f t="shared" si="79"/>
        <v>12</v>
      </c>
      <c r="M701" s="5">
        <f t="shared" si="80"/>
        <v>2011</v>
      </c>
    </row>
    <row r="702" spans="1:13" ht="17.45" customHeight="1" x14ac:dyDescent="0.25">
      <c r="A702" s="1">
        <f>DATE(2011,12,31)</f>
        <v>40908</v>
      </c>
      <c r="B702" t="s">
        <v>15</v>
      </c>
      <c r="C702" t="s">
        <v>6</v>
      </c>
      <c r="D702" s="3">
        <v>4724.4844999999996</v>
      </c>
      <c r="E702" s="3">
        <v>0</v>
      </c>
      <c r="F702" t="s">
        <v>45</v>
      </c>
      <c r="G702" s="3">
        <f t="shared" si="74"/>
        <v>-4724.4844999999996</v>
      </c>
      <c r="H702" s="3">
        <f t="shared" si="75"/>
        <v>4724.4844999999996</v>
      </c>
      <c r="I702" s="5" t="str">
        <f t="shared" si="76"/>
        <v>017</v>
      </c>
      <c r="J702" s="5" t="str">
        <f t="shared" si="77"/>
        <v>2100</v>
      </c>
      <c r="K702" s="5" t="str">
        <f t="shared" si="78"/>
        <v>000</v>
      </c>
      <c r="L702" s="5">
        <f t="shared" si="79"/>
        <v>12</v>
      </c>
      <c r="M702" s="5">
        <f t="shared" si="80"/>
        <v>2011</v>
      </c>
    </row>
    <row r="703" spans="1:13" ht="17.45" customHeight="1" x14ac:dyDescent="0.25">
      <c r="A703" s="1">
        <f>DATE(2011,12,31)</f>
        <v>40908</v>
      </c>
      <c r="B703" t="s">
        <v>16</v>
      </c>
      <c r="C703" t="s">
        <v>8</v>
      </c>
      <c r="D703" s="3">
        <v>1351.626</v>
      </c>
      <c r="E703" s="3">
        <v>0</v>
      </c>
      <c r="F703" t="s">
        <v>45</v>
      </c>
      <c r="G703" s="3">
        <f t="shared" si="74"/>
        <v>-1351.626</v>
      </c>
      <c r="H703" s="3">
        <f t="shared" si="75"/>
        <v>1351.626</v>
      </c>
      <c r="I703" s="5" t="str">
        <f t="shared" si="76"/>
        <v>017</v>
      </c>
      <c r="J703" s="5" t="str">
        <f t="shared" si="77"/>
        <v>2210</v>
      </c>
      <c r="K703" s="5" t="str">
        <f t="shared" si="78"/>
        <v>000</v>
      </c>
      <c r="L703" s="5">
        <f t="shared" si="79"/>
        <v>12</v>
      </c>
      <c r="M703" s="5">
        <f t="shared" si="80"/>
        <v>2011</v>
      </c>
    </row>
    <row r="704" spans="1:13" ht="17.45" customHeight="1" x14ac:dyDescent="0.25">
      <c r="A704" s="1">
        <f>DATE(2011,12,31)</f>
        <v>40908</v>
      </c>
      <c r="B704" t="s">
        <v>17</v>
      </c>
      <c r="C704" t="s">
        <v>9</v>
      </c>
      <c r="D704" s="3">
        <v>168.1</v>
      </c>
      <c r="E704" s="3">
        <v>0</v>
      </c>
      <c r="F704" t="s">
        <v>45</v>
      </c>
      <c r="G704" s="3">
        <f t="shared" si="74"/>
        <v>-168.1</v>
      </c>
      <c r="H704" s="3">
        <f t="shared" si="75"/>
        <v>168.1</v>
      </c>
      <c r="I704" s="5" t="str">
        <f t="shared" si="76"/>
        <v>017</v>
      </c>
      <c r="J704" s="5" t="str">
        <f t="shared" si="77"/>
        <v>2220</v>
      </c>
      <c r="K704" s="5" t="str">
        <f t="shared" si="78"/>
        <v>000</v>
      </c>
      <c r="L704" s="5">
        <f t="shared" si="79"/>
        <v>12</v>
      </c>
      <c r="M704" s="5">
        <f t="shared" si="80"/>
        <v>2011</v>
      </c>
    </row>
    <row r="705" spans="1:13" ht="17.45" customHeight="1" x14ac:dyDescent="0.25">
      <c r="A705" s="1">
        <f>DATE(2011,12,31)</f>
        <v>40908</v>
      </c>
      <c r="B705" t="s">
        <v>18</v>
      </c>
      <c r="C705" t="s">
        <v>10</v>
      </c>
      <c r="D705" s="3">
        <v>21.677500000000002</v>
      </c>
      <c r="E705" s="3">
        <v>0</v>
      </c>
      <c r="F705" t="s">
        <v>45</v>
      </c>
      <c r="G705" s="3">
        <f t="shared" si="74"/>
        <v>-21.677500000000002</v>
      </c>
      <c r="H705" s="3">
        <f t="shared" si="75"/>
        <v>21.677500000000002</v>
      </c>
      <c r="I705" s="5" t="str">
        <f t="shared" si="76"/>
        <v>017</v>
      </c>
      <c r="J705" s="5" t="str">
        <f t="shared" si="77"/>
        <v>2230</v>
      </c>
      <c r="K705" s="5" t="str">
        <f t="shared" si="78"/>
        <v>000</v>
      </c>
      <c r="L705" s="5">
        <f t="shared" si="79"/>
        <v>12</v>
      </c>
      <c r="M705" s="5">
        <f t="shared" si="80"/>
        <v>2011</v>
      </c>
    </row>
    <row r="706" spans="1:13" ht="17.45" customHeight="1" x14ac:dyDescent="0.25">
      <c r="A706" s="1">
        <f>DATE(2012,1,1)</f>
        <v>40909</v>
      </c>
      <c r="B706" t="s">
        <v>19</v>
      </c>
      <c r="C706" t="s">
        <v>6</v>
      </c>
      <c r="D706" s="3">
        <v>6223.8474999999999</v>
      </c>
      <c r="E706" s="3">
        <v>0</v>
      </c>
      <c r="F706" t="s">
        <v>45</v>
      </c>
      <c r="G706" s="3">
        <f t="shared" ref="G706:G769" si="82">E706-D706</f>
        <v>-6223.8474999999999</v>
      </c>
      <c r="H706" s="3">
        <f t="shared" ref="H706:H769" si="83">ABS(G706)</f>
        <v>6223.8474999999999</v>
      </c>
      <c r="I706" s="5" t="str">
        <f t="shared" ref="I706:I769" si="84">MID(B706,1,3)</f>
        <v>018</v>
      </c>
      <c r="J706" s="5" t="str">
        <f t="shared" ref="J706:J769" si="85">MID(B706,5,4)</f>
        <v>2100</v>
      </c>
      <c r="K706" s="5" t="str">
        <f t="shared" ref="K706:K769" si="86">MID(B706,10,3)</f>
        <v>000</v>
      </c>
      <c r="L706" s="5">
        <f t="shared" ref="L706:L769" si="87">MONTH(A706)</f>
        <v>1</v>
      </c>
      <c r="M706" s="5">
        <f t="shared" ref="M706:M769" si="88">YEAR(A706)</f>
        <v>2012</v>
      </c>
    </row>
    <row r="707" spans="1:13" ht="17.45" customHeight="1" x14ac:dyDescent="0.25">
      <c r="A707" s="1">
        <f>DATE(2012,1,1)</f>
        <v>40909</v>
      </c>
      <c r="B707" t="s">
        <v>20</v>
      </c>
      <c r="C707" t="s">
        <v>8</v>
      </c>
      <c r="D707" s="3">
        <v>848.39700000000005</v>
      </c>
      <c r="E707" s="3">
        <v>0</v>
      </c>
      <c r="F707" t="s">
        <v>45</v>
      </c>
      <c r="G707" s="3">
        <f t="shared" si="82"/>
        <v>-848.39700000000005</v>
      </c>
      <c r="H707" s="3">
        <f t="shared" si="83"/>
        <v>848.39700000000005</v>
      </c>
      <c r="I707" s="5" t="str">
        <f t="shared" si="84"/>
        <v>018</v>
      </c>
      <c r="J707" s="5" t="str">
        <f t="shared" si="85"/>
        <v>2210</v>
      </c>
      <c r="K707" s="5" t="str">
        <f t="shared" si="86"/>
        <v>000</v>
      </c>
      <c r="L707" s="5">
        <f t="shared" si="87"/>
        <v>1</v>
      </c>
      <c r="M707" s="5">
        <f t="shared" si="88"/>
        <v>2012</v>
      </c>
    </row>
    <row r="708" spans="1:13" ht="17.45" customHeight="1" x14ac:dyDescent="0.25">
      <c r="A708" s="1">
        <f>DATE(2012,1,1)</f>
        <v>40909</v>
      </c>
      <c r="B708" t="s">
        <v>21</v>
      </c>
      <c r="C708" t="s">
        <v>9</v>
      </c>
      <c r="D708" s="3">
        <v>104.13</v>
      </c>
      <c r="E708" s="3">
        <v>0</v>
      </c>
      <c r="F708" t="s">
        <v>45</v>
      </c>
      <c r="G708" s="3">
        <f t="shared" si="82"/>
        <v>-104.13</v>
      </c>
      <c r="H708" s="3">
        <f t="shared" si="83"/>
        <v>104.13</v>
      </c>
      <c r="I708" s="5" t="str">
        <f t="shared" si="84"/>
        <v>018</v>
      </c>
      <c r="J708" s="5" t="str">
        <f t="shared" si="85"/>
        <v>2220</v>
      </c>
      <c r="K708" s="5" t="str">
        <f t="shared" si="86"/>
        <v>000</v>
      </c>
      <c r="L708" s="5">
        <f t="shared" si="87"/>
        <v>1</v>
      </c>
      <c r="M708" s="5">
        <f t="shared" si="88"/>
        <v>2012</v>
      </c>
    </row>
    <row r="709" spans="1:13" ht="17.45" customHeight="1" x14ac:dyDescent="0.25">
      <c r="A709" s="1">
        <f>DATE(2012,1,1)</f>
        <v>40909</v>
      </c>
      <c r="B709" t="s">
        <v>22</v>
      </c>
      <c r="C709" t="s">
        <v>10</v>
      </c>
      <c r="D709" s="3">
        <v>92.814999999999998</v>
      </c>
      <c r="E709" s="3">
        <v>0</v>
      </c>
      <c r="F709" t="s">
        <v>45</v>
      </c>
      <c r="G709" s="3">
        <f t="shared" si="82"/>
        <v>-92.814999999999998</v>
      </c>
      <c r="H709" s="3">
        <f t="shared" si="83"/>
        <v>92.814999999999998</v>
      </c>
      <c r="I709" s="5" t="str">
        <f t="shared" si="84"/>
        <v>018</v>
      </c>
      <c r="J709" s="5" t="str">
        <f t="shared" si="85"/>
        <v>2230</v>
      </c>
      <c r="K709" s="5" t="str">
        <f t="shared" si="86"/>
        <v>000</v>
      </c>
      <c r="L709" s="5">
        <f t="shared" si="87"/>
        <v>1</v>
      </c>
      <c r="M709" s="5">
        <f t="shared" si="88"/>
        <v>2012</v>
      </c>
    </row>
    <row r="710" spans="1:13" ht="17.45" customHeight="1" x14ac:dyDescent="0.25">
      <c r="A710" s="1">
        <f>DATE(2011,12,26)</f>
        <v>40903</v>
      </c>
      <c r="B710" t="s">
        <v>19</v>
      </c>
      <c r="C710" t="s">
        <v>6</v>
      </c>
      <c r="D710" s="3">
        <v>9581.8883999999998</v>
      </c>
      <c r="E710" s="3">
        <v>0</v>
      </c>
      <c r="F710" t="s">
        <v>45</v>
      </c>
      <c r="G710" s="3">
        <f t="shared" si="82"/>
        <v>-9581.8883999999998</v>
      </c>
      <c r="H710" s="3">
        <f t="shared" si="83"/>
        <v>9581.8883999999998</v>
      </c>
      <c r="I710" s="5" t="str">
        <f t="shared" si="84"/>
        <v>018</v>
      </c>
      <c r="J710" s="5" t="str">
        <f t="shared" si="85"/>
        <v>2100</v>
      </c>
      <c r="K710" s="5" t="str">
        <f t="shared" si="86"/>
        <v>000</v>
      </c>
      <c r="L710" s="5">
        <f t="shared" si="87"/>
        <v>12</v>
      </c>
      <c r="M710" s="5">
        <f t="shared" si="88"/>
        <v>2011</v>
      </c>
    </row>
    <row r="711" spans="1:13" ht="17.45" customHeight="1" x14ac:dyDescent="0.25">
      <c r="A711" s="1">
        <f>DATE(2011,12,26)</f>
        <v>40903</v>
      </c>
      <c r="B711" t="s">
        <v>20</v>
      </c>
      <c r="C711" t="s">
        <v>8</v>
      </c>
      <c r="D711" s="3">
        <v>1235.5205000000001</v>
      </c>
      <c r="E711" s="3">
        <v>0</v>
      </c>
      <c r="F711" t="s">
        <v>45</v>
      </c>
      <c r="G711" s="3">
        <f t="shared" si="82"/>
        <v>-1235.5205000000001</v>
      </c>
      <c r="H711" s="3">
        <f t="shared" si="83"/>
        <v>1235.5205000000001</v>
      </c>
      <c r="I711" s="5" t="str">
        <f t="shared" si="84"/>
        <v>018</v>
      </c>
      <c r="J711" s="5" t="str">
        <f t="shared" si="85"/>
        <v>2210</v>
      </c>
      <c r="K711" s="5" t="str">
        <f t="shared" si="86"/>
        <v>000</v>
      </c>
      <c r="L711" s="5">
        <f t="shared" si="87"/>
        <v>12</v>
      </c>
      <c r="M711" s="5">
        <f t="shared" si="88"/>
        <v>2011</v>
      </c>
    </row>
    <row r="712" spans="1:13" ht="17.45" customHeight="1" x14ac:dyDescent="0.25">
      <c r="A712" s="1">
        <f>DATE(2011,12,26)</f>
        <v>40903</v>
      </c>
      <c r="B712" t="s">
        <v>21</v>
      </c>
      <c r="C712" t="s">
        <v>9</v>
      </c>
      <c r="D712" s="3">
        <v>268.15750000000003</v>
      </c>
      <c r="E712" s="3">
        <v>0</v>
      </c>
      <c r="F712" t="s">
        <v>45</v>
      </c>
      <c r="G712" s="3">
        <f t="shared" si="82"/>
        <v>-268.15750000000003</v>
      </c>
      <c r="H712" s="3">
        <f t="shared" si="83"/>
        <v>268.15750000000003</v>
      </c>
      <c r="I712" s="5" t="str">
        <f t="shared" si="84"/>
        <v>018</v>
      </c>
      <c r="J712" s="5" t="str">
        <f t="shared" si="85"/>
        <v>2220</v>
      </c>
      <c r="K712" s="5" t="str">
        <f t="shared" si="86"/>
        <v>000</v>
      </c>
      <c r="L712" s="5">
        <f t="shared" si="87"/>
        <v>12</v>
      </c>
      <c r="M712" s="5">
        <f t="shared" si="88"/>
        <v>2011</v>
      </c>
    </row>
    <row r="713" spans="1:13" ht="17.45" customHeight="1" x14ac:dyDescent="0.25">
      <c r="A713" s="1">
        <f>DATE(2011,12,26)</f>
        <v>40903</v>
      </c>
      <c r="B713" t="s">
        <v>22</v>
      </c>
      <c r="C713" t="s">
        <v>10</v>
      </c>
      <c r="D713" s="3">
        <v>83.537999999999997</v>
      </c>
      <c r="E713" s="3">
        <v>0</v>
      </c>
      <c r="F713" t="s">
        <v>45</v>
      </c>
      <c r="G713" s="3">
        <f t="shared" si="82"/>
        <v>-83.537999999999997</v>
      </c>
      <c r="H713" s="3">
        <f t="shared" si="83"/>
        <v>83.537999999999997</v>
      </c>
      <c r="I713" s="5" t="str">
        <f t="shared" si="84"/>
        <v>018</v>
      </c>
      <c r="J713" s="5" t="str">
        <f t="shared" si="85"/>
        <v>2230</v>
      </c>
      <c r="K713" s="5" t="str">
        <f t="shared" si="86"/>
        <v>000</v>
      </c>
      <c r="L713" s="5">
        <f t="shared" si="87"/>
        <v>12</v>
      </c>
      <c r="M713" s="5">
        <f t="shared" si="88"/>
        <v>2011</v>
      </c>
    </row>
    <row r="714" spans="1:13" ht="17.45" customHeight="1" x14ac:dyDescent="0.25">
      <c r="A714" s="1">
        <f>DATE(2011,12,27)</f>
        <v>40904</v>
      </c>
      <c r="B714" t="s">
        <v>19</v>
      </c>
      <c r="C714" t="s">
        <v>6</v>
      </c>
      <c r="D714" s="3">
        <v>5494.6480000000001</v>
      </c>
      <c r="E714" s="3">
        <v>0</v>
      </c>
      <c r="F714" t="s">
        <v>45</v>
      </c>
      <c r="G714" s="3">
        <f t="shared" si="82"/>
        <v>-5494.6480000000001</v>
      </c>
      <c r="H714" s="3">
        <f t="shared" si="83"/>
        <v>5494.6480000000001</v>
      </c>
      <c r="I714" s="5" t="str">
        <f t="shared" si="84"/>
        <v>018</v>
      </c>
      <c r="J714" s="5" t="str">
        <f t="shared" si="85"/>
        <v>2100</v>
      </c>
      <c r="K714" s="5" t="str">
        <f t="shared" si="86"/>
        <v>000</v>
      </c>
      <c r="L714" s="5">
        <f t="shared" si="87"/>
        <v>12</v>
      </c>
      <c r="M714" s="5">
        <f t="shared" si="88"/>
        <v>2011</v>
      </c>
    </row>
    <row r="715" spans="1:13" ht="17.45" customHeight="1" x14ac:dyDescent="0.25">
      <c r="A715" s="1">
        <f>DATE(2011,12,27)</f>
        <v>40904</v>
      </c>
      <c r="B715" t="s">
        <v>20</v>
      </c>
      <c r="C715" t="s">
        <v>8</v>
      </c>
      <c r="D715" s="3">
        <v>621.49850000000004</v>
      </c>
      <c r="E715" s="3">
        <v>0</v>
      </c>
      <c r="F715" t="s">
        <v>45</v>
      </c>
      <c r="G715" s="3">
        <f t="shared" si="82"/>
        <v>-621.49850000000004</v>
      </c>
      <c r="H715" s="3">
        <f t="shared" si="83"/>
        <v>621.49850000000004</v>
      </c>
      <c r="I715" s="5" t="str">
        <f t="shared" si="84"/>
        <v>018</v>
      </c>
      <c r="J715" s="5" t="str">
        <f t="shared" si="85"/>
        <v>2210</v>
      </c>
      <c r="K715" s="5" t="str">
        <f t="shared" si="86"/>
        <v>000</v>
      </c>
      <c r="L715" s="5">
        <f t="shared" si="87"/>
        <v>12</v>
      </c>
      <c r="M715" s="5">
        <f t="shared" si="88"/>
        <v>2011</v>
      </c>
    </row>
    <row r="716" spans="1:13" ht="17.45" customHeight="1" x14ac:dyDescent="0.25">
      <c r="A716" s="1">
        <f>DATE(2011,12,27)</f>
        <v>40904</v>
      </c>
      <c r="B716" t="s">
        <v>21</v>
      </c>
      <c r="C716" t="s">
        <v>9</v>
      </c>
      <c r="D716" s="3">
        <v>147.744</v>
      </c>
      <c r="E716" s="3">
        <v>0</v>
      </c>
      <c r="F716" t="s">
        <v>45</v>
      </c>
      <c r="G716" s="3">
        <f t="shared" si="82"/>
        <v>-147.744</v>
      </c>
      <c r="H716" s="3">
        <f t="shared" si="83"/>
        <v>147.744</v>
      </c>
      <c r="I716" s="5" t="str">
        <f t="shared" si="84"/>
        <v>018</v>
      </c>
      <c r="J716" s="5" t="str">
        <f t="shared" si="85"/>
        <v>2220</v>
      </c>
      <c r="K716" s="5" t="str">
        <f t="shared" si="86"/>
        <v>000</v>
      </c>
      <c r="L716" s="5">
        <f t="shared" si="87"/>
        <v>12</v>
      </c>
      <c r="M716" s="5">
        <f t="shared" si="88"/>
        <v>2011</v>
      </c>
    </row>
    <row r="717" spans="1:13" ht="17.45" customHeight="1" x14ac:dyDescent="0.25">
      <c r="A717" s="1">
        <f>DATE(2011,12,27)</f>
        <v>40904</v>
      </c>
      <c r="B717" t="s">
        <v>22</v>
      </c>
      <c r="C717" t="s">
        <v>10</v>
      </c>
      <c r="D717" s="3">
        <v>59.57</v>
      </c>
      <c r="E717" s="3">
        <v>0</v>
      </c>
      <c r="F717" t="s">
        <v>45</v>
      </c>
      <c r="G717" s="3">
        <f t="shared" si="82"/>
        <v>-59.57</v>
      </c>
      <c r="H717" s="3">
        <f t="shared" si="83"/>
        <v>59.57</v>
      </c>
      <c r="I717" s="5" t="str">
        <f t="shared" si="84"/>
        <v>018</v>
      </c>
      <c r="J717" s="5" t="str">
        <f t="shared" si="85"/>
        <v>2230</v>
      </c>
      <c r="K717" s="5" t="str">
        <f t="shared" si="86"/>
        <v>000</v>
      </c>
      <c r="L717" s="5">
        <f t="shared" si="87"/>
        <v>12</v>
      </c>
      <c r="M717" s="5">
        <f t="shared" si="88"/>
        <v>2011</v>
      </c>
    </row>
    <row r="718" spans="1:13" ht="17.45" customHeight="1" x14ac:dyDescent="0.25">
      <c r="A718" s="1">
        <f>DATE(2011,12,28)</f>
        <v>40905</v>
      </c>
      <c r="B718" t="s">
        <v>19</v>
      </c>
      <c r="C718" t="s">
        <v>6</v>
      </c>
      <c r="D718" s="3">
        <v>5814.9860000000008</v>
      </c>
      <c r="E718" s="3">
        <v>0</v>
      </c>
      <c r="F718" t="s">
        <v>45</v>
      </c>
      <c r="G718" s="3">
        <f t="shared" si="82"/>
        <v>-5814.9860000000008</v>
      </c>
      <c r="H718" s="3">
        <f t="shared" si="83"/>
        <v>5814.9860000000008</v>
      </c>
      <c r="I718" s="5" t="str">
        <f t="shared" si="84"/>
        <v>018</v>
      </c>
      <c r="J718" s="5" t="str">
        <f t="shared" si="85"/>
        <v>2100</v>
      </c>
      <c r="K718" s="5" t="str">
        <f t="shared" si="86"/>
        <v>000</v>
      </c>
      <c r="L718" s="5">
        <f t="shared" si="87"/>
        <v>12</v>
      </c>
      <c r="M718" s="5">
        <f t="shared" si="88"/>
        <v>2011</v>
      </c>
    </row>
    <row r="719" spans="1:13" ht="17.45" customHeight="1" x14ac:dyDescent="0.25">
      <c r="A719" s="1">
        <f>DATE(2011,12,28)</f>
        <v>40905</v>
      </c>
      <c r="B719" t="s">
        <v>20</v>
      </c>
      <c r="C719" t="s">
        <v>8</v>
      </c>
      <c r="D719" s="3">
        <v>1309.8800000000001</v>
      </c>
      <c r="E719" s="3">
        <v>0</v>
      </c>
      <c r="F719" t="s">
        <v>45</v>
      </c>
      <c r="G719" s="3">
        <f t="shared" si="82"/>
        <v>-1309.8800000000001</v>
      </c>
      <c r="H719" s="3">
        <f t="shared" si="83"/>
        <v>1309.8800000000001</v>
      </c>
      <c r="I719" s="5" t="str">
        <f t="shared" si="84"/>
        <v>018</v>
      </c>
      <c r="J719" s="5" t="str">
        <f t="shared" si="85"/>
        <v>2210</v>
      </c>
      <c r="K719" s="5" t="str">
        <f t="shared" si="86"/>
        <v>000</v>
      </c>
      <c r="L719" s="5">
        <f t="shared" si="87"/>
        <v>12</v>
      </c>
      <c r="M719" s="5">
        <f t="shared" si="88"/>
        <v>2011</v>
      </c>
    </row>
    <row r="720" spans="1:13" ht="17.45" customHeight="1" x14ac:dyDescent="0.25">
      <c r="A720" s="1">
        <f>DATE(2011,12,28)</f>
        <v>40905</v>
      </c>
      <c r="B720" t="s">
        <v>21</v>
      </c>
      <c r="C720" t="s">
        <v>9</v>
      </c>
      <c r="D720" s="3">
        <v>169.22899999999998</v>
      </c>
      <c r="E720" s="3">
        <v>0</v>
      </c>
      <c r="F720" t="s">
        <v>45</v>
      </c>
      <c r="G720" s="3">
        <f t="shared" si="82"/>
        <v>-169.22899999999998</v>
      </c>
      <c r="H720" s="3">
        <f t="shared" si="83"/>
        <v>169.22899999999998</v>
      </c>
      <c r="I720" s="5" t="str">
        <f t="shared" si="84"/>
        <v>018</v>
      </c>
      <c r="J720" s="5" t="str">
        <f t="shared" si="85"/>
        <v>2220</v>
      </c>
      <c r="K720" s="5" t="str">
        <f t="shared" si="86"/>
        <v>000</v>
      </c>
      <c r="L720" s="5">
        <f t="shared" si="87"/>
        <v>12</v>
      </c>
      <c r="M720" s="5">
        <f t="shared" si="88"/>
        <v>2011</v>
      </c>
    </row>
    <row r="721" spans="1:13" ht="17.45" customHeight="1" x14ac:dyDescent="0.25">
      <c r="A721" s="1">
        <f>DATE(2011,12,28)</f>
        <v>40905</v>
      </c>
      <c r="B721" t="s">
        <v>22</v>
      </c>
      <c r="C721" t="s">
        <v>10</v>
      </c>
      <c r="D721" s="3">
        <v>99.521999999999991</v>
      </c>
      <c r="E721" s="3">
        <v>0</v>
      </c>
      <c r="F721" t="s">
        <v>45</v>
      </c>
      <c r="G721" s="3">
        <f t="shared" si="82"/>
        <v>-99.521999999999991</v>
      </c>
      <c r="H721" s="3">
        <f t="shared" si="83"/>
        <v>99.521999999999991</v>
      </c>
      <c r="I721" s="5" t="str">
        <f t="shared" si="84"/>
        <v>018</v>
      </c>
      <c r="J721" s="5" t="str">
        <f t="shared" si="85"/>
        <v>2230</v>
      </c>
      <c r="K721" s="5" t="str">
        <f t="shared" si="86"/>
        <v>000</v>
      </c>
      <c r="L721" s="5">
        <f t="shared" si="87"/>
        <v>12</v>
      </c>
      <c r="M721" s="5">
        <f t="shared" si="88"/>
        <v>2011</v>
      </c>
    </row>
    <row r="722" spans="1:13" ht="17.45" customHeight="1" x14ac:dyDescent="0.25">
      <c r="A722" s="1">
        <f>DATE(2011,12,29)</f>
        <v>40906</v>
      </c>
      <c r="B722" t="s">
        <v>19</v>
      </c>
      <c r="C722" t="s">
        <v>6</v>
      </c>
      <c r="D722" s="3">
        <v>5854.24</v>
      </c>
      <c r="E722" s="3">
        <v>0</v>
      </c>
      <c r="F722" t="s">
        <v>45</v>
      </c>
      <c r="G722" s="3">
        <f t="shared" si="82"/>
        <v>-5854.24</v>
      </c>
      <c r="H722" s="3">
        <f t="shared" si="83"/>
        <v>5854.24</v>
      </c>
      <c r="I722" s="5" t="str">
        <f t="shared" si="84"/>
        <v>018</v>
      </c>
      <c r="J722" s="5" t="str">
        <f t="shared" si="85"/>
        <v>2100</v>
      </c>
      <c r="K722" s="5" t="str">
        <f t="shared" si="86"/>
        <v>000</v>
      </c>
      <c r="L722" s="5">
        <f t="shared" si="87"/>
        <v>12</v>
      </c>
      <c r="M722" s="5">
        <f t="shared" si="88"/>
        <v>2011</v>
      </c>
    </row>
    <row r="723" spans="1:13" ht="17.45" customHeight="1" x14ac:dyDescent="0.25">
      <c r="A723" s="1">
        <f>DATE(2011,12,29)</f>
        <v>40906</v>
      </c>
      <c r="B723" t="s">
        <v>20</v>
      </c>
      <c r="C723" t="s">
        <v>8</v>
      </c>
      <c r="D723" s="3">
        <v>1244.607</v>
      </c>
      <c r="E723" s="3">
        <v>0</v>
      </c>
      <c r="F723" t="s">
        <v>45</v>
      </c>
      <c r="G723" s="3">
        <f t="shared" si="82"/>
        <v>-1244.607</v>
      </c>
      <c r="H723" s="3">
        <f t="shared" si="83"/>
        <v>1244.607</v>
      </c>
      <c r="I723" s="5" t="str">
        <f t="shared" si="84"/>
        <v>018</v>
      </c>
      <c r="J723" s="5" t="str">
        <f t="shared" si="85"/>
        <v>2210</v>
      </c>
      <c r="K723" s="5" t="str">
        <f t="shared" si="86"/>
        <v>000</v>
      </c>
      <c r="L723" s="5">
        <f t="shared" si="87"/>
        <v>12</v>
      </c>
      <c r="M723" s="5">
        <f t="shared" si="88"/>
        <v>2011</v>
      </c>
    </row>
    <row r="724" spans="1:13" ht="17.45" customHeight="1" x14ac:dyDescent="0.25">
      <c r="A724" s="1">
        <f>DATE(2011,12,29)</f>
        <v>40906</v>
      </c>
      <c r="B724" t="s">
        <v>21</v>
      </c>
      <c r="C724" t="s">
        <v>9</v>
      </c>
      <c r="D724" s="3">
        <v>391.35149999999999</v>
      </c>
      <c r="E724" s="3">
        <v>0</v>
      </c>
      <c r="F724" t="s">
        <v>45</v>
      </c>
      <c r="G724" s="3">
        <f t="shared" si="82"/>
        <v>-391.35149999999999</v>
      </c>
      <c r="H724" s="3">
        <f t="shared" si="83"/>
        <v>391.35149999999999</v>
      </c>
      <c r="I724" s="5" t="str">
        <f t="shared" si="84"/>
        <v>018</v>
      </c>
      <c r="J724" s="5" t="str">
        <f t="shared" si="85"/>
        <v>2220</v>
      </c>
      <c r="K724" s="5" t="str">
        <f t="shared" si="86"/>
        <v>000</v>
      </c>
      <c r="L724" s="5">
        <f t="shared" si="87"/>
        <v>12</v>
      </c>
      <c r="M724" s="5">
        <f t="shared" si="88"/>
        <v>2011</v>
      </c>
    </row>
    <row r="725" spans="1:13" ht="17.45" customHeight="1" x14ac:dyDescent="0.25">
      <c r="A725" s="1">
        <f>DATE(2011,12,29)</f>
        <v>40906</v>
      </c>
      <c r="B725" t="s">
        <v>22</v>
      </c>
      <c r="C725" t="s">
        <v>10</v>
      </c>
      <c r="D725" s="3">
        <v>109.575</v>
      </c>
      <c r="E725" s="3">
        <v>0</v>
      </c>
      <c r="F725" t="s">
        <v>45</v>
      </c>
      <c r="G725" s="3">
        <f t="shared" si="82"/>
        <v>-109.575</v>
      </c>
      <c r="H725" s="3">
        <f t="shared" si="83"/>
        <v>109.575</v>
      </c>
      <c r="I725" s="5" t="str">
        <f t="shared" si="84"/>
        <v>018</v>
      </c>
      <c r="J725" s="5" t="str">
        <f t="shared" si="85"/>
        <v>2230</v>
      </c>
      <c r="K725" s="5" t="str">
        <f t="shared" si="86"/>
        <v>000</v>
      </c>
      <c r="L725" s="5">
        <f t="shared" si="87"/>
        <v>12</v>
      </c>
      <c r="M725" s="5">
        <f t="shared" si="88"/>
        <v>2011</v>
      </c>
    </row>
    <row r="726" spans="1:13" ht="17.45" customHeight="1" x14ac:dyDescent="0.25">
      <c r="A726" s="1">
        <f>DATE(2011,12,30)</f>
        <v>40907</v>
      </c>
      <c r="B726" t="s">
        <v>19</v>
      </c>
      <c r="C726" t="s">
        <v>6</v>
      </c>
      <c r="D726" s="3">
        <v>10520.919800000001</v>
      </c>
      <c r="E726" s="3">
        <v>0</v>
      </c>
      <c r="F726" t="s">
        <v>45</v>
      </c>
      <c r="G726" s="3">
        <f t="shared" si="82"/>
        <v>-10520.919800000001</v>
      </c>
      <c r="H726" s="3">
        <f t="shared" si="83"/>
        <v>10520.919800000001</v>
      </c>
      <c r="I726" s="5" t="str">
        <f t="shared" si="84"/>
        <v>018</v>
      </c>
      <c r="J726" s="5" t="str">
        <f t="shared" si="85"/>
        <v>2100</v>
      </c>
      <c r="K726" s="5" t="str">
        <f t="shared" si="86"/>
        <v>000</v>
      </c>
      <c r="L726" s="5">
        <f t="shared" si="87"/>
        <v>12</v>
      </c>
      <c r="M726" s="5">
        <f t="shared" si="88"/>
        <v>2011</v>
      </c>
    </row>
    <row r="727" spans="1:13" ht="17.45" customHeight="1" x14ac:dyDescent="0.25">
      <c r="A727" s="1">
        <f>DATE(2011,12,30)</f>
        <v>40907</v>
      </c>
      <c r="B727" t="s">
        <v>20</v>
      </c>
      <c r="C727" t="s">
        <v>8</v>
      </c>
      <c r="D727" s="3">
        <v>1955.8525</v>
      </c>
      <c r="E727" s="3">
        <v>0</v>
      </c>
      <c r="F727" t="s">
        <v>45</v>
      </c>
      <c r="G727" s="3">
        <f t="shared" si="82"/>
        <v>-1955.8525</v>
      </c>
      <c r="H727" s="3">
        <f t="shared" si="83"/>
        <v>1955.8525</v>
      </c>
      <c r="I727" s="5" t="str">
        <f t="shared" si="84"/>
        <v>018</v>
      </c>
      <c r="J727" s="5" t="str">
        <f t="shared" si="85"/>
        <v>2210</v>
      </c>
      <c r="K727" s="5" t="str">
        <f t="shared" si="86"/>
        <v>000</v>
      </c>
      <c r="L727" s="5">
        <f t="shared" si="87"/>
        <v>12</v>
      </c>
      <c r="M727" s="5">
        <f t="shared" si="88"/>
        <v>2011</v>
      </c>
    </row>
    <row r="728" spans="1:13" ht="17.45" customHeight="1" x14ac:dyDescent="0.25">
      <c r="A728" s="1">
        <f>DATE(2011,12,30)</f>
        <v>40907</v>
      </c>
      <c r="B728" t="s">
        <v>21</v>
      </c>
      <c r="C728" t="s">
        <v>9</v>
      </c>
      <c r="D728" s="3">
        <v>465.48449999999997</v>
      </c>
      <c r="E728" s="3">
        <v>0</v>
      </c>
      <c r="F728" t="s">
        <v>45</v>
      </c>
      <c r="G728" s="3">
        <f t="shared" si="82"/>
        <v>-465.48449999999997</v>
      </c>
      <c r="H728" s="3">
        <f t="shared" si="83"/>
        <v>465.48449999999997</v>
      </c>
      <c r="I728" s="5" t="str">
        <f t="shared" si="84"/>
        <v>018</v>
      </c>
      <c r="J728" s="5" t="str">
        <f t="shared" si="85"/>
        <v>2220</v>
      </c>
      <c r="K728" s="5" t="str">
        <f t="shared" si="86"/>
        <v>000</v>
      </c>
      <c r="L728" s="5">
        <f t="shared" si="87"/>
        <v>12</v>
      </c>
      <c r="M728" s="5">
        <f t="shared" si="88"/>
        <v>2011</v>
      </c>
    </row>
    <row r="729" spans="1:13" ht="17.45" customHeight="1" x14ac:dyDescent="0.25">
      <c r="A729" s="1">
        <f>DATE(2011,12,30)</f>
        <v>40907</v>
      </c>
      <c r="B729" t="s">
        <v>22</v>
      </c>
      <c r="C729" t="s">
        <v>10</v>
      </c>
      <c r="D729" s="3">
        <v>141.33749999999998</v>
      </c>
      <c r="E729" s="3">
        <v>0</v>
      </c>
      <c r="F729" t="s">
        <v>45</v>
      </c>
      <c r="G729" s="3">
        <f t="shared" si="82"/>
        <v>-141.33749999999998</v>
      </c>
      <c r="H729" s="3">
        <f t="shared" si="83"/>
        <v>141.33749999999998</v>
      </c>
      <c r="I729" s="5" t="str">
        <f t="shared" si="84"/>
        <v>018</v>
      </c>
      <c r="J729" s="5" t="str">
        <f t="shared" si="85"/>
        <v>2230</v>
      </c>
      <c r="K729" s="5" t="str">
        <f t="shared" si="86"/>
        <v>000</v>
      </c>
      <c r="L729" s="5">
        <f t="shared" si="87"/>
        <v>12</v>
      </c>
      <c r="M729" s="5">
        <f t="shared" si="88"/>
        <v>2011</v>
      </c>
    </row>
    <row r="730" spans="1:13" ht="17.45" customHeight="1" x14ac:dyDescent="0.25">
      <c r="A730" s="1">
        <f>DATE(2011,12,31)</f>
        <v>40908</v>
      </c>
      <c r="B730" t="s">
        <v>19</v>
      </c>
      <c r="C730" t="s">
        <v>6</v>
      </c>
      <c r="D730" s="3">
        <v>8476.58</v>
      </c>
      <c r="E730" s="3">
        <v>0</v>
      </c>
      <c r="F730" t="s">
        <v>45</v>
      </c>
      <c r="G730" s="3">
        <f t="shared" si="82"/>
        <v>-8476.58</v>
      </c>
      <c r="H730" s="3">
        <f t="shared" si="83"/>
        <v>8476.58</v>
      </c>
      <c r="I730" s="5" t="str">
        <f t="shared" si="84"/>
        <v>018</v>
      </c>
      <c r="J730" s="5" t="str">
        <f t="shared" si="85"/>
        <v>2100</v>
      </c>
      <c r="K730" s="5" t="str">
        <f t="shared" si="86"/>
        <v>000</v>
      </c>
      <c r="L730" s="5">
        <f t="shared" si="87"/>
        <v>12</v>
      </c>
      <c r="M730" s="5">
        <f t="shared" si="88"/>
        <v>2011</v>
      </c>
    </row>
    <row r="731" spans="1:13" ht="17.45" customHeight="1" x14ac:dyDescent="0.25">
      <c r="A731" s="1">
        <f>DATE(2011,12,31)</f>
        <v>40908</v>
      </c>
      <c r="B731" t="s">
        <v>20</v>
      </c>
      <c r="C731" t="s">
        <v>8</v>
      </c>
      <c r="D731" s="3">
        <v>1532.3490000000002</v>
      </c>
      <c r="E731" s="3">
        <v>0</v>
      </c>
      <c r="F731" t="s">
        <v>45</v>
      </c>
      <c r="G731" s="3">
        <f t="shared" si="82"/>
        <v>-1532.3490000000002</v>
      </c>
      <c r="H731" s="3">
        <f t="shared" si="83"/>
        <v>1532.3490000000002</v>
      </c>
      <c r="I731" s="5" t="str">
        <f t="shared" si="84"/>
        <v>018</v>
      </c>
      <c r="J731" s="5" t="str">
        <f t="shared" si="85"/>
        <v>2210</v>
      </c>
      <c r="K731" s="5" t="str">
        <f t="shared" si="86"/>
        <v>000</v>
      </c>
      <c r="L731" s="5">
        <f t="shared" si="87"/>
        <v>12</v>
      </c>
      <c r="M731" s="5">
        <f t="shared" si="88"/>
        <v>2011</v>
      </c>
    </row>
    <row r="732" spans="1:13" ht="17.45" customHeight="1" x14ac:dyDescent="0.25">
      <c r="A732" s="1">
        <f>DATE(2011,12,31)</f>
        <v>40908</v>
      </c>
      <c r="B732" t="s">
        <v>21</v>
      </c>
      <c r="C732" t="s">
        <v>9</v>
      </c>
      <c r="D732" s="3">
        <v>461.19600000000003</v>
      </c>
      <c r="E732" s="3">
        <v>0</v>
      </c>
      <c r="F732" t="s">
        <v>45</v>
      </c>
      <c r="G732" s="3">
        <f t="shared" si="82"/>
        <v>-461.19600000000003</v>
      </c>
      <c r="H732" s="3">
        <f t="shared" si="83"/>
        <v>461.19600000000003</v>
      </c>
      <c r="I732" s="5" t="str">
        <f t="shared" si="84"/>
        <v>018</v>
      </c>
      <c r="J732" s="5" t="str">
        <f t="shared" si="85"/>
        <v>2220</v>
      </c>
      <c r="K732" s="5" t="str">
        <f t="shared" si="86"/>
        <v>000</v>
      </c>
      <c r="L732" s="5">
        <f t="shared" si="87"/>
        <v>12</v>
      </c>
      <c r="M732" s="5">
        <f t="shared" si="88"/>
        <v>2011</v>
      </c>
    </row>
    <row r="733" spans="1:13" ht="17.45" customHeight="1" x14ac:dyDescent="0.25">
      <c r="A733" s="1">
        <f>DATE(2011,12,31)</f>
        <v>40908</v>
      </c>
      <c r="B733" t="s">
        <v>22</v>
      </c>
      <c r="C733" t="s">
        <v>10</v>
      </c>
      <c r="D733" s="3">
        <v>45.905999999999999</v>
      </c>
      <c r="E733" s="3">
        <v>0</v>
      </c>
      <c r="F733" t="s">
        <v>45</v>
      </c>
      <c r="G733" s="3">
        <f t="shared" si="82"/>
        <v>-45.905999999999999</v>
      </c>
      <c r="H733" s="3">
        <f t="shared" si="83"/>
        <v>45.905999999999999</v>
      </c>
      <c r="I733" s="5" t="str">
        <f t="shared" si="84"/>
        <v>018</v>
      </c>
      <c r="J733" s="5" t="str">
        <f t="shared" si="85"/>
        <v>2230</v>
      </c>
      <c r="K733" s="5" t="str">
        <f t="shared" si="86"/>
        <v>000</v>
      </c>
      <c r="L733" s="5">
        <f t="shared" si="87"/>
        <v>12</v>
      </c>
      <c r="M733" s="5">
        <f t="shared" si="88"/>
        <v>2011</v>
      </c>
    </row>
    <row r="734" spans="1:13" ht="17.45" customHeight="1" x14ac:dyDescent="0.25">
      <c r="A734" s="1">
        <f>DATE(2012,1,2)</f>
        <v>40910</v>
      </c>
      <c r="B734" t="s">
        <v>11</v>
      </c>
      <c r="C734" t="s">
        <v>6</v>
      </c>
      <c r="D734" s="3">
        <v>3681.7952999999998</v>
      </c>
      <c r="E734" s="3">
        <v>0</v>
      </c>
      <c r="F734" t="s">
        <v>45</v>
      </c>
      <c r="G734" s="3">
        <f t="shared" si="82"/>
        <v>-3681.7952999999998</v>
      </c>
      <c r="H734" s="3">
        <f t="shared" si="83"/>
        <v>3681.7952999999998</v>
      </c>
      <c r="I734" s="5" t="str">
        <f t="shared" si="84"/>
        <v>016</v>
      </c>
      <c r="J734" s="5" t="str">
        <f t="shared" si="85"/>
        <v>2100</v>
      </c>
      <c r="K734" s="5" t="str">
        <f t="shared" si="86"/>
        <v>000</v>
      </c>
      <c r="L734" s="5">
        <f t="shared" si="87"/>
        <v>1</v>
      </c>
      <c r="M734" s="5">
        <f t="shared" si="88"/>
        <v>2012</v>
      </c>
    </row>
    <row r="735" spans="1:13" ht="17.45" customHeight="1" x14ac:dyDescent="0.25">
      <c r="A735" s="1">
        <f>DATE(2012,1,2)</f>
        <v>40910</v>
      </c>
      <c r="B735" t="s">
        <v>12</v>
      </c>
      <c r="C735" t="s">
        <v>8</v>
      </c>
      <c r="D735" s="3">
        <v>811.78499999999997</v>
      </c>
      <c r="E735" s="3">
        <v>0</v>
      </c>
      <c r="F735" t="s">
        <v>45</v>
      </c>
      <c r="G735" s="3">
        <f t="shared" si="82"/>
        <v>-811.78499999999997</v>
      </c>
      <c r="H735" s="3">
        <f t="shared" si="83"/>
        <v>811.78499999999997</v>
      </c>
      <c r="I735" s="5" t="str">
        <f t="shared" si="84"/>
        <v>016</v>
      </c>
      <c r="J735" s="5" t="str">
        <f t="shared" si="85"/>
        <v>2210</v>
      </c>
      <c r="K735" s="5" t="str">
        <f t="shared" si="86"/>
        <v>000</v>
      </c>
      <c r="L735" s="5">
        <f t="shared" si="87"/>
        <v>1</v>
      </c>
      <c r="M735" s="5">
        <f t="shared" si="88"/>
        <v>2012</v>
      </c>
    </row>
    <row r="736" spans="1:13" ht="17.45" customHeight="1" x14ac:dyDescent="0.25">
      <c r="A736" s="1">
        <f>DATE(2012,1,2)</f>
        <v>40910</v>
      </c>
      <c r="B736" t="s">
        <v>13</v>
      </c>
      <c r="C736" t="s">
        <v>9</v>
      </c>
      <c r="D736" s="3">
        <v>267.33600000000001</v>
      </c>
      <c r="E736" s="3">
        <v>0</v>
      </c>
      <c r="F736" t="s">
        <v>45</v>
      </c>
      <c r="G736" s="3">
        <f t="shared" si="82"/>
        <v>-267.33600000000001</v>
      </c>
      <c r="H736" s="3">
        <f t="shared" si="83"/>
        <v>267.33600000000001</v>
      </c>
      <c r="I736" s="5" t="str">
        <f t="shared" si="84"/>
        <v>016</v>
      </c>
      <c r="J736" s="5" t="str">
        <f t="shared" si="85"/>
        <v>2220</v>
      </c>
      <c r="K736" s="5" t="str">
        <f t="shared" si="86"/>
        <v>000</v>
      </c>
      <c r="L736" s="5">
        <f t="shared" si="87"/>
        <v>1</v>
      </c>
      <c r="M736" s="5">
        <f t="shared" si="88"/>
        <v>2012</v>
      </c>
    </row>
    <row r="737" spans="1:13" ht="17.45" customHeight="1" x14ac:dyDescent="0.25">
      <c r="A737" s="1">
        <f>DATE(2012,1,2)</f>
        <v>40910</v>
      </c>
      <c r="B737" t="s">
        <v>14</v>
      </c>
      <c r="C737" t="s">
        <v>10</v>
      </c>
      <c r="D737" s="3">
        <v>186.30400000000003</v>
      </c>
      <c r="E737" s="3">
        <v>0</v>
      </c>
      <c r="F737" t="s">
        <v>45</v>
      </c>
      <c r="G737" s="3">
        <f t="shared" si="82"/>
        <v>-186.30400000000003</v>
      </c>
      <c r="H737" s="3">
        <f t="shared" si="83"/>
        <v>186.30400000000003</v>
      </c>
      <c r="I737" s="5" t="str">
        <f t="shared" si="84"/>
        <v>016</v>
      </c>
      <c r="J737" s="5" t="str">
        <f t="shared" si="85"/>
        <v>2230</v>
      </c>
      <c r="K737" s="5" t="str">
        <f t="shared" si="86"/>
        <v>000</v>
      </c>
      <c r="L737" s="5">
        <f t="shared" si="87"/>
        <v>1</v>
      </c>
      <c r="M737" s="5">
        <f t="shared" si="88"/>
        <v>2012</v>
      </c>
    </row>
    <row r="738" spans="1:13" ht="17.45" customHeight="1" x14ac:dyDescent="0.25">
      <c r="A738" s="1">
        <f>DATE(2012,1,3)</f>
        <v>40911</v>
      </c>
      <c r="B738" t="s">
        <v>11</v>
      </c>
      <c r="C738" t="s">
        <v>6</v>
      </c>
      <c r="D738" s="3">
        <v>5111.1000000000004</v>
      </c>
      <c r="E738" s="3">
        <v>0</v>
      </c>
      <c r="F738" t="s">
        <v>45</v>
      </c>
      <c r="G738" s="3">
        <f t="shared" si="82"/>
        <v>-5111.1000000000004</v>
      </c>
      <c r="H738" s="3">
        <f t="shared" si="83"/>
        <v>5111.1000000000004</v>
      </c>
      <c r="I738" s="5" t="str">
        <f t="shared" si="84"/>
        <v>016</v>
      </c>
      <c r="J738" s="5" t="str">
        <f t="shared" si="85"/>
        <v>2100</v>
      </c>
      <c r="K738" s="5" t="str">
        <f t="shared" si="86"/>
        <v>000</v>
      </c>
      <c r="L738" s="5">
        <f t="shared" si="87"/>
        <v>1</v>
      </c>
      <c r="M738" s="5">
        <f t="shared" si="88"/>
        <v>2012</v>
      </c>
    </row>
    <row r="739" spans="1:13" ht="17.45" customHeight="1" x14ac:dyDescent="0.25">
      <c r="A739" s="1">
        <f>DATE(2012,1,3)</f>
        <v>40911</v>
      </c>
      <c r="B739" t="s">
        <v>12</v>
      </c>
      <c r="C739" t="s">
        <v>8</v>
      </c>
      <c r="D739" s="3">
        <v>1067.9190000000001</v>
      </c>
      <c r="E739" s="3">
        <v>0</v>
      </c>
      <c r="F739" t="s">
        <v>45</v>
      </c>
      <c r="G739" s="3">
        <f t="shared" si="82"/>
        <v>-1067.9190000000001</v>
      </c>
      <c r="H739" s="3">
        <f t="shared" si="83"/>
        <v>1067.9190000000001</v>
      </c>
      <c r="I739" s="5" t="str">
        <f t="shared" si="84"/>
        <v>016</v>
      </c>
      <c r="J739" s="5" t="str">
        <f t="shared" si="85"/>
        <v>2210</v>
      </c>
      <c r="K739" s="5" t="str">
        <f t="shared" si="86"/>
        <v>000</v>
      </c>
      <c r="L739" s="5">
        <f t="shared" si="87"/>
        <v>1</v>
      </c>
      <c r="M739" s="5">
        <f t="shared" si="88"/>
        <v>2012</v>
      </c>
    </row>
    <row r="740" spans="1:13" ht="17.45" customHeight="1" x14ac:dyDescent="0.25">
      <c r="A740" s="1">
        <f>DATE(2012,1,3)</f>
        <v>40911</v>
      </c>
      <c r="B740" t="s">
        <v>13</v>
      </c>
      <c r="C740" t="s">
        <v>9</v>
      </c>
      <c r="D740" s="3">
        <v>185.54399999999998</v>
      </c>
      <c r="E740" s="3">
        <v>0</v>
      </c>
      <c r="F740" t="s">
        <v>45</v>
      </c>
      <c r="G740" s="3">
        <f t="shared" si="82"/>
        <v>-185.54399999999998</v>
      </c>
      <c r="H740" s="3">
        <f t="shared" si="83"/>
        <v>185.54399999999998</v>
      </c>
      <c r="I740" s="5" t="str">
        <f t="shared" si="84"/>
        <v>016</v>
      </c>
      <c r="J740" s="5" t="str">
        <f t="shared" si="85"/>
        <v>2220</v>
      </c>
      <c r="K740" s="5" t="str">
        <f t="shared" si="86"/>
        <v>000</v>
      </c>
      <c r="L740" s="5">
        <f t="shared" si="87"/>
        <v>1</v>
      </c>
      <c r="M740" s="5">
        <f t="shared" si="88"/>
        <v>2012</v>
      </c>
    </row>
    <row r="741" spans="1:13" ht="17.45" customHeight="1" x14ac:dyDescent="0.25">
      <c r="A741" s="1">
        <f>DATE(2012,1,3)</f>
        <v>40911</v>
      </c>
      <c r="B741" t="s">
        <v>14</v>
      </c>
      <c r="C741" t="s">
        <v>10</v>
      </c>
      <c r="D741" s="3">
        <v>150.744</v>
      </c>
      <c r="E741" s="3">
        <v>0</v>
      </c>
      <c r="F741" t="s">
        <v>45</v>
      </c>
      <c r="G741" s="3">
        <f t="shared" si="82"/>
        <v>-150.744</v>
      </c>
      <c r="H741" s="3">
        <f t="shared" si="83"/>
        <v>150.744</v>
      </c>
      <c r="I741" s="5" t="str">
        <f t="shared" si="84"/>
        <v>016</v>
      </c>
      <c r="J741" s="5" t="str">
        <f t="shared" si="85"/>
        <v>2230</v>
      </c>
      <c r="K741" s="5" t="str">
        <f t="shared" si="86"/>
        <v>000</v>
      </c>
      <c r="L741" s="5">
        <f t="shared" si="87"/>
        <v>1</v>
      </c>
      <c r="M741" s="5">
        <f t="shared" si="88"/>
        <v>2012</v>
      </c>
    </row>
    <row r="742" spans="1:13" ht="17.45" customHeight="1" x14ac:dyDescent="0.25">
      <c r="A742" s="1">
        <f>DATE(2012,1,4)</f>
        <v>40912</v>
      </c>
      <c r="B742" t="s">
        <v>11</v>
      </c>
      <c r="C742" t="s">
        <v>6</v>
      </c>
      <c r="D742" s="3">
        <v>4732.5364999999993</v>
      </c>
      <c r="E742" s="3">
        <v>0</v>
      </c>
      <c r="F742" t="s">
        <v>45</v>
      </c>
      <c r="G742" s="3">
        <f t="shared" si="82"/>
        <v>-4732.5364999999993</v>
      </c>
      <c r="H742" s="3">
        <f t="shared" si="83"/>
        <v>4732.5364999999993</v>
      </c>
      <c r="I742" s="5" t="str">
        <f t="shared" si="84"/>
        <v>016</v>
      </c>
      <c r="J742" s="5" t="str">
        <f t="shared" si="85"/>
        <v>2100</v>
      </c>
      <c r="K742" s="5" t="str">
        <f t="shared" si="86"/>
        <v>000</v>
      </c>
      <c r="L742" s="5">
        <f t="shared" si="87"/>
        <v>1</v>
      </c>
      <c r="M742" s="5">
        <f t="shared" si="88"/>
        <v>2012</v>
      </c>
    </row>
    <row r="743" spans="1:13" ht="17.45" customHeight="1" x14ac:dyDescent="0.25">
      <c r="A743" s="1">
        <f>DATE(2012,1,4)</f>
        <v>40912</v>
      </c>
      <c r="B743" t="s">
        <v>12</v>
      </c>
      <c r="C743" t="s">
        <v>8</v>
      </c>
      <c r="D743" s="3">
        <v>748.38400000000013</v>
      </c>
      <c r="E743" s="3">
        <v>0</v>
      </c>
      <c r="F743" t="s">
        <v>45</v>
      </c>
      <c r="G743" s="3">
        <f t="shared" si="82"/>
        <v>-748.38400000000013</v>
      </c>
      <c r="H743" s="3">
        <f t="shared" si="83"/>
        <v>748.38400000000013</v>
      </c>
      <c r="I743" s="5" t="str">
        <f t="shared" si="84"/>
        <v>016</v>
      </c>
      <c r="J743" s="5" t="str">
        <f t="shared" si="85"/>
        <v>2210</v>
      </c>
      <c r="K743" s="5" t="str">
        <f t="shared" si="86"/>
        <v>000</v>
      </c>
      <c r="L743" s="5">
        <f t="shared" si="87"/>
        <v>1</v>
      </c>
      <c r="M743" s="5">
        <f t="shared" si="88"/>
        <v>2012</v>
      </c>
    </row>
    <row r="744" spans="1:13" ht="17.45" customHeight="1" x14ac:dyDescent="0.25">
      <c r="A744" s="1">
        <f>DATE(2012,1,4)</f>
        <v>40912</v>
      </c>
      <c r="B744" t="s">
        <v>13</v>
      </c>
      <c r="C744" t="s">
        <v>9</v>
      </c>
      <c r="D744" s="3">
        <v>213.28200000000001</v>
      </c>
      <c r="E744" s="3">
        <v>0</v>
      </c>
      <c r="F744" t="s">
        <v>45</v>
      </c>
      <c r="G744" s="3">
        <f t="shared" si="82"/>
        <v>-213.28200000000001</v>
      </c>
      <c r="H744" s="3">
        <f t="shared" si="83"/>
        <v>213.28200000000001</v>
      </c>
      <c r="I744" s="5" t="str">
        <f t="shared" si="84"/>
        <v>016</v>
      </c>
      <c r="J744" s="5" t="str">
        <f t="shared" si="85"/>
        <v>2220</v>
      </c>
      <c r="K744" s="5" t="str">
        <f t="shared" si="86"/>
        <v>000</v>
      </c>
      <c r="L744" s="5">
        <f t="shared" si="87"/>
        <v>1</v>
      </c>
      <c r="M744" s="5">
        <f t="shared" si="88"/>
        <v>2012</v>
      </c>
    </row>
    <row r="745" spans="1:13" ht="17.45" customHeight="1" x14ac:dyDescent="0.25">
      <c r="A745" s="1">
        <f>DATE(2012,1,4)</f>
        <v>40912</v>
      </c>
      <c r="B745" t="s">
        <v>14</v>
      </c>
      <c r="C745" t="s">
        <v>10</v>
      </c>
      <c r="D745" s="3">
        <v>146.61349999999999</v>
      </c>
      <c r="E745" s="3">
        <v>0</v>
      </c>
      <c r="F745" t="s">
        <v>45</v>
      </c>
      <c r="G745" s="3">
        <f t="shared" si="82"/>
        <v>-146.61349999999999</v>
      </c>
      <c r="H745" s="3">
        <f t="shared" si="83"/>
        <v>146.61349999999999</v>
      </c>
      <c r="I745" s="5" t="str">
        <f t="shared" si="84"/>
        <v>016</v>
      </c>
      <c r="J745" s="5" t="str">
        <f t="shared" si="85"/>
        <v>2230</v>
      </c>
      <c r="K745" s="5" t="str">
        <f t="shared" si="86"/>
        <v>000</v>
      </c>
      <c r="L745" s="5">
        <f t="shared" si="87"/>
        <v>1</v>
      </c>
      <c r="M745" s="5">
        <f t="shared" si="88"/>
        <v>2012</v>
      </c>
    </row>
    <row r="746" spans="1:13" ht="17.45" customHeight="1" x14ac:dyDescent="0.25">
      <c r="A746" s="1">
        <f>DATE(2012,1,5)</f>
        <v>40913</v>
      </c>
      <c r="B746" t="s">
        <v>11</v>
      </c>
      <c r="C746" t="s">
        <v>6</v>
      </c>
      <c r="D746" s="3">
        <v>4413.9814999999999</v>
      </c>
      <c r="E746" s="3">
        <v>0</v>
      </c>
      <c r="F746" t="s">
        <v>45</v>
      </c>
      <c r="G746" s="3">
        <f t="shared" si="82"/>
        <v>-4413.9814999999999</v>
      </c>
      <c r="H746" s="3">
        <f t="shared" si="83"/>
        <v>4413.9814999999999</v>
      </c>
      <c r="I746" s="5" t="str">
        <f t="shared" si="84"/>
        <v>016</v>
      </c>
      <c r="J746" s="5" t="str">
        <f t="shared" si="85"/>
        <v>2100</v>
      </c>
      <c r="K746" s="5" t="str">
        <f t="shared" si="86"/>
        <v>000</v>
      </c>
      <c r="L746" s="5">
        <f t="shared" si="87"/>
        <v>1</v>
      </c>
      <c r="M746" s="5">
        <f t="shared" si="88"/>
        <v>2012</v>
      </c>
    </row>
    <row r="747" spans="1:13" ht="17.45" customHeight="1" x14ac:dyDescent="0.25">
      <c r="A747" s="1">
        <f>DATE(2012,1,5)</f>
        <v>40913</v>
      </c>
      <c r="B747" t="s">
        <v>12</v>
      </c>
      <c r="C747" t="s">
        <v>8</v>
      </c>
      <c r="D747" s="3">
        <v>1330.42</v>
      </c>
      <c r="E747" s="3">
        <v>0</v>
      </c>
      <c r="F747" t="s">
        <v>45</v>
      </c>
      <c r="G747" s="3">
        <f t="shared" si="82"/>
        <v>-1330.42</v>
      </c>
      <c r="H747" s="3">
        <f t="shared" si="83"/>
        <v>1330.42</v>
      </c>
      <c r="I747" s="5" t="str">
        <f t="shared" si="84"/>
        <v>016</v>
      </c>
      <c r="J747" s="5" t="str">
        <f t="shared" si="85"/>
        <v>2210</v>
      </c>
      <c r="K747" s="5" t="str">
        <f t="shared" si="86"/>
        <v>000</v>
      </c>
      <c r="L747" s="5">
        <f t="shared" si="87"/>
        <v>1</v>
      </c>
      <c r="M747" s="5">
        <f t="shared" si="88"/>
        <v>2012</v>
      </c>
    </row>
    <row r="748" spans="1:13" ht="17.45" customHeight="1" x14ac:dyDescent="0.25">
      <c r="A748" s="1">
        <f>DATE(2012,1,5)</f>
        <v>40913</v>
      </c>
      <c r="B748" t="s">
        <v>13</v>
      </c>
      <c r="C748" t="s">
        <v>9</v>
      </c>
      <c r="D748" s="3">
        <v>222.10649999999998</v>
      </c>
      <c r="E748" s="3">
        <v>0</v>
      </c>
      <c r="F748" t="s">
        <v>45</v>
      </c>
      <c r="G748" s="3">
        <f t="shared" si="82"/>
        <v>-222.10649999999998</v>
      </c>
      <c r="H748" s="3">
        <f t="shared" si="83"/>
        <v>222.10649999999998</v>
      </c>
      <c r="I748" s="5" t="str">
        <f t="shared" si="84"/>
        <v>016</v>
      </c>
      <c r="J748" s="5" t="str">
        <f t="shared" si="85"/>
        <v>2220</v>
      </c>
      <c r="K748" s="5" t="str">
        <f t="shared" si="86"/>
        <v>000</v>
      </c>
      <c r="L748" s="5">
        <f t="shared" si="87"/>
        <v>1</v>
      </c>
      <c r="M748" s="5">
        <f t="shared" si="88"/>
        <v>2012</v>
      </c>
    </row>
    <row r="749" spans="1:13" ht="17.45" customHeight="1" x14ac:dyDescent="0.25">
      <c r="A749" s="1">
        <f>DATE(2012,1,5)</f>
        <v>40913</v>
      </c>
      <c r="B749" t="s">
        <v>14</v>
      </c>
      <c r="C749" t="s">
        <v>10</v>
      </c>
      <c r="D749" s="3">
        <v>183.63150000000002</v>
      </c>
      <c r="E749" s="3">
        <v>0</v>
      </c>
      <c r="F749" t="s">
        <v>45</v>
      </c>
      <c r="G749" s="3">
        <f t="shared" si="82"/>
        <v>-183.63150000000002</v>
      </c>
      <c r="H749" s="3">
        <f t="shared" si="83"/>
        <v>183.63150000000002</v>
      </c>
      <c r="I749" s="5" t="str">
        <f t="shared" si="84"/>
        <v>016</v>
      </c>
      <c r="J749" s="5" t="str">
        <f t="shared" si="85"/>
        <v>2230</v>
      </c>
      <c r="K749" s="5" t="str">
        <f t="shared" si="86"/>
        <v>000</v>
      </c>
      <c r="L749" s="5">
        <f t="shared" si="87"/>
        <v>1</v>
      </c>
      <c r="M749" s="5">
        <f t="shared" si="88"/>
        <v>2012</v>
      </c>
    </row>
    <row r="750" spans="1:13" ht="17.45" customHeight="1" x14ac:dyDescent="0.25">
      <c r="A750" s="1">
        <f>DATE(2012,1,6)</f>
        <v>40914</v>
      </c>
      <c r="B750" t="s">
        <v>11</v>
      </c>
      <c r="C750" t="s">
        <v>6</v>
      </c>
      <c r="D750" s="3">
        <v>5766.7316000000001</v>
      </c>
      <c r="E750" s="3">
        <v>0</v>
      </c>
      <c r="F750" t="s">
        <v>45</v>
      </c>
      <c r="G750" s="3">
        <f t="shared" si="82"/>
        <v>-5766.7316000000001</v>
      </c>
      <c r="H750" s="3">
        <f t="shared" si="83"/>
        <v>5766.7316000000001</v>
      </c>
      <c r="I750" s="5" t="str">
        <f t="shared" si="84"/>
        <v>016</v>
      </c>
      <c r="J750" s="5" t="str">
        <f t="shared" si="85"/>
        <v>2100</v>
      </c>
      <c r="K750" s="5" t="str">
        <f t="shared" si="86"/>
        <v>000</v>
      </c>
      <c r="L750" s="5">
        <f t="shared" si="87"/>
        <v>1</v>
      </c>
      <c r="M750" s="5">
        <f t="shared" si="88"/>
        <v>2012</v>
      </c>
    </row>
    <row r="751" spans="1:13" ht="17.45" customHeight="1" x14ac:dyDescent="0.25">
      <c r="A751" s="1">
        <f>DATE(2012,1,6)</f>
        <v>40914</v>
      </c>
      <c r="B751" t="s">
        <v>12</v>
      </c>
      <c r="C751" t="s">
        <v>8</v>
      </c>
      <c r="D751" s="3">
        <v>1756.6890000000001</v>
      </c>
      <c r="E751" s="3">
        <v>0</v>
      </c>
      <c r="F751" t="s">
        <v>45</v>
      </c>
      <c r="G751" s="3">
        <f t="shared" si="82"/>
        <v>-1756.6890000000001</v>
      </c>
      <c r="H751" s="3">
        <f t="shared" si="83"/>
        <v>1756.6890000000001</v>
      </c>
      <c r="I751" s="5" t="str">
        <f t="shared" si="84"/>
        <v>016</v>
      </c>
      <c r="J751" s="5" t="str">
        <f t="shared" si="85"/>
        <v>2210</v>
      </c>
      <c r="K751" s="5" t="str">
        <f t="shared" si="86"/>
        <v>000</v>
      </c>
      <c r="L751" s="5">
        <f t="shared" si="87"/>
        <v>1</v>
      </c>
      <c r="M751" s="5">
        <f t="shared" si="88"/>
        <v>2012</v>
      </c>
    </row>
    <row r="752" spans="1:13" ht="17.45" customHeight="1" x14ac:dyDescent="0.25">
      <c r="A752" s="1">
        <f>DATE(2012,1,6)</f>
        <v>40914</v>
      </c>
      <c r="B752" t="s">
        <v>13</v>
      </c>
      <c r="C752" t="s">
        <v>9</v>
      </c>
      <c r="D752" s="3">
        <v>572.28000000000009</v>
      </c>
      <c r="E752" s="3">
        <v>0</v>
      </c>
      <c r="F752" t="s">
        <v>45</v>
      </c>
      <c r="G752" s="3">
        <f t="shared" si="82"/>
        <v>-572.28000000000009</v>
      </c>
      <c r="H752" s="3">
        <f t="shared" si="83"/>
        <v>572.28000000000009</v>
      </c>
      <c r="I752" s="5" t="str">
        <f t="shared" si="84"/>
        <v>016</v>
      </c>
      <c r="J752" s="5" t="str">
        <f t="shared" si="85"/>
        <v>2220</v>
      </c>
      <c r="K752" s="5" t="str">
        <f t="shared" si="86"/>
        <v>000</v>
      </c>
      <c r="L752" s="5">
        <f t="shared" si="87"/>
        <v>1</v>
      </c>
      <c r="M752" s="5">
        <f t="shared" si="88"/>
        <v>2012</v>
      </c>
    </row>
    <row r="753" spans="1:13" ht="17.45" customHeight="1" x14ac:dyDescent="0.25">
      <c r="A753" s="1">
        <f>DATE(2012,1,6)</f>
        <v>40914</v>
      </c>
      <c r="B753" t="s">
        <v>14</v>
      </c>
      <c r="C753" t="s">
        <v>10</v>
      </c>
      <c r="D753" s="3">
        <v>310.08</v>
      </c>
      <c r="E753" s="3">
        <v>0</v>
      </c>
      <c r="F753" t="s">
        <v>45</v>
      </c>
      <c r="G753" s="3">
        <f t="shared" si="82"/>
        <v>-310.08</v>
      </c>
      <c r="H753" s="3">
        <f t="shared" si="83"/>
        <v>310.08</v>
      </c>
      <c r="I753" s="5" t="str">
        <f t="shared" si="84"/>
        <v>016</v>
      </c>
      <c r="J753" s="5" t="str">
        <f t="shared" si="85"/>
        <v>2230</v>
      </c>
      <c r="K753" s="5" t="str">
        <f t="shared" si="86"/>
        <v>000</v>
      </c>
      <c r="L753" s="5">
        <f t="shared" si="87"/>
        <v>1</v>
      </c>
      <c r="M753" s="5">
        <f t="shared" si="88"/>
        <v>2012</v>
      </c>
    </row>
    <row r="754" spans="1:13" ht="17.45" customHeight="1" x14ac:dyDescent="0.25">
      <c r="A754" s="1">
        <f>DATE(2012,1,7)</f>
        <v>40915</v>
      </c>
      <c r="B754" t="s">
        <v>11</v>
      </c>
      <c r="C754" t="s">
        <v>6</v>
      </c>
      <c r="D754" s="3">
        <v>8852.1119999999992</v>
      </c>
      <c r="E754" s="3">
        <v>0</v>
      </c>
      <c r="F754" t="s">
        <v>45</v>
      </c>
      <c r="G754" s="3">
        <f t="shared" si="82"/>
        <v>-8852.1119999999992</v>
      </c>
      <c r="H754" s="3">
        <f t="shared" si="83"/>
        <v>8852.1119999999992</v>
      </c>
      <c r="I754" s="5" t="str">
        <f t="shared" si="84"/>
        <v>016</v>
      </c>
      <c r="J754" s="5" t="str">
        <f t="shared" si="85"/>
        <v>2100</v>
      </c>
      <c r="K754" s="5" t="str">
        <f t="shared" si="86"/>
        <v>000</v>
      </c>
      <c r="L754" s="5">
        <f t="shared" si="87"/>
        <v>1</v>
      </c>
      <c r="M754" s="5">
        <f t="shared" si="88"/>
        <v>2012</v>
      </c>
    </row>
    <row r="755" spans="1:13" ht="17.45" customHeight="1" x14ac:dyDescent="0.25">
      <c r="A755" s="1">
        <f>DATE(2012,1,7)</f>
        <v>40915</v>
      </c>
      <c r="B755" t="s">
        <v>12</v>
      </c>
      <c r="C755" t="s">
        <v>8</v>
      </c>
      <c r="D755" s="3">
        <v>2623.05</v>
      </c>
      <c r="E755" s="3">
        <v>0</v>
      </c>
      <c r="F755" t="s">
        <v>45</v>
      </c>
      <c r="G755" s="3">
        <f t="shared" si="82"/>
        <v>-2623.05</v>
      </c>
      <c r="H755" s="3">
        <f t="shared" si="83"/>
        <v>2623.05</v>
      </c>
      <c r="I755" s="5" t="str">
        <f t="shared" si="84"/>
        <v>016</v>
      </c>
      <c r="J755" s="5" t="str">
        <f t="shared" si="85"/>
        <v>2210</v>
      </c>
      <c r="K755" s="5" t="str">
        <f t="shared" si="86"/>
        <v>000</v>
      </c>
      <c r="L755" s="5">
        <f t="shared" si="87"/>
        <v>1</v>
      </c>
      <c r="M755" s="5">
        <f t="shared" si="88"/>
        <v>2012</v>
      </c>
    </row>
    <row r="756" spans="1:13" ht="17.45" customHeight="1" x14ac:dyDescent="0.25">
      <c r="A756" s="1">
        <f>DATE(2012,1,7)</f>
        <v>40915</v>
      </c>
      <c r="B756" t="s">
        <v>13</v>
      </c>
      <c r="C756" t="s">
        <v>9</v>
      </c>
      <c r="D756" s="3">
        <v>479.52</v>
      </c>
      <c r="E756" s="3">
        <v>0</v>
      </c>
      <c r="F756" t="s">
        <v>45</v>
      </c>
      <c r="G756" s="3">
        <f t="shared" si="82"/>
        <v>-479.52</v>
      </c>
      <c r="H756" s="3">
        <f t="shared" si="83"/>
        <v>479.52</v>
      </c>
      <c r="I756" s="5" t="str">
        <f t="shared" si="84"/>
        <v>016</v>
      </c>
      <c r="J756" s="5" t="str">
        <f t="shared" si="85"/>
        <v>2220</v>
      </c>
      <c r="K756" s="5" t="str">
        <f t="shared" si="86"/>
        <v>000</v>
      </c>
      <c r="L756" s="5">
        <f t="shared" si="87"/>
        <v>1</v>
      </c>
      <c r="M756" s="5">
        <f t="shared" si="88"/>
        <v>2012</v>
      </c>
    </row>
    <row r="757" spans="1:13" ht="17.45" customHeight="1" x14ac:dyDescent="0.25">
      <c r="A757" s="1">
        <f>DATE(2012,1,7)</f>
        <v>40915</v>
      </c>
      <c r="B757" t="s">
        <v>14</v>
      </c>
      <c r="C757" t="s">
        <v>10</v>
      </c>
      <c r="D757" s="3">
        <v>351.60449999999997</v>
      </c>
      <c r="E757" s="3">
        <v>0</v>
      </c>
      <c r="F757" t="s">
        <v>45</v>
      </c>
      <c r="G757" s="3">
        <f t="shared" si="82"/>
        <v>-351.60449999999997</v>
      </c>
      <c r="H757" s="3">
        <f t="shared" si="83"/>
        <v>351.60449999999997</v>
      </c>
      <c r="I757" s="5" t="str">
        <f t="shared" si="84"/>
        <v>016</v>
      </c>
      <c r="J757" s="5" t="str">
        <f t="shared" si="85"/>
        <v>2230</v>
      </c>
      <c r="K757" s="5" t="str">
        <f t="shared" si="86"/>
        <v>000</v>
      </c>
      <c r="L757" s="5">
        <f t="shared" si="87"/>
        <v>1</v>
      </c>
      <c r="M757" s="5">
        <f t="shared" si="88"/>
        <v>2012</v>
      </c>
    </row>
    <row r="758" spans="1:13" ht="17.45" customHeight="1" x14ac:dyDescent="0.25">
      <c r="A758" s="1">
        <f>DATE(2012,1,8)</f>
        <v>40916</v>
      </c>
      <c r="B758" t="s">
        <v>11</v>
      </c>
      <c r="C758" t="s">
        <v>6</v>
      </c>
      <c r="D758" s="3">
        <v>4306.3020000000006</v>
      </c>
      <c r="E758" s="3">
        <v>0</v>
      </c>
      <c r="F758" t="s">
        <v>45</v>
      </c>
      <c r="G758" s="3">
        <f t="shared" si="82"/>
        <v>-4306.3020000000006</v>
      </c>
      <c r="H758" s="3">
        <f t="shared" si="83"/>
        <v>4306.3020000000006</v>
      </c>
      <c r="I758" s="5" t="str">
        <f t="shared" si="84"/>
        <v>016</v>
      </c>
      <c r="J758" s="5" t="str">
        <f t="shared" si="85"/>
        <v>2100</v>
      </c>
      <c r="K758" s="5" t="str">
        <f t="shared" si="86"/>
        <v>000</v>
      </c>
      <c r="L758" s="5">
        <f t="shared" si="87"/>
        <v>1</v>
      </c>
      <c r="M758" s="5">
        <f t="shared" si="88"/>
        <v>2012</v>
      </c>
    </row>
    <row r="759" spans="1:13" ht="17.45" customHeight="1" x14ac:dyDescent="0.25">
      <c r="A759" s="1">
        <f>DATE(2012,1,8)</f>
        <v>40916</v>
      </c>
      <c r="B759" t="s">
        <v>12</v>
      </c>
      <c r="C759" t="s">
        <v>8</v>
      </c>
      <c r="D759" s="3">
        <v>774.66</v>
      </c>
      <c r="E759" s="3">
        <v>0</v>
      </c>
      <c r="F759" t="s">
        <v>45</v>
      </c>
      <c r="G759" s="3">
        <f t="shared" si="82"/>
        <v>-774.66</v>
      </c>
      <c r="H759" s="3">
        <f t="shared" si="83"/>
        <v>774.66</v>
      </c>
      <c r="I759" s="5" t="str">
        <f t="shared" si="84"/>
        <v>016</v>
      </c>
      <c r="J759" s="5" t="str">
        <f t="shared" si="85"/>
        <v>2210</v>
      </c>
      <c r="K759" s="5" t="str">
        <f t="shared" si="86"/>
        <v>000</v>
      </c>
      <c r="L759" s="5">
        <f t="shared" si="87"/>
        <v>1</v>
      </c>
      <c r="M759" s="5">
        <f t="shared" si="88"/>
        <v>2012</v>
      </c>
    </row>
    <row r="760" spans="1:13" ht="17.45" customHeight="1" x14ac:dyDescent="0.25">
      <c r="A760" s="1">
        <f>DATE(2012,1,8)</f>
        <v>40916</v>
      </c>
      <c r="B760" t="s">
        <v>13</v>
      </c>
      <c r="C760" t="s">
        <v>9</v>
      </c>
      <c r="D760" s="3">
        <v>167.0625</v>
      </c>
      <c r="E760" s="3">
        <v>0</v>
      </c>
      <c r="F760" t="s">
        <v>45</v>
      </c>
      <c r="G760" s="3">
        <f t="shared" si="82"/>
        <v>-167.0625</v>
      </c>
      <c r="H760" s="3">
        <f t="shared" si="83"/>
        <v>167.0625</v>
      </c>
      <c r="I760" s="5" t="str">
        <f t="shared" si="84"/>
        <v>016</v>
      </c>
      <c r="J760" s="5" t="str">
        <f t="shared" si="85"/>
        <v>2220</v>
      </c>
      <c r="K760" s="5" t="str">
        <f t="shared" si="86"/>
        <v>000</v>
      </c>
      <c r="L760" s="5">
        <f t="shared" si="87"/>
        <v>1</v>
      </c>
      <c r="M760" s="5">
        <f t="shared" si="88"/>
        <v>2012</v>
      </c>
    </row>
    <row r="761" spans="1:13" ht="17.45" customHeight="1" x14ac:dyDescent="0.25">
      <c r="A761" s="1">
        <f>DATE(2012,1,8)</f>
        <v>40916</v>
      </c>
      <c r="B761" t="s">
        <v>14</v>
      </c>
      <c r="C761" t="s">
        <v>10</v>
      </c>
      <c r="D761" s="3">
        <v>102.66</v>
      </c>
      <c r="E761" s="3">
        <v>0</v>
      </c>
      <c r="F761" t="s">
        <v>45</v>
      </c>
      <c r="G761" s="3">
        <f t="shared" si="82"/>
        <v>-102.66</v>
      </c>
      <c r="H761" s="3">
        <f t="shared" si="83"/>
        <v>102.66</v>
      </c>
      <c r="I761" s="5" t="str">
        <f t="shared" si="84"/>
        <v>016</v>
      </c>
      <c r="J761" s="5" t="str">
        <f t="shared" si="85"/>
        <v>2230</v>
      </c>
      <c r="K761" s="5" t="str">
        <f t="shared" si="86"/>
        <v>000</v>
      </c>
      <c r="L761" s="5">
        <f t="shared" si="87"/>
        <v>1</v>
      </c>
      <c r="M761" s="5">
        <f t="shared" si="88"/>
        <v>2012</v>
      </c>
    </row>
    <row r="762" spans="1:13" ht="17.45" customHeight="1" x14ac:dyDescent="0.25">
      <c r="A762" s="1">
        <f>DATE(2012,1,2)</f>
        <v>40910</v>
      </c>
      <c r="B762" t="s">
        <v>15</v>
      </c>
      <c r="C762" t="s">
        <v>6</v>
      </c>
      <c r="D762" s="3">
        <v>2902.0849000000003</v>
      </c>
      <c r="E762" s="3">
        <v>0</v>
      </c>
      <c r="F762" t="s">
        <v>45</v>
      </c>
      <c r="G762" s="3">
        <f t="shared" si="82"/>
        <v>-2902.0849000000003</v>
      </c>
      <c r="H762" s="3">
        <f t="shared" si="83"/>
        <v>2902.0849000000003</v>
      </c>
      <c r="I762" s="5" t="str">
        <f t="shared" si="84"/>
        <v>017</v>
      </c>
      <c r="J762" s="5" t="str">
        <f t="shared" si="85"/>
        <v>2100</v>
      </c>
      <c r="K762" s="5" t="str">
        <f t="shared" si="86"/>
        <v>000</v>
      </c>
      <c r="L762" s="5">
        <f t="shared" si="87"/>
        <v>1</v>
      </c>
      <c r="M762" s="5">
        <f t="shared" si="88"/>
        <v>2012</v>
      </c>
    </row>
    <row r="763" spans="1:13" ht="17.45" customHeight="1" x14ac:dyDescent="0.25">
      <c r="A763" s="1">
        <f>DATE(2012,1,2)</f>
        <v>40910</v>
      </c>
      <c r="B763" t="s">
        <v>16</v>
      </c>
      <c r="C763" t="s">
        <v>8</v>
      </c>
      <c r="D763" s="3">
        <v>593.3655</v>
      </c>
      <c r="E763" s="3">
        <v>0</v>
      </c>
      <c r="F763" t="s">
        <v>45</v>
      </c>
      <c r="G763" s="3">
        <f t="shared" si="82"/>
        <v>-593.3655</v>
      </c>
      <c r="H763" s="3">
        <f t="shared" si="83"/>
        <v>593.3655</v>
      </c>
      <c r="I763" s="5" t="str">
        <f t="shared" si="84"/>
        <v>017</v>
      </c>
      <c r="J763" s="5" t="str">
        <f t="shared" si="85"/>
        <v>2210</v>
      </c>
      <c r="K763" s="5" t="str">
        <f t="shared" si="86"/>
        <v>000</v>
      </c>
      <c r="L763" s="5">
        <f t="shared" si="87"/>
        <v>1</v>
      </c>
      <c r="M763" s="5">
        <f t="shared" si="88"/>
        <v>2012</v>
      </c>
    </row>
    <row r="764" spans="1:13" ht="17.45" customHeight="1" x14ac:dyDescent="0.25">
      <c r="A764" s="1">
        <f>DATE(2012,1,2)</f>
        <v>40910</v>
      </c>
      <c r="B764" t="s">
        <v>17</v>
      </c>
      <c r="C764" t="s">
        <v>9</v>
      </c>
      <c r="D764" s="3">
        <v>74.114999999999995</v>
      </c>
      <c r="E764" s="3">
        <v>0</v>
      </c>
      <c r="F764" t="s">
        <v>45</v>
      </c>
      <c r="G764" s="3">
        <f t="shared" si="82"/>
        <v>-74.114999999999995</v>
      </c>
      <c r="H764" s="3">
        <f t="shared" si="83"/>
        <v>74.114999999999995</v>
      </c>
      <c r="I764" s="5" t="str">
        <f t="shared" si="84"/>
        <v>017</v>
      </c>
      <c r="J764" s="5" t="str">
        <f t="shared" si="85"/>
        <v>2220</v>
      </c>
      <c r="K764" s="5" t="str">
        <f t="shared" si="86"/>
        <v>000</v>
      </c>
      <c r="L764" s="5">
        <f t="shared" si="87"/>
        <v>1</v>
      </c>
      <c r="M764" s="5">
        <f t="shared" si="88"/>
        <v>2012</v>
      </c>
    </row>
    <row r="765" spans="1:13" ht="17.45" customHeight="1" x14ac:dyDescent="0.25">
      <c r="A765" s="1">
        <f>DATE(2012,1,2)</f>
        <v>40910</v>
      </c>
      <c r="B765" t="s">
        <v>18</v>
      </c>
      <c r="C765" t="s">
        <v>10</v>
      </c>
      <c r="D765" s="3">
        <v>69.3</v>
      </c>
      <c r="E765" s="3">
        <v>0</v>
      </c>
      <c r="F765" t="s">
        <v>45</v>
      </c>
      <c r="G765" s="3">
        <f t="shared" si="82"/>
        <v>-69.3</v>
      </c>
      <c r="H765" s="3">
        <f t="shared" si="83"/>
        <v>69.3</v>
      </c>
      <c r="I765" s="5" t="str">
        <f t="shared" si="84"/>
        <v>017</v>
      </c>
      <c r="J765" s="5" t="str">
        <f t="shared" si="85"/>
        <v>2230</v>
      </c>
      <c r="K765" s="5" t="str">
        <f t="shared" si="86"/>
        <v>000</v>
      </c>
      <c r="L765" s="5">
        <f t="shared" si="87"/>
        <v>1</v>
      </c>
      <c r="M765" s="5">
        <f t="shared" si="88"/>
        <v>2012</v>
      </c>
    </row>
    <row r="766" spans="1:13" ht="17.45" customHeight="1" x14ac:dyDescent="0.25">
      <c r="A766" s="1">
        <f>DATE(2012,1,3)</f>
        <v>40911</v>
      </c>
      <c r="B766" t="s">
        <v>15</v>
      </c>
      <c r="C766" t="s">
        <v>6</v>
      </c>
      <c r="D766" s="3">
        <v>3595.4451000000004</v>
      </c>
      <c r="E766" s="3">
        <v>0</v>
      </c>
      <c r="F766" t="s">
        <v>45</v>
      </c>
      <c r="G766" s="3">
        <f t="shared" si="82"/>
        <v>-3595.4451000000004</v>
      </c>
      <c r="H766" s="3">
        <f t="shared" si="83"/>
        <v>3595.4451000000004</v>
      </c>
      <c r="I766" s="5" t="str">
        <f t="shared" si="84"/>
        <v>017</v>
      </c>
      <c r="J766" s="5" t="str">
        <f t="shared" si="85"/>
        <v>2100</v>
      </c>
      <c r="K766" s="5" t="str">
        <f t="shared" si="86"/>
        <v>000</v>
      </c>
      <c r="L766" s="5">
        <f t="shared" si="87"/>
        <v>1</v>
      </c>
      <c r="M766" s="5">
        <f t="shared" si="88"/>
        <v>2012</v>
      </c>
    </row>
    <row r="767" spans="1:13" ht="17.45" customHeight="1" x14ac:dyDescent="0.25">
      <c r="A767" s="1">
        <f>DATE(2012,1,3)</f>
        <v>40911</v>
      </c>
      <c r="B767" t="s">
        <v>16</v>
      </c>
      <c r="C767" t="s">
        <v>8</v>
      </c>
      <c r="D767" s="3">
        <v>740.76699999999994</v>
      </c>
      <c r="E767" s="3">
        <v>0</v>
      </c>
      <c r="F767" t="s">
        <v>45</v>
      </c>
      <c r="G767" s="3">
        <f t="shared" si="82"/>
        <v>-740.76699999999994</v>
      </c>
      <c r="H767" s="3">
        <f t="shared" si="83"/>
        <v>740.76699999999994</v>
      </c>
      <c r="I767" s="5" t="str">
        <f t="shared" si="84"/>
        <v>017</v>
      </c>
      <c r="J767" s="5" t="str">
        <f t="shared" si="85"/>
        <v>2210</v>
      </c>
      <c r="K767" s="5" t="str">
        <f t="shared" si="86"/>
        <v>000</v>
      </c>
      <c r="L767" s="5">
        <f t="shared" si="87"/>
        <v>1</v>
      </c>
      <c r="M767" s="5">
        <f t="shared" si="88"/>
        <v>2012</v>
      </c>
    </row>
    <row r="768" spans="1:13" ht="17.45" customHeight="1" x14ac:dyDescent="0.25">
      <c r="A768" s="1">
        <f>DATE(2012,1,3)</f>
        <v>40911</v>
      </c>
      <c r="B768" t="s">
        <v>17</v>
      </c>
      <c r="C768" t="s">
        <v>9</v>
      </c>
      <c r="D768" s="3">
        <v>159.32999999999998</v>
      </c>
      <c r="E768" s="3">
        <v>0</v>
      </c>
      <c r="F768" t="s">
        <v>45</v>
      </c>
      <c r="G768" s="3">
        <f t="shared" si="82"/>
        <v>-159.32999999999998</v>
      </c>
      <c r="H768" s="3">
        <f t="shared" si="83"/>
        <v>159.32999999999998</v>
      </c>
      <c r="I768" s="5" t="str">
        <f t="shared" si="84"/>
        <v>017</v>
      </c>
      <c r="J768" s="5" t="str">
        <f t="shared" si="85"/>
        <v>2220</v>
      </c>
      <c r="K768" s="5" t="str">
        <f t="shared" si="86"/>
        <v>000</v>
      </c>
      <c r="L768" s="5">
        <f t="shared" si="87"/>
        <v>1</v>
      </c>
      <c r="M768" s="5">
        <f t="shared" si="88"/>
        <v>2012</v>
      </c>
    </row>
    <row r="769" spans="1:13" ht="17.45" customHeight="1" x14ac:dyDescent="0.25">
      <c r="A769" s="1">
        <f>DATE(2012,1,3)</f>
        <v>40911</v>
      </c>
      <c r="B769" t="s">
        <v>18</v>
      </c>
      <c r="C769" t="s">
        <v>10</v>
      </c>
      <c r="D769" s="3">
        <v>42.920999999999992</v>
      </c>
      <c r="E769" s="3">
        <v>0</v>
      </c>
      <c r="F769" t="s">
        <v>45</v>
      </c>
      <c r="G769" s="3">
        <f t="shared" si="82"/>
        <v>-42.920999999999992</v>
      </c>
      <c r="H769" s="3">
        <f t="shared" si="83"/>
        <v>42.920999999999992</v>
      </c>
      <c r="I769" s="5" t="str">
        <f t="shared" si="84"/>
        <v>017</v>
      </c>
      <c r="J769" s="5" t="str">
        <f t="shared" si="85"/>
        <v>2230</v>
      </c>
      <c r="K769" s="5" t="str">
        <f t="shared" si="86"/>
        <v>000</v>
      </c>
      <c r="L769" s="5">
        <f t="shared" si="87"/>
        <v>1</v>
      </c>
      <c r="M769" s="5">
        <f t="shared" si="88"/>
        <v>2012</v>
      </c>
    </row>
    <row r="770" spans="1:13" ht="17.45" customHeight="1" x14ac:dyDescent="0.25">
      <c r="A770" s="1">
        <f>DATE(2012,1,4)</f>
        <v>40912</v>
      </c>
      <c r="B770" t="s">
        <v>15</v>
      </c>
      <c r="C770" t="s">
        <v>6</v>
      </c>
      <c r="D770" s="3">
        <v>4891.1414999999997</v>
      </c>
      <c r="E770" s="3">
        <v>0</v>
      </c>
      <c r="F770" t="s">
        <v>45</v>
      </c>
      <c r="G770" s="3">
        <f t="shared" ref="G770:G833" si="89">E770-D770</f>
        <v>-4891.1414999999997</v>
      </c>
      <c r="H770" s="3">
        <f t="shared" ref="H770:H833" si="90">ABS(G770)</f>
        <v>4891.1414999999997</v>
      </c>
      <c r="I770" s="5" t="str">
        <f t="shared" ref="I770:I833" si="91">MID(B770,1,3)</f>
        <v>017</v>
      </c>
      <c r="J770" s="5" t="str">
        <f t="shared" ref="J770:J833" si="92">MID(B770,5,4)</f>
        <v>2100</v>
      </c>
      <c r="K770" s="5" t="str">
        <f t="shared" ref="K770:K833" si="93">MID(B770,10,3)</f>
        <v>000</v>
      </c>
      <c r="L770" s="5">
        <f t="shared" ref="L770:L833" si="94">MONTH(A770)</f>
        <v>1</v>
      </c>
      <c r="M770" s="5">
        <f t="shared" ref="M770:M833" si="95">YEAR(A770)</f>
        <v>2012</v>
      </c>
    </row>
    <row r="771" spans="1:13" ht="17.45" customHeight="1" x14ac:dyDescent="0.25">
      <c r="A771" s="1">
        <f>DATE(2012,1,4)</f>
        <v>40912</v>
      </c>
      <c r="B771" t="s">
        <v>16</v>
      </c>
      <c r="C771" t="s">
        <v>8</v>
      </c>
      <c r="D771" s="3">
        <v>734.52600000000007</v>
      </c>
      <c r="E771" s="3">
        <v>0</v>
      </c>
      <c r="F771" t="s">
        <v>45</v>
      </c>
      <c r="G771" s="3">
        <f t="shared" si="89"/>
        <v>-734.52600000000007</v>
      </c>
      <c r="H771" s="3">
        <f t="shared" si="90"/>
        <v>734.52600000000007</v>
      </c>
      <c r="I771" s="5" t="str">
        <f t="shared" si="91"/>
        <v>017</v>
      </c>
      <c r="J771" s="5" t="str">
        <f t="shared" si="92"/>
        <v>2210</v>
      </c>
      <c r="K771" s="5" t="str">
        <f t="shared" si="93"/>
        <v>000</v>
      </c>
      <c r="L771" s="5">
        <f t="shared" si="94"/>
        <v>1</v>
      </c>
      <c r="M771" s="5">
        <f t="shared" si="95"/>
        <v>2012</v>
      </c>
    </row>
    <row r="772" spans="1:13" ht="17.45" customHeight="1" x14ac:dyDescent="0.25">
      <c r="A772" s="1">
        <f>DATE(2012,1,4)</f>
        <v>40912</v>
      </c>
      <c r="B772" t="s">
        <v>17</v>
      </c>
      <c r="C772" t="s">
        <v>9</v>
      </c>
      <c r="D772" s="3">
        <v>182.04749999999999</v>
      </c>
      <c r="E772" s="3">
        <v>0</v>
      </c>
      <c r="F772" t="s">
        <v>45</v>
      </c>
      <c r="G772" s="3">
        <f t="shared" si="89"/>
        <v>-182.04749999999999</v>
      </c>
      <c r="H772" s="3">
        <f t="shared" si="90"/>
        <v>182.04749999999999</v>
      </c>
      <c r="I772" s="5" t="str">
        <f t="shared" si="91"/>
        <v>017</v>
      </c>
      <c r="J772" s="5" t="str">
        <f t="shared" si="92"/>
        <v>2220</v>
      </c>
      <c r="K772" s="5" t="str">
        <f t="shared" si="93"/>
        <v>000</v>
      </c>
      <c r="L772" s="5">
        <f t="shared" si="94"/>
        <v>1</v>
      </c>
      <c r="M772" s="5">
        <f t="shared" si="95"/>
        <v>2012</v>
      </c>
    </row>
    <row r="773" spans="1:13" ht="17.45" customHeight="1" x14ac:dyDescent="0.25">
      <c r="A773" s="1">
        <f>DATE(2012,1,4)</f>
        <v>40912</v>
      </c>
      <c r="B773" t="s">
        <v>18</v>
      </c>
      <c r="C773" t="s">
        <v>10</v>
      </c>
      <c r="D773" s="3">
        <v>60.160500000000006</v>
      </c>
      <c r="E773" s="3">
        <v>0</v>
      </c>
      <c r="F773" t="s">
        <v>45</v>
      </c>
      <c r="G773" s="3">
        <f t="shared" si="89"/>
        <v>-60.160500000000006</v>
      </c>
      <c r="H773" s="3">
        <f t="shared" si="90"/>
        <v>60.160500000000006</v>
      </c>
      <c r="I773" s="5" t="str">
        <f t="shared" si="91"/>
        <v>017</v>
      </c>
      <c r="J773" s="5" t="str">
        <f t="shared" si="92"/>
        <v>2230</v>
      </c>
      <c r="K773" s="5" t="str">
        <f t="shared" si="93"/>
        <v>000</v>
      </c>
      <c r="L773" s="5">
        <f t="shared" si="94"/>
        <v>1</v>
      </c>
      <c r="M773" s="5">
        <f t="shared" si="95"/>
        <v>2012</v>
      </c>
    </row>
    <row r="774" spans="1:13" ht="17.45" customHeight="1" x14ac:dyDescent="0.25">
      <c r="A774" s="1">
        <f>DATE(2012,1,5)</f>
        <v>40913</v>
      </c>
      <c r="B774" t="s">
        <v>15</v>
      </c>
      <c r="C774" t="s">
        <v>6</v>
      </c>
      <c r="D774" s="3">
        <v>4675.8374999999996</v>
      </c>
      <c r="E774" s="3">
        <v>0</v>
      </c>
      <c r="F774" t="s">
        <v>45</v>
      </c>
      <c r="G774" s="3">
        <f t="shared" si="89"/>
        <v>-4675.8374999999996</v>
      </c>
      <c r="H774" s="3">
        <f t="shared" si="90"/>
        <v>4675.8374999999996</v>
      </c>
      <c r="I774" s="5" t="str">
        <f t="shared" si="91"/>
        <v>017</v>
      </c>
      <c r="J774" s="5" t="str">
        <f t="shared" si="92"/>
        <v>2100</v>
      </c>
      <c r="K774" s="5" t="str">
        <f t="shared" si="93"/>
        <v>000</v>
      </c>
      <c r="L774" s="5">
        <f t="shared" si="94"/>
        <v>1</v>
      </c>
      <c r="M774" s="5">
        <f t="shared" si="95"/>
        <v>2012</v>
      </c>
    </row>
    <row r="775" spans="1:13" ht="17.45" customHeight="1" x14ac:dyDescent="0.25">
      <c r="A775" s="1">
        <f>DATE(2012,1,5)</f>
        <v>40913</v>
      </c>
      <c r="B775" t="s">
        <v>16</v>
      </c>
      <c r="C775" t="s">
        <v>8</v>
      </c>
      <c r="D775" s="3">
        <v>752.37</v>
      </c>
      <c r="E775" s="3">
        <v>0</v>
      </c>
      <c r="F775" t="s">
        <v>45</v>
      </c>
      <c r="G775" s="3">
        <f t="shared" si="89"/>
        <v>-752.37</v>
      </c>
      <c r="H775" s="3">
        <f t="shared" si="90"/>
        <v>752.37</v>
      </c>
      <c r="I775" s="5" t="str">
        <f t="shared" si="91"/>
        <v>017</v>
      </c>
      <c r="J775" s="5" t="str">
        <f t="shared" si="92"/>
        <v>2210</v>
      </c>
      <c r="K775" s="5" t="str">
        <f t="shared" si="93"/>
        <v>000</v>
      </c>
      <c r="L775" s="5">
        <f t="shared" si="94"/>
        <v>1</v>
      </c>
      <c r="M775" s="5">
        <f t="shared" si="95"/>
        <v>2012</v>
      </c>
    </row>
    <row r="776" spans="1:13" ht="17.45" customHeight="1" x14ac:dyDescent="0.25">
      <c r="A776" s="1">
        <f>DATE(2012,1,5)</f>
        <v>40913</v>
      </c>
      <c r="B776" t="s">
        <v>17</v>
      </c>
      <c r="C776" t="s">
        <v>9</v>
      </c>
      <c r="D776" s="3">
        <v>315.20999999999998</v>
      </c>
      <c r="E776" s="3">
        <v>0</v>
      </c>
      <c r="F776" t="s">
        <v>45</v>
      </c>
      <c r="G776" s="3">
        <f t="shared" si="89"/>
        <v>-315.20999999999998</v>
      </c>
      <c r="H776" s="3">
        <f t="shared" si="90"/>
        <v>315.20999999999998</v>
      </c>
      <c r="I776" s="5" t="str">
        <f t="shared" si="91"/>
        <v>017</v>
      </c>
      <c r="J776" s="5" t="str">
        <f t="shared" si="92"/>
        <v>2220</v>
      </c>
      <c r="K776" s="5" t="str">
        <f t="shared" si="93"/>
        <v>000</v>
      </c>
      <c r="L776" s="5">
        <f t="shared" si="94"/>
        <v>1</v>
      </c>
      <c r="M776" s="5">
        <f t="shared" si="95"/>
        <v>2012</v>
      </c>
    </row>
    <row r="777" spans="1:13" ht="17.45" customHeight="1" x14ac:dyDescent="0.25">
      <c r="A777" s="1">
        <f>DATE(2012,1,5)</f>
        <v>40913</v>
      </c>
      <c r="B777" t="s">
        <v>18</v>
      </c>
      <c r="C777" t="s">
        <v>10</v>
      </c>
      <c r="D777" s="3">
        <v>67.520999999999987</v>
      </c>
      <c r="E777" s="3">
        <v>0</v>
      </c>
      <c r="F777" t="s">
        <v>45</v>
      </c>
      <c r="G777" s="3">
        <f t="shared" si="89"/>
        <v>-67.520999999999987</v>
      </c>
      <c r="H777" s="3">
        <f t="shared" si="90"/>
        <v>67.520999999999987</v>
      </c>
      <c r="I777" s="5" t="str">
        <f t="shared" si="91"/>
        <v>017</v>
      </c>
      <c r="J777" s="5" t="str">
        <f t="shared" si="92"/>
        <v>2230</v>
      </c>
      <c r="K777" s="5" t="str">
        <f t="shared" si="93"/>
        <v>000</v>
      </c>
      <c r="L777" s="5">
        <f t="shared" si="94"/>
        <v>1</v>
      </c>
      <c r="M777" s="5">
        <f t="shared" si="95"/>
        <v>2012</v>
      </c>
    </row>
    <row r="778" spans="1:13" ht="17.45" customHeight="1" x14ac:dyDescent="0.25">
      <c r="A778" s="1">
        <f>DATE(2012,1,6)</f>
        <v>40914</v>
      </c>
      <c r="B778" t="s">
        <v>15</v>
      </c>
      <c r="C778" t="s">
        <v>6</v>
      </c>
      <c r="D778" s="3">
        <v>7597.3239999999996</v>
      </c>
      <c r="E778" s="3">
        <v>0</v>
      </c>
      <c r="F778" t="s">
        <v>45</v>
      </c>
      <c r="G778" s="3">
        <f t="shared" si="89"/>
        <v>-7597.3239999999996</v>
      </c>
      <c r="H778" s="3">
        <f t="shared" si="90"/>
        <v>7597.3239999999996</v>
      </c>
      <c r="I778" s="5" t="str">
        <f t="shared" si="91"/>
        <v>017</v>
      </c>
      <c r="J778" s="5" t="str">
        <f t="shared" si="92"/>
        <v>2100</v>
      </c>
      <c r="K778" s="5" t="str">
        <f t="shared" si="93"/>
        <v>000</v>
      </c>
      <c r="L778" s="5">
        <f t="shared" si="94"/>
        <v>1</v>
      </c>
      <c r="M778" s="5">
        <f t="shared" si="95"/>
        <v>2012</v>
      </c>
    </row>
    <row r="779" spans="1:13" ht="17.45" customHeight="1" x14ac:dyDescent="0.25">
      <c r="A779" s="1">
        <f>DATE(2012,1,6)</f>
        <v>40914</v>
      </c>
      <c r="B779" t="s">
        <v>16</v>
      </c>
      <c r="C779" t="s">
        <v>8</v>
      </c>
      <c r="D779" s="3">
        <v>2982.7890000000002</v>
      </c>
      <c r="E779" s="3">
        <v>0</v>
      </c>
      <c r="F779" t="s">
        <v>45</v>
      </c>
      <c r="G779" s="3">
        <f t="shared" si="89"/>
        <v>-2982.7890000000002</v>
      </c>
      <c r="H779" s="3">
        <f t="shared" si="90"/>
        <v>2982.7890000000002</v>
      </c>
      <c r="I779" s="5" t="str">
        <f t="shared" si="91"/>
        <v>017</v>
      </c>
      <c r="J779" s="5" t="str">
        <f t="shared" si="92"/>
        <v>2210</v>
      </c>
      <c r="K779" s="5" t="str">
        <f t="shared" si="93"/>
        <v>000</v>
      </c>
      <c r="L779" s="5">
        <f t="shared" si="94"/>
        <v>1</v>
      </c>
      <c r="M779" s="5">
        <f t="shared" si="95"/>
        <v>2012</v>
      </c>
    </row>
    <row r="780" spans="1:13" ht="17.45" customHeight="1" x14ac:dyDescent="0.25">
      <c r="A780" s="1">
        <f>DATE(2012,1,6)</f>
        <v>40914</v>
      </c>
      <c r="B780" t="s">
        <v>17</v>
      </c>
      <c r="C780" t="s">
        <v>9</v>
      </c>
      <c r="D780" s="3">
        <v>976.86</v>
      </c>
      <c r="E780" s="3">
        <v>0</v>
      </c>
      <c r="F780" t="s">
        <v>45</v>
      </c>
      <c r="G780" s="3">
        <f t="shared" si="89"/>
        <v>-976.86</v>
      </c>
      <c r="H780" s="3">
        <f t="shared" si="90"/>
        <v>976.86</v>
      </c>
      <c r="I780" s="5" t="str">
        <f t="shared" si="91"/>
        <v>017</v>
      </c>
      <c r="J780" s="5" t="str">
        <f t="shared" si="92"/>
        <v>2220</v>
      </c>
      <c r="K780" s="5" t="str">
        <f t="shared" si="93"/>
        <v>000</v>
      </c>
      <c r="L780" s="5">
        <f t="shared" si="94"/>
        <v>1</v>
      </c>
      <c r="M780" s="5">
        <f t="shared" si="95"/>
        <v>2012</v>
      </c>
    </row>
    <row r="781" spans="1:13" ht="17.45" customHeight="1" x14ac:dyDescent="0.25">
      <c r="A781" s="1">
        <f>DATE(2012,1,6)</f>
        <v>40914</v>
      </c>
      <c r="B781" t="s">
        <v>18</v>
      </c>
      <c r="C781" t="s">
        <v>10</v>
      </c>
      <c r="D781" s="3">
        <v>224.46</v>
      </c>
      <c r="E781" s="3">
        <v>0</v>
      </c>
      <c r="F781" t="s">
        <v>45</v>
      </c>
      <c r="G781" s="3">
        <f t="shared" si="89"/>
        <v>-224.46</v>
      </c>
      <c r="H781" s="3">
        <f t="shared" si="90"/>
        <v>224.46</v>
      </c>
      <c r="I781" s="5" t="str">
        <f t="shared" si="91"/>
        <v>017</v>
      </c>
      <c r="J781" s="5" t="str">
        <f t="shared" si="92"/>
        <v>2230</v>
      </c>
      <c r="K781" s="5" t="str">
        <f t="shared" si="93"/>
        <v>000</v>
      </c>
      <c r="L781" s="5">
        <f t="shared" si="94"/>
        <v>1</v>
      </c>
      <c r="M781" s="5">
        <f t="shared" si="95"/>
        <v>2012</v>
      </c>
    </row>
    <row r="782" spans="1:13" ht="17.45" customHeight="1" x14ac:dyDescent="0.25">
      <c r="A782" s="1">
        <f>DATE(2012,1,7)</f>
        <v>40915</v>
      </c>
      <c r="B782" t="s">
        <v>15</v>
      </c>
      <c r="C782" t="s">
        <v>6</v>
      </c>
      <c r="D782" s="3">
        <v>9009.1020000000008</v>
      </c>
      <c r="E782" s="3">
        <v>0</v>
      </c>
      <c r="F782" t="s">
        <v>45</v>
      </c>
      <c r="G782" s="3">
        <f t="shared" si="89"/>
        <v>-9009.1020000000008</v>
      </c>
      <c r="H782" s="3">
        <f t="shared" si="90"/>
        <v>9009.1020000000008</v>
      </c>
      <c r="I782" s="5" t="str">
        <f t="shared" si="91"/>
        <v>017</v>
      </c>
      <c r="J782" s="5" t="str">
        <f t="shared" si="92"/>
        <v>2100</v>
      </c>
      <c r="K782" s="5" t="str">
        <f t="shared" si="93"/>
        <v>000</v>
      </c>
      <c r="L782" s="5">
        <f t="shared" si="94"/>
        <v>1</v>
      </c>
      <c r="M782" s="5">
        <f t="shared" si="95"/>
        <v>2012</v>
      </c>
    </row>
    <row r="783" spans="1:13" ht="17.45" customHeight="1" x14ac:dyDescent="0.25">
      <c r="A783" s="1">
        <f>DATE(2012,1,7)</f>
        <v>40915</v>
      </c>
      <c r="B783" t="s">
        <v>16</v>
      </c>
      <c r="C783" t="s">
        <v>8</v>
      </c>
      <c r="D783" s="3">
        <v>1338.71</v>
      </c>
      <c r="E783" s="3">
        <v>0</v>
      </c>
      <c r="F783" t="s">
        <v>45</v>
      </c>
      <c r="G783" s="3">
        <f t="shared" si="89"/>
        <v>-1338.71</v>
      </c>
      <c r="H783" s="3">
        <f t="shared" si="90"/>
        <v>1338.71</v>
      </c>
      <c r="I783" s="5" t="str">
        <f t="shared" si="91"/>
        <v>017</v>
      </c>
      <c r="J783" s="5" t="str">
        <f t="shared" si="92"/>
        <v>2210</v>
      </c>
      <c r="K783" s="5" t="str">
        <f t="shared" si="93"/>
        <v>000</v>
      </c>
      <c r="L783" s="5">
        <f t="shared" si="94"/>
        <v>1</v>
      </c>
      <c r="M783" s="5">
        <f t="shared" si="95"/>
        <v>2012</v>
      </c>
    </row>
    <row r="784" spans="1:13" ht="17.45" customHeight="1" x14ac:dyDescent="0.25">
      <c r="A784" s="1">
        <f>DATE(2012,1,7)</f>
        <v>40915</v>
      </c>
      <c r="B784" t="s">
        <v>17</v>
      </c>
      <c r="C784" t="s">
        <v>9</v>
      </c>
      <c r="D784" s="3">
        <v>416.74</v>
      </c>
      <c r="E784" s="3">
        <v>0</v>
      </c>
      <c r="F784" t="s">
        <v>45</v>
      </c>
      <c r="G784" s="3">
        <f t="shared" si="89"/>
        <v>-416.74</v>
      </c>
      <c r="H784" s="3">
        <f t="shared" si="90"/>
        <v>416.74</v>
      </c>
      <c r="I784" s="5" t="str">
        <f t="shared" si="91"/>
        <v>017</v>
      </c>
      <c r="J784" s="5" t="str">
        <f t="shared" si="92"/>
        <v>2220</v>
      </c>
      <c r="K784" s="5" t="str">
        <f t="shared" si="93"/>
        <v>000</v>
      </c>
      <c r="L784" s="5">
        <f t="shared" si="94"/>
        <v>1</v>
      </c>
      <c r="M784" s="5">
        <f t="shared" si="95"/>
        <v>2012</v>
      </c>
    </row>
    <row r="785" spans="1:13" ht="17.45" customHeight="1" x14ac:dyDescent="0.25">
      <c r="A785" s="1">
        <f>DATE(2012,1,7)</f>
        <v>40915</v>
      </c>
      <c r="B785" t="s">
        <v>18</v>
      </c>
      <c r="C785" t="s">
        <v>10</v>
      </c>
      <c r="D785" s="3">
        <v>104.62199999999999</v>
      </c>
      <c r="E785" s="3">
        <v>0</v>
      </c>
      <c r="F785" t="s">
        <v>45</v>
      </c>
      <c r="G785" s="3">
        <f t="shared" si="89"/>
        <v>-104.62199999999999</v>
      </c>
      <c r="H785" s="3">
        <f t="shared" si="90"/>
        <v>104.62199999999999</v>
      </c>
      <c r="I785" s="5" t="str">
        <f t="shared" si="91"/>
        <v>017</v>
      </c>
      <c r="J785" s="5" t="str">
        <f t="shared" si="92"/>
        <v>2230</v>
      </c>
      <c r="K785" s="5" t="str">
        <f t="shared" si="93"/>
        <v>000</v>
      </c>
      <c r="L785" s="5">
        <f t="shared" si="94"/>
        <v>1</v>
      </c>
      <c r="M785" s="5">
        <f t="shared" si="95"/>
        <v>2012</v>
      </c>
    </row>
    <row r="786" spans="1:13" ht="17.45" customHeight="1" x14ac:dyDescent="0.25">
      <c r="A786" s="1">
        <f>DATE(2012,1,8)</f>
        <v>40916</v>
      </c>
      <c r="B786" t="s">
        <v>15</v>
      </c>
      <c r="C786" t="s">
        <v>6</v>
      </c>
      <c r="D786" s="3">
        <v>3211.6494999999995</v>
      </c>
      <c r="E786" s="3">
        <v>0</v>
      </c>
      <c r="F786" t="s">
        <v>45</v>
      </c>
      <c r="G786" s="3">
        <f t="shared" si="89"/>
        <v>-3211.6494999999995</v>
      </c>
      <c r="H786" s="3">
        <f t="shared" si="90"/>
        <v>3211.6494999999995</v>
      </c>
      <c r="I786" s="5" t="str">
        <f t="shared" si="91"/>
        <v>017</v>
      </c>
      <c r="J786" s="5" t="str">
        <f t="shared" si="92"/>
        <v>2100</v>
      </c>
      <c r="K786" s="5" t="str">
        <f t="shared" si="93"/>
        <v>000</v>
      </c>
      <c r="L786" s="5">
        <f t="shared" si="94"/>
        <v>1</v>
      </c>
      <c r="M786" s="5">
        <f t="shared" si="95"/>
        <v>2012</v>
      </c>
    </row>
    <row r="787" spans="1:13" ht="17.45" customHeight="1" x14ac:dyDescent="0.25">
      <c r="A787" s="1">
        <f>DATE(2012,1,8)</f>
        <v>40916</v>
      </c>
      <c r="B787" t="s">
        <v>16</v>
      </c>
      <c r="C787" t="s">
        <v>8</v>
      </c>
      <c r="D787" s="3">
        <v>463.089</v>
      </c>
      <c r="E787" s="3">
        <v>0</v>
      </c>
      <c r="F787" t="s">
        <v>45</v>
      </c>
      <c r="G787" s="3">
        <f t="shared" si="89"/>
        <v>-463.089</v>
      </c>
      <c r="H787" s="3">
        <f t="shared" si="90"/>
        <v>463.089</v>
      </c>
      <c r="I787" s="5" t="str">
        <f t="shared" si="91"/>
        <v>017</v>
      </c>
      <c r="J787" s="5" t="str">
        <f t="shared" si="92"/>
        <v>2210</v>
      </c>
      <c r="K787" s="5" t="str">
        <f t="shared" si="93"/>
        <v>000</v>
      </c>
      <c r="L787" s="5">
        <f t="shared" si="94"/>
        <v>1</v>
      </c>
      <c r="M787" s="5">
        <f t="shared" si="95"/>
        <v>2012</v>
      </c>
    </row>
    <row r="788" spans="1:13" ht="17.45" customHeight="1" x14ac:dyDescent="0.25">
      <c r="A788" s="1">
        <f>DATE(2012,1,8)</f>
        <v>40916</v>
      </c>
      <c r="B788" t="s">
        <v>17</v>
      </c>
      <c r="C788" t="s">
        <v>9</v>
      </c>
      <c r="D788" s="3">
        <v>150.72749999999999</v>
      </c>
      <c r="E788" s="3">
        <v>0</v>
      </c>
      <c r="F788" t="s">
        <v>45</v>
      </c>
      <c r="G788" s="3">
        <f t="shared" si="89"/>
        <v>-150.72749999999999</v>
      </c>
      <c r="H788" s="3">
        <f t="shared" si="90"/>
        <v>150.72749999999999</v>
      </c>
      <c r="I788" s="5" t="str">
        <f t="shared" si="91"/>
        <v>017</v>
      </c>
      <c r="J788" s="5" t="str">
        <f t="shared" si="92"/>
        <v>2220</v>
      </c>
      <c r="K788" s="5" t="str">
        <f t="shared" si="93"/>
        <v>000</v>
      </c>
      <c r="L788" s="5">
        <f t="shared" si="94"/>
        <v>1</v>
      </c>
      <c r="M788" s="5">
        <f t="shared" si="95"/>
        <v>2012</v>
      </c>
    </row>
    <row r="789" spans="1:13" ht="17.45" customHeight="1" x14ac:dyDescent="0.25">
      <c r="A789" s="1">
        <f>DATE(2012,1,8)</f>
        <v>40916</v>
      </c>
      <c r="B789" t="s">
        <v>18</v>
      </c>
      <c r="C789" t="s">
        <v>10</v>
      </c>
      <c r="D789" s="3">
        <v>98.94</v>
      </c>
      <c r="E789" s="3">
        <v>0</v>
      </c>
      <c r="F789" t="s">
        <v>45</v>
      </c>
      <c r="G789" s="3">
        <f t="shared" si="89"/>
        <v>-98.94</v>
      </c>
      <c r="H789" s="3">
        <f t="shared" si="90"/>
        <v>98.94</v>
      </c>
      <c r="I789" s="5" t="str">
        <f t="shared" si="91"/>
        <v>017</v>
      </c>
      <c r="J789" s="5" t="str">
        <f t="shared" si="92"/>
        <v>2230</v>
      </c>
      <c r="K789" s="5" t="str">
        <f t="shared" si="93"/>
        <v>000</v>
      </c>
      <c r="L789" s="5">
        <f t="shared" si="94"/>
        <v>1</v>
      </c>
      <c r="M789" s="5">
        <f t="shared" si="95"/>
        <v>2012</v>
      </c>
    </row>
    <row r="790" spans="1:13" ht="17.45" customHeight="1" x14ac:dyDescent="0.25">
      <c r="A790" s="1">
        <f>DATE(2012,1,2)</f>
        <v>40910</v>
      </c>
      <c r="B790" t="s">
        <v>19</v>
      </c>
      <c r="C790" t="s">
        <v>6</v>
      </c>
      <c r="D790" s="3">
        <v>6341.3959000000004</v>
      </c>
      <c r="E790" s="3">
        <v>0</v>
      </c>
      <c r="F790" t="s">
        <v>45</v>
      </c>
      <c r="G790" s="3">
        <f t="shared" si="89"/>
        <v>-6341.3959000000004</v>
      </c>
      <c r="H790" s="3">
        <f t="shared" si="90"/>
        <v>6341.3959000000004</v>
      </c>
      <c r="I790" s="5" t="str">
        <f t="shared" si="91"/>
        <v>018</v>
      </c>
      <c r="J790" s="5" t="str">
        <f t="shared" si="92"/>
        <v>2100</v>
      </c>
      <c r="K790" s="5" t="str">
        <f t="shared" si="93"/>
        <v>000</v>
      </c>
      <c r="L790" s="5">
        <f t="shared" si="94"/>
        <v>1</v>
      </c>
      <c r="M790" s="5">
        <f t="shared" si="95"/>
        <v>2012</v>
      </c>
    </row>
    <row r="791" spans="1:13" ht="17.45" customHeight="1" x14ac:dyDescent="0.25">
      <c r="A791" s="1">
        <f>DATE(2012,1,2)</f>
        <v>40910</v>
      </c>
      <c r="B791" t="s">
        <v>20</v>
      </c>
      <c r="C791" t="s">
        <v>8</v>
      </c>
      <c r="D791" s="3">
        <v>788.76600000000008</v>
      </c>
      <c r="E791" s="3">
        <v>0</v>
      </c>
      <c r="F791" t="s">
        <v>45</v>
      </c>
      <c r="G791" s="3">
        <f t="shared" si="89"/>
        <v>-788.76600000000008</v>
      </c>
      <c r="H791" s="3">
        <f t="shared" si="90"/>
        <v>788.76600000000008</v>
      </c>
      <c r="I791" s="5" t="str">
        <f t="shared" si="91"/>
        <v>018</v>
      </c>
      <c r="J791" s="5" t="str">
        <f t="shared" si="92"/>
        <v>2210</v>
      </c>
      <c r="K791" s="5" t="str">
        <f t="shared" si="93"/>
        <v>000</v>
      </c>
      <c r="L791" s="5">
        <f t="shared" si="94"/>
        <v>1</v>
      </c>
      <c r="M791" s="5">
        <f t="shared" si="95"/>
        <v>2012</v>
      </c>
    </row>
    <row r="792" spans="1:13" ht="17.45" customHeight="1" x14ac:dyDescent="0.25">
      <c r="A792" s="1">
        <f>DATE(2012,1,2)</f>
        <v>40910</v>
      </c>
      <c r="B792" t="s">
        <v>21</v>
      </c>
      <c r="C792" t="s">
        <v>9</v>
      </c>
      <c r="D792" s="3">
        <v>222.66899999999998</v>
      </c>
      <c r="E792" s="3">
        <v>0</v>
      </c>
      <c r="F792" t="s">
        <v>45</v>
      </c>
      <c r="G792" s="3">
        <f t="shared" si="89"/>
        <v>-222.66899999999998</v>
      </c>
      <c r="H792" s="3">
        <f t="shared" si="90"/>
        <v>222.66899999999998</v>
      </c>
      <c r="I792" s="5" t="str">
        <f t="shared" si="91"/>
        <v>018</v>
      </c>
      <c r="J792" s="5" t="str">
        <f t="shared" si="92"/>
        <v>2220</v>
      </c>
      <c r="K792" s="5" t="str">
        <f t="shared" si="93"/>
        <v>000</v>
      </c>
      <c r="L792" s="5">
        <f t="shared" si="94"/>
        <v>1</v>
      </c>
      <c r="M792" s="5">
        <f t="shared" si="95"/>
        <v>2012</v>
      </c>
    </row>
    <row r="793" spans="1:13" ht="17.45" customHeight="1" x14ac:dyDescent="0.25">
      <c r="A793" s="1">
        <f>DATE(2012,1,2)</f>
        <v>40910</v>
      </c>
      <c r="B793" t="s">
        <v>22</v>
      </c>
      <c r="C793" t="s">
        <v>10</v>
      </c>
      <c r="D793" s="3">
        <v>87.22999999999999</v>
      </c>
      <c r="E793" s="3">
        <v>0</v>
      </c>
      <c r="F793" t="s">
        <v>45</v>
      </c>
      <c r="G793" s="3">
        <f t="shared" si="89"/>
        <v>-87.22999999999999</v>
      </c>
      <c r="H793" s="3">
        <f t="shared" si="90"/>
        <v>87.22999999999999</v>
      </c>
      <c r="I793" s="5" t="str">
        <f t="shared" si="91"/>
        <v>018</v>
      </c>
      <c r="J793" s="5" t="str">
        <f t="shared" si="92"/>
        <v>2230</v>
      </c>
      <c r="K793" s="5" t="str">
        <f t="shared" si="93"/>
        <v>000</v>
      </c>
      <c r="L793" s="5">
        <f t="shared" si="94"/>
        <v>1</v>
      </c>
      <c r="M793" s="5">
        <f t="shared" si="95"/>
        <v>2012</v>
      </c>
    </row>
    <row r="794" spans="1:13" ht="17.45" customHeight="1" x14ac:dyDescent="0.25">
      <c r="A794" s="1">
        <f>DATE(2012,1,3)</f>
        <v>40911</v>
      </c>
      <c r="B794" t="s">
        <v>19</v>
      </c>
      <c r="C794" t="s">
        <v>6</v>
      </c>
      <c r="D794" s="3">
        <v>3155.3445000000002</v>
      </c>
      <c r="E794" s="3">
        <v>0</v>
      </c>
      <c r="F794" t="s">
        <v>45</v>
      </c>
      <c r="G794" s="3">
        <f t="shared" si="89"/>
        <v>-3155.3445000000002</v>
      </c>
      <c r="H794" s="3">
        <f t="shared" si="90"/>
        <v>3155.3445000000002</v>
      </c>
      <c r="I794" s="5" t="str">
        <f t="shared" si="91"/>
        <v>018</v>
      </c>
      <c r="J794" s="5" t="str">
        <f t="shared" si="92"/>
        <v>2100</v>
      </c>
      <c r="K794" s="5" t="str">
        <f t="shared" si="93"/>
        <v>000</v>
      </c>
      <c r="L794" s="5">
        <f t="shared" si="94"/>
        <v>1</v>
      </c>
      <c r="M794" s="5">
        <f t="shared" si="95"/>
        <v>2012</v>
      </c>
    </row>
    <row r="795" spans="1:13" ht="17.45" customHeight="1" x14ac:dyDescent="0.25">
      <c r="A795" s="1">
        <f>DATE(2012,1,3)</f>
        <v>40911</v>
      </c>
      <c r="B795" t="s">
        <v>20</v>
      </c>
      <c r="C795" t="s">
        <v>8</v>
      </c>
      <c r="D795" s="3">
        <v>577.30500000000006</v>
      </c>
      <c r="E795" s="3">
        <v>0</v>
      </c>
      <c r="F795" t="s">
        <v>45</v>
      </c>
      <c r="G795" s="3">
        <f t="shared" si="89"/>
        <v>-577.30500000000006</v>
      </c>
      <c r="H795" s="3">
        <f t="shared" si="90"/>
        <v>577.30500000000006</v>
      </c>
      <c r="I795" s="5" t="str">
        <f t="shared" si="91"/>
        <v>018</v>
      </c>
      <c r="J795" s="5" t="str">
        <f t="shared" si="92"/>
        <v>2210</v>
      </c>
      <c r="K795" s="5" t="str">
        <f t="shared" si="93"/>
        <v>000</v>
      </c>
      <c r="L795" s="5">
        <f t="shared" si="94"/>
        <v>1</v>
      </c>
      <c r="M795" s="5">
        <f t="shared" si="95"/>
        <v>2012</v>
      </c>
    </row>
    <row r="796" spans="1:13" ht="17.45" customHeight="1" x14ac:dyDescent="0.25">
      <c r="A796" s="1">
        <f>DATE(2012,1,3)</f>
        <v>40911</v>
      </c>
      <c r="B796" t="s">
        <v>21</v>
      </c>
      <c r="C796" t="s">
        <v>9</v>
      </c>
      <c r="D796" s="3">
        <v>94.48</v>
      </c>
      <c r="E796" s="3">
        <v>0</v>
      </c>
      <c r="F796" t="s">
        <v>45</v>
      </c>
      <c r="G796" s="3">
        <f t="shared" si="89"/>
        <v>-94.48</v>
      </c>
      <c r="H796" s="3">
        <f t="shared" si="90"/>
        <v>94.48</v>
      </c>
      <c r="I796" s="5" t="str">
        <f t="shared" si="91"/>
        <v>018</v>
      </c>
      <c r="J796" s="5" t="str">
        <f t="shared" si="92"/>
        <v>2220</v>
      </c>
      <c r="K796" s="5" t="str">
        <f t="shared" si="93"/>
        <v>000</v>
      </c>
      <c r="L796" s="5">
        <f t="shared" si="94"/>
        <v>1</v>
      </c>
      <c r="M796" s="5">
        <f t="shared" si="95"/>
        <v>2012</v>
      </c>
    </row>
    <row r="797" spans="1:13" ht="17.45" customHeight="1" x14ac:dyDescent="0.25">
      <c r="A797" s="1">
        <f>DATE(2012,1,3)</f>
        <v>40911</v>
      </c>
      <c r="B797" t="s">
        <v>22</v>
      </c>
      <c r="C797" t="s">
        <v>10</v>
      </c>
      <c r="D797" s="3">
        <v>26.768000000000001</v>
      </c>
      <c r="E797" s="3">
        <v>0</v>
      </c>
      <c r="F797" t="s">
        <v>45</v>
      </c>
      <c r="G797" s="3">
        <f t="shared" si="89"/>
        <v>-26.768000000000001</v>
      </c>
      <c r="H797" s="3">
        <f t="shared" si="90"/>
        <v>26.768000000000001</v>
      </c>
      <c r="I797" s="5" t="str">
        <f t="shared" si="91"/>
        <v>018</v>
      </c>
      <c r="J797" s="5" t="str">
        <f t="shared" si="92"/>
        <v>2230</v>
      </c>
      <c r="K797" s="5" t="str">
        <f t="shared" si="93"/>
        <v>000</v>
      </c>
      <c r="L797" s="5">
        <f t="shared" si="94"/>
        <v>1</v>
      </c>
      <c r="M797" s="5">
        <f t="shared" si="95"/>
        <v>2012</v>
      </c>
    </row>
    <row r="798" spans="1:13" ht="17.45" customHeight="1" x14ac:dyDescent="0.25">
      <c r="A798" s="1">
        <f>DATE(2012,1,4)</f>
        <v>40912</v>
      </c>
      <c r="B798" t="s">
        <v>19</v>
      </c>
      <c r="C798" t="s">
        <v>6</v>
      </c>
      <c r="D798" s="3">
        <v>3072.9750000000004</v>
      </c>
      <c r="E798" s="3">
        <v>0</v>
      </c>
      <c r="F798" t="s">
        <v>45</v>
      </c>
      <c r="G798" s="3">
        <f t="shared" si="89"/>
        <v>-3072.9750000000004</v>
      </c>
      <c r="H798" s="3">
        <f t="shared" si="90"/>
        <v>3072.9750000000004</v>
      </c>
      <c r="I798" s="5" t="str">
        <f t="shared" si="91"/>
        <v>018</v>
      </c>
      <c r="J798" s="5" t="str">
        <f t="shared" si="92"/>
        <v>2100</v>
      </c>
      <c r="K798" s="5" t="str">
        <f t="shared" si="93"/>
        <v>000</v>
      </c>
      <c r="L798" s="5">
        <f t="shared" si="94"/>
        <v>1</v>
      </c>
      <c r="M798" s="5">
        <f t="shared" si="95"/>
        <v>2012</v>
      </c>
    </row>
    <row r="799" spans="1:13" ht="17.45" customHeight="1" x14ac:dyDescent="0.25">
      <c r="A799" s="1">
        <f>DATE(2012,1,4)</f>
        <v>40912</v>
      </c>
      <c r="B799" t="s">
        <v>20</v>
      </c>
      <c r="C799" t="s">
        <v>8</v>
      </c>
      <c r="D799" s="3">
        <v>577.77300000000002</v>
      </c>
      <c r="E799" s="3">
        <v>0</v>
      </c>
      <c r="F799" t="s">
        <v>45</v>
      </c>
      <c r="G799" s="3">
        <f t="shared" si="89"/>
        <v>-577.77300000000002</v>
      </c>
      <c r="H799" s="3">
        <f t="shared" si="90"/>
        <v>577.77300000000002</v>
      </c>
      <c r="I799" s="5" t="str">
        <f t="shared" si="91"/>
        <v>018</v>
      </c>
      <c r="J799" s="5" t="str">
        <f t="shared" si="92"/>
        <v>2210</v>
      </c>
      <c r="K799" s="5" t="str">
        <f t="shared" si="93"/>
        <v>000</v>
      </c>
      <c r="L799" s="5">
        <f t="shared" si="94"/>
        <v>1</v>
      </c>
      <c r="M799" s="5">
        <f t="shared" si="95"/>
        <v>2012</v>
      </c>
    </row>
    <row r="800" spans="1:13" ht="17.45" customHeight="1" x14ac:dyDescent="0.25">
      <c r="A800" s="1">
        <f>DATE(2012,1,4)</f>
        <v>40912</v>
      </c>
      <c r="B800" t="s">
        <v>21</v>
      </c>
      <c r="C800" t="s">
        <v>9</v>
      </c>
      <c r="D800" s="3">
        <v>153.03200000000001</v>
      </c>
      <c r="E800" s="3">
        <v>0</v>
      </c>
      <c r="F800" t="s">
        <v>45</v>
      </c>
      <c r="G800" s="3">
        <f t="shared" si="89"/>
        <v>-153.03200000000001</v>
      </c>
      <c r="H800" s="3">
        <f t="shared" si="90"/>
        <v>153.03200000000001</v>
      </c>
      <c r="I800" s="5" t="str">
        <f t="shared" si="91"/>
        <v>018</v>
      </c>
      <c r="J800" s="5" t="str">
        <f t="shared" si="92"/>
        <v>2220</v>
      </c>
      <c r="K800" s="5" t="str">
        <f t="shared" si="93"/>
        <v>000</v>
      </c>
      <c r="L800" s="5">
        <f t="shared" si="94"/>
        <v>1</v>
      </c>
      <c r="M800" s="5">
        <f t="shared" si="95"/>
        <v>2012</v>
      </c>
    </row>
    <row r="801" spans="1:13" ht="17.45" customHeight="1" x14ac:dyDescent="0.25">
      <c r="A801" s="1">
        <f>DATE(2012,1,4)</f>
        <v>40912</v>
      </c>
      <c r="B801" t="s">
        <v>22</v>
      </c>
      <c r="C801" t="s">
        <v>10</v>
      </c>
      <c r="D801" s="3">
        <v>68.984999999999999</v>
      </c>
      <c r="E801" s="3">
        <v>0</v>
      </c>
      <c r="F801" t="s">
        <v>45</v>
      </c>
      <c r="G801" s="3">
        <f t="shared" si="89"/>
        <v>-68.984999999999999</v>
      </c>
      <c r="H801" s="3">
        <f t="shared" si="90"/>
        <v>68.984999999999999</v>
      </c>
      <c r="I801" s="5" t="str">
        <f t="shared" si="91"/>
        <v>018</v>
      </c>
      <c r="J801" s="5" t="str">
        <f t="shared" si="92"/>
        <v>2230</v>
      </c>
      <c r="K801" s="5" t="str">
        <f t="shared" si="93"/>
        <v>000</v>
      </c>
      <c r="L801" s="5">
        <f t="shared" si="94"/>
        <v>1</v>
      </c>
      <c r="M801" s="5">
        <f t="shared" si="95"/>
        <v>2012</v>
      </c>
    </row>
    <row r="802" spans="1:13" ht="17.45" customHeight="1" x14ac:dyDescent="0.25">
      <c r="A802" s="1">
        <f>DATE(2012,1,5)</f>
        <v>40913</v>
      </c>
      <c r="B802" t="s">
        <v>19</v>
      </c>
      <c r="C802" t="s">
        <v>6</v>
      </c>
      <c r="D802" s="3">
        <v>3305.3120000000004</v>
      </c>
      <c r="E802" s="3">
        <v>0</v>
      </c>
      <c r="F802" t="s">
        <v>45</v>
      </c>
      <c r="G802" s="3">
        <f t="shared" si="89"/>
        <v>-3305.3120000000004</v>
      </c>
      <c r="H802" s="3">
        <f t="shared" si="90"/>
        <v>3305.3120000000004</v>
      </c>
      <c r="I802" s="5" t="str">
        <f t="shared" si="91"/>
        <v>018</v>
      </c>
      <c r="J802" s="5" t="str">
        <f t="shared" si="92"/>
        <v>2100</v>
      </c>
      <c r="K802" s="5" t="str">
        <f t="shared" si="93"/>
        <v>000</v>
      </c>
      <c r="L802" s="5">
        <f t="shared" si="94"/>
        <v>1</v>
      </c>
      <c r="M802" s="5">
        <f t="shared" si="95"/>
        <v>2012</v>
      </c>
    </row>
    <row r="803" spans="1:13" ht="17.45" customHeight="1" x14ac:dyDescent="0.25">
      <c r="A803" s="1">
        <f>DATE(2012,1,5)</f>
        <v>40913</v>
      </c>
      <c r="B803" t="s">
        <v>20</v>
      </c>
      <c r="C803" t="s">
        <v>8</v>
      </c>
      <c r="D803" s="3">
        <v>367.32</v>
      </c>
      <c r="E803" s="3">
        <v>0</v>
      </c>
      <c r="F803" t="s">
        <v>45</v>
      </c>
      <c r="G803" s="3">
        <f t="shared" si="89"/>
        <v>-367.32</v>
      </c>
      <c r="H803" s="3">
        <f t="shared" si="90"/>
        <v>367.32</v>
      </c>
      <c r="I803" s="5" t="str">
        <f t="shared" si="91"/>
        <v>018</v>
      </c>
      <c r="J803" s="5" t="str">
        <f t="shared" si="92"/>
        <v>2210</v>
      </c>
      <c r="K803" s="5" t="str">
        <f t="shared" si="93"/>
        <v>000</v>
      </c>
      <c r="L803" s="5">
        <f t="shared" si="94"/>
        <v>1</v>
      </c>
      <c r="M803" s="5">
        <f t="shared" si="95"/>
        <v>2012</v>
      </c>
    </row>
    <row r="804" spans="1:13" ht="17.45" customHeight="1" x14ac:dyDescent="0.25">
      <c r="A804" s="1">
        <f>DATE(2012,1,5)</f>
        <v>40913</v>
      </c>
      <c r="B804" t="s">
        <v>21</v>
      </c>
      <c r="C804" t="s">
        <v>9</v>
      </c>
      <c r="D804" s="3">
        <v>105.0175</v>
      </c>
      <c r="E804" s="3">
        <v>0</v>
      </c>
      <c r="F804" t="s">
        <v>45</v>
      </c>
      <c r="G804" s="3">
        <f t="shared" si="89"/>
        <v>-105.0175</v>
      </c>
      <c r="H804" s="3">
        <f t="shared" si="90"/>
        <v>105.0175</v>
      </c>
      <c r="I804" s="5" t="str">
        <f t="shared" si="91"/>
        <v>018</v>
      </c>
      <c r="J804" s="5" t="str">
        <f t="shared" si="92"/>
        <v>2220</v>
      </c>
      <c r="K804" s="5" t="str">
        <f t="shared" si="93"/>
        <v>000</v>
      </c>
      <c r="L804" s="5">
        <f t="shared" si="94"/>
        <v>1</v>
      </c>
      <c r="M804" s="5">
        <f t="shared" si="95"/>
        <v>2012</v>
      </c>
    </row>
    <row r="805" spans="1:13" ht="17.45" customHeight="1" x14ac:dyDescent="0.25">
      <c r="A805" s="1">
        <f>DATE(2012,1,5)</f>
        <v>40913</v>
      </c>
      <c r="B805" t="s">
        <v>22</v>
      </c>
      <c r="C805" t="s">
        <v>10</v>
      </c>
      <c r="D805" s="3">
        <v>15.652000000000001</v>
      </c>
      <c r="E805" s="3">
        <v>0</v>
      </c>
      <c r="F805" t="s">
        <v>45</v>
      </c>
      <c r="G805" s="3">
        <f t="shared" si="89"/>
        <v>-15.652000000000001</v>
      </c>
      <c r="H805" s="3">
        <f t="shared" si="90"/>
        <v>15.652000000000001</v>
      </c>
      <c r="I805" s="5" t="str">
        <f t="shared" si="91"/>
        <v>018</v>
      </c>
      <c r="J805" s="5" t="str">
        <f t="shared" si="92"/>
        <v>2230</v>
      </c>
      <c r="K805" s="5" t="str">
        <f t="shared" si="93"/>
        <v>000</v>
      </c>
      <c r="L805" s="5">
        <f t="shared" si="94"/>
        <v>1</v>
      </c>
      <c r="M805" s="5">
        <f t="shared" si="95"/>
        <v>2012</v>
      </c>
    </row>
    <row r="806" spans="1:13" ht="17.45" customHeight="1" x14ac:dyDescent="0.25">
      <c r="A806" s="1">
        <f>DATE(2012,1,6)</f>
        <v>40914</v>
      </c>
      <c r="B806" t="s">
        <v>19</v>
      </c>
      <c r="C806" t="s">
        <v>6</v>
      </c>
      <c r="D806" s="3">
        <v>10021.924999999999</v>
      </c>
      <c r="E806" s="3">
        <v>0</v>
      </c>
      <c r="F806" t="s">
        <v>45</v>
      </c>
      <c r="G806" s="3">
        <f t="shared" si="89"/>
        <v>-10021.924999999999</v>
      </c>
      <c r="H806" s="3">
        <f t="shared" si="90"/>
        <v>10021.924999999999</v>
      </c>
      <c r="I806" s="5" t="str">
        <f t="shared" si="91"/>
        <v>018</v>
      </c>
      <c r="J806" s="5" t="str">
        <f t="shared" si="92"/>
        <v>2100</v>
      </c>
      <c r="K806" s="5" t="str">
        <f t="shared" si="93"/>
        <v>000</v>
      </c>
      <c r="L806" s="5">
        <f t="shared" si="94"/>
        <v>1</v>
      </c>
      <c r="M806" s="5">
        <f t="shared" si="95"/>
        <v>2012</v>
      </c>
    </row>
    <row r="807" spans="1:13" ht="17.45" customHeight="1" x14ac:dyDescent="0.25">
      <c r="A807" s="1">
        <f>DATE(2012,1,6)</f>
        <v>40914</v>
      </c>
      <c r="B807" t="s">
        <v>20</v>
      </c>
      <c r="C807" t="s">
        <v>8</v>
      </c>
      <c r="D807" s="3">
        <v>2677.3565000000003</v>
      </c>
      <c r="E807" s="3">
        <v>0</v>
      </c>
      <c r="F807" t="s">
        <v>45</v>
      </c>
      <c r="G807" s="3">
        <f t="shared" si="89"/>
        <v>-2677.3565000000003</v>
      </c>
      <c r="H807" s="3">
        <f t="shared" si="90"/>
        <v>2677.3565000000003</v>
      </c>
      <c r="I807" s="5" t="str">
        <f t="shared" si="91"/>
        <v>018</v>
      </c>
      <c r="J807" s="5" t="str">
        <f t="shared" si="92"/>
        <v>2210</v>
      </c>
      <c r="K807" s="5" t="str">
        <f t="shared" si="93"/>
        <v>000</v>
      </c>
      <c r="L807" s="5">
        <f t="shared" si="94"/>
        <v>1</v>
      </c>
      <c r="M807" s="5">
        <f t="shared" si="95"/>
        <v>2012</v>
      </c>
    </row>
    <row r="808" spans="1:13" ht="17.45" customHeight="1" x14ac:dyDescent="0.25">
      <c r="A808" s="1">
        <f>DATE(2012,1,6)</f>
        <v>40914</v>
      </c>
      <c r="B808" t="s">
        <v>21</v>
      </c>
      <c r="C808" t="s">
        <v>9</v>
      </c>
      <c r="D808" s="3">
        <v>527.16949999999997</v>
      </c>
      <c r="E808" s="3">
        <v>0</v>
      </c>
      <c r="F808" t="s">
        <v>45</v>
      </c>
      <c r="G808" s="3">
        <f t="shared" si="89"/>
        <v>-527.16949999999997</v>
      </c>
      <c r="H808" s="3">
        <f t="shared" si="90"/>
        <v>527.16949999999997</v>
      </c>
      <c r="I808" s="5" t="str">
        <f t="shared" si="91"/>
        <v>018</v>
      </c>
      <c r="J808" s="5" t="str">
        <f t="shared" si="92"/>
        <v>2220</v>
      </c>
      <c r="K808" s="5" t="str">
        <f t="shared" si="93"/>
        <v>000</v>
      </c>
      <c r="L808" s="5">
        <f t="shared" si="94"/>
        <v>1</v>
      </c>
      <c r="M808" s="5">
        <f t="shared" si="95"/>
        <v>2012</v>
      </c>
    </row>
    <row r="809" spans="1:13" ht="17.45" customHeight="1" x14ac:dyDescent="0.25">
      <c r="A809" s="1">
        <f>DATE(2012,1,6)</f>
        <v>40914</v>
      </c>
      <c r="B809" t="s">
        <v>22</v>
      </c>
      <c r="C809" t="s">
        <v>10</v>
      </c>
      <c r="D809" s="3">
        <v>65.64</v>
      </c>
      <c r="E809" s="3">
        <v>0</v>
      </c>
      <c r="F809" t="s">
        <v>45</v>
      </c>
      <c r="G809" s="3">
        <f t="shared" si="89"/>
        <v>-65.64</v>
      </c>
      <c r="H809" s="3">
        <f t="shared" si="90"/>
        <v>65.64</v>
      </c>
      <c r="I809" s="5" t="str">
        <f t="shared" si="91"/>
        <v>018</v>
      </c>
      <c r="J809" s="5" t="str">
        <f t="shared" si="92"/>
        <v>2230</v>
      </c>
      <c r="K809" s="5" t="str">
        <f t="shared" si="93"/>
        <v>000</v>
      </c>
      <c r="L809" s="5">
        <f t="shared" si="94"/>
        <v>1</v>
      </c>
      <c r="M809" s="5">
        <f t="shared" si="95"/>
        <v>2012</v>
      </c>
    </row>
    <row r="810" spans="1:13" ht="17.45" customHeight="1" x14ac:dyDescent="0.25">
      <c r="A810" s="1">
        <f>DATE(2012,1,7)</f>
        <v>40915</v>
      </c>
      <c r="B810" t="s">
        <v>19</v>
      </c>
      <c r="C810" t="s">
        <v>6</v>
      </c>
      <c r="D810" s="3">
        <v>11225.287499999999</v>
      </c>
      <c r="E810" s="3">
        <v>0</v>
      </c>
      <c r="F810" t="s">
        <v>45</v>
      </c>
      <c r="G810" s="3">
        <f t="shared" si="89"/>
        <v>-11225.287499999999</v>
      </c>
      <c r="H810" s="3">
        <f t="shared" si="90"/>
        <v>11225.287499999999</v>
      </c>
      <c r="I810" s="5" t="str">
        <f t="shared" si="91"/>
        <v>018</v>
      </c>
      <c r="J810" s="5" t="str">
        <f t="shared" si="92"/>
        <v>2100</v>
      </c>
      <c r="K810" s="5" t="str">
        <f t="shared" si="93"/>
        <v>000</v>
      </c>
      <c r="L810" s="5">
        <f t="shared" si="94"/>
        <v>1</v>
      </c>
      <c r="M810" s="5">
        <f t="shared" si="95"/>
        <v>2012</v>
      </c>
    </row>
    <row r="811" spans="1:13" ht="17.45" customHeight="1" x14ac:dyDescent="0.25">
      <c r="A811" s="1">
        <f>DATE(2012,1,7)</f>
        <v>40915</v>
      </c>
      <c r="B811" t="s">
        <v>20</v>
      </c>
      <c r="C811" t="s">
        <v>8</v>
      </c>
      <c r="D811" s="3">
        <v>2151.6389999999997</v>
      </c>
      <c r="E811" s="3">
        <v>0</v>
      </c>
      <c r="F811" t="s">
        <v>45</v>
      </c>
      <c r="G811" s="3">
        <f t="shared" si="89"/>
        <v>-2151.6389999999997</v>
      </c>
      <c r="H811" s="3">
        <f t="shared" si="90"/>
        <v>2151.6389999999997</v>
      </c>
      <c r="I811" s="5" t="str">
        <f t="shared" si="91"/>
        <v>018</v>
      </c>
      <c r="J811" s="5" t="str">
        <f t="shared" si="92"/>
        <v>2210</v>
      </c>
      <c r="K811" s="5" t="str">
        <f t="shared" si="93"/>
        <v>000</v>
      </c>
      <c r="L811" s="5">
        <f t="shared" si="94"/>
        <v>1</v>
      </c>
      <c r="M811" s="5">
        <f t="shared" si="95"/>
        <v>2012</v>
      </c>
    </row>
    <row r="812" spans="1:13" ht="17.45" customHeight="1" x14ac:dyDescent="0.25">
      <c r="A812" s="1">
        <f>DATE(2012,1,7)</f>
        <v>40915</v>
      </c>
      <c r="B812" t="s">
        <v>21</v>
      </c>
      <c r="C812" t="s">
        <v>9</v>
      </c>
      <c r="D812" s="3">
        <v>572.66999999999996</v>
      </c>
      <c r="E812" s="3">
        <v>0</v>
      </c>
      <c r="F812" t="s">
        <v>45</v>
      </c>
      <c r="G812" s="3">
        <f t="shared" si="89"/>
        <v>-572.66999999999996</v>
      </c>
      <c r="H812" s="3">
        <f t="shared" si="90"/>
        <v>572.66999999999996</v>
      </c>
      <c r="I812" s="5" t="str">
        <f t="shared" si="91"/>
        <v>018</v>
      </c>
      <c r="J812" s="5" t="str">
        <f t="shared" si="92"/>
        <v>2220</v>
      </c>
      <c r="K812" s="5" t="str">
        <f t="shared" si="93"/>
        <v>000</v>
      </c>
      <c r="L812" s="5">
        <f t="shared" si="94"/>
        <v>1</v>
      </c>
      <c r="M812" s="5">
        <f t="shared" si="95"/>
        <v>2012</v>
      </c>
    </row>
    <row r="813" spans="1:13" ht="17.45" customHeight="1" x14ac:dyDescent="0.25">
      <c r="A813" s="1">
        <f>DATE(2012,1,7)</f>
        <v>40915</v>
      </c>
      <c r="B813" t="s">
        <v>22</v>
      </c>
      <c r="C813" t="s">
        <v>10</v>
      </c>
      <c r="D813" s="3">
        <v>77.210999999999999</v>
      </c>
      <c r="E813" s="3">
        <v>0</v>
      </c>
      <c r="F813" t="s">
        <v>45</v>
      </c>
      <c r="G813" s="3">
        <f t="shared" si="89"/>
        <v>-77.210999999999999</v>
      </c>
      <c r="H813" s="3">
        <f t="shared" si="90"/>
        <v>77.210999999999999</v>
      </c>
      <c r="I813" s="5" t="str">
        <f t="shared" si="91"/>
        <v>018</v>
      </c>
      <c r="J813" s="5" t="str">
        <f t="shared" si="92"/>
        <v>2230</v>
      </c>
      <c r="K813" s="5" t="str">
        <f t="shared" si="93"/>
        <v>000</v>
      </c>
      <c r="L813" s="5">
        <f t="shared" si="94"/>
        <v>1</v>
      </c>
      <c r="M813" s="5">
        <f t="shared" si="95"/>
        <v>2012</v>
      </c>
    </row>
    <row r="814" spans="1:13" ht="17.45" customHeight="1" x14ac:dyDescent="0.25">
      <c r="A814" s="1">
        <f>DATE(2012,1,8)</f>
        <v>40916</v>
      </c>
      <c r="B814" t="s">
        <v>19</v>
      </c>
      <c r="C814" t="s">
        <v>6</v>
      </c>
      <c r="D814" s="3">
        <v>6942.2084999999997</v>
      </c>
      <c r="E814" s="3">
        <v>0</v>
      </c>
      <c r="F814" t="s">
        <v>45</v>
      </c>
      <c r="G814" s="3">
        <f t="shared" si="89"/>
        <v>-6942.2084999999997</v>
      </c>
      <c r="H814" s="3">
        <f t="shared" si="90"/>
        <v>6942.2084999999997</v>
      </c>
      <c r="I814" s="5" t="str">
        <f t="shared" si="91"/>
        <v>018</v>
      </c>
      <c r="J814" s="5" t="str">
        <f t="shared" si="92"/>
        <v>2100</v>
      </c>
      <c r="K814" s="5" t="str">
        <f t="shared" si="93"/>
        <v>000</v>
      </c>
      <c r="L814" s="5">
        <f t="shared" si="94"/>
        <v>1</v>
      </c>
      <c r="M814" s="5">
        <f t="shared" si="95"/>
        <v>2012</v>
      </c>
    </row>
    <row r="815" spans="1:13" ht="17.45" customHeight="1" x14ac:dyDescent="0.25">
      <c r="A815" s="1">
        <f>DATE(2012,1,8)</f>
        <v>40916</v>
      </c>
      <c r="B815" t="s">
        <v>20</v>
      </c>
      <c r="C815" t="s">
        <v>8</v>
      </c>
      <c r="D815" s="3">
        <v>800.19299999999998</v>
      </c>
      <c r="E815" s="3">
        <v>0</v>
      </c>
      <c r="F815" t="s">
        <v>45</v>
      </c>
      <c r="G815" s="3">
        <f t="shared" si="89"/>
        <v>-800.19299999999998</v>
      </c>
      <c r="H815" s="3">
        <f t="shared" si="90"/>
        <v>800.19299999999998</v>
      </c>
      <c r="I815" s="5" t="str">
        <f t="shared" si="91"/>
        <v>018</v>
      </c>
      <c r="J815" s="5" t="str">
        <f t="shared" si="92"/>
        <v>2210</v>
      </c>
      <c r="K815" s="5" t="str">
        <f t="shared" si="93"/>
        <v>000</v>
      </c>
      <c r="L815" s="5">
        <f t="shared" si="94"/>
        <v>1</v>
      </c>
      <c r="M815" s="5">
        <f t="shared" si="95"/>
        <v>2012</v>
      </c>
    </row>
    <row r="816" spans="1:13" ht="17.45" customHeight="1" x14ac:dyDescent="0.25">
      <c r="A816" s="1">
        <f>DATE(2012,1,8)</f>
        <v>40916</v>
      </c>
      <c r="B816" t="s">
        <v>21</v>
      </c>
      <c r="C816" t="s">
        <v>9</v>
      </c>
      <c r="D816" s="3">
        <v>229.27199999999999</v>
      </c>
      <c r="E816" s="3">
        <v>0</v>
      </c>
      <c r="F816" t="s">
        <v>45</v>
      </c>
      <c r="G816" s="3">
        <f t="shared" si="89"/>
        <v>-229.27199999999999</v>
      </c>
      <c r="H816" s="3">
        <f t="shared" si="90"/>
        <v>229.27199999999999</v>
      </c>
      <c r="I816" s="5" t="str">
        <f t="shared" si="91"/>
        <v>018</v>
      </c>
      <c r="J816" s="5" t="str">
        <f t="shared" si="92"/>
        <v>2220</v>
      </c>
      <c r="K816" s="5" t="str">
        <f t="shared" si="93"/>
        <v>000</v>
      </c>
      <c r="L816" s="5">
        <f t="shared" si="94"/>
        <v>1</v>
      </c>
      <c r="M816" s="5">
        <f t="shared" si="95"/>
        <v>2012</v>
      </c>
    </row>
    <row r="817" spans="1:13" ht="17.45" customHeight="1" x14ac:dyDescent="0.25">
      <c r="A817" s="1">
        <f>DATE(2012,1,8)</f>
        <v>40916</v>
      </c>
      <c r="B817" t="s">
        <v>22</v>
      </c>
      <c r="C817" t="s">
        <v>10</v>
      </c>
      <c r="D817" s="3">
        <v>48.884</v>
      </c>
      <c r="E817" s="3">
        <v>0</v>
      </c>
      <c r="F817" t="s">
        <v>45</v>
      </c>
      <c r="G817" s="3">
        <f t="shared" si="89"/>
        <v>-48.884</v>
      </c>
      <c r="H817" s="3">
        <f t="shared" si="90"/>
        <v>48.884</v>
      </c>
      <c r="I817" s="5" t="str">
        <f t="shared" si="91"/>
        <v>018</v>
      </c>
      <c r="J817" s="5" t="str">
        <f t="shared" si="92"/>
        <v>2230</v>
      </c>
      <c r="K817" s="5" t="str">
        <f t="shared" si="93"/>
        <v>000</v>
      </c>
      <c r="L817" s="5">
        <f t="shared" si="94"/>
        <v>1</v>
      </c>
      <c r="M817" s="5">
        <f t="shared" si="95"/>
        <v>2012</v>
      </c>
    </row>
    <row r="818" spans="1:13" ht="17.45" customHeight="1" x14ac:dyDescent="0.25">
      <c r="A818" s="1">
        <f>DATE(2012,1,9)</f>
        <v>40917</v>
      </c>
      <c r="B818" t="s">
        <v>11</v>
      </c>
      <c r="C818" t="s">
        <v>6</v>
      </c>
      <c r="D818" s="3">
        <v>2468.1024000000002</v>
      </c>
      <c r="E818" s="3">
        <v>0</v>
      </c>
      <c r="F818" t="s">
        <v>45</v>
      </c>
      <c r="G818" s="3">
        <f t="shared" si="89"/>
        <v>-2468.1024000000002</v>
      </c>
      <c r="H818" s="3">
        <f t="shared" si="90"/>
        <v>2468.1024000000002</v>
      </c>
      <c r="I818" s="5" t="str">
        <f t="shared" si="91"/>
        <v>016</v>
      </c>
      <c r="J818" s="5" t="str">
        <f t="shared" si="92"/>
        <v>2100</v>
      </c>
      <c r="K818" s="5" t="str">
        <f t="shared" si="93"/>
        <v>000</v>
      </c>
      <c r="L818" s="5">
        <f t="shared" si="94"/>
        <v>1</v>
      </c>
      <c r="M818" s="5">
        <f t="shared" si="95"/>
        <v>2012</v>
      </c>
    </row>
    <row r="819" spans="1:13" ht="17.45" customHeight="1" x14ac:dyDescent="0.25">
      <c r="A819" s="1">
        <f>DATE(2012,1,9)</f>
        <v>40917</v>
      </c>
      <c r="B819" t="s">
        <v>12</v>
      </c>
      <c r="C819" t="s">
        <v>8</v>
      </c>
      <c r="D819" s="3">
        <v>379.06099999999998</v>
      </c>
      <c r="E819" s="3">
        <v>0</v>
      </c>
      <c r="F819" t="s">
        <v>45</v>
      </c>
      <c r="G819" s="3">
        <f t="shared" si="89"/>
        <v>-379.06099999999998</v>
      </c>
      <c r="H819" s="3">
        <f t="shared" si="90"/>
        <v>379.06099999999998</v>
      </c>
      <c r="I819" s="5" t="str">
        <f t="shared" si="91"/>
        <v>016</v>
      </c>
      <c r="J819" s="5" t="str">
        <f t="shared" si="92"/>
        <v>2210</v>
      </c>
      <c r="K819" s="5" t="str">
        <f t="shared" si="93"/>
        <v>000</v>
      </c>
      <c r="L819" s="5">
        <f t="shared" si="94"/>
        <v>1</v>
      </c>
      <c r="M819" s="5">
        <f t="shared" si="95"/>
        <v>2012</v>
      </c>
    </row>
    <row r="820" spans="1:13" ht="17.45" customHeight="1" x14ac:dyDescent="0.25">
      <c r="A820" s="1">
        <f>DATE(2012,1,9)</f>
        <v>40917</v>
      </c>
      <c r="B820" t="s">
        <v>13</v>
      </c>
      <c r="C820" t="s">
        <v>9</v>
      </c>
      <c r="D820" s="3">
        <v>92.767499999999998</v>
      </c>
      <c r="E820" s="3">
        <v>0</v>
      </c>
      <c r="F820" t="s">
        <v>45</v>
      </c>
      <c r="G820" s="3">
        <f t="shared" si="89"/>
        <v>-92.767499999999998</v>
      </c>
      <c r="H820" s="3">
        <f t="shared" si="90"/>
        <v>92.767499999999998</v>
      </c>
      <c r="I820" s="5" t="str">
        <f t="shared" si="91"/>
        <v>016</v>
      </c>
      <c r="J820" s="5" t="str">
        <f t="shared" si="92"/>
        <v>2220</v>
      </c>
      <c r="K820" s="5" t="str">
        <f t="shared" si="93"/>
        <v>000</v>
      </c>
      <c r="L820" s="5">
        <f t="shared" si="94"/>
        <v>1</v>
      </c>
      <c r="M820" s="5">
        <f t="shared" si="95"/>
        <v>2012</v>
      </c>
    </row>
    <row r="821" spans="1:13" ht="17.45" customHeight="1" x14ac:dyDescent="0.25">
      <c r="A821" s="1">
        <f>DATE(2012,1,9)</f>
        <v>40917</v>
      </c>
      <c r="B821" t="s">
        <v>14</v>
      </c>
      <c r="C821" t="s">
        <v>10</v>
      </c>
      <c r="D821" s="3">
        <v>79.170999999999992</v>
      </c>
      <c r="E821" s="3">
        <v>0</v>
      </c>
      <c r="F821" t="s">
        <v>45</v>
      </c>
      <c r="G821" s="3">
        <f t="shared" si="89"/>
        <v>-79.170999999999992</v>
      </c>
      <c r="H821" s="3">
        <f t="shared" si="90"/>
        <v>79.170999999999992</v>
      </c>
      <c r="I821" s="5" t="str">
        <f t="shared" si="91"/>
        <v>016</v>
      </c>
      <c r="J821" s="5" t="str">
        <f t="shared" si="92"/>
        <v>2230</v>
      </c>
      <c r="K821" s="5" t="str">
        <f t="shared" si="93"/>
        <v>000</v>
      </c>
      <c r="L821" s="5">
        <f t="shared" si="94"/>
        <v>1</v>
      </c>
      <c r="M821" s="5">
        <f t="shared" si="95"/>
        <v>2012</v>
      </c>
    </row>
    <row r="822" spans="1:13" ht="17.45" customHeight="1" x14ac:dyDescent="0.25">
      <c r="A822" s="1">
        <f>DATE(2012,1,10)</f>
        <v>40918</v>
      </c>
      <c r="B822" t="s">
        <v>11</v>
      </c>
      <c r="C822" t="s">
        <v>6</v>
      </c>
      <c r="D822" s="3">
        <v>2590.1840000000002</v>
      </c>
      <c r="E822" s="3">
        <v>0</v>
      </c>
      <c r="F822" t="s">
        <v>45</v>
      </c>
      <c r="G822" s="3">
        <f t="shared" si="89"/>
        <v>-2590.1840000000002</v>
      </c>
      <c r="H822" s="3">
        <f t="shared" si="90"/>
        <v>2590.1840000000002</v>
      </c>
      <c r="I822" s="5" t="str">
        <f t="shared" si="91"/>
        <v>016</v>
      </c>
      <c r="J822" s="5" t="str">
        <f t="shared" si="92"/>
        <v>2100</v>
      </c>
      <c r="K822" s="5" t="str">
        <f t="shared" si="93"/>
        <v>000</v>
      </c>
      <c r="L822" s="5">
        <f t="shared" si="94"/>
        <v>1</v>
      </c>
      <c r="M822" s="5">
        <f t="shared" si="95"/>
        <v>2012</v>
      </c>
    </row>
    <row r="823" spans="1:13" ht="17.45" customHeight="1" x14ac:dyDescent="0.25">
      <c r="A823" s="1">
        <f>DATE(2012,1,10)</f>
        <v>40918</v>
      </c>
      <c r="B823" t="s">
        <v>12</v>
      </c>
      <c r="C823" t="s">
        <v>8</v>
      </c>
      <c r="D823" s="3">
        <v>481.15200000000004</v>
      </c>
      <c r="E823" s="3">
        <v>0</v>
      </c>
      <c r="F823" t="s">
        <v>45</v>
      </c>
      <c r="G823" s="3">
        <f t="shared" si="89"/>
        <v>-481.15200000000004</v>
      </c>
      <c r="H823" s="3">
        <f t="shared" si="90"/>
        <v>481.15200000000004</v>
      </c>
      <c r="I823" s="5" t="str">
        <f t="shared" si="91"/>
        <v>016</v>
      </c>
      <c r="J823" s="5" t="str">
        <f t="shared" si="92"/>
        <v>2210</v>
      </c>
      <c r="K823" s="5" t="str">
        <f t="shared" si="93"/>
        <v>000</v>
      </c>
      <c r="L823" s="5">
        <f t="shared" si="94"/>
        <v>1</v>
      </c>
      <c r="M823" s="5">
        <f t="shared" si="95"/>
        <v>2012</v>
      </c>
    </row>
    <row r="824" spans="1:13" ht="17.45" customHeight="1" x14ac:dyDescent="0.25">
      <c r="A824" s="1">
        <f>DATE(2012,1,10)</f>
        <v>40918</v>
      </c>
      <c r="B824" t="s">
        <v>13</v>
      </c>
      <c r="C824" t="s">
        <v>9</v>
      </c>
      <c r="D824" s="3">
        <v>166.518</v>
      </c>
      <c r="E824" s="3">
        <v>0</v>
      </c>
      <c r="F824" t="s">
        <v>45</v>
      </c>
      <c r="G824" s="3">
        <f t="shared" si="89"/>
        <v>-166.518</v>
      </c>
      <c r="H824" s="3">
        <f t="shared" si="90"/>
        <v>166.518</v>
      </c>
      <c r="I824" s="5" t="str">
        <f t="shared" si="91"/>
        <v>016</v>
      </c>
      <c r="J824" s="5" t="str">
        <f t="shared" si="92"/>
        <v>2220</v>
      </c>
      <c r="K824" s="5" t="str">
        <f t="shared" si="93"/>
        <v>000</v>
      </c>
      <c r="L824" s="5">
        <f t="shared" si="94"/>
        <v>1</v>
      </c>
      <c r="M824" s="5">
        <f t="shared" si="95"/>
        <v>2012</v>
      </c>
    </row>
    <row r="825" spans="1:13" ht="17.45" customHeight="1" x14ac:dyDescent="0.25">
      <c r="A825" s="1">
        <f>DATE(2012,1,10)</f>
        <v>40918</v>
      </c>
      <c r="B825" t="s">
        <v>14</v>
      </c>
      <c r="C825" t="s">
        <v>10</v>
      </c>
      <c r="D825" s="3">
        <v>44.225999999999999</v>
      </c>
      <c r="E825" s="3">
        <v>0</v>
      </c>
      <c r="F825" t="s">
        <v>45</v>
      </c>
      <c r="G825" s="3">
        <f t="shared" si="89"/>
        <v>-44.225999999999999</v>
      </c>
      <c r="H825" s="3">
        <f t="shared" si="90"/>
        <v>44.225999999999999</v>
      </c>
      <c r="I825" s="5" t="str">
        <f t="shared" si="91"/>
        <v>016</v>
      </c>
      <c r="J825" s="5" t="str">
        <f t="shared" si="92"/>
        <v>2230</v>
      </c>
      <c r="K825" s="5" t="str">
        <f t="shared" si="93"/>
        <v>000</v>
      </c>
      <c r="L825" s="5">
        <f t="shared" si="94"/>
        <v>1</v>
      </c>
      <c r="M825" s="5">
        <f t="shared" si="95"/>
        <v>2012</v>
      </c>
    </row>
    <row r="826" spans="1:13" ht="17.45" customHeight="1" x14ac:dyDescent="0.25">
      <c r="A826" s="1">
        <f>DATE(2012,1,11)</f>
        <v>40919</v>
      </c>
      <c r="B826" t="s">
        <v>11</v>
      </c>
      <c r="C826" t="s">
        <v>6</v>
      </c>
      <c r="D826" s="3">
        <v>2773.9448000000002</v>
      </c>
      <c r="E826" s="3">
        <v>0</v>
      </c>
      <c r="F826" t="s">
        <v>45</v>
      </c>
      <c r="G826" s="3">
        <f t="shared" si="89"/>
        <v>-2773.9448000000002</v>
      </c>
      <c r="H826" s="3">
        <f t="shared" si="90"/>
        <v>2773.9448000000002</v>
      </c>
      <c r="I826" s="5" t="str">
        <f t="shared" si="91"/>
        <v>016</v>
      </c>
      <c r="J826" s="5" t="str">
        <f t="shared" si="92"/>
        <v>2100</v>
      </c>
      <c r="K826" s="5" t="str">
        <f t="shared" si="93"/>
        <v>000</v>
      </c>
      <c r="L826" s="5">
        <f t="shared" si="94"/>
        <v>1</v>
      </c>
      <c r="M826" s="5">
        <f t="shared" si="95"/>
        <v>2012</v>
      </c>
    </row>
    <row r="827" spans="1:13" ht="17.45" customHeight="1" x14ac:dyDescent="0.25">
      <c r="A827" s="1">
        <f>DATE(2012,1,11)</f>
        <v>40919</v>
      </c>
      <c r="B827" t="s">
        <v>12</v>
      </c>
      <c r="C827" t="s">
        <v>8</v>
      </c>
      <c r="D827" s="3">
        <v>786.36800000000005</v>
      </c>
      <c r="E827" s="3">
        <v>0</v>
      </c>
      <c r="F827" t="s">
        <v>45</v>
      </c>
      <c r="G827" s="3">
        <f t="shared" si="89"/>
        <v>-786.36800000000005</v>
      </c>
      <c r="H827" s="3">
        <f t="shared" si="90"/>
        <v>786.36800000000005</v>
      </c>
      <c r="I827" s="5" t="str">
        <f t="shared" si="91"/>
        <v>016</v>
      </c>
      <c r="J827" s="5" t="str">
        <f t="shared" si="92"/>
        <v>2210</v>
      </c>
      <c r="K827" s="5" t="str">
        <f t="shared" si="93"/>
        <v>000</v>
      </c>
      <c r="L827" s="5">
        <f t="shared" si="94"/>
        <v>1</v>
      </c>
      <c r="M827" s="5">
        <f t="shared" si="95"/>
        <v>2012</v>
      </c>
    </row>
    <row r="828" spans="1:13" ht="17.45" customHeight="1" x14ac:dyDescent="0.25">
      <c r="A828" s="1">
        <f>DATE(2012,1,11)</f>
        <v>40919</v>
      </c>
      <c r="B828" t="s">
        <v>13</v>
      </c>
      <c r="C828" t="s">
        <v>9</v>
      </c>
      <c r="D828" s="3">
        <v>103.22400000000002</v>
      </c>
      <c r="E828" s="3">
        <v>0</v>
      </c>
      <c r="F828" t="s">
        <v>45</v>
      </c>
      <c r="G828" s="3">
        <f t="shared" si="89"/>
        <v>-103.22400000000002</v>
      </c>
      <c r="H828" s="3">
        <f t="shared" si="90"/>
        <v>103.22400000000002</v>
      </c>
      <c r="I828" s="5" t="str">
        <f t="shared" si="91"/>
        <v>016</v>
      </c>
      <c r="J828" s="5" t="str">
        <f t="shared" si="92"/>
        <v>2220</v>
      </c>
      <c r="K828" s="5" t="str">
        <f t="shared" si="93"/>
        <v>000</v>
      </c>
      <c r="L828" s="5">
        <f t="shared" si="94"/>
        <v>1</v>
      </c>
      <c r="M828" s="5">
        <f t="shared" si="95"/>
        <v>2012</v>
      </c>
    </row>
    <row r="829" spans="1:13" ht="17.45" customHeight="1" x14ac:dyDescent="0.25">
      <c r="A829" s="1">
        <f>DATE(2012,1,11)</f>
        <v>40919</v>
      </c>
      <c r="B829" t="s">
        <v>14</v>
      </c>
      <c r="C829" t="s">
        <v>10</v>
      </c>
      <c r="D829" s="3">
        <v>80.136499999999998</v>
      </c>
      <c r="E829" s="3">
        <v>0</v>
      </c>
      <c r="F829" t="s">
        <v>45</v>
      </c>
      <c r="G829" s="3">
        <f t="shared" si="89"/>
        <v>-80.136499999999998</v>
      </c>
      <c r="H829" s="3">
        <f t="shared" si="90"/>
        <v>80.136499999999998</v>
      </c>
      <c r="I829" s="5" t="str">
        <f t="shared" si="91"/>
        <v>016</v>
      </c>
      <c r="J829" s="5" t="str">
        <f t="shared" si="92"/>
        <v>2230</v>
      </c>
      <c r="K829" s="5" t="str">
        <f t="shared" si="93"/>
        <v>000</v>
      </c>
      <c r="L829" s="5">
        <f t="shared" si="94"/>
        <v>1</v>
      </c>
      <c r="M829" s="5">
        <f t="shared" si="95"/>
        <v>2012</v>
      </c>
    </row>
    <row r="830" spans="1:13" ht="17.45" customHeight="1" x14ac:dyDescent="0.25">
      <c r="A830" s="1">
        <f>DATE(2012,1,12)</f>
        <v>40920</v>
      </c>
      <c r="B830" t="s">
        <v>11</v>
      </c>
      <c r="C830" t="s">
        <v>6</v>
      </c>
      <c r="D830" s="3">
        <v>2803.9686999999999</v>
      </c>
      <c r="E830" s="3">
        <v>0</v>
      </c>
      <c r="F830" t="s">
        <v>45</v>
      </c>
      <c r="G830" s="3">
        <f t="shared" si="89"/>
        <v>-2803.9686999999999</v>
      </c>
      <c r="H830" s="3">
        <f t="shared" si="90"/>
        <v>2803.9686999999999</v>
      </c>
      <c r="I830" s="5" t="str">
        <f t="shared" si="91"/>
        <v>016</v>
      </c>
      <c r="J830" s="5" t="str">
        <f t="shared" si="92"/>
        <v>2100</v>
      </c>
      <c r="K830" s="5" t="str">
        <f t="shared" si="93"/>
        <v>000</v>
      </c>
      <c r="L830" s="5">
        <f t="shared" si="94"/>
        <v>1</v>
      </c>
      <c r="M830" s="5">
        <f t="shared" si="95"/>
        <v>2012</v>
      </c>
    </row>
    <row r="831" spans="1:13" ht="17.45" customHeight="1" x14ac:dyDescent="0.25">
      <c r="A831" s="1">
        <f>DATE(2012,1,12)</f>
        <v>40920</v>
      </c>
      <c r="B831" t="s">
        <v>12</v>
      </c>
      <c r="C831" t="s">
        <v>8</v>
      </c>
      <c r="D831" s="3">
        <v>823.68</v>
      </c>
      <c r="E831" s="3">
        <v>0</v>
      </c>
      <c r="F831" t="s">
        <v>45</v>
      </c>
      <c r="G831" s="3">
        <f t="shared" si="89"/>
        <v>-823.68</v>
      </c>
      <c r="H831" s="3">
        <f t="shared" si="90"/>
        <v>823.68</v>
      </c>
      <c r="I831" s="5" t="str">
        <f t="shared" si="91"/>
        <v>016</v>
      </c>
      <c r="J831" s="5" t="str">
        <f t="shared" si="92"/>
        <v>2210</v>
      </c>
      <c r="K831" s="5" t="str">
        <f t="shared" si="93"/>
        <v>000</v>
      </c>
      <c r="L831" s="5">
        <f t="shared" si="94"/>
        <v>1</v>
      </c>
      <c r="M831" s="5">
        <f t="shared" si="95"/>
        <v>2012</v>
      </c>
    </row>
    <row r="832" spans="1:13" ht="17.45" customHeight="1" x14ac:dyDescent="0.25">
      <c r="A832" s="1">
        <f>DATE(2012,1,12)</f>
        <v>40920</v>
      </c>
      <c r="B832" t="s">
        <v>13</v>
      </c>
      <c r="C832" t="s">
        <v>9</v>
      </c>
      <c r="D832" s="3">
        <v>117.99</v>
      </c>
      <c r="E832" s="3">
        <v>0</v>
      </c>
      <c r="F832" t="s">
        <v>45</v>
      </c>
      <c r="G832" s="3">
        <f t="shared" si="89"/>
        <v>-117.99</v>
      </c>
      <c r="H832" s="3">
        <f t="shared" si="90"/>
        <v>117.99</v>
      </c>
      <c r="I832" s="5" t="str">
        <f t="shared" si="91"/>
        <v>016</v>
      </c>
      <c r="J832" s="5" t="str">
        <f t="shared" si="92"/>
        <v>2220</v>
      </c>
      <c r="K832" s="5" t="str">
        <f t="shared" si="93"/>
        <v>000</v>
      </c>
      <c r="L832" s="5">
        <f t="shared" si="94"/>
        <v>1</v>
      </c>
      <c r="M832" s="5">
        <f t="shared" si="95"/>
        <v>2012</v>
      </c>
    </row>
    <row r="833" spans="1:13" ht="17.45" customHeight="1" x14ac:dyDescent="0.25">
      <c r="A833" s="1">
        <f>DATE(2012,1,12)</f>
        <v>40920</v>
      </c>
      <c r="B833" t="s">
        <v>14</v>
      </c>
      <c r="C833" t="s">
        <v>10</v>
      </c>
      <c r="D833" s="3">
        <v>78.453500000000005</v>
      </c>
      <c r="E833" s="3">
        <v>0</v>
      </c>
      <c r="F833" t="s">
        <v>45</v>
      </c>
      <c r="G833" s="3">
        <f t="shared" si="89"/>
        <v>-78.453500000000005</v>
      </c>
      <c r="H833" s="3">
        <f t="shared" si="90"/>
        <v>78.453500000000005</v>
      </c>
      <c r="I833" s="5" t="str">
        <f t="shared" si="91"/>
        <v>016</v>
      </c>
      <c r="J833" s="5" t="str">
        <f t="shared" si="92"/>
        <v>2230</v>
      </c>
      <c r="K833" s="5" t="str">
        <f t="shared" si="93"/>
        <v>000</v>
      </c>
      <c r="L833" s="5">
        <f t="shared" si="94"/>
        <v>1</v>
      </c>
      <c r="M833" s="5">
        <f t="shared" si="95"/>
        <v>2012</v>
      </c>
    </row>
    <row r="834" spans="1:13" ht="17.45" customHeight="1" x14ac:dyDescent="0.25">
      <c r="A834" s="1">
        <f>DATE(2012,1,13)</f>
        <v>40921</v>
      </c>
      <c r="B834" t="s">
        <v>11</v>
      </c>
      <c r="C834" t="s">
        <v>6</v>
      </c>
      <c r="D834" s="3">
        <v>5803.2586000000001</v>
      </c>
      <c r="E834" s="3">
        <v>0</v>
      </c>
      <c r="F834" t="s">
        <v>45</v>
      </c>
      <c r="G834" s="3">
        <f t="shared" ref="G834:G897" si="96">E834-D834</f>
        <v>-5803.2586000000001</v>
      </c>
      <c r="H834" s="3">
        <f t="shared" ref="H834:H897" si="97">ABS(G834)</f>
        <v>5803.2586000000001</v>
      </c>
      <c r="I834" s="5" t="str">
        <f t="shared" ref="I834:I897" si="98">MID(B834,1,3)</f>
        <v>016</v>
      </c>
      <c r="J834" s="5" t="str">
        <f t="shared" ref="J834:J897" si="99">MID(B834,5,4)</f>
        <v>2100</v>
      </c>
      <c r="K834" s="5" t="str">
        <f t="shared" ref="K834:K897" si="100">MID(B834,10,3)</f>
        <v>000</v>
      </c>
      <c r="L834" s="5">
        <f t="shared" ref="L834:L897" si="101">MONTH(A834)</f>
        <v>1</v>
      </c>
      <c r="M834" s="5">
        <f t="shared" ref="M834:M897" si="102">YEAR(A834)</f>
        <v>2012</v>
      </c>
    </row>
    <row r="835" spans="1:13" ht="17.45" customHeight="1" x14ac:dyDescent="0.25">
      <c r="A835" s="1">
        <f>DATE(2012,1,13)</f>
        <v>40921</v>
      </c>
      <c r="B835" t="s">
        <v>12</v>
      </c>
      <c r="C835" t="s">
        <v>8</v>
      </c>
      <c r="D835" s="3">
        <v>1509.0429999999999</v>
      </c>
      <c r="E835" s="3">
        <v>0</v>
      </c>
      <c r="F835" t="s">
        <v>45</v>
      </c>
      <c r="G835" s="3">
        <f t="shared" si="96"/>
        <v>-1509.0429999999999</v>
      </c>
      <c r="H835" s="3">
        <f t="shared" si="97"/>
        <v>1509.0429999999999</v>
      </c>
      <c r="I835" s="5" t="str">
        <f t="shared" si="98"/>
        <v>016</v>
      </c>
      <c r="J835" s="5" t="str">
        <f t="shared" si="99"/>
        <v>2210</v>
      </c>
      <c r="K835" s="5" t="str">
        <f t="shared" si="100"/>
        <v>000</v>
      </c>
      <c r="L835" s="5">
        <f t="shared" si="101"/>
        <v>1</v>
      </c>
      <c r="M835" s="5">
        <f t="shared" si="102"/>
        <v>2012</v>
      </c>
    </row>
    <row r="836" spans="1:13" ht="17.45" customHeight="1" x14ac:dyDescent="0.25">
      <c r="A836" s="1">
        <f>DATE(2012,1,13)</f>
        <v>40921</v>
      </c>
      <c r="B836" t="s">
        <v>13</v>
      </c>
      <c r="C836" t="s">
        <v>9</v>
      </c>
      <c r="D836" s="3">
        <v>313.29449999999997</v>
      </c>
      <c r="E836" s="3">
        <v>0</v>
      </c>
      <c r="F836" t="s">
        <v>45</v>
      </c>
      <c r="G836" s="3">
        <f t="shared" si="96"/>
        <v>-313.29449999999997</v>
      </c>
      <c r="H836" s="3">
        <f t="shared" si="97"/>
        <v>313.29449999999997</v>
      </c>
      <c r="I836" s="5" t="str">
        <f t="shared" si="98"/>
        <v>016</v>
      </c>
      <c r="J836" s="5" t="str">
        <f t="shared" si="99"/>
        <v>2220</v>
      </c>
      <c r="K836" s="5" t="str">
        <f t="shared" si="100"/>
        <v>000</v>
      </c>
      <c r="L836" s="5">
        <f t="shared" si="101"/>
        <v>1</v>
      </c>
      <c r="M836" s="5">
        <f t="shared" si="102"/>
        <v>2012</v>
      </c>
    </row>
    <row r="837" spans="1:13" ht="17.45" customHeight="1" x14ac:dyDescent="0.25">
      <c r="A837" s="1">
        <f>DATE(2012,1,13)</f>
        <v>40921</v>
      </c>
      <c r="B837" t="s">
        <v>14</v>
      </c>
      <c r="C837" t="s">
        <v>10</v>
      </c>
      <c r="D837" s="3">
        <v>132.04049999999998</v>
      </c>
      <c r="E837" s="3">
        <v>0</v>
      </c>
      <c r="F837" t="s">
        <v>45</v>
      </c>
      <c r="G837" s="3">
        <f t="shared" si="96"/>
        <v>-132.04049999999998</v>
      </c>
      <c r="H837" s="3">
        <f t="shared" si="97"/>
        <v>132.04049999999998</v>
      </c>
      <c r="I837" s="5" t="str">
        <f t="shared" si="98"/>
        <v>016</v>
      </c>
      <c r="J837" s="5" t="str">
        <f t="shared" si="99"/>
        <v>2230</v>
      </c>
      <c r="K837" s="5" t="str">
        <f t="shared" si="100"/>
        <v>000</v>
      </c>
      <c r="L837" s="5">
        <f t="shared" si="101"/>
        <v>1</v>
      </c>
      <c r="M837" s="5">
        <f t="shared" si="102"/>
        <v>2012</v>
      </c>
    </row>
    <row r="838" spans="1:13" ht="17.45" customHeight="1" x14ac:dyDescent="0.25">
      <c r="A838" s="1">
        <f>DATE(2012,1,14)</f>
        <v>40922</v>
      </c>
      <c r="B838" t="s">
        <v>11</v>
      </c>
      <c r="C838" t="s">
        <v>6</v>
      </c>
      <c r="D838" s="3">
        <v>6358.3064999999997</v>
      </c>
      <c r="E838" s="3">
        <v>0</v>
      </c>
      <c r="F838" t="s">
        <v>45</v>
      </c>
      <c r="G838" s="3">
        <f t="shared" si="96"/>
        <v>-6358.3064999999997</v>
      </c>
      <c r="H838" s="3">
        <f t="shared" si="97"/>
        <v>6358.3064999999997</v>
      </c>
      <c r="I838" s="5" t="str">
        <f t="shared" si="98"/>
        <v>016</v>
      </c>
      <c r="J838" s="5" t="str">
        <f t="shared" si="99"/>
        <v>2100</v>
      </c>
      <c r="K838" s="5" t="str">
        <f t="shared" si="100"/>
        <v>000</v>
      </c>
      <c r="L838" s="5">
        <f t="shared" si="101"/>
        <v>1</v>
      </c>
      <c r="M838" s="5">
        <f t="shared" si="102"/>
        <v>2012</v>
      </c>
    </row>
    <row r="839" spans="1:13" ht="17.45" customHeight="1" x14ac:dyDescent="0.25">
      <c r="A839" s="1">
        <f>DATE(2012,1,14)</f>
        <v>40922</v>
      </c>
      <c r="B839" t="s">
        <v>12</v>
      </c>
      <c r="C839" t="s">
        <v>8</v>
      </c>
      <c r="D839" s="3">
        <v>2213.9524999999999</v>
      </c>
      <c r="E839" s="3">
        <v>0</v>
      </c>
      <c r="F839" t="s">
        <v>45</v>
      </c>
      <c r="G839" s="3">
        <f t="shared" si="96"/>
        <v>-2213.9524999999999</v>
      </c>
      <c r="H839" s="3">
        <f t="shared" si="97"/>
        <v>2213.9524999999999</v>
      </c>
      <c r="I839" s="5" t="str">
        <f t="shared" si="98"/>
        <v>016</v>
      </c>
      <c r="J839" s="5" t="str">
        <f t="shared" si="99"/>
        <v>2210</v>
      </c>
      <c r="K839" s="5" t="str">
        <f t="shared" si="100"/>
        <v>000</v>
      </c>
      <c r="L839" s="5">
        <f t="shared" si="101"/>
        <v>1</v>
      </c>
      <c r="M839" s="5">
        <f t="shared" si="102"/>
        <v>2012</v>
      </c>
    </row>
    <row r="840" spans="1:13" ht="17.45" customHeight="1" x14ac:dyDescent="0.25">
      <c r="A840" s="1">
        <f>DATE(2012,1,14)</f>
        <v>40922</v>
      </c>
      <c r="B840" t="s">
        <v>13</v>
      </c>
      <c r="C840" t="s">
        <v>9</v>
      </c>
      <c r="D840" s="3">
        <v>433.21500000000003</v>
      </c>
      <c r="E840" s="3">
        <v>0</v>
      </c>
      <c r="F840" t="s">
        <v>45</v>
      </c>
      <c r="G840" s="3">
        <f t="shared" si="96"/>
        <v>-433.21500000000003</v>
      </c>
      <c r="H840" s="3">
        <f t="shared" si="97"/>
        <v>433.21500000000003</v>
      </c>
      <c r="I840" s="5" t="str">
        <f t="shared" si="98"/>
        <v>016</v>
      </c>
      <c r="J840" s="5" t="str">
        <f t="shared" si="99"/>
        <v>2220</v>
      </c>
      <c r="K840" s="5" t="str">
        <f t="shared" si="100"/>
        <v>000</v>
      </c>
      <c r="L840" s="5">
        <f t="shared" si="101"/>
        <v>1</v>
      </c>
      <c r="M840" s="5">
        <f t="shared" si="102"/>
        <v>2012</v>
      </c>
    </row>
    <row r="841" spans="1:13" ht="17.45" customHeight="1" x14ac:dyDescent="0.25">
      <c r="A841" s="1">
        <f>DATE(2012,1,14)</f>
        <v>40922</v>
      </c>
      <c r="B841" t="s">
        <v>14</v>
      </c>
      <c r="C841" t="s">
        <v>10</v>
      </c>
      <c r="D841" s="3">
        <v>185.1575</v>
      </c>
      <c r="E841" s="3">
        <v>0</v>
      </c>
      <c r="F841" t="s">
        <v>45</v>
      </c>
      <c r="G841" s="3">
        <f t="shared" si="96"/>
        <v>-185.1575</v>
      </c>
      <c r="H841" s="3">
        <f t="shared" si="97"/>
        <v>185.1575</v>
      </c>
      <c r="I841" s="5" t="str">
        <f t="shared" si="98"/>
        <v>016</v>
      </c>
      <c r="J841" s="5" t="str">
        <f t="shared" si="99"/>
        <v>2230</v>
      </c>
      <c r="K841" s="5" t="str">
        <f t="shared" si="100"/>
        <v>000</v>
      </c>
      <c r="L841" s="5">
        <f t="shared" si="101"/>
        <v>1</v>
      </c>
      <c r="M841" s="5">
        <f t="shared" si="102"/>
        <v>2012</v>
      </c>
    </row>
    <row r="842" spans="1:13" ht="17.45" customHeight="1" x14ac:dyDescent="0.25">
      <c r="A842" s="1">
        <f>DATE(2012,1,15)</f>
        <v>40923</v>
      </c>
      <c r="B842" t="s">
        <v>11</v>
      </c>
      <c r="C842" t="s">
        <v>6</v>
      </c>
      <c r="D842" s="3">
        <v>6274.6540000000005</v>
      </c>
      <c r="E842" s="3">
        <v>0</v>
      </c>
      <c r="F842" t="s">
        <v>45</v>
      </c>
      <c r="G842" s="3">
        <f t="shared" si="96"/>
        <v>-6274.6540000000005</v>
      </c>
      <c r="H842" s="3">
        <f t="shared" si="97"/>
        <v>6274.6540000000005</v>
      </c>
      <c r="I842" s="5" t="str">
        <f t="shared" si="98"/>
        <v>016</v>
      </c>
      <c r="J842" s="5" t="str">
        <f t="shared" si="99"/>
        <v>2100</v>
      </c>
      <c r="K842" s="5" t="str">
        <f t="shared" si="100"/>
        <v>000</v>
      </c>
      <c r="L842" s="5">
        <f t="shared" si="101"/>
        <v>1</v>
      </c>
      <c r="M842" s="5">
        <f t="shared" si="102"/>
        <v>2012</v>
      </c>
    </row>
    <row r="843" spans="1:13" ht="17.45" customHeight="1" x14ac:dyDescent="0.25">
      <c r="A843" s="1">
        <f>DATE(2012,1,15)</f>
        <v>40923</v>
      </c>
      <c r="B843" t="s">
        <v>12</v>
      </c>
      <c r="C843" t="s">
        <v>8</v>
      </c>
      <c r="D843" s="3">
        <v>1817.7750000000001</v>
      </c>
      <c r="E843" s="3">
        <v>0</v>
      </c>
      <c r="F843" t="s">
        <v>45</v>
      </c>
      <c r="G843" s="3">
        <f t="shared" si="96"/>
        <v>-1817.7750000000001</v>
      </c>
      <c r="H843" s="3">
        <f t="shared" si="97"/>
        <v>1817.7750000000001</v>
      </c>
      <c r="I843" s="5" t="str">
        <f t="shared" si="98"/>
        <v>016</v>
      </c>
      <c r="J843" s="5" t="str">
        <f t="shared" si="99"/>
        <v>2210</v>
      </c>
      <c r="K843" s="5" t="str">
        <f t="shared" si="100"/>
        <v>000</v>
      </c>
      <c r="L843" s="5">
        <f t="shared" si="101"/>
        <v>1</v>
      </c>
      <c r="M843" s="5">
        <f t="shared" si="102"/>
        <v>2012</v>
      </c>
    </row>
    <row r="844" spans="1:13" ht="17.45" customHeight="1" x14ac:dyDescent="0.25">
      <c r="A844" s="1">
        <f>DATE(2012,1,15)</f>
        <v>40923</v>
      </c>
      <c r="B844" t="s">
        <v>13</v>
      </c>
      <c r="C844" t="s">
        <v>9</v>
      </c>
      <c r="D844" s="3">
        <v>350.28</v>
      </c>
      <c r="E844" s="3">
        <v>0</v>
      </c>
      <c r="F844" t="s">
        <v>45</v>
      </c>
      <c r="G844" s="3">
        <f t="shared" si="96"/>
        <v>-350.28</v>
      </c>
      <c r="H844" s="3">
        <f t="shared" si="97"/>
        <v>350.28</v>
      </c>
      <c r="I844" s="5" t="str">
        <f t="shared" si="98"/>
        <v>016</v>
      </c>
      <c r="J844" s="5" t="str">
        <f t="shared" si="99"/>
        <v>2220</v>
      </c>
      <c r="K844" s="5" t="str">
        <f t="shared" si="100"/>
        <v>000</v>
      </c>
      <c r="L844" s="5">
        <f t="shared" si="101"/>
        <v>1</v>
      </c>
      <c r="M844" s="5">
        <f t="shared" si="102"/>
        <v>2012</v>
      </c>
    </row>
    <row r="845" spans="1:13" ht="17.45" customHeight="1" x14ac:dyDescent="0.25">
      <c r="A845" s="1">
        <f>DATE(2012,1,15)</f>
        <v>40923</v>
      </c>
      <c r="B845" t="s">
        <v>14</v>
      </c>
      <c r="C845" t="s">
        <v>10</v>
      </c>
      <c r="D845" s="3">
        <v>115.61</v>
      </c>
      <c r="E845" s="3">
        <v>0</v>
      </c>
      <c r="F845" t="s">
        <v>45</v>
      </c>
      <c r="G845" s="3">
        <f t="shared" si="96"/>
        <v>-115.61</v>
      </c>
      <c r="H845" s="3">
        <f t="shared" si="97"/>
        <v>115.61</v>
      </c>
      <c r="I845" s="5" t="str">
        <f t="shared" si="98"/>
        <v>016</v>
      </c>
      <c r="J845" s="5" t="str">
        <f t="shared" si="99"/>
        <v>2230</v>
      </c>
      <c r="K845" s="5" t="str">
        <f t="shared" si="100"/>
        <v>000</v>
      </c>
      <c r="L845" s="5">
        <f t="shared" si="101"/>
        <v>1</v>
      </c>
      <c r="M845" s="5">
        <f t="shared" si="102"/>
        <v>2012</v>
      </c>
    </row>
    <row r="846" spans="1:13" ht="17.45" customHeight="1" x14ac:dyDescent="0.25">
      <c r="A846" s="1">
        <f>DATE(2012,1,9)</f>
        <v>40917</v>
      </c>
      <c r="B846" t="s">
        <v>15</v>
      </c>
      <c r="C846" t="s">
        <v>6</v>
      </c>
      <c r="D846" s="3">
        <v>2196.4250000000002</v>
      </c>
      <c r="E846" s="3">
        <v>0</v>
      </c>
      <c r="F846" t="s">
        <v>45</v>
      </c>
      <c r="G846" s="3">
        <f t="shared" si="96"/>
        <v>-2196.4250000000002</v>
      </c>
      <c r="H846" s="3">
        <f t="shared" si="97"/>
        <v>2196.4250000000002</v>
      </c>
      <c r="I846" s="5" t="str">
        <f t="shared" si="98"/>
        <v>017</v>
      </c>
      <c r="J846" s="5" t="str">
        <f t="shared" si="99"/>
        <v>2100</v>
      </c>
      <c r="K846" s="5" t="str">
        <f t="shared" si="100"/>
        <v>000</v>
      </c>
      <c r="L846" s="5">
        <f t="shared" si="101"/>
        <v>1</v>
      </c>
      <c r="M846" s="5">
        <f t="shared" si="102"/>
        <v>2012</v>
      </c>
    </row>
    <row r="847" spans="1:13" ht="17.45" customHeight="1" x14ac:dyDescent="0.25">
      <c r="A847" s="1">
        <f>DATE(2012,1,9)</f>
        <v>40917</v>
      </c>
      <c r="B847" t="s">
        <v>16</v>
      </c>
      <c r="C847" t="s">
        <v>8</v>
      </c>
      <c r="D847" s="3">
        <v>893.97</v>
      </c>
      <c r="E847" s="3">
        <v>0</v>
      </c>
      <c r="F847" t="s">
        <v>45</v>
      </c>
      <c r="G847" s="3">
        <f t="shared" si="96"/>
        <v>-893.97</v>
      </c>
      <c r="H847" s="3">
        <f t="shared" si="97"/>
        <v>893.97</v>
      </c>
      <c r="I847" s="5" t="str">
        <f t="shared" si="98"/>
        <v>017</v>
      </c>
      <c r="J847" s="5" t="str">
        <f t="shared" si="99"/>
        <v>2210</v>
      </c>
      <c r="K847" s="5" t="str">
        <f t="shared" si="100"/>
        <v>000</v>
      </c>
      <c r="L847" s="5">
        <f t="shared" si="101"/>
        <v>1</v>
      </c>
      <c r="M847" s="5">
        <f t="shared" si="102"/>
        <v>2012</v>
      </c>
    </row>
    <row r="848" spans="1:13" ht="17.45" customHeight="1" x14ac:dyDescent="0.25">
      <c r="A848" s="1">
        <f>DATE(2012,1,9)</f>
        <v>40917</v>
      </c>
      <c r="B848" t="s">
        <v>17</v>
      </c>
      <c r="C848" t="s">
        <v>9</v>
      </c>
      <c r="D848" s="3">
        <v>444.23250000000002</v>
      </c>
      <c r="E848" s="3">
        <v>0</v>
      </c>
      <c r="F848" t="s">
        <v>45</v>
      </c>
      <c r="G848" s="3">
        <f t="shared" si="96"/>
        <v>-444.23250000000002</v>
      </c>
      <c r="H848" s="3">
        <f t="shared" si="97"/>
        <v>444.23250000000002</v>
      </c>
      <c r="I848" s="5" t="str">
        <f t="shared" si="98"/>
        <v>017</v>
      </c>
      <c r="J848" s="5" t="str">
        <f t="shared" si="99"/>
        <v>2220</v>
      </c>
      <c r="K848" s="5" t="str">
        <f t="shared" si="100"/>
        <v>000</v>
      </c>
      <c r="L848" s="5">
        <f t="shared" si="101"/>
        <v>1</v>
      </c>
      <c r="M848" s="5">
        <f t="shared" si="102"/>
        <v>2012</v>
      </c>
    </row>
    <row r="849" spans="1:13" ht="17.45" customHeight="1" x14ac:dyDescent="0.25">
      <c r="A849" s="1">
        <f>DATE(2012,1,9)</f>
        <v>40917</v>
      </c>
      <c r="B849" t="s">
        <v>18</v>
      </c>
      <c r="C849" t="s">
        <v>10</v>
      </c>
      <c r="D849" s="3">
        <v>25.805500000000002</v>
      </c>
      <c r="E849" s="3">
        <v>0</v>
      </c>
      <c r="F849" t="s">
        <v>45</v>
      </c>
      <c r="G849" s="3">
        <f t="shared" si="96"/>
        <v>-25.805500000000002</v>
      </c>
      <c r="H849" s="3">
        <f t="shared" si="97"/>
        <v>25.805500000000002</v>
      </c>
      <c r="I849" s="5" t="str">
        <f t="shared" si="98"/>
        <v>017</v>
      </c>
      <c r="J849" s="5" t="str">
        <f t="shared" si="99"/>
        <v>2230</v>
      </c>
      <c r="K849" s="5" t="str">
        <f t="shared" si="100"/>
        <v>000</v>
      </c>
      <c r="L849" s="5">
        <f t="shared" si="101"/>
        <v>1</v>
      </c>
      <c r="M849" s="5">
        <f t="shared" si="102"/>
        <v>2012</v>
      </c>
    </row>
    <row r="850" spans="1:13" ht="17.45" customHeight="1" x14ac:dyDescent="0.25">
      <c r="A850" s="1">
        <f>DATE(2012,1,10)</f>
        <v>40918</v>
      </c>
      <c r="B850" t="s">
        <v>15</v>
      </c>
      <c r="C850" t="s">
        <v>6</v>
      </c>
      <c r="D850" s="3">
        <v>4132.4429999999993</v>
      </c>
      <c r="E850" s="3">
        <v>0</v>
      </c>
      <c r="F850" t="s">
        <v>45</v>
      </c>
      <c r="G850" s="3">
        <f t="shared" si="96"/>
        <v>-4132.4429999999993</v>
      </c>
      <c r="H850" s="3">
        <f t="shared" si="97"/>
        <v>4132.4429999999993</v>
      </c>
      <c r="I850" s="5" t="str">
        <f t="shared" si="98"/>
        <v>017</v>
      </c>
      <c r="J850" s="5" t="str">
        <f t="shared" si="99"/>
        <v>2100</v>
      </c>
      <c r="K850" s="5" t="str">
        <f t="shared" si="100"/>
        <v>000</v>
      </c>
      <c r="L850" s="5">
        <f t="shared" si="101"/>
        <v>1</v>
      </c>
      <c r="M850" s="5">
        <f t="shared" si="102"/>
        <v>2012</v>
      </c>
    </row>
    <row r="851" spans="1:13" ht="17.45" customHeight="1" x14ac:dyDescent="0.25">
      <c r="A851" s="1">
        <f>DATE(2012,1,10)</f>
        <v>40918</v>
      </c>
      <c r="B851" t="s">
        <v>16</v>
      </c>
      <c r="C851" t="s">
        <v>8</v>
      </c>
      <c r="D851" s="3">
        <v>1410.0975000000001</v>
      </c>
      <c r="E851" s="3">
        <v>0</v>
      </c>
      <c r="F851" t="s">
        <v>45</v>
      </c>
      <c r="G851" s="3">
        <f t="shared" si="96"/>
        <v>-1410.0975000000001</v>
      </c>
      <c r="H851" s="3">
        <f t="shared" si="97"/>
        <v>1410.0975000000001</v>
      </c>
      <c r="I851" s="5" t="str">
        <f t="shared" si="98"/>
        <v>017</v>
      </c>
      <c r="J851" s="5" t="str">
        <f t="shared" si="99"/>
        <v>2210</v>
      </c>
      <c r="K851" s="5" t="str">
        <f t="shared" si="100"/>
        <v>000</v>
      </c>
      <c r="L851" s="5">
        <f t="shared" si="101"/>
        <v>1</v>
      </c>
      <c r="M851" s="5">
        <f t="shared" si="102"/>
        <v>2012</v>
      </c>
    </row>
    <row r="852" spans="1:13" ht="17.45" customHeight="1" x14ac:dyDescent="0.25">
      <c r="A852" s="1">
        <f>DATE(2012,1,10)</f>
        <v>40918</v>
      </c>
      <c r="B852" t="s">
        <v>17</v>
      </c>
      <c r="C852" t="s">
        <v>9</v>
      </c>
      <c r="D852" s="3">
        <v>568.66999999999996</v>
      </c>
      <c r="E852" s="3">
        <v>0</v>
      </c>
      <c r="F852" t="s">
        <v>45</v>
      </c>
      <c r="G852" s="3">
        <f t="shared" si="96"/>
        <v>-568.66999999999996</v>
      </c>
      <c r="H852" s="3">
        <f t="shared" si="97"/>
        <v>568.66999999999996</v>
      </c>
      <c r="I852" s="5" t="str">
        <f t="shared" si="98"/>
        <v>017</v>
      </c>
      <c r="J852" s="5" t="str">
        <f t="shared" si="99"/>
        <v>2220</v>
      </c>
      <c r="K852" s="5" t="str">
        <f t="shared" si="100"/>
        <v>000</v>
      </c>
      <c r="L852" s="5">
        <f t="shared" si="101"/>
        <v>1</v>
      </c>
      <c r="M852" s="5">
        <f t="shared" si="102"/>
        <v>2012</v>
      </c>
    </row>
    <row r="853" spans="1:13" ht="17.45" customHeight="1" x14ac:dyDescent="0.25">
      <c r="A853" s="1">
        <f>DATE(2012,1,10)</f>
        <v>40918</v>
      </c>
      <c r="B853" t="s">
        <v>18</v>
      </c>
      <c r="C853" t="s">
        <v>10</v>
      </c>
      <c r="D853" s="3">
        <v>66.927999999999997</v>
      </c>
      <c r="E853" s="3">
        <v>0</v>
      </c>
      <c r="F853" t="s">
        <v>45</v>
      </c>
      <c r="G853" s="3">
        <f t="shared" si="96"/>
        <v>-66.927999999999997</v>
      </c>
      <c r="H853" s="3">
        <f t="shared" si="97"/>
        <v>66.927999999999997</v>
      </c>
      <c r="I853" s="5" t="str">
        <f t="shared" si="98"/>
        <v>017</v>
      </c>
      <c r="J853" s="5" t="str">
        <f t="shared" si="99"/>
        <v>2230</v>
      </c>
      <c r="K853" s="5" t="str">
        <f t="shared" si="100"/>
        <v>000</v>
      </c>
      <c r="L853" s="5">
        <f t="shared" si="101"/>
        <v>1</v>
      </c>
      <c r="M853" s="5">
        <f t="shared" si="102"/>
        <v>2012</v>
      </c>
    </row>
    <row r="854" spans="1:13" ht="17.45" customHeight="1" x14ac:dyDescent="0.25">
      <c r="A854" s="1">
        <f>DATE(2012,1,11)</f>
        <v>40919</v>
      </c>
      <c r="B854" t="s">
        <v>15</v>
      </c>
      <c r="C854" t="s">
        <v>6</v>
      </c>
      <c r="D854" s="3">
        <v>5183.6895000000004</v>
      </c>
      <c r="E854" s="3">
        <v>0</v>
      </c>
      <c r="F854" t="s">
        <v>45</v>
      </c>
      <c r="G854" s="3">
        <f t="shared" si="96"/>
        <v>-5183.6895000000004</v>
      </c>
      <c r="H854" s="3">
        <f t="shared" si="97"/>
        <v>5183.6895000000004</v>
      </c>
      <c r="I854" s="5" t="str">
        <f t="shared" si="98"/>
        <v>017</v>
      </c>
      <c r="J854" s="5" t="str">
        <f t="shared" si="99"/>
        <v>2100</v>
      </c>
      <c r="K854" s="5" t="str">
        <f t="shared" si="100"/>
        <v>000</v>
      </c>
      <c r="L854" s="5">
        <f t="shared" si="101"/>
        <v>1</v>
      </c>
      <c r="M854" s="5">
        <f t="shared" si="102"/>
        <v>2012</v>
      </c>
    </row>
    <row r="855" spans="1:13" ht="17.45" customHeight="1" x14ac:dyDescent="0.25">
      <c r="A855" s="1">
        <f>DATE(2012,1,11)</f>
        <v>40919</v>
      </c>
      <c r="B855" t="s">
        <v>16</v>
      </c>
      <c r="C855" t="s">
        <v>8</v>
      </c>
      <c r="D855" s="3">
        <v>1294.2535</v>
      </c>
      <c r="E855" s="3">
        <v>0</v>
      </c>
      <c r="F855" t="s">
        <v>45</v>
      </c>
      <c r="G855" s="3">
        <f t="shared" si="96"/>
        <v>-1294.2535</v>
      </c>
      <c r="H855" s="3">
        <f t="shared" si="97"/>
        <v>1294.2535</v>
      </c>
      <c r="I855" s="5" t="str">
        <f t="shared" si="98"/>
        <v>017</v>
      </c>
      <c r="J855" s="5" t="str">
        <f t="shared" si="99"/>
        <v>2210</v>
      </c>
      <c r="K855" s="5" t="str">
        <f t="shared" si="100"/>
        <v>000</v>
      </c>
      <c r="L855" s="5">
        <f t="shared" si="101"/>
        <v>1</v>
      </c>
      <c r="M855" s="5">
        <f t="shared" si="102"/>
        <v>2012</v>
      </c>
    </row>
    <row r="856" spans="1:13" ht="17.45" customHeight="1" x14ac:dyDescent="0.25">
      <c r="A856" s="1">
        <f>DATE(2012,1,11)</f>
        <v>40919</v>
      </c>
      <c r="B856" t="s">
        <v>17</v>
      </c>
      <c r="C856" t="s">
        <v>9</v>
      </c>
      <c r="D856" s="3">
        <v>380.65500000000003</v>
      </c>
      <c r="E856" s="3">
        <v>0</v>
      </c>
      <c r="F856" t="s">
        <v>45</v>
      </c>
      <c r="G856" s="3">
        <f t="shared" si="96"/>
        <v>-380.65500000000003</v>
      </c>
      <c r="H856" s="3">
        <f t="shared" si="97"/>
        <v>380.65500000000003</v>
      </c>
      <c r="I856" s="5" t="str">
        <f t="shared" si="98"/>
        <v>017</v>
      </c>
      <c r="J856" s="5" t="str">
        <f t="shared" si="99"/>
        <v>2220</v>
      </c>
      <c r="K856" s="5" t="str">
        <f t="shared" si="100"/>
        <v>000</v>
      </c>
      <c r="L856" s="5">
        <f t="shared" si="101"/>
        <v>1</v>
      </c>
      <c r="M856" s="5">
        <f t="shared" si="102"/>
        <v>2012</v>
      </c>
    </row>
    <row r="857" spans="1:13" ht="17.45" customHeight="1" x14ac:dyDescent="0.25">
      <c r="A857" s="1">
        <f>DATE(2012,1,11)</f>
        <v>40919</v>
      </c>
      <c r="B857" t="s">
        <v>18</v>
      </c>
      <c r="C857" t="s">
        <v>10</v>
      </c>
      <c r="D857" s="3">
        <v>85.988</v>
      </c>
      <c r="E857" s="3">
        <v>0</v>
      </c>
      <c r="F857" t="s">
        <v>45</v>
      </c>
      <c r="G857" s="3">
        <f t="shared" si="96"/>
        <v>-85.988</v>
      </c>
      <c r="H857" s="3">
        <f t="shared" si="97"/>
        <v>85.988</v>
      </c>
      <c r="I857" s="5" t="str">
        <f t="shared" si="98"/>
        <v>017</v>
      </c>
      <c r="J857" s="5" t="str">
        <f t="shared" si="99"/>
        <v>2230</v>
      </c>
      <c r="K857" s="5" t="str">
        <f t="shared" si="100"/>
        <v>000</v>
      </c>
      <c r="L857" s="5">
        <f t="shared" si="101"/>
        <v>1</v>
      </c>
      <c r="M857" s="5">
        <f t="shared" si="102"/>
        <v>2012</v>
      </c>
    </row>
    <row r="858" spans="1:13" ht="17.45" customHeight="1" x14ac:dyDescent="0.25">
      <c r="A858" s="1">
        <f>DATE(2012,1,12)</f>
        <v>40920</v>
      </c>
      <c r="B858" t="s">
        <v>15</v>
      </c>
      <c r="C858" t="s">
        <v>6</v>
      </c>
      <c r="D858" s="3">
        <v>4635.3160000000007</v>
      </c>
      <c r="E858" s="3">
        <v>0</v>
      </c>
      <c r="F858" t="s">
        <v>45</v>
      </c>
      <c r="G858" s="3">
        <f t="shared" si="96"/>
        <v>-4635.3160000000007</v>
      </c>
      <c r="H858" s="3">
        <f t="shared" si="97"/>
        <v>4635.3160000000007</v>
      </c>
      <c r="I858" s="5" t="str">
        <f t="shared" si="98"/>
        <v>017</v>
      </c>
      <c r="J858" s="5" t="str">
        <f t="shared" si="99"/>
        <v>2100</v>
      </c>
      <c r="K858" s="5" t="str">
        <f t="shared" si="100"/>
        <v>000</v>
      </c>
      <c r="L858" s="5">
        <f t="shared" si="101"/>
        <v>1</v>
      </c>
      <c r="M858" s="5">
        <f t="shared" si="102"/>
        <v>2012</v>
      </c>
    </row>
    <row r="859" spans="1:13" ht="17.45" customHeight="1" x14ac:dyDescent="0.25">
      <c r="A859" s="1">
        <f>DATE(2012,1,12)</f>
        <v>40920</v>
      </c>
      <c r="B859" t="s">
        <v>16</v>
      </c>
      <c r="C859" t="s">
        <v>8</v>
      </c>
      <c r="D859" s="3">
        <v>1635.432</v>
      </c>
      <c r="E859" s="3">
        <v>0</v>
      </c>
      <c r="F859" t="s">
        <v>45</v>
      </c>
      <c r="G859" s="3">
        <f t="shared" si="96"/>
        <v>-1635.432</v>
      </c>
      <c r="H859" s="3">
        <f t="shared" si="97"/>
        <v>1635.432</v>
      </c>
      <c r="I859" s="5" t="str">
        <f t="shared" si="98"/>
        <v>017</v>
      </c>
      <c r="J859" s="5" t="str">
        <f t="shared" si="99"/>
        <v>2210</v>
      </c>
      <c r="K859" s="5" t="str">
        <f t="shared" si="100"/>
        <v>000</v>
      </c>
      <c r="L859" s="5">
        <f t="shared" si="101"/>
        <v>1</v>
      </c>
      <c r="M859" s="5">
        <f t="shared" si="102"/>
        <v>2012</v>
      </c>
    </row>
    <row r="860" spans="1:13" ht="17.45" customHeight="1" x14ac:dyDescent="0.25">
      <c r="A860" s="1">
        <f>DATE(2012,1,12)</f>
        <v>40920</v>
      </c>
      <c r="B860" t="s">
        <v>17</v>
      </c>
      <c r="C860" t="s">
        <v>9</v>
      </c>
      <c r="D860" s="3">
        <v>380.46250000000003</v>
      </c>
      <c r="E860" s="3">
        <v>0</v>
      </c>
      <c r="F860" t="s">
        <v>45</v>
      </c>
      <c r="G860" s="3">
        <f t="shared" si="96"/>
        <v>-380.46250000000003</v>
      </c>
      <c r="H860" s="3">
        <f t="shared" si="97"/>
        <v>380.46250000000003</v>
      </c>
      <c r="I860" s="5" t="str">
        <f t="shared" si="98"/>
        <v>017</v>
      </c>
      <c r="J860" s="5" t="str">
        <f t="shared" si="99"/>
        <v>2220</v>
      </c>
      <c r="K860" s="5" t="str">
        <f t="shared" si="100"/>
        <v>000</v>
      </c>
      <c r="L860" s="5">
        <f t="shared" si="101"/>
        <v>1</v>
      </c>
      <c r="M860" s="5">
        <f t="shared" si="102"/>
        <v>2012</v>
      </c>
    </row>
    <row r="861" spans="1:13" ht="17.45" customHeight="1" x14ac:dyDescent="0.25">
      <c r="A861" s="1">
        <f>DATE(2012,1,12)</f>
        <v>40920</v>
      </c>
      <c r="B861" t="s">
        <v>18</v>
      </c>
      <c r="C861" t="s">
        <v>10</v>
      </c>
      <c r="D861" s="3">
        <v>242.78100000000001</v>
      </c>
      <c r="E861" s="3">
        <v>0</v>
      </c>
      <c r="F861" t="s">
        <v>45</v>
      </c>
      <c r="G861" s="3">
        <f t="shared" si="96"/>
        <v>-242.78100000000001</v>
      </c>
      <c r="H861" s="3">
        <f t="shared" si="97"/>
        <v>242.78100000000001</v>
      </c>
      <c r="I861" s="5" t="str">
        <f t="shared" si="98"/>
        <v>017</v>
      </c>
      <c r="J861" s="5" t="str">
        <f t="shared" si="99"/>
        <v>2230</v>
      </c>
      <c r="K861" s="5" t="str">
        <f t="shared" si="100"/>
        <v>000</v>
      </c>
      <c r="L861" s="5">
        <f t="shared" si="101"/>
        <v>1</v>
      </c>
      <c r="M861" s="5">
        <f t="shared" si="102"/>
        <v>2012</v>
      </c>
    </row>
    <row r="862" spans="1:13" ht="17.45" customHeight="1" x14ac:dyDescent="0.25">
      <c r="A862" s="1">
        <f>DATE(2012,1,13)</f>
        <v>40921</v>
      </c>
      <c r="B862" t="s">
        <v>15</v>
      </c>
      <c r="C862" t="s">
        <v>6</v>
      </c>
      <c r="D862" s="3">
        <v>10856.976500000001</v>
      </c>
      <c r="E862" s="3">
        <v>0</v>
      </c>
      <c r="F862" t="s">
        <v>45</v>
      </c>
      <c r="G862" s="3">
        <f t="shared" si="96"/>
        <v>-10856.976500000001</v>
      </c>
      <c r="H862" s="3">
        <f t="shared" si="97"/>
        <v>10856.976500000001</v>
      </c>
      <c r="I862" s="5" t="str">
        <f t="shared" si="98"/>
        <v>017</v>
      </c>
      <c r="J862" s="5" t="str">
        <f t="shared" si="99"/>
        <v>2100</v>
      </c>
      <c r="K862" s="5" t="str">
        <f t="shared" si="100"/>
        <v>000</v>
      </c>
      <c r="L862" s="5">
        <f t="shared" si="101"/>
        <v>1</v>
      </c>
      <c r="M862" s="5">
        <f t="shared" si="102"/>
        <v>2012</v>
      </c>
    </row>
    <row r="863" spans="1:13" ht="17.45" customHeight="1" x14ac:dyDescent="0.25">
      <c r="A863" s="1">
        <f>DATE(2012,1,13)</f>
        <v>40921</v>
      </c>
      <c r="B863" t="s">
        <v>16</v>
      </c>
      <c r="C863" t="s">
        <v>8</v>
      </c>
      <c r="D863" s="3">
        <v>3201.5219999999999</v>
      </c>
      <c r="E863" s="3">
        <v>0</v>
      </c>
      <c r="F863" t="s">
        <v>45</v>
      </c>
      <c r="G863" s="3">
        <f t="shared" si="96"/>
        <v>-3201.5219999999999</v>
      </c>
      <c r="H863" s="3">
        <f t="shared" si="97"/>
        <v>3201.5219999999999</v>
      </c>
      <c r="I863" s="5" t="str">
        <f t="shared" si="98"/>
        <v>017</v>
      </c>
      <c r="J863" s="5" t="str">
        <f t="shared" si="99"/>
        <v>2210</v>
      </c>
      <c r="K863" s="5" t="str">
        <f t="shared" si="100"/>
        <v>000</v>
      </c>
      <c r="L863" s="5">
        <f t="shared" si="101"/>
        <v>1</v>
      </c>
      <c r="M863" s="5">
        <f t="shared" si="102"/>
        <v>2012</v>
      </c>
    </row>
    <row r="864" spans="1:13" ht="17.45" customHeight="1" x14ac:dyDescent="0.25">
      <c r="A864" s="1">
        <f>DATE(2012,1,13)</f>
        <v>40921</v>
      </c>
      <c r="B864" t="s">
        <v>17</v>
      </c>
      <c r="C864" t="s">
        <v>9</v>
      </c>
      <c r="D864" s="3">
        <v>767.04000000000008</v>
      </c>
      <c r="E864" s="3">
        <v>0</v>
      </c>
      <c r="F864" t="s">
        <v>45</v>
      </c>
      <c r="G864" s="3">
        <f t="shared" si="96"/>
        <v>-767.04000000000008</v>
      </c>
      <c r="H864" s="3">
        <f t="shared" si="97"/>
        <v>767.04000000000008</v>
      </c>
      <c r="I864" s="5" t="str">
        <f t="shared" si="98"/>
        <v>017</v>
      </c>
      <c r="J864" s="5" t="str">
        <f t="shared" si="99"/>
        <v>2220</v>
      </c>
      <c r="K864" s="5" t="str">
        <f t="shared" si="100"/>
        <v>000</v>
      </c>
      <c r="L864" s="5">
        <f t="shared" si="101"/>
        <v>1</v>
      </c>
      <c r="M864" s="5">
        <f t="shared" si="102"/>
        <v>2012</v>
      </c>
    </row>
    <row r="865" spans="1:13" ht="17.45" customHeight="1" x14ac:dyDescent="0.25">
      <c r="A865" s="1">
        <f>DATE(2012,1,13)</f>
        <v>40921</v>
      </c>
      <c r="B865" t="s">
        <v>18</v>
      </c>
      <c r="C865" t="s">
        <v>10</v>
      </c>
      <c r="D865" s="3">
        <v>185.07899999999998</v>
      </c>
      <c r="E865" s="3">
        <v>0</v>
      </c>
      <c r="F865" t="s">
        <v>45</v>
      </c>
      <c r="G865" s="3">
        <f t="shared" si="96"/>
        <v>-185.07899999999998</v>
      </c>
      <c r="H865" s="3">
        <f t="shared" si="97"/>
        <v>185.07899999999998</v>
      </c>
      <c r="I865" s="5" t="str">
        <f t="shared" si="98"/>
        <v>017</v>
      </c>
      <c r="J865" s="5" t="str">
        <f t="shared" si="99"/>
        <v>2230</v>
      </c>
      <c r="K865" s="5" t="str">
        <f t="shared" si="100"/>
        <v>000</v>
      </c>
      <c r="L865" s="5">
        <f t="shared" si="101"/>
        <v>1</v>
      </c>
      <c r="M865" s="5">
        <f t="shared" si="102"/>
        <v>2012</v>
      </c>
    </row>
    <row r="866" spans="1:13" ht="17.45" customHeight="1" x14ac:dyDescent="0.25">
      <c r="A866" s="1">
        <f>DATE(2012,1,14)</f>
        <v>40922</v>
      </c>
      <c r="B866" t="s">
        <v>15</v>
      </c>
      <c r="C866" t="s">
        <v>6</v>
      </c>
      <c r="D866" s="3">
        <v>9680.8814999999995</v>
      </c>
      <c r="E866" s="3">
        <v>0</v>
      </c>
      <c r="F866" t="s">
        <v>45</v>
      </c>
      <c r="G866" s="3">
        <f t="shared" si="96"/>
        <v>-9680.8814999999995</v>
      </c>
      <c r="H866" s="3">
        <f t="shared" si="97"/>
        <v>9680.8814999999995</v>
      </c>
      <c r="I866" s="5" t="str">
        <f t="shared" si="98"/>
        <v>017</v>
      </c>
      <c r="J866" s="5" t="str">
        <f t="shared" si="99"/>
        <v>2100</v>
      </c>
      <c r="K866" s="5" t="str">
        <f t="shared" si="100"/>
        <v>000</v>
      </c>
      <c r="L866" s="5">
        <f t="shared" si="101"/>
        <v>1</v>
      </c>
      <c r="M866" s="5">
        <f t="shared" si="102"/>
        <v>2012</v>
      </c>
    </row>
    <row r="867" spans="1:13" ht="17.45" customHeight="1" x14ac:dyDescent="0.25">
      <c r="A867" s="1">
        <f>DATE(2012,1,14)</f>
        <v>40922</v>
      </c>
      <c r="B867" t="s">
        <v>16</v>
      </c>
      <c r="C867" t="s">
        <v>8</v>
      </c>
      <c r="D867" s="3">
        <v>1160.0050000000001</v>
      </c>
      <c r="E867" s="3">
        <v>0</v>
      </c>
      <c r="F867" t="s">
        <v>45</v>
      </c>
      <c r="G867" s="3">
        <f t="shared" si="96"/>
        <v>-1160.0050000000001</v>
      </c>
      <c r="H867" s="3">
        <f t="shared" si="97"/>
        <v>1160.0050000000001</v>
      </c>
      <c r="I867" s="5" t="str">
        <f t="shared" si="98"/>
        <v>017</v>
      </c>
      <c r="J867" s="5" t="str">
        <f t="shared" si="99"/>
        <v>2210</v>
      </c>
      <c r="K867" s="5" t="str">
        <f t="shared" si="100"/>
        <v>000</v>
      </c>
      <c r="L867" s="5">
        <f t="shared" si="101"/>
        <v>1</v>
      </c>
      <c r="M867" s="5">
        <f t="shared" si="102"/>
        <v>2012</v>
      </c>
    </row>
    <row r="868" spans="1:13" ht="17.45" customHeight="1" x14ac:dyDescent="0.25">
      <c r="A868" s="1">
        <f>DATE(2012,1,14)</f>
        <v>40922</v>
      </c>
      <c r="B868" t="s">
        <v>17</v>
      </c>
      <c r="C868" t="s">
        <v>9</v>
      </c>
      <c r="D868" s="3">
        <v>242.7</v>
      </c>
      <c r="E868" s="3">
        <v>0</v>
      </c>
      <c r="F868" t="s">
        <v>45</v>
      </c>
      <c r="G868" s="3">
        <f t="shared" si="96"/>
        <v>-242.7</v>
      </c>
      <c r="H868" s="3">
        <f t="shared" si="97"/>
        <v>242.7</v>
      </c>
      <c r="I868" s="5" t="str">
        <f t="shared" si="98"/>
        <v>017</v>
      </c>
      <c r="J868" s="5" t="str">
        <f t="shared" si="99"/>
        <v>2220</v>
      </c>
      <c r="K868" s="5" t="str">
        <f t="shared" si="100"/>
        <v>000</v>
      </c>
      <c r="L868" s="5">
        <f t="shared" si="101"/>
        <v>1</v>
      </c>
      <c r="M868" s="5">
        <f t="shared" si="102"/>
        <v>2012</v>
      </c>
    </row>
    <row r="869" spans="1:13" ht="17.45" customHeight="1" x14ac:dyDescent="0.25">
      <c r="A869" s="1">
        <f>DATE(2012,1,14)</f>
        <v>40922</v>
      </c>
      <c r="B869" t="s">
        <v>18</v>
      </c>
      <c r="C869" t="s">
        <v>10</v>
      </c>
      <c r="D869" s="3">
        <v>81.036000000000001</v>
      </c>
      <c r="E869" s="3">
        <v>0</v>
      </c>
      <c r="F869" t="s">
        <v>45</v>
      </c>
      <c r="G869" s="3">
        <f t="shared" si="96"/>
        <v>-81.036000000000001</v>
      </c>
      <c r="H869" s="3">
        <f t="shared" si="97"/>
        <v>81.036000000000001</v>
      </c>
      <c r="I869" s="5" t="str">
        <f t="shared" si="98"/>
        <v>017</v>
      </c>
      <c r="J869" s="5" t="str">
        <f t="shared" si="99"/>
        <v>2230</v>
      </c>
      <c r="K869" s="5" t="str">
        <f t="shared" si="100"/>
        <v>000</v>
      </c>
      <c r="L869" s="5">
        <f t="shared" si="101"/>
        <v>1</v>
      </c>
      <c r="M869" s="5">
        <f t="shared" si="102"/>
        <v>2012</v>
      </c>
    </row>
    <row r="870" spans="1:13" ht="17.45" customHeight="1" x14ac:dyDescent="0.25">
      <c r="A870" s="1">
        <f t="shared" ref="A870:A873" si="103">DATE(2012,1,15)</f>
        <v>40923</v>
      </c>
      <c r="B870" t="s">
        <v>15</v>
      </c>
      <c r="C870" t="s">
        <v>6</v>
      </c>
      <c r="D870" s="3">
        <v>4723.1149999999998</v>
      </c>
      <c r="E870" s="3">
        <v>0</v>
      </c>
      <c r="F870" t="s">
        <v>45</v>
      </c>
      <c r="G870" s="3">
        <f t="shared" si="96"/>
        <v>-4723.1149999999998</v>
      </c>
      <c r="H870" s="3">
        <f t="shared" si="97"/>
        <v>4723.1149999999998</v>
      </c>
      <c r="I870" s="5" t="str">
        <f t="shared" si="98"/>
        <v>017</v>
      </c>
      <c r="J870" s="5" t="str">
        <f t="shared" si="99"/>
        <v>2100</v>
      </c>
      <c r="K870" s="5" t="str">
        <f t="shared" si="100"/>
        <v>000</v>
      </c>
      <c r="L870" s="5">
        <f t="shared" si="101"/>
        <v>1</v>
      </c>
      <c r="M870" s="5">
        <f t="shared" si="102"/>
        <v>2012</v>
      </c>
    </row>
    <row r="871" spans="1:13" ht="17.45" customHeight="1" x14ac:dyDescent="0.25">
      <c r="A871" s="1">
        <f t="shared" si="103"/>
        <v>40923</v>
      </c>
      <c r="B871" t="s">
        <v>16</v>
      </c>
      <c r="C871" t="s">
        <v>8</v>
      </c>
      <c r="D871" s="3">
        <v>956.25200000000007</v>
      </c>
      <c r="E871" s="3">
        <v>0</v>
      </c>
      <c r="F871" t="s">
        <v>45</v>
      </c>
      <c r="G871" s="3">
        <f t="shared" si="96"/>
        <v>-956.25200000000007</v>
      </c>
      <c r="H871" s="3">
        <f t="shared" si="97"/>
        <v>956.25200000000007</v>
      </c>
      <c r="I871" s="5" t="str">
        <f t="shared" si="98"/>
        <v>017</v>
      </c>
      <c r="J871" s="5" t="str">
        <f t="shared" si="99"/>
        <v>2210</v>
      </c>
      <c r="K871" s="5" t="str">
        <f t="shared" si="100"/>
        <v>000</v>
      </c>
      <c r="L871" s="5">
        <f t="shared" si="101"/>
        <v>1</v>
      </c>
      <c r="M871" s="5">
        <f t="shared" si="102"/>
        <v>2012</v>
      </c>
    </row>
    <row r="872" spans="1:13" ht="17.45" customHeight="1" x14ac:dyDescent="0.25">
      <c r="A872" s="1">
        <f t="shared" si="103"/>
        <v>40923</v>
      </c>
      <c r="B872" t="s">
        <v>17</v>
      </c>
      <c r="C872" t="s">
        <v>9</v>
      </c>
      <c r="D872" s="3">
        <v>185.05500000000001</v>
      </c>
      <c r="E872" s="3">
        <v>0</v>
      </c>
      <c r="F872" t="s">
        <v>45</v>
      </c>
      <c r="G872" s="3">
        <f t="shared" si="96"/>
        <v>-185.05500000000001</v>
      </c>
      <c r="H872" s="3">
        <f t="shared" si="97"/>
        <v>185.05500000000001</v>
      </c>
      <c r="I872" s="5" t="str">
        <f t="shared" si="98"/>
        <v>017</v>
      </c>
      <c r="J872" s="5" t="str">
        <f t="shared" si="99"/>
        <v>2220</v>
      </c>
      <c r="K872" s="5" t="str">
        <f t="shared" si="100"/>
        <v>000</v>
      </c>
      <c r="L872" s="5">
        <f t="shared" si="101"/>
        <v>1</v>
      </c>
      <c r="M872" s="5">
        <f t="shared" si="102"/>
        <v>2012</v>
      </c>
    </row>
    <row r="873" spans="1:13" ht="17.45" customHeight="1" x14ac:dyDescent="0.25">
      <c r="A873" s="1">
        <f t="shared" si="103"/>
        <v>40923</v>
      </c>
      <c r="B873" t="s">
        <v>18</v>
      </c>
      <c r="C873" t="s">
        <v>10</v>
      </c>
      <c r="D873" s="3">
        <v>25.928000000000001</v>
      </c>
      <c r="E873" s="3">
        <v>0</v>
      </c>
      <c r="F873" t="s">
        <v>45</v>
      </c>
      <c r="G873" s="3">
        <f t="shared" si="96"/>
        <v>-25.928000000000001</v>
      </c>
      <c r="H873" s="3">
        <f t="shared" si="97"/>
        <v>25.928000000000001</v>
      </c>
      <c r="I873" s="5" t="str">
        <f t="shared" si="98"/>
        <v>017</v>
      </c>
      <c r="J873" s="5" t="str">
        <f t="shared" si="99"/>
        <v>2230</v>
      </c>
      <c r="K873" s="5" t="str">
        <f t="shared" si="100"/>
        <v>000</v>
      </c>
      <c r="L873" s="5">
        <f t="shared" si="101"/>
        <v>1</v>
      </c>
      <c r="M873" s="5">
        <f t="shared" si="102"/>
        <v>2012</v>
      </c>
    </row>
    <row r="874" spans="1:13" ht="17.45" customHeight="1" x14ac:dyDescent="0.25">
      <c r="A874" s="1">
        <f>DATE(2012,1,9)</f>
        <v>40917</v>
      </c>
      <c r="B874" t="s">
        <v>19</v>
      </c>
      <c r="C874" t="s">
        <v>6</v>
      </c>
      <c r="D874" s="3">
        <v>1871.9558</v>
      </c>
      <c r="E874" s="3">
        <v>0</v>
      </c>
      <c r="F874" t="s">
        <v>45</v>
      </c>
      <c r="G874" s="3">
        <f t="shared" si="96"/>
        <v>-1871.9558</v>
      </c>
      <c r="H874" s="3">
        <f t="shared" si="97"/>
        <v>1871.9558</v>
      </c>
      <c r="I874" s="5" t="str">
        <f t="shared" si="98"/>
        <v>018</v>
      </c>
      <c r="J874" s="5" t="str">
        <f t="shared" si="99"/>
        <v>2100</v>
      </c>
      <c r="K874" s="5" t="str">
        <f t="shared" si="100"/>
        <v>000</v>
      </c>
      <c r="L874" s="5">
        <f t="shared" si="101"/>
        <v>1</v>
      </c>
      <c r="M874" s="5">
        <f t="shared" si="102"/>
        <v>2012</v>
      </c>
    </row>
    <row r="875" spans="1:13" ht="17.45" customHeight="1" x14ac:dyDescent="0.25">
      <c r="A875" s="1">
        <f>DATE(2012,1,9)</f>
        <v>40917</v>
      </c>
      <c r="B875" t="s">
        <v>20</v>
      </c>
      <c r="C875" t="s">
        <v>8</v>
      </c>
      <c r="D875" s="3">
        <v>197.5675</v>
      </c>
      <c r="E875" s="3">
        <v>0</v>
      </c>
      <c r="F875" t="s">
        <v>45</v>
      </c>
      <c r="G875" s="3">
        <f t="shared" si="96"/>
        <v>-197.5675</v>
      </c>
      <c r="H875" s="3">
        <f t="shared" si="97"/>
        <v>197.5675</v>
      </c>
      <c r="I875" s="5" t="str">
        <f t="shared" si="98"/>
        <v>018</v>
      </c>
      <c r="J875" s="5" t="str">
        <f t="shared" si="99"/>
        <v>2210</v>
      </c>
      <c r="K875" s="5" t="str">
        <f t="shared" si="100"/>
        <v>000</v>
      </c>
      <c r="L875" s="5">
        <f t="shared" si="101"/>
        <v>1</v>
      </c>
      <c r="M875" s="5">
        <f t="shared" si="102"/>
        <v>2012</v>
      </c>
    </row>
    <row r="876" spans="1:13" ht="17.45" customHeight="1" x14ac:dyDescent="0.25">
      <c r="A876" s="1">
        <f>DATE(2012,1,9)</f>
        <v>40917</v>
      </c>
      <c r="B876" t="s">
        <v>21</v>
      </c>
      <c r="C876" t="s">
        <v>9</v>
      </c>
      <c r="D876" s="3">
        <v>11.151999999999999</v>
      </c>
      <c r="E876" s="3">
        <v>0</v>
      </c>
      <c r="F876" t="s">
        <v>45</v>
      </c>
      <c r="G876" s="3">
        <f t="shared" si="96"/>
        <v>-11.151999999999999</v>
      </c>
      <c r="H876" s="3">
        <f t="shared" si="97"/>
        <v>11.151999999999999</v>
      </c>
      <c r="I876" s="5" t="str">
        <f t="shared" si="98"/>
        <v>018</v>
      </c>
      <c r="J876" s="5" t="str">
        <f t="shared" si="99"/>
        <v>2220</v>
      </c>
      <c r="K876" s="5" t="str">
        <f t="shared" si="100"/>
        <v>000</v>
      </c>
      <c r="L876" s="5">
        <f t="shared" si="101"/>
        <v>1</v>
      </c>
      <c r="M876" s="5">
        <f t="shared" si="102"/>
        <v>2012</v>
      </c>
    </row>
    <row r="877" spans="1:13" ht="17.45" customHeight="1" x14ac:dyDescent="0.25">
      <c r="A877" s="1">
        <f>DATE(2012,1,10)</f>
        <v>40918</v>
      </c>
      <c r="B877" t="s">
        <v>19</v>
      </c>
      <c r="C877" t="s">
        <v>6</v>
      </c>
      <c r="D877" s="3">
        <v>3877.0040000000004</v>
      </c>
      <c r="E877" s="3">
        <v>0</v>
      </c>
      <c r="F877" t="s">
        <v>45</v>
      </c>
      <c r="G877" s="3">
        <f t="shared" si="96"/>
        <v>-3877.0040000000004</v>
      </c>
      <c r="H877" s="3">
        <f t="shared" si="97"/>
        <v>3877.0040000000004</v>
      </c>
      <c r="I877" s="5" t="str">
        <f t="shared" si="98"/>
        <v>018</v>
      </c>
      <c r="J877" s="5" t="str">
        <f t="shared" si="99"/>
        <v>2100</v>
      </c>
      <c r="K877" s="5" t="str">
        <f t="shared" si="100"/>
        <v>000</v>
      </c>
      <c r="L877" s="5">
        <f t="shared" si="101"/>
        <v>1</v>
      </c>
      <c r="M877" s="5">
        <f t="shared" si="102"/>
        <v>2012</v>
      </c>
    </row>
    <row r="878" spans="1:13" ht="17.45" customHeight="1" x14ac:dyDescent="0.25">
      <c r="A878" s="1">
        <f>DATE(2012,1,10)</f>
        <v>40918</v>
      </c>
      <c r="B878" t="s">
        <v>20</v>
      </c>
      <c r="C878" t="s">
        <v>8</v>
      </c>
      <c r="D878" s="3">
        <v>663.28000000000009</v>
      </c>
      <c r="E878" s="3">
        <v>0</v>
      </c>
      <c r="F878" t="s">
        <v>45</v>
      </c>
      <c r="G878" s="3">
        <f t="shared" si="96"/>
        <v>-663.28000000000009</v>
      </c>
      <c r="H878" s="3">
        <f t="shared" si="97"/>
        <v>663.28000000000009</v>
      </c>
      <c r="I878" s="5" t="str">
        <f t="shared" si="98"/>
        <v>018</v>
      </c>
      <c r="J878" s="5" t="str">
        <f t="shared" si="99"/>
        <v>2210</v>
      </c>
      <c r="K878" s="5" t="str">
        <f t="shared" si="100"/>
        <v>000</v>
      </c>
      <c r="L878" s="5">
        <f t="shared" si="101"/>
        <v>1</v>
      </c>
      <c r="M878" s="5">
        <f t="shared" si="102"/>
        <v>2012</v>
      </c>
    </row>
    <row r="879" spans="1:13" ht="17.45" customHeight="1" x14ac:dyDescent="0.25">
      <c r="A879" s="1">
        <f>DATE(2012,1,10)</f>
        <v>40918</v>
      </c>
      <c r="B879" t="s">
        <v>21</v>
      </c>
      <c r="C879" t="s">
        <v>9</v>
      </c>
      <c r="D879" s="3">
        <v>112.128</v>
      </c>
      <c r="E879" s="3">
        <v>0</v>
      </c>
      <c r="F879" t="s">
        <v>45</v>
      </c>
      <c r="G879" s="3">
        <f t="shared" si="96"/>
        <v>-112.128</v>
      </c>
      <c r="H879" s="3">
        <f t="shared" si="97"/>
        <v>112.128</v>
      </c>
      <c r="I879" s="5" t="str">
        <f t="shared" si="98"/>
        <v>018</v>
      </c>
      <c r="J879" s="5" t="str">
        <f t="shared" si="99"/>
        <v>2220</v>
      </c>
      <c r="K879" s="5" t="str">
        <f t="shared" si="100"/>
        <v>000</v>
      </c>
      <c r="L879" s="5">
        <f t="shared" si="101"/>
        <v>1</v>
      </c>
      <c r="M879" s="5">
        <f t="shared" si="102"/>
        <v>2012</v>
      </c>
    </row>
    <row r="880" spans="1:13" ht="17.45" customHeight="1" x14ac:dyDescent="0.25">
      <c r="A880" s="1">
        <f>DATE(2012,1,10)</f>
        <v>40918</v>
      </c>
      <c r="B880" t="s">
        <v>22</v>
      </c>
      <c r="C880" t="s">
        <v>10</v>
      </c>
      <c r="D880" s="3">
        <v>88.492500000000007</v>
      </c>
      <c r="E880" s="3">
        <v>0</v>
      </c>
      <c r="F880" t="s">
        <v>45</v>
      </c>
      <c r="G880" s="3">
        <f t="shared" si="96"/>
        <v>-88.492500000000007</v>
      </c>
      <c r="H880" s="3">
        <f t="shared" si="97"/>
        <v>88.492500000000007</v>
      </c>
      <c r="I880" s="5" t="str">
        <f t="shared" si="98"/>
        <v>018</v>
      </c>
      <c r="J880" s="5" t="str">
        <f t="shared" si="99"/>
        <v>2230</v>
      </c>
      <c r="K880" s="5" t="str">
        <f t="shared" si="100"/>
        <v>000</v>
      </c>
      <c r="L880" s="5">
        <f t="shared" si="101"/>
        <v>1</v>
      </c>
      <c r="M880" s="5">
        <f t="shared" si="102"/>
        <v>2012</v>
      </c>
    </row>
    <row r="881" spans="1:13" ht="17.45" customHeight="1" x14ac:dyDescent="0.25">
      <c r="A881" s="1">
        <f>DATE(2012,1,11)</f>
        <v>40919</v>
      </c>
      <c r="B881" t="s">
        <v>19</v>
      </c>
      <c r="C881" t="s">
        <v>6</v>
      </c>
      <c r="D881" s="3">
        <v>2075.2270000000003</v>
      </c>
      <c r="E881" s="3">
        <v>0</v>
      </c>
      <c r="F881" t="s">
        <v>45</v>
      </c>
      <c r="G881" s="3">
        <f t="shared" si="96"/>
        <v>-2075.2270000000003</v>
      </c>
      <c r="H881" s="3">
        <f t="shared" si="97"/>
        <v>2075.2270000000003</v>
      </c>
      <c r="I881" s="5" t="str">
        <f t="shared" si="98"/>
        <v>018</v>
      </c>
      <c r="J881" s="5" t="str">
        <f t="shared" si="99"/>
        <v>2100</v>
      </c>
      <c r="K881" s="5" t="str">
        <f t="shared" si="100"/>
        <v>000</v>
      </c>
      <c r="L881" s="5">
        <f t="shared" si="101"/>
        <v>1</v>
      </c>
      <c r="M881" s="5">
        <f t="shared" si="102"/>
        <v>2012</v>
      </c>
    </row>
    <row r="882" spans="1:13" ht="17.45" customHeight="1" x14ac:dyDescent="0.25">
      <c r="A882" s="1">
        <f>DATE(2012,1,11)</f>
        <v>40919</v>
      </c>
      <c r="B882" t="s">
        <v>20</v>
      </c>
      <c r="C882" t="s">
        <v>8</v>
      </c>
      <c r="D882" s="3">
        <v>338.78550000000001</v>
      </c>
      <c r="E882" s="3">
        <v>0</v>
      </c>
      <c r="F882" t="s">
        <v>45</v>
      </c>
      <c r="G882" s="3">
        <f t="shared" si="96"/>
        <v>-338.78550000000001</v>
      </c>
      <c r="H882" s="3">
        <f t="shared" si="97"/>
        <v>338.78550000000001</v>
      </c>
      <c r="I882" s="5" t="str">
        <f t="shared" si="98"/>
        <v>018</v>
      </c>
      <c r="J882" s="5" t="str">
        <f t="shared" si="99"/>
        <v>2210</v>
      </c>
      <c r="K882" s="5" t="str">
        <f t="shared" si="100"/>
        <v>000</v>
      </c>
      <c r="L882" s="5">
        <f t="shared" si="101"/>
        <v>1</v>
      </c>
      <c r="M882" s="5">
        <f t="shared" si="102"/>
        <v>2012</v>
      </c>
    </row>
    <row r="883" spans="1:13" ht="17.45" customHeight="1" x14ac:dyDescent="0.25">
      <c r="A883" s="1">
        <f>DATE(2012,1,11)</f>
        <v>40919</v>
      </c>
      <c r="B883" t="s">
        <v>21</v>
      </c>
      <c r="C883" t="s">
        <v>9</v>
      </c>
      <c r="D883" s="3">
        <v>87.207999999999998</v>
      </c>
      <c r="E883" s="3">
        <v>0</v>
      </c>
      <c r="F883" t="s">
        <v>45</v>
      </c>
      <c r="G883" s="3">
        <f t="shared" si="96"/>
        <v>-87.207999999999998</v>
      </c>
      <c r="H883" s="3">
        <f t="shared" si="97"/>
        <v>87.207999999999998</v>
      </c>
      <c r="I883" s="5" t="str">
        <f t="shared" si="98"/>
        <v>018</v>
      </c>
      <c r="J883" s="5" t="str">
        <f t="shared" si="99"/>
        <v>2220</v>
      </c>
      <c r="K883" s="5" t="str">
        <f t="shared" si="100"/>
        <v>000</v>
      </c>
      <c r="L883" s="5">
        <f t="shared" si="101"/>
        <v>1</v>
      </c>
      <c r="M883" s="5">
        <f t="shared" si="102"/>
        <v>2012</v>
      </c>
    </row>
    <row r="884" spans="1:13" ht="17.45" customHeight="1" x14ac:dyDescent="0.25">
      <c r="A884" s="1">
        <f>DATE(2012,1,11)</f>
        <v>40919</v>
      </c>
      <c r="B884" t="s">
        <v>22</v>
      </c>
      <c r="C884" t="s">
        <v>10</v>
      </c>
      <c r="D884" s="3">
        <v>97.149000000000001</v>
      </c>
      <c r="E884" s="3">
        <v>0</v>
      </c>
      <c r="F884" t="s">
        <v>45</v>
      </c>
      <c r="G884" s="3">
        <f t="shared" si="96"/>
        <v>-97.149000000000001</v>
      </c>
      <c r="H884" s="3">
        <f t="shared" si="97"/>
        <v>97.149000000000001</v>
      </c>
      <c r="I884" s="5" t="str">
        <f t="shared" si="98"/>
        <v>018</v>
      </c>
      <c r="J884" s="5" t="str">
        <f t="shared" si="99"/>
        <v>2230</v>
      </c>
      <c r="K884" s="5" t="str">
        <f t="shared" si="100"/>
        <v>000</v>
      </c>
      <c r="L884" s="5">
        <f t="shared" si="101"/>
        <v>1</v>
      </c>
      <c r="M884" s="5">
        <f t="shared" si="102"/>
        <v>2012</v>
      </c>
    </row>
    <row r="885" spans="1:13" ht="17.45" customHeight="1" x14ac:dyDescent="0.25">
      <c r="A885" s="1">
        <f>DATE(2012,1,12)</f>
        <v>40920</v>
      </c>
      <c r="B885" t="s">
        <v>19</v>
      </c>
      <c r="C885" t="s">
        <v>6</v>
      </c>
      <c r="D885" s="3">
        <v>4777.0304999999998</v>
      </c>
      <c r="E885" s="3">
        <v>0</v>
      </c>
      <c r="F885" t="s">
        <v>45</v>
      </c>
      <c r="G885" s="3">
        <f t="shared" si="96"/>
        <v>-4777.0304999999998</v>
      </c>
      <c r="H885" s="3">
        <f t="shared" si="97"/>
        <v>4777.0304999999998</v>
      </c>
      <c r="I885" s="5" t="str">
        <f t="shared" si="98"/>
        <v>018</v>
      </c>
      <c r="J885" s="5" t="str">
        <f t="shared" si="99"/>
        <v>2100</v>
      </c>
      <c r="K885" s="5" t="str">
        <f t="shared" si="100"/>
        <v>000</v>
      </c>
      <c r="L885" s="5">
        <f t="shared" si="101"/>
        <v>1</v>
      </c>
      <c r="M885" s="5">
        <f t="shared" si="102"/>
        <v>2012</v>
      </c>
    </row>
    <row r="886" spans="1:13" ht="17.45" customHeight="1" x14ac:dyDescent="0.25">
      <c r="A886" s="1">
        <f>DATE(2012,1,12)</f>
        <v>40920</v>
      </c>
      <c r="B886" t="s">
        <v>20</v>
      </c>
      <c r="C886" t="s">
        <v>8</v>
      </c>
      <c r="D886" s="3">
        <v>504.45499999999998</v>
      </c>
      <c r="E886" s="3">
        <v>0</v>
      </c>
      <c r="F886" t="s">
        <v>45</v>
      </c>
      <c r="G886" s="3">
        <f t="shared" si="96"/>
        <v>-504.45499999999998</v>
      </c>
      <c r="H886" s="3">
        <f t="shared" si="97"/>
        <v>504.45499999999998</v>
      </c>
      <c r="I886" s="5" t="str">
        <f t="shared" si="98"/>
        <v>018</v>
      </c>
      <c r="J886" s="5" t="str">
        <f t="shared" si="99"/>
        <v>2210</v>
      </c>
      <c r="K886" s="5" t="str">
        <f t="shared" si="100"/>
        <v>000</v>
      </c>
      <c r="L886" s="5">
        <f t="shared" si="101"/>
        <v>1</v>
      </c>
      <c r="M886" s="5">
        <f t="shared" si="102"/>
        <v>2012</v>
      </c>
    </row>
    <row r="887" spans="1:13" ht="17.45" customHeight="1" x14ac:dyDescent="0.25">
      <c r="A887" s="1">
        <f>DATE(2012,1,12)</f>
        <v>40920</v>
      </c>
      <c r="B887" t="s">
        <v>21</v>
      </c>
      <c r="C887" t="s">
        <v>9</v>
      </c>
      <c r="D887" s="3">
        <v>231.17849999999999</v>
      </c>
      <c r="E887" s="3">
        <v>0</v>
      </c>
      <c r="F887" t="s">
        <v>45</v>
      </c>
      <c r="G887" s="3">
        <f t="shared" si="96"/>
        <v>-231.17849999999999</v>
      </c>
      <c r="H887" s="3">
        <f t="shared" si="97"/>
        <v>231.17849999999999</v>
      </c>
      <c r="I887" s="5" t="str">
        <f t="shared" si="98"/>
        <v>018</v>
      </c>
      <c r="J887" s="5" t="str">
        <f t="shared" si="99"/>
        <v>2220</v>
      </c>
      <c r="K887" s="5" t="str">
        <f t="shared" si="100"/>
        <v>000</v>
      </c>
      <c r="L887" s="5">
        <f t="shared" si="101"/>
        <v>1</v>
      </c>
      <c r="M887" s="5">
        <f t="shared" si="102"/>
        <v>2012</v>
      </c>
    </row>
    <row r="888" spans="1:13" ht="17.45" customHeight="1" x14ac:dyDescent="0.25">
      <c r="A888" s="1">
        <f>DATE(2012,1,12)</f>
        <v>40920</v>
      </c>
      <c r="B888" t="s">
        <v>22</v>
      </c>
      <c r="C888" t="s">
        <v>10</v>
      </c>
      <c r="D888" s="3">
        <v>117.363</v>
      </c>
      <c r="E888" s="3">
        <v>0</v>
      </c>
      <c r="F888" t="s">
        <v>45</v>
      </c>
      <c r="G888" s="3">
        <f t="shared" si="96"/>
        <v>-117.363</v>
      </c>
      <c r="H888" s="3">
        <f t="shared" si="97"/>
        <v>117.363</v>
      </c>
      <c r="I888" s="5" t="str">
        <f t="shared" si="98"/>
        <v>018</v>
      </c>
      <c r="J888" s="5" t="str">
        <f t="shared" si="99"/>
        <v>2230</v>
      </c>
      <c r="K888" s="5" t="str">
        <f t="shared" si="100"/>
        <v>000</v>
      </c>
      <c r="L888" s="5">
        <f t="shared" si="101"/>
        <v>1</v>
      </c>
      <c r="M888" s="5">
        <f t="shared" si="102"/>
        <v>2012</v>
      </c>
    </row>
    <row r="889" spans="1:13" ht="17.45" customHeight="1" x14ac:dyDescent="0.25">
      <c r="A889" s="1">
        <f>DATE(2012,1,13)</f>
        <v>40921</v>
      </c>
      <c r="B889" t="s">
        <v>19</v>
      </c>
      <c r="C889" t="s">
        <v>6</v>
      </c>
      <c r="D889" s="3">
        <v>10361.6842</v>
      </c>
      <c r="E889" s="3">
        <v>0</v>
      </c>
      <c r="F889" t="s">
        <v>45</v>
      </c>
      <c r="G889" s="3">
        <f t="shared" si="96"/>
        <v>-10361.6842</v>
      </c>
      <c r="H889" s="3">
        <f t="shared" si="97"/>
        <v>10361.6842</v>
      </c>
      <c r="I889" s="5" t="str">
        <f t="shared" si="98"/>
        <v>018</v>
      </c>
      <c r="J889" s="5" t="str">
        <f t="shared" si="99"/>
        <v>2100</v>
      </c>
      <c r="K889" s="5" t="str">
        <f t="shared" si="100"/>
        <v>000</v>
      </c>
      <c r="L889" s="5">
        <f t="shared" si="101"/>
        <v>1</v>
      </c>
      <c r="M889" s="5">
        <f t="shared" si="102"/>
        <v>2012</v>
      </c>
    </row>
    <row r="890" spans="1:13" ht="17.45" customHeight="1" x14ac:dyDescent="0.25">
      <c r="A890" s="1">
        <f>DATE(2012,1,13)</f>
        <v>40921</v>
      </c>
      <c r="B890" t="s">
        <v>20</v>
      </c>
      <c r="C890" t="s">
        <v>8</v>
      </c>
      <c r="D890" s="3">
        <v>1670.3120000000001</v>
      </c>
      <c r="E890" s="3">
        <v>0</v>
      </c>
      <c r="F890" t="s">
        <v>45</v>
      </c>
      <c r="G890" s="3">
        <f t="shared" si="96"/>
        <v>-1670.3120000000001</v>
      </c>
      <c r="H890" s="3">
        <f t="shared" si="97"/>
        <v>1670.3120000000001</v>
      </c>
      <c r="I890" s="5" t="str">
        <f t="shared" si="98"/>
        <v>018</v>
      </c>
      <c r="J890" s="5" t="str">
        <f t="shared" si="99"/>
        <v>2210</v>
      </c>
      <c r="K890" s="5" t="str">
        <f t="shared" si="100"/>
        <v>000</v>
      </c>
      <c r="L890" s="5">
        <f t="shared" si="101"/>
        <v>1</v>
      </c>
      <c r="M890" s="5">
        <f t="shared" si="102"/>
        <v>2012</v>
      </c>
    </row>
    <row r="891" spans="1:13" ht="17.45" customHeight="1" x14ac:dyDescent="0.25">
      <c r="A891" s="1">
        <f>DATE(2012,1,13)</f>
        <v>40921</v>
      </c>
      <c r="B891" t="s">
        <v>21</v>
      </c>
      <c r="C891" t="s">
        <v>9</v>
      </c>
      <c r="D891" s="3">
        <v>461.40600000000006</v>
      </c>
      <c r="E891" s="3">
        <v>0</v>
      </c>
      <c r="F891" t="s">
        <v>45</v>
      </c>
      <c r="G891" s="3">
        <f t="shared" si="96"/>
        <v>-461.40600000000006</v>
      </c>
      <c r="H891" s="3">
        <f t="shared" si="97"/>
        <v>461.40600000000006</v>
      </c>
      <c r="I891" s="5" t="str">
        <f t="shared" si="98"/>
        <v>018</v>
      </c>
      <c r="J891" s="5" t="str">
        <f t="shared" si="99"/>
        <v>2220</v>
      </c>
      <c r="K891" s="5" t="str">
        <f t="shared" si="100"/>
        <v>000</v>
      </c>
      <c r="L891" s="5">
        <f t="shared" si="101"/>
        <v>1</v>
      </c>
      <c r="M891" s="5">
        <f t="shared" si="102"/>
        <v>2012</v>
      </c>
    </row>
    <row r="892" spans="1:13" ht="17.45" customHeight="1" x14ac:dyDescent="0.25">
      <c r="A892" s="1">
        <f>DATE(2012,1,13)</f>
        <v>40921</v>
      </c>
      <c r="B892" t="s">
        <v>22</v>
      </c>
      <c r="C892" t="s">
        <v>10</v>
      </c>
      <c r="D892" s="3">
        <v>199.09200000000001</v>
      </c>
      <c r="E892" s="3">
        <v>0</v>
      </c>
      <c r="F892" t="s">
        <v>45</v>
      </c>
      <c r="G892" s="3">
        <f t="shared" si="96"/>
        <v>-199.09200000000001</v>
      </c>
      <c r="H892" s="3">
        <f t="shared" si="97"/>
        <v>199.09200000000001</v>
      </c>
      <c r="I892" s="5" t="str">
        <f t="shared" si="98"/>
        <v>018</v>
      </c>
      <c r="J892" s="5" t="str">
        <f t="shared" si="99"/>
        <v>2230</v>
      </c>
      <c r="K892" s="5" t="str">
        <f t="shared" si="100"/>
        <v>000</v>
      </c>
      <c r="L892" s="5">
        <f t="shared" si="101"/>
        <v>1</v>
      </c>
      <c r="M892" s="5">
        <f t="shared" si="102"/>
        <v>2012</v>
      </c>
    </row>
    <row r="893" spans="1:13" ht="17.45" customHeight="1" x14ac:dyDescent="0.25">
      <c r="A893" s="1">
        <f>DATE(2012,1,14)</f>
        <v>40922</v>
      </c>
      <c r="B893" t="s">
        <v>19</v>
      </c>
      <c r="C893" t="s">
        <v>6</v>
      </c>
      <c r="D893" s="3">
        <v>6953.7185999999992</v>
      </c>
      <c r="E893" s="3">
        <v>0</v>
      </c>
      <c r="F893" t="s">
        <v>45</v>
      </c>
      <c r="G893" s="3">
        <f t="shared" si="96"/>
        <v>-6953.7185999999992</v>
      </c>
      <c r="H893" s="3">
        <f t="shared" si="97"/>
        <v>6953.7185999999992</v>
      </c>
      <c r="I893" s="5" t="str">
        <f t="shared" si="98"/>
        <v>018</v>
      </c>
      <c r="J893" s="5" t="str">
        <f t="shared" si="99"/>
        <v>2100</v>
      </c>
      <c r="K893" s="5" t="str">
        <f t="shared" si="100"/>
        <v>000</v>
      </c>
      <c r="L893" s="5">
        <f t="shared" si="101"/>
        <v>1</v>
      </c>
      <c r="M893" s="5">
        <f t="shared" si="102"/>
        <v>2012</v>
      </c>
    </row>
    <row r="894" spans="1:13" ht="17.45" customHeight="1" x14ac:dyDescent="0.25">
      <c r="A894" s="1">
        <f>DATE(2012,1,14)</f>
        <v>40922</v>
      </c>
      <c r="B894" t="s">
        <v>20</v>
      </c>
      <c r="C894" t="s">
        <v>8</v>
      </c>
      <c r="D894" s="3">
        <v>1421.8380000000002</v>
      </c>
      <c r="E894" s="3">
        <v>0</v>
      </c>
      <c r="F894" t="s">
        <v>45</v>
      </c>
      <c r="G894" s="3">
        <f t="shared" si="96"/>
        <v>-1421.8380000000002</v>
      </c>
      <c r="H894" s="3">
        <f t="shared" si="97"/>
        <v>1421.8380000000002</v>
      </c>
      <c r="I894" s="5" t="str">
        <f t="shared" si="98"/>
        <v>018</v>
      </c>
      <c r="J894" s="5" t="str">
        <f t="shared" si="99"/>
        <v>2210</v>
      </c>
      <c r="K894" s="5" t="str">
        <f t="shared" si="100"/>
        <v>000</v>
      </c>
      <c r="L894" s="5">
        <f t="shared" si="101"/>
        <v>1</v>
      </c>
      <c r="M894" s="5">
        <f t="shared" si="102"/>
        <v>2012</v>
      </c>
    </row>
    <row r="895" spans="1:13" ht="17.45" customHeight="1" x14ac:dyDescent="0.25">
      <c r="A895" s="1">
        <f>DATE(2012,1,14)</f>
        <v>40922</v>
      </c>
      <c r="B895" t="s">
        <v>21</v>
      </c>
      <c r="C895" t="s">
        <v>9</v>
      </c>
      <c r="D895" s="3">
        <v>496.46999999999997</v>
      </c>
      <c r="E895" s="3">
        <v>0</v>
      </c>
      <c r="F895" t="s">
        <v>45</v>
      </c>
      <c r="G895" s="3">
        <f t="shared" si="96"/>
        <v>-496.46999999999997</v>
      </c>
      <c r="H895" s="3">
        <f t="shared" si="97"/>
        <v>496.46999999999997</v>
      </c>
      <c r="I895" s="5" t="str">
        <f t="shared" si="98"/>
        <v>018</v>
      </c>
      <c r="J895" s="5" t="str">
        <f t="shared" si="99"/>
        <v>2220</v>
      </c>
      <c r="K895" s="5" t="str">
        <f t="shared" si="100"/>
        <v>000</v>
      </c>
      <c r="L895" s="5">
        <f t="shared" si="101"/>
        <v>1</v>
      </c>
      <c r="M895" s="5">
        <f t="shared" si="102"/>
        <v>2012</v>
      </c>
    </row>
    <row r="896" spans="1:13" ht="17.45" customHeight="1" x14ac:dyDescent="0.25">
      <c r="A896" s="1">
        <f>DATE(2012,1,14)</f>
        <v>40922</v>
      </c>
      <c r="B896" t="s">
        <v>22</v>
      </c>
      <c r="C896" t="s">
        <v>10</v>
      </c>
      <c r="D896" s="3">
        <v>205.02199999999999</v>
      </c>
      <c r="E896" s="3">
        <v>0</v>
      </c>
      <c r="F896" t="s">
        <v>45</v>
      </c>
      <c r="G896" s="3">
        <f t="shared" si="96"/>
        <v>-205.02199999999999</v>
      </c>
      <c r="H896" s="3">
        <f t="shared" si="97"/>
        <v>205.02199999999999</v>
      </c>
      <c r="I896" s="5" t="str">
        <f t="shared" si="98"/>
        <v>018</v>
      </c>
      <c r="J896" s="5" t="str">
        <f t="shared" si="99"/>
        <v>2230</v>
      </c>
      <c r="K896" s="5" t="str">
        <f t="shared" si="100"/>
        <v>000</v>
      </c>
      <c r="L896" s="5">
        <f t="shared" si="101"/>
        <v>1</v>
      </c>
      <c r="M896" s="5">
        <f t="shared" si="102"/>
        <v>2012</v>
      </c>
    </row>
    <row r="897" spans="1:13" ht="17.45" customHeight="1" x14ac:dyDescent="0.25">
      <c r="A897" s="1">
        <f>DATE(2012,1,15)</f>
        <v>40923</v>
      </c>
      <c r="B897" t="s">
        <v>19</v>
      </c>
      <c r="C897" t="s">
        <v>6</v>
      </c>
      <c r="D897" s="3">
        <v>9281.6069999999982</v>
      </c>
      <c r="E897" s="3">
        <v>0</v>
      </c>
      <c r="F897" t="s">
        <v>45</v>
      </c>
      <c r="G897" s="3">
        <f t="shared" si="96"/>
        <v>-9281.6069999999982</v>
      </c>
      <c r="H897" s="3">
        <f t="shared" si="97"/>
        <v>9281.6069999999982</v>
      </c>
      <c r="I897" s="5" t="str">
        <f t="shared" si="98"/>
        <v>018</v>
      </c>
      <c r="J897" s="5" t="str">
        <f t="shared" si="99"/>
        <v>2100</v>
      </c>
      <c r="K897" s="5" t="str">
        <f t="shared" si="100"/>
        <v>000</v>
      </c>
      <c r="L897" s="5">
        <f t="shared" si="101"/>
        <v>1</v>
      </c>
      <c r="M897" s="5">
        <f t="shared" si="102"/>
        <v>2012</v>
      </c>
    </row>
    <row r="898" spans="1:13" ht="17.45" customHeight="1" x14ac:dyDescent="0.25">
      <c r="A898" s="1">
        <f>DATE(2012,1,15)</f>
        <v>40923</v>
      </c>
      <c r="B898" t="s">
        <v>20</v>
      </c>
      <c r="C898" t="s">
        <v>8</v>
      </c>
      <c r="D898" s="3">
        <v>825.08999999999992</v>
      </c>
      <c r="E898" s="3">
        <v>0</v>
      </c>
      <c r="F898" t="s">
        <v>45</v>
      </c>
      <c r="G898" s="3">
        <f t="shared" ref="G898:G961" si="104">E898-D898</f>
        <v>-825.08999999999992</v>
      </c>
      <c r="H898" s="3">
        <f t="shared" ref="H898:H961" si="105">ABS(G898)</f>
        <v>825.08999999999992</v>
      </c>
      <c r="I898" s="5" t="str">
        <f t="shared" ref="I898:I961" si="106">MID(B898,1,3)</f>
        <v>018</v>
      </c>
      <c r="J898" s="5" t="str">
        <f t="shared" ref="J898:J961" si="107">MID(B898,5,4)</f>
        <v>2210</v>
      </c>
      <c r="K898" s="5" t="str">
        <f t="shared" ref="K898:K961" si="108">MID(B898,10,3)</f>
        <v>000</v>
      </c>
      <c r="L898" s="5">
        <f t="shared" ref="L898:L961" si="109">MONTH(A898)</f>
        <v>1</v>
      </c>
      <c r="M898" s="5">
        <f t="shared" ref="M898:M961" si="110">YEAR(A898)</f>
        <v>2012</v>
      </c>
    </row>
    <row r="899" spans="1:13" ht="17.45" customHeight="1" x14ac:dyDescent="0.25">
      <c r="A899" s="1">
        <f>DATE(2012,1,15)</f>
        <v>40923</v>
      </c>
      <c r="B899" t="s">
        <v>21</v>
      </c>
      <c r="C899" t="s">
        <v>9</v>
      </c>
      <c r="D899" s="3">
        <v>250.55999999999997</v>
      </c>
      <c r="E899" s="3">
        <v>0</v>
      </c>
      <c r="F899" t="s">
        <v>45</v>
      </c>
      <c r="G899" s="3">
        <f t="shared" si="104"/>
        <v>-250.55999999999997</v>
      </c>
      <c r="H899" s="3">
        <f t="shared" si="105"/>
        <v>250.55999999999997</v>
      </c>
      <c r="I899" s="5" t="str">
        <f t="shared" si="106"/>
        <v>018</v>
      </c>
      <c r="J899" s="5" t="str">
        <f t="shared" si="107"/>
        <v>2220</v>
      </c>
      <c r="K899" s="5" t="str">
        <f t="shared" si="108"/>
        <v>000</v>
      </c>
      <c r="L899" s="5">
        <f t="shared" si="109"/>
        <v>1</v>
      </c>
      <c r="M899" s="5">
        <f t="shared" si="110"/>
        <v>2012</v>
      </c>
    </row>
    <row r="900" spans="1:13" ht="17.45" customHeight="1" x14ac:dyDescent="0.25">
      <c r="A900" s="1">
        <f>DATE(2012,1,15)</f>
        <v>40923</v>
      </c>
      <c r="B900" t="s">
        <v>22</v>
      </c>
      <c r="C900" t="s">
        <v>10</v>
      </c>
      <c r="D900" s="3">
        <v>79.735500000000002</v>
      </c>
      <c r="E900" s="3">
        <v>0</v>
      </c>
      <c r="F900" t="s">
        <v>45</v>
      </c>
      <c r="G900" s="3">
        <f t="shared" si="104"/>
        <v>-79.735500000000002</v>
      </c>
      <c r="H900" s="3">
        <f t="shared" si="105"/>
        <v>79.735500000000002</v>
      </c>
      <c r="I900" s="5" t="str">
        <f t="shared" si="106"/>
        <v>018</v>
      </c>
      <c r="J900" s="5" t="str">
        <f t="shared" si="107"/>
        <v>2230</v>
      </c>
      <c r="K900" s="5" t="str">
        <f t="shared" si="108"/>
        <v>000</v>
      </c>
      <c r="L900" s="5">
        <f t="shared" si="109"/>
        <v>1</v>
      </c>
      <c r="M900" s="5">
        <f t="shared" si="110"/>
        <v>2012</v>
      </c>
    </row>
    <row r="901" spans="1:13" ht="17.45" customHeight="1" x14ac:dyDescent="0.25">
      <c r="A901" s="1">
        <f>DATE(2012,1,16)</f>
        <v>40924</v>
      </c>
      <c r="B901" t="s">
        <v>11</v>
      </c>
      <c r="C901" t="s">
        <v>6</v>
      </c>
      <c r="D901" s="3">
        <v>1908.0491999999997</v>
      </c>
      <c r="E901" s="3">
        <v>0</v>
      </c>
      <c r="F901" t="s">
        <v>45</v>
      </c>
      <c r="G901" s="3">
        <f t="shared" si="104"/>
        <v>-1908.0491999999997</v>
      </c>
      <c r="H901" s="3">
        <f t="shared" si="105"/>
        <v>1908.0491999999997</v>
      </c>
      <c r="I901" s="5" t="str">
        <f t="shared" si="106"/>
        <v>016</v>
      </c>
      <c r="J901" s="5" t="str">
        <f t="shared" si="107"/>
        <v>2100</v>
      </c>
      <c r="K901" s="5" t="str">
        <f t="shared" si="108"/>
        <v>000</v>
      </c>
      <c r="L901" s="5">
        <f t="shared" si="109"/>
        <v>1</v>
      </c>
      <c r="M901" s="5">
        <f t="shared" si="110"/>
        <v>2012</v>
      </c>
    </row>
    <row r="902" spans="1:13" ht="17.45" customHeight="1" x14ac:dyDescent="0.25">
      <c r="A902" s="1">
        <f>DATE(2012,1,16)</f>
        <v>40924</v>
      </c>
      <c r="B902" t="s">
        <v>12</v>
      </c>
      <c r="C902" t="s">
        <v>8</v>
      </c>
      <c r="D902" s="3">
        <v>392.50400000000002</v>
      </c>
      <c r="E902" s="3">
        <v>0</v>
      </c>
      <c r="F902" t="s">
        <v>45</v>
      </c>
      <c r="G902" s="3">
        <f t="shared" si="104"/>
        <v>-392.50400000000002</v>
      </c>
      <c r="H902" s="3">
        <f t="shared" si="105"/>
        <v>392.50400000000002</v>
      </c>
      <c r="I902" s="5" t="str">
        <f t="shared" si="106"/>
        <v>016</v>
      </c>
      <c r="J902" s="5" t="str">
        <f t="shared" si="107"/>
        <v>2210</v>
      </c>
      <c r="K902" s="5" t="str">
        <f t="shared" si="108"/>
        <v>000</v>
      </c>
      <c r="L902" s="5">
        <f t="shared" si="109"/>
        <v>1</v>
      </c>
      <c r="M902" s="5">
        <f t="shared" si="110"/>
        <v>2012</v>
      </c>
    </row>
    <row r="903" spans="1:13" ht="17.45" customHeight="1" x14ac:dyDescent="0.25">
      <c r="A903" s="1">
        <f>DATE(2012,1,16)</f>
        <v>40924</v>
      </c>
      <c r="B903" t="s">
        <v>13</v>
      </c>
      <c r="C903" t="s">
        <v>9</v>
      </c>
      <c r="D903" s="3">
        <v>75.174000000000007</v>
      </c>
      <c r="E903" s="3">
        <v>0</v>
      </c>
      <c r="F903" t="s">
        <v>45</v>
      </c>
      <c r="G903" s="3">
        <f t="shared" si="104"/>
        <v>-75.174000000000007</v>
      </c>
      <c r="H903" s="3">
        <f t="shared" si="105"/>
        <v>75.174000000000007</v>
      </c>
      <c r="I903" s="5" t="str">
        <f t="shared" si="106"/>
        <v>016</v>
      </c>
      <c r="J903" s="5" t="str">
        <f t="shared" si="107"/>
        <v>2220</v>
      </c>
      <c r="K903" s="5" t="str">
        <f t="shared" si="108"/>
        <v>000</v>
      </c>
      <c r="L903" s="5">
        <f t="shared" si="109"/>
        <v>1</v>
      </c>
      <c r="M903" s="5">
        <f t="shared" si="110"/>
        <v>2012</v>
      </c>
    </row>
    <row r="904" spans="1:13" ht="17.45" customHeight="1" x14ac:dyDescent="0.25">
      <c r="A904" s="1">
        <f>DATE(2012,1,16)</f>
        <v>40924</v>
      </c>
      <c r="B904" t="s">
        <v>14</v>
      </c>
      <c r="C904" t="s">
        <v>10</v>
      </c>
      <c r="D904" s="3">
        <v>40.970500000000001</v>
      </c>
      <c r="E904" s="3">
        <v>0</v>
      </c>
      <c r="F904" t="s">
        <v>45</v>
      </c>
      <c r="G904" s="3">
        <f t="shared" si="104"/>
        <v>-40.970500000000001</v>
      </c>
      <c r="H904" s="3">
        <f t="shared" si="105"/>
        <v>40.970500000000001</v>
      </c>
      <c r="I904" s="5" t="str">
        <f t="shared" si="106"/>
        <v>016</v>
      </c>
      <c r="J904" s="5" t="str">
        <f t="shared" si="107"/>
        <v>2230</v>
      </c>
      <c r="K904" s="5" t="str">
        <f t="shared" si="108"/>
        <v>000</v>
      </c>
      <c r="L904" s="5">
        <f t="shared" si="109"/>
        <v>1</v>
      </c>
      <c r="M904" s="5">
        <f t="shared" si="110"/>
        <v>2012</v>
      </c>
    </row>
    <row r="905" spans="1:13" ht="17.45" customHeight="1" x14ac:dyDescent="0.25">
      <c r="A905" s="1">
        <f>DATE(2012,1,17)</f>
        <v>40925</v>
      </c>
      <c r="B905" t="s">
        <v>11</v>
      </c>
      <c r="C905" t="s">
        <v>6</v>
      </c>
      <c r="D905" s="3">
        <v>3379.3563999999997</v>
      </c>
      <c r="E905" s="3">
        <v>0</v>
      </c>
      <c r="F905" t="s">
        <v>45</v>
      </c>
      <c r="G905" s="3">
        <f t="shared" si="104"/>
        <v>-3379.3563999999997</v>
      </c>
      <c r="H905" s="3">
        <f t="shared" si="105"/>
        <v>3379.3563999999997</v>
      </c>
      <c r="I905" s="5" t="str">
        <f t="shared" si="106"/>
        <v>016</v>
      </c>
      <c r="J905" s="5" t="str">
        <f t="shared" si="107"/>
        <v>2100</v>
      </c>
      <c r="K905" s="5" t="str">
        <f t="shared" si="108"/>
        <v>000</v>
      </c>
      <c r="L905" s="5">
        <f t="shared" si="109"/>
        <v>1</v>
      </c>
      <c r="M905" s="5">
        <f t="shared" si="110"/>
        <v>2012</v>
      </c>
    </row>
    <row r="906" spans="1:13" ht="17.45" customHeight="1" x14ac:dyDescent="0.25">
      <c r="A906" s="1">
        <f>DATE(2012,1,17)</f>
        <v>40925</v>
      </c>
      <c r="B906" t="s">
        <v>12</v>
      </c>
      <c r="C906" t="s">
        <v>8</v>
      </c>
      <c r="D906" s="3">
        <v>600.25099999999998</v>
      </c>
      <c r="E906" s="3">
        <v>0</v>
      </c>
      <c r="F906" t="s">
        <v>45</v>
      </c>
      <c r="G906" s="3">
        <f t="shared" si="104"/>
        <v>-600.25099999999998</v>
      </c>
      <c r="H906" s="3">
        <f t="shared" si="105"/>
        <v>600.25099999999998</v>
      </c>
      <c r="I906" s="5" t="str">
        <f t="shared" si="106"/>
        <v>016</v>
      </c>
      <c r="J906" s="5" t="str">
        <f t="shared" si="107"/>
        <v>2210</v>
      </c>
      <c r="K906" s="5" t="str">
        <f t="shared" si="108"/>
        <v>000</v>
      </c>
      <c r="L906" s="5">
        <f t="shared" si="109"/>
        <v>1</v>
      </c>
      <c r="M906" s="5">
        <f t="shared" si="110"/>
        <v>2012</v>
      </c>
    </row>
    <row r="907" spans="1:13" ht="17.45" customHeight="1" x14ac:dyDescent="0.25">
      <c r="A907" s="1">
        <f>DATE(2012,1,17)</f>
        <v>40925</v>
      </c>
      <c r="B907" t="s">
        <v>13</v>
      </c>
      <c r="C907" t="s">
        <v>9</v>
      </c>
      <c r="D907" s="3">
        <v>143.88</v>
      </c>
      <c r="E907" s="3">
        <v>0</v>
      </c>
      <c r="F907" t="s">
        <v>45</v>
      </c>
      <c r="G907" s="3">
        <f t="shared" si="104"/>
        <v>-143.88</v>
      </c>
      <c r="H907" s="3">
        <f t="shared" si="105"/>
        <v>143.88</v>
      </c>
      <c r="I907" s="5" t="str">
        <f t="shared" si="106"/>
        <v>016</v>
      </c>
      <c r="J907" s="5" t="str">
        <f t="shared" si="107"/>
        <v>2220</v>
      </c>
      <c r="K907" s="5" t="str">
        <f t="shared" si="108"/>
        <v>000</v>
      </c>
      <c r="L907" s="5">
        <f t="shared" si="109"/>
        <v>1</v>
      </c>
      <c r="M907" s="5">
        <f t="shared" si="110"/>
        <v>2012</v>
      </c>
    </row>
    <row r="908" spans="1:13" ht="17.45" customHeight="1" x14ac:dyDescent="0.25">
      <c r="A908" s="1">
        <f>DATE(2012,1,17)</f>
        <v>40925</v>
      </c>
      <c r="B908" t="s">
        <v>14</v>
      </c>
      <c r="C908" t="s">
        <v>10</v>
      </c>
      <c r="D908" s="3">
        <v>48.934499999999993</v>
      </c>
      <c r="E908" s="3">
        <v>0</v>
      </c>
      <c r="F908" t="s">
        <v>45</v>
      </c>
      <c r="G908" s="3">
        <f t="shared" si="104"/>
        <v>-48.934499999999993</v>
      </c>
      <c r="H908" s="3">
        <f t="shared" si="105"/>
        <v>48.934499999999993</v>
      </c>
      <c r="I908" s="5" t="str">
        <f t="shared" si="106"/>
        <v>016</v>
      </c>
      <c r="J908" s="5" t="str">
        <f t="shared" si="107"/>
        <v>2230</v>
      </c>
      <c r="K908" s="5" t="str">
        <f t="shared" si="108"/>
        <v>000</v>
      </c>
      <c r="L908" s="5">
        <f t="shared" si="109"/>
        <v>1</v>
      </c>
      <c r="M908" s="5">
        <f t="shared" si="110"/>
        <v>2012</v>
      </c>
    </row>
    <row r="909" spans="1:13" ht="17.45" customHeight="1" x14ac:dyDescent="0.25">
      <c r="A909" s="1">
        <f t="shared" ref="A909:A912" si="111">DATE(2012,1,18)</f>
        <v>40926</v>
      </c>
      <c r="B909" t="s">
        <v>11</v>
      </c>
      <c r="C909" t="s">
        <v>6</v>
      </c>
      <c r="D909" s="3">
        <v>3873.7439999999997</v>
      </c>
      <c r="E909" s="3">
        <v>0</v>
      </c>
      <c r="F909" t="s">
        <v>45</v>
      </c>
      <c r="G909" s="3">
        <f t="shared" si="104"/>
        <v>-3873.7439999999997</v>
      </c>
      <c r="H909" s="3">
        <f t="shared" si="105"/>
        <v>3873.7439999999997</v>
      </c>
      <c r="I909" s="5" t="str">
        <f t="shared" si="106"/>
        <v>016</v>
      </c>
      <c r="J909" s="5" t="str">
        <f t="shared" si="107"/>
        <v>2100</v>
      </c>
      <c r="K909" s="5" t="str">
        <f t="shared" si="108"/>
        <v>000</v>
      </c>
      <c r="L909" s="5">
        <f t="shared" si="109"/>
        <v>1</v>
      </c>
      <c r="M909" s="5">
        <f t="shared" si="110"/>
        <v>2012</v>
      </c>
    </row>
    <row r="910" spans="1:13" ht="17.45" customHeight="1" x14ac:dyDescent="0.25">
      <c r="A910" s="1">
        <f t="shared" si="111"/>
        <v>40926</v>
      </c>
      <c r="B910" t="s">
        <v>12</v>
      </c>
      <c r="C910" t="s">
        <v>8</v>
      </c>
      <c r="D910" s="3">
        <v>5112.5779999999995</v>
      </c>
      <c r="E910" s="3">
        <v>0</v>
      </c>
      <c r="F910" t="s">
        <v>45</v>
      </c>
      <c r="G910" s="3">
        <f t="shared" si="104"/>
        <v>-5112.5779999999995</v>
      </c>
      <c r="H910" s="3">
        <f t="shared" si="105"/>
        <v>5112.5779999999995</v>
      </c>
      <c r="I910" s="5" t="str">
        <f t="shared" si="106"/>
        <v>016</v>
      </c>
      <c r="J910" s="5" t="str">
        <f t="shared" si="107"/>
        <v>2210</v>
      </c>
      <c r="K910" s="5" t="str">
        <f t="shared" si="108"/>
        <v>000</v>
      </c>
      <c r="L910" s="5">
        <f t="shared" si="109"/>
        <v>1</v>
      </c>
      <c r="M910" s="5">
        <f t="shared" si="110"/>
        <v>2012</v>
      </c>
    </row>
    <row r="911" spans="1:13" ht="17.45" customHeight="1" x14ac:dyDescent="0.25">
      <c r="A911" s="1">
        <f t="shared" si="111"/>
        <v>40926</v>
      </c>
      <c r="B911" t="s">
        <v>13</v>
      </c>
      <c r="C911" t="s">
        <v>9</v>
      </c>
      <c r="D911" s="3">
        <v>1514.5364999999999</v>
      </c>
      <c r="E911" s="3">
        <v>0</v>
      </c>
      <c r="F911" t="s">
        <v>45</v>
      </c>
      <c r="G911" s="3">
        <f t="shared" si="104"/>
        <v>-1514.5364999999999</v>
      </c>
      <c r="H911" s="3">
        <f t="shared" si="105"/>
        <v>1514.5364999999999</v>
      </c>
      <c r="I911" s="5" t="str">
        <f t="shared" si="106"/>
        <v>016</v>
      </c>
      <c r="J911" s="5" t="str">
        <f t="shared" si="107"/>
        <v>2220</v>
      </c>
      <c r="K911" s="5" t="str">
        <f t="shared" si="108"/>
        <v>000</v>
      </c>
      <c r="L911" s="5">
        <f t="shared" si="109"/>
        <v>1</v>
      </c>
      <c r="M911" s="5">
        <f t="shared" si="110"/>
        <v>2012</v>
      </c>
    </row>
    <row r="912" spans="1:13" ht="17.45" customHeight="1" x14ac:dyDescent="0.25">
      <c r="A912" s="1">
        <f t="shared" si="111"/>
        <v>40926</v>
      </c>
      <c r="B912" t="s">
        <v>14</v>
      </c>
      <c r="C912" t="s">
        <v>10</v>
      </c>
      <c r="D912" s="3">
        <v>75.377500000000012</v>
      </c>
      <c r="E912" s="3">
        <v>0</v>
      </c>
      <c r="F912" t="s">
        <v>45</v>
      </c>
      <c r="G912" s="3">
        <f t="shared" si="104"/>
        <v>-75.377500000000012</v>
      </c>
      <c r="H912" s="3">
        <f t="shared" si="105"/>
        <v>75.377500000000012</v>
      </c>
      <c r="I912" s="5" t="str">
        <f t="shared" si="106"/>
        <v>016</v>
      </c>
      <c r="J912" s="5" t="str">
        <f t="shared" si="107"/>
        <v>2230</v>
      </c>
      <c r="K912" s="5" t="str">
        <f t="shared" si="108"/>
        <v>000</v>
      </c>
      <c r="L912" s="5">
        <f t="shared" si="109"/>
        <v>1</v>
      </c>
      <c r="M912" s="5">
        <f t="shared" si="110"/>
        <v>2012</v>
      </c>
    </row>
    <row r="913" spans="1:13" ht="17.45" customHeight="1" x14ac:dyDescent="0.25">
      <c r="A913" s="1">
        <f>DATE(2012,1,19)</f>
        <v>40927</v>
      </c>
      <c r="B913" t="s">
        <v>11</v>
      </c>
      <c r="C913" t="s">
        <v>6</v>
      </c>
      <c r="D913" s="3">
        <v>4043.5885999999996</v>
      </c>
      <c r="E913" s="3">
        <v>0</v>
      </c>
      <c r="F913" t="s">
        <v>45</v>
      </c>
      <c r="G913" s="3">
        <f t="shared" si="104"/>
        <v>-4043.5885999999996</v>
      </c>
      <c r="H913" s="3">
        <f t="shared" si="105"/>
        <v>4043.5885999999996</v>
      </c>
      <c r="I913" s="5" t="str">
        <f t="shared" si="106"/>
        <v>016</v>
      </c>
      <c r="J913" s="5" t="str">
        <f t="shared" si="107"/>
        <v>2100</v>
      </c>
      <c r="K913" s="5" t="str">
        <f t="shared" si="108"/>
        <v>000</v>
      </c>
      <c r="L913" s="5">
        <f t="shared" si="109"/>
        <v>1</v>
      </c>
      <c r="M913" s="5">
        <f t="shared" si="110"/>
        <v>2012</v>
      </c>
    </row>
    <row r="914" spans="1:13" ht="17.45" customHeight="1" x14ac:dyDescent="0.25">
      <c r="A914" s="1">
        <f>DATE(2012,1,19)</f>
        <v>40927</v>
      </c>
      <c r="B914" t="s">
        <v>12</v>
      </c>
      <c r="C914" t="s">
        <v>8</v>
      </c>
      <c r="D914" s="3">
        <v>964.96249999999998</v>
      </c>
      <c r="E914" s="3">
        <v>0</v>
      </c>
      <c r="F914" t="s">
        <v>45</v>
      </c>
      <c r="G914" s="3">
        <f t="shared" si="104"/>
        <v>-964.96249999999998</v>
      </c>
      <c r="H914" s="3">
        <f t="shared" si="105"/>
        <v>964.96249999999998</v>
      </c>
      <c r="I914" s="5" t="str">
        <f t="shared" si="106"/>
        <v>016</v>
      </c>
      <c r="J914" s="5" t="str">
        <f t="shared" si="107"/>
        <v>2210</v>
      </c>
      <c r="K914" s="5" t="str">
        <f t="shared" si="108"/>
        <v>000</v>
      </c>
      <c r="L914" s="5">
        <f t="shared" si="109"/>
        <v>1</v>
      </c>
      <c r="M914" s="5">
        <f t="shared" si="110"/>
        <v>2012</v>
      </c>
    </row>
    <row r="915" spans="1:13" ht="17.45" customHeight="1" x14ac:dyDescent="0.25">
      <c r="A915" s="1">
        <f>DATE(2012,1,19)</f>
        <v>40927</v>
      </c>
      <c r="B915" t="s">
        <v>13</v>
      </c>
      <c r="C915" t="s">
        <v>9</v>
      </c>
      <c r="D915" s="3">
        <v>104.247</v>
      </c>
      <c r="E915" s="3">
        <v>0</v>
      </c>
      <c r="F915" t="s">
        <v>45</v>
      </c>
      <c r="G915" s="3">
        <f t="shared" si="104"/>
        <v>-104.247</v>
      </c>
      <c r="H915" s="3">
        <f t="shared" si="105"/>
        <v>104.247</v>
      </c>
      <c r="I915" s="5" t="str">
        <f t="shared" si="106"/>
        <v>016</v>
      </c>
      <c r="J915" s="5" t="str">
        <f t="shared" si="107"/>
        <v>2220</v>
      </c>
      <c r="K915" s="5" t="str">
        <f t="shared" si="108"/>
        <v>000</v>
      </c>
      <c r="L915" s="5">
        <f t="shared" si="109"/>
        <v>1</v>
      </c>
      <c r="M915" s="5">
        <f t="shared" si="110"/>
        <v>2012</v>
      </c>
    </row>
    <row r="916" spans="1:13" ht="17.45" customHeight="1" x14ac:dyDescent="0.25">
      <c r="A916" s="1">
        <f>DATE(2012,1,19)</f>
        <v>40927</v>
      </c>
      <c r="B916" t="s">
        <v>14</v>
      </c>
      <c r="C916" t="s">
        <v>10</v>
      </c>
      <c r="D916" s="3">
        <v>157.035</v>
      </c>
      <c r="E916" s="3">
        <v>0</v>
      </c>
      <c r="F916" t="s">
        <v>45</v>
      </c>
      <c r="G916" s="3">
        <f t="shared" si="104"/>
        <v>-157.035</v>
      </c>
      <c r="H916" s="3">
        <f t="shared" si="105"/>
        <v>157.035</v>
      </c>
      <c r="I916" s="5" t="str">
        <f t="shared" si="106"/>
        <v>016</v>
      </c>
      <c r="J916" s="5" t="str">
        <f t="shared" si="107"/>
        <v>2230</v>
      </c>
      <c r="K916" s="5" t="str">
        <f t="shared" si="108"/>
        <v>000</v>
      </c>
      <c r="L916" s="5">
        <f t="shared" si="109"/>
        <v>1</v>
      </c>
      <c r="M916" s="5">
        <f t="shared" si="110"/>
        <v>2012</v>
      </c>
    </row>
    <row r="917" spans="1:13" ht="17.45" customHeight="1" x14ac:dyDescent="0.25">
      <c r="A917" s="1">
        <f>DATE(2012,1,20)</f>
        <v>40928</v>
      </c>
      <c r="B917" t="s">
        <v>11</v>
      </c>
      <c r="C917" t="s">
        <v>6</v>
      </c>
      <c r="D917" s="3">
        <v>8300.4149999999991</v>
      </c>
      <c r="E917" s="3">
        <v>0</v>
      </c>
      <c r="F917" t="s">
        <v>45</v>
      </c>
      <c r="G917" s="3">
        <f t="shared" si="104"/>
        <v>-8300.4149999999991</v>
      </c>
      <c r="H917" s="3">
        <f t="shared" si="105"/>
        <v>8300.4149999999991</v>
      </c>
      <c r="I917" s="5" t="str">
        <f t="shared" si="106"/>
        <v>016</v>
      </c>
      <c r="J917" s="5" t="str">
        <f t="shared" si="107"/>
        <v>2100</v>
      </c>
      <c r="K917" s="5" t="str">
        <f t="shared" si="108"/>
        <v>000</v>
      </c>
      <c r="L917" s="5">
        <f t="shared" si="109"/>
        <v>1</v>
      </c>
      <c r="M917" s="5">
        <f t="shared" si="110"/>
        <v>2012</v>
      </c>
    </row>
    <row r="918" spans="1:13" ht="17.45" customHeight="1" x14ac:dyDescent="0.25">
      <c r="A918" s="1">
        <f>DATE(2012,1,20)</f>
        <v>40928</v>
      </c>
      <c r="B918" t="s">
        <v>12</v>
      </c>
      <c r="C918" t="s">
        <v>8</v>
      </c>
      <c r="D918" s="3">
        <v>2955.5710000000004</v>
      </c>
      <c r="E918" s="3">
        <v>0</v>
      </c>
      <c r="F918" t="s">
        <v>45</v>
      </c>
      <c r="G918" s="3">
        <f t="shared" si="104"/>
        <v>-2955.5710000000004</v>
      </c>
      <c r="H918" s="3">
        <f t="shared" si="105"/>
        <v>2955.5710000000004</v>
      </c>
      <c r="I918" s="5" t="str">
        <f t="shared" si="106"/>
        <v>016</v>
      </c>
      <c r="J918" s="5" t="str">
        <f t="shared" si="107"/>
        <v>2210</v>
      </c>
      <c r="K918" s="5" t="str">
        <f t="shared" si="108"/>
        <v>000</v>
      </c>
      <c r="L918" s="5">
        <f t="shared" si="109"/>
        <v>1</v>
      </c>
      <c r="M918" s="5">
        <f t="shared" si="110"/>
        <v>2012</v>
      </c>
    </row>
    <row r="919" spans="1:13" ht="17.45" customHeight="1" x14ac:dyDescent="0.25">
      <c r="A919" s="1">
        <f>DATE(2012,1,20)</f>
        <v>40928</v>
      </c>
      <c r="B919" t="s">
        <v>13</v>
      </c>
      <c r="C919" t="s">
        <v>9</v>
      </c>
      <c r="D919" s="3">
        <v>634.95600000000002</v>
      </c>
      <c r="E919" s="3">
        <v>0</v>
      </c>
      <c r="F919" t="s">
        <v>45</v>
      </c>
      <c r="G919" s="3">
        <f t="shared" si="104"/>
        <v>-634.95600000000002</v>
      </c>
      <c r="H919" s="3">
        <f t="shared" si="105"/>
        <v>634.95600000000002</v>
      </c>
      <c r="I919" s="5" t="str">
        <f t="shared" si="106"/>
        <v>016</v>
      </c>
      <c r="J919" s="5" t="str">
        <f t="shared" si="107"/>
        <v>2220</v>
      </c>
      <c r="K919" s="5" t="str">
        <f t="shared" si="108"/>
        <v>000</v>
      </c>
      <c r="L919" s="5">
        <f t="shared" si="109"/>
        <v>1</v>
      </c>
      <c r="M919" s="5">
        <f t="shared" si="110"/>
        <v>2012</v>
      </c>
    </row>
    <row r="920" spans="1:13" ht="17.45" customHeight="1" x14ac:dyDescent="0.25">
      <c r="A920" s="1">
        <f>DATE(2012,1,20)</f>
        <v>40928</v>
      </c>
      <c r="B920" t="s">
        <v>14</v>
      </c>
      <c r="C920" t="s">
        <v>10</v>
      </c>
      <c r="D920" s="3">
        <v>276.47550000000001</v>
      </c>
      <c r="E920" s="3">
        <v>0</v>
      </c>
      <c r="F920" t="s">
        <v>45</v>
      </c>
      <c r="G920" s="3">
        <f t="shared" si="104"/>
        <v>-276.47550000000001</v>
      </c>
      <c r="H920" s="3">
        <f t="shared" si="105"/>
        <v>276.47550000000001</v>
      </c>
      <c r="I920" s="5" t="str">
        <f t="shared" si="106"/>
        <v>016</v>
      </c>
      <c r="J920" s="5" t="str">
        <f t="shared" si="107"/>
        <v>2230</v>
      </c>
      <c r="K920" s="5" t="str">
        <f t="shared" si="108"/>
        <v>000</v>
      </c>
      <c r="L920" s="5">
        <f t="shared" si="109"/>
        <v>1</v>
      </c>
      <c r="M920" s="5">
        <f t="shared" si="110"/>
        <v>2012</v>
      </c>
    </row>
    <row r="921" spans="1:13" ht="17.45" customHeight="1" x14ac:dyDescent="0.25">
      <c r="A921" s="1">
        <f>DATE(2012,1,21)</f>
        <v>40929</v>
      </c>
      <c r="B921" t="s">
        <v>11</v>
      </c>
      <c r="C921" t="s">
        <v>6</v>
      </c>
      <c r="D921" s="3">
        <v>10277.734</v>
      </c>
      <c r="E921" s="3">
        <v>0</v>
      </c>
      <c r="F921" t="s">
        <v>45</v>
      </c>
      <c r="G921" s="3">
        <f t="shared" si="104"/>
        <v>-10277.734</v>
      </c>
      <c r="H921" s="3">
        <f t="shared" si="105"/>
        <v>10277.734</v>
      </c>
      <c r="I921" s="5" t="str">
        <f t="shared" si="106"/>
        <v>016</v>
      </c>
      <c r="J921" s="5" t="str">
        <f t="shared" si="107"/>
        <v>2100</v>
      </c>
      <c r="K921" s="5" t="str">
        <f t="shared" si="108"/>
        <v>000</v>
      </c>
      <c r="L921" s="5">
        <f t="shared" si="109"/>
        <v>1</v>
      </c>
      <c r="M921" s="5">
        <f t="shared" si="110"/>
        <v>2012</v>
      </c>
    </row>
    <row r="922" spans="1:13" ht="17.45" customHeight="1" x14ac:dyDescent="0.25">
      <c r="A922" s="1">
        <f>DATE(2012,1,21)</f>
        <v>40929</v>
      </c>
      <c r="B922" t="s">
        <v>12</v>
      </c>
      <c r="C922" t="s">
        <v>8</v>
      </c>
      <c r="D922" s="3">
        <v>3234.9300000000003</v>
      </c>
      <c r="E922" s="3">
        <v>0</v>
      </c>
      <c r="F922" t="s">
        <v>45</v>
      </c>
      <c r="G922" s="3">
        <f t="shared" si="104"/>
        <v>-3234.9300000000003</v>
      </c>
      <c r="H922" s="3">
        <f t="shared" si="105"/>
        <v>3234.9300000000003</v>
      </c>
      <c r="I922" s="5" t="str">
        <f t="shared" si="106"/>
        <v>016</v>
      </c>
      <c r="J922" s="5" t="str">
        <f t="shared" si="107"/>
        <v>2210</v>
      </c>
      <c r="K922" s="5" t="str">
        <f t="shared" si="108"/>
        <v>000</v>
      </c>
      <c r="L922" s="5">
        <f t="shared" si="109"/>
        <v>1</v>
      </c>
      <c r="M922" s="5">
        <f t="shared" si="110"/>
        <v>2012</v>
      </c>
    </row>
    <row r="923" spans="1:13" ht="17.45" customHeight="1" x14ac:dyDescent="0.25">
      <c r="A923" s="1">
        <f>DATE(2012,1,21)</f>
        <v>40929</v>
      </c>
      <c r="B923" t="s">
        <v>13</v>
      </c>
      <c r="C923" t="s">
        <v>9</v>
      </c>
      <c r="D923" s="3">
        <v>496.76249999999999</v>
      </c>
      <c r="E923" s="3">
        <v>0</v>
      </c>
      <c r="F923" t="s">
        <v>45</v>
      </c>
      <c r="G923" s="3">
        <f t="shared" si="104"/>
        <v>-496.76249999999999</v>
      </c>
      <c r="H923" s="3">
        <f t="shared" si="105"/>
        <v>496.76249999999999</v>
      </c>
      <c r="I923" s="5" t="str">
        <f t="shared" si="106"/>
        <v>016</v>
      </c>
      <c r="J923" s="5" t="str">
        <f t="shared" si="107"/>
        <v>2220</v>
      </c>
      <c r="K923" s="5" t="str">
        <f t="shared" si="108"/>
        <v>000</v>
      </c>
      <c r="L923" s="5">
        <f t="shared" si="109"/>
        <v>1</v>
      </c>
      <c r="M923" s="5">
        <f t="shared" si="110"/>
        <v>2012</v>
      </c>
    </row>
    <row r="924" spans="1:13" ht="17.45" customHeight="1" x14ac:dyDescent="0.25">
      <c r="A924" s="1">
        <f>DATE(2012,1,21)</f>
        <v>40929</v>
      </c>
      <c r="B924" t="s">
        <v>14</v>
      </c>
      <c r="C924" t="s">
        <v>10</v>
      </c>
      <c r="D924" s="3">
        <v>429.95599999999996</v>
      </c>
      <c r="E924" s="3">
        <v>0</v>
      </c>
      <c r="F924" t="s">
        <v>45</v>
      </c>
      <c r="G924" s="3">
        <f t="shared" si="104"/>
        <v>-429.95599999999996</v>
      </c>
      <c r="H924" s="3">
        <f t="shared" si="105"/>
        <v>429.95599999999996</v>
      </c>
      <c r="I924" s="5" t="str">
        <f t="shared" si="106"/>
        <v>016</v>
      </c>
      <c r="J924" s="5" t="str">
        <f t="shared" si="107"/>
        <v>2230</v>
      </c>
      <c r="K924" s="5" t="str">
        <f t="shared" si="108"/>
        <v>000</v>
      </c>
      <c r="L924" s="5">
        <f t="shared" si="109"/>
        <v>1</v>
      </c>
      <c r="M924" s="5">
        <f t="shared" si="110"/>
        <v>2012</v>
      </c>
    </row>
    <row r="925" spans="1:13" ht="17.45" customHeight="1" x14ac:dyDescent="0.25">
      <c r="A925" s="1">
        <f>DATE(2012,1,22)</f>
        <v>40930</v>
      </c>
      <c r="B925" t="s">
        <v>11</v>
      </c>
      <c r="C925" t="s">
        <v>6</v>
      </c>
      <c r="D925" s="3">
        <v>4618.8420999999998</v>
      </c>
      <c r="E925" s="3">
        <v>0</v>
      </c>
      <c r="F925" t="s">
        <v>45</v>
      </c>
      <c r="G925" s="3">
        <f t="shared" si="104"/>
        <v>-4618.8420999999998</v>
      </c>
      <c r="H925" s="3">
        <f t="shared" si="105"/>
        <v>4618.8420999999998</v>
      </c>
      <c r="I925" s="5" t="str">
        <f t="shared" si="106"/>
        <v>016</v>
      </c>
      <c r="J925" s="5" t="str">
        <f t="shared" si="107"/>
        <v>2100</v>
      </c>
      <c r="K925" s="5" t="str">
        <f t="shared" si="108"/>
        <v>000</v>
      </c>
      <c r="L925" s="5">
        <f t="shared" si="109"/>
        <v>1</v>
      </c>
      <c r="M925" s="5">
        <f t="shared" si="110"/>
        <v>2012</v>
      </c>
    </row>
    <row r="926" spans="1:13" ht="17.45" customHeight="1" x14ac:dyDescent="0.25">
      <c r="A926" s="1">
        <f>DATE(2012,1,22)</f>
        <v>40930</v>
      </c>
      <c r="B926" t="s">
        <v>12</v>
      </c>
      <c r="C926" t="s">
        <v>8</v>
      </c>
      <c r="D926" s="3">
        <v>1430.3979999999999</v>
      </c>
      <c r="E926" s="3">
        <v>0</v>
      </c>
      <c r="F926" t="s">
        <v>45</v>
      </c>
      <c r="G926" s="3">
        <f t="shared" si="104"/>
        <v>-1430.3979999999999</v>
      </c>
      <c r="H926" s="3">
        <f t="shared" si="105"/>
        <v>1430.3979999999999</v>
      </c>
      <c r="I926" s="5" t="str">
        <f t="shared" si="106"/>
        <v>016</v>
      </c>
      <c r="J926" s="5" t="str">
        <f t="shared" si="107"/>
        <v>2210</v>
      </c>
      <c r="K926" s="5" t="str">
        <f t="shared" si="108"/>
        <v>000</v>
      </c>
      <c r="L926" s="5">
        <f t="shared" si="109"/>
        <v>1</v>
      </c>
      <c r="M926" s="5">
        <f t="shared" si="110"/>
        <v>2012</v>
      </c>
    </row>
    <row r="927" spans="1:13" ht="17.45" customHeight="1" x14ac:dyDescent="0.25">
      <c r="A927" s="1">
        <f>DATE(2012,1,22)</f>
        <v>40930</v>
      </c>
      <c r="B927" t="s">
        <v>13</v>
      </c>
      <c r="C927" t="s">
        <v>9</v>
      </c>
      <c r="D927" s="3">
        <v>167.71949999999998</v>
      </c>
      <c r="E927" s="3">
        <v>0</v>
      </c>
      <c r="F927" t="s">
        <v>45</v>
      </c>
      <c r="G927" s="3">
        <f t="shared" si="104"/>
        <v>-167.71949999999998</v>
      </c>
      <c r="H927" s="3">
        <f t="shared" si="105"/>
        <v>167.71949999999998</v>
      </c>
      <c r="I927" s="5" t="str">
        <f t="shared" si="106"/>
        <v>016</v>
      </c>
      <c r="J927" s="5" t="str">
        <f t="shared" si="107"/>
        <v>2220</v>
      </c>
      <c r="K927" s="5" t="str">
        <f t="shared" si="108"/>
        <v>000</v>
      </c>
      <c r="L927" s="5">
        <f t="shared" si="109"/>
        <v>1</v>
      </c>
      <c r="M927" s="5">
        <f t="shared" si="110"/>
        <v>2012</v>
      </c>
    </row>
    <row r="928" spans="1:13" ht="17.45" customHeight="1" x14ac:dyDescent="0.25">
      <c r="A928" s="1">
        <f>DATE(2012,1,22)</f>
        <v>40930</v>
      </c>
      <c r="B928" t="s">
        <v>14</v>
      </c>
      <c r="C928" t="s">
        <v>10</v>
      </c>
      <c r="D928" s="3">
        <v>101.75200000000001</v>
      </c>
      <c r="E928" s="3">
        <v>0</v>
      </c>
      <c r="F928" t="s">
        <v>45</v>
      </c>
      <c r="G928" s="3">
        <f t="shared" si="104"/>
        <v>-101.75200000000001</v>
      </c>
      <c r="H928" s="3">
        <f t="shared" si="105"/>
        <v>101.75200000000001</v>
      </c>
      <c r="I928" s="5" t="str">
        <f t="shared" si="106"/>
        <v>016</v>
      </c>
      <c r="J928" s="5" t="str">
        <f t="shared" si="107"/>
        <v>2230</v>
      </c>
      <c r="K928" s="5" t="str">
        <f t="shared" si="108"/>
        <v>000</v>
      </c>
      <c r="L928" s="5">
        <f t="shared" si="109"/>
        <v>1</v>
      </c>
      <c r="M928" s="5">
        <f t="shared" si="110"/>
        <v>2012</v>
      </c>
    </row>
    <row r="929" spans="1:13" ht="17.45" customHeight="1" x14ac:dyDescent="0.25">
      <c r="A929" s="1">
        <f>DATE(2012,1,16)</f>
        <v>40924</v>
      </c>
      <c r="B929" t="s">
        <v>15</v>
      </c>
      <c r="C929" t="s">
        <v>6</v>
      </c>
      <c r="D929" s="3">
        <v>3770.6680000000001</v>
      </c>
      <c r="E929" s="3">
        <v>0</v>
      </c>
      <c r="F929" t="s">
        <v>45</v>
      </c>
      <c r="G929" s="3">
        <f t="shared" si="104"/>
        <v>-3770.6680000000001</v>
      </c>
      <c r="H929" s="3">
        <f t="shared" si="105"/>
        <v>3770.6680000000001</v>
      </c>
      <c r="I929" s="5" t="str">
        <f t="shared" si="106"/>
        <v>017</v>
      </c>
      <c r="J929" s="5" t="str">
        <f t="shared" si="107"/>
        <v>2100</v>
      </c>
      <c r="K929" s="5" t="str">
        <f t="shared" si="108"/>
        <v>000</v>
      </c>
      <c r="L929" s="5">
        <f t="shared" si="109"/>
        <v>1</v>
      </c>
      <c r="M929" s="5">
        <f t="shared" si="110"/>
        <v>2012</v>
      </c>
    </row>
    <row r="930" spans="1:13" ht="17.45" customHeight="1" x14ac:dyDescent="0.25">
      <c r="A930" s="1">
        <f>DATE(2012,1,16)</f>
        <v>40924</v>
      </c>
      <c r="B930" t="s">
        <v>16</v>
      </c>
      <c r="C930" t="s">
        <v>8</v>
      </c>
      <c r="D930" s="3">
        <v>632.66999999999996</v>
      </c>
      <c r="E930" s="3">
        <v>0</v>
      </c>
      <c r="F930" t="s">
        <v>45</v>
      </c>
      <c r="G930" s="3">
        <f t="shared" si="104"/>
        <v>-632.66999999999996</v>
      </c>
      <c r="H930" s="3">
        <f t="shared" si="105"/>
        <v>632.66999999999996</v>
      </c>
      <c r="I930" s="5" t="str">
        <f t="shared" si="106"/>
        <v>017</v>
      </c>
      <c r="J930" s="5" t="str">
        <f t="shared" si="107"/>
        <v>2210</v>
      </c>
      <c r="K930" s="5" t="str">
        <f t="shared" si="108"/>
        <v>000</v>
      </c>
      <c r="L930" s="5">
        <f t="shared" si="109"/>
        <v>1</v>
      </c>
      <c r="M930" s="5">
        <f t="shared" si="110"/>
        <v>2012</v>
      </c>
    </row>
    <row r="931" spans="1:13" ht="17.45" customHeight="1" x14ac:dyDescent="0.25">
      <c r="A931" s="1">
        <f>DATE(2012,1,16)</f>
        <v>40924</v>
      </c>
      <c r="B931" t="s">
        <v>17</v>
      </c>
      <c r="C931" t="s">
        <v>9</v>
      </c>
      <c r="D931" s="3">
        <v>203.4</v>
      </c>
      <c r="E931" s="3">
        <v>0</v>
      </c>
      <c r="F931" t="s">
        <v>45</v>
      </c>
      <c r="G931" s="3">
        <f t="shared" si="104"/>
        <v>-203.4</v>
      </c>
      <c r="H931" s="3">
        <f t="shared" si="105"/>
        <v>203.4</v>
      </c>
      <c r="I931" s="5" t="str">
        <f t="shared" si="106"/>
        <v>017</v>
      </c>
      <c r="J931" s="5" t="str">
        <f t="shared" si="107"/>
        <v>2220</v>
      </c>
      <c r="K931" s="5" t="str">
        <f t="shared" si="108"/>
        <v>000</v>
      </c>
      <c r="L931" s="5">
        <f t="shared" si="109"/>
        <v>1</v>
      </c>
      <c r="M931" s="5">
        <f t="shared" si="110"/>
        <v>2012</v>
      </c>
    </row>
    <row r="932" spans="1:13" ht="17.45" customHeight="1" x14ac:dyDescent="0.25">
      <c r="A932" s="1">
        <f>DATE(2012,1,16)</f>
        <v>40924</v>
      </c>
      <c r="B932" t="s">
        <v>18</v>
      </c>
      <c r="C932" t="s">
        <v>10</v>
      </c>
      <c r="D932" s="3">
        <v>30.695</v>
      </c>
      <c r="E932" s="3">
        <v>0</v>
      </c>
      <c r="F932" t="s">
        <v>45</v>
      </c>
      <c r="G932" s="3">
        <f t="shared" si="104"/>
        <v>-30.695</v>
      </c>
      <c r="H932" s="3">
        <f t="shared" si="105"/>
        <v>30.695</v>
      </c>
      <c r="I932" s="5" t="str">
        <f t="shared" si="106"/>
        <v>017</v>
      </c>
      <c r="J932" s="5" t="str">
        <f t="shared" si="107"/>
        <v>2230</v>
      </c>
      <c r="K932" s="5" t="str">
        <f t="shared" si="108"/>
        <v>000</v>
      </c>
      <c r="L932" s="5">
        <f t="shared" si="109"/>
        <v>1</v>
      </c>
      <c r="M932" s="5">
        <f t="shared" si="110"/>
        <v>2012</v>
      </c>
    </row>
    <row r="933" spans="1:13" ht="17.45" customHeight="1" x14ac:dyDescent="0.25">
      <c r="A933" s="1">
        <f>DATE(2012,1,17)</f>
        <v>40925</v>
      </c>
      <c r="B933" t="s">
        <v>15</v>
      </c>
      <c r="C933" t="s">
        <v>6</v>
      </c>
      <c r="D933" s="3">
        <v>4373.9324999999999</v>
      </c>
      <c r="E933" s="3">
        <v>0</v>
      </c>
      <c r="F933" t="s">
        <v>45</v>
      </c>
      <c r="G933" s="3">
        <f t="shared" si="104"/>
        <v>-4373.9324999999999</v>
      </c>
      <c r="H933" s="3">
        <f t="shared" si="105"/>
        <v>4373.9324999999999</v>
      </c>
      <c r="I933" s="5" t="str">
        <f t="shared" si="106"/>
        <v>017</v>
      </c>
      <c r="J933" s="5" t="str">
        <f t="shared" si="107"/>
        <v>2100</v>
      </c>
      <c r="K933" s="5" t="str">
        <f t="shared" si="108"/>
        <v>000</v>
      </c>
      <c r="L933" s="5">
        <f t="shared" si="109"/>
        <v>1</v>
      </c>
      <c r="M933" s="5">
        <f t="shared" si="110"/>
        <v>2012</v>
      </c>
    </row>
    <row r="934" spans="1:13" ht="17.45" customHeight="1" x14ac:dyDescent="0.25">
      <c r="A934" s="1">
        <f>DATE(2012,1,17)</f>
        <v>40925</v>
      </c>
      <c r="B934" t="s">
        <v>16</v>
      </c>
      <c r="C934" t="s">
        <v>8</v>
      </c>
      <c r="D934" s="3">
        <v>848.08749999999998</v>
      </c>
      <c r="E934" s="3">
        <v>0</v>
      </c>
      <c r="F934" t="s">
        <v>45</v>
      </c>
      <c r="G934" s="3">
        <f t="shared" si="104"/>
        <v>-848.08749999999998</v>
      </c>
      <c r="H934" s="3">
        <f t="shared" si="105"/>
        <v>848.08749999999998</v>
      </c>
      <c r="I934" s="5" t="str">
        <f t="shared" si="106"/>
        <v>017</v>
      </c>
      <c r="J934" s="5" t="str">
        <f t="shared" si="107"/>
        <v>2210</v>
      </c>
      <c r="K934" s="5" t="str">
        <f t="shared" si="108"/>
        <v>000</v>
      </c>
      <c r="L934" s="5">
        <f t="shared" si="109"/>
        <v>1</v>
      </c>
      <c r="M934" s="5">
        <f t="shared" si="110"/>
        <v>2012</v>
      </c>
    </row>
    <row r="935" spans="1:13" ht="17.45" customHeight="1" x14ac:dyDescent="0.25">
      <c r="A935" s="1">
        <f>DATE(2012,1,17)</f>
        <v>40925</v>
      </c>
      <c r="B935" t="s">
        <v>17</v>
      </c>
      <c r="C935" t="s">
        <v>9</v>
      </c>
      <c r="D935" s="3">
        <v>431.05500000000001</v>
      </c>
      <c r="E935" s="3">
        <v>0</v>
      </c>
      <c r="F935" t="s">
        <v>45</v>
      </c>
      <c r="G935" s="3">
        <f t="shared" si="104"/>
        <v>-431.05500000000001</v>
      </c>
      <c r="H935" s="3">
        <f t="shared" si="105"/>
        <v>431.05500000000001</v>
      </c>
      <c r="I935" s="5" t="str">
        <f t="shared" si="106"/>
        <v>017</v>
      </c>
      <c r="J935" s="5" t="str">
        <f t="shared" si="107"/>
        <v>2220</v>
      </c>
      <c r="K935" s="5" t="str">
        <f t="shared" si="108"/>
        <v>000</v>
      </c>
      <c r="L935" s="5">
        <f t="shared" si="109"/>
        <v>1</v>
      </c>
      <c r="M935" s="5">
        <f t="shared" si="110"/>
        <v>2012</v>
      </c>
    </row>
    <row r="936" spans="1:13" ht="17.45" customHeight="1" x14ac:dyDescent="0.25">
      <c r="A936" s="1">
        <f>DATE(2012,1,17)</f>
        <v>40925</v>
      </c>
      <c r="B936" t="s">
        <v>18</v>
      </c>
      <c r="C936" t="s">
        <v>10</v>
      </c>
      <c r="D936" s="3">
        <v>158.0325</v>
      </c>
      <c r="E936" s="3">
        <v>0</v>
      </c>
      <c r="F936" t="s">
        <v>45</v>
      </c>
      <c r="G936" s="3">
        <f t="shared" si="104"/>
        <v>-158.0325</v>
      </c>
      <c r="H936" s="3">
        <f t="shared" si="105"/>
        <v>158.0325</v>
      </c>
      <c r="I936" s="5" t="str">
        <f t="shared" si="106"/>
        <v>017</v>
      </c>
      <c r="J936" s="5" t="str">
        <f t="shared" si="107"/>
        <v>2230</v>
      </c>
      <c r="K936" s="5" t="str">
        <f t="shared" si="108"/>
        <v>000</v>
      </c>
      <c r="L936" s="5">
        <f t="shared" si="109"/>
        <v>1</v>
      </c>
      <c r="M936" s="5">
        <f t="shared" si="110"/>
        <v>2012</v>
      </c>
    </row>
    <row r="937" spans="1:13" ht="17.45" customHeight="1" x14ac:dyDescent="0.25">
      <c r="A937" s="1">
        <f>DATE(2012,1,18)</f>
        <v>40926</v>
      </c>
      <c r="B937" t="s">
        <v>15</v>
      </c>
      <c r="C937" t="s">
        <v>6</v>
      </c>
      <c r="D937" s="3">
        <v>4561.3710000000001</v>
      </c>
      <c r="E937" s="3">
        <v>0</v>
      </c>
      <c r="F937" t="s">
        <v>45</v>
      </c>
      <c r="G937" s="3">
        <f t="shared" si="104"/>
        <v>-4561.3710000000001</v>
      </c>
      <c r="H937" s="3">
        <f t="shared" si="105"/>
        <v>4561.3710000000001</v>
      </c>
      <c r="I937" s="5" t="str">
        <f t="shared" si="106"/>
        <v>017</v>
      </c>
      <c r="J937" s="5" t="str">
        <f t="shared" si="107"/>
        <v>2100</v>
      </c>
      <c r="K937" s="5" t="str">
        <f t="shared" si="108"/>
        <v>000</v>
      </c>
      <c r="L937" s="5">
        <f t="shared" si="109"/>
        <v>1</v>
      </c>
      <c r="M937" s="5">
        <f t="shared" si="110"/>
        <v>2012</v>
      </c>
    </row>
    <row r="938" spans="1:13" ht="17.45" customHeight="1" x14ac:dyDescent="0.25">
      <c r="A938" s="1">
        <f>DATE(2012,1,18)</f>
        <v>40926</v>
      </c>
      <c r="B938" t="s">
        <v>16</v>
      </c>
      <c r="C938" t="s">
        <v>8</v>
      </c>
      <c r="D938" s="3">
        <v>1555.9839999999999</v>
      </c>
      <c r="E938" s="3">
        <v>0</v>
      </c>
      <c r="F938" t="s">
        <v>45</v>
      </c>
      <c r="G938" s="3">
        <f t="shared" si="104"/>
        <v>-1555.9839999999999</v>
      </c>
      <c r="H938" s="3">
        <f t="shared" si="105"/>
        <v>1555.9839999999999</v>
      </c>
      <c r="I938" s="5" t="str">
        <f t="shared" si="106"/>
        <v>017</v>
      </c>
      <c r="J938" s="5" t="str">
        <f t="shared" si="107"/>
        <v>2210</v>
      </c>
      <c r="K938" s="5" t="str">
        <f t="shared" si="108"/>
        <v>000</v>
      </c>
      <c r="L938" s="5">
        <f t="shared" si="109"/>
        <v>1</v>
      </c>
      <c r="M938" s="5">
        <f t="shared" si="110"/>
        <v>2012</v>
      </c>
    </row>
    <row r="939" spans="1:13" ht="17.45" customHeight="1" x14ac:dyDescent="0.25">
      <c r="A939" s="1">
        <f>DATE(2012,1,18)</f>
        <v>40926</v>
      </c>
      <c r="B939" t="s">
        <v>17</v>
      </c>
      <c r="C939" t="s">
        <v>9</v>
      </c>
      <c r="D939" s="3">
        <v>569.4375</v>
      </c>
      <c r="E939" s="3">
        <v>0</v>
      </c>
      <c r="F939" t="s">
        <v>45</v>
      </c>
      <c r="G939" s="3">
        <f t="shared" si="104"/>
        <v>-569.4375</v>
      </c>
      <c r="H939" s="3">
        <f t="shared" si="105"/>
        <v>569.4375</v>
      </c>
      <c r="I939" s="5" t="str">
        <f t="shared" si="106"/>
        <v>017</v>
      </c>
      <c r="J939" s="5" t="str">
        <f t="shared" si="107"/>
        <v>2220</v>
      </c>
      <c r="K939" s="5" t="str">
        <f t="shared" si="108"/>
        <v>000</v>
      </c>
      <c r="L939" s="5">
        <f t="shared" si="109"/>
        <v>1</v>
      </c>
      <c r="M939" s="5">
        <f t="shared" si="110"/>
        <v>2012</v>
      </c>
    </row>
    <row r="940" spans="1:13" ht="17.45" customHeight="1" x14ac:dyDescent="0.25">
      <c r="A940" s="1">
        <f>DATE(2012,1,18)</f>
        <v>40926</v>
      </c>
      <c r="B940" t="s">
        <v>18</v>
      </c>
      <c r="C940" t="s">
        <v>10</v>
      </c>
      <c r="D940" s="3">
        <v>204.68</v>
      </c>
      <c r="E940" s="3">
        <v>0</v>
      </c>
      <c r="F940" t="s">
        <v>45</v>
      </c>
      <c r="G940" s="3">
        <f t="shared" si="104"/>
        <v>-204.68</v>
      </c>
      <c r="H940" s="3">
        <f t="shared" si="105"/>
        <v>204.68</v>
      </c>
      <c r="I940" s="5" t="str">
        <f t="shared" si="106"/>
        <v>017</v>
      </c>
      <c r="J940" s="5" t="str">
        <f t="shared" si="107"/>
        <v>2230</v>
      </c>
      <c r="K940" s="5" t="str">
        <f t="shared" si="108"/>
        <v>000</v>
      </c>
      <c r="L940" s="5">
        <f t="shared" si="109"/>
        <v>1</v>
      </c>
      <c r="M940" s="5">
        <f t="shared" si="110"/>
        <v>2012</v>
      </c>
    </row>
    <row r="941" spans="1:13" ht="17.45" customHeight="1" x14ac:dyDescent="0.25">
      <c r="A941" s="1">
        <f>DATE(2012,1,19)</f>
        <v>40927</v>
      </c>
      <c r="B941" t="s">
        <v>15</v>
      </c>
      <c r="C941" t="s">
        <v>6</v>
      </c>
      <c r="D941" s="3">
        <v>6204.4079999999994</v>
      </c>
      <c r="E941" s="3">
        <v>0</v>
      </c>
      <c r="F941" t="s">
        <v>45</v>
      </c>
      <c r="G941" s="3">
        <f t="shared" si="104"/>
        <v>-6204.4079999999994</v>
      </c>
      <c r="H941" s="3">
        <f t="shared" si="105"/>
        <v>6204.4079999999994</v>
      </c>
      <c r="I941" s="5" t="str">
        <f t="shared" si="106"/>
        <v>017</v>
      </c>
      <c r="J941" s="5" t="str">
        <f t="shared" si="107"/>
        <v>2100</v>
      </c>
      <c r="K941" s="5" t="str">
        <f t="shared" si="108"/>
        <v>000</v>
      </c>
      <c r="L941" s="5">
        <f t="shared" si="109"/>
        <v>1</v>
      </c>
      <c r="M941" s="5">
        <f t="shared" si="110"/>
        <v>2012</v>
      </c>
    </row>
    <row r="942" spans="1:13" ht="17.45" customHeight="1" x14ac:dyDescent="0.25">
      <c r="A942" s="1">
        <f>DATE(2012,1,19)</f>
        <v>40927</v>
      </c>
      <c r="B942" t="s">
        <v>16</v>
      </c>
      <c r="C942" t="s">
        <v>8</v>
      </c>
      <c r="D942" s="3">
        <v>1178.5635</v>
      </c>
      <c r="E942" s="3">
        <v>0</v>
      </c>
      <c r="F942" t="s">
        <v>45</v>
      </c>
      <c r="G942" s="3">
        <f t="shared" si="104"/>
        <v>-1178.5635</v>
      </c>
      <c r="H942" s="3">
        <f t="shared" si="105"/>
        <v>1178.5635</v>
      </c>
      <c r="I942" s="5" t="str">
        <f t="shared" si="106"/>
        <v>017</v>
      </c>
      <c r="J942" s="5" t="str">
        <f t="shared" si="107"/>
        <v>2210</v>
      </c>
      <c r="K942" s="5" t="str">
        <f t="shared" si="108"/>
        <v>000</v>
      </c>
      <c r="L942" s="5">
        <f t="shared" si="109"/>
        <v>1</v>
      </c>
      <c r="M942" s="5">
        <f t="shared" si="110"/>
        <v>2012</v>
      </c>
    </row>
    <row r="943" spans="1:13" ht="17.45" customHeight="1" x14ac:dyDescent="0.25">
      <c r="A943" s="1">
        <f>DATE(2012,1,19)</f>
        <v>40927</v>
      </c>
      <c r="B943" t="s">
        <v>17</v>
      </c>
      <c r="C943" t="s">
        <v>9</v>
      </c>
      <c r="D943" s="3">
        <v>489.14249999999998</v>
      </c>
      <c r="E943" s="3">
        <v>0</v>
      </c>
      <c r="F943" t="s">
        <v>45</v>
      </c>
      <c r="G943" s="3">
        <f t="shared" si="104"/>
        <v>-489.14249999999998</v>
      </c>
      <c r="H943" s="3">
        <f t="shared" si="105"/>
        <v>489.14249999999998</v>
      </c>
      <c r="I943" s="5" t="str">
        <f t="shared" si="106"/>
        <v>017</v>
      </c>
      <c r="J943" s="5" t="str">
        <f t="shared" si="107"/>
        <v>2220</v>
      </c>
      <c r="K943" s="5" t="str">
        <f t="shared" si="108"/>
        <v>000</v>
      </c>
      <c r="L943" s="5">
        <f t="shared" si="109"/>
        <v>1</v>
      </c>
      <c r="M943" s="5">
        <f t="shared" si="110"/>
        <v>2012</v>
      </c>
    </row>
    <row r="944" spans="1:13" ht="17.45" customHeight="1" x14ac:dyDescent="0.25">
      <c r="A944" s="1">
        <f>DATE(2012,1,19)</f>
        <v>40927</v>
      </c>
      <c r="B944" t="s">
        <v>18</v>
      </c>
      <c r="C944" t="s">
        <v>10</v>
      </c>
      <c r="D944" s="3">
        <v>90.65</v>
      </c>
      <c r="E944" s="3">
        <v>0</v>
      </c>
      <c r="F944" t="s">
        <v>45</v>
      </c>
      <c r="G944" s="3">
        <f t="shared" si="104"/>
        <v>-90.65</v>
      </c>
      <c r="H944" s="3">
        <f t="shared" si="105"/>
        <v>90.65</v>
      </c>
      <c r="I944" s="5" t="str">
        <f t="shared" si="106"/>
        <v>017</v>
      </c>
      <c r="J944" s="5" t="str">
        <f t="shared" si="107"/>
        <v>2230</v>
      </c>
      <c r="K944" s="5" t="str">
        <f t="shared" si="108"/>
        <v>000</v>
      </c>
      <c r="L944" s="5">
        <f t="shared" si="109"/>
        <v>1</v>
      </c>
      <c r="M944" s="5">
        <f t="shared" si="110"/>
        <v>2012</v>
      </c>
    </row>
    <row r="945" spans="1:13" ht="17.45" customHeight="1" x14ac:dyDescent="0.25">
      <c r="A945" s="1">
        <f>DATE(2012,1,20)</f>
        <v>40928</v>
      </c>
      <c r="B945" t="s">
        <v>15</v>
      </c>
      <c r="C945" t="s">
        <v>6</v>
      </c>
      <c r="D945" s="3">
        <v>8536.99</v>
      </c>
      <c r="E945" s="3">
        <v>0</v>
      </c>
      <c r="F945" t="s">
        <v>45</v>
      </c>
      <c r="G945" s="3">
        <f t="shared" si="104"/>
        <v>-8536.99</v>
      </c>
      <c r="H945" s="3">
        <f t="shared" si="105"/>
        <v>8536.99</v>
      </c>
      <c r="I945" s="5" t="str">
        <f t="shared" si="106"/>
        <v>017</v>
      </c>
      <c r="J945" s="5" t="str">
        <f t="shared" si="107"/>
        <v>2100</v>
      </c>
      <c r="K945" s="5" t="str">
        <f t="shared" si="108"/>
        <v>000</v>
      </c>
      <c r="L945" s="5">
        <f t="shared" si="109"/>
        <v>1</v>
      </c>
      <c r="M945" s="5">
        <f t="shared" si="110"/>
        <v>2012</v>
      </c>
    </row>
    <row r="946" spans="1:13" ht="17.45" customHeight="1" x14ac:dyDescent="0.25">
      <c r="A946" s="1">
        <f>DATE(2012,1,20)</f>
        <v>40928</v>
      </c>
      <c r="B946" t="s">
        <v>16</v>
      </c>
      <c r="C946" t="s">
        <v>8</v>
      </c>
      <c r="D946" s="3">
        <v>2859.1349999999998</v>
      </c>
      <c r="E946" s="3">
        <v>0</v>
      </c>
      <c r="F946" t="s">
        <v>45</v>
      </c>
      <c r="G946" s="3">
        <f t="shared" si="104"/>
        <v>-2859.1349999999998</v>
      </c>
      <c r="H946" s="3">
        <f t="shared" si="105"/>
        <v>2859.1349999999998</v>
      </c>
      <c r="I946" s="5" t="str">
        <f t="shared" si="106"/>
        <v>017</v>
      </c>
      <c r="J946" s="5" t="str">
        <f t="shared" si="107"/>
        <v>2210</v>
      </c>
      <c r="K946" s="5" t="str">
        <f t="shared" si="108"/>
        <v>000</v>
      </c>
      <c r="L946" s="5">
        <f t="shared" si="109"/>
        <v>1</v>
      </c>
      <c r="M946" s="5">
        <f t="shared" si="110"/>
        <v>2012</v>
      </c>
    </row>
    <row r="947" spans="1:13" ht="17.45" customHeight="1" x14ac:dyDescent="0.25">
      <c r="A947" s="1">
        <f>DATE(2012,1,20)</f>
        <v>40928</v>
      </c>
      <c r="B947" t="s">
        <v>17</v>
      </c>
      <c r="C947" t="s">
        <v>9</v>
      </c>
      <c r="D947" s="3">
        <v>696.18</v>
      </c>
      <c r="E947" s="3">
        <v>0</v>
      </c>
      <c r="F947" t="s">
        <v>45</v>
      </c>
      <c r="G947" s="3">
        <f t="shared" si="104"/>
        <v>-696.18</v>
      </c>
      <c r="H947" s="3">
        <f t="shared" si="105"/>
        <v>696.18</v>
      </c>
      <c r="I947" s="5" t="str">
        <f t="shared" si="106"/>
        <v>017</v>
      </c>
      <c r="J947" s="5" t="str">
        <f t="shared" si="107"/>
        <v>2220</v>
      </c>
      <c r="K947" s="5" t="str">
        <f t="shared" si="108"/>
        <v>000</v>
      </c>
      <c r="L947" s="5">
        <f t="shared" si="109"/>
        <v>1</v>
      </c>
      <c r="M947" s="5">
        <f t="shared" si="110"/>
        <v>2012</v>
      </c>
    </row>
    <row r="948" spans="1:13" ht="17.45" customHeight="1" x14ac:dyDescent="0.25">
      <c r="A948" s="1">
        <f>DATE(2012,1,20)</f>
        <v>40928</v>
      </c>
      <c r="B948" t="s">
        <v>18</v>
      </c>
      <c r="C948" t="s">
        <v>10</v>
      </c>
      <c r="D948" s="3">
        <v>217.04000000000002</v>
      </c>
      <c r="E948" s="3">
        <v>0</v>
      </c>
      <c r="F948" t="s">
        <v>45</v>
      </c>
      <c r="G948" s="3">
        <f t="shared" si="104"/>
        <v>-217.04000000000002</v>
      </c>
      <c r="H948" s="3">
        <f t="shared" si="105"/>
        <v>217.04000000000002</v>
      </c>
      <c r="I948" s="5" t="str">
        <f t="shared" si="106"/>
        <v>017</v>
      </c>
      <c r="J948" s="5" t="str">
        <f t="shared" si="107"/>
        <v>2230</v>
      </c>
      <c r="K948" s="5" t="str">
        <f t="shared" si="108"/>
        <v>000</v>
      </c>
      <c r="L948" s="5">
        <f t="shared" si="109"/>
        <v>1</v>
      </c>
      <c r="M948" s="5">
        <f t="shared" si="110"/>
        <v>2012</v>
      </c>
    </row>
    <row r="949" spans="1:13" ht="17.45" customHeight="1" x14ac:dyDescent="0.25">
      <c r="A949" s="1">
        <f>DATE(2012,1,21)</f>
        <v>40929</v>
      </c>
      <c r="B949" t="s">
        <v>15</v>
      </c>
      <c r="C949" t="s">
        <v>6</v>
      </c>
      <c r="D949" s="3">
        <v>5267.1954999999998</v>
      </c>
      <c r="E949" s="3">
        <v>0</v>
      </c>
      <c r="F949" t="s">
        <v>45</v>
      </c>
      <c r="G949" s="3">
        <f t="shared" si="104"/>
        <v>-5267.1954999999998</v>
      </c>
      <c r="H949" s="3">
        <f t="shared" si="105"/>
        <v>5267.1954999999998</v>
      </c>
      <c r="I949" s="5" t="str">
        <f t="shared" si="106"/>
        <v>017</v>
      </c>
      <c r="J949" s="5" t="str">
        <f t="shared" si="107"/>
        <v>2100</v>
      </c>
      <c r="K949" s="5" t="str">
        <f t="shared" si="108"/>
        <v>000</v>
      </c>
      <c r="L949" s="5">
        <f t="shared" si="109"/>
        <v>1</v>
      </c>
      <c r="M949" s="5">
        <f t="shared" si="110"/>
        <v>2012</v>
      </c>
    </row>
    <row r="950" spans="1:13" ht="17.45" customHeight="1" x14ac:dyDescent="0.25">
      <c r="A950" s="1">
        <f>DATE(2012,1,21)</f>
        <v>40929</v>
      </c>
      <c r="B950" t="s">
        <v>16</v>
      </c>
      <c r="C950" t="s">
        <v>8</v>
      </c>
      <c r="D950" s="3">
        <v>1521.905</v>
      </c>
      <c r="E950" s="3">
        <v>0</v>
      </c>
      <c r="F950" t="s">
        <v>45</v>
      </c>
      <c r="G950" s="3">
        <f t="shared" si="104"/>
        <v>-1521.905</v>
      </c>
      <c r="H950" s="3">
        <f t="shared" si="105"/>
        <v>1521.905</v>
      </c>
      <c r="I950" s="5" t="str">
        <f t="shared" si="106"/>
        <v>017</v>
      </c>
      <c r="J950" s="5" t="str">
        <f t="shared" si="107"/>
        <v>2210</v>
      </c>
      <c r="K950" s="5" t="str">
        <f t="shared" si="108"/>
        <v>000</v>
      </c>
      <c r="L950" s="5">
        <f t="shared" si="109"/>
        <v>1</v>
      </c>
      <c r="M950" s="5">
        <f t="shared" si="110"/>
        <v>2012</v>
      </c>
    </row>
    <row r="951" spans="1:13" ht="17.45" customHeight="1" x14ac:dyDescent="0.25">
      <c r="A951" s="1">
        <f>DATE(2012,1,21)</f>
        <v>40929</v>
      </c>
      <c r="B951" t="s">
        <v>17</v>
      </c>
      <c r="C951" t="s">
        <v>9</v>
      </c>
      <c r="D951" s="3">
        <v>398.56</v>
      </c>
      <c r="E951" s="3">
        <v>0</v>
      </c>
      <c r="F951" t="s">
        <v>45</v>
      </c>
      <c r="G951" s="3">
        <f t="shared" si="104"/>
        <v>-398.56</v>
      </c>
      <c r="H951" s="3">
        <f t="shared" si="105"/>
        <v>398.56</v>
      </c>
      <c r="I951" s="5" t="str">
        <f t="shared" si="106"/>
        <v>017</v>
      </c>
      <c r="J951" s="5" t="str">
        <f t="shared" si="107"/>
        <v>2220</v>
      </c>
      <c r="K951" s="5" t="str">
        <f t="shared" si="108"/>
        <v>000</v>
      </c>
      <c r="L951" s="5">
        <f t="shared" si="109"/>
        <v>1</v>
      </c>
      <c r="M951" s="5">
        <f t="shared" si="110"/>
        <v>2012</v>
      </c>
    </row>
    <row r="952" spans="1:13" ht="17.45" customHeight="1" x14ac:dyDescent="0.25">
      <c r="A952" s="1">
        <f>DATE(2012,1,21)</f>
        <v>40929</v>
      </c>
      <c r="B952" t="s">
        <v>18</v>
      </c>
      <c r="C952" t="s">
        <v>10</v>
      </c>
      <c r="D952" s="3">
        <v>143.136</v>
      </c>
      <c r="E952" s="3">
        <v>0</v>
      </c>
      <c r="F952" t="s">
        <v>45</v>
      </c>
      <c r="G952" s="3">
        <f t="shared" si="104"/>
        <v>-143.136</v>
      </c>
      <c r="H952" s="3">
        <f t="shared" si="105"/>
        <v>143.136</v>
      </c>
      <c r="I952" s="5" t="str">
        <f t="shared" si="106"/>
        <v>017</v>
      </c>
      <c r="J952" s="5" t="str">
        <f t="shared" si="107"/>
        <v>2230</v>
      </c>
      <c r="K952" s="5" t="str">
        <f t="shared" si="108"/>
        <v>000</v>
      </c>
      <c r="L952" s="5">
        <f t="shared" si="109"/>
        <v>1</v>
      </c>
      <c r="M952" s="5">
        <f t="shared" si="110"/>
        <v>2012</v>
      </c>
    </row>
    <row r="953" spans="1:13" ht="17.45" customHeight="1" x14ac:dyDescent="0.25">
      <c r="A953" s="1">
        <f>DATE(2012,1,22)</f>
        <v>40930</v>
      </c>
      <c r="B953" t="s">
        <v>15</v>
      </c>
      <c r="C953" t="s">
        <v>6</v>
      </c>
      <c r="D953" s="3">
        <v>2598.0868</v>
      </c>
      <c r="E953" s="3">
        <v>0</v>
      </c>
      <c r="F953" t="s">
        <v>45</v>
      </c>
      <c r="G953" s="3">
        <f t="shared" si="104"/>
        <v>-2598.0868</v>
      </c>
      <c r="H953" s="3">
        <f t="shared" si="105"/>
        <v>2598.0868</v>
      </c>
      <c r="I953" s="5" t="str">
        <f t="shared" si="106"/>
        <v>017</v>
      </c>
      <c r="J953" s="5" t="str">
        <f t="shared" si="107"/>
        <v>2100</v>
      </c>
      <c r="K953" s="5" t="str">
        <f t="shared" si="108"/>
        <v>000</v>
      </c>
      <c r="L953" s="5">
        <f t="shared" si="109"/>
        <v>1</v>
      </c>
      <c r="M953" s="5">
        <f t="shared" si="110"/>
        <v>2012</v>
      </c>
    </row>
    <row r="954" spans="1:13" ht="17.45" customHeight="1" x14ac:dyDescent="0.25">
      <c r="A954" s="1">
        <f>DATE(2012,1,22)</f>
        <v>40930</v>
      </c>
      <c r="B954" t="s">
        <v>16</v>
      </c>
      <c r="C954" t="s">
        <v>8</v>
      </c>
      <c r="D954" s="3">
        <v>759.96800000000007</v>
      </c>
      <c r="E954" s="3">
        <v>0</v>
      </c>
      <c r="F954" t="s">
        <v>45</v>
      </c>
      <c r="G954" s="3">
        <f t="shared" si="104"/>
        <v>-759.96800000000007</v>
      </c>
      <c r="H954" s="3">
        <f t="shared" si="105"/>
        <v>759.96800000000007</v>
      </c>
      <c r="I954" s="5" t="str">
        <f t="shared" si="106"/>
        <v>017</v>
      </c>
      <c r="J954" s="5" t="str">
        <f t="shared" si="107"/>
        <v>2210</v>
      </c>
      <c r="K954" s="5" t="str">
        <f t="shared" si="108"/>
        <v>000</v>
      </c>
      <c r="L954" s="5">
        <f t="shared" si="109"/>
        <v>1</v>
      </c>
      <c r="M954" s="5">
        <f t="shared" si="110"/>
        <v>2012</v>
      </c>
    </row>
    <row r="955" spans="1:13" ht="17.45" customHeight="1" x14ac:dyDescent="0.25">
      <c r="A955" s="1">
        <f>DATE(2012,1,22)</f>
        <v>40930</v>
      </c>
      <c r="B955" t="s">
        <v>17</v>
      </c>
      <c r="C955" t="s">
        <v>9</v>
      </c>
      <c r="D955" s="3">
        <v>82.362500000000011</v>
      </c>
      <c r="E955" s="3">
        <v>0</v>
      </c>
      <c r="F955" t="s">
        <v>45</v>
      </c>
      <c r="G955" s="3">
        <f t="shared" si="104"/>
        <v>-82.362500000000011</v>
      </c>
      <c r="H955" s="3">
        <f t="shared" si="105"/>
        <v>82.362500000000011</v>
      </c>
      <c r="I955" s="5" t="str">
        <f t="shared" si="106"/>
        <v>017</v>
      </c>
      <c r="J955" s="5" t="str">
        <f t="shared" si="107"/>
        <v>2220</v>
      </c>
      <c r="K955" s="5" t="str">
        <f t="shared" si="108"/>
        <v>000</v>
      </c>
      <c r="L955" s="5">
        <f t="shared" si="109"/>
        <v>1</v>
      </c>
      <c r="M955" s="5">
        <f t="shared" si="110"/>
        <v>2012</v>
      </c>
    </row>
    <row r="956" spans="1:13" ht="17.45" customHeight="1" x14ac:dyDescent="0.25">
      <c r="A956" s="1">
        <f>DATE(2012,1,22)</f>
        <v>40930</v>
      </c>
      <c r="B956" t="s">
        <v>18</v>
      </c>
      <c r="C956" t="s">
        <v>10</v>
      </c>
      <c r="D956" s="3">
        <v>65.802000000000007</v>
      </c>
      <c r="E956" s="3">
        <v>0</v>
      </c>
      <c r="F956" t="s">
        <v>45</v>
      </c>
      <c r="G956" s="3">
        <f t="shared" si="104"/>
        <v>-65.802000000000007</v>
      </c>
      <c r="H956" s="3">
        <f t="shared" si="105"/>
        <v>65.802000000000007</v>
      </c>
      <c r="I956" s="5" t="str">
        <f t="shared" si="106"/>
        <v>017</v>
      </c>
      <c r="J956" s="5" t="str">
        <f t="shared" si="107"/>
        <v>2230</v>
      </c>
      <c r="K956" s="5" t="str">
        <f t="shared" si="108"/>
        <v>000</v>
      </c>
      <c r="L956" s="5">
        <f t="shared" si="109"/>
        <v>1</v>
      </c>
      <c r="M956" s="5">
        <f t="shared" si="110"/>
        <v>2012</v>
      </c>
    </row>
    <row r="957" spans="1:13" ht="17.45" customHeight="1" x14ac:dyDescent="0.25">
      <c r="A957" s="1">
        <f>DATE(2012,1,16)</f>
        <v>40924</v>
      </c>
      <c r="B957" t="s">
        <v>19</v>
      </c>
      <c r="C957" t="s">
        <v>6</v>
      </c>
      <c r="D957" s="3">
        <v>5733.9359999999997</v>
      </c>
      <c r="E957" s="3">
        <v>0</v>
      </c>
      <c r="F957" t="s">
        <v>45</v>
      </c>
      <c r="G957" s="3">
        <f t="shared" si="104"/>
        <v>-5733.9359999999997</v>
      </c>
      <c r="H957" s="3">
        <f t="shared" si="105"/>
        <v>5733.9359999999997</v>
      </c>
      <c r="I957" s="5" t="str">
        <f t="shared" si="106"/>
        <v>018</v>
      </c>
      <c r="J957" s="5" t="str">
        <f t="shared" si="107"/>
        <v>2100</v>
      </c>
      <c r="K957" s="5" t="str">
        <f t="shared" si="108"/>
        <v>000</v>
      </c>
      <c r="L957" s="5">
        <f t="shared" si="109"/>
        <v>1</v>
      </c>
      <c r="M957" s="5">
        <f t="shared" si="110"/>
        <v>2012</v>
      </c>
    </row>
    <row r="958" spans="1:13" ht="17.45" customHeight="1" x14ac:dyDescent="0.25">
      <c r="A958" s="1">
        <f>DATE(2012,1,16)</f>
        <v>40924</v>
      </c>
      <c r="B958" t="s">
        <v>20</v>
      </c>
      <c r="C958" t="s">
        <v>8</v>
      </c>
      <c r="D958" s="3">
        <v>677.29049999999995</v>
      </c>
      <c r="E958" s="3">
        <v>0</v>
      </c>
      <c r="F958" t="s">
        <v>45</v>
      </c>
      <c r="G958" s="3">
        <f t="shared" si="104"/>
        <v>-677.29049999999995</v>
      </c>
      <c r="H958" s="3">
        <f t="shared" si="105"/>
        <v>677.29049999999995</v>
      </c>
      <c r="I958" s="5" t="str">
        <f t="shared" si="106"/>
        <v>018</v>
      </c>
      <c r="J958" s="5" t="str">
        <f t="shared" si="107"/>
        <v>2210</v>
      </c>
      <c r="K958" s="5" t="str">
        <f t="shared" si="108"/>
        <v>000</v>
      </c>
      <c r="L958" s="5">
        <f t="shared" si="109"/>
        <v>1</v>
      </c>
      <c r="M958" s="5">
        <f t="shared" si="110"/>
        <v>2012</v>
      </c>
    </row>
    <row r="959" spans="1:13" ht="17.45" customHeight="1" x14ac:dyDescent="0.25">
      <c r="A959" s="1">
        <f>DATE(2012,1,16)</f>
        <v>40924</v>
      </c>
      <c r="B959" t="s">
        <v>21</v>
      </c>
      <c r="C959" t="s">
        <v>9</v>
      </c>
      <c r="D959" s="3">
        <v>170.80800000000002</v>
      </c>
      <c r="E959" s="3">
        <v>0</v>
      </c>
      <c r="F959" t="s">
        <v>45</v>
      </c>
      <c r="G959" s="3">
        <f t="shared" si="104"/>
        <v>-170.80800000000002</v>
      </c>
      <c r="H959" s="3">
        <f t="shared" si="105"/>
        <v>170.80800000000002</v>
      </c>
      <c r="I959" s="5" t="str">
        <f t="shared" si="106"/>
        <v>018</v>
      </c>
      <c r="J959" s="5" t="str">
        <f t="shared" si="107"/>
        <v>2220</v>
      </c>
      <c r="K959" s="5" t="str">
        <f t="shared" si="108"/>
        <v>000</v>
      </c>
      <c r="L959" s="5">
        <f t="shared" si="109"/>
        <v>1</v>
      </c>
      <c r="M959" s="5">
        <f t="shared" si="110"/>
        <v>2012</v>
      </c>
    </row>
    <row r="960" spans="1:13" ht="17.45" customHeight="1" x14ac:dyDescent="0.25">
      <c r="A960" s="1">
        <f>DATE(2012,1,16)</f>
        <v>40924</v>
      </c>
      <c r="B960" t="s">
        <v>22</v>
      </c>
      <c r="C960" t="s">
        <v>10</v>
      </c>
      <c r="D960" s="3">
        <v>53.34</v>
      </c>
      <c r="E960" s="3">
        <v>0</v>
      </c>
      <c r="F960" t="s">
        <v>45</v>
      </c>
      <c r="G960" s="3">
        <f t="shared" si="104"/>
        <v>-53.34</v>
      </c>
      <c r="H960" s="3">
        <f t="shared" si="105"/>
        <v>53.34</v>
      </c>
      <c r="I960" s="5" t="str">
        <f t="shared" si="106"/>
        <v>018</v>
      </c>
      <c r="J960" s="5" t="str">
        <f t="shared" si="107"/>
        <v>2230</v>
      </c>
      <c r="K960" s="5" t="str">
        <f t="shared" si="108"/>
        <v>000</v>
      </c>
      <c r="L960" s="5">
        <f t="shared" si="109"/>
        <v>1</v>
      </c>
      <c r="M960" s="5">
        <f t="shared" si="110"/>
        <v>2012</v>
      </c>
    </row>
    <row r="961" spans="1:13" ht="17.45" customHeight="1" x14ac:dyDescent="0.25">
      <c r="A961" s="1">
        <f>DATE(2012,1,17)</f>
        <v>40925</v>
      </c>
      <c r="B961" t="s">
        <v>19</v>
      </c>
      <c r="C961" t="s">
        <v>6</v>
      </c>
      <c r="D961" s="3">
        <v>2419.8839999999996</v>
      </c>
      <c r="E961" s="3">
        <v>0</v>
      </c>
      <c r="F961" t="s">
        <v>45</v>
      </c>
      <c r="G961" s="3">
        <f t="shared" si="104"/>
        <v>-2419.8839999999996</v>
      </c>
      <c r="H961" s="3">
        <f t="shared" si="105"/>
        <v>2419.8839999999996</v>
      </c>
      <c r="I961" s="5" t="str">
        <f t="shared" si="106"/>
        <v>018</v>
      </c>
      <c r="J961" s="5" t="str">
        <f t="shared" si="107"/>
        <v>2100</v>
      </c>
      <c r="K961" s="5" t="str">
        <f t="shared" si="108"/>
        <v>000</v>
      </c>
      <c r="L961" s="5">
        <f t="shared" si="109"/>
        <v>1</v>
      </c>
      <c r="M961" s="5">
        <f t="shared" si="110"/>
        <v>2012</v>
      </c>
    </row>
    <row r="962" spans="1:13" ht="17.45" customHeight="1" x14ac:dyDescent="0.25">
      <c r="A962" s="1">
        <f>DATE(2012,1,17)</f>
        <v>40925</v>
      </c>
      <c r="B962" t="s">
        <v>20</v>
      </c>
      <c r="C962" t="s">
        <v>8</v>
      </c>
      <c r="D962" s="3">
        <v>311.19899999999996</v>
      </c>
      <c r="E962" s="3">
        <v>0</v>
      </c>
      <c r="F962" t="s">
        <v>45</v>
      </c>
      <c r="G962" s="3">
        <f t="shared" ref="G962:G1025" si="112">E962-D962</f>
        <v>-311.19899999999996</v>
      </c>
      <c r="H962" s="3">
        <f t="shared" ref="H962:H1025" si="113">ABS(G962)</f>
        <v>311.19899999999996</v>
      </c>
      <c r="I962" s="5" t="str">
        <f t="shared" ref="I962:I1025" si="114">MID(B962,1,3)</f>
        <v>018</v>
      </c>
      <c r="J962" s="5" t="str">
        <f t="shared" ref="J962:J1025" si="115">MID(B962,5,4)</f>
        <v>2210</v>
      </c>
      <c r="K962" s="5" t="str">
        <f t="shared" ref="K962:K1025" si="116">MID(B962,10,3)</f>
        <v>000</v>
      </c>
      <c r="L962" s="5">
        <f t="shared" ref="L962:L1025" si="117">MONTH(A962)</f>
        <v>1</v>
      </c>
      <c r="M962" s="5">
        <f t="shared" ref="M962:M1025" si="118">YEAR(A962)</f>
        <v>2012</v>
      </c>
    </row>
    <row r="963" spans="1:13" ht="17.45" customHeight="1" x14ac:dyDescent="0.25">
      <c r="A963" s="1">
        <f>DATE(2012,1,17)</f>
        <v>40925</v>
      </c>
      <c r="B963" t="s">
        <v>21</v>
      </c>
      <c r="C963" t="s">
        <v>9</v>
      </c>
      <c r="D963" s="3">
        <v>91.611000000000004</v>
      </c>
      <c r="E963" s="3">
        <v>0</v>
      </c>
      <c r="F963" t="s">
        <v>45</v>
      </c>
      <c r="G963" s="3">
        <f t="shared" si="112"/>
        <v>-91.611000000000004</v>
      </c>
      <c r="H963" s="3">
        <f t="shared" si="113"/>
        <v>91.611000000000004</v>
      </c>
      <c r="I963" s="5" t="str">
        <f t="shared" si="114"/>
        <v>018</v>
      </c>
      <c r="J963" s="5" t="str">
        <f t="shared" si="115"/>
        <v>2220</v>
      </c>
      <c r="K963" s="5" t="str">
        <f t="shared" si="116"/>
        <v>000</v>
      </c>
      <c r="L963" s="5">
        <f t="shared" si="117"/>
        <v>1</v>
      </c>
      <c r="M963" s="5">
        <f t="shared" si="118"/>
        <v>2012</v>
      </c>
    </row>
    <row r="964" spans="1:13" ht="17.45" customHeight="1" x14ac:dyDescent="0.25">
      <c r="A964" s="1">
        <f>DATE(2012,1,17)</f>
        <v>40925</v>
      </c>
      <c r="B964" t="s">
        <v>22</v>
      </c>
      <c r="C964" t="s">
        <v>10</v>
      </c>
      <c r="D964" s="3">
        <v>42.769999999999996</v>
      </c>
      <c r="E964" s="3">
        <v>0</v>
      </c>
      <c r="F964" t="s">
        <v>45</v>
      </c>
      <c r="G964" s="3">
        <f t="shared" si="112"/>
        <v>-42.769999999999996</v>
      </c>
      <c r="H964" s="3">
        <f t="shared" si="113"/>
        <v>42.769999999999996</v>
      </c>
      <c r="I964" s="5" t="str">
        <f t="shared" si="114"/>
        <v>018</v>
      </c>
      <c r="J964" s="5" t="str">
        <f t="shared" si="115"/>
        <v>2230</v>
      </c>
      <c r="K964" s="5" t="str">
        <f t="shared" si="116"/>
        <v>000</v>
      </c>
      <c r="L964" s="5">
        <f t="shared" si="117"/>
        <v>1</v>
      </c>
      <c r="M964" s="5">
        <f t="shared" si="118"/>
        <v>2012</v>
      </c>
    </row>
    <row r="965" spans="1:13" ht="17.45" customHeight="1" x14ac:dyDescent="0.25">
      <c r="A965" s="1">
        <f>DATE(2012,1,18)</f>
        <v>40926</v>
      </c>
      <c r="B965" t="s">
        <v>19</v>
      </c>
      <c r="C965" t="s">
        <v>6</v>
      </c>
      <c r="D965" s="3">
        <v>3176.5584999999996</v>
      </c>
      <c r="E965" s="3">
        <v>0</v>
      </c>
      <c r="F965" t="s">
        <v>45</v>
      </c>
      <c r="G965" s="3">
        <f t="shared" si="112"/>
        <v>-3176.5584999999996</v>
      </c>
      <c r="H965" s="3">
        <f t="shared" si="113"/>
        <v>3176.5584999999996</v>
      </c>
      <c r="I965" s="5" t="str">
        <f t="shared" si="114"/>
        <v>018</v>
      </c>
      <c r="J965" s="5" t="str">
        <f t="shared" si="115"/>
        <v>2100</v>
      </c>
      <c r="K965" s="5" t="str">
        <f t="shared" si="116"/>
        <v>000</v>
      </c>
      <c r="L965" s="5">
        <f t="shared" si="117"/>
        <v>1</v>
      </c>
      <c r="M965" s="5">
        <f t="shared" si="118"/>
        <v>2012</v>
      </c>
    </row>
    <row r="966" spans="1:13" ht="17.45" customHeight="1" x14ac:dyDescent="0.25">
      <c r="A966" s="1">
        <f>DATE(2012,1,18)</f>
        <v>40926</v>
      </c>
      <c r="B966" t="s">
        <v>20</v>
      </c>
      <c r="C966" t="s">
        <v>8</v>
      </c>
      <c r="D966" s="3">
        <v>500.67600000000004</v>
      </c>
      <c r="E966" s="3">
        <v>0</v>
      </c>
      <c r="F966" t="s">
        <v>45</v>
      </c>
      <c r="G966" s="3">
        <f t="shared" si="112"/>
        <v>-500.67600000000004</v>
      </c>
      <c r="H966" s="3">
        <f t="shared" si="113"/>
        <v>500.67600000000004</v>
      </c>
      <c r="I966" s="5" t="str">
        <f t="shared" si="114"/>
        <v>018</v>
      </c>
      <c r="J966" s="5" t="str">
        <f t="shared" si="115"/>
        <v>2210</v>
      </c>
      <c r="K966" s="5" t="str">
        <f t="shared" si="116"/>
        <v>000</v>
      </c>
      <c r="L966" s="5">
        <f t="shared" si="117"/>
        <v>1</v>
      </c>
      <c r="M966" s="5">
        <f t="shared" si="118"/>
        <v>2012</v>
      </c>
    </row>
    <row r="967" spans="1:13" ht="17.45" customHeight="1" x14ac:dyDescent="0.25">
      <c r="A967" s="1">
        <f>DATE(2012,1,18)</f>
        <v>40926</v>
      </c>
      <c r="B967" t="s">
        <v>21</v>
      </c>
      <c r="C967" t="s">
        <v>9</v>
      </c>
      <c r="D967" s="3">
        <v>79.14500000000001</v>
      </c>
      <c r="E967" s="3">
        <v>0</v>
      </c>
      <c r="F967" t="s">
        <v>45</v>
      </c>
      <c r="G967" s="3">
        <f t="shared" si="112"/>
        <v>-79.14500000000001</v>
      </c>
      <c r="H967" s="3">
        <f t="shared" si="113"/>
        <v>79.14500000000001</v>
      </c>
      <c r="I967" s="5" t="str">
        <f t="shared" si="114"/>
        <v>018</v>
      </c>
      <c r="J967" s="5" t="str">
        <f t="shared" si="115"/>
        <v>2220</v>
      </c>
      <c r="K967" s="5" t="str">
        <f t="shared" si="116"/>
        <v>000</v>
      </c>
      <c r="L967" s="5">
        <f t="shared" si="117"/>
        <v>1</v>
      </c>
      <c r="M967" s="5">
        <f t="shared" si="118"/>
        <v>2012</v>
      </c>
    </row>
    <row r="968" spans="1:13" ht="17.45" customHeight="1" x14ac:dyDescent="0.25">
      <c r="A968" s="1">
        <f>DATE(2012,1,18)</f>
        <v>40926</v>
      </c>
      <c r="B968" t="s">
        <v>22</v>
      </c>
      <c r="C968" t="s">
        <v>10</v>
      </c>
      <c r="D968" s="3">
        <v>18.942</v>
      </c>
      <c r="E968" s="3">
        <v>0</v>
      </c>
      <c r="F968" t="s">
        <v>45</v>
      </c>
      <c r="G968" s="3">
        <f t="shared" si="112"/>
        <v>-18.942</v>
      </c>
      <c r="H968" s="3">
        <f t="shared" si="113"/>
        <v>18.942</v>
      </c>
      <c r="I968" s="5" t="str">
        <f t="shared" si="114"/>
        <v>018</v>
      </c>
      <c r="J968" s="5" t="str">
        <f t="shared" si="115"/>
        <v>2230</v>
      </c>
      <c r="K968" s="5" t="str">
        <f t="shared" si="116"/>
        <v>000</v>
      </c>
      <c r="L968" s="5">
        <f t="shared" si="117"/>
        <v>1</v>
      </c>
      <c r="M968" s="5">
        <f t="shared" si="118"/>
        <v>2012</v>
      </c>
    </row>
    <row r="969" spans="1:13" ht="17.45" customHeight="1" x14ac:dyDescent="0.25">
      <c r="A969" s="1">
        <f>DATE(2012,1,19)</f>
        <v>40927</v>
      </c>
      <c r="B969" t="s">
        <v>19</v>
      </c>
      <c r="C969" t="s">
        <v>6</v>
      </c>
      <c r="D969" s="3">
        <v>4375.5384000000004</v>
      </c>
      <c r="E969" s="3">
        <v>0</v>
      </c>
      <c r="F969" t="s">
        <v>45</v>
      </c>
      <c r="G969" s="3">
        <f t="shared" si="112"/>
        <v>-4375.5384000000004</v>
      </c>
      <c r="H969" s="3">
        <f t="shared" si="113"/>
        <v>4375.5384000000004</v>
      </c>
      <c r="I969" s="5" t="str">
        <f t="shared" si="114"/>
        <v>018</v>
      </c>
      <c r="J969" s="5" t="str">
        <f t="shared" si="115"/>
        <v>2100</v>
      </c>
      <c r="K969" s="5" t="str">
        <f t="shared" si="116"/>
        <v>000</v>
      </c>
      <c r="L969" s="5">
        <f t="shared" si="117"/>
        <v>1</v>
      </c>
      <c r="M969" s="5">
        <f t="shared" si="118"/>
        <v>2012</v>
      </c>
    </row>
    <row r="970" spans="1:13" ht="17.45" customHeight="1" x14ac:dyDescent="0.25">
      <c r="A970" s="1">
        <f>DATE(2012,1,19)</f>
        <v>40927</v>
      </c>
      <c r="B970" t="s">
        <v>20</v>
      </c>
      <c r="C970" t="s">
        <v>8</v>
      </c>
      <c r="D970" s="3">
        <v>529.94799999999998</v>
      </c>
      <c r="E970" s="3">
        <v>0</v>
      </c>
      <c r="F970" t="s">
        <v>45</v>
      </c>
      <c r="G970" s="3">
        <f t="shared" si="112"/>
        <v>-529.94799999999998</v>
      </c>
      <c r="H970" s="3">
        <f t="shared" si="113"/>
        <v>529.94799999999998</v>
      </c>
      <c r="I970" s="5" t="str">
        <f t="shared" si="114"/>
        <v>018</v>
      </c>
      <c r="J970" s="5" t="str">
        <f t="shared" si="115"/>
        <v>2210</v>
      </c>
      <c r="K970" s="5" t="str">
        <f t="shared" si="116"/>
        <v>000</v>
      </c>
      <c r="L970" s="5">
        <f t="shared" si="117"/>
        <v>1</v>
      </c>
      <c r="M970" s="5">
        <f t="shared" si="118"/>
        <v>2012</v>
      </c>
    </row>
    <row r="971" spans="1:13" ht="17.45" customHeight="1" x14ac:dyDescent="0.25">
      <c r="A971" s="1">
        <f>DATE(2012,1,19)</f>
        <v>40927</v>
      </c>
      <c r="B971" t="s">
        <v>21</v>
      </c>
      <c r="C971" t="s">
        <v>9</v>
      </c>
      <c r="D971" s="3">
        <v>71.344000000000008</v>
      </c>
      <c r="E971" s="3">
        <v>0</v>
      </c>
      <c r="F971" t="s">
        <v>45</v>
      </c>
      <c r="G971" s="3">
        <f t="shared" si="112"/>
        <v>-71.344000000000008</v>
      </c>
      <c r="H971" s="3">
        <f t="shared" si="113"/>
        <v>71.344000000000008</v>
      </c>
      <c r="I971" s="5" t="str">
        <f t="shared" si="114"/>
        <v>018</v>
      </c>
      <c r="J971" s="5" t="str">
        <f t="shared" si="115"/>
        <v>2220</v>
      </c>
      <c r="K971" s="5" t="str">
        <f t="shared" si="116"/>
        <v>000</v>
      </c>
      <c r="L971" s="5">
        <f t="shared" si="117"/>
        <v>1</v>
      </c>
      <c r="M971" s="5">
        <f t="shared" si="118"/>
        <v>2012</v>
      </c>
    </row>
    <row r="972" spans="1:13" ht="17.45" customHeight="1" x14ac:dyDescent="0.25">
      <c r="A972" s="1">
        <f>DATE(2012,1,19)</f>
        <v>40927</v>
      </c>
      <c r="B972" t="s">
        <v>22</v>
      </c>
      <c r="C972" t="s">
        <v>10</v>
      </c>
      <c r="D972" s="3">
        <v>31.15</v>
      </c>
      <c r="E972" s="3">
        <v>0</v>
      </c>
      <c r="F972" t="s">
        <v>45</v>
      </c>
      <c r="G972" s="3">
        <f t="shared" si="112"/>
        <v>-31.15</v>
      </c>
      <c r="H972" s="3">
        <f t="shared" si="113"/>
        <v>31.15</v>
      </c>
      <c r="I972" s="5" t="str">
        <f t="shared" si="114"/>
        <v>018</v>
      </c>
      <c r="J972" s="5" t="str">
        <f t="shared" si="115"/>
        <v>2230</v>
      </c>
      <c r="K972" s="5" t="str">
        <f t="shared" si="116"/>
        <v>000</v>
      </c>
      <c r="L972" s="5">
        <f t="shared" si="117"/>
        <v>1</v>
      </c>
      <c r="M972" s="5">
        <f t="shared" si="118"/>
        <v>2012</v>
      </c>
    </row>
    <row r="973" spans="1:13" ht="17.45" customHeight="1" x14ac:dyDescent="0.25">
      <c r="A973" s="1">
        <f>DATE(2012,1,20)</f>
        <v>40928</v>
      </c>
      <c r="B973" t="s">
        <v>19</v>
      </c>
      <c r="C973" t="s">
        <v>6</v>
      </c>
      <c r="D973" s="3">
        <v>5925.92</v>
      </c>
      <c r="E973" s="3">
        <v>0</v>
      </c>
      <c r="F973" t="s">
        <v>45</v>
      </c>
      <c r="G973" s="3">
        <f t="shared" si="112"/>
        <v>-5925.92</v>
      </c>
      <c r="H973" s="3">
        <f t="shared" si="113"/>
        <v>5925.92</v>
      </c>
      <c r="I973" s="5" t="str">
        <f t="shared" si="114"/>
        <v>018</v>
      </c>
      <c r="J973" s="5" t="str">
        <f t="shared" si="115"/>
        <v>2100</v>
      </c>
      <c r="K973" s="5" t="str">
        <f t="shared" si="116"/>
        <v>000</v>
      </c>
      <c r="L973" s="5">
        <f t="shared" si="117"/>
        <v>1</v>
      </c>
      <c r="M973" s="5">
        <f t="shared" si="118"/>
        <v>2012</v>
      </c>
    </row>
    <row r="974" spans="1:13" ht="17.45" customHeight="1" x14ac:dyDescent="0.25">
      <c r="A974" s="1">
        <f>DATE(2012,1,20)</f>
        <v>40928</v>
      </c>
      <c r="B974" t="s">
        <v>20</v>
      </c>
      <c r="C974" t="s">
        <v>8</v>
      </c>
      <c r="D974" s="3">
        <v>2812.7440000000001</v>
      </c>
      <c r="E974" s="3">
        <v>0</v>
      </c>
      <c r="F974" t="s">
        <v>45</v>
      </c>
      <c r="G974" s="3">
        <f t="shared" si="112"/>
        <v>-2812.7440000000001</v>
      </c>
      <c r="H974" s="3">
        <f t="shared" si="113"/>
        <v>2812.7440000000001</v>
      </c>
      <c r="I974" s="5" t="str">
        <f t="shared" si="114"/>
        <v>018</v>
      </c>
      <c r="J974" s="5" t="str">
        <f t="shared" si="115"/>
        <v>2210</v>
      </c>
      <c r="K974" s="5" t="str">
        <f t="shared" si="116"/>
        <v>000</v>
      </c>
      <c r="L974" s="5">
        <f t="shared" si="117"/>
        <v>1</v>
      </c>
      <c r="M974" s="5">
        <f t="shared" si="118"/>
        <v>2012</v>
      </c>
    </row>
    <row r="975" spans="1:13" ht="17.45" customHeight="1" x14ac:dyDescent="0.25">
      <c r="A975" s="1">
        <f>DATE(2012,1,20)</f>
        <v>40928</v>
      </c>
      <c r="B975" t="s">
        <v>21</v>
      </c>
      <c r="C975" t="s">
        <v>9</v>
      </c>
      <c r="D975" s="3">
        <v>523.48450000000003</v>
      </c>
      <c r="E975" s="3">
        <v>0</v>
      </c>
      <c r="F975" t="s">
        <v>45</v>
      </c>
      <c r="G975" s="3">
        <f t="shared" si="112"/>
        <v>-523.48450000000003</v>
      </c>
      <c r="H975" s="3">
        <f t="shared" si="113"/>
        <v>523.48450000000003</v>
      </c>
      <c r="I975" s="5" t="str">
        <f t="shared" si="114"/>
        <v>018</v>
      </c>
      <c r="J975" s="5" t="str">
        <f t="shared" si="115"/>
        <v>2220</v>
      </c>
      <c r="K975" s="5" t="str">
        <f t="shared" si="116"/>
        <v>000</v>
      </c>
      <c r="L975" s="5">
        <f t="shared" si="117"/>
        <v>1</v>
      </c>
      <c r="M975" s="5">
        <f t="shared" si="118"/>
        <v>2012</v>
      </c>
    </row>
    <row r="976" spans="1:13" ht="17.45" customHeight="1" x14ac:dyDescent="0.25">
      <c r="A976" s="1">
        <f>DATE(2012,1,20)</f>
        <v>40928</v>
      </c>
      <c r="B976" t="s">
        <v>22</v>
      </c>
      <c r="C976" t="s">
        <v>10</v>
      </c>
      <c r="D976" s="3">
        <v>144.012</v>
      </c>
      <c r="E976" s="3">
        <v>0</v>
      </c>
      <c r="F976" t="s">
        <v>45</v>
      </c>
      <c r="G976" s="3">
        <f t="shared" si="112"/>
        <v>-144.012</v>
      </c>
      <c r="H976" s="3">
        <f t="shared" si="113"/>
        <v>144.012</v>
      </c>
      <c r="I976" s="5" t="str">
        <f t="shared" si="114"/>
        <v>018</v>
      </c>
      <c r="J976" s="5" t="str">
        <f t="shared" si="115"/>
        <v>2230</v>
      </c>
      <c r="K976" s="5" t="str">
        <f t="shared" si="116"/>
        <v>000</v>
      </c>
      <c r="L976" s="5">
        <f t="shared" si="117"/>
        <v>1</v>
      </c>
      <c r="M976" s="5">
        <f t="shared" si="118"/>
        <v>2012</v>
      </c>
    </row>
    <row r="977" spans="1:13" ht="17.45" customHeight="1" x14ac:dyDescent="0.25">
      <c r="A977" s="1">
        <f>DATE(2012,1,21)</f>
        <v>40929</v>
      </c>
      <c r="B977" t="s">
        <v>19</v>
      </c>
      <c r="C977" t="s">
        <v>6</v>
      </c>
      <c r="D977" s="3">
        <v>7825.1859999999997</v>
      </c>
      <c r="E977" s="3">
        <v>0</v>
      </c>
      <c r="F977" t="s">
        <v>45</v>
      </c>
      <c r="G977" s="3">
        <f t="shared" si="112"/>
        <v>-7825.1859999999997</v>
      </c>
      <c r="H977" s="3">
        <f t="shared" si="113"/>
        <v>7825.1859999999997</v>
      </c>
      <c r="I977" s="5" t="str">
        <f t="shared" si="114"/>
        <v>018</v>
      </c>
      <c r="J977" s="5" t="str">
        <f t="shared" si="115"/>
        <v>2100</v>
      </c>
      <c r="K977" s="5" t="str">
        <f t="shared" si="116"/>
        <v>000</v>
      </c>
      <c r="L977" s="5">
        <f t="shared" si="117"/>
        <v>1</v>
      </c>
      <c r="M977" s="5">
        <f t="shared" si="118"/>
        <v>2012</v>
      </c>
    </row>
    <row r="978" spans="1:13" ht="17.45" customHeight="1" x14ac:dyDescent="0.25">
      <c r="A978" s="1">
        <f>DATE(2012,1,21)</f>
        <v>40929</v>
      </c>
      <c r="B978" t="s">
        <v>20</v>
      </c>
      <c r="C978" t="s">
        <v>8</v>
      </c>
      <c r="D978" s="3">
        <v>1980.0330000000001</v>
      </c>
      <c r="E978" s="3">
        <v>0</v>
      </c>
      <c r="F978" t="s">
        <v>45</v>
      </c>
      <c r="G978" s="3">
        <f t="shared" si="112"/>
        <v>-1980.0330000000001</v>
      </c>
      <c r="H978" s="3">
        <f t="shared" si="113"/>
        <v>1980.0330000000001</v>
      </c>
      <c r="I978" s="5" t="str">
        <f t="shared" si="114"/>
        <v>018</v>
      </c>
      <c r="J978" s="5" t="str">
        <f t="shared" si="115"/>
        <v>2210</v>
      </c>
      <c r="K978" s="5" t="str">
        <f t="shared" si="116"/>
        <v>000</v>
      </c>
      <c r="L978" s="5">
        <f t="shared" si="117"/>
        <v>1</v>
      </c>
      <c r="M978" s="5">
        <f t="shared" si="118"/>
        <v>2012</v>
      </c>
    </row>
    <row r="979" spans="1:13" ht="17.45" customHeight="1" x14ac:dyDescent="0.25">
      <c r="A979" s="1">
        <f>DATE(2012,1,21)</f>
        <v>40929</v>
      </c>
      <c r="B979" t="s">
        <v>21</v>
      </c>
      <c r="C979" t="s">
        <v>9</v>
      </c>
      <c r="D979" s="3">
        <v>560.928</v>
      </c>
      <c r="E979" s="3">
        <v>0</v>
      </c>
      <c r="F979" t="s">
        <v>45</v>
      </c>
      <c r="G979" s="3">
        <f t="shared" si="112"/>
        <v>-560.928</v>
      </c>
      <c r="H979" s="3">
        <f t="shared" si="113"/>
        <v>560.928</v>
      </c>
      <c r="I979" s="5" t="str">
        <f t="shared" si="114"/>
        <v>018</v>
      </c>
      <c r="J979" s="5" t="str">
        <f t="shared" si="115"/>
        <v>2220</v>
      </c>
      <c r="K979" s="5" t="str">
        <f t="shared" si="116"/>
        <v>000</v>
      </c>
      <c r="L979" s="5">
        <f t="shared" si="117"/>
        <v>1</v>
      </c>
      <c r="M979" s="5">
        <f t="shared" si="118"/>
        <v>2012</v>
      </c>
    </row>
    <row r="980" spans="1:13" ht="17.45" customHeight="1" x14ac:dyDescent="0.25">
      <c r="A980" s="1">
        <f>DATE(2012,1,21)</f>
        <v>40929</v>
      </c>
      <c r="B980" t="s">
        <v>22</v>
      </c>
      <c r="C980" t="s">
        <v>10</v>
      </c>
      <c r="D980" s="3">
        <v>172.67</v>
      </c>
      <c r="E980" s="3">
        <v>0</v>
      </c>
      <c r="F980" t="s">
        <v>45</v>
      </c>
      <c r="G980" s="3">
        <f t="shared" si="112"/>
        <v>-172.67</v>
      </c>
      <c r="H980" s="3">
        <f t="shared" si="113"/>
        <v>172.67</v>
      </c>
      <c r="I980" s="5" t="str">
        <f t="shared" si="114"/>
        <v>018</v>
      </c>
      <c r="J980" s="5" t="str">
        <f t="shared" si="115"/>
        <v>2230</v>
      </c>
      <c r="K980" s="5" t="str">
        <f t="shared" si="116"/>
        <v>000</v>
      </c>
      <c r="L980" s="5">
        <f t="shared" si="117"/>
        <v>1</v>
      </c>
      <c r="M980" s="5">
        <f t="shared" si="118"/>
        <v>2012</v>
      </c>
    </row>
    <row r="981" spans="1:13" ht="17.45" customHeight="1" x14ac:dyDescent="0.25">
      <c r="A981" s="1">
        <f>DATE(2012,1,22)</f>
        <v>40930</v>
      </c>
      <c r="B981" t="s">
        <v>19</v>
      </c>
      <c r="C981" t="s">
        <v>6</v>
      </c>
      <c r="D981" s="3">
        <v>5867.5844999999999</v>
      </c>
      <c r="E981" s="3">
        <v>0</v>
      </c>
      <c r="F981" t="s">
        <v>45</v>
      </c>
      <c r="G981" s="3">
        <f t="shared" si="112"/>
        <v>-5867.5844999999999</v>
      </c>
      <c r="H981" s="3">
        <f t="shared" si="113"/>
        <v>5867.5844999999999</v>
      </c>
      <c r="I981" s="5" t="str">
        <f t="shared" si="114"/>
        <v>018</v>
      </c>
      <c r="J981" s="5" t="str">
        <f t="shared" si="115"/>
        <v>2100</v>
      </c>
      <c r="K981" s="5" t="str">
        <f t="shared" si="116"/>
        <v>000</v>
      </c>
      <c r="L981" s="5">
        <f t="shared" si="117"/>
        <v>1</v>
      </c>
      <c r="M981" s="5">
        <f t="shared" si="118"/>
        <v>2012</v>
      </c>
    </row>
    <row r="982" spans="1:13" ht="17.45" customHeight="1" x14ac:dyDescent="0.25">
      <c r="A982" s="1">
        <f>DATE(2012,1,22)</f>
        <v>40930</v>
      </c>
      <c r="B982" t="s">
        <v>20</v>
      </c>
      <c r="C982" t="s">
        <v>8</v>
      </c>
      <c r="D982" s="3">
        <v>679.36349999999993</v>
      </c>
      <c r="E982" s="3">
        <v>0</v>
      </c>
      <c r="F982" t="s">
        <v>45</v>
      </c>
      <c r="G982" s="3">
        <f t="shared" si="112"/>
        <v>-679.36349999999993</v>
      </c>
      <c r="H982" s="3">
        <f t="shared" si="113"/>
        <v>679.36349999999993</v>
      </c>
      <c r="I982" s="5" t="str">
        <f t="shared" si="114"/>
        <v>018</v>
      </c>
      <c r="J982" s="5" t="str">
        <f t="shared" si="115"/>
        <v>2210</v>
      </c>
      <c r="K982" s="5" t="str">
        <f t="shared" si="116"/>
        <v>000</v>
      </c>
      <c r="L982" s="5">
        <f t="shared" si="117"/>
        <v>1</v>
      </c>
      <c r="M982" s="5">
        <f t="shared" si="118"/>
        <v>2012</v>
      </c>
    </row>
    <row r="983" spans="1:13" ht="17.45" customHeight="1" x14ac:dyDescent="0.25">
      <c r="A983" s="1">
        <f>DATE(2012,1,22)</f>
        <v>40930</v>
      </c>
      <c r="B983" t="s">
        <v>21</v>
      </c>
      <c r="C983" t="s">
        <v>9</v>
      </c>
      <c r="D983" s="3">
        <v>107.05499999999999</v>
      </c>
      <c r="E983" s="3">
        <v>0</v>
      </c>
      <c r="F983" t="s">
        <v>45</v>
      </c>
      <c r="G983" s="3">
        <f t="shared" si="112"/>
        <v>-107.05499999999999</v>
      </c>
      <c r="H983" s="3">
        <f t="shared" si="113"/>
        <v>107.05499999999999</v>
      </c>
      <c r="I983" s="5" t="str">
        <f t="shared" si="114"/>
        <v>018</v>
      </c>
      <c r="J983" s="5" t="str">
        <f t="shared" si="115"/>
        <v>2220</v>
      </c>
      <c r="K983" s="5" t="str">
        <f t="shared" si="116"/>
        <v>000</v>
      </c>
      <c r="L983" s="5">
        <f t="shared" si="117"/>
        <v>1</v>
      </c>
      <c r="M983" s="5">
        <f t="shared" si="118"/>
        <v>2012</v>
      </c>
    </row>
    <row r="984" spans="1:13" ht="17.45" customHeight="1" x14ac:dyDescent="0.25">
      <c r="A984" s="1">
        <f>DATE(2012,1,22)</f>
        <v>40930</v>
      </c>
      <c r="B984" t="s">
        <v>22</v>
      </c>
      <c r="C984" t="s">
        <v>10</v>
      </c>
      <c r="D984" s="3">
        <v>53.7425</v>
      </c>
      <c r="E984" s="3">
        <v>0</v>
      </c>
      <c r="F984" t="s">
        <v>45</v>
      </c>
      <c r="G984" s="3">
        <f t="shared" si="112"/>
        <v>-53.7425</v>
      </c>
      <c r="H984" s="3">
        <f t="shared" si="113"/>
        <v>53.7425</v>
      </c>
      <c r="I984" s="5" t="str">
        <f t="shared" si="114"/>
        <v>018</v>
      </c>
      <c r="J984" s="5" t="str">
        <f t="shared" si="115"/>
        <v>2230</v>
      </c>
      <c r="K984" s="5" t="str">
        <f t="shared" si="116"/>
        <v>000</v>
      </c>
      <c r="L984" s="5">
        <f t="shared" si="117"/>
        <v>1</v>
      </c>
      <c r="M984" s="5">
        <f t="shared" si="118"/>
        <v>2012</v>
      </c>
    </row>
    <row r="985" spans="1:13" ht="17.45" customHeight="1" x14ac:dyDescent="0.25">
      <c r="A985" s="1">
        <f>DATE(2012,1,23)</f>
        <v>40931</v>
      </c>
      <c r="B985" t="s">
        <v>11</v>
      </c>
      <c r="C985" t="s">
        <v>6</v>
      </c>
      <c r="D985" s="3">
        <v>2846.3604</v>
      </c>
      <c r="E985" s="3">
        <v>0</v>
      </c>
      <c r="F985" t="s">
        <v>45</v>
      </c>
      <c r="G985" s="3">
        <f t="shared" si="112"/>
        <v>-2846.3604</v>
      </c>
      <c r="H985" s="3">
        <f t="shared" si="113"/>
        <v>2846.3604</v>
      </c>
      <c r="I985" s="5" t="str">
        <f t="shared" si="114"/>
        <v>016</v>
      </c>
      <c r="J985" s="5" t="str">
        <f t="shared" si="115"/>
        <v>2100</v>
      </c>
      <c r="K985" s="5" t="str">
        <f t="shared" si="116"/>
        <v>000</v>
      </c>
      <c r="L985" s="5">
        <f t="shared" si="117"/>
        <v>1</v>
      </c>
      <c r="M985" s="5">
        <f t="shared" si="118"/>
        <v>2012</v>
      </c>
    </row>
    <row r="986" spans="1:13" ht="17.45" customHeight="1" x14ac:dyDescent="0.25">
      <c r="A986" s="1">
        <f>DATE(2012,1,23)</f>
        <v>40931</v>
      </c>
      <c r="B986" t="s">
        <v>12</v>
      </c>
      <c r="C986" t="s">
        <v>8</v>
      </c>
      <c r="D986" s="3">
        <v>532.77599999999995</v>
      </c>
      <c r="E986" s="3">
        <v>0</v>
      </c>
      <c r="F986" t="s">
        <v>45</v>
      </c>
      <c r="G986" s="3">
        <f t="shared" si="112"/>
        <v>-532.77599999999995</v>
      </c>
      <c r="H986" s="3">
        <f t="shared" si="113"/>
        <v>532.77599999999995</v>
      </c>
      <c r="I986" s="5" t="str">
        <f t="shared" si="114"/>
        <v>016</v>
      </c>
      <c r="J986" s="5" t="str">
        <f t="shared" si="115"/>
        <v>2210</v>
      </c>
      <c r="K986" s="5" t="str">
        <f t="shared" si="116"/>
        <v>000</v>
      </c>
      <c r="L986" s="5">
        <f t="shared" si="117"/>
        <v>1</v>
      </c>
      <c r="M986" s="5">
        <f t="shared" si="118"/>
        <v>2012</v>
      </c>
    </row>
    <row r="987" spans="1:13" ht="17.45" customHeight="1" x14ac:dyDescent="0.25">
      <c r="A987" s="1">
        <f>DATE(2012,1,23)</f>
        <v>40931</v>
      </c>
      <c r="B987" t="s">
        <v>13</v>
      </c>
      <c r="C987" t="s">
        <v>9</v>
      </c>
      <c r="D987" s="3">
        <v>123.753</v>
      </c>
      <c r="E987" s="3">
        <v>0</v>
      </c>
      <c r="F987" t="s">
        <v>45</v>
      </c>
      <c r="G987" s="3">
        <f t="shared" si="112"/>
        <v>-123.753</v>
      </c>
      <c r="H987" s="3">
        <f t="shared" si="113"/>
        <v>123.753</v>
      </c>
      <c r="I987" s="5" t="str">
        <f t="shared" si="114"/>
        <v>016</v>
      </c>
      <c r="J987" s="5" t="str">
        <f t="shared" si="115"/>
        <v>2220</v>
      </c>
      <c r="K987" s="5" t="str">
        <f t="shared" si="116"/>
        <v>000</v>
      </c>
      <c r="L987" s="5">
        <f t="shared" si="117"/>
        <v>1</v>
      </c>
      <c r="M987" s="5">
        <f t="shared" si="118"/>
        <v>2012</v>
      </c>
    </row>
    <row r="988" spans="1:13" ht="17.45" customHeight="1" x14ac:dyDescent="0.25">
      <c r="A988" s="1">
        <f>DATE(2012,1,23)</f>
        <v>40931</v>
      </c>
      <c r="B988" t="s">
        <v>14</v>
      </c>
      <c r="C988" t="s">
        <v>10</v>
      </c>
      <c r="D988" s="3">
        <v>31.008000000000003</v>
      </c>
      <c r="E988" s="3">
        <v>0</v>
      </c>
      <c r="F988" t="s">
        <v>45</v>
      </c>
      <c r="G988" s="3">
        <f t="shared" si="112"/>
        <v>-31.008000000000003</v>
      </c>
      <c r="H988" s="3">
        <f t="shared" si="113"/>
        <v>31.008000000000003</v>
      </c>
      <c r="I988" s="5" t="str">
        <f t="shared" si="114"/>
        <v>016</v>
      </c>
      <c r="J988" s="5" t="str">
        <f t="shared" si="115"/>
        <v>2230</v>
      </c>
      <c r="K988" s="5" t="str">
        <f t="shared" si="116"/>
        <v>000</v>
      </c>
      <c r="L988" s="5">
        <f t="shared" si="117"/>
        <v>1</v>
      </c>
      <c r="M988" s="5">
        <f t="shared" si="118"/>
        <v>2012</v>
      </c>
    </row>
    <row r="989" spans="1:13" ht="17.45" customHeight="1" x14ac:dyDescent="0.25">
      <c r="A989" s="1">
        <f>DATE(2012,1,24)</f>
        <v>40932</v>
      </c>
      <c r="B989" t="s">
        <v>11</v>
      </c>
      <c r="C989" t="s">
        <v>6</v>
      </c>
      <c r="D989" s="3">
        <v>1933.1466000000003</v>
      </c>
      <c r="E989" s="3">
        <v>0</v>
      </c>
      <c r="F989" t="s">
        <v>45</v>
      </c>
      <c r="G989" s="3">
        <f t="shared" si="112"/>
        <v>-1933.1466000000003</v>
      </c>
      <c r="H989" s="3">
        <f t="shared" si="113"/>
        <v>1933.1466000000003</v>
      </c>
      <c r="I989" s="5" t="str">
        <f t="shared" si="114"/>
        <v>016</v>
      </c>
      <c r="J989" s="5" t="str">
        <f t="shared" si="115"/>
        <v>2100</v>
      </c>
      <c r="K989" s="5" t="str">
        <f t="shared" si="116"/>
        <v>000</v>
      </c>
      <c r="L989" s="5">
        <f t="shared" si="117"/>
        <v>1</v>
      </c>
      <c r="M989" s="5">
        <f t="shared" si="118"/>
        <v>2012</v>
      </c>
    </row>
    <row r="990" spans="1:13" ht="17.45" customHeight="1" x14ac:dyDescent="0.25">
      <c r="A990" s="1">
        <f>DATE(2012,1,24)</f>
        <v>40932</v>
      </c>
      <c r="B990" t="s">
        <v>12</v>
      </c>
      <c r="C990" t="s">
        <v>8</v>
      </c>
      <c r="D990" s="3">
        <v>752.76850000000002</v>
      </c>
      <c r="E990" s="3">
        <v>0</v>
      </c>
      <c r="F990" t="s">
        <v>45</v>
      </c>
      <c r="G990" s="3">
        <f t="shared" si="112"/>
        <v>-752.76850000000002</v>
      </c>
      <c r="H990" s="3">
        <f t="shared" si="113"/>
        <v>752.76850000000002</v>
      </c>
      <c r="I990" s="5" t="str">
        <f t="shared" si="114"/>
        <v>016</v>
      </c>
      <c r="J990" s="5" t="str">
        <f t="shared" si="115"/>
        <v>2210</v>
      </c>
      <c r="K990" s="5" t="str">
        <f t="shared" si="116"/>
        <v>000</v>
      </c>
      <c r="L990" s="5">
        <f t="shared" si="117"/>
        <v>1</v>
      </c>
      <c r="M990" s="5">
        <f t="shared" si="118"/>
        <v>2012</v>
      </c>
    </row>
    <row r="991" spans="1:13" ht="17.45" customHeight="1" x14ac:dyDescent="0.25">
      <c r="A991" s="1">
        <f>DATE(2012,1,24)</f>
        <v>40932</v>
      </c>
      <c r="B991" t="s">
        <v>13</v>
      </c>
      <c r="C991" t="s">
        <v>9</v>
      </c>
      <c r="D991" s="3">
        <v>92.218500000000006</v>
      </c>
      <c r="E991" s="3">
        <v>0</v>
      </c>
      <c r="F991" t="s">
        <v>45</v>
      </c>
      <c r="G991" s="3">
        <f t="shared" si="112"/>
        <v>-92.218500000000006</v>
      </c>
      <c r="H991" s="3">
        <f t="shared" si="113"/>
        <v>92.218500000000006</v>
      </c>
      <c r="I991" s="5" t="str">
        <f t="shared" si="114"/>
        <v>016</v>
      </c>
      <c r="J991" s="5" t="str">
        <f t="shared" si="115"/>
        <v>2220</v>
      </c>
      <c r="K991" s="5" t="str">
        <f t="shared" si="116"/>
        <v>000</v>
      </c>
      <c r="L991" s="5">
        <f t="shared" si="117"/>
        <v>1</v>
      </c>
      <c r="M991" s="5">
        <f t="shared" si="118"/>
        <v>2012</v>
      </c>
    </row>
    <row r="992" spans="1:13" ht="17.45" customHeight="1" x14ac:dyDescent="0.25">
      <c r="A992" s="1">
        <f>DATE(2012,1,24)</f>
        <v>40932</v>
      </c>
      <c r="B992" t="s">
        <v>14</v>
      </c>
      <c r="C992" t="s">
        <v>10</v>
      </c>
      <c r="D992" s="3">
        <v>94.332999999999998</v>
      </c>
      <c r="E992" s="3">
        <v>0</v>
      </c>
      <c r="F992" t="s">
        <v>45</v>
      </c>
      <c r="G992" s="3">
        <f t="shared" si="112"/>
        <v>-94.332999999999998</v>
      </c>
      <c r="H992" s="3">
        <f t="shared" si="113"/>
        <v>94.332999999999998</v>
      </c>
      <c r="I992" s="5" t="str">
        <f t="shared" si="114"/>
        <v>016</v>
      </c>
      <c r="J992" s="5" t="str">
        <f t="shared" si="115"/>
        <v>2230</v>
      </c>
      <c r="K992" s="5" t="str">
        <f t="shared" si="116"/>
        <v>000</v>
      </c>
      <c r="L992" s="5">
        <f t="shared" si="117"/>
        <v>1</v>
      </c>
      <c r="M992" s="5">
        <f t="shared" si="118"/>
        <v>2012</v>
      </c>
    </row>
    <row r="993" spans="1:13" ht="17.45" customHeight="1" x14ac:dyDescent="0.25">
      <c r="A993" s="1">
        <f>DATE(2012,1,25)</f>
        <v>40933</v>
      </c>
      <c r="B993" t="s">
        <v>11</v>
      </c>
      <c r="C993" t="s">
        <v>6</v>
      </c>
      <c r="D993" s="3">
        <v>4214.2336999999998</v>
      </c>
      <c r="E993" s="3">
        <v>0</v>
      </c>
      <c r="F993" t="s">
        <v>45</v>
      </c>
      <c r="G993" s="3">
        <f t="shared" si="112"/>
        <v>-4214.2336999999998</v>
      </c>
      <c r="H993" s="3">
        <f t="shared" si="113"/>
        <v>4214.2336999999998</v>
      </c>
      <c r="I993" s="5" t="str">
        <f t="shared" si="114"/>
        <v>016</v>
      </c>
      <c r="J993" s="5" t="str">
        <f t="shared" si="115"/>
        <v>2100</v>
      </c>
      <c r="K993" s="5" t="str">
        <f t="shared" si="116"/>
        <v>000</v>
      </c>
      <c r="L993" s="5">
        <f t="shared" si="117"/>
        <v>1</v>
      </c>
      <c r="M993" s="5">
        <f t="shared" si="118"/>
        <v>2012</v>
      </c>
    </row>
    <row r="994" spans="1:13" ht="17.45" customHeight="1" x14ac:dyDescent="0.25">
      <c r="A994" s="1">
        <f>DATE(2012,1,25)</f>
        <v>40933</v>
      </c>
      <c r="B994" t="s">
        <v>12</v>
      </c>
      <c r="C994" t="s">
        <v>8</v>
      </c>
      <c r="D994" s="3">
        <v>1661.538</v>
      </c>
      <c r="E994" s="3">
        <v>0</v>
      </c>
      <c r="F994" t="s">
        <v>45</v>
      </c>
      <c r="G994" s="3">
        <f t="shared" si="112"/>
        <v>-1661.538</v>
      </c>
      <c r="H994" s="3">
        <f t="shared" si="113"/>
        <v>1661.538</v>
      </c>
      <c r="I994" s="5" t="str">
        <f t="shared" si="114"/>
        <v>016</v>
      </c>
      <c r="J994" s="5" t="str">
        <f t="shared" si="115"/>
        <v>2210</v>
      </c>
      <c r="K994" s="5" t="str">
        <f t="shared" si="116"/>
        <v>000</v>
      </c>
      <c r="L994" s="5">
        <f t="shared" si="117"/>
        <v>1</v>
      </c>
      <c r="M994" s="5">
        <f t="shared" si="118"/>
        <v>2012</v>
      </c>
    </row>
    <row r="995" spans="1:13" ht="17.45" customHeight="1" x14ac:dyDescent="0.25">
      <c r="A995" s="1">
        <f>DATE(2012,1,25)</f>
        <v>40933</v>
      </c>
      <c r="B995" t="s">
        <v>13</v>
      </c>
      <c r="C995" t="s">
        <v>9</v>
      </c>
      <c r="D995" s="3">
        <v>203.41200000000003</v>
      </c>
      <c r="E995" s="3">
        <v>0</v>
      </c>
      <c r="F995" t="s">
        <v>45</v>
      </c>
      <c r="G995" s="3">
        <f t="shared" si="112"/>
        <v>-203.41200000000003</v>
      </c>
      <c r="H995" s="3">
        <f t="shared" si="113"/>
        <v>203.41200000000003</v>
      </c>
      <c r="I995" s="5" t="str">
        <f t="shared" si="114"/>
        <v>016</v>
      </c>
      <c r="J995" s="5" t="str">
        <f t="shared" si="115"/>
        <v>2220</v>
      </c>
      <c r="K995" s="5" t="str">
        <f t="shared" si="116"/>
        <v>000</v>
      </c>
      <c r="L995" s="5">
        <f t="shared" si="117"/>
        <v>1</v>
      </c>
      <c r="M995" s="5">
        <f t="shared" si="118"/>
        <v>2012</v>
      </c>
    </row>
    <row r="996" spans="1:13" ht="17.45" customHeight="1" x14ac:dyDescent="0.25">
      <c r="A996" s="1">
        <f>DATE(2012,1,25)</f>
        <v>40933</v>
      </c>
      <c r="B996" t="s">
        <v>14</v>
      </c>
      <c r="C996" t="s">
        <v>10</v>
      </c>
      <c r="D996" s="3">
        <v>201.70150000000001</v>
      </c>
      <c r="E996" s="3">
        <v>0</v>
      </c>
      <c r="F996" t="s">
        <v>45</v>
      </c>
      <c r="G996" s="3">
        <f t="shared" si="112"/>
        <v>-201.70150000000001</v>
      </c>
      <c r="H996" s="3">
        <f t="shared" si="113"/>
        <v>201.70150000000001</v>
      </c>
      <c r="I996" s="5" t="str">
        <f t="shared" si="114"/>
        <v>016</v>
      </c>
      <c r="J996" s="5" t="str">
        <f t="shared" si="115"/>
        <v>2230</v>
      </c>
      <c r="K996" s="5" t="str">
        <f t="shared" si="116"/>
        <v>000</v>
      </c>
      <c r="L996" s="5">
        <f t="shared" si="117"/>
        <v>1</v>
      </c>
      <c r="M996" s="5">
        <f t="shared" si="118"/>
        <v>2012</v>
      </c>
    </row>
    <row r="997" spans="1:13" ht="17.45" customHeight="1" x14ac:dyDescent="0.25">
      <c r="A997" s="1">
        <f>DATE(2012,1,26)</f>
        <v>40934</v>
      </c>
      <c r="B997" t="s">
        <v>11</v>
      </c>
      <c r="C997" t="s">
        <v>6</v>
      </c>
      <c r="D997" s="3">
        <v>3117.9816000000001</v>
      </c>
      <c r="E997" s="3">
        <v>0</v>
      </c>
      <c r="F997" t="s">
        <v>45</v>
      </c>
      <c r="G997" s="3">
        <f t="shared" si="112"/>
        <v>-3117.9816000000001</v>
      </c>
      <c r="H997" s="3">
        <f t="shared" si="113"/>
        <v>3117.9816000000001</v>
      </c>
      <c r="I997" s="5" t="str">
        <f t="shared" si="114"/>
        <v>016</v>
      </c>
      <c r="J997" s="5" t="str">
        <f t="shared" si="115"/>
        <v>2100</v>
      </c>
      <c r="K997" s="5" t="str">
        <f t="shared" si="116"/>
        <v>000</v>
      </c>
      <c r="L997" s="5">
        <f t="shared" si="117"/>
        <v>1</v>
      </c>
      <c r="M997" s="5">
        <f t="shared" si="118"/>
        <v>2012</v>
      </c>
    </row>
    <row r="998" spans="1:13" ht="17.45" customHeight="1" x14ac:dyDescent="0.25">
      <c r="A998" s="1">
        <f>DATE(2012,1,26)</f>
        <v>40934</v>
      </c>
      <c r="B998" t="s">
        <v>12</v>
      </c>
      <c r="C998" t="s">
        <v>8</v>
      </c>
      <c r="D998" s="3">
        <v>697.33900000000006</v>
      </c>
      <c r="E998" s="3">
        <v>0</v>
      </c>
      <c r="F998" t="s">
        <v>45</v>
      </c>
      <c r="G998" s="3">
        <f t="shared" si="112"/>
        <v>-697.33900000000006</v>
      </c>
      <c r="H998" s="3">
        <f t="shared" si="113"/>
        <v>697.33900000000006</v>
      </c>
      <c r="I998" s="5" t="str">
        <f t="shared" si="114"/>
        <v>016</v>
      </c>
      <c r="J998" s="5" t="str">
        <f t="shared" si="115"/>
        <v>2210</v>
      </c>
      <c r="K998" s="5" t="str">
        <f t="shared" si="116"/>
        <v>000</v>
      </c>
      <c r="L998" s="5">
        <f t="shared" si="117"/>
        <v>1</v>
      </c>
      <c r="M998" s="5">
        <f t="shared" si="118"/>
        <v>2012</v>
      </c>
    </row>
    <row r="999" spans="1:13" ht="17.45" customHeight="1" x14ac:dyDescent="0.25">
      <c r="A999" s="1">
        <f>DATE(2012,1,26)</f>
        <v>40934</v>
      </c>
      <c r="B999" t="s">
        <v>13</v>
      </c>
      <c r="C999" t="s">
        <v>9</v>
      </c>
      <c r="D999" s="3">
        <v>115.3815</v>
      </c>
      <c r="E999" s="3">
        <v>0</v>
      </c>
      <c r="F999" t="s">
        <v>45</v>
      </c>
      <c r="G999" s="3">
        <f t="shared" si="112"/>
        <v>-115.3815</v>
      </c>
      <c r="H999" s="3">
        <f t="shared" si="113"/>
        <v>115.3815</v>
      </c>
      <c r="I999" s="5" t="str">
        <f t="shared" si="114"/>
        <v>016</v>
      </c>
      <c r="J999" s="5" t="str">
        <f t="shared" si="115"/>
        <v>2220</v>
      </c>
      <c r="K999" s="5" t="str">
        <f t="shared" si="116"/>
        <v>000</v>
      </c>
      <c r="L999" s="5">
        <f t="shared" si="117"/>
        <v>1</v>
      </c>
      <c r="M999" s="5">
        <f t="shared" si="118"/>
        <v>2012</v>
      </c>
    </row>
    <row r="1000" spans="1:13" ht="17.45" customHeight="1" x14ac:dyDescent="0.25">
      <c r="A1000" s="1">
        <f>DATE(2012,1,26)</f>
        <v>40934</v>
      </c>
      <c r="B1000" t="s">
        <v>14</v>
      </c>
      <c r="C1000" t="s">
        <v>10</v>
      </c>
      <c r="D1000" s="3">
        <v>94.438499999999991</v>
      </c>
      <c r="E1000" s="3">
        <v>0</v>
      </c>
      <c r="F1000" t="s">
        <v>45</v>
      </c>
      <c r="G1000" s="3">
        <f t="shared" si="112"/>
        <v>-94.438499999999991</v>
      </c>
      <c r="H1000" s="3">
        <f t="shared" si="113"/>
        <v>94.438499999999991</v>
      </c>
      <c r="I1000" s="5" t="str">
        <f t="shared" si="114"/>
        <v>016</v>
      </c>
      <c r="J1000" s="5" t="str">
        <f t="shared" si="115"/>
        <v>2230</v>
      </c>
      <c r="K1000" s="5" t="str">
        <f t="shared" si="116"/>
        <v>000</v>
      </c>
      <c r="L1000" s="5">
        <f t="shared" si="117"/>
        <v>1</v>
      </c>
      <c r="M1000" s="5">
        <f t="shared" si="118"/>
        <v>2012</v>
      </c>
    </row>
    <row r="1001" spans="1:13" ht="17.45" customHeight="1" x14ac:dyDescent="0.25">
      <c r="A1001" s="1">
        <f>DATE(2012,1,27)</f>
        <v>40935</v>
      </c>
      <c r="B1001" t="s">
        <v>11</v>
      </c>
      <c r="C1001" t="s">
        <v>6</v>
      </c>
      <c r="D1001" s="3">
        <v>7850.8767999999991</v>
      </c>
      <c r="E1001" s="3">
        <v>0</v>
      </c>
      <c r="F1001" t="s">
        <v>45</v>
      </c>
      <c r="G1001" s="3">
        <f t="shared" si="112"/>
        <v>-7850.8767999999991</v>
      </c>
      <c r="H1001" s="3">
        <f t="shared" si="113"/>
        <v>7850.8767999999991</v>
      </c>
      <c r="I1001" s="5" t="str">
        <f t="shared" si="114"/>
        <v>016</v>
      </c>
      <c r="J1001" s="5" t="str">
        <f t="shared" si="115"/>
        <v>2100</v>
      </c>
      <c r="K1001" s="5" t="str">
        <f t="shared" si="116"/>
        <v>000</v>
      </c>
      <c r="L1001" s="5">
        <f t="shared" si="117"/>
        <v>1</v>
      </c>
      <c r="M1001" s="5">
        <f t="shared" si="118"/>
        <v>2012</v>
      </c>
    </row>
    <row r="1002" spans="1:13" ht="17.45" customHeight="1" x14ac:dyDescent="0.25">
      <c r="A1002" s="1">
        <f>DATE(2012,1,27)</f>
        <v>40935</v>
      </c>
      <c r="B1002" t="s">
        <v>12</v>
      </c>
      <c r="C1002" t="s">
        <v>8</v>
      </c>
      <c r="D1002" s="3">
        <v>2205.2580000000003</v>
      </c>
      <c r="E1002" s="3">
        <v>0</v>
      </c>
      <c r="F1002" t="s">
        <v>45</v>
      </c>
      <c r="G1002" s="3">
        <f t="shared" si="112"/>
        <v>-2205.2580000000003</v>
      </c>
      <c r="H1002" s="3">
        <f t="shared" si="113"/>
        <v>2205.2580000000003</v>
      </c>
      <c r="I1002" s="5" t="str">
        <f t="shared" si="114"/>
        <v>016</v>
      </c>
      <c r="J1002" s="5" t="str">
        <f t="shared" si="115"/>
        <v>2210</v>
      </c>
      <c r="K1002" s="5" t="str">
        <f t="shared" si="116"/>
        <v>000</v>
      </c>
      <c r="L1002" s="5">
        <f t="shared" si="117"/>
        <v>1</v>
      </c>
      <c r="M1002" s="5">
        <f t="shared" si="118"/>
        <v>2012</v>
      </c>
    </row>
    <row r="1003" spans="1:13" ht="17.45" customHeight="1" x14ac:dyDescent="0.25">
      <c r="A1003" s="1">
        <f>DATE(2012,1,27)</f>
        <v>40935</v>
      </c>
      <c r="B1003" t="s">
        <v>13</v>
      </c>
      <c r="C1003" t="s">
        <v>9</v>
      </c>
      <c r="D1003" s="3">
        <v>635.28300000000002</v>
      </c>
      <c r="E1003" s="3">
        <v>0</v>
      </c>
      <c r="F1003" t="s">
        <v>45</v>
      </c>
      <c r="G1003" s="3">
        <f t="shared" si="112"/>
        <v>-635.28300000000002</v>
      </c>
      <c r="H1003" s="3">
        <f t="shared" si="113"/>
        <v>635.28300000000002</v>
      </c>
      <c r="I1003" s="5" t="str">
        <f t="shared" si="114"/>
        <v>016</v>
      </c>
      <c r="J1003" s="5" t="str">
        <f t="shared" si="115"/>
        <v>2220</v>
      </c>
      <c r="K1003" s="5" t="str">
        <f t="shared" si="116"/>
        <v>000</v>
      </c>
      <c r="L1003" s="5">
        <f t="shared" si="117"/>
        <v>1</v>
      </c>
      <c r="M1003" s="5">
        <f t="shared" si="118"/>
        <v>2012</v>
      </c>
    </row>
    <row r="1004" spans="1:13" ht="17.45" customHeight="1" x14ac:dyDescent="0.25">
      <c r="A1004" s="1">
        <f>DATE(2012,1,27)</f>
        <v>40935</v>
      </c>
      <c r="B1004" t="s">
        <v>14</v>
      </c>
      <c r="C1004" t="s">
        <v>10</v>
      </c>
      <c r="D1004" s="3">
        <v>333.89350000000002</v>
      </c>
      <c r="E1004" s="3">
        <v>0</v>
      </c>
      <c r="F1004" t="s">
        <v>45</v>
      </c>
      <c r="G1004" s="3">
        <f t="shared" si="112"/>
        <v>-333.89350000000002</v>
      </c>
      <c r="H1004" s="3">
        <f t="shared" si="113"/>
        <v>333.89350000000002</v>
      </c>
      <c r="I1004" s="5" t="str">
        <f t="shared" si="114"/>
        <v>016</v>
      </c>
      <c r="J1004" s="5" t="str">
        <f t="shared" si="115"/>
        <v>2230</v>
      </c>
      <c r="K1004" s="5" t="str">
        <f t="shared" si="116"/>
        <v>000</v>
      </c>
      <c r="L1004" s="5">
        <f t="shared" si="117"/>
        <v>1</v>
      </c>
      <c r="M1004" s="5">
        <f t="shared" si="118"/>
        <v>2012</v>
      </c>
    </row>
    <row r="1005" spans="1:13" ht="17.45" customHeight="1" x14ac:dyDescent="0.25">
      <c r="A1005" s="1">
        <f>DATE(2012,1,28)</f>
        <v>40936</v>
      </c>
      <c r="B1005" t="s">
        <v>11</v>
      </c>
      <c r="C1005" t="s">
        <v>6</v>
      </c>
      <c r="D1005" s="3">
        <v>11173.368</v>
      </c>
      <c r="E1005" s="3">
        <v>0</v>
      </c>
      <c r="F1005" t="s">
        <v>45</v>
      </c>
      <c r="G1005" s="3">
        <f t="shared" si="112"/>
        <v>-11173.368</v>
      </c>
      <c r="H1005" s="3">
        <f t="shared" si="113"/>
        <v>11173.368</v>
      </c>
      <c r="I1005" s="5" t="str">
        <f t="shared" si="114"/>
        <v>016</v>
      </c>
      <c r="J1005" s="5" t="str">
        <f t="shared" si="115"/>
        <v>2100</v>
      </c>
      <c r="K1005" s="5" t="str">
        <f t="shared" si="116"/>
        <v>000</v>
      </c>
      <c r="L1005" s="5">
        <f t="shared" si="117"/>
        <v>1</v>
      </c>
      <c r="M1005" s="5">
        <f t="shared" si="118"/>
        <v>2012</v>
      </c>
    </row>
    <row r="1006" spans="1:13" ht="17.45" customHeight="1" x14ac:dyDescent="0.25">
      <c r="A1006" s="1">
        <f>DATE(2012,1,28)</f>
        <v>40936</v>
      </c>
      <c r="B1006" t="s">
        <v>12</v>
      </c>
      <c r="C1006" t="s">
        <v>8</v>
      </c>
      <c r="D1006" s="3">
        <v>3030.3580000000002</v>
      </c>
      <c r="E1006" s="3">
        <v>0</v>
      </c>
      <c r="F1006" t="s">
        <v>45</v>
      </c>
      <c r="G1006" s="3">
        <f t="shared" si="112"/>
        <v>-3030.3580000000002</v>
      </c>
      <c r="H1006" s="3">
        <f t="shared" si="113"/>
        <v>3030.3580000000002</v>
      </c>
      <c r="I1006" s="5" t="str">
        <f t="shared" si="114"/>
        <v>016</v>
      </c>
      <c r="J1006" s="5" t="str">
        <f t="shared" si="115"/>
        <v>2210</v>
      </c>
      <c r="K1006" s="5" t="str">
        <f t="shared" si="116"/>
        <v>000</v>
      </c>
      <c r="L1006" s="5">
        <f t="shared" si="117"/>
        <v>1</v>
      </c>
      <c r="M1006" s="5">
        <f t="shared" si="118"/>
        <v>2012</v>
      </c>
    </row>
    <row r="1007" spans="1:13" ht="17.45" customHeight="1" x14ac:dyDescent="0.25">
      <c r="A1007" s="1">
        <f>DATE(2012,1,28)</f>
        <v>40936</v>
      </c>
      <c r="B1007" t="s">
        <v>13</v>
      </c>
      <c r="C1007" t="s">
        <v>9</v>
      </c>
      <c r="D1007" s="3">
        <v>705.04200000000003</v>
      </c>
      <c r="E1007" s="3">
        <v>0</v>
      </c>
      <c r="F1007" t="s">
        <v>45</v>
      </c>
      <c r="G1007" s="3">
        <f t="shared" si="112"/>
        <v>-705.04200000000003</v>
      </c>
      <c r="H1007" s="3">
        <f t="shared" si="113"/>
        <v>705.04200000000003</v>
      </c>
      <c r="I1007" s="5" t="str">
        <f t="shared" si="114"/>
        <v>016</v>
      </c>
      <c r="J1007" s="5" t="str">
        <f t="shared" si="115"/>
        <v>2220</v>
      </c>
      <c r="K1007" s="5" t="str">
        <f t="shared" si="116"/>
        <v>000</v>
      </c>
      <c r="L1007" s="5">
        <f t="shared" si="117"/>
        <v>1</v>
      </c>
      <c r="M1007" s="5">
        <f t="shared" si="118"/>
        <v>2012</v>
      </c>
    </row>
    <row r="1008" spans="1:13" ht="17.45" customHeight="1" x14ac:dyDescent="0.25">
      <c r="A1008" s="1">
        <f>DATE(2012,1,28)</f>
        <v>40936</v>
      </c>
      <c r="B1008" t="s">
        <v>14</v>
      </c>
      <c r="C1008" t="s">
        <v>10</v>
      </c>
      <c r="D1008" s="3">
        <v>288.27199999999999</v>
      </c>
      <c r="E1008" s="3">
        <v>0</v>
      </c>
      <c r="F1008" t="s">
        <v>45</v>
      </c>
      <c r="G1008" s="3">
        <f t="shared" si="112"/>
        <v>-288.27199999999999</v>
      </c>
      <c r="H1008" s="3">
        <f t="shared" si="113"/>
        <v>288.27199999999999</v>
      </c>
      <c r="I1008" s="5" t="str">
        <f t="shared" si="114"/>
        <v>016</v>
      </c>
      <c r="J1008" s="5" t="str">
        <f t="shared" si="115"/>
        <v>2230</v>
      </c>
      <c r="K1008" s="5" t="str">
        <f t="shared" si="116"/>
        <v>000</v>
      </c>
      <c r="L1008" s="5">
        <f t="shared" si="117"/>
        <v>1</v>
      </c>
      <c r="M1008" s="5">
        <f t="shared" si="118"/>
        <v>2012</v>
      </c>
    </row>
    <row r="1009" spans="1:13" ht="17.45" customHeight="1" x14ac:dyDescent="0.25">
      <c r="A1009" s="1">
        <f>DATE(2012,1,29)</f>
        <v>40937</v>
      </c>
      <c r="B1009" t="s">
        <v>11</v>
      </c>
      <c r="C1009" t="s">
        <v>6</v>
      </c>
      <c r="D1009" s="3">
        <v>7328.0376000000006</v>
      </c>
      <c r="E1009" s="3">
        <v>0</v>
      </c>
      <c r="F1009" t="s">
        <v>45</v>
      </c>
      <c r="G1009" s="3">
        <f t="shared" si="112"/>
        <v>-7328.0376000000006</v>
      </c>
      <c r="H1009" s="3">
        <f t="shared" si="113"/>
        <v>7328.0376000000006</v>
      </c>
      <c r="I1009" s="5" t="str">
        <f t="shared" si="114"/>
        <v>016</v>
      </c>
      <c r="J1009" s="5" t="str">
        <f t="shared" si="115"/>
        <v>2100</v>
      </c>
      <c r="K1009" s="5" t="str">
        <f t="shared" si="116"/>
        <v>000</v>
      </c>
      <c r="L1009" s="5">
        <f t="shared" si="117"/>
        <v>1</v>
      </c>
      <c r="M1009" s="5">
        <f t="shared" si="118"/>
        <v>2012</v>
      </c>
    </row>
    <row r="1010" spans="1:13" ht="17.45" customHeight="1" x14ac:dyDescent="0.25">
      <c r="A1010" s="1">
        <f>DATE(2012,1,29)</f>
        <v>40937</v>
      </c>
      <c r="B1010" t="s">
        <v>12</v>
      </c>
      <c r="C1010" t="s">
        <v>8</v>
      </c>
      <c r="D1010" s="3">
        <v>1919.4579999999999</v>
      </c>
      <c r="E1010" s="3">
        <v>0</v>
      </c>
      <c r="F1010" t="s">
        <v>45</v>
      </c>
      <c r="G1010" s="3">
        <f t="shared" si="112"/>
        <v>-1919.4579999999999</v>
      </c>
      <c r="H1010" s="3">
        <f t="shared" si="113"/>
        <v>1919.4579999999999</v>
      </c>
      <c r="I1010" s="5" t="str">
        <f t="shared" si="114"/>
        <v>016</v>
      </c>
      <c r="J1010" s="5" t="str">
        <f t="shared" si="115"/>
        <v>2210</v>
      </c>
      <c r="K1010" s="5" t="str">
        <f t="shared" si="116"/>
        <v>000</v>
      </c>
      <c r="L1010" s="5">
        <f t="shared" si="117"/>
        <v>1</v>
      </c>
      <c r="M1010" s="5">
        <f t="shared" si="118"/>
        <v>2012</v>
      </c>
    </row>
    <row r="1011" spans="1:13" ht="17.45" customHeight="1" x14ac:dyDescent="0.25">
      <c r="A1011" s="1">
        <f>DATE(2012,1,29)</f>
        <v>40937</v>
      </c>
      <c r="B1011" t="s">
        <v>13</v>
      </c>
      <c r="C1011" t="s">
        <v>9</v>
      </c>
      <c r="D1011" s="3">
        <v>413.09999999999997</v>
      </c>
      <c r="E1011" s="3">
        <v>0</v>
      </c>
      <c r="F1011" t="s">
        <v>45</v>
      </c>
      <c r="G1011" s="3">
        <f t="shared" si="112"/>
        <v>-413.09999999999997</v>
      </c>
      <c r="H1011" s="3">
        <f t="shared" si="113"/>
        <v>413.09999999999997</v>
      </c>
      <c r="I1011" s="5" t="str">
        <f t="shared" si="114"/>
        <v>016</v>
      </c>
      <c r="J1011" s="5" t="str">
        <f t="shared" si="115"/>
        <v>2220</v>
      </c>
      <c r="K1011" s="5" t="str">
        <f t="shared" si="116"/>
        <v>000</v>
      </c>
      <c r="L1011" s="5">
        <f t="shared" si="117"/>
        <v>1</v>
      </c>
      <c r="M1011" s="5">
        <f t="shared" si="118"/>
        <v>2012</v>
      </c>
    </row>
    <row r="1012" spans="1:13" ht="17.45" customHeight="1" x14ac:dyDescent="0.25">
      <c r="A1012" s="1">
        <f>DATE(2012,1,29)</f>
        <v>40937</v>
      </c>
      <c r="B1012" t="s">
        <v>14</v>
      </c>
      <c r="C1012" t="s">
        <v>10</v>
      </c>
      <c r="D1012" s="3">
        <v>140.95699999999999</v>
      </c>
      <c r="E1012" s="3">
        <v>0</v>
      </c>
      <c r="F1012" t="s">
        <v>45</v>
      </c>
      <c r="G1012" s="3">
        <f t="shared" si="112"/>
        <v>-140.95699999999999</v>
      </c>
      <c r="H1012" s="3">
        <f t="shared" si="113"/>
        <v>140.95699999999999</v>
      </c>
      <c r="I1012" s="5" t="str">
        <f t="shared" si="114"/>
        <v>016</v>
      </c>
      <c r="J1012" s="5" t="str">
        <f t="shared" si="115"/>
        <v>2230</v>
      </c>
      <c r="K1012" s="5" t="str">
        <f t="shared" si="116"/>
        <v>000</v>
      </c>
      <c r="L1012" s="5">
        <f t="shared" si="117"/>
        <v>1</v>
      </c>
      <c r="M1012" s="5">
        <f t="shared" si="118"/>
        <v>2012</v>
      </c>
    </row>
    <row r="1013" spans="1:13" ht="17.45" customHeight="1" x14ac:dyDescent="0.25">
      <c r="A1013" s="1">
        <f>DATE(2012,1,23)</f>
        <v>40931</v>
      </c>
      <c r="B1013" t="s">
        <v>15</v>
      </c>
      <c r="C1013" t="s">
        <v>6</v>
      </c>
      <c r="D1013" s="3">
        <v>3653.9204</v>
      </c>
      <c r="E1013" s="3">
        <v>0</v>
      </c>
      <c r="F1013" t="s">
        <v>45</v>
      </c>
      <c r="G1013" s="3">
        <f t="shared" si="112"/>
        <v>-3653.9204</v>
      </c>
      <c r="H1013" s="3">
        <f t="shared" si="113"/>
        <v>3653.9204</v>
      </c>
      <c r="I1013" s="5" t="str">
        <f t="shared" si="114"/>
        <v>017</v>
      </c>
      <c r="J1013" s="5" t="str">
        <f t="shared" si="115"/>
        <v>2100</v>
      </c>
      <c r="K1013" s="5" t="str">
        <f t="shared" si="116"/>
        <v>000</v>
      </c>
      <c r="L1013" s="5">
        <f t="shared" si="117"/>
        <v>1</v>
      </c>
      <c r="M1013" s="5">
        <f t="shared" si="118"/>
        <v>2012</v>
      </c>
    </row>
    <row r="1014" spans="1:13" ht="17.45" customHeight="1" x14ac:dyDescent="0.25">
      <c r="A1014" s="1">
        <f>DATE(2012,1,23)</f>
        <v>40931</v>
      </c>
      <c r="B1014" t="s">
        <v>16</v>
      </c>
      <c r="C1014" t="s">
        <v>8</v>
      </c>
      <c r="D1014" s="3">
        <v>689.77</v>
      </c>
      <c r="E1014" s="3">
        <v>0</v>
      </c>
      <c r="F1014" t="s">
        <v>45</v>
      </c>
      <c r="G1014" s="3">
        <f t="shared" si="112"/>
        <v>-689.77</v>
      </c>
      <c r="H1014" s="3">
        <f t="shared" si="113"/>
        <v>689.77</v>
      </c>
      <c r="I1014" s="5" t="str">
        <f t="shared" si="114"/>
        <v>017</v>
      </c>
      <c r="J1014" s="5" t="str">
        <f t="shared" si="115"/>
        <v>2210</v>
      </c>
      <c r="K1014" s="5" t="str">
        <f t="shared" si="116"/>
        <v>000</v>
      </c>
      <c r="L1014" s="5">
        <f t="shared" si="117"/>
        <v>1</v>
      </c>
      <c r="M1014" s="5">
        <f t="shared" si="118"/>
        <v>2012</v>
      </c>
    </row>
    <row r="1015" spans="1:13" ht="17.45" customHeight="1" x14ac:dyDescent="0.25">
      <c r="A1015" s="1">
        <f>DATE(2012,1,23)</f>
        <v>40931</v>
      </c>
      <c r="B1015" t="s">
        <v>17</v>
      </c>
      <c r="C1015" t="s">
        <v>9</v>
      </c>
      <c r="D1015" s="3">
        <v>247.17</v>
      </c>
      <c r="E1015" s="3">
        <v>0</v>
      </c>
      <c r="F1015" t="s">
        <v>45</v>
      </c>
      <c r="G1015" s="3">
        <f t="shared" si="112"/>
        <v>-247.17</v>
      </c>
      <c r="H1015" s="3">
        <f t="shared" si="113"/>
        <v>247.17</v>
      </c>
      <c r="I1015" s="5" t="str">
        <f t="shared" si="114"/>
        <v>017</v>
      </c>
      <c r="J1015" s="5" t="str">
        <f t="shared" si="115"/>
        <v>2220</v>
      </c>
      <c r="K1015" s="5" t="str">
        <f t="shared" si="116"/>
        <v>000</v>
      </c>
      <c r="L1015" s="5">
        <f t="shared" si="117"/>
        <v>1</v>
      </c>
      <c r="M1015" s="5">
        <f t="shared" si="118"/>
        <v>2012</v>
      </c>
    </row>
    <row r="1016" spans="1:13" ht="17.45" customHeight="1" x14ac:dyDescent="0.25">
      <c r="A1016" s="1">
        <f>DATE(2012,1,23)</f>
        <v>40931</v>
      </c>
      <c r="B1016" t="s">
        <v>18</v>
      </c>
      <c r="C1016" t="s">
        <v>10</v>
      </c>
      <c r="D1016" s="3">
        <v>82.655000000000001</v>
      </c>
      <c r="E1016" s="3">
        <v>0</v>
      </c>
      <c r="F1016" t="s">
        <v>45</v>
      </c>
      <c r="G1016" s="3">
        <f t="shared" si="112"/>
        <v>-82.655000000000001</v>
      </c>
      <c r="H1016" s="3">
        <f t="shared" si="113"/>
        <v>82.655000000000001</v>
      </c>
      <c r="I1016" s="5" t="str">
        <f t="shared" si="114"/>
        <v>017</v>
      </c>
      <c r="J1016" s="5" t="str">
        <f t="shared" si="115"/>
        <v>2230</v>
      </c>
      <c r="K1016" s="5" t="str">
        <f t="shared" si="116"/>
        <v>000</v>
      </c>
      <c r="L1016" s="5">
        <f t="shared" si="117"/>
        <v>1</v>
      </c>
      <c r="M1016" s="5">
        <f t="shared" si="118"/>
        <v>2012</v>
      </c>
    </row>
    <row r="1017" spans="1:13" ht="17.45" customHeight="1" x14ac:dyDescent="0.25">
      <c r="A1017" s="1">
        <f>DATE(2012,1,24)</f>
        <v>40932</v>
      </c>
      <c r="B1017" t="s">
        <v>15</v>
      </c>
      <c r="C1017" t="s">
        <v>6</v>
      </c>
      <c r="D1017" s="3">
        <v>6353.46</v>
      </c>
      <c r="E1017" s="3">
        <v>0</v>
      </c>
      <c r="F1017" t="s">
        <v>45</v>
      </c>
      <c r="G1017" s="3">
        <f t="shared" si="112"/>
        <v>-6353.46</v>
      </c>
      <c r="H1017" s="3">
        <f t="shared" si="113"/>
        <v>6353.46</v>
      </c>
      <c r="I1017" s="5" t="str">
        <f t="shared" si="114"/>
        <v>017</v>
      </c>
      <c r="J1017" s="5" t="str">
        <f t="shared" si="115"/>
        <v>2100</v>
      </c>
      <c r="K1017" s="5" t="str">
        <f t="shared" si="116"/>
        <v>000</v>
      </c>
      <c r="L1017" s="5">
        <f t="shared" si="117"/>
        <v>1</v>
      </c>
      <c r="M1017" s="5">
        <f t="shared" si="118"/>
        <v>2012</v>
      </c>
    </row>
    <row r="1018" spans="1:13" ht="17.45" customHeight="1" x14ac:dyDescent="0.25">
      <c r="A1018" s="1">
        <f>DATE(2012,1,24)</f>
        <v>40932</v>
      </c>
      <c r="B1018" t="s">
        <v>16</v>
      </c>
      <c r="C1018" t="s">
        <v>8</v>
      </c>
      <c r="D1018" s="3">
        <v>1539.3585000000003</v>
      </c>
      <c r="E1018" s="3">
        <v>0</v>
      </c>
      <c r="F1018" t="s">
        <v>45</v>
      </c>
      <c r="G1018" s="3">
        <f t="shared" si="112"/>
        <v>-1539.3585000000003</v>
      </c>
      <c r="H1018" s="3">
        <f t="shared" si="113"/>
        <v>1539.3585000000003</v>
      </c>
      <c r="I1018" s="5" t="str">
        <f t="shared" si="114"/>
        <v>017</v>
      </c>
      <c r="J1018" s="5" t="str">
        <f t="shared" si="115"/>
        <v>2210</v>
      </c>
      <c r="K1018" s="5" t="str">
        <f t="shared" si="116"/>
        <v>000</v>
      </c>
      <c r="L1018" s="5">
        <f t="shared" si="117"/>
        <v>1</v>
      </c>
      <c r="M1018" s="5">
        <f t="shared" si="118"/>
        <v>2012</v>
      </c>
    </row>
    <row r="1019" spans="1:13" ht="17.45" customHeight="1" x14ac:dyDescent="0.25">
      <c r="A1019" s="1">
        <f>DATE(2012,1,24)</f>
        <v>40932</v>
      </c>
      <c r="B1019" t="s">
        <v>17</v>
      </c>
      <c r="C1019" t="s">
        <v>9</v>
      </c>
      <c r="D1019" s="3">
        <v>513.625</v>
      </c>
      <c r="E1019" s="3">
        <v>0</v>
      </c>
      <c r="F1019" t="s">
        <v>45</v>
      </c>
      <c r="G1019" s="3">
        <f t="shared" si="112"/>
        <v>-513.625</v>
      </c>
      <c r="H1019" s="3">
        <f t="shared" si="113"/>
        <v>513.625</v>
      </c>
      <c r="I1019" s="5" t="str">
        <f t="shared" si="114"/>
        <v>017</v>
      </c>
      <c r="J1019" s="5" t="str">
        <f t="shared" si="115"/>
        <v>2220</v>
      </c>
      <c r="K1019" s="5" t="str">
        <f t="shared" si="116"/>
        <v>000</v>
      </c>
      <c r="L1019" s="5">
        <f t="shared" si="117"/>
        <v>1</v>
      </c>
      <c r="M1019" s="5">
        <f t="shared" si="118"/>
        <v>2012</v>
      </c>
    </row>
    <row r="1020" spans="1:13" ht="17.45" customHeight="1" x14ac:dyDescent="0.25">
      <c r="A1020" s="1">
        <f>DATE(2012,1,24)</f>
        <v>40932</v>
      </c>
      <c r="B1020" t="s">
        <v>18</v>
      </c>
      <c r="C1020" t="s">
        <v>10</v>
      </c>
      <c r="D1020" s="3">
        <v>163.48000000000002</v>
      </c>
      <c r="E1020" s="3">
        <v>0</v>
      </c>
      <c r="F1020" t="s">
        <v>45</v>
      </c>
      <c r="G1020" s="3">
        <f t="shared" si="112"/>
        <v>-163.48000000000002</v>
      </c>
      <c r="H1020" s="3">
        <f t="shared" si="113"/>
        <v>163.48000000000002</v>
      </c>
      <c r="I1020" s="5" t="str">
        <f t="shared" si="114"/>
        <v>017</v>
      </c>
      <c r="J1020" s="5" t="str">
        <f t="shared" si="115"/>
        <v>2230</v>
      </c>
      <c r="K1020" s="5" t="str">
        <f t="shared" si="116"/>
        <v>000</v>
      </c>
      <c r="L1020" s="5">
        <f t="shared" si="117"/>
        <v>1</v>
      </c>
      <c r="M1020" s="5">
        <f t="shared" si="118"/>
        <v>2012</v>
      </c>
    </row>
    <row r="1021" spans="1:13" ht="17.45" customHeight="1" x14ac:dyDescent="0.25">
      <c r="A1021" s="1">
        <f>DATE(2012,1,25)</f>
        <v>40933</v>
      </c>
      <c r="B1021" t="s">
        <v>15</v>
      </c>
      <c r="C1021" t="s">
        <v>6</v>
      </c>
      <c r="D1021" s="3">
        <v>6877.6215000000002</v>
      </c>
      <c r="E1021" s="3">
        <v>0</v>
      </c>
      <c r="F1021" t="s">
        <v>45</v>
      </c>
      <c r="G1021" s="3">
        <f t="shared" si="112"/>
        <v>-6877.6215000000002</v>
      </c>
      <c r="H1021" s="3">
        <f t="shared" si="113"/>
        <v>6877.6215000000002</v>
      </c>
      <c r="I1021" s="5" t="str">
        <f t="shared" si="114"/>
        <v>017</v>
      </c>
      <c r="J1021" s="5" t="str">
        <f t="shared" si="115"/>
        <v>2100</v>
      </c>
      <c r="K1021" s="5" t="str">
        <f t="shared" si="116"/>
        <v>000</v>
      </c>
      <c r="L1021" s="5">
        <f t="shared" si="117"/>
        <v>1</v>
      </c>
      <c r="M1021" s="5">
        <f t="shared" si="118"/>
        <v>2012</v>
      </c>
    </row>
    <row r="1022" spans="1:13" ht="17.45" customHeight="1" x14ac:dyDescent="0.25">
      <c r="A1022" s="1">
        <f>DATE(2012,1,25)</f>
        <v>40933</v>
      </c>
      <c r="B1022" t="s">
        <v>16</v>
      </c>
      <c r="C1022" t="s">
        <v>8</v>
      </c>
      <c r="D1022" s="3">
        <v>1899.1559999999999</v>
      </c>
      <c r="E1022" s="3">
        <v>0</v>
      </c>
      <c r="F1022" t="s">
        <v>45</v>
      </c>
      <c r="G1022" s="3">
        <f t="shared" si="112"/>
        <v>-1899.1559999999999</v>
      </c>
      <c r="H1022" s="3">
        <f t="shared" si="113"/>
        <v>1899.1559999999999</v>
      </c>
      <c r="I1022" s="5" t="str">
        <f t="shared" si="114"/>
        <v>017</v>
      </c>
      <c r="J1022" s="5" t="str">
        <f t="shared" si="115"/>
        <v>2210</v>
      </c>
      <c r="K1022" s="5" t="str">
        <f t="shared" si="116"/>
        <v>000</v>
      </c>
      <c r="L1022" s="5">
        <f t="shared" si="117"/>
        <v>1</v>
      </c>
      <c r="M1022" s="5">
        <f t="shared" si="118"/>
        <v>2012</v>
      </c>
    </row>
    <row r="1023" spans="1:13" ht="17.45" customHeight="1" x14ac:dyDescent="0.25">
      <c r="A1023" s="1">
        <f>DATE(2012,1,25)</f>
        <v>40933</v>
      </c>
      <c r="B1023" t="s">
        <v>17</v>
      </c>
      <c r="C1023" t="s">
        <v>9</v>
      </c>
      <c r="D1023" s="3">
        <v>539.17500000000007</v>
      </c>
      <c r="E1023" s="3">
        <v>0</v>
      </c>
      <c r="F1023" t="s">
        <v>45</v>
      </c>
      <c r="G1023" s="3">
        <f t="shared" si="112"/>
        <v>-539.17500000000007</v>
      </c>
      <c r="H1023" s="3">
        <f t="shared" si="113"/>
        <v>539.17500000000007</v>
      </c>
      <c r="I1023" s="5" t="str">
        <f t="shared" si="114"/>
        <v>017</v>
      </c>
      <c r="J1023" s="5" t="str">
        <f t="shared" si="115"/>
        <v>2220</v>
      </c>
      <c r="K1023" s="5" t="str">
        <f t="shared" si="116"/>
        <v>000</v>
      </c>
      <c r="L1023" s="5">
        <f t="shared" si="117"/>
        <v>1</v>
      </c>
      <c r="M1023" s="5">
        <f t="shared" si="118"/>
        <v>2012</v>
      </c>
    </row>
    <row r="1024" spans="1:13" ht="17.45" customHeight="1" x14ac:dyDescent="0.25">
      <c r="A1024" s="1">
        <f>DATE(2012,1,25)</f>
        <v>40933</v>
      </c>
      <c r="B1024" t="s">
        <v>18</v>
      </c>
      <c r="C1024" t="s">
        <v>10</v>
      </c>
      <c r="D1024" s="3">
        <v>171.82500000000002</v>
      </c>
      <c r="E1024" s="3">
        <v>0</v>
      </c>
      <c r="F1024" t="s">
        <v>45</v>
      </c>
      <c r="G1024" s="3">
        <f t="shared" si="112"/>
        <v>-171.82500000000002</v>
      </c>
      <c r="H1024" s="3">
        <f t="shared" si="113"/>
        <v>171.82500000000002</v>
      </c>
      <c r="I1024" s="5" t="str">
        <f t="shared" si="114"/>
        <v>017</v>
      </c>
      <c r="J1024" s="5" t="str">
        <f t="shared" si="115"/>
        <v>2230</v>
      </c>
      <c r="K1024" s="5" t="str">
        <f t="shared" si="116"/>
        <v>000</v>
      </c>
      <c r="L1024" s="5">
        <f t="shared" si="117"/>
        <v>1</v>
      </c>
      <c r="M1024" s="5">
        <f t="shared" si="118"/>
        <v>2012</v>
      </c>
    </row>
    <row r="1025" spans="1:13" ht="17.45" customHeight="1" x14ac:dyDescent="0.25">
      <c r="A1025" s="1">
        <f>DATE(2012,1,26)</f>
        <v>40934</v>
      </c>
      <c r="B1025" t="s">
        <v>15</v>
      </c>
      <c r="C1025" t="s">
        <v>6</v>
      </c>
      <c r="D1025" s="3">
        <v>5284.8272000000006</v>
      </c>
      <c r="E1025" s="3">
        <v>0</v>
      </c>
      <c r="F1025" t="s">
        <v>45</v>
      </c>
      <c r="G1025" s="3">
        <f t="shared" si="112"/>
        <v>-5284.8272000000006</v>
      </c>
      <c r="H1025" s="3">
        <f t="shared" si="113"/>
        <v>5284.8272000000006</v>
      </c>
      <c r="I1025" s="5" t="str">
        <f t="shared" si="114"/>
        <v>017</v>
      </c>
      <c r="J1025" s="5" t="str">
        <f t="shared" si="115"/>
        <v>2100</v>
      </c>
      <c r="K1025" s="5" t="str">
        <f t="shared" si="116"/>
        <v>000</v>
      </c>
      <c r="L1025" s="5">
        <f t="shared" si="117"/>
        <v>1</v>
      </c>
      <c r="M1025" s="5">
        <f t="shared" si="118"/>
        <v>2012</v>
      </c>
    </row>
    <row r="1026" spans="1:13" ht="17.45" customHeight="1" x14ac:dyDescent="0.25">
      <c r="A1026" s="1">
        <f>DATE(2012,1,26)</f>
        <v>40934</v>
      </c>
      <c r="B1026" t="s">
        <v>16</v>
      </c>
      <c r="C1026" t="s">
        <v>8</v>
      </c>
      <c r="D1026" s="3">
        <v>1281.1865</v>
      </c>
      <c r="E1026" s="3">
        <v>0</v>
      </c>
      <c r="F1026" t="s">
        <v>45</v>
      </c>
      <c r="G1026" s="3">
        <f t="shared" ref="G1026:G1089" si="119">E1026-D1026</f>
        <v>-1281.1865</v>
      </c>
      <c r="H1026" s="3">
        <f t="shared" ref="H1026:H1089" si="120">ABS(G1026)</f>
        <v>1281.1865</v>
      </c>
      <c r="I1026" s="5" t="str">
        <f t="shared" ref="I1026:I1089" si="121">MID(B1026,1,3)</f>
        <v>017</v>
      </c>
      <c r="J1026" s="5" t="str">
        <f t="shared" ref="J1026:J1089" si="122">MID(B1026,5,4)</f>
        <v>2210</v>
      </c>
      <c r="K1026" s="5" t="str">
        <f t="shared" ref="K1026:K1089" si="123">MID(B1026,10,3)</f>
        <v>000</v>
      </c>
      <c r="L1026" s="5">
        <f t="shared" ref="L1026:L1089" si="124">MONTH(A1026)</f>
        <v>1</v>
      </c>
      <c r="M1026" s="5">
        <f t="shared" ref="M1026:M1089" si="125">YEAR(A1026)</f>
        <v>2012</v>
      </c>
    </row>
    <row r="1027" spans="1:13" ht="17.45" customHeight="1" x14ac:dyDescent="0.25">
      <c r="A1027" s="1">
        <f>DATE(2012,1,26)</f>
        <v>40934</v>
      </c>
      <c r="B1027" t="s">
        <v>17</v>
      </c>
      <c r="C1027" t="s">
        <v>9</v>
      </c>
      <c r="D1027" s="3">
        <v>519.75</v>
      </c>
      <c r="E1027" s="3">
        <v>0</v>
      </c>
      <c r="F1027" t="s">
        <v>45</v>
      </c>
      <c r="G1027" s="3">
        <f t="shared" si="119"/>
        <v>-519.75</v>
      </c>
      <c r="H1027" s="3">
        <f t="shared" si="120"/>
        <v>519.75</v>
      </c>
      <c r="I1027" s="5" t="str">
        <f t="shared" si="121"/>
        <v>017</v>
      </c>
      <c r="J1027" s="5" t="str">
        <f t="shared" si="122"/>
        <v>2220</v>
      </c>
      <c r="K1027" s="5" t="str">
        <f t="shared" si="123"/>
        <v>000</v>
      </c>
      <c r="L1027" s="5">
        <f t="shared" si="124"/>
        <v>1</v>
      </c>
      <c r="M1027" s="5">
        <f t="shared" si="125"/>
        <v>2012</v>
      </c>
    </row>
    <row r="1028" spans="1:13" ht="17.45" customHeight="1" x14ac:dyDescent="0.25">
      <c r="A1028" s="1">
        <f>DATE(2012,1,26)</f>
        <v>40934</v>
      </c>
      <c r="B1028" t="s">
        <v>18</v>
      </c>
      <c r="C1028" t="s">
        <v>10</v>
      </c>
      <c r="D1028" s="3">
        <v>144.67000000000002</v>
      </c>
      <c r="E1028" s="3">
        <v>0</v>
      </c>
      <c r="F1028" t="s">
        <v>45</v>
      </c>
      <c r="G1028" s="3">
        <f t="shared" si="119"/>
        <v>-144.67000000000002</v>
      </c>
      <c r="H1028" s="3">
        <f t="shared" si="120"/>
        <v>144.67000000000002</v>
      </c>
      <c r="I1028" s="5" t="str">
        <f t="shared" si="121"/>
        <v>017</v>
      </c>
      <c r="J1028" s="5" t="str">
        <f t="shared" si="122"/>
        <v>2230</v>
      </c>
      <c r="K1028" s="5" t="str">
        <f t="shared" si="123"/>
        <v>000</v>
      </c>
      <c r="L1028" s="5">
        <f t="shared" si="124"/>
        <v>1</v>
      </c>
      <c r="M1028" s="5">
        <f t="shared" si="125"/>
        <v>2012</v>
      </c>
    </row>
    <row r="1029" spans="1:13" ht="17.45" customHeight="1" x14ac:dyDescent="0.25">
      <c r="A1029" s="1">
        <f>DATE(2012,1,27)</f>
        <v>40935</v>
      </c>
      <c r="B1029" t="s">
        <v>15</v>
      </c>
      <c r="C1029" t="s">
        <v>6</v>
      </c>
      <c r="D1029" s="3">
        <v>8322.8984</v>
      </c>
      <c r="E1029" s="3">
        <v>0</v>
      </c>
      <c r="F1029" t="s">
        <v>45</v>
      </c>
      <c r="G1029" s="3">
        <f t="shared" si="119"/>
        <v>-8322.8984</v>
      </c>
      <c r="H1029" s="3">
        <f t="shared" si="120"/>
        <v>8322.8984</v>
      </c>
      <c r="I1029" s="5" t="str">
        <f t="shared" si="121"/>
        <v>017</v>
      </c>
      <c r="J1029" s="5" t="str">
        <f t="shared" si="122"/>
        <v>2100</v>
      </c>
      <c r="K1029" s="5" t="str">
        <f t="shared" si="123"/>
        <v>000</v>
      </c>
      <c r="L1029" s="5">
        <f t="shared" si="124"/>
        <v>1</v>
      </c>
      <c r="M1029" s="5">
        <f t="shared" si="125"/>
        <v>2012</v>
      </c>
    </row>
    <row r="1030" spans="1:13" ht="17.45" customHeight="1" x14ac:dyDescent="0.25">
      <c r="A1030" s="1">
        <f>DATE(2012,1,27)</f>
        <v>40935</v>
      </c>
      <c r="B1030" t="s">
        <v>16</v>
      </c>
      <c r="C1030" t="s">
        <v>8</v>
      </c>
      <c r="D1030" s="3">
        <v>2568.9375</v>
      </c>
      <c r="E1030" s="3">
        <v>0</v>
      </c>
      <c r="F1030" t="s">
        <v>45</v>
      </c>
      <c r="G1030" s="3">
        <f t="shared" si="119"/>
        <v>-2568.9375</v>
      </c>
      <c r="H1030" s="3">
        <f t="shared" si="120"/>
        <v>2568.9375</v>
      </c>
      <c r="I1030" s="5" t="str">
        <f t="shared" si="121"/>
        <v>017</v>
      </c>
      <c r="J1030" s="5" t="str">
        <f t="shared" si="122"/>
        <v>2210</v>
      </c>
      <c r="K1030" s="5" t="str">
        <f t="shared" si="123"/>
        <v>000</v>
      </c>
      <c r="L1030" s="5">
        <f t="shared" si="124"/>
        <v>1</v>
      </c>
      <c r="M1030" s="5">
        <f t="shared" si="125"/>
        <v>2012</v>
      </c>
    </row>
    <row r="1031" spans="1:13" ht="17.45" customHeight="1" x14ac:dyDescent="0.25">
      <c r="A1031" s="1">
        <f>DATE(2012,1,27)</f>
        <v>40935</v>
      </c>
      <c r="B1031" t="s">
        <v>17</v>
      </c>
      <c r="C1031" t="s">
        <v>9</v>
      </c>
      <c r="D1031" s="3">
        <v>569.60749999999996</v>
      </c>
      <c r="E1031" s="3">
        <v>0</v>
      </c>
      <c r="F1031" t="s">
        <v>45</v>
      </c>
      <c r="G1031" s="3">
        <f t="shared" si="119"/>
        <v>-569.60749999999996</v>
      </c>
      <c r="H1031" s="3">
        <f t="shared" si="120"/>
        <v>569.60749999999996</v>
      </c>
      <c r="I1031" s="5" t="str">
        <f t="shared" si="121"/>
        <v>017</v>
      </c>
      <c r="J1031" s="5" t="str">
        <f t="shared" si="122"/>
        <v>2220</v>
      </c>
      <c r="K1031" s="5" t="str">
        <f t="shared" si="123"/>
        <v>000</v>
      </c>
      <c r="L1031" s="5">
        <f t="shared" si="124"/>
        <v>1</v>
      </c>
      <c r="M1031" s="5">
        <f t="shared" si="125"/>
        <v>2012</v>
      </c>
    </row>
    <row r="1032" spans="1:13" ht="17.45" customHeight="1" x14ac:dyDescent="0.25">
      <c r="A1032" s="1">
        <f>DATE(2012,1,27)</f>
        <v>40935</v>
      </c>
      <c r="B1032" t="s">
        <v>18</v>
      </c>
      <c r="C1032" t="s">
        <v>10</v>
      </c>
      <c r="D1032" s="3">
        <v>202.45500000000001</v>
      </c>
      <c r="E1032" s="3">
        <v>0</v>
      </c>
      <c r="F1032" t="s">
        <v>45</v>
      </c>
      <c r="G1032" s="3">
        <f t="shared" si="119"/>
        <v>-202.45500000000001</v>
      </c>
      <c r="H1032" s="3">
        <f t="shared" si="120"/>
        <v>202.45500000000001</v>
      </c>
      <c r="I1032" s="5" t="str">
        <f t="shared" si="121"/>
        <v>017</v>
      </c>
      <c r="J1032" s="5" t="str">
        <f t="shared" si="122"/>
        <v>2230</v>
      </c>
      <c r="K1032" s="5" t="str">
        <f t="shared" si="123"/>
        <v>000</v>
      </c>
      <c r="L1032" s="5">
        <f t="shared" si="124"/>
        <v>1</v>
      </c>
      <c r="M1032" s="5">
        <f t="shared" si="125"/>
        <v>2012</v>
      </c>
    </row>
    <row r="1033" spans="1:13" ht="17.45" customHeight="1" x14ac:dyDescent="0.25">
      <c r="A1033" s="1">
        <f>DATE(2012,1,28)</f>
        <v>40936</v>
      </c>
      <c r="B1033" t="s">
        <v>15</v>
      </c>
      <c r="C1033" t="s">
        <v>6</v>
      </c>
      <c r="D1033" s="3">
        <v>5853.7246999999998</v>
      </c>
      <c r="E1033" s="3">
        <v>0</v>
      </c>
      <c r="F1033" t="s">
        <v>45</v>
      </c>
      <c r="G1033" s="3">
        <f t="shared" si="119"/>
        <v>-5853.7246999999998</v>
      </c>
      <c r="H1033" s="3">
        <f t="shared" si="120"/>
        <v>5853.7246999999998</v>
      </c>
      <c r="I1033" s="5" t="str">
        <f t="shared" si="121"/>
        <v>017</v>
      </c>
      <c r="J1033" s="5" t="str">
        <f t="shared" si="122"/>
        <v>2100</v>
      </c>
      <c r="K1033" s="5" t="str">
        <f t="shared" si="123"/>
        <v>000</v>
      </c>
      <c r="L1033" s="5">
        <f t="shared" si="124"/>
        <v>1</v>
      </c>
      <c r="M1033" s="5">
        <f t="shared" si="125"/>
        <v>2012</v>
      </c>
    </row>
    <row r="1034" spans="1:13" ht="17.45" customHeight="1" x14ac:dyDescent="0.25">
      <c r="A1034" s="1">
        <f>DATE(2012,1,28)</f>
        <v>40936</v>
      </c>
      <c r="B1034" t="s">
        <v>16</v>
      </c>
      <c r="C1034" t="s">
        <v>8</v>
      </c>
      <c r="D1034" s="3">
        <v>2393.6849999999999</v>
      </c>
      <c r="E1034" s="3">
        <v>0</v>
      </c>
      <c r="F1034" t="s">
        <v>45</v>
      </c>
      <c r="G1034" s="3">
        <f t="shared" si="119"/>
        <v>-2393.6849999999999</v>
      </c>
      <c r="H1034" s="3">
        <f t="shared" si="120"/>
        <v>2393.6849999999999</v>
      </c>
      <c r="I1034" s="5" t="str">
        <f t="shared" si="121"/>
        <v>017</v>
      </c>
      <c r="J1034" s="5" t="str">
        <f t="shared" si="122"/>
        <v>2210</v>
      </c>
      <c r="K1034" s="5" t="str">
        <f t="shared" si="123"/>
        <v>000</v>
      </c>
      <c r="L1034" s="5">
        <f t="shared" si="124"/>
        <v>1</v>
      </c>
      <c r="M1034" s="5">
        <f t="shared" si="125"/>
        <v>2012</v>
      </c>
    </row>
    <row r="1035" spans="1:13" ht="17.45" customHeight="1" x14ac:dyDescent="0.25">
      <c r="A1035" s="1">
        <f>DATE(2012,1,28)</f>
        <v>40936</v>
      </c>
      <c r="B1035" t="s">
        <v>17</v>
      </c>
      <c r="C1035" t="s">
        <v>9</v>
      </c>
      <c r="D1035" s="3">
        <v>357.9</v>
      </c>
      <c r="E1035" s="3">
        <v>0</v>
      </c>
      <c r="F1035" t="s">
        <v>45</v>
      </c>
      <c r="G1035" s="3">
        <f t="shared" si="119"/>
        <v>-357.9</v>
      </c>
      <c r="H1035" s="3">
        <f t="shared" si="120"/>
        <v>357.9</v>
      </c>
      <c r="I1035" s="5" t="str">
        <f t="shared" si="121"/>
        <v>017</v>
      </c>
      <c r="J1035" s="5" t="str">
        <f t="shared" si="122"/>
        <v>2220</v>
      </c>
      <c r="K1035" s="5" t="str">
        <f t="shared" si="123"/>
        <v>000</v>
      </c>
      <c r="L1035" s="5">
        <f t="shared" si="124"/>
        <v>1</v>
      </c>
      <c r="M1035" s="5">
        <f t="shared" si="125"/>
        <v>2012</v>
      </c>
    </row>
    <row r="1036" spans="1:13" ht="17.45" customHeight="1" x14ac:dyDescent="0.25">
      <c r="A1036" s="1">
        <f>DATE(2012,1,28)</f>
        <v>40936</v>
      </c>
      <c r="B1036" t="s">
        <v>18</v>
      </c>
      <c r="C1036" t="s">
        <v>10</v>
      </c>
      <c r="D1036" s="3">
        <v>139.5</v>
      </c>
      <c r="E1036" s="3">
        <v>0</v>
      </c>
      <c r="F1036" t="s">
        <v>45</v>
      </c>
      <c r="G1036" s="3">
        <f t="shared" si="119"/>
        <v>-139.5</v>
      </c>
      <c r="H1036" s="3">
        <f t="shared" si="120"/>
        <v>139.5</v>
      </c>
      <c r="I1036" s="5" t="str">
        <f t="shared" si="121"/>
        <v>017</v>
      </c>
      <c r="J1036" s="5" t="str">
        <f t="shared" si="122"/>
        <v>2230</v>
      </c>
      <c r="K1036" s="5" t="str">
        <f t="shared" si="123"/>
        <v>000</v>
      </c>
      <c r="L1036" s="5">
        <f t="shared" si="124"/>
        <v>1</v>
      </c>
      <c r="M1036" s="5">
        <f t="shared" si="125"/>
        <v>2012</v>
      </c>
    </row>
    <row r="1037" spans="1:13" ht="17.45" customHeight="1" x14ac:dyDescent="0.25">
      <c r="A1037" s="1">
        <f>DATE(2012,1,29)</f>
        <v>40937</v>
      </c>
      <c r="B1037" t="s">
        <v>15</v>
      </c>
      <c r="C1037" t="s">
        <v>6</v>
      </c>
      <c r="D1037" s="3">
        <v>4491.8335000000006</v>
      </c>
      <c r="E1037" s="3">
        <v>0</v>
      </c>
      <c r="F1037" t="s">
        <v>45</v>
      </c>
      <c r="G1037" s="3">
        <f t="shared" si="119"/>
        <v>-4491.8335000000006</v>
      </c>
      <c r="H1037" s="3">
        <f t="shared" si="120"/>
        <v>4491.8335000000006</v>
      </c>
      <c r="I1037" s="5" t="str">
        <f t="shared" si="121"/>
        <v>017</v>
      </c>
      <c r="J1037" s="5" t="str">
        <f t="shared" si="122"/>
        <v>2100</v>
      </c>
      <c r="K1037" s="5" t="str">
        <f t="shared" si="123"/>
        <v>000</v>
      </c>
      <c r="L1037" s="5">
        <f t="shared" si="124"/>
        <v>1</v>
      </c>
      <c r="M1037" s="5">
        <f t="shared" si="125"/>
        <v>2012</v>
      </c>
    </row>
    <row r="1038" spans="1:13" ht="17.45" customHeight="1" x14ac:dyDescent="0.25">
      <c r="A1038" s="1">
        <f>DATE(2012,1,29)</f>
        <v>40937</v>
      </c>
      <c r="B1038" t="s">
        <v>16</v>
      </c>
      <c r="C1038" t="s">
        <v>8</v>
      </c>
      <c r="D1038" s="3">
        <v>817.21799999999996</v>
      </c>
      <c r="E1038" s="3">
        <v>0</v>
      </c>
      <c r="F1038" t="s">
        <v>45</v>
      </c>
      <c r="G1038" s="3">
        <f t="shared" si="119"/>
        <v>-817.21799999999996</v>
      </c>
      <c r="H1038" s="3">
        <f t="shared" si="120"/>
        <v>817.21799999999996</v>
      </c>
      <c r="I1038" s="5" t="str">
        <f t="shared" si="121"/>
        <v>017</v>
      </c>
      <c r="J1038" s="5" t="str">
        <f t="shared" si="122"/>
        <v>2210</v>
      </c>
      <c r="K1038" s="5" t="str">
        <f t="shared" si="123"/>
        <v>000</v>
      </c>
      <c r="L1038" s="5">
        <f t="shared" si="124"/>
        <v>1</v>
      </c>
      <c r="M1038" s="5">
        <f t="shared" si="125"/>
        <v>2012</v>
      </c>
    </row>
    <row r="1039" spans="1:13" ht="17.45" customHeight="1" x14ac:dyDescent="0.25">
      <c r="A1039" s="1">
        <f>DATE(2012,1,29)</f>
        <v>40937</v>
      </c>
      <c r="B1039" t="s">
        <v>17</v>
      </c>
      <c r="C1039" t="s">
        <v>9</v>
      </c>
      <c r="D1039" s="3">
        <v>236.88</v>
      </c>
      <c r="E1039" s="3">
        <v>0</v>
      </c>
      <c r="F1039" t="s">
        <v>45</v>
      </c>
      <c r="G1039" s="3">
        <f t="shared" si="119"/>
        <v>-236.88</v>
      </c>
      <c r="H1039" s="3">
        <f t="shared" si="120"/>
        <v>236.88</v>
      </c>
      <c r="I1039" s="5" t="str">
        <f t="shared" si="121"/>
        <v>017</v>
      </c>
      <c r="J1039" s="5" t="str">
        <f t="shared" si="122"/>
        <v>2220</v>
      </c>
      <c r="K1039" s="5" t="str">
        <f t="shared" si="123"/>
        <v>000</v>
      </c>
      <c r="L1039" s="5">
        <f t="shared" si="124"/>
        <v>1</v>
      </c>
      <c r="M1039" s="5">
        <f t="shared" si="125"/>
        <v>2012</v>
      </c>
    </row>
    <row r="1040" spans="1:13" ht="17.45" customHeight="1" x14ac:dyDescent="0.25">
      <c r="A1040" s="1">
        <f>DATE(2012,1,29)</f>
        <v>40937</v>
      </c>
      <c r="B1040" t="s">
        <v>18</v>
      </c>
      <c r="C1040" t="s">
        <v>10</v>
      </c>
      <c r="D1040" s="3">
        <v>66.637499999999989</v>
      </c>
      <c r="E1040" s="3">
        <v>0</v>
      </c>
      <c r="F1040" t="s">
        <v>45</v>
      </c>
      <c r="G1040" s="3">
        <f t="shared" si="119"/>
        <v>-66.637499999999989</v>
      </c>
      <c r="H1040" s="3">
        <f t="shared" si="120"/>
        <v>66.637499999999989</v>
      </c>
      <c r="I1040" s="5" t="str">
        <f t="shared" si="121"/>
        <v>017</v>
      </c>
      <c r="J1040" s="5" t="str">
        <f t="shared" si="122"/>
        <v>2230</v>
      </c>
      <c r="K1040" s="5" t="str">
        <f t="shared" si="123"/>
        <v>000</v>
      </c>
      <c r="L1040" s="5">
        <f t="shared" si="124"/>
        <v>1</v>
      </c>
      <c r="M1040" s="5">
        <f t="shared" si="125"/>
        <v>2012</v>
      </c>
    </row>
    <row r="1041" spans="1:13" ht="17.45" customHeight="1" x14ac:dyDescent="0.25">
      <c r="A1041" s="1">
        <f>DATE(2012,1,23)</f>
        <v>40931</v>
      </c>
      <c r="B1041" t="s">
        <v>19</v>
      </c>
      <c r="C1041" t="s">
        <v>6</v>
      </c>
      <c r="D1041" s="3">
        <v>1995.7463999999998</v>
      </c>
      <c r="E1041" s="3">
        <v>0</v>
      </c>
      <c r="F1041" t="s">
        <v>45</v>
      </c>
      <c r="G1041" s="3">
        <f t="shared" si="119"/>
        <v>-1995.7463999999998</v>
      </c>
      <c r="H1041" s="3">
        <f t="shared" si="120"/>
        <v>1995.7463999999998</v>
      </c>
      <c r="I1041" s="5" t="str">
        <f t="shared" si="121"/>
        <v>018</v>
      </c>
      <c r="J1041" s="5" t="str">
        <f t="shared" si="122"/>
        <v>2100</v>
      </c>
      <c r="K1041" s="5" t="str">
        <f t="shared" si="123"/>
        <v>000</v>
      </c>
      <c r="L1041" s="5">
        <f t="shared" si="124"/>
        <v>1</v>
      </c>
      <c r="M1041" s="5">
        <f t="shared" si="125"/>
        <v>2012</v>
      </c>
    </row>
    <row r="1042" spans="1:13" ht="17.45" customHeight="1" x14ac:dyDescent="0.25">
      <c r="A1042" s="1">
        <f>DATE(2012,1,23)</f>
        <v>40931</v>
      </c>
      <c r="B1042" t="s">
        <v>20</v>
      </c>
      <c r="C1042" t="s">
        <v>8</v>
      </c>
      <c r="D1042" s="3">
        <v>332.81</v>
      </c>
      <c r="E1042" s="3">
        <v>0</v>
      </c>
      <c r="F1042" t="s">
        <v>45</v>
      </c>
      <c r="G1042" s="3">
        <f t="shared" si="119"/>
        <v>-332.81</v>
      </c>
      <c r="H1042" s="3">
        <f t="shared" si="120"/>
        <v>332.81</v>
      </c>
      <c r="I1042" s="5" t="str">
        <f t="shared" si="121"/>
        <v>018</v>
      </c>
      <c r="J1042" s="5" t="str">
        <f t="shared" si="122"/>
        <v>2210</v>
      </c>
      <c r="K1042" s="5" t="str">
        <f t="shared" si="123"/>
        <v>000</v>
      </c>
      <c r="L1042" s="5">
        <f t="shared" si="124"/>
        <v>1</v>
      </c>
      <c r="M1042" s="5">
        <f t="shared" si="125"/>
        <v>2012</v>
      </c>
    </row>
    <row r="1043" spans="1:13" ht="17.45" customHeight="1" x14ac:dyDescent="0.25">
      <c r="A1043" s="1">
        <f>DATE(2012,1,23)</f>
        <v>40931</v>
      </c>
      <c r="B1043" t="s">
        <v>21</v>
      </c>
      <c r="C1043" t="s">
        <v>9</v>
      </c>
      <c r="D1043" s="3">
        <v>97.525500000000008</v>
      </c>
      <c r="E1043" s="3">
        <v>0</v>
      </c>
      <c r="F1043" t="s">
        <v>45</v>
      </c>
      <c r="G1043" s="3">
        <f t="shared" si="119"/>
        <v>-97.525500000000008</v>
      </c>
      <c r="H1043" s="3">
        <f t="shared" si="120"/>
        <v>97.525500000000008</v>
      </c>
      <c r="I1043" s="5" t="str">
        <f t="shared" si="121"/>
        <v>018</v>
      </c>
      <c r="J1043" s="5" t="str">
        <f t="shared" si="122"/>
        <v>2220</v>
      </c>
      <c r="K1043" s="5" t="str">
        <f t="shared" si="123"/>
        <v>000</v>
      </c>
      <c r="L1043" s="5">
        <f t="shared" si="124"/>
        <v>1</v>
      </c>
      <c r="M1043" s="5">
        <f t="shared" si="125"/>
        <v>2012</v>
      </c>
    </row>
    <row r="1044" spans="1:13" ht="17.45" customHeight="1" x14ac:dyDescent="0.25">
      <c r="A1044" s="1">
        <f>DATE(2012,1,23)</f>
        <v>40931</v>
      </c>
      <c r="B1044" t="s">
        <v>22</v>
      </c>
      <c r="C1044" t="s">
        <v>10</v>
      </c>
      <c r="D1044" s="3">
        <v>32.253</v>
      </c>
      <c r="E1044" s="3">
        <v>0</v>
      </c>
      <c r="F1044" t="s">
        <v>45</v>
      </c>
      <c r="G1044" s="3">
        <f t="shared" si="119"/>
        <v>-32.253</v>
      </c>
      <c r="H1044" s="3">
        <f t="shared" si="120"/>
        <v>32.253</v>
      </c>
      <c r="I1044" s="5" t="str">
        <f t="shared" si="121"/>
        <v>018</v>
      </c>
      <c r="J1044" s="5" t="str">
        <f t="shared" si="122"/>
        <v>2230</v>
      </c>
      <c r="K1044" s="5" t="str">
        <f t="shared" si="123"/>
        <v>000</v>
      </c>
      <c r="L1044" s="5">
        <f t="shared" si="124"/>
        <v>1</v>
      </c>
      <c r="M1044" s="5">
        <f t="shared" si="125"/>
        <v>2012</v>
      </c>
    </row>
    <row r="1045" spans="1:13" ht="17.45" customHeight="1" x14ac:dyDescent="0.25">
      <c r="A1045" s="1">
        <f>DATE(2012,1,24)</f>
        <v>40932</v>
      </c>
      <c r="B1045" t="s">
        <v>19</v>
      </c>
      <c r="C1045" t="s">
        <v>6</v>
      </c>
      <c r="D1045" s="3">
        <v>3116.8998000000001</v>
      </c>
      <c r="E1045" s="3">
        <v>0</v>
      </c>
      <c r="F1045" t="s">
        <v>45</v>
      </c>
      <c r="G1045" s="3">
        <f t="shared" si="119"/>
        <v>-3116.8998000000001</v>
      </c>
      <c r="H1045" s="3">
        <f t="shared" si="120"/>
        <v>3116.8998000000001</v>
      </c>
      <c r="I1045" s="5" t="str">
        <f t="shared" si="121"/>
        <v>018</v>
      </c>
      <c r="J1045" s="5" t="str">
        <f t="shared" si="122"/>
        <v>2100</v>
      </c>
      <c r="K1045" s="5" t="str">
        <f t="shared" si="123"/>
        <v>000</v>
      </c>
      <c r="L1045" s="5">
        <f t="shared" si="124"/>
        <v>1</v>
      </c>
      <c r="M1045" s="5">
        <f t="shared" si="125"/>
        <v>2012</v>
      </c>
    </row>
    <row r="1046" spans="1:13" ht="17.45" customHeight="1" x14ac:dyDescent="0.25">
      <c r="A1046" s="1">
        <f>DATE(2012,1,24)</f>
        <v>40932</v>
      </c>
      <c r="B1046" t="s">
        <v>20</v>
      </c>
      <c r="C1046" t="s">
        <v>8</v>
      </c>
      <c r="D1046" s="3">
        <v>579.96249999999998</v>
      </c>
      <c r="E1046" s="3">
        <v>0</v>
      </c>
      <c r="F1046" t="s">
        <v>45</v>
      </c>
      <c r="G1046" s="3">
        <f t="shared" si="119"/>
        <v>-579.96249999999998</v>
      </c>
      <c r="H1046" s="3">
        <f t="shared" si="120"/>
        <v>579.96249999999998</v>
      </c>
      <c r="I1046" s="5" t="str">
        <f t="shared" si="121"/>
        <v>018</v>
      </c>
      <c r="J1046" s="5" t="str">
        <f t="shared" si="122"/>
        <v>2210</v>
      </c>
      <c r="K1046" s="5" t="str">
        <f t="shared" si="123"/>
        <v>000</v>
      </c>
      <c r="L1046" s="5">
        <f t="shared" si="124"/>
        <v>1</v>
      </c>
      <c r="M1046" s="5">
        <f t="shared" si="125"/>
        <v>2012</v>
      </c>
    </row>
    <row r="1047" spans="1:13" ht="17.45" customHeight="1" x14ac:dyDescent="0.25">
      <c r="A1047" s="1">
        <f>DATE(2012,1,24)</f>
        <v>40932</v>
      </c>
      <c r="B1047" t="s">
        <v>21</v>
      </c>
      <c r="C1047" t="s">
        <v>9</v>
      </c>
      <c r="D1047" s="3">
        <v>203.30650000000003</v>
      </c>
      <c r="E1047" s="3">
        <v>0</v>
      </c>
      <c r="F1047" t="s">
        <v>45</v>
      </c>
      <c r="G1047" s="3">
        <f t="shared" si="119"/>
        <v>-203.30650000000003</v>
      </c>
      <c r="H1047" s="3">
        <f t="shared" si="120"/>
        <v>203.30650000000003</v>
      </c>
      <c r="I1047" s="5" t="str">
        <f t="shared" si="121"/>
        <v>018</v>
      </c>
      <c r="J1047" s="5" t="str">
        <f t="shared" si="122"/>
        <v>2220</v>
      </c>
      <c r="K1047" s="5" t="str">
        <f t="shared" si="123"/>
        <v>000</v>
      </c>
      <c r="L1047" s="5">
        <f t="shared" si="124"/>
        <v>1</v>
      </c>
      <c r="M1047" s="5">
        <f t="shared" si="125"/>
        <v>2012</v>
      </c>
    </row>
    <row r="1048" spans="1:13" ht="17.45" customHeight="1" x14ac:dyDescent="0.25">
      <c r="A1048" s="1">
        <f>DATE(2012,1,24)</f>
        <v>40932</v>
      </c>
      <c r="B1048" t="s">
        <v>22</v>
      </c>
      <c r="C1048" t="s">
        <v>10</v>
      </c>
      <c r="D1048" s="3">
        <v>23.315999999999999</v>
      </c>
      <c r="E1048" s="3">
        <v>0</v>
      </c>
      <c r="F1048" t="s">
        <v>45</v>
      </c>
      <c r="G1048" s="3">
        <f t="shared" si="119"/>
        <v>-23.315999999999999</v>
      </c>
      <c r="H1048" s="3">
        <f t="shared" si="120"/>
        <v>23.315999999999999</v>
      </c>
      <c r="I1048" s="5" t="str">
        <f t="shared" si="121"/>
        <v>018</v>
      </c>
      <c r="J1048" s="5" t="str">
        <f t="shared" si="122"/>
        <v>2230</v>
      </c>
      <c r="K1048" s="5" t="str">
        <f t="shared" si="123"/>
        <v>000</v>
      </c>
      <c r="L1048" s="5">
        <f t="shared" si="124"/>
        <v>1</v>
      </c>
      <c r="M1048" s="5">
        <f t="shared" si="125"/>
        <v>2012</v>
      </c>
    </row>
    <row r="1049" spans="1:13" ht="17.45" customHeight="1" x14ac:dyDescent="0.25">
      <c r="A1049" s="1">
        <f>DATE(2012,1,25)</f>
        <v>40933</v>
      </c>
      <c r="B1049" t="s">
        <v>19</v>
      </c>
      <c r="C1049" t="s">
        <v>6</v>
      </c>
      <c r="D1049" s="3">
        <v>3516.7859999999996</v>
      </c>
      <c r="E1049" s="3">
        <v>0</v>
      </c>
      <c r="F1049" t="s">
        <v>45</v>
      </c>
      <c r="G1049" s="3">
        <f t="shared" si="119"/>
        <v>-3516.7859999999996</v>
      </c>
      <c r="H1049" s="3">
        <f t="shared" si="120"/>
        <v>3516.7859999999996</v>
      </c>
      <c r="I1049" s="5" t="str">
        <f t="shared" si="121"/>
        <v>018</v>
      </c>
      <c r="J1049" s="5" t="str">
        <f t="shared" si="122"/>
        <v>2100</v>
      </c>
      <c r="K1049" s="5" t="str">
        <f t="shared" si="123"/>
        <v>000</v>
      </c>
      <c r="L1049" s="5">
        <f t="shared" si="124"/>
        <v>1</v>
      </c>
      <c r="M1049" s="5">
        <f t="shared" si="125"/>
        <v>2012</v>
      </c>
    </row>
    <row r="1050" spans="1:13" ht="17.45" customHeight="1" x14ac:dyDescent="0.25">
      <c r="A1050" s="1">
        <f>DATE(2012,1,25)</f>
        <v>40933</v>
      </c>
      <c r="B1050" t="s">
        <v>20</v>
      </c>
      <c r="C1050" t="s">
        <v>8</v>
      </c>
      <c r="D1050" s="3">
        <v>433.90700000000004</v>
      </c>
      <c r="E1050" s="3">
        <v>0</v>
      </c>
      <c r="F1050" t="s">
        <v>45</v>
      </c>
      <c r="G1050" s="3">
        <f t="shared" si="119"/>
        <v>-433.90700000000004</v>
      </c>
      <c r="H1050" s="3">
        <f t="shared" si="120"/>
        <v>433.90700000000004</v>
      </c>
      <c r="I1050" s="5" t="str">
        <f t="shared" si="121"/>
        <v>018</v>
      </c>
      <c r="J1050" s="5" t="str">
        <f t="shared" si="122"/>
        <v>2210</v>
      </c>
      <c r="K1050" s="5" t="str">
        <f t="shared" si="123"/>
        <v>000</v>
      </c>
      <c r="L1050" s="5">
        <f t="shared" si="124"/>
        <v>1</v>
      </c>
      <c r="M1050" s="5">
        <f t="shared" si="125"/>
        <v>2012</v>
      </c>
    </row>
    <row r="1051" spans="1:13" ht="17.45" customHeight="1" x14ac:dyDescent="0.25">
      <c r="A1051" s="1">
        <f>DATE(2012,1,25)</f>
        <v>40933</v>
      </c>
      <c r="B1051" t="s">
        <v>21</v>
      </c>
      <c r="C1051" t="s">
        <v>9</v>
      </c>
      <c r="D1051" s="3">
        <v>127.73399999999999</v>
      </c>
      <c r="E1051" s="3">
        <v>0</v>
      </c>
      <c r="F1051" t="s">
        <v>45</v>
      </c>
      <c r="G1051" s="3">
        <f t="shared" si="119"/>
        <v>-127.73399999999999</v>
      </c>
      <c r="H1051" s="3">
        <f t="shared" si="120"/>
        <v>127.73399999999999</v>
      </c>
      <c r="I1051" s="5" t="str">
        <f t="shared" si="121"/>
        <v>018</v>
      </c>
      <c r="J1051" s="5" t="str">
        <f t="shared" si="122"/>
        <v>2220</v>
      </c>
      <c r="K1051" s="5" t="str">
        <f t="shared" si="123"/>
        <v>000</v>
      </c>
      <c r="L1051" s="5">
        <f t="shared" si="124"/>
        <v>1</v>
      </c>
      <c r="M1051" s="5">
        <f t="shared" si="125"/>
        <v>2012</v>
      </c>
    </row>
    <row r="1052" spans="1:13" ht="17.45" customHeight="1" x14ac:dyDescent="0.25">
      <c r="A1052" s="1">
        <f>DATE(2012,1,25)</f>
        <v>40933</v>
      </c>
      <c r="B1052" t="s">
        <v>22</v>
      </c>
      <c r="C1052" t="s">
        <v>10</v>
      </c>
      <c r="D1052" s="3">
        <v>23.925000000000001</v>
      </c>
      <c r="E1052" s="3">
        <v>0</v>
      </c>
      <c r="F1052" t="s">
        <v>45</v>
      </c>
      <c r="G1052" s="3">
        <f t="shared" si="119"/>
        <v>-23.925000000000001</v>
      </c>
      <c r="H1052" s="3">
        <f t="shared" si="120"/>
        <v>23.925000000000001</v>
      </c>
      <c r="I1052" s="5" t="str">
        <f t="shared" si="121"/>
        <v>018</v>
      </c>
      <c r="J1052" s="5" t="str">
        <f t="shared" si="122"/>
        <v>2230</v>
      </c>
      <c r="K1052" s="5" t="str">
        <f t="shared" si="123"/>
        <v>000</v>
      </c>
      <c r="L1052" s="5">
        <f t="shared" si="124"/>
        <v>1</v>
      </c>
      <c r="M1052" s="5">
        <f t="shared" si="125"/>
        <v>2012</v>
      </c>
    </row>
    <row r="1053" spans="1:13" ht="17.45" customHeight="1" x14ac:dyDescent="0.25">
      <c r="A1053" s="1">
        <f>DATE(2012,1,26)</f>
        <v>40934</v>
      </c>
      <c r="B1053" t="s">
        <v>19</v>
      </c>
      <c r="C1053" t="s">
        <v>6</v>
      </c>
      <c r="D1053" s="3">
        <v>3387.4874999999997</v>
      </c>
      <c r="E1053" s="3">
        <v>0</v>
      </c>
      <c r="F1053" t="s">
        <v>45</v>
      </c>
      <c r="G1053" s="3">
        <f t="shared" si="119"/>
        <v>-3387.4874999999997</v>
      </c>
      <c r="H1053" s="3">
        <f t="shared" si="120"/>
        <v>3387.4874999999997</v>
      </c>
      <c r="I1053" s="5" t="str">
        <f t="shared" si="121"/>
        <v>018</v>
      </c>
      <c r="J1053" s="5" t="str">
        <f t="shared" si="122"/>
        <v>2100</v>
      </c>
      <c r="K1053" s="5" t="str">
        <f t="shared" si="123"/>
        <v>000</v>
      </c>
      <c r="L1053" s="5">
        <f t="shared" si="124"/>
        <v>1</v>
      </c>
      <c r="M1053" s="5">
        <f t="shared" si="125"/>
        <v>2012</v>
      </c>
    </row>
    <row r="1054" spans="1:13" ht="17.45" customHeight="1" x14ac:dyDescent="0.25">
      <c r="A1054" s="1">
        <f>DATE(2012,1,26)</f>
        <v>40934</v>
      </c>
      <c r="B1054" t="s">
        <v>20</v>
      </c>
      <c r="C1054" t="s">
        <v>8</v>
      </c>
      <c r="D1054" s="3">
        <v>778.82400000000007</v>
      </c>
      <c r="E1054" s="3">
        <v>0</v>
      </c>
      <c r="F1054" t="s">
        <v>45</v>
      </c>
      <c r="G1054" s="3">
        <f t="shared" si="119"/>
        <v>-778.82400000000007</v>
      </c>
      <c r="H1054" s="3">
        <f t="shared" si="120"/>
        <v>778.82400000000007</v>
      </c>
      <c r="I1054" s="5" t="str">
        <f t="shared" si="121"/>
        <v>018</v>
      </c>
      <c r="J1054" s="5" t="str">
        <f t="shared" si="122"/>
        <v>2210</v>
      </c>
      <c r="K1054" s="5" t="str">
        <f t="shared" si="123"/>
        <v>000</v>
      </c>
      <c r="L1054" s="5">
        <f t="shared" si="124"/>
        <v>1</v>
      </c>
      <c r="M1054" s="5">
        <f t="shared" si="125"/>
        <v>2012</v>
      </c>
    </row>
    <row r="1055" spans="1:13" ht="17.45" customHeight="1" x14ac:dyDescent="0.25">
      <c r="A1055" s="1">
        <f>DATE(2012,1,26)</f>
        <v>40934</v>
      </c>
      <c r="B1055" t="s">
        <v>21</v>
      </c>
      <c r="C1055" t="s">
        <v>9</v>
      </c>
      <c r="D1055" s="3">
        <v>126.79649999999998</v>
      </c>
      <c r="E1055" s="3">
        <v>0</v>
      </c>
      <c r="F1055" t="s">
        <v>45</v>
      </c>
      <c r="G1055" s="3">
        <f t="shared" si="119"/>
        <v>-126.79649999999998</v>
      </c>
      <c r="H1055" s="3">
        <f t="shared" si="120"/>
        <v>126.79649999999998</v>
      </c>
      <c r="I1055" s="5" t="str">
        <f t="shared" si="121"/>
        <v>018</v>
      </c>
      <c r="J1055" s="5" t="str">
        <f t="shared" si="122"/>
        <v>2220</v>
      </c>
      <c r="K1055" s="5" t="str">
        <f t="shared" si="123"/>
        <v>000</v>
      </c>
      <c r="L1055" s="5">
        <f t="shared" si="124"/>
        <v>1</v>
      </c>
      <c r="M1055" s="5">
        <f t="shared" si="125"/>
        <v>2012</v>
      </c>
    </row>
    <row r="1056" spans="1:13" ht="17.45" customHeight="1" x14ac:dyDescent="0.25">
      <c r="A1056" s="1">
        <f>DATE(2012,1,26)</f>
        <v>40934</v>
      </c>
      <c r="B1056" t="s">
        <v>22</v>
      </c>
      <c r="C1056" t="s">
        <v>10</v>
      </c>
      <c r="D1056" s="3">
        <v>14.548500000000001</v>
      </c>
      <c r="E1056" s="3">
        <v>0</v>
      </c>
      <c r="F1056" t="s">
        <v>45</v>
      </c>
      <c r="G1056" s="3">
        <f t="shared" si="119"/>
        <v>-14.548500000000001</v>
      </c>
      <c r="H1056" s="3">
        <f t="shared" si="120"/>
        <v>14.548500000000001</v>
      </c>
      <c r="I1056" s="5" t="str">
        <f t="shared" si="121"/>
        <v>018</v>
      </c>
      <c r="J1056" s="5" t="str">
        <f t="shared" si="122"/>
        <v>2230</v>
      </c>
      <c r="K1056" s="5" t="str">
        <f t="shared" si="123"/>
        <v>000</v>
      </c>
      <c r="L1056" s="5">
        <f t="shared" si="124"/>
        <v>1</v>
      </c>
      <c r="M1056" s="5">
        <f t="shared" si="125"/>
        <v>2012</v>
      </c>
    </row>
    <row r="1057" spans="1:13" ht="17.45" customHeight="1" x14ac:dyDescent="0.25">
      <c r="A1057" s="1">
        <f>DATE(2012,1,27)</f>
        <v>40935</v>
      </c>
      <c r="B1057" t="s">
        <v>19</v>
      </c>
      <c r="C1057" t="s">
        <v>6</v>
      </c>
      <c r="D1057" s="3">
        <v>10247.19</v>
      </c>
      <c r="E1057" s="3">
        <v>0</v>
      </c>
      <c r="F1057" t="s">
        <v>45</v>
      </c>
      <c r="G1057" s="3">
        <f t="shared" si="119"/>
        <v>-10247.19</v>
      </c>
      <c r="H1057" s="3">
        <f t="shared" si="120"/>
        <v>10247.19</v>
      </c>
      <c r="I1057" s="5" t="str">
        <f t="shared" si="121"/>
        <v>018</v>
      </c>
      <c r="J1057" s="5" t="str">
        <f t="shared" si="122"/>
        <v>2100</v>
      </c>
      <c r="K1057" s="5" t="str">
        <f t="shared" si="123"/>
        <v>000</v>
      </c>
      <c r="L1057" s="5">
        <f t="shared" si="124"/>
        <v>1</v>
      </c>
      <c r="M1057" s="5">
        <f t="shared" si="125"/>
        <v>2012</v>
      </c>
    </row>
    <row r="1058" spans="1:13" ht="17.45" customHeight="1" x14ac:dyDescent="0.25">
      <c r="A1058" s="1">
        <f>DATE(2012,1,27)</f>
        <v>40935</v>
      </c>
      <c r="B1058" t="s">
        <v>20</v>
      </c>
      <c r="C1058" t="s">
        <v>8</v>
      </c>
      <c r="D1058" s="3">
        <v>1945.3779999999997</v>
      </c>
      <c r="E1058" s="3">
        <v>0</v>
      </c>
      <c r="F1058" t="s">
        <v>45</v>
      </c>
      <c r="G1058" s="3">
        <f t="shared" si="119"/>
        <v>-1945.3779999999997</v>
      </c>
      <c r="H1058" s="3">
        <f t="shared" si="120"/>
        <v>1945.3779999999997</v>
      </c>
      <c r="I1058" s="5" t="str">
        <f t="shared" si="121"/>
        <v>018</v>
      </c>
      <c r="J1058" s="5" t="str">
        <f t="shared" si="122"/>
        <v>2210</v>
      </c>
      <c r="K1058" s="5" t="str">
        <f t="shared" si="123"/>
        <v>000</v>
      </c>
      <c r="L1058" s="5">
        <f t="shared" si="124"/>
        <v>1</v>
      </c>
      <c r="M1058" s="5">
        <f t="shared" si="125"/>
        <v>2012</v>
      </c>
    </row>
    <row r="1059" spans="1:13" ht="17.45" customHeight="1" x14ac:dyDescent="0.25">
      <c r="A1059" s="1">
        <f>DATE(2012,1,27)</f>
        <v>40935</v>
      </c>
      <c r="B1059" t="s">
        <v>21</v>
      </c>
      <c r="C1059" t="s">
        <v>9</v>
      </c>
      <c r="D1059" s="3">
        <v>578.19999999999993</v>
      </c>
      <c r="E1059" s="3">
        <v>0</v>
      </c>
      <c r="F1059" t="s">
        <v>45</v>
      </c>
      <c r="G1059" s="3">
        <f t="shared" si="119"/>
        <v>-578.19999999999993</v>
      </c>
      <c r="H1059" s="3">
        <f t="shared" si="120"/>
        <v>578.19999999999993</v>
      </c>
      <c r="I1059" s="5" t="str">
        <f t="shared" si="121"/>
        <v>018</v>
      </c>
      <c r="J1059" s="5" t="str">
        <f t="shared" si="122"/>
        <v>2220</v>
      </c>
      <c r="K1059" s="5" t="str">
        <f t="shared" si="123"/>
        <v>000</v>
      </c>
      <c r="L1059" s="5">
        <f t="shared" si="124"/>
        <v>1</v>
      </c>
      <c r="M1059" s="5">
        <f t="shared" si="125"/>
        <v>2012</v>
      </c>
    </row>
    <row r="1060" spans="1:13" ht="17.45" customHeight="1" x14ac:dyDescent="0.25">
      <c r="A1060" s="1">
        <f>DATE(2012,1,27)</f>
        <v>40935</v>
      </c>
      <c r="B1060" t="s">
        <v>22</v>
      </c>
      <c r="C1060" t="s">
        <v>10</v>
      </c>
      <c r="D1060" s="3">
        <v>328.09500000000003</v>
      </c>
      <c r="E1060" s="3">
        <v>0</v>
      </c>
      <c r="F1060" t="s">
        <v>45</v>
      </c>
      <c r="G1060" s="3">
        <f t="shared" si="119"/>
        <v>-328.09500000000003</v>
      </c>
      <c r="H1060" s="3">
        <f t="shared" si="120"/>
        <v>328.09500000000003</v>
      </c>
      <c r="I1060" s="5" t="str">
        <f t="shared" si="121"/>
        <v>018</v>
      </c>
      <c r="J1060" s="5" t="str">
        <f t="shared" si="122"/>
        <v>2230</v>
      </c>
      <c r="K1060" s="5" t="str">
        <f t="shared" si="123"/>
        <v>000</v>
      </c>
      <c r="L1060" s="5">
        <f t="shared" si="124"/>
        <v>1</v>
      </c>
      <c r="M1060" s="5">
        <f t="shared" si="125"/>
        <v>2012</v>
      </c>
    </row>
    <row r="1061" spans="1:13" ht="17.45" customHeight="1" x14ac:dyDescent="0.25">
      <c r="A1061" s="1">
        <f>DATE(2012,1,28)</f>
        <v>40936</v>
      </c>
      <c r="B1061" t="s">
        <v>19</v>
      </c>
      <c r="C1061" t="s">
        <v>6</v>
      </c>
      <c r="D1061" s="3">
        <v>10679.766500000002</v>
      </c>
      <c r="E1061" s="3">
        <v>0</v>
      </c>
      <c r="F1061" t="s">
        <v>45</v>
      </c>
      <c r="G1061" s="3">
        <f t="shared" si="119"/>
        <v>-10679.766500000002</v>
      </c>
      <c r="H1061" s="3">
        <f t="shared" si="120"/>
        <v>10679.766500000002</v>
      </c>
      <c r="I1061" s="5" t="str">
        <f t="shared" si="121"/>
        <v>018</v>
      </c>
      <c r="J1061" s="5" t="str">
        <f t="shared" si="122"/>
        <v>2100</v>
      </c>
      <c r="K1061" s="5" t="str">
        <f t="shared" si="123"/>
        <v>000</v>
      </c>
      <c r="L1061" s="5">
        <f t="shared" si="124"/>
        <v>1</v>
      </c>
      <c r="M1061" s="5">
        <f t="shared" si="125"/>
        <v>2012</v>
      </c>
    </row>
    <row r="1062" spans="1:13" ht="17.45" customHeight="1" x14ac:dyDescent="0.25">
      <c r="A1062" s="1">
        <f>DATE(2012,1,28)</f>
        <v>40936</v>
      </c>
      <c r="B1062" t="s">
        <v>20</v>
      </c>
      <c r="C1062" t="s">
        <v>8</v>
      </c>
      <c r="D1062" s="3">
        <v>2328.4560000000001</v>
      </c>
      <c r="E1062" s="3">
        <v>0</v>
      </c>
      <c r="F1062" t="s">
        <v>45</v>
      </c>
      <c r="G1062" s="3">
        <f t="shared" si="119"/>
        <v>-2328.4560000000001</v>
      </c>
      <c r="H1062" s="3">
        <f t="shared" si="120"/>
        <v>2328.4560000000001</v>
      </c>
      <c r="I1062" s="5" t="str">
        <f t="shared" si="121"/>
        <v>018</v>
      </c>
      <c r="J1062" s="5" t="str">
        <f t="shared" si="122"/>
        <v>2210</v>
      </c>
      <c r="K1062" s="5" t="str">
        <f t="shared" si="123"/>
        <v>000</v>
      </c>
      <c r="L1062" s="5">
        <f t="shared" si="124"/>
        <v>1</v>
      </c>
      <c r="M1062" s="5">
        <f t="shared" si="125"/>
        <v>2012</v>
      </c>
    </row>
    <row r="1063" spans="1:13" ht="17.45" customHeight="1" x14ac:dyDescent="0.25">
      <c r="A1063" s="1">
        <f>DATE(2012,1,28)</f>
        <v>40936</v>
      </c>
      <c r="B1063" t="s">
        <v>21</v>
      </c>
      <c r="C1063" t="s">
        <v>9</v>
      </c>
      <c r="D1063" s="3">
        <v>570.71999999999991</v>
      </c>
      <c r="E1063" s="3">
        <v>0</v>
      </c>
      <c r="F1063" t="s">
        <v>45</v>
      </c>
      <c r="G1063" s="3">
        <f t="shared" si="119"/>
        <v>-570.71999999999991</v>
      </c>
      <c r="H1063" s="3">
        <f t="shared" si="120"/>
        <v>570.71999999999991</v>
      </c>
      <c r="I1063" s="5" t="str">
        <f t="shared" si="121"/>
        <v>018</v>
      </c>
      <c r="J1063" s="5" t="str">
        <f t="shared" si="122"/>
        <v>2220</v>
      </c>
      <c r="K1063" s="5" t="str">
        <f t="shared" si="123"/>
        <v>000</v>
      </c>
      <c r="L1063" s="5">
        <f t="shared" si="124"/>
        <v>1</v>
      </c>
      <c r="M1063" s="5">
        <f t="shared" si="125"/>
        <v>2012</v>
      </c>
    </row>
    <row r="1064" spans="1:13" ht="17.45" customHeight="1" x14ac:dyDescent="0.25">
      <c r="A1064" s="1">
        <f>DATE(2012,1,28)</f>
        <v>40936</v>
      </c>
      <c r="B1064" t="s">
        <v>22</v>
      </c>
      <c r="C1064" t="s">
        <v>10</v>
      </c>
      <c r="D1064" s="3">
        <v>125.13</v>
      </c>
      <c r="E1064" s="3">
        <v>0</v>
      </c>
      <c r="F1064" t="s">
        <v>45</v>
      </c>
      <c r="G1064" s="3">
        <f t="shared" si="119"/>
        <v>-125.13</v>
      </c>
      <c r="H1064" s="3">
        <f t="shared" si="120"/>
        <v>125.13</v>
      </c>
      <c r="I1064" s="5" t="str">
        <f t="shared" si="121"/>
        <v>018</v>
      </c>
      <c r="J1064" s="5" t="str">
        <f t="shared" si="122"/>
        <v>2230</v>
      </c>
      <c r="K1064" s="5" t="str">
        <f t="shared" si="123"/>
        <v>000</v>
      </c>
      <c r="L1064" s="5">
        <f t="shared" si="124"/>
        <v>1</v>
      </c>
      <c r="M1064" s="5">
        <f t="shared" si="125"/>
        <v>2012</v>
      </c>
    </row>
    <row r="1065" spans="1:13" ht="17.45" customHeight="1" x14ac:dyDescent="0.25">
      <c r="A1065" s="1">
        <f>DATE(2012,1,29)</f>
        <v>40937</v>
      </c>
      <c r="B1065" t="s">
        <v>19</v>
      </c>
      <c r="C1065" t="s">
        <v>6</v>
      </c>
      <c r="D1065" s="3">
        <v>6696.42</v>
      </c>
      <c r="E1065" s="3">
        <v>0</v>
      </c>
      <c r="F1065" t="s">
        <v>45</v>
      </c>
      <c r="G1065" s="3">
        <f t="shared" si="119"/>
        <v>-6696.42</v>
      </c>
      <c r="H1065" s="3">
        <f t="shared" si="120"/>
        <v>6696.42</v>
      </c>
      <c r="I1065" s="5" t="str">
        <f t="shared" si="121"/>
        <v>018</v>
      </c>
      <c r="J1065" s="5" t="str">
        <f t="shared" si="122"/>
        <v>2100</v>
      </c>
      <c r="K1065" s="5" t="str">
        <f t="shared" si="123"/>
        <v>000</v>
      </c>
      <c r="L1065" s="5">
        <f t="shared" si="124"/>
        <v>1</v>
      </c>
      <c r="M1065" s="5">
        <f t="shared" si="125"/>
        <v>2012</v>
      </c>
    </row>
    <row r="1066" spans="1:13" ht="17.45" customHeight="1" x14ac:dyDescent="0.25">
      <c r="A1066" s="1">
        <f>DATE(2012,1,29)</f>
        <v>40937</v>
      </c>
      <c r="B1066" t="s">
        <v>20</v>
      </c>
      <c r="C1066" t="s">
        <v>8</v>
      </c>
      <c r="D1066" s="3">
        <v>985.47900000000016</v>
      </c>
      <c r="E1066" s="3">
        <v>0</v>
      </c>
      <c r="F1066" t="s">
        <v>45</v>
      </c>
      <c r="G1066" s="3">
        <f t="shared" si="119"/>
        <v>-985.47900000000016</v>
      </c>
      <c r="H1066" s="3">
        <f t="shared" si="120"/>
        <v>985.47900000000016</v>
      </c>
      <c r="I1066" s="5" t="str">
        <f t="shared" si="121"/>
        <v>018</v>
      </c>
      <c r="J1066" s="5" t="str">
        <f t="shared" si="122"/>
        <v>2210</v>
      </c>
      <c r="K1066" s="5" t="str">
        <f t="shared" si="123"/>
        <v>000</v>
      </c>
      <c r="L1066" s="5">
        <f t="shared" si="124"/>
        <v>1</v>
      </c>
      <c r="M1066" s="5">
        <f t="shared" si="125"/>
        <v>2012</v>
      </c>
    </row>
    <row r="1067" spans="1:13" ht="17.45" customHeight="1" x14ac:dyDescent="0.25">
      <c r="A1067" s="1">
        <f>DATE(2012,1,29)</f>
        <v>40937</v>
      </c>
      <c r="B1067" t="s">
        <v>21</v>
      </c>
      <c r="C1067" t="s">
        <v>9</v>
      </c>
      <c r="D1067" s="3">
        <v>245.322</v>
      </c>
      <c r="E1067" s="3">
        <v>0</v>
      </c>
      <c r="F1067" t="s">
        <v>45</v>
      </c>
      <c r="G1067" s="3">
        <f t="shared" si="119"/>
        <v>-245.322</v>
      </c>
      <c r="H1067" s="3">
        <f t="shared" si="120"/>
        <v>245.322</v>
      </c>
      <c r="I1067" s="5" t="str">
        <f t="shared" si="121"/>
        <v>018</v>
      </c>
      <c r="J1067" s="5" t="str">
        <f t="shared" si="122"/>
        <v>2220</v>
      </c>
      <c r="K1067" s="5" t="str">
        <f t="shared" si="123"/>
        <v>000</v>
      </c>
      <c r="L1067" s="5">
        <f t="shared" si="124"/>
        <v>1</v>
      </c>
      <c r="M1067" s="5">
        <f t="shared" si="125"/>
        <v>2012</v>
      </c>
    </row>
    <row r="1068" spans="1:13" ht="17.45" customHeight="1" x14ac:dyDescent="0.25">
      <c r="A1068" s="1">
        <f>DATE(2012,1,29)</f>
        <v>40937</v>
      </c>
      <c r="B1068" t="s">
        <v>22</v>
      </c>
      <c r="C1068" t="s">
        <v>10</v>
      </c>
      <c r="D1068" s="3">
        <v>109.342</v>
      </c>
      <c r="E1068" s="3">
        <v>0</v>
      </c>
      <c r="F1068" t="s">
        <v>45</v>
      </c>
      <c r="G1068" s="3">
        <f t="shared" si="119"/>
        <v>-109.342</v>
      </c>
      <c r="H1068" s="3">
        <f t="shared" si="120"/>
        <v>109.342</v>
      </c>
      <c r="I1068" s="5" t="str">
        <f t="shared" si="121"/>
        <v>018</v>
      </c>
      <c r="J1068" s="5" t="str">
        <f t="shared" si="122"/>
        <v>2230</v>
      </c>
      <c r="K1068" s="5" t="str">
        <f t="shared" si="123"/>
        <v>000</v>
      </c>
      <c r="L1068" s="5">
        <f t="shared" si="124"/>
        <v>1</v>
      </c>
      <c r="M1068" s="5">
        <f t="shared" si="125"/>
        <v>2012</v>
      </c>
    </row>
    <row r="1069" spans="1:13" ht="17.45" customHeight="1" x14ac:dyDescent="0.25">
      <c r="A1069" s="1">
        <f>DATE(2012,1,30)</f>
        <v>40938</v>
      </c>
      <c r="B1069" t="s">
        <v>11</v>
      </c>
      <c r="C1069" t="s">
        <v>6</v>
      </c>
      <c r="D1069" s="3">
        <v>2155.7149999999997</v>
      </c>
      <c r="E1069" s="3">
        <v>0</v>
      </c>
      <c r="F1069" t="s">
        <v>45</v>
      </c>
      <c r="G1069" s="3">
        <f t="shared" si="119"/>
        <v>-2155.7149999999997</v>
      </c>
      <c r="H1069" s="3">
        <f t="shared" si="120"/>
        <v>2155.7149999999997</v>
      </c>
      <c r="I1069" s="5" t="str">
        <f t="shared" si="121"/>
        <v>016</v>
      </c>
      <c r="J1069" s="5" t="str">
        <f t="shared" si="122"/>
        <v>2100</v>
      </c>
      <c r="K1069" s="5" t="str">
        <f t="shared" si="123"/>
        <v>000</v>
      </c>
      <c r="L1069" s="5">
        <f t="shared" si="124"/>
        <v>1</v>
      </c>
      <c r="M1069" s="5">
        <f t="shared" si="125"/>
        <v>2012</v>
      </c>
    </row>
    <row r="1070" spans="1:13" ht="17.45" customHeight="1" x14ac:dyDescent="0.25">
      <c r="A1070" s="1">
        <f>DATE(2012,1,30)</f>
        <v>40938</v>
      </c>
      <c r="B1070" t="s">
        <v>12</v>
      </c>
      <c r="C1070" t="s">
        <v>8</v>
      </c>
      <c r="D1070" s="3">
        <v>758.85599999999999</v>
      </c>
      <c r="E1070" s="3">
        <v>0</v>
      </c>
      <c r="F1070" t="s">
        <v>45</v>
      </c>
      <c r="G1070" s="3">
        <f t="shared" si="119"/>
        <v>-758.85599999999999</v>
      </c>
      <c r="H1070" s="3">
        <f t="shared" si="120"/>
        <v>758.85599999999999</v>
      </c>
      <c r="I1070" s="5" t="str">
        <f t="shared" si="121"/>
        <v>016</v>
      </c>
      <c r="J1070" s="5" t="str">
        <f t="shared" si="122"/>
        <v>2210</v>
      </c>
      <c r="K1070" s="5" t="str">
        <f t="shared" si="123"/>
        <v>000</v>
      </c>
      <c r="L1070" s="5">
        <f t="shared" si="124"/>
        <v>1</v>
      </c>
      <c r="M1070" s="5">
        <f t="shared" si="125"/>
        <v>2012</v>
      </c>
    </row>
    <row r="1071" spans="1:13" ht="17.45" customHeight="1" x14ac:dyDescent="0.25">
      <c r="A1071" s="1">
        <f>DATE(2012,1,30)</f>
        <v>40938</v>
      </c>
      <c r="B1071" t="s">
        <v>13</v>
      </c>
      <c r="C1071" t="s">
        <v>9</v>
      </c>
      <c r="D1071" s="3">
        <v>137.70000000000002</v>
      </c>
      <c r="E1071" s="3">
        <v>0</v>
      </c>
      <c r="F1071" t="s">
        <v>45</v>
      </c>
      <c r="G1071" s="3">
        <f t="shared" si="119"/>
        <v>-137.70000000000002</v>
      </c>
      <c r="H1071" s="3">
        <f t="shared" si="120"/>
        <v>137.70000000000002</v>
      </c>
      <c r="I1071" s="5" t="str">
        <f t="shared" si="121"/>
        <v>016</v>
      </c>
      <c r="J1071" s="5" t="str">
        <f t="shared" si="122"/>
        <v>2220</v>
      </c>
      <c r="K1071" s="5" t="str">
        <f t="shared" si="123"/>
        <v>000</v>
      </c>
      <c r="L1071" s="5">
        <f t="shared" si="124"/>
        <v>1</v>
      </c>
      <c r="M1071" s="5">
        <f t="shared" si="125"/>
        <v>2012</v>
      </c>
    </row>
    <row r="1072" spans="1:13" ht="17.45" customHeight="1" x14ac:dyDescent="0.25">
      <c r="A1072" s="1">
        <f>DATE(2012,1,30)</f>
        <v>40938</v>
      </c>
      <c r="B1072" t="s">
        <v>14</v>
      </c>
      <c r="C1072" t="s">
        <v>10</v>
      </c>
      <c r="D1072" s="3">
        <v>24.893000000000001</v>
      </c>
      <c r="E1072" s="3">
        <v>0</v>
      </c>
      <c r="F1072" t="s">
        <v>45</v>
      </c>
      <c r="G1072" s="3">
        <f t="shared" si="119"/>
        <v>-24.893000000000001</v>
      </c>
      <c r="H1072" s="3">
        <f t="shared" si="120"/>
        <v>24.893000000000001</v>
      </c>
      <c r="I1072" s="5" t="str">
        <f t="shared" si="121"/>
        <v>016</v>
      </c>
      <c r="J1072" s="5" t="str">
        <f t="shared" si="122"/>
        <v>2230</v>
      </c>
      <c r="K1072" s="5" t="str">
        <f t="shared" si="123"/>
        <v>000</v>
      </c>
      <c r="L1072" s="5">
        <f t="shared" si="124"/>
        <v>1</v>
      </c>
      <c r="M1072" s="5">
        <f t="shared" si="125"/>
        <v>2012</v>
      </c>
    </row>
    <row r="1073" spans="1:13" ht="17.45" customHeight="1" x14ac:dyDescent="0.25">
      <c r="A1073" s="1">
        <f>DATE(2012,1,31)</f>
        <v>40939</v>
      </c>
      <c r="B1073" t="s">
        <v>11</v>
      </c>
      <c r="C1073" t="s">
        <v>6</v>
      </c>
      <c r="D1073" s="3">
        <v>2801.4524999999999</v>
      </c>
      <c r="E1073" s="3">
        <v>0</v>
      </c>
      <c r="F1073" t="s">
        <v>45</v>
      </c>
      <c r="G1073" s="3">
        <f t="shared" si="119"/>
        <v>-2801.4524999999999</v>
      </c>
      <c r="H1073" s="3">
        <f t="shared" si="120"/>
        <v>2801.4524999999999</v>
      </c>
      <c r="I1073" s="5" t="str">
        <f t="shared" si="121"/>
        <v>016</v>
      </c>
      <c r="J1073" s="5" t="str">
        <f t="shared" si="122"/>
        <v>2100</v>
      </c>
      <c r="K1073" s="5" t="str">
        <f t="shared" si="123"/>
        <v>000</v>
      </c>
      <c r="L1073" s="5">
        <f t="shared" si="124"/>
        <v>1</v>
      </c>
      <c r="M1073" s="5">
        <f t="shared" si="125"/>
        <v>2012</v>
      </c>
    </row>
    <row r="1074" spans="1:13" ht="17.45" customHeight="1" x14ac:dyDescent="0.25">
      <c r="A1074" s="1">
        <f>DATE(2012,1,31)</f>
        <v>40939</v>
      </c>
      <c r="B1074" t="s">
        <v>12</v>
      </c>
      <c r="C1074" t="s">
        <v>8</v>
      </c>
      <c r="D1074" s="3">
        <v>627.14249999999993</v>
      </c>
      <c r="E1074" s="3">
        <v>0</v>
      </c>
      <c r="F1074" t="s">
        <v>45</v>
      </c>
      <c r="G1074" s="3">
        <f t="shared" si="119"/>
        <v>-627.14249999999993</v>
      </c>
      <c r="H1074" s="3">
        <f t="shared" si="120"/>
        <v>627.14249999999993</v>
      </c>
      <c r="I1074" s="5" t="str">
        <f t="shared" si="121"/>
        <v>016</v>
      </c>
      <c r="J1074" s="5" t="str">
        <f t="shared" si="122"/>
        <v>2210</v>
      </c>
      <c r="K1074" s="5" t="str">
        <f t="shared" si="123"/>
        <v>000</v>
      </c>
      <c r="L1074" s="5">
        <f t="shared" si="124"/>
        <v>1</v>
      </c>
      <c r="M1074" s="5">
        <f t="shared" si="125"/>
        <v>2012</v>
      </c>
    </row>
    <row r="1075" spans="1:13" ht="17.45" customHeight="1" x14ac:dyDescent="0.25">
      <c r="A1075" s="1">
        <f>DATE(2012,1,31)</f>
        <v>40939</v>
      </c>
      <c r="B1075" t="s">
        <v>13</v>
      </c>
      <c r="C1075" t="s">
        <v>9</v>
      </c>
      <c r="D1075" s="3">
        <v>228.55200000000002</v>
      </c>
      <c r="E1075" s="3">
        <v>0</v>
      </c>
      <c r="F1075" t="s">
        <v>45</v>
      </c>
      <c r="G1075" s="3">
        <f t="shared" si="119"/>
        <v>-228.55200000000002</v>
      </c>
      <c r="H1075" s="3">
        <f t="shared" si="120"/>
        <v>228.55200000000002</v>
      </c>
      <c r="I1075" s="5" t="str">
        <f t="shared" si="121"/>
        <v>016</v>
      </c>
      <c r="J1075" s="5" t="str">
        <f t="shared" si="122"/>
        <v>2220</v>
      </c>
      <c r="K1075" s="5" t="str">
        <f t="shared" si="123"/>
        <v>000</v>
      </c>
      <c r="L1075" s="5">
        <f t="shared" si="124"/>
        <v>1</v>
      </c>
      <c r="M1075" s="5">
        <f t="shared" si="125"/>
        <v>2012</v>
      </c>
    </row>
    <row r="1076" spans="1:13" ht="17.45" customHeight="1" x14ac:dyDescent="0.25">
      <c r="A1076" s="1">
        <f>DATE(2012,1,31)</f>
        <v>40939</v>
      </c>
      <c r="B1076" t="s">
        <v>14</v>
      </c>
      <c r="C1076" t="s">
        <v>10</v>
      </c>
      <c r="D1076" s="3">
        <v>103.32199999999999</v>
      </c>
      <c r="E1076" s="3">
        <v>0</v>
      </c>
      <c r="F1076" t="s">
        <v>45</v>
      </c>
      <c r="G1076" s="3">
        <f t="shared" si="119"/>
        <v>-103.32199999999999</v>
      </c>
      <c r="H1076" s="3">
        <f t="shared" si="120"/>
        <v>103.32199999999999</v>
      </c>
      <c r="I1076" s="5" t="str">
        <f t="shared" si="121"/>
        <v>016</v>
      </c>
      <c r="J1076" s="5" t="str">
        <f t="shared" si="122"/>
        <v>2230</v>
      </c>
      <c r="K1076" s="5" t="str">
        <f t="shared" si="123"/>
        <v>000</v>
      </c>
      <c r="L1076" s="5">
        <f t="shared" si="124"/>
        <v>1</v>
      </c>
      <c r="M1076" s="5">
        <f t="shared" si="125"/>
        <v>2012</v>
      </c>
    </row>
    <row r="1077" spans="1:13" ht="17.45" customHeight="1" x14ac:dyDescent="0.25">
      <c r="A1077" s="1">
        <f>DATE(2012,2,1)</f>
        <v>40940</v>
      </c>
      <c r="B1077" t="s">
        <v>11</v>
      </c>
      <c r="C1077" t="s">
        <v>6</v>
      </c>
      <c r="D1077" s="3">
        <v>1875.6210000000001</v>
      </c>
      <c r="E1077" s="3">
        <v>0</v>
      </c>
      <c r="F1077" t="s">
        <v>45</v>
      </c>
      <c r="G1077" s="3">
        <f t="shared" si="119"/>
        <v>-1875.6210000000001</v>
      </c>
      <c r="H1077" s="3">
        <f t="shared" si="120"/>
        <v>1875.6210000000001</v>
      </c>
      <c r="I1077" s="5" t="str">
        <f t="shared" si="121"/>
        <v>016</v>
      </c>
      <c r="J1077" s="5" t="str">
        <f t="shared" si="122"/>
        <v>2100</v>
      </c>
      <c r="K1077" s="5" t="str">
        <f t="shared" si="123"/>
        <v>000</v>
      </c>
      <c r="L1077" s="5">
        <f t="shared" si="124"/>
        <v>2</v>
      </c>
      <c r="M1077" s="5">
        <f t="shared" si="125"/>
        <v>2012</v>
      </c>
    </row>
    <row r="1078" spans="1:13" ht="17.45" customHeight="1" x14ac:dyDescent="0.25">
      <c r="A1078" s="1">
        <f>DATE(2012,2,1)</f>
        <v>40940</v>
      </c>
      <c r="B1078" t="s">
        <v>12</v>
      </c>
      <c r="C1078" t="s">
        <v>8</v>
      </c>
      <c r="D1078" s="3">
        <v>634.52800000000002</v>
      </c>
      <c r="E1078" s="3">
        <v>0</v>
      </c>
      <c r="F1078" t="s">
        <v>45</v>
      </c>
      <c r="G1078" s="3">
        <f t="shared" si="119"/>
        <v>-634.52800000000002</v>
      </c>
      <c r="H1078" s="3">
        <f t="shared" si="120"/>
        <v>634.52800000000002</v>
      </c>
      <c r="I1078" s="5" t="str">
        <f t="shared" si="121"/>
        <v>016</v>
      </c>
      <c r="J1078" s="5" t="str">
        <f t="shared" si="122"/>
        <v>2210</v>
      </c>
      <c r="K1078" s="5" t="str">
        <f t="shared" si="123"/>
        <v>000</v>
      </c>
      <c r="L1078" s="5">
        <f t="shared" si="124"/>
        <v>2</v>
      </c>
      <c r="M1078" s="5">
        <f t="shared" si="125"/>
        <v>2012</v>
      </c>
    </row>
    <row r="1079" spans="1:13" ht="17.45" customHeight="1" x14ac:dyDescent="0.25">
      <c r="A1079" s="1">
        <f>DATE(2012,2,1)</f>
        <v>40940</v>
      </c>
      <c r="B1079" t="s">
        <v>13</v>
      </c>
      <c r="C1079" t="s">
        <v>9</v>
      </c>
      <c r="D1079" s="3">
        <v>167.79</v>
      </c>
      <c r="E1079" s="3">
        <v>0</v>
      </c>
      <c r="F1079" t="s">
        <v>45</v>
      </c>
      <c r="G1079" s="3">
        <f t="shared" si="119"/>
        <v>-167.79</v>
      </c>
      <c r="H1079" s="3">
        <f t="shared" si="120"/>
        <v>167.79</v>
      </c>
      <c r="I1079" s="5" t="str">
        <f t="shared" si="121"/>
        <v>016</v>
      </c>
      <c r="J1079" s="5" t="str">
        <f t="shared" si="122"/>
        <v>2220</v>
      </c>
      <c r="K1079" s="5" t="str">
        <f t="shared" si="123"/>
        <v>000</v>
      </c>
      <c r="L1079" s="5">
        <f t="shared" si="124"/>
        <v>2</v>
      </c>
      <c r="M1079" s="5">
        <f t="shared" si="125"/>
        <v>2012</v>
      </c>
    </row>
    <row r="1080" spans="1:13" ht="17.45" customHeight="1" x14ac:dyDescent="0.25">
      <c r="A1080" s="1">
        <f>DATE(2012,2,1)</f>
        <v>40940</v>
      </c>
      <c r="B1080" t="s">
        <v>14</v>
      </c>
      <c r="C1080" t="s">
        <v>10</v>
      </c>
      <c r="D1080" s="3">
        <v>49.148000000000003</v>
      </c>
      <c r="E1080" s="3">
        <v>0</v>
      </c>
      <c r="F1080" t="s">
        <v>45</v>
      </c>
      <c r="G1080" s="3">
        <f t="shared" si="119"/>
        <v>-49.148000000000003</v>
      </c>
      <c r="H1080" s="3">
        <f t="shared" si="120"/>
        <v>49.148000000000003</v>
      </c>
      <c r="I1080" s="5" t="str">
        <f t="shared" si="121"/>
        <v>016</v>
      </c>
      <c r="J1080" s="5" t="str">
        <f t="shared" si="122"/>
        <v>2230</v>
      </c>
      <c r="K1080" s="5" t="str">
        <f t="shared" si="123"/>
        <v>000</v>
      </c>
      <c r="L1080" s="5">
        <f t="shared" si="124"/>
        <v>2</v>
      </c>
      <c r="M1080" s="5">
        <f t="shared" si="125"/>
        <v>2012</v>
      </c>
    </row>
    <row r="1081" spans="1:13" ht="17.45" customHeight="1" x14ac:dyDescent="0.25">
      <c r="A1081" s="1">
        <f>DATE(2012,2,2)</f>
        <v>40941</v>
      </c>
      <c r="B1081" t="s">
        <v>11</v>
      </c>
      <c r="C1081" t="s">
        <v>6</v>
      </c>
      <c r="D1081" s="3">
        <v>2223.5680000000002</v>
      </c>
      <c r="E1081" s="3">
        <v>0</v>
      </c>
      <c r="F1081" t="s">
        <v>45</v>
      </c>
      <c r="G1081" s="3">
        <f t="shared" si="119"/>
        <v>-2223.5680000000002</v>
      </c>
      <c r="H1081" s="3">
        <f t="shared" si="120"/>
        <v>2223.5680000000002</v>
      </c>
      <c r="I1081" s="5" t="str">
        <f t="shared" si="121"/>
        <v>016</v>
      </c>
      <c r="J1081" s="5" t="str">
        <f t="shared" si="122"/>
        <v>2100</v>
      </c>
      <c r="K1081" s="5" t="str">
        <f t="shared" si="123"/>
        <v>000</v>
      </c>
      <c r="L1081" s="5">
        <f t="shared" si="124"/>
        <v>2</v>
      </c>
      <c r="M1081" s="5">
        <f t="shared" si="125"/>
        <v>2012</v>
      </c>
    </row>
    <row r="1082" spans="1:13" ht="17.45" customHeight="1" x14ac:dyDescent="0.25">
      <c r="A1082" s="1">
        <f>DATE(2012,2,2)</f>
        <v>40941</v>
      </c>
      <c r="B1082" t="s">
        <v>12</v>
      </c>
      <c r="C1082" t="s">
        <v>8</v>
      </c>
      <c r="D1082" s="3">
        <v>661.11449999999991</v>
      </c>
      <c r="E1082" s="3">
        <v>0</v>
      </c>
      <c r="F1082" t="s">
        <v>45</v>
      </c>
      <c r="G1082" s="3">
        <f t="shared" si="119"/>
        <v>-661.11449999999991</v>
      </c>
      <c r="H1082" s="3">
        <f t="shared" si="120"/>
        <v>661.11449999999991</v>
      </c>
      <c r="I1082" s="5" t="str">
        <f t="shared" si="121"/>
        <v>016</v>
      </c>
      <c r="J1082" s="5" t="str">
        <f t="shared" si="122"/>
        <v>2210</v>
      </c>
      <c r="K1082" s="5" t="str">
        <f t="shared" si="123"/>
        <v>000</v>
      </c>
      <c r="L1082" s="5">
        <f t="shared" si="124"/>
        <v>2</v>
      </c>
      <c r="M1082" s="5">
        <f t="shared" si="125"/>
        <v>2012</v>
      </c>
    </row>
    <row r="1083" spans="1:13" ht="17.45" customHeight="1" x14ac:dyDescent="0.25">
      <c r="A1083" s="1">
        <f>DATE(2012,2,2)</f>
        <v>40941</v>
      </c>
      <c r="B1083" t="s">
        <v>13</v>
      </c>
      <c r="C1083" t="s">
        <v>9</v>
      </c>
      <c r="D1083" s="3">
        <v>170.89800000000002</v>
      </c>
      <c r="E1083" s="3">
        <v>0</v>
      </c>
      <c r="F1083" t="s">
        <v>45</v>
      </c>
      <c r="G1083" s="3">
        <f t="shared" si="119"/>
        <v>-170.89800000000002</v>
      </c>
      <c r="H1083" s="3">
        <f t="shared" si="120"/>
        <v>170.89800000000002</v>
      </c>
      <c r="I1083" s="5" t="str">
        <f t="shared" si="121"/>
        <v>016</v>
      </c>
      <c r="J1083" s="5" t="str">
        <f t="shared" si="122"/>
        <v>2220</v>
      </c>
      <c r="K1083" s="5" t="str">
        <f t="shared" si="123"/>
        <v>000</v>
      </c>
      <c r="L1083" s="5">
        <f t="shared" si="124"/>
        <v>2</v>
      </c>
      <c r="M1083" s="5">
        <f t="shared" si="125"/>
        <v>2012</v>
      </c>
    </row>
    <row r="1084" spans="1:13" ht="17.45" customHeight="1" x14ac:dyDescent="0.25">
      <c r="A1084" s="1">
        <f>DATE(2012,2,2)</f>
        <v>40941</v>
      </c>
      <c r="B1084" t="s">
        <v>14</v>
      </c>
      <c r="C1084" t="s">
        <v>10</v>
      </c>
      <c r="D1084" s="3">
        <v>5.39</v>
      </c>
      <c r="E1084" s="3">
        <v>0</v>
      </c>
      <c r="F1084" t="s">
        <v>45</v>
      </c>
      <c r="G1084" s="3">
        <f t="shared" si="119"/>
        <v>-5.39</v>
      </c>
      <c r="H1084" s="3">
        <f t="shared" si="120"/>
        <v>5.39</v>
      </c>
      <c r="I1084" s="5" t="str">
        <f t="shared" si="121"/>
        <v>016</v>
      </c>
      <c r="J1084" s="5" t="str">
        <f t="shared" si="122"/>
        <v>2230</v>
      </c>
      <c r="K1084" s="5" t="str">
        <f t="shared" si="123"/>
        <v>000</v>
      </c>
      <c r="L1084" s="5">
        <f t="shared" si="124"/>
        <v>2</v>
      </c>
      <c r="M1084" s="5">
        <f t="shared" si="125"/>
        <v>2012</v>
      </c>
    </row>
    <row r="1085" spans="1:13" ht="17.45" customHeight="1" x14ac:dyDescent="0.25">
      <c r="A1085" s="1">
        <f>DATE(2012,2,3)</f>
        <v>40942</v>
      </c>
      <c r="B1085" t="s">
        <v>11</v>
      </c>
      <c r="C1085" t="s">
        <v>6</v>
      </c>
      <c r="D1085" s="3">
        <v>4748.7919999999995</v>
      </c>
      <c r="E1085" s="3">
        <v>0</v>
      </c>
      <c r="F1085" t="s">
        <v>45</v>
      </c>
      <c r="G1085" s="3">
        <f t="shared" si="119"/>
        <v>-4748.7919999999995</v>
      </c>
      <c r="H1085" s="3">
        <f t="shared" si="120"/>
        <v>4748.7919999999995</v>
      </c>
      <c r="I1085" s="5" t="str">
        <f t="shared" si="121"/>
        <v>016</v>
      </c>
      <c r="J1085" s="5" t="str">
        <f t="shared" si="122"/>
        <v>2100</v>
      </c>
      <c r="K1085" s="5" t="str">
        <f t="shared" si="123"/>
        <v>000</v>
      </c>
      <c r="L1085" s="5">
        <f t="shared" si="124"/>
        <v>2</v>
      </c>
      <c r="M1085" s="5">
        <f t="shared" si="125"/>
        <v>2012</v>
      </c>
    </row>
    <row r="1086" spans="1:13" ht="17.45" customHeight="1" x14ac:dyDescent="0.25">
      <c r="A1086" s="1">
        <f>DATE(2012,2,3)</f>
        <v>40942</v>
      </c>
      <c r="B1086" t="s">
        <v>12</v>
      </c>
      <c r="C1086" t="s">
        <v>8</v>
      </c>
      <c r="D1086" s="3">
        <v>1738.443</v>
      </c>
      <c r="E1086" s="3">
        <v>0</v>
      </c>
      <c r="F1086" t="s">
        <v>45</v>
      </c>
      <c r="G1086" s="3">
        <f t="shared" si="119"/>
        <v>-1738.443</v>
      </c>
      <c r="H1086" s="3">
        <f t="shared" si="120"/>
        <v>1738.443</v>
      </c>
      <c r="I1086" s="5" t="str">
        <f t="shared" si="121"/>
        <v>016</v>
      </c>
      <c r="J1086" s="5" t="str">
        <f t="shared" si="122"/>
        <v>2210</v>
      </c>
      <c r="K1086" s="5" t="str">
        <f t="shared" si="123"/>
        <v>000</v>
      </c>
      <c r="L1086" s="5">
        <f t="shared" si="124"/>
        <v>2</v>
      </c>
      <c r="M1086" s="5">
        <f t="shared" si="125"/>
        <v>2012</v>
      </c>
    </row>
    <row r="1087" spans="1:13" ht="17.45" customHeight="1" x14ac:dyDescent="0.25">
      <c r="A1087" s="1">
        <f>DATE(2012,2,3)</f>
        <v>40942</v>
      </c>
      <c r="B1087" t="s">
        <v>13</v>
      </c>
      <c r="C1087" t="s">
        <v>9</v>
      </c>
      <c r="D1087" s="3">
        <v>431.05500000000001</v>
      </c>
      <c r="E1087" s="3">
        <v>0</v>
      </c>
      <c r="F1087" t="s">
        <v>45</v>
      </c>
      <c r="G1087" s="3">
        <f t="shared" si="119"/>
        <v>-431.05500000000001</v>
      </c>
      <c r="H1087" s="3">
        <f t="shared" si="120"/>
        <v>431.05500000000001</v>
      </c>
      <c r="I1087" s="5" t="str">
        <f t="shared" si="121"/>
        <v>016</v>
      </c>
      <c r="J1087" s="5" t="str">
        <f t="shared" si="122"/>
        <v>2220</v>
      </c>
      <c r="K1087" s="5" t="str">
        <f t="shared" si="123"/>
        <v>000</v>
      </c>
      <c r="L1087" s="5">
        <f t="shared" si="124"/>
        <v>2</v>
      </c>
      <c r="M1087" s="5">
        <f t="shared" si="125"/>
        <v>2012</v>
      </c>
    </row>
    <row r="1088" spans="1:13" ht="17.45" customHeight="1" x14ac:dyDescent="0.25">
      <c r="A1088" s="1">
        <f>DATE(2012,2,3)</f>
        <v>40942</v>
      </c>
      <c r="B1088" t="s">
        <v>14</v>
      </c>
      <c r="C1088" t="s">
        <v>10</v>
      </c>
      <c r="D1088" s="3">
        <v>147.8015</v>
      </c>
      <c r="E1088" s="3">
        <v>0</v>
      </c>
      <c r="F1088" t="s">
        <v>45</v>
      </c>
      <c r="G1088" s="3">
        <f t="shared" si="119"/>
        <v>-147.8015</v>
      </c>
      <c r="H1088" s="3">
        <f t="shared" si="120"/>
        <v>147.8015</v>
      </c>
      <c r="I1088" s="5" t="str">
        <f t="shared" si="121"/>
        <v>016</v>
      </c>
      <c r="J1088" s="5" t="str">
        <f t="shared" si="122"/>
        <v>2230</v>
      </c>
      <c r="K1088" s="5" t="str">
        <f t="shared" si="123"/>
        <v>000</v>
      </c>
      <c r="L1088" s="5">
        <f t="shared" si="124"/>
        <v>2</v>
      </c>
      <c r="M1088" s="5">
        <f t="shared" si="125"/>
        <v>2012</v>
      </c>
    </row>
    <row r="1089" spans="1:13" ht="17.45" customHeight="1" x14ac:dyDescent="0.25">
      <c r="A1089" s="1">
        <f>DATE(2012,2,4)</f>
        <v>40943</v>
      </c>
      <c r="B1089" t="s">
        <v>11</v>
      </c>
      <c r="C1089" t="s">
        <v>6</v>
      </c>
      <c r="D1089" s="3">
        <v>10537.97</v>
      </c>
      <c r="E1089" s="3">
        <v>0</v>
      </c>
      <c r="F1089" t="s">
        <v>45</v>
      </c>
      <c r="G1089" s="3">
        <f t="shared" si="119"/>
        <v>-10537.97</v>
      </c>
      <c r="H1089" s="3">
        <f t="shared" si="120"/>
        <v>10537.97</v>
      </c>
      <c r="I1089" s="5" t="str">
        <f t="shared" si="121"/>
        <v>016</v>
      </c>
      <c r="J1089" s="5" t="str">
        <f t="shared" si="122"/>
        <v>2100</v>
      </c>
      <c r="K1089" s="5" t="str">
        <f t="shared" si="123"/>
        <v>000</v>
      </c>
      <c r="L1089" s="5">
        <f t="shared" si="124"/>
        <v>2</v>
      </c>
      <c r="M1089" s="5">
        <f t="shared" si="125"/>
        <v>2012</v>
      </c>
    </row>
    <row r="1090" spans="1:13" ht="17.45" customHeight="1" x14ac:dyDescent="0.25">
      <c r="A1090" s="1">
        <f>DATE(2012,2,4)</f>
        <v>40943</v>
      </c>
      <c r="B1090" t="s">
        <v>12</v>
      </c>
      <c r="C1090" t="s">
        <v>8</v>
      </c>
      <c r="D1090" s="3">
        <v>2371.5720000000001</v>
      </c>
      <c r="E1090" s="3">
        <v>0</v>
      </c>
      <c r="F1090" t="s">
        <v>45</v>
      </c>
      <c r="G1090" s="3">
        <f t="shared" ref="G1090:G1153" si="126">E1090-D1090</f>
        <v>-2371.5720000000001</v>
      </c>
      <c r="H1090" s="3">
        <f t="shared" ref="H1090:H1153" si="127">ABS(G1090)</f>
        <v>2371.5720000000001</v>
      </c>
      <c r="I1090" s="5" t="str">
        <f t="shared" ref="I1090:I1153" si="128">MID(B1090,1,3)</f>
        <v>016</v>
      </c>
      <c r="J1090" s="5" t="str">
        <f t="shared" ref="J1090:J1153" si="129">MID(B1090,5,4)</f>
        <v>2210</v>
      </c>
      <c r="K1090" s="5" t="str">
        <f t="shared" ref="K1090:K1153" si="130">MID(B1090,10,3)</f>
        <v>000</v>
      </c>
      <c r="L1090" s="5">
        <f t="shared" ref="L1090:L1153" si="131">MONTH(A1090)</f>
        <v>2</v>
      </c>
      <c r="M1090" s="5">
        <f t="shared" ref="M1090:M1153" si="132">YEAR(A1090)</f>
        <v>2012</v>
      </c>
    </row>
    <row r="1091" spans="1:13" ht="17.45" customHeight="1" x14ac:dyDescent="0.25">
      <c r="A1091" s="1">
        <f>DATE(2012,2,4)</f>
        <v>40943</v>
      </c>
      <c r="B1091" t="s">
        <v>13</v>
      </c>
      <c r="C1091" t="s">
        <v>9</v>
      </c>
      <c r="D1091" s="3">
        <v>483.63299999999998</v>
      </c>
      <c r="E1091" s="3">
        <v>0</v>
      </c>
      <c r="F1091" t="s">
        <v>45</v>
      </c>
      <c r="G1091" s="3">
        <f t="shared" si="126"/>
        <v>-483.63299999999998</v>
      </c>
      <c r="H1091" s="3">
        <f t="shared" si="127"/>
        <v>483.63299999999998</v>
      </c>
      <c r="I1091" s="5" t="str">
        <f t="shared" si="128"/>
        <v>016</v>
      </c>
      <c r="J1091" s="5" t="str">
        <f t="shared" si="129"/>
        <v>2220</v>
      </c>
      <c r="K1091" s="5" t="str">
        <f t="shared" si="130"/>
        <v>000</v>
      </c>
      <c r="L1091" s="5">
        <f t="shared" si="131"/>
        <v>2</v>
      </c>
      <c r="M1091" s="5">
        <f t="shared" si="132"/>
        <v>2012</v>
      </c>
    </row>
    <row r="1092" spans="1:13" ht="17.45" customHeight="1" x14ac:dyDescent="0.25">
      <c r="A1092" s="1">
        <f>DATE(2012,2,4)</f>
        <v>40943</v>
      </c>
      <c r="B1092" t="s">
        <v>14</v>
      </c>
      <c r="C1092" t="s">
        <v>10</v>
      </c>
      <c r="D1092" s="3">
        <v>204.48</v>
      </c>
      <c r="E1092" s="3">
        <v>0</v>
      </c>
      <c r="F1092" t="s">
        <v>45</v>
      </c>
      <c r="G1092" s="3">
        <f t="shared" si="126"/>
        <v>-204.48</v>
      </c>
      <c r="H1092" s="3">
        <f t="shared" si="127"/>
        <v>204.48</v>
      </c>
      <c r="I1092" s="5" t="str">
        <f t="shared" si="128"/>
        <v>016</v>
      </c>
      <c r="J1092" s="5" t="str">
        <f t="shared" si="129"/>
        <v>2230</v>
      </c>
      <c r="K1092" s="5" t="str">
        <f t="shared" si="130"/>
        <v>000</v>
      </c>
      <c r="L1092" s="5">
        <f t="shared" si="131"/>
        <v>2</v>
      </c>
      <c r="M1092" s="5">
        <f t="shared" si="132"/>
        <v>2012</v>
      </c>
    </row>
    <row r="1093" spans="1:13" ht="17.45" customHeight="1" x14ac:dyDescent="0.25">
      <c r="A1093" s="1">
        <f>DATE(2012,2,5)</f>
        <v>40944</v>
      </c>
      <c r="B1093" t="s">
        <v>11</v>
      </c>
      <c r="C1093" t="s">
        <v>6</v>
      </c>
      <c r="D1093" s="3">
        <v>3024.8460000000005</v>
      </c>
      <c r="E1093" s="3">
        <v>0</v>
      </c>
      <c r="F1093" t="s">
        <v>45</v>
      </c>
      <c r="G1093" s="3">
        <f t="shared" si="126"/>
        <v>-3024.8460000000005</v>
      </c>
      <c r="H1093" s="3">
        <f t="shared" si="127"/>
        <v>3024.8460000000005</v>
      </c>
      <c r="I1093" s="5" t="str">
        <f t="shared" si="128"/>
        <v>016</v>
      </c>
      <c r="J1093" s="5" t="str">
        <f t="shared" si="129"/>
        <v>2100</v>
      </c>
      <c r="K1093" s="5" t="str">
        <f t="shared" si="130"/>
        <v>000</v>
      </c>
      <c r="L1093" s="5">
        <f t="shared" si="131"/>
        <v>2</v>
      </c>
      <c r="M1093" s="5">
        <f t="shared" si="132"/>
        <v>2012</v>
      </c>
    </row>
    <row r="1094" spans="1:13" ht="17.45" customHeight="1" x14ac:dyDescent="0.25">
      <c r="A1094" s="1">
        <f>DATE(2012,2,5)</f>
        <v>40944</v>
      </c>
      <c r="B1094" t="s">
        <v>12</v>
      </c>
      <c r="C1094" t="s">
        <v>8</v>
      </c>
      <c r="D1094" s="3">
        <v>512.827</v>
      </c>
      <c r="E1094" s="3">
        <v>0</v>
      </c>
      <c r="F1094" t="s">
        <v>45</v>
      </c>
      <c r="G1094" s="3">
        <f t="shared" si="126"/>
        <v>-512.827</v>
      </c>
      <c r="H1094" s="3">
        <f t="shared" si="127"/>
        <v>512.827</v>
      </c>
      <c r="I1094" s="5" t="str">
        <f t="shared" si="128"/>
        <v>016</v>
      </c>
      <c r="J1094" s="5" t="str">
        <f t="shared" si="129"/>
        <v>2210</v>
      </c>
      <c r="K1094" s="5" t="str">
        <f t="shared" si="130"/>
        <v>000</v>
      </c>
      <c r="L1094" s="5">
        <f t="shared" si="131"/>
        <v>2</v>
      </c>
      <c r="M1094" s="5">
        <f t="shared" si="132"/>
        <v>2012</v>
      </c>
    </row>
    <row r="1095" spans="1:13" ht="17.45" customHeight="1" x14ac:dyDescent="0.25">
      <c r="A1095" s="1">
        <f>DATE(2012,2,5)</f>
        <v>40944</v>
      </c>
      <c r="B1095" t="s">
        <v>13</v>
      </c>
      <c r="C1095" t="s">
        <v>9</v>
      </c>
      <c r="D1095" s="3">
        <v>221.77799999999999</v>
      </c>
      <c r="E1095" s="3">
        <v>0</v>
      </c>
      <c r="F1095" t="s">
        <v>45</v>
      </c>
      <c r="G1095" s="3">
        <f t="shared" si="126"/>
        <v>-221.77799999999999</v>
      </c>
      <c r="H1095" s="3">
        <f t="shared" si="127"/>
        <v>221.77799999999999</v>
      </c>
      <c r="I1095" s="5" t="str">
        <f t="shared" si="128"/>
        <v>016</v>
      </c>
      <c r="J1095" s="5" t="str">
        <f t="shared" si="129"/>
        <v>2220</v>
      </c>
      <c r="K1095" s="5" t="str">
        <f t="shared" si="130"/>
        <v>000</v>
      </c>
      <c r="L1095" s="5">
        <f t="shared" si="131"/>
        <v>2</v>
      </c>
      <c r="M1095" s="5">
        <f t="shared" si="132"/>
        <v>2012</v>
      </c>
    </row>
    <row r="1096" spans="1:13" ht="17.45" customHeight="1" x14ac:dyDescent="0.25">
      <c r="A1096" s="1">
        <f>DATE(2012,2,5)</f>
        <v>40944</v>
      </c>
      <c r="B1096" t="s">
        <v>14</v>
      </c>
      <c r="C1096" t="s">
        <v>10</v>
      </c>
      <c r="D1096" s="3">
        <v>55.774000000000001</v>
      </c>
      <c r="E1096" s="3">
        <v>0</v>
      </c>
      <c r="F1096" t="s">
        <v>45</v>
      </c>
      <c r="G1096" s="3">
        <f t="shared" si="126"/>
        <v>-55.774000000000001</v>
      </c>
      <c r="H1096" s="3">
        <f t="shared" si="127"/>
        <v>55.774000000000001</v>
      </c>
      <c r="I1096" s="5" t="str">
        <f t="shared" si="128"/>
        <v>016</v>
      </c>
      <c r="J1096" s="5" t="str">
        <f t="shared" si="129"/>
        <v>2230</v>
      </c>
      <c r="K1096" s="5" t="str">
        <f t="shared" si="130"/>
        <v>000</v>
      </c>
      <c r="L1096" s="5">
        <f t="shared" si="131"/>
        <v>2</v>
      </c>
      <c r="M1096" s="5">
        <f t="shared" si="132"/>
        <v>2012</v>
      </c>
    </row>
    <row r="1097" spans="1:13" ht="17.45" customHeight="1" x14ac:dyDescent="0.25">
      <c r="A1097" s="1">
        <f>DATE(2012,1,30)</f>
        <v>40938</v>
      </c>
      <c r="B1097" t="s">
        <v>15</v>
      </c>
      <c r="C1097" t="s">
        <v>6</v>
      </c>
      <c r="D1097" s="3">
        <v>3209.9259999999999</v>
      </c>
      <c r="E1097" s="3">
        <v>0</v>
      </c>
      <c r="F1097" t="s">
        <v>45</v>
      </c>
      <c r="G1097" s="3">
        <f t="shared" si="126"/>
        <v>-3209.9259999999999</v>
      </c>
      <c r="H1097" s="3">
        <f t="shared" si="127"/>
        <v>3209.9259999999999</v>
      </c>
      <c r="I1097" s="5" t="str">
        <f t="shared" si="128"/>
        <v>017</v>
      </c>
      <c r="J1097" s="5" t="str">
        <f t="shared" si="129"/>
        <v>2100</v>
      </c>
      <c r="K1097" s="5" t="str">
        <f t="shared" si="130"/>
        <v>000</v>
      </c>
      <c r="L1097" s="5">
        <f t="shared" si="131"/>
        <v>1</v>
      </c>
      <c r="M1097" s="5">
        <f t="shared" si="132"/>
        <v>2012</v>
      </c>
    </row>
    <row r="1098" spans="1:13" ht="17.45" customHeight="1" x14ac:dyDescent="0.25">
      <c r="A1098" s="1">
        <f>DATE(2012,1,30)</f>
        <v>40938</v>
      </c>
      <c r="B1098" t="s">
        <v>16</v>
      </c>
      <c r="C1098" t="s">
        <v>8</v>
      </c>
      <c r="D1098" s="3">
        <v>689.84999999999991</v>
      </c>
      <c r="E1098" s="3">
        <v>0</v>
      </c>
      <c r="F1098" t="s">
        <v>45</v>
      </c>
      <c r="G1098" s="3">
        <f t="shared" si="126"/>
        <v>-689.84999999999991</v>
      </c>
      <c r="H1098" s="3">
        <f t="shared" si="127"/>
        <v>689.84999999999991</v>
      </c>
      <c r="I1098" s="5" t="str">
        <f t="shared" si="128"/>
        <v>017</v>
      </c>
      <c r="J1098" s="5" t="str">
        <f t="shared" si="129"/>
        <v>2210</v>
      </c>
      <c r="K1098" s="5" t="str">
        <f t="shared" si="130"/>
        <v>000</v>
      </c>
      <c r="L1098" s="5">
        <f t="shared" si="131"/>
        <v>1</v>
      </c>
      <c r="M1098" s="5">
        <f t="shared" si="132"/>
        <v>2012</v>
      </c>
    </row>
    <row r="1099" spans="1:13" ht="17.45" customHeight="1" x14ac:dyDescent="0.25">
      <c r="A1099" s="1">
        <f>DATE(2012,1,30)</f>
        <v>40938</v>
      </c>
      <c r="B1099" t="s">
        <v>17</v>
      </c>
      <c r="C1099" t="s">
        <v>9</v>
      </c>
      <c r="D1099" s="3">
        <v>195.7225</v>
      </c>
      <c r="E1099" s="3">
        <v>0</v>
      </c>
      <c r="F1099" t="s">
        <v>45</v>
      </c>
      <c r="G1099" s="3">
        <f t="shared" si="126"/>
        <v>-195.7225</v>
      </c>
      <c r="H1099" s="3">
        <f t="shared" si="127"/>
        <v>195.7225</v>
      </c>
      <c r="I1099" s="5" t="str">
        <f t="shared" si="128"/>
        <v>017</v>
      </c>
      <c r="J1099" s="5" t="str">
        <f t="shared" si="129"/>
        <v>2220</v>
      </c>
      <c r="K1099" s="5" t="str">
        <f t="shared" si="130"/>
        <v>000</v>
      </c>
      <c r="L1099" s="5">
        <f t="shared" si="131"/>
        <v>1</v>
      </c>
      <c r="M1099" s="5">
        <f t="shared" si="132"/>
        <v>2012</v>
      </c>
    </row>
    <row r="1100" spans="1:13" ht="17.45" customHeight="1" x14ac:dyDescent="0.25">
      <c r="A1100" s="1">
        <f>DATE(2012,1,30)</f>
        <v>40938</v>
      </c>
      <c r="B1100" t="s">
        <v>18</v>
      </c>
      <c r="C1100" t="s">
        <v>10</v>
      </c>
      <c r="D1100" s="3">
        <v>80.040000000000006</v>
      </c>
      <c r="E1100" s="3">
        <v>0</v>
      </c>
      <c r="F1100" t="s">
        <v>45</v>
      </c>
      <c r="G1100" s="3">
        <f t="shared" si="126"/>
        <v>-80.040000000000006</v>
      </c>
      <c r="H1100" s="3">
        <f t="shared" si="127"/>
        <v>80.040000000000006</v>
      </c>
      <c r="I1100" s="5" t="str">
        <f t="shared" si="128"/>
        <v>017</v>
      </c>
      <c r="J1100" s="5" t="str">
        <f t="shared" si="129"/>
        <v>2230</v>
      </c>
      <c r="K1100" s="5" t="str">
        <f t="shared" si="130"/>
        <v>000</v>
      </c>
      <c r="L1100" s="5">
        <f t="shared" si="131"/>
        <v>1</v>
      </c>
      <c r="M1100" s="5">
        <f t="shared" si="132"/>
        <v>2012</v>
      </c>
    </row>
    <row r="1101" spans="1:13" ht="17.45" customHeight="1" x14ac:dyDescent="0.25">
      <c r="A1101" s="1">
        <f>DATE(2012,1,31)</f>
        <v>40939</v>
      </c>
      <c r="B1101" t="s">
        <v>15</v>
      </c>
      <c r="C1101" t="s">
        <v>6</v>
      </c>
      <c r="D1101" s="3">
        <v>5851.6165000000001</v>
      </c>
      <c r="E1101" s="3">
        <v>0</v>
      </c>
      <c r="F1101" t="s">
        <v>45</v>
      </c>
      <c r="G1101" s="3">
        <f t="shared" si="126"/>
        <v>-5851.6165000000001</v>
      </c>
      <c r="H1101" s="3">
        <f t="shared" si="127"/>
        <v>5851.6165000000001</v>
      </c>
      <c r="I1101" s="5" t="str">
        <f t="shared" si="128"/>
        <v>017</v>
      </c>
      <c r="J1101" s="5" t="str">
        <f t="shared" si="129"/>
        <v>2100</v>
      </c>
      <c r="K1101" s="5" t="str">
        <f t="shared" si="130"/>
        <v>000</v>
      </c>
      <c r="L1101" s="5">
        <f t="shared" si="131"/>
        <v>1</v>
      </c>
      <c r="M1101" s="5">
        <f t="shared" si="132"/>
        <v>2012</v>
      </c>
    </row>
    <row r="1102" spans="1:13" ht="17.45" customHeight="1" x14ac:dyDescent="0.25">
      <c r="A1102" s="1">
        <f>DATE(2012,1,31)</f>
        <v>40939</v>
      </c>
      <c r="B1102" t="s">
        <v>16</v>
      </c>
      <c r="C1102" t="s">
        <v>8</v>
      </c>
      <c r="D1102" s="3">
        <v>1413.4680000000001</v>
      </c>
      <c r="E1102" s="3">
        <v>0</v>
      </c>
      <c r="F1102" t="s">
        <v>45</v>
      </c>
      <c r="G1102" s="3">
        <f t="shared" si="126"/>
        <v>-1413.4680000000001</v>
      </c>
      <c r="H1102" s="3">
        <f t="shared" si="127"/>
        <v>1413.4680000000001</v>
      </c>
      <c r="I1102" s="5" t="str">
        <f t="shared" si="128"/>
        <v>017</v>
      </c>
      <c r="J1102" s="5" t="str">
        <f t="shared" si="129"/>
        <v>2210</v>
      </c>
      <c r="K1102" s="5" t="str">
        <f t="shared" si="130"/>
        <v>000</v>
      </c>
      <c r="L1102" s="5">
        <f t="shared" si="131"/>
        <v>1</v>
      </c>
      <c r="M1102" s="5">
        <f t="shared" si="132"/>
        <v>2012</v>
      </c>
    </row>
    <row r="1103" spans="1:13" ht="17.45" customHeight="1" x14ac:dyDescent="0.25">
      <c r="A1103" s="1">
        <f>DATE(2012,1,31)</f>
        <v>40939</v>
      </c>
      <c r="B1103" t="s">
        <v>17</v>
      </c>
      <c r="C1103" t="s">
        <v>9</v>
      </c>
      <c r="D1103" s="3">
        <v>276.85749999999996</v>
      </c>
      <c r="E1103" s="3">
        <v>0</v>
      </c>
      <c r="F1103" t="s">
        <v>45</v>
      </c>
      <c r="G1103" s="3">
        <f t="shared" si="126"/>
        <v>-276.85749999999996</v>
      </c>
      <c r="H1103" s="3">
        <f t="shared" si="127"/>
        <v>276.85749999999996</v>
      </c>
      <c r="I1103" s="5" t="str">
        <f t="shared" si="128"/>
        <v>017</v>
      </c>
      <c r="J1103" s="5" t="str">
        <f t="shared" si="129"/>
        <v>2220</v>
      </c>
      <c r="K1103" s="5" t="str">
        <f t="shared" si="130"/>
        <v>000</v>
      </c>
      <c r="L1103" s="5">
        <f t="shared" si="131"/>
        <v>1</v>
      </c>
      <c r="M1103" s="5">
        <f t="shared" si="132"/>
        <v>2012</v>
      </c>
    </row>
    <row r="1104" spans="1:13" ht="17.45" customHeight="1" x14ac:dyDescent="0.25">
      <c r="A1104" s="1">
        <f>DATE(2012,1,31)</f>
        <v>40939</v>
      </c>
      <c r="B1104" t="s">
        <v>18</v>
      </c>
      <c r="C1104" t="s">
        <v>10</v>
      </c>
      <c r="D1104" s="3">
        <v>222.39849999999998</v>
      </c>
      <c r="E1104" s="3">
        <v>0</v>
      </c>
      <c r="F1104" t="s">
        <v>45</v>
      </c>
      <c r="G1104" s="3">
        <f t="shared" si="126"/>
        <v>-222.39849999999998</v>
      </c>
      <c r="H1104" s="3">
        <f t="shared" si="127"/>
        <v>222.39849999999998</v>
      </c>
      <c r="I1104" s="5" t="str">
        <f t="shared" si="128"/>
        <v>017</v>
      </c>
      <c r="J1104" s="5" t="str">
        <f t="shared" si="129"/>
        <v>2230</v>
      </c>
      <c r="K1104" s="5" t="str">
        <f t="shared" si="130"/>
        <v>000</v>
      </c>
      <c r="L1104" s="5">
        <f t="shared" si="131"/>
        <v>1</v>
      </c>
      <c r="M1104" s="5">
        <f t="shared" si="132"/>
        <v>2012</v>
      </c>
    </row>
    <row r="1105" spans="1:13" ht="17.45" customHeight="1" x14ac:dyDescent="0.25">
      <c r="A1105" s="1">
        <f>DATE(2012,2,1)</f>
        <v>40940</v>
      </c>
      <c r="B1105" t="s">
        <v>15</v>
      </c>
      <c r="C1105" t="s">
        <v>6</v>
      </c>
      <c r="D1105" s="3">
        <v>4699.0356000000002</v>
      </c>
      <c r="E1105" s="3">
        <v>0</v>
      </c>
      <c r="F1105" t="s">
        <v>45</v>
      </c>
      <c r="G1105" s="3">
        <f t="shared" si="126"/>
        <v>-4699.0356000000002</v>
      </c>
      <c r="H1105" s="3">
        <f t="shared" si="127"/>
        <v>4699.0356000000002</v>
      </c>
      <c r="I1105" s="5" t="str">
        <f t="shared" si="128"/>
        <v>017</v>
      </c>
      <c r="J1105" s="5" t="str">
        <f t="shared" si="129"/>
        <v>2100</v>
      </c>
      <c r="K1105" s="5" t="str">
        <f t="shared" si="130"/>
        <v>000</v>
      </c>
      <c r="L1105" s="5">
        <f t="shared" si="131"/>
        <v>2</v>
      </c>
      <c r="M1105" s="5">
        <f t="shared" si="132"/>
        <v>2012</v>
      </c>
    </row>
    <row r="1106" spans="1:13" ht="17.45" customHeight="1" x14ac:dyDescent="0.25">
      <c r="A1106" s="1">
        <f>DATE(2012,2,1)</f>
        <v>40940</v>
      </c>
      <c r="B1106" t="s">
        <v>16</v>
      </c>
      <c r="C1106" t="s">
        <v>8</v>
      </c>
      <c r="D1106" s="3">
        <v>661.66800000000001</v>
      </c>
      <c r="E1106" s="3">
        <v>0</v>
      </c>
      <c r="F1106" t="s">
        <v>45</v>
      </c>
      <c r="G1106" s="3">
        <f t="shared" si="126"/>
        <v>-661.66800000000001</v>
      </c>
      <c r="H1106" s="3">
        <f t="shared" si="127"/>
        <v>661.66800000000001</v>
      </c>
      <c r="I1106" s="5" t="str">
        <f t="shared" si="128"/>
        <v>017</v>
      </c>
      <c r="J1106" s="5" t="str">
        <f t="shared" si="129"/>
        <v>2210</v>
      </c>
      <c r="K1106" s="5" t="str">
        <f t="shared" si="130"/>
        <v>000</v>
      </c>
      <c r="L1106" s="5">
        <f t="shared" si="131"/>
        <v>2</v>
      </c>
      <c r="M1106" s="5">
        <f t="shared" si="132"/>
        <v>2012</v>
      </c>
    </row>
    <row r="1107" spans="1:13" ht="17.45" customHeight="1" x14ac:dyDescent="0.25">
      <c r="A1107" s="1">
        <f>DATE(2012,2,1)</f>
        <v>40940</v>
      </c>
      <c r="B1107" t="s">
        <v>17</v>
      </c>
      <c r="C1107" t="s">
        <v>9</v>
      </c>
      <c r="D1107" s="3">
        <v>375.375</v>
      </c>
      <c r="E1107" s="3">
        <v>0</v>
      </c>
      <c r="F1107" t="s">
        <v>45</v>
      </c>
      <c r="G1107" s="3">
        <f t="shared" si="126"/>
        <v>-375.375</v>
      </c>
      <c r="H1107" s="3">
        <f t="shared" si="127"/>
        <v>375.375</v>
      </c>
      <c r="I1107" s="5" t="str">
        <f t="shared" si="128"/>
        <v>017</v>
      </c>
      <c r="J1107" s="5" t="str">
        <f t="shared" si="129"/>
        <v>2220</v>
      </c>
      <c r="K1107" s="5" t="str">
        <f t="shared" si="130"/>
        <v>000</v>
      </c>
      <c r="L1107" s="5">
        <f t="shared" si="131"/>
        <v>2</v>
      </c>
      <c r="M1107" s="5">
        <f t="shared" si="132"/>
        <v>2012</v>
      </c>
    </row>
    <row r="1108" spans="1:13" ht="17.45" customHeight="1" x14ac:dyDescent="0.25">
      <c r="A1108" s="1">
        <f>DATE(2012,2,1)</f>
        <v>40940</v>
      </c>
      <c r="B1108" t="s">
        <v>18</v>
      </c>
      <c r="C1108" t="s">
        <v>10</v>
      </c>
      <c r="D1108" s="3">
        <v>43.1325</v>
      </c>
      <c r="E1108" s="3">
        <v>0</v>
      </c>
      <c r="F1108" t="s">
        <v>45</v>
      </c>
      <c r="G1108" s="3">
        <f t="shared" si="126"/>
        <v>-43.1325</v>
      </c>
      <c r="H1108" s="3">
        <f t="shared" si="127"/>
        <v>43.1325</v>
      </c>
      <c r="I1108" s="5" t="str">
        <f t="shared" si="128"/>
        <v>017</v>
      </c>
      <c r="J1108" s="5" t="str">
        <f t="shared" si="129"/>
        <v>2230</v>
      </c>
      <c r="K1108" s="5" t="str">
        <f t="shared" si="130"/>
        <v>000</v>
      </c>
      <c r="L1108" s="5">
        <f t="shared" si="131"/>
        <v>2</v>
      </c>
      <c r="M1108" s="5">
        <f t="shared" si="132"/>
        <v>2012</v>
      </c>
    </row>
    <row r="1109" spans="1:13" ht="17.45" customHeight="1" x14ac:dyDescent="0.25">
      <c r="A1109" s="1">
        <f>DATE(2012,2,2)</f>
        <v>40941</v>
      </c>
      <c r="B1109" t="s">
        <v>15</v>
      </c>
      <c r="C1109" t="s">
        <v>6</v>
      </c>
      <c r="D1109" s="3">
        <v>6924.9299999999994</v>
      </c>
      <c r="E1109" s="3">
        <v>0</v>
      </c>
      <c r="F1109" t="s">
        <v>45</v>
      </c>
      <c r="G1109" s="3">
        <f t="shared" si="126"/>
        <v>-6924.9299999999994</v>
      </c>
      <c r="H1109" s="3">
        <f t="shared" si="127"/>
        <v>6924.9299999999994</v>
      </c>
      <c r="I1109" s="5" t="str">
        <f t="shared" si="128"/>
        <v>017</v>
      </c>
      <c r="J1109" s="5" t="str">
        <f t="shared" si="129"/>
        <v>2100</v>
      </c>
      <c r="K1109" s="5" t="str">
        <f t="shared" si="130"/>
        <v>000</v>
      </c>
      <c r="L1109" s="5">
        <f t="shared" si="131"/>
        <v>2</v>
      </c>
      <c r="M1109" s="5">
        <f t="shared" si="132"/>
        <v>2012</v>
      </c>
    </row>
    <row r="1110" spans="1:13" ht="17.45" customHeight="1" x14ac:dyDescent="0.25">
      <c r="A1110" s="1">
        <f>DATE(2012,2,2)</f>
        <v>40941</v>
      </c>
      <c r="B1110" t="s">
        <v>16</v>
      </c>
      <c r="C1110" t="s">
        <v>8</v>
      </c>
      <c r="D1110" s="3">
        <v>1294.0550000000001</v>
      </c>
      <c r="E1110" s="3">
        <v>0</v>
      </c>
      <c r="F1110" t="s">
        <v>45</v>
      </c>
      <c r="G1110" s="3">
        <f t="shared" si="126"/>
        <v>-1294.0550000000001</v>
      </c>
      <c r="H1110" s="3">
        <f t="shared" si="127"/>
        <v>1294.0550000000001</v>
      </c>
      <c r="I1110" s="5" t="str">
        <f t="shared" si="128"/>
        <v>017</v>
      </c>
      <c r="J1110" s="5" t="str">
        <f t="shared" si="129"/>
        <v>2210</v>
      </c>
      <c r="K1110" s="5" t="str">
        <f t="shared" si="130"/>
        <v>000</v>
      </c>
      <c r="L1110" s="5">
        <f t="shared" si="131"/>
        <v>2</v>
      </c>
      <c r="M1110" s="5">
        <f t="shared" si="132"/>
        <v>2012</v>
      </c>
    </row>
    <row r="1111" spans="1:13" ht="17.45" customHeight="1" x14ac:dyDescent="0.25">
      <c r="A1111" s="1">
        <f>DATE(2012,2,2)</f>
        <v>40941</v>
      </c>
      <c r="B1111" t="s">
        <v>17</v>
      </c>
      <c r="C1111" t="s">
        <v>9</v>
      </c>
      <c r="D1111" s="3">
        <v>438.9</v>
      </c>
      <c r="E1111" s="3">
        <v>0</v>
      </c>
      <c r="F1111" t="s">
        <v>45</v>
      </c>
      <c r="G1111" s="3">
        <f t="shared" si="126"/>
        <v>-438.9</v>
      </c>
      <c r="H1111" s="3">
        <f t="shared" si="127"/>
        <v>438.9</v>
      </c>
      <c r="I1111" s="5" t="str">
        <f t="shared" si="128"/>
        <v>017</v>
      </c>
      <c r="J1111" s="5" t="str">
        <f t="shared" si="129"/>
        <v>2220</v>
      </c>
      <c r="K1111" s="5" t="str">
        <f t="shared" si="130"/>
        <v>000</v>
      </c>
      <c r="L1111" s="5">
        <f t="shared" si="131"/>
        <v>2</v>
      </c>
      <c r="M1111" s="5">
        <f t="shared" si="132"/>
        <v>2012</v>
      </c>
    </row>
    <row r="1112" spans="1:13" ht="17.45" customHeight="1" x14ac:dyDescent="0.25">
      <c r="A1112" s="1">
        <f>DATE(2012,2,2)</f>
        <v>40941</v>
      </c>
      <c r="B1112" t="s">
        <v>18</v>
      </c>
      <c r="C1112" t="s">
        <v>10</v>
      </c>
      <c r="D1112" s="3">
        <v>112.295</v>
      </c>
      <c r="E1112" s="3">
        <v>0</v>
      </c>
      <c r="F1112" t="s">
        <v>45</v>
      </c>
      <c r="G1112" s="3">
        <f t="shared" si="126"/>
        <v>-112.295</v>
      </c>
      <c r="H1112" s="3">
        <f t="shared" si="127"/>
        <v>112.295</v>
      </c>
      <c r="I1112" s="5" t="str">
        <f t="shared" si="128"/>
        <v>017</v>
      </c>
      <c r="J1112" s="5" t="str">
        <f t="shared" si="129"/>
        <v>2230</v>
      </c>
      <c r="K1112" s="5" t="str">
        <f t="shared" si="130"/>
        <v>000</v>
      </c>
      <c r="L1112" s="5">
        <f t="shared" si="131"/>
        <v>2</v>
      </c>
      <c r="M1112" s="5">
        <f t="shared" si="132"/>
        <v>2012</v>
      </c>
    </row>
    <row r="1113" spans="1:13" ht="17.45" customHeight="1" x14ac:dyDescent="0.25">
      <c r="A1113" s="1">
        <f>DATE(2012,2,3)</f>
        <v>40942</v>
      </c>
      <c r="B1113" t="s">
        <v>15</v>
      </c>
      <c r="C1113" t="s">
        <v>6</v>
      </c>
      <c r="D1113" s="3">
        <v>6619.1282000000001</v>
      </c>
      <c r="E1113" s="3">
        <v>0</v>
      </c>
      <c r="F1113" t="s">
        <v>45</v>
      </c>
      <c r="G1113" s="3">
        <f t="shared" si="126"/>
        <v>-6619.1282000000001</v>
      </c>
      <c r="H1113" s="3">
        <f t="shared" si="127"/>
        <v>6619.1282000000001</v>
      </c>
      <c r="I1113" s="5" t="str">
        <f t="shared" si="128"/>
        <v>017</v>
      </c>
      <c r="J1113" s="5" t="str">
        <f t="shared" si="129"/>
        <v>2100</v>
      </c>
      <c r="K1113" s="5" t="str">
        <f t="shared" si="130"/>
        <v>000</v>
      </c>
      <c r="L1113" s="5">
        <f t="shared" si="131"/>
        <v>2</v>
      </c>
      <c r="M1113" s="5">
        <f t="shared" si="132"/>
        <v>2012</v>
      </c>
    </row>
    <row r="1114" spans="1:13" ht="17.45" customHeight="1" x14ac:dyDescent="0.25">
      <c r="A1114" s="1">
        <f>DATE(2012,2,3)</f>
        <v>40942</v>
      </c>
      <c r="B1114" t="s">
        <v>16</v>
      </c>
      <c r="C1114" t="s">
        <v>8</v>
      </c>
      <c r="D1114" s="3">
        <v>1876.337</v>
      </c>
      <c r="E1114" s="3">
        <v>0</v>
      </c>
      <c r="F1114" t="s">
        <v>45</v>
      </c>
      <c r="G1114" s="3">
        <f t="shared" si="126"/>
        <v>-1876.337</v>
      </c>
      <c r="H1114" s="3">
        <f t="shared" si="127"/>
        <v>1876.337</v>
      </c>
      <c r="I1114" s="5" t="str">
        <f t="shared" si="128"/>
        <v>017</v>
      </c>
      <c r="J1114" s="5" t="str">
        <f t="shared" si="129"/>
        <v>2210</v>
      </c>
      <c r="K1114" s="5" t="str">
        <f t="shared" si="130"/>
        <v>000</v>
      </c>
      <c r="L1114" s="5">
        <f t="shared" si="131"/>
        <v>2</v>
      </c>
      <c r="M1114" s="5">
        <f t="shared" si="132"/>
        <v>2012</v>
      </c>
    </row>
    <row r="1115" spans="1:13" ht="17.45" customHeight="1" x14ac:dyDescent="0.25">
      <c r="A1115" s="1">
        <f>DATE(2012,2,3)</f>
        <v>40942</v>
      </c>
      <c r="B1115" t="s">
        <v>17</v>
      </c>
      <c r="C1115" t="s">
        <v>9</v>
      </c>
      <c r="D1115" s="3">
        <v>600.31500000000005</v>
      </c>
      <c r="E1115" s="3">
        <v>0</v>
      </c>
      <c r="F1115" t="s">
        <v>45</v>
      </c>
      <c r="G1115" s="3">
        <f t="shared" si="126"/>
        <v>-600.31500000000005</v>
      </c>
      <c r="H1115" s="3">
        <f t="shared" si="127"/>
        <v>600.31500000000005</v>
      </c>
      <c r="I1115" s="5" t="str">
        <f t="shared" si="128"/>
        <v>017</v>
      </c>
      <c r="J1115" s="5" t="str">
        <f t="shared" si="129"/>
        <v>2220</v>
      </c>
      <c r="K1115" s="5" t="str">
        <f t="shared" si="130"/>
        <v>000</v>
      </c>
      <c r="L1115" s="5">
        <f t="shared" si="131"/>
        <v>2</v>
      </c>
      <c r="M1115" s="5">
        <f t="shared" si="132"/>
        <v>2012</v>
      </c>
    </row>
    <row r="1116" spans="1:13" ht="17.45" customHeight="1" x14ac:dyDescent="0.25">
      <c r="A1116" s="1">
        <f>DATE(2012,2,3)</f>
        <v>40942</v>
      </c>
      <c r="B1116" t="s">
        <v>18</v>
      </c>
      <c r="C1116" t="s">
        <v>10</v>
      </c>
      <c r="D1116" s="3">
        <v>162.55400000000003</v>
      </c>
      <c r="E1116" s="3">
        <v>0</v>
      </c>
      <c r="F1116" t="s">
        <v>45</v>
      </c>
      <c r="G1116" s="3">
        <f t="shared" si="126"/>
        <v>-162.55400000000003</v>
      </c>
      <c r="H1116" s="3">
        <f t="shared" si="127"/>
        <v>162.55400000000003</v>
      </c>
      <c r="I1116" s="5" t="str">
        <f t="shared" si="128"/>
        <v>017</v>
      </c>
      <c r="J1116" s="5" t="str">
        <f t="shared" si="129"/>
        <v>2230</v>
      </c>
      <c r="K1116" s="5" t="str">
        <f t="shared" si="130"/>
        <v>000</v>
      </c>
      <c r="L1116" s="5">
        <f t="shared" si="131"/>
        <v>2</v>
      </c>
      <c r="M1116" s="5">
        <f t="shared" si="132"/>
        <v>2012</v>
      </c>
    </row>
    <row r="1117" spans="1:13" ht="17.45" customHeight="1" x14ac:dyDescent="0.25">
      <c r="A1117" s="1">
        <f>DATE(2012,2,4)</f>
        <v>40943</v>
      </c>
      <c r="B1117" t="s">
        <v>15</v>
      </c>
      <c r="C1117" t="s">
        <v>6</v>
      </c>
      <c r="D1117" s="3">
        <v>7035.7867999999999</v>
      </c>
      <c r="E1117" s="3">
        <v>0</v>
      </c>
      <c r="F1117" t="s">
        <v>45</v>
      </c>
      <c r="G1117" s="3">
        <f t="shared" si="126"/>
        <v>-7035.7867999999999</v>
      </c>
      <c r="H1117" s="3">
        <f t="shared" si="127"/>
        <v>7035.7867999999999</v>
      </c>
      <c r="I1117" s="5" t="str">
        <f t="shared" si="128"/>
        <v>017</v>
      </c>
      <c r="J1117" s="5" t="str">
        <f t="shared" si="129"/>
        <v>2100</v>
      </c>
      <c r="K1117" s="5" t="str">
        <f t="shared" si="130"/>
        <v>000</v>
      </c>
      <c r="L1117" s="5">
        <f t="shared" si="131"/>
        <v>2</v>
      </c>
      <c r="M1117" s="5">
        <f t="shared" si="132"/>
        <v>2012</v>
      </c>
    </row>
    <row r="1118" spans="1:13" ht="17.45" customHeight="1" x14ac:dyDescent="0.25">
      <c r="A1118" s="1">
        <f>DATE(2012,2,4)</f>
        <v>40943</v>
      </c>
      <c r="B1118" t="s">
        <v>16</v>
      </c>
      <c r="C1118" t="s">
        <v>8</v>
      </c>
      <c r="D1118" s="3">
        <v>2319.875</v>
      </c>
      <c r="E1118" s="3">
        <v>0</v>
      </c>
      <c r="F1118" t="s">
        <v>45</v>
      </c>
      <c r="G1118" s="3">
        <f t="shared" si="126"/>
        <v>-2319.875</v>
      </c>
      <c r="H1118" s="3">
        <f t="shared" si="127"/>
        <v>2319.875</v>
      </c>
      <c r="I1118" s="5" t="str">
        <f t="shared" si="128"/>
        <v>017</v>
      </c>
      <c r="J1118" s="5" t="str">
        <f t="shared" si="129"/>
        <v>2210</v>
      </c>
      <c r="K1118" s="5" t="str">
        <f t="shared" si="130"/>
        <v>000</v>
      </c>
      <c r="L1118" s="5">
        <f t="shared" si="131"/>
        <v>2</v>
      </c>
      <c r="M1118" s="5">
        <f t="shared" si="132"/>
        <v>2012</v>
      </c>
    </row>
    <row r="1119" spans="1:13" ht="17.45" customHeight="1" x14ac:dyDescent="0.25">
      <c r="A1119" s="1">
        <f>DATE(2012,2,4)</f>
        <v>40943</v>
      </c>
      <c r="B1119" t="s">
        <v>17</v>
      </c>
      <c r="C1119" t="s">
        <v>9</v>
      </c>
      <c r="D1119" s="3">
        <v>784.99</v>
      </c>
      <c r="E1119" s="3">
        <v>0</v>
      </c>
      <c r="F1119" t="s">
        <v>45</v>
      </c>
      <c r="G1119" s="3">
        <f t="shared" si="126"/>
        <v>-784.99</v>
      </c>
      <c r="H1119" s="3">
        <f t="shared" si="127"/>
        <v>784.99</v>
      </c>
      <c r="I1119" s="5" t="str">
        <f t="shared" si="128"/>
        <v>017</v>
      </c>
      <c r="J1119" s="5" t="str">
        <f t="shared" si="129"/>
        <v>2220</v>
      </c>
      <c r="K1119" s="5" t="str">
        <f t="shared" si="130"/>
        <v>000</v>
      </c>
      <c r="L1119" s="5">
        <f t="shared" si="131"/>
        <v>2</v>
      </c>
      <c r="M1119" s="5">
        <f t="shared" si="132"/>
        <v>2012</v>
      </c>
    </row>
    <row r="1120" spans="1:13" ht="17.45" customHeight="1" x14ac:dyDescent="0.25">
      <c r="A1120" s="1">
        <f>DATE(2012,2,4)</f>
        <v>40943</v>
      </c>
      <c r="B1120" t="s">
        <v>18</v>
      </c>
      <c r="C1120" t="s">
        <v>10</v>
      </c>
      <c r="D1120" s="3">
        <v>169.22400000000002</v>
      </c>
      <c r="E1120" s="3">
        <v>0</v>
      </c>
      <c r="F1120" t="s">
        <v>45</v>
      </c>
      <c r="G1120" s="3">
        <f t="shared" si="126"/>
        <v>-169.22400000000002</v>
      </c>
      <c r="H1120" s="3">
        <f t="shared" si="127"/>
        <v>169.22400000000002</v>
      </c>
      <c r="I1120" s="5" t="str">
        <f t="shared" si="128"/>
        <v>017</v>
      </c>
      <c r="J1120" s="5" t="str">
        <f t="shared" si="129"/>
        <v>2230</v>
      </c>
      <c r="K1120" s="5" t="str">
        <f t="shared" si="130"/>
        <v>000</v>
      </c>
      <c r="L1120" s="5">
        <f t="shared" si="131"/>
        <v>2</v>
      </c>
      <c r="M1120" s="5">
        <f t="shared" si="132"/>
        <v>2012</v>
      </c>
    </row>
    <row r="1121" spans="1:13" ht="17.45" customHeight="1" x14ac:dyDescent="0.25">
      <c r="A1121" s="1">
        <f>DATE(2012,2,5)</f>
        <v>40944</v>
      </c>
      <c r="B1121" t="s">
        <v>15</v>
      </c>
      <c r="C1121" t="s">
        <v>6</v>
      </c>
      <c r="D1121" s="3">
        <v>3431.6767999999997</v>
      </c>
      <c r="E1121" s="3">
        <v>0</v>
      </c>
      <c r="F1121" t="s">
        <v>45</v>
      </c>
      <c r="G1121" s="3">
        <f t="shared" si="126"/>
        <v>-3431.6767999999997</v>
      </c>
      <c r="H1121" s="3">
        <f t="shared" si="127"/>
        <v>3431.6767999999997</v>
      </c>
      <c r="I1121" s="5" t="str">
        <f t="shared" si="128"/>
        <v>017</v>
      </c>
      <c r="J1121" s="5" t="str">
        <f t="shared" si="129"/>
        <v>2100</v>
      </c>
      <c r="K1121" s="5" t="str">
        <f t="shared" si="130"/>
        <v>000</v>
      </c>
      <c r="L1121" s="5">
        <f t="shared" si="131"/>
        <v>2</v>
      </c>
      <c r="M1121" s="5">
        <f t="shared" si="132"/>
        <v>2012</v>
      </c>
    </row>
    <row r="1122" spans="1:13" ht="17.45" customHeight="1" x14ac:dyDescent="0.25">
      <c r="A1122" s="1">
        <f>DATE(2012,2,5)</f>
        <v>40944</v>
      </c>
      <c r="B1122" t="s">
        <v>16</v>
      </c>
      <c r="C1122" t="s">
        <v>8</v>
      </c>
      <c r="D1122" s="3">
        <v>410.61900000000003</v>
      </c>
      <c r="E1122" s="3">
        <v>0</v>
      </c>
      <c r="F1122" t="s">
        <v>45</v>
      </c>
      <c r="G1122" s="3">
        <f t="shared" si="126"/>
        <v>-410.61900000000003</v>
      </c>
      <c r="H1122" s="3">
        <f t="shared" si="127"/>
        <v>410.61900000000003</v>
      </c>
      <c r="I1122" s="5" t="str">
        <f t="shared" si="128"/>
        <v>017</v>
      </c>
      <c r="J1122" s="5" t="str">
        <f t="shared" si="129"/>
        <v>2210</v>
      </c>
      <c r="K1122" s="5" t="str">
        <f t="shared" si="130"/>
        <v>000</v>
      </c>
      <c r="L1122" s="5">
        <f t="shared" si="131"/>
        <v>2</v>
      </c>
      <c r="M1122" s="5">
        <f t="shared" si="132"/>
        <v>2012</v>
      </c>
    </row>
    <row r="1123" spans="1:13" ht="17.45" customHeight="1" x14ac:dyDescent="0.25">
      <c r="A1123" s="1">
        <f>DATE(2012,2,5)</f>
        <v>40944</v>
      </c>
      <c r="B1123" t="s">
        <v>17</v>
      </c>
      <c r="C1123" t="s">
        <v>9</v>
      </c>
      <c r="D1123" s="3">
        <v>133.52500000000001</v>
      </c>
      <c r="E1123" s="3">
        <v>0</v>
      </c>
      <c r="F1123" t="s">
        <v>45</v>
      </c>
      <c r="G1123" s="3">
        <f t="shared" si="126"/>
        <v>-133.52500000000001</v>
      </c>
      <c r="H1123" s="3">
        <f t="shared" si="127"/>
        <v>133.52500000000001</v>
      </c>
      <c r="I1123" s="5" t="str">
        <f t="shared" si="128"/>
        <v>017</v>
      </c>
      <c r="J1123" s="5" t="str">
        <f t="shared" si="129"/>
        <v>2220</v>
      </c>
      <c r="K1123" s="5" t="str">
        <f t="shared" si="130"/>
        <v>000</v>
      </c>
      <c r="L1123" s="5">
        <f t="shared" si="131"/>
        <v>2</v>
      </c>
      <c r="M1123" s="5">
        <f t="shared" si="132"/>
        <v>2012</v>
      </c>
    </row>
    <row r="1124" spans="1:13" ht="17.45" customHeight="1" x14ac:dyDescent="0.25">
      <c r="A1124" s="1">
        <f>DATE(2012,2,5)</f>
        <v>40944</v>
      </c>
      <c r="B1124" t="s">
        <v>18</v>
      </c>
      <c r="C1124" t="s">
        <v>10</v>
      </c>
      <c r="D1124" s="3">
        <v>29.929500000000004</v>
      </c>
      <c r="E1124" s="3">
        <v>0</v>
      </c>
      <c r="F1124" t="s">
        <v>45</v>
      </c>
      <c r="G1124" s="3">
        <f t="shared" si="126"/>
        <v>-29.929500000000004</v>
      </c>
      <c r="H1124" s="3">
        <f t="shared" si="127"/>
        <v>29.929500000000004</v>
      </c>
      <c r="I1124" s="5" t="str">
        <f t="shared" si="128"/>
        <v>017</v>
      </c>
      <c r="J1124" s="5" t="str">
        <f t="shared" si="129"/>
        <v>2230</v>
      </c>
      <c r="K1124" s="5" t="str">
        <f t="shared" si="130"/>
        <v>000</v>
      </c>
      <c r="L1124" s="5">
        <f t="shared" si="131"/>
        <v>2</v>
      </c>
      <c r="M1124" s="5">
        <f t="shared" si="132"/>
        <v>2012</v>
      </c>
    </row>
    <row r="1125" spans="1:13" ht="17.45" customHeight="1" x14ac:dyDescent="0.25">
      <c r="A1125" s="1">
        <f>DATE(2012,1,30)</f>
        <v>40938</v>
      </c>
      <c r="B1125" t="s">
        <v>19</v>
      </c>
      <c r="C1125" t="s">
        <v>6</v>
      </c>
      <c r="D1125" s="3">
        <v>3648.6995999999999</v>
      </c>
      <c r="E1125" s="3">
        <v>0</v>
      </c>
      <c r="F1125" t="s">
        <v>45</v>
      </c>
      <c r="G1125" s="3">
        <f t="shared" si="126"/>
        <v>-3648.6995999999999</v>
      </c>
      <c r="H1125" s="3">
        <f t="shared" si="127"/>
        <v>3648.6995999999999</v>
      </c>
      <c r="I1125" s="5" t="str">
        <f t="shared" si="128"/>
        <v>018</v>
      </c>
      <c r="J1125" s="5" t="str">
        <f t="shared" si="129"/>
        <v>2100</v>
      </c>
      <c r="K1125" s="5" t="str">
        <f t="shared" si="130"/>
        <v>000</v>
      </c>
      <c r="L1125" s="5">
        <f t="shared" si="131"/>
        <v>1</v>
      </c>
      <c r="M1125" s="5">
        <f t="shared" si="132"/>
        <v>2012</v>
      </c>
    </row>
    <row r="1126" spans="1:13" ht="17.45" customHeight="1" x14ac:dyDescent="0.25">
      <c r="A1126" s="1">
        <f>DATE(2012,1,30)</f>
        <v>40938</v>
      </c>
      <c r="B1126" t="s">
        <v>20</v>
      </c>
      <c r="C1126" t="s">
        <v>8</v>
      </c>
      <c r="D1126" s="3">
        <v>459.10799999999995</v>
      </c>
      <c r="E1126" s="3">
        <v>0</v>
      </c>
      <c r="F1126" t="s">
        <v>45</v>
      </c>
      <c r="G1126" s="3">
        <f t="shared" si="126"/>
        <v>-459.10799999999995</v>
      </c>
      <c r="H1126" s="3">
        <f t="shared" si="127"/>
        <v>459.10799999999995</v>
      </c>
      <c r="I1126" s="5" t="str">
        <f t="shared" si="128"/>
        <v>018</v>
      </c>
      <c r="J1126" s="5" t="str">
        <f t="shared" si="129"/>
        <v>2210</v>
      </c>
      <c r="K1126" s="5" t="str">
        <f t="shared" si="130"/>
        <v>000</v>
      </c>
      <c r="L1126" s="5">
        <f t="shared" si="131"/>
        <v>1</v>
      </c>
      <c r="M1126" s="5">
        <f t="shared" si="132"/>
        <v>2012</v>
      </c>
    </row>
    <row r="1127" spans="1:13" ht="17.45" customHeight="1" x14ac:dyDescent="0.25">
      <c r="A1127" s="1">
        <f>DATE(2012,1,30)</f>
        <v>40938</v>
      </c>
      <c r="B1127" t="s">
        <v>21</v>
      </c>
      <c r="C1127" t="s">
        <v>9</v>
      </c>
      <c r="D1127" s="3">
        <v>91.218000000000004</v>
      </c>
      <c r="E1127" s="3">
        <v>0</v>
      </c>
      <c r="F1127" t="s">
        <v>45</v>
      </c>
      <c r="G1127" s="3">
        <f t="shared" si="126"/>
        <v>-91.218000000000004</v>
      </c>
      <c r="H1127" s="3">
        <f t="shared" si="127"/>
        <v>91.218000000000004</v>
      </c>
      <c r="I1127" s="5" t="str">
        <f t="shared" si="128"/>
        <v>018</v>
      </c>
      <c r="J1127" s="5" t="str">
        <f t="shared" si="129"/>
        <v>2220</v>
      </c>
      <c r="K1127" s="5" t="str">
        <f t="shared" si="130"/>
        <v>000</v>
      </c>
      <c r="L1127" s="5">
        <f t="shared" si="131"/>
        <v>1</v>
      </c>
      <c r="M1127" s="5">
        <f t="shared" si="132"/>
        <v>2012</v>
      </c>
    </row>
    <row r="1128" spans="1:13" ht="17.45" customHeight="1" x14ac:dyDescent="0.25">
      <c r="A1128" s="1">
        <f>DATE(2012,1,30)</f>
        <v>40938</v>
      </c>
      <c r="B1128" t="s">
        <v>22</v>
      </c>
      <c r="C1128" t="s">
        <v>10</v>
      </c>
      <c r="D1128" s="3">
        <v>6.7575000000000003</v>
      </c>
      <c r="E1128" s="3">
        <v>0</v>
      </c>
      <c r="F1128" t="s">
        <v>45</v>
      </c>
      <c r="G1128" s="3">
        <f t="shared" si="126"/>
        <v>-6.7575000000000003</v>
      </c>
      <c r="H1128" s="3">
        <f t="shared" si="127"/>
        <v>6.7575000000000003</v>
      </c>
      <c r="I1128" s="5" t="str">
        <f t="shared" si="128"/>
        <v>018</v>
      </c>
      <c r="J1128" s="5" t="str">
        <f t="shared" si="129"/>
        <v>2230</v>
      </c>
      <c r="K1128" s="5" t="str">
        <f t="shared" si="130"/>
        <v>000</v>
      </c>
      <c r="L1128" s="5">
        <f t="shared" si="131"/>
        <v>1</v>
      </c>
      <c r="M1128" s="5">
        <f t="shared" si="132"/>
        <v>2012</v>
      </c>
    </row>
    <row r="1129" spans="1:13" ht="17.45" customHeight="1" x14ac:dyDescent="0.25">
      <c r="A1129" s="1">
        <f>DATE(2012,1,31)</f>
        <v>40939</v>
      </c>
      <c r="B1129" t="s">
        <v>19</v>
      </c>
      <c r="C1129" t="s">
        <v>6</v>
      </c>
      <c r="D1129" s="3">
        <v>2979.8553999999995</v>
      </c>
      <c r="E1129" s="3">
        <v>0</v>
      </c>
      <c r="F1129" t="s">
        <v>45</v>
      </c>
      <c r="G1129" s="3">
        <f t="shared" si="126"/>
        <v>-2979.8553999999995</v>
      </c>
      <c r="H1129" s="3">
        <f t="shared" si="127"/>
        <v>2979.8553999999995</v>
      </c>
      <c r="I1129" s="5" t="str">
        <f t="shared" si="128"/>
        <v>018</v>
      </c>
      <c r="J1129" s="5" t="str">
        <f t="shared" si="129"/>
        <v>2100</v>
      </c>
      <c r="K1129" s="5" t="str">
        <f t="shared" si="130"/>
        <v>000</v>
      </c>
      <c r="L1129" s="5">
        <f t="shared" si="131"/>
        <v>1</v>
      </c>
      <c r="M1129" s="5">
        <f t="shared" si="132"/>
        <v>2012</v>
      </c>
    </row>
    <row r="1130" spans="1:13" ht="17.45" customHeight="1" x14ac:dyDescent="0.25">
      <c r="A1130" s="1">
        <f>DATE(2012,1,31)</f>
        <v>40939</v>
      </c>
      <c r="B1130" t="s">
        <v>20</v>
      </c>
      <c r="C1130" t="s">
        <v>8</v>
      </c>
      <c r="D1130" s="3">
        <v>341.59100000000001</v>
      </c>
      <c r="E1130" s="3">
        <v>0</v>
      </c>
      <c r="F1130" t="s">
        <v>45</v>
      </c>
      <c r="G1130" s="3">
        <f t="shared" si="126"/>
        <v>-341.59100000000001</v>
      </c>
      <c r="H1130" s="3">
        <f t="shared" si="127"/>
        <v>341.59100000000001</v>
      </c>
      <c r="I1130" s="5" t="str">
        <f t="shared" si="128"/>
        <v>018</v>
      </c>
      <c r="J1130" s="5" t="str">
        <f t="shared" si="129"/>
        <v>2210</v>
      </c>
      <c r="K1130" s="5" t="str">
        <f t="shared" si="130"/>
        <v>000</v>
      </c>
      <c r="L1130" s="5">
        <f t="shared" si="131"/>
        <v>1</v>
      </c>
      <c r="M1130" s="5">
        <f t="shared" si="132"/>
        <v>2012</v>
      </c>
    </row>
    <row r="1131" spans="1:13" ht="17.45" customHeight="1" x14ac:dyDescent="0.25">
      <c r="A1131" s="1">
        <f>DATE(2012,1,31)</f>
        <v>40939</v>
      </c>
      <c r="B1131" t="s">
        <v>21</v>
      </c>
      <c r="C1131" t="s">
        <v>9</v>
      </c>
      <c r="D1131" s="3">
        <v>54.533999999999999</v>
      </c>
      <c r="E1131" s="3">
        <v>0</v>
      </c>
      <c r="F1131" t="s">
        <v>45</v>
      </c>
      <c r="G1131" s="3">
        <f t="shared" si="126"/>
        <v>-54.533999999999999</v>
      </c>
      <c r="H1131" s="3">
        <f t="shared" si="127"/>
        <v>54.533999999999999</v>
      </c>
      <c r="I1131" s="5" t="str">
        <f t="shared" si="128"/>
        <v>018</v>
      </c>
      <c r="J1131" s="5" t="str">
        <f t="shared" si="129"/>
        <v>2220</v>
      </c>
      <c r="K1131" s="5" t="str">
        <f t="shared" si="130"/>
        <v>000</v>
      </c>
      <c r="L1131" s="5">
        <f t="shared" si="131"/>
        <v>1</v>
      </c>
      <c r="M1131" s="5">
        <f t="shared" si="132"/>
        <v>2012</v>
      </c>
    </row>
    <row r="1132" spans="1:13" ht="17.45" customHeight="1" x14ac:dyDescent="0.25">
      <c r="A1132" s="1">
        <f>DATE(2012,1,31)</f>
        <v>40939</v>
      </c>
      <c r="B1132" t="s">
        <v>22</v>
      </c>
      <c r="C1132" t="s">
        <v>10</v>
      </c>
      <c r="D1132" s="3">
        <v>18.033999999999999</v>
      </c>
      <c r="E1132" s="3">
        <v>0</v>
      </c>
      <c r="F1132" t="s">
        <v>45</v>
      </c>
      <c r="G1132" s="3">
        <f t="shared" si="126"/>
        <v>-18.033999999999999</v>
      </c>
      <c r="H1132" s="3">
        <f t="shared" si="127"/>
        <v>18.033999999999999</v>
      </c>
      <c r="I1132" s="5" t="str">
        <f t="shared" si="128"/>
        <v>018</v>
      </c>
      <c r="J1132" s="5" t="str">
        <f t="shared" si="129"/>
        <v>2230</v>
      </c>
      <c r="K1132" s="5" t="str">
        <f t="shared" si="130"/>
        <v>000</v>
      </c>
      <c r="L1132" s="5">
        <f t="shared" si="131"/>
        <v>1</v>
      </c>
      <c r="M1132" s="5">
        <f t="shared" si="132"/>
        <v>2012</v>
      </c>
    </row>
    <row r="1133" spans="1:13" ht="17.45" customHeight="1" x14ac:dyDescent="0.25">
      <c r="A1133" s="1">
        <f>DATE(2012,2,1)</f>
        <v>40940</v>
      </c>
      <c r="B1133" t="s">
        <v>19</v>
      </c>
      <c r="C1133" t="s">
        <v>6</v>
      </c>
      <c r="D1133" s="3">
        <v>4866.085500000001</v>
      </c>
      <c r="E1133" s="3">
        <v>0</v>
      </c>
      <c r="F1133" t="s">
        <v>45</v>
      </c>
      <c r="G1133" s="3">
        <f t="shared" si="126"/>
        <v>-4866.085500000001</v>
      </c>
      <c r="H1133" s="3">
        <f t="shared" si="127"/>
        <v>4866.085500000001</v>
      </c>
      <c r="I1133" s="5" t="str">
        <f t="shared" si="128"/>
        <v>018</v>
      </c>
      <c r="J1133" s="5" t="str">
        <f t="shared" si="129"/>
        <v>2100</v>
      </c>
      <c r="K1133" s="5" t="str">
        <f t="shared" si="130"/>
        <v>000</v>
      </c>
      <c r="L1133" s="5">
        <f t="shared" si="131"/>
        <v>2</v>
      </c>
      <c r="M1133" s="5">
        <f t="shared" si="132"/>
        <v>2012</v>
      </c>
    </row>
    <row r="1134" spans="1:13" ht="17.45" customHeight="1" x14ac:dyDescent="0.25">
      <c r="A1134" s="1">
        <f>DATE(2012,2,1)</f>
        <v>40940</v>
      </c>
      <c r="B1134" t="s">
        <v>20</v>
      </c>
      <c r="C1134" t="s">
        <v>8</v>
      </c>
      <c r="D1134" s="3">
        <v>1011.7974999999999</v>
      </c>
      <c r="E1134" s="3">
        <v>0</v>
      </c>
      <c r="F1134" t="s">
        <v>45</v>
      </c>
      <c r="G1134" s="3">
        <f t="shared" si="126"/>
        <v>-1011.7974999999999</v>
      </c>
      <c r="H1134" s="3">
        <f t="shared" si="127"/>
        <v>1011.7974999999999</v>
      </c>
      <c r="I1134" s="5" t="str">
        <f t="shared" si="128"/>
        <v>018</v>
      </c>
      <c r="J1134" s="5" t="str">
        <f t="shared" si="129"/>
        <v>2210</v>
      </c>
      <c r="K1134" s="5" t="str">
        <f t="shared" si="130"/>
        <v>000</v>
      </c>
      <c r="L1134" s="5">
        <f t="shared" si="131"/>
        <v>2</v>
      </c>
      <c r="M1134" s="5">
        <f t="shared" si="132"/>
        <v>2012</v>
      </c>
    </row>
    <row r="1135" spans="1:13" ht="17.45" customHeight="1" x14ac:dyDescent="0.25">
      <c r="A1135" s="1">
        <f>DATE(2012,2,1)</f>
        <v>40940</v>
      </c>
      <c r="B1135" t="s">
        <v>21</v>
      </c>
      <c r="C1135" t="s">
        <v>9</v>
      </c>
      <c r="D1135" s="3">
        <v>264.28499999999997</v>
      </c>
      <c r="E1135" s="3">
        <v>0</v>
      </c>
      <c r="F1135" t="s">
        <v>45</v>
      </c>
      <c r="G1135" s="3">
        <f t="shared" si="126"/>
        <v>-264.28499999999997</v>
      </c>
      <c r="H1135" s="3">
        <f t="shared" si="127"/>
        <v>264.28499999999997</v>
      </c>
      <c r="I1135" s="5" t="str">
        <f t="shared" si="128"/>
        <v>018</v>
      </c>
      <c r="J1135" s="5" t="str">
        <f t="shared" si="129"/>
        <v>2220</v>
      </c>
      <c r="K1135" s="5" t="str">
        <f t="shared" si="130"/>
        <v>000</v>
      </c>
      <c r="L1135" s="5">
        <f t="shared" si="131"/>
        <v>2</v>
      </c>
      <c r="M1135" s="5">
        <f t="shared" si="132"/>
        <v>2012</v>
      </c>
    </row>
    <row r="1136" spans="1:13" ht="17.45" customHeight="1" x14ac:dyDescent="0.25">
      <c r="A1136" s="1">
        <f>DATE(2012,2,1)</f>
        <v>40940</v>
      </c>
      <c r="B1136" t="s">
        <v>22</v>
      </c>
      <c r="C1136" t="s">
        <v>10</v>
      </c>
      <c r="D1136" s="3">
        <v>69.781500000000008</v>
      </c>
      <c r="E1136" s="3">
        <v>0</v>
      </c>
      <c r="F1136" t="s">
        <v>45</v>
      </c>
      <c r="G1136" s="3">
        <f t="shared" si="126"/>
        <v>-69.781500000000008</v>
      </c>
      <c r="H1136" s="3">
        <f t="shared" si="127"/>
        <v>69.781500000000008</v>
      </c>
      <c r="I1136" s="5" t="str">
        <f t="shared" si="128"/>
        <v>018</v>
      </c>
      <c r="J1136" s="5" t="str">
        <f t="shared" si="129"/>
        <v>2230</v>
      </c>
      <c r="K1136" s="5" t="str">
        <f t="shared" si="130"/>
        <v>000</v>
      </c>
      <c r="L1136" s="5">
        <f t="shared" si="131"/>
        <v>2</v>
      </c>
      <c r="M1136" s="5">
        <f t="shared" si="132"/>
        <v>2012</v>
      </c>
    </row>
    <row r="1137" spans="1:13" ht="17.45" customHeight="1" x14ac:dyDescent="0.25">
      <c r="A1137" s="1">
        <f>DATE(2012,2,2)</f>
        <v>40941</v>
      </c>
      <c r="B1137" t="s">
        <v>19</v>
      </c>
      <c r="C1137" t="s">
        <v>6</v>
      </c>
      <c r="D1137" s="3">
        <v>3279.16</v>
      </c>
      <c r="E1137" s="3">
        <v>0</v>
      </c>
      <c r="F1137" t="s">
        <v>45</v>
      </c>
      <c r="G1137" s="3">
        <f t="shared" si="126"/>
        <v>-3279.16</v>
      </c>
      <c r="H1137" s="3">
        <f t="shared" si="127"/>
        <v>3279.16</v>
      </c>
      <c r="I1137" s="5" t="str">
        <f t="shared" si="128"/>
        <v>018</v>
      </c>
      <c r="J1137" s="5" t="str">
        <f t="shared" si="129"/>
        <v>2100</v>
      </c>
      <c r="K1137" s="5" t="str">
        <f t="shared" si="130"/>
        <v>000</v>
      </c>
      <c r="L1137" s="5">
        <f t="shared" si="131"/>
        <v>2</v>
      </c>
      <c r="M1137" s="5">
        <f t="shared" si="132"/>
        <v>2012</v>
      </c>
    </row>
    <row r="1138" spans="1:13" ht="17.45" customHeight="1" x14ac:dyDescent="0.25">
      <c r="A1138" s="1">
        <f>DATE(2012,2,2)</f>
        <v>40941</v>
      </c>
      <c r="B1138" t="s">
        <v>20</v>
      </c>
      <c r="C1138" t="s">
        <v>8</v>
      </c>
      <c r="D1138" s="3">
        <v>756.79750000000001</v>
      </c>
      <c r="E1138" s="3">
        <v>0</v>
      </c>
      <c r="F1138" t="s">
        <v>45</v>
      </c>
      <c r="G1138" s="3">
        <f t="shared" si="126"/>
        <v>-756.79750000000001</v>
      </c>
      <c r="H1138" s="3">
        <f t="shared" si="127"/>
        <v>756.79750000000001</v>
      </c>
      <c r="I1138" s="5" t="str">
        <f t="shared" si="128"/>
        <v>018</v>
      </c>
      <c r="J1138" s="5" t="str">
        <f t="shared" si="129"/>
        <v>2210</v>
      </c>
      <c r="K1138" s="5" t="str">
        <f t="shared" si="130"/>
        <v>000</v>
      </c>
      <c r="L1138" s="5">
        <f t="shared" si="131"/>
        <v>2</v>
      </c>
      <c r="M1138" s="5">
        <f t="shared" si="132"/>
        <v>2012</v>
      </c>
    </row>
    <row r="1139" spans="1:13" ht="17.45" customHeight="1" x14ac:dyDescent="0.25">
      <c r="A1139" s="1">
        <f>DATE(2012,2,2)</f>
        <v>40941</v>
      </c>
      <c r="B1139" t="s">
        <v>21</v>
      </c>
      <c r="C1139" t="s">
        <v>9</v>
      </c>
      <c r="D1139" s="3">
        <v>209.76</v>
      </c>
      <c r="E1139" s="3">
        <v>0</v>
      </c>
      <c r="F1139" t="s">
        <v>45</v>
      </c>
      <c r="G1139" s="3">
        <f t="shared" si="126"/>
        <v>-209.76</v>
      </c>
      <c r="H1139" s="3">
        <f t="shared" si="127"/>
        <v>209.76</v>
      </c>
      <c r="I1139" s="5" t="str">
        <f t="shared" si="128"/>
        <v>018</v>
      </c>
      <c r="J1139" s="5" t="str">
        <f t="shared" si="129"/>
        <v>2220</v>
      </c>
      <c r="K1139" s="5" t="str">
        <f t="shared" si="130"/>
        <v>000</v>
      </c>
      <c r="L1139" s="5">
        <f t="shared" si="131"/>
        <v>2</v>
      </c>
      <c r="M1139" s="5">
        <f t="shared" si="132"/>
        <v>2012</v>
      </c>
    </row>
    <row r="1140" spans="1:13" ht="17.45" customHeight="1" x14ac:dyDescent="0.25">
      <c r="A1140" s="1">
        <f>DATE(2012,2,2)</f>
        <v>40941</v>
      </c>
      <c r="B1140" t="s">
        <v>22</v>
      </c>
      <c r="C1140" t="s">
        <v>10</v>
      </c>
      <c r="D1140" s="3">
        <v>41.325000000000003</v>
      </c>
      <c r="E1140" s="3">
        <v>0</v>
      </c>
      <c r="F1140" t="s">
        <v>45</v>
      </c>
      <c r="G1140" s="3">
        <f t="shared" si="126"/>
        <v>-41.325000000000003</v>
      </c>
      <c r="H1140" s="3">
        <f t="shared" si="127"/>
        <v>41.325000000000003</v>
      </c>
      <c r="I1140" s="5" t="str">
        <f t="shared" si="128"/>
        <v>018</v>
      </c>
      <c r="J1140" s="5" t="str">
        <f t="shared" si="129"/>
        <v>2230</v>
      </c>
      <c r="K1140" s="5" t="str">
        <f t="shared" si="130"/>
        <v>000</v>
      </c>
      <c r="L1140" s="5">
        <f t="shared" si="131"/>
        <v>2</v>
      </c>
      <c r="M1140" s="5">
        <f t="shared" si="132"/>
        <v>2012</v>
      </c>
    </row>
    <row r="1141" spans="1:13" ht="17.45" customHeight="1" x14ac:dyDescent="0.25">
      <c r="A1141" s="1">
        <f>DATE(2012,2,3)</f>
        <v>40942</v>
      </c>
      <c r="B1141" t="s">
        <v>19</v>
      </c>
      <c r="C1141" t="s">
        <v>6</v>
      </c>
      <c r="D1141" s="3">
        <v>7804.7775000000001</v>
      </c>
      <c r="E1141" s="3">
        <v>0</v>
      </c>
      <c r="F1141" t="s">
        <v>45</v>
      </c>
      <c r="G1141" s="3">
        <f t="shared" si="126"/>
        <v>-7804.7775000000001</v>
      </c>
      <c r="H1141" s="3">
        <f t="shared" si="127"/>
        <v>7804.7775000000001</v>
      </c>
      <c r="I1141" s="5" t="str">
        <f t="shared" si="128"/>
        <v>018</v>
      </c>
      <c r="J1141" s="5" t="str">
        <f t="shared" si="129"/>
        <v>2100</v>
      </c>
      <c r="K1141" s="5" t="str">
        <f t="shared" si="130"/>
        <v>000</v>
      </c>
      <c r="L1141" s="5">
        <f t="shared" si="131"/>
        <v>2</v>
      </c>
      <c r="M1141" s="5">
        <f t="shared" si="132"/>
        <v>2012</v>
      </c>
    </row>
    <row r="1142" spans="1:13" ht="17.45" customHeight="1" x14ac:dyDescent="0.25">
      <c r="A1142" s="1">
        <f>DATE(2012,2,3)</f>
        <v>40942</v>
      </c>
      <c r="B1142" t="s">
        <v>20</v>
      </c>
      <c r="C1142" t="s">
        <v>8</v>
      </c>
      <c r="D1142" s="3">
        <v>2791.17</v>
      </c>
      <c r="E1142" s="3">
        <v>0</v>
      </c>
      <c r="F1142" t="s">
        <v>45</v>
      </c>
      <c r="G1142" s="3">
        <f t="shared" si="126"/>
        <v>-2791.17</v>
      </c>
      <c r="H1142" s="3">
        <f t="shared" si="127"/>
        <v>2791.17</v>
      </c>
      <c r="I1142" s="5" t="str">
        <f t="shared" si="128"/>
        <v>018</v>
      </c>
      <c r="J1142" s="5" t="str">
        <f t="shared" si="129"/>
        <v>2210</v>
      </c>
      <c r="K1142" s="5" t="str">
        <f t="shared" si="130"/>
        <v>000</v>
      </c>
      <c r="L1142" s="5">
        <f t="shared" si="131"/>
        <v>2</v>
      </c>
      <c r="M1142" s="5">
        <f t="shared" si="132"/>
        <v>2012</v>
      </c>
    </row>
    <row r="1143" spans="1:13" ht="17.45" customHeight="1" x14ac:dyDescent="0.25">
      <c r="A1143" s="1">
        <f>DATE(2012,2,3)</f>
        <v>40942</v>
      </c>
      <c r="B1143" t="s">
        <v>21</v>
      </c>
      <c r="C1143" t="s">
        <v>9</v>
      </c>
      <c r="D1143" s="3">
        <v>462.89249999999998</v>
      </c>
      <c r="E1143" s="3">
        <v>0</v>
      </c>
      <c r="F1143" t="s">
        <v>45</v>
      </c>
      <c r="G1143" s="3">
        <f t="shared" si="126"/>
        <v>-462.89249999999998</v>
      </c>
      <c r="H1143" s="3">
        <f t="shared" si="127"/>
        <v>462.89249999999998</v>
      </c>
      <c r="I1143" s="5" t="str">
        <f t="shared" si="128"/>
        <v>018</v>
      </c>
      <c r="J1143" s="5" t="str">
        <f t="shared" si="129"/>
        <v>2220</v>
      </c>
      <c r="K1143" s="5" t="str">
        <f t="shared" si="130"/>
        <v>000</v>
      </c>
      <c r="L1143" s="5">
        <f t="shared" si="131"/>
        <v>2</v>
      </c>
      <c r="M1143" s="5">
        <f t="shared" si="132"/>
        <v>2012</v>
      </c>
    </row>
    <row r="1144" spans="1:13" ht="17.45" customHeight="1" x14ac:dyDescent="0.25">
      <c r="A1144" s="1">
        <f>DATE(2012,2,3)</f>
        <v>40942</v>
      </c>
      <c r="B1144" t="s">
        <v>22</v>
      </c>
      <c r="C1144" t="s">
        <v>10</v>
      </c>
      <c r="D1144" s="3">
        <v>46.312999999999995</v>
      </c>
      <c r="E1144" s="3">
        <v>0</v>
      </c>
      <c r="F1144" t="s">
        <v>45</v>
      </c>
      <c r="G1144" s="3">
        <f t="shared" si="126"/>
        <v>-46.312999999999995</v>
      </c>
      <c r="H1144" s="3">
        <f t="shared" si="127"/>
        <v>46.312999999999995</v>
      </c>
      <c r="I1144" s="5" t="str">
        <f t="shared" si="128"/>
        <v>018</v>
      </c>
      <c r="J1144" s="5" t="str">
        <f t="shared" si="129"/>
        <v>2230</v>
      </c>
      <c r="K1144" s="5" t="str">
        <f t="shared" si="130"/>
        <v>000</v>
      </c>
      <c r="L1144" s="5">
        <f t="shared" si="131"/>
        <v>2</v>
      </c>
      <c r="M1144" s="5">
        <f t="shared" si="132"/>
        <v>2012</v>
      </c>
    </row>
    <row r="1145" spans="1:13" ht="17.45" customHeight="1" x14ac:dyDescent="0.25">
      <c r="A1145" s="1">
        <f>DATE(2012,2,4)</f>
        <v>40943</v>
      </c>
      <c r="B1145" t="s">
        <v>19</v>
      </c>
      <c r="C1145" t="s">
        <v>6</v>
      </c>
      <c r="D1145" s="3">
        <v>8732.0750000000007</v>
      </c>
      <c r="E1145" s="3">
        <v>0</v>
      </c>
      <c r="F1145" t="s">
        <v>45</v>
      </c>
      <c r="G1145" s="3">
        <f t="shared" si="126"/>
        <v>-8732.0750000000007</v>
      </c>
      <c r="H1145" s="3">
        <f t="shared" si="127"/>
        <v>8732.0750000000007</v>
      </c>
      <c r="I1145" s="5" t="str">
        <f t="shared" si="128"/>
        <v>018</v>
      </c>
      <c r="J1145" s="5" t="str">
        <f t="shared" si="129"/>
        <v>2100</v>
      </c>
      <c r="K1145" s="5" t="str">
        <f t="shared" si="130"/>
        <v>000</v>
      </c>
      <c r="L1145" s="5">
        <f t="shared" si="131"/>
        <v>2</v>
      </c>
      <c r="M1145" s="5">
        <f t="shared" si="132"/>
        <v>2012</v>
      </c>
    </row>
    <row r="1146" spans="1:13" ht="17.45" customHeight="1" x14ac:dyDescent="0.25">
      <c r="A1146" s="1">
        <f>DATE(2012,2,4)</f>
        <v>40943</v>
      </c>
      <c r="B1146" t="s">
        <v>20</v>
      </c>
      <c r="C1146" t="s">
        <v>8</v>
      </c>
      <c r="D1146" s="3">
        <v>2313.9719999999998</v>
      </c>
      <c r="E1146" s="3">
        <v>0</v>
      </c>
      <c r="F1146" t="s">
        <v>45</v>
      </c>
      <c r="G1146" s="3">
        <f t="shared" si="126"/>
        <v>-2313.9719999999998</v>
      </c>
      <c r="H1146" s="3">
        <f t="shared" si="127"/>
        <v>2313.9719999999998</v>
      </c>
      <c r="I1146" s="5" t="str">
        <f t="shared" si="128"/>
        <v>018</v>
      </c>
      <c r="J1146" s="5" t="str">
        <f t="shared" si="129"/>
        <v>2210</v>
      </c>
      <c r="K1146" s="5" t="str">
        <f t="shared" si="130"/>
        <v>000</v>
      </c>
      <c r="L1146" s="5">
        <f t="shared" si="131"/>
        <v>2</v>
      </c>
      <c r="M1146" s="5">
        <f t="shared" si="132"/>
        <v>2012</v>
      </c>
    </row>
    <row r="1147" spans="1:13" ht="17.45" customHeight="1" x14ac:dyDescent="0.25">
      <c r="A1147" s="1">
        <f>DATE(2012,2,4)</f>
        <v>40943</v>
      </c>
      <c r="B1147" t="s">
        <v>21</v>
      </c>
      <c r="C1147" t="s">
        <v>9</v>
      </c>
      <c r="D1147" s="3">
        <v>661.33800000000008</v>
      </c>
      <c r="E1147" s="3">
        <v>0</v>
      </c>
      <c r="F1147" t="s">
        <v>45</v>
      </c>
      <c r="G1147" s="3">
        <f t="shared" si="126"/>
        <v>-661.33800000000008</v>
      </c>
      <c r="H1147" s="3">
        <f t="shared" si="127"/>
        <v>661.33800000000008</v>
      </c>
      <c r="I1147" s="5" t="str">
        <f t="shared" si="128"/>
        <v>018</v>
      </c>
      <c r="J1147" s="5" t="str">
        <f t="shared" si="129"/>
        <v>2220</v>
      </c>
      <c r="K1147" s="5" t="str">
        <f t="shared" si="130"/>
        <v>000</v>
      </c>
      <c r="L1147" s="5">
        <f t="shared" si="131"/>
        <v>2</v>
      </c>
      <c r="M1147" s="5">
        <f t="shared" si="132"/>
        <v>2012</v>
      </c>
    </row>
    <row r="1148" spans="1:13" ht="17.45" customHeight="1" x14ac:dyDescent="0.25">
      <c r="A1148" s="1">
        <f>DATE(2012,2,4)</f>
        <v>40943</v>
      </c>
      <c r="B1148" t="s">
        <v>22</v>
      </c>
      <c r="C1148" t="s">
        <v>10</v>
      </c>
      <c r="D1148" s="3">
        <v>159.47999999999999</v>
      </c>
      <c r="E1148" s="3">
        <v>0</v>
      </c>
      <c r="F1148" t="s">
        <v>45</v>
      </c>
      <c r="G1148" s="3">
        <f t="shared" si="126"/>
        <v>-159.47999999999999</v>
      </c>
      <c r="H1148" s="3">
        <f t="shared" si="127"/>
        <v>159.47999999999999</v>
      </c>
      <c r="I1148" s="5" t="str">
        <f t="shared" si="128"/>
        <v>018</v>
      </c>
      <c r="J1148" s="5" t="str">
        <f t="shared" si="129"/>
        <v>2230</v>
      </c>
      <c r="K1148" s="5" t="str">
        <f t="shared" si="130"/>
        <v>000</v>
      </c>
      <c r="L1148" s="5">
        <f t="shared" si="131"/>
        <v>2</v>
      </c>
      <c r="M1148" s="5">
        <f t="shared" si="132"/>
        <v>2012</v>
      </c>
    </row>
    <row r="1149" spans="1:13" ht="17.45" customHeight="1" x14ac:dyDescent="0.25">
      <c r="A1149" s="1">
        <f>DATE(2012,2,5)</f>
        <v>40944</v>
      </c>
      <c r="B1149" t="s">
        <v>19</v>
      </c>
      <c r="C1149" t="s">
        <v>6</v>
      </c>
      <c r="D1149" s="3">
        <v>6043.268</v>
      </c>
      <c r="E1149" s="3">
        <v>0</v>
      </c>
      <c r="F1149" t="s">
        <v>45</v>
      </c>
      <c r="G1149" s="3">
        <f t="shared" si="126"/>
        <v>-6043.268</v>
      </c>
      <c r="H1149" s="3">
        <f t="shared" si="127"/>
        <v>6043.268</v>
      </c>
      <c r="I1149" s="5" t="str">
        <f t="shared" si="128"/>
        <v>018</v>
      </c>
      <c r="J1149" s="5" t="str">
        <f t="shared" si="129"/>
        <v>2100</v>
      </c>
      <c r="K1149" s="5" t="str">
        <f t="shared" si="130"/>
        <v>000</v>
      </c>
      <c r="L1149" s="5">
        <f t="shared" si="131"/>
        <v>2</v>
      </c>
      <c r="M1149" s="5">
        <f t="shared" si="132"/>
        <v>2012</v>
      </c>
    </row>
    <row r="1150" spans="1:13" ht="17.45" customHeight="1" x14ac:dyDescent="0.25">
      <c r="A1150" s="1">
        <f>DATE(2012,2,5)</f>
        <v>40944</v>
      </c>
      <c r="B1150" t="s">
        <v>20</v>
      </c>
      <c r="C1150" t="s">
        <v>8</v>
      </c>
      <c r="D1150" s="3">
        <v>366.26499999999999</v>
      </c>
      <c r="E1150" s="3">
        <v>0</v>
      </c>
      <c r="F1150" t="s">
        <v>45</v>
      </c>
      <c r="G1150" s="3">
        <f t="shared" si="126"/>
        <v>-366.26499999999999</v>
      </c>
      <c r="H1150" s="3">
        <f t="shared" si="127"/>
        <v>366.26499999999999</v>
      </c>
      <c r="I1150" s="5" t="str">
        <f t="shared" si="128"/>
        <v>018</v>
      </c>
      <c r="J1150" s="5" t="str">
        <f t="shared" si="129"/>
        <v>2210</v>
      </c>
      <c r="K1150" s="5" t="str">
        <f t="shared" si="130"/>
        <v>000</v>
      </c>
      <c r="L1150" s="5">
        <f t="shared" si="131"/>
        <v>2</v>
      </c>
      <c r="M1150" s="5">
        <f t="shared" si="132"/>
        <v>2012</v>
      </c>
    </row>
    <row r="1151" spans="1:13" ht="17.45" customHeight="1" x14ac:dyDescent="0.25">
      <c r="A1151" s="1">
        <f>DATE(2012,2,5)</f>
        <v>40944</v>
      </c>
      <c r="B1151" t="s">
        <v>21</v>
      </c>
      <c r="C1151" t="s">
        <v>9</v>
      </c>
      <c r="D1151" s="3">
        <v>250.00199999999998</v>
      </c>
      <c r="E1151" s="3">
        <v>0</v>
      </c>
      <c r="F1151" t="s">
        <v>45</v>
      </c>
      <c r="G1151" s="3">
        <f t="shared" si="126"/>
        <v>-250.00199999999998</v>
      </c>
      <c r="H1151" s="3">
        <f t="shared" si="127"/>
        <v>250.00199999999998</v>
      </c>
      <c r="I1151" s="5" t="str">
        <f t="shared" si="128"/>
        <v>018</v>
      </c>
      <c r="J1151" s="5" t="str">
        <f t="shared" si="129"/>
        <v>2220</v>
      </c>
      <c r="K1151" s="5" t="str">
        <f t="shared" si="130"/>
        <v>000</v>
      </c>
      <c r="L1151" s="5">
        <f t="shared" si="131"/>
        <v>2</v>
      </c>
      <c r="M1151" s="5">
        <f t="shared" si="132"/>
        <v>2012</v>
      </c>
    </row>
    <row r="1152" spans="1:13" ht="17.45" customHeight="1" x14ac:dyDescent="0.25">
      <c r="A1152" s="1">
        <f>DATE(2012,2,5)</f>
        <v>40944</v>
      </c>
      <c r="B1152" t="s">
        <v>22</v>
      </c>
      <c r="C1152" t="s">
        <v>10</v>
      </c>
      <c r="D1152" s="3">
        <v>20.674500000000002</v>
      </c>
      <c r="E1152" s="3">
        <v>0</v>
      </c>
      <c r="F1152" t="s">
        <v>45</v>
      </c>
      <c r="G1152" s="3">
        <f t="shared" si="126"/>
        <v>-20.674500000000002</v>
      </c>
      <c r="H1152" s="3">
        <f t="shared" si="127"/>
        <v>20.674500000000002</v>
      </c>
      <c r="I1152" s="5" t="str">
        <f t="shared" si="128"/>
        <v>018</v>
      </c>
      <c r="J1152" s="5" t="str">
        <f t="shared" si="129"/>
        <v>2230</v>
      </c>
      <c r="K1152" s="5" t="str">
        <f t="shared" si="130"/>
        <v>000</v>
      </c>
      <c r="L1152" s="5">
        <f t="shared" si="131"/>
        <v>2</v>
      </c>
      <c r="M1152" s="5">
        <f t="shared" si="132"/>
        <v>2012</v>
      </c>
    </row>
    <row r="1153" spans="1:13" ht="17.45" customHeight="1" x14ac:dyDescent="0.25">
      <c r="A1153" s="1">
        <f>DATE(2012,2,6)</f>
        <v>40945</v>
      </c>
      <c r="B1153" t="s">
        <v>11</v>
      </c>
      <c r="C1153" t="s">
        <v>6</v>
      </c>
      <c r="D1153" s="3">
        <v>1547.2746</v>
      </c>
      <c r="E1153" s="3">
        <v>0</v>
      </c>
      <c r="F1153" t="s">
        <v>45</v>
      </c>
      <c r="G1153" s="3">
        <f t="shared" si="126"/>
        <v>-1547.2746</v>
      </c>
      <c r="H1153" s="3">
        <f t="shared" si="127"/>
        <v>1547.2746</v>
      </c>
      <c r="I1153" s="5" t="str">
        <f t="shared" si="128"/>
        <v>016</v>
      </c>
      <c r="J1153" s="5" t="str">
        <f t="shared" si="129"/>
        <v>2100</v>
      </c>
      <c r="K1153" s="5" t="str">
        <f t="shared" si="130"/>
        <v>000</v>
      </c>
      <c r="L1153" s="5">
        <f t="shared" si="131"/>
        <v>2</v>
      </c>
      <c r="M1153" s="5">
        <f t="shared" si="132"/>
        <v>2012</v>
      </c>
    </row>
    <row r="1154" spans="1:13" ht="17.45" customHeight="1" x14ac:dyDescent="0.25">
      <c r="A1154" s="1">
        <f>DATE(2012,2,6)</f>
        <v>40945</v>
      </c>
      <c r="B1154" t="s">
        <v>12</v>
      </c>
      <c r="C1154" t="s">
        <v>8</v>
      </c>
      <c r="D1154" s="3">
        <v>598.88400000000001</v>
      </c>
      <c r="E1154" s="3">
        <v>0</v>
      </c>
      <c r="F1154" t="s">
        <v>45</v>
      </c>
      <c r="G1154" s="3">
        <f t="shared" ref="G1154:G1217" si="133">E1154-D1154</f>
        <v>-598.88400000000001</v>
      </c>
      <c r="H1154" s="3">
        <f t="shared" ref="H1154:H1217" si="134">ABS(G1154)</f>
        <v>598.88400000000001</v>
      </c>
      <c r="I1154" s="5" t="str">
        <f t="shared" ref="I1154:I1217" si="135">MID(B1154,1,3)</f>
        <v>016</v>
      </c>
      <c r="J1154" s="5" t="str">
        <f t="shared" ref="J1154:J1217" si="136">MID(B1154,5,4)</f>
        <v>2210</v>
      </c>
      <c r="K1154" s="5" t="str">
        <f t="shared" ref="K1154:K1217" si="137">MID(B1154,10,3)</f>
        <v>000</v>
      </c>
      <c r="L1154" s="5">
        <f t="shared" ref="L1154:L1217" si="138">MONTH(A1154)</f>
        <v>2</v>
      </c>
      <c r="M1154" s="5">
        <f t="shared" ref="M1154:M1217" si="139">YEAR(A1154)</f>
        <v>2012</v>
      </c>
    </row>
    <row r="1155" spans="1:13" ht="17.45" customHeight="1" x14ac:dyDescent="0.25">
      <c r="A1155" s="1">
        <f>DATE(2012,2,6)</f>
        <v>40945</v>
      </c>
      <c r="B1155" t="s">
        <v>13</v>
      </c>
      <c r="C1155" t="s">
        <v>9</v>
      </c>
      <c r="D1155" s="3">
        <v>55.985999999999997</v>
      </c>
      <c r="E1155" s="3">
        <v>0</v>
      </c>
      <c r="F1155" t="s">
        <v>45</v>
      </c>
      <c r="G1155" s="3">
        <f t="shared" si="133"/>
        <v>-55.985999999999997</v>
      </c>
      <c r="H1155" s="3">
        <f t="shared" si="134"/>
        <v>55.985999999999997</v>
      </c>
      <c r="I1155" s="5" t="str">
        <f t="shared" si="135"/>
        <v>016</v>
      </c>
      <c r="J1155" s="5" t="str">
        <f t="shared" si="136"/>
        <v>2220</v>
      </c>
      <c r="K1155" s="5" t="str">
        <f t="shared" si="137"/>
        <v>000</v>
      </c>
      <c r="L1155" s="5">
        <f t="shared" si="138"/>
        <v>2</v>
      </c>
      <c r="M1155" s="5">
        <f t="shared" si="139"/>
        <v>2012</v>
      </c>
    </row>
    <row r="1156" spans="1:13" ht="17.45" customHeight="1" x14ac:dyDescent="0.25">
      <c r="A1156" s="1">
        <f>DATE(2012,2,6)</f>
        <v>40945</v>
      </c>
      <c r="B1156" t="s">
        <v>14</v>
      </c>
      <c r="C1156" t="s">
        <v>10</v>
      </c>
      <c r="D1156" s="3">
        <v>76.00500000000001</v>
      </c>
      <c r="E1156" s="3">
        <v>0</v>
      </c>
      <c r="F1156" t="s">
        <v>45</v>
      </c>
      <c r="G1156" s="3">
        <f t="shared" si="133"/>
        <v>-76.00500000000001</v>
      </c>
      <c r="H1156" s="3">
        <f t="shared" si="134"/>
        <v>76.00500000000001</v>
      </c>
      <c r="I1156" s="5" t="str">
        <f t="shared" si="135"/>
        <v>016</v>
      </c>
      <c r="J1156" s="5" t="str">
        <f t="shared" si="136"/>
        <v>2230</v>
      </c>
      <c r="K1156" s="5" t="str">
        <f t="shared" si="137"/>
        <v>000</v>
      </c>
      <c r="L1156" s="5">
        <f t="shared" si="138"/>
        <v>2</v>
      </c>
      <c r="M1156" s="5">
        <f t="shared" si="139"/>
        <v>2012</v>
      </c>
    </row>
    <row r="1157" spans="1:13" ht="17.45" customHeight="1" x14ac:dyDescent="0.25">
      <c r="A1157" s="1">
        <f>DATE(2012,2,7)</f>
        <v>40946</v>
      </c>
      <c r="B1157" t="s">
        <v>11</v>
      </c>
      <c r="C1157" t="s">
        <v>6</v>
      </c>
      <c r="D1157" s="3">
        <v>1852.0432000000001</v>
      </c>
      <c r="E1157" s="3">
        <v>0</v>
      </c>
      <c r="F1157" t="s">
        <v>45</v>
      </c>
      <c r="G1157" s="3">
        <f t="shared" si="133"/>
        <v>-1852.0432000000001</v>
      </c>
      <c r="H1157" s="3">
        <f t="shared" si="134"/>
        <v>1852.0432000000001</v>
      </c>
      <c r="I1157" s="5" t="str">
        <f t="shared" si="135"/>
        <v>016</v>
      </c>
      <c r="J1157" s="5" t="str">
        <f t="shared" si="136"/>
        <v>2100</v>
      </c>
      <c r="K1157" s="5" t="str">
        <f t="shared" si="137"/>
        <v>000</v>
      </c>
      <c r="L1157" s="5">
        <f t="shared" si="138"/>
        <v>2</v>
      </c>
      <c r="M1157" s="5">
        <f t="shared" si="139"/>
        <v>2012</v>
      </c>
    </row>
    <row r="1158" spans="1:13" ht="17.45" customHeight="1" x14ac:dyDescent="0.25">
      <c r="A1158" s="1">
        <f>DATE(2012,2,7)</f>
        <v>40946</v>
      </c>
      <c r="B1158" t="s">
        <v>12</v>
      </c>
      <c r="C1158" t="s">
        <v>8</v>
      </c>
      <c r="D1158" s="3">
        <v>708.29099999999994</v>
      </c>
      <c r="E1158" s="3">
        <v>0</v>
      </c>
      <c r="F1158" t="s">
        <v>45</v>
      </c>
      <c r="G1158" s="3">
        <f t="shared" si="133"/>
        <v>-708.29099999999994</v>
      </c>
      <c r="H1158" s="3">
        <f t="shared" si="134"/>
        <v>708.29099999999994</v>
      </c>
      <c r="I1158" s="5" t="str">
        <f t="shared" si="135"/>
        <v>016</v>
      </c>
      <c r="J1158" s="5" t="str">
        <f t="shared" si="136"/>
        <v>2210</v>
      </c>
      <c r="K1158" s="5" t="str">
        <f t="shared" si="137"/>
        <v>000</v>
      </c>
      <c r="L1158" s="5">
        <f t="shared" si="138"/>
        <v>2</v>
      </c>
      <c r="M1158" s="5">
        <f t="shared" si="139"/>
        <v>2012</v>
      </c>
    </row>
    <row r="1159" spans="1:13" ht="17.45" customHeight="1" x14ac:dyDescent="0.25">
      <c r="A1159" s="1">
        <f>DATE(2012,2,7)</f>
        <v>40946</v>
      </c>
      <c r="B1159" t="s">
        <v>13</v>
      </c>
      <c r="C1159" t="s">
        <v>9</v>
      </c>
      <c r="D1159" s="3">
        <v>201.48899999999998</v>
      </c>
      <c r="E1159" s="3">
        <v>0</v>
      </c>
      <c r="F1159" t="s">
        <v>45</v>
      </c>
      <c r="G1159" s="3">
        <f t="shared" si="133"/>
        <v>-201.48899999999998</v>
      </c>
      <c r="H1159" s="3">
        <f t="shared" si="134"/>
        <v>201.48899999999998</v>
      </c>
      <c r="I1159" s="5" t="str">
        <f t="shared" si="135"/>
        <v>016</v>
      </c>
      <c r="J1159" s="5" t="str">
        <f t="shared" si="136"/>
        <v>2220</v>
      </c>
      <c r="K1159" s="5" t="str">
        <f t="shared" si="137"/>
        <v>000</v>
      </c>
      <c r="L1159" s="5">
        <f t="shared" si="138"/>
        <v>2</v>
      </c>
      <c r="M1159" s="5">
        <f t="shared" si="139"/>
        <v>2012</v>
      </c>
    </row>
    <row r="1160" spans="1:13" ht="17.45" customHeight="1" x14ac:dyDescent="0.25">
      <c r="A1160" s="1">
        <f>DATE(2012,2,7)</f>
        <v>40946</v>
      </c>
      <c r="B1160" t="s">
        <v>14</v>
      </c>
      <c r="C1160" t="s">
        <v>10</v>
      </c>
      <c r="D1160" s="3">
        <v>90.149999999999991</v>
      </c>
      <c r="E1160" s="3">
        <v>0</v>
      </c>
      <c r="F1160" t="s">
        <v>45</v>
      </c>
      <c r="G1160" s="3">
        <f t="shared" si="133"/>
        <v>-90.149999999999991</v>
      </c>
      <c r="H1160" s="3">
        <f t="shared" si="134"/>
        <v>90.149999999999991</v>
      </c>
      <c r="I1160" s="5" t="str">
        <f t="shared" si="135"/>
        <v>016</v>
      </c>
      <c r="J1160" s="5" t="str">
        <f t="shared" si="136"/>
        <v>2230</v>
      </c>
      <c r="K1160" s="5" t="str">
        <f t="shared" si="137"/>
        <v>000</v>
      </c>
      <c r="L1160" s="5">
        <f t="shared" si="138"/>
        <v>2</v>
      </c>
      <c r="M1160" s="5">
        <f t="shared" si="139"/>
        <v>2012</v>
      </c>
    </row>
    <row r="1161" spans="1:13" ht="17.45" customHeight="1" x14ac:dyDescent="0.25">
      <c r="A1161" s="1">
        <f>DATE(2012,2,8)</f>
        <v>40947</v>
      </c>
      <c r="B1161" t="s">
        <v>11</v>
      </c>
      <c r="C1161" t="s">
        <v>6</v>
      </c>
      <c r="D1161" s="3">
        <v>3976.7040000000006</v>
      </c>
      <c r="E1161" s="3">
        <v>0</v>
      </c>
      <c r="F1161" t="s">
        <v>45</v>
      </c>
      <c r="G1161" s="3">
        <f t="shared" si="133"/>
        <v>-3976.7040000000006</v>
      </c>
      <c r="H1161" s="3">
        <f t="shared" si="134"/>
        <v>3976.7040000000006</v>
      </c>
      <c r="I1161" s="5" t="str">
        <f t="shared" si="135"/>
        <v>016</v>
      </c>
      <c r="J1161" s="5" t="str">
        <f t="shared" si="136"/>
        <v>2100</v>
      </c>
      <c r="K1161" s="5" t="str">
        <f t="shared" si="137"/>
        <v>000</v>
      </c>
      <c r="L1161" s="5">
        <f t="shared" si="138"/>
        <v>2</v>
      </c>
      <c r="M1161" s="5">
        <f t="shared" si="139"/>
        <v>2012</v>
      </c>
    </row>
    <row r="1162" spans="1:13" ht="17.45" customHeight="1" x14ac:dyDescent="0.25">
      <c r="A1162" s="1">
        <f>DATE(2012,2,8)</f>
        <v>40947</v>
      </c>
      <c r="B1162" t="s">
        <v>12</v>
      </c>
      <c r="C1162" t="s">
        <v>8</v>
      </c>
      <c r="D1162" s="3">
        <v>831.82</v>
      </c>
      <c r="E1162" s="3">
        <v>0</v>
      </c>
      <c r="F1162" t="s">
        <v>45</v>
      </c>
      <c r="G1162" s="3">
        <f t="shared" si="133"/>
        <v>-831.82</v>
      </c>
      <c r="H1162" s="3">
        <f t="shared" si="134"/>
        <v>831.82</v>
      </c>
      <c r="I1162" s="5" t="str">
        <f t="shared" si="135"/>
        <v>016</v>
      </c>
      <c r="J1162" s="5" t="str">
        <f t="shared" si="136"/>
        <v>2210</v>
      </c>
      <c r="K1162" s="5" t="str">
        <f t="shared" si="137"/>
        <v>000</v>
      </c>
      <c r="L1162" s="5">
        <f t="shared" si="138"/>
        <v>2</v>
      </c>
      <c r="M1162" s="5">
        <f t="shared" si="139"/>
        <v>2012</v>
      </c>
    </row>
    <row r="1163" spans="1:13" ht="17.45" customHeight="1" x14ac:dyDescent="0.25">
      <c r="A1163" s="1">
        <f>DATE(2012,2,8)</f>
        <v>40947</v>
      </c>
      <c r="B1163" t="s">
        <v>13</v>
      </c>
      <c r="C1163" t="s">
        <v>9</v>
      </c>
      <c r="D1163" s="3">
        <v>113.85</v>
      </c>
      <c r="E1163" s="3">
        <v>0</v>
      </c>
      <c r="F1163" t="s">
        <v>45</v>
      </c>
      <c r="G1163" s="3">
        <f t="shared" si="133"/>
        <v>-113.85</v>
      </c>
      <c r="H1163" s="3">
        <f t="shared" si="134"/>
        <v>113.85</v>
      </c>
      <c r="I1163" s="5" t="str">
        <f t="shared" si="135"/>
        <v>016</v>
      </c>
      <c r="J1163" s="5" t="str">
        <f t="shared" si="136"/>
        <v>2220</v>
      </c>
      <c r="K1163" s="5" t="str">
        <f t="shared" si="137"/>
        <v>000</v>
      </c>
      <c r="L1163" s="5">
        <f t="shared" si="138"/>
        <v>2</v>
      </c>
      <c r="M1163" s="5">
        <f t="shared" si="139"/>
        <v>2012</v>
      </c>
    </row>
    <row r="1164" spans="1:13" ht="17.45" customHeight="1" x14ac:dyDescent="0.25">
      <c r="A1164" s="1">
        <f>DATE(2012,2,8)</f>
        <v>40947</v>
      </c>
      <c r="B1164" t="s">
        <v>14</v>
      </c>
      <c r="C1164" t="s">
        <v>10</v>
      </c>
      <c r="D1164" s="3">
        <v>137.38499999999999</v>
      </c>
      <c r="E1164" s="3">
        <v>0</v>
      </c>
      <c r="F1164" t="s">
        <v>45</v>
      </c>
      <c r="G1164" s="3">
        <f t="shared" si="133"/>
        <v>-137.38499999999999</v>
      </c>
      <c r="H1164" s="3">
        <f t="shared" si="134"/>
        <v>137.38499999999999</v>
      </c>
      <c r="I1164" s="5" t="str">
        <f t="shared" si="135"/>
        <v>016</v>
      </c>
      <c r="J1164" s="5" t="str">
        <f t="shared" si="136"/>
        <v>2230</v>
      </c>
      <c r="K1164" s="5" t="str">
        <f t="shared" si="137"/>
        <v>000</v>
      </c>
      <c r="L1164" s="5">
        <f t="shared" si="138"/>
        <v>2</v>
      </c>
      <c r="M1164" s="5">
        <f t="shared" si="139"/>
        <v>2012</v>
      </c>
    </row>
    <row r="1165" spans="1:13" ht="17.45" customHeight="1" x14ac:dyDescent="0.25">
      <c r="A1165" s="1">
        <f>DATE(2012,2,9)</f>
        <v>40948</v>
      </c>
      <c r="B1165" t="s">
        <v>11</v>
      </c>
      <c r="C1165" t="s">
        <v>6</v>
      </c>
      <c r="D1165" s="3">
        <v>3118.3085999999998</v>
      </c>
      <c r="E1165" s="3">
        <v>0</v>
      </c>
      <c r="F1165" t="s">
        <v>45</v>
      </c>
      <c r="G1165" s="3">
        <f t="shared" si="133"/>
        <v>-3118.3085999999998</v>
      </c>
      <c r="H1165" s="3">
        <f t="shared" si="134"/>
        <v>3118.3085999999998</v>
      </c>
      <c r="I1165" s="5" t="str">
        <f t="shared" si="135"/>
        <v>016</v>
      </c>
      <c r="J1165" s="5" t="str">
        <f t="shared" si="136"/>
        <v>2100</v>
      </c>
      <c r="K1165" s="5" t="str">
        <f t="shared" si="137"/>
        <v>000</v>
      </c>
      <c r="L1165" s="5">
        <f t="shared" si="138"/>
        <v>2</v>
      </c>
      <c r="M1165" s="5">
        <f t="shared" si="139"/>
        <v>2012</v>
      </c>
    </row>
    <row r="1166" spans="1:13" ht="17.45" customHeight="1" x14ac:dyDescent="0.25">
      <c r="A1166" s="1">
        <f>DATE(2012,2,9)</f>
        <v>40948</v>
      </c>
      <c r="B1166" t="s">
        <v>12</v>
      </c>
      <c r="C1166" t="s">
        <v>8</v>
      </c>
      <c r="D1166" s="3">
        <v>985.02549999999997</v>
      </c>
      <c r="E1166" s="3">
        <v>0</v>
      </c>
      <c r="F1166" t="s">
        <v>45</v>
      </c>
      <c r="G1166" s="3">
        <f t="shared" si="133"/>
        <v>-985.02549999999997</v>
      </c>
      <c r="H1166" s="3">
        <f t="shared" si="134"/>
        <v>985.02549999999997</v>
      </c>
      <c r="I1166" s="5" t="str">
        <f t="shared" si="135"/>
        <v>016</v>
      </c>
      <c r="J1166" s="5" t="str">
        <f t="shared" si="136"/>
        <v>2210</v>
      </c>
      <c r="K1166" s="5" t="str">
        <f t="shared" si="137"/>
        <v>000</v>
      </c>
      <c r="L1166" s="5">
        <f t="shared" si="138"/>
        <v>2</v>
      </c>
      <c r="M1166" s="5">
        <f t="shared" si="139"/>
        <v>2012</v>
      </c>
    </row>
    <row r="1167" spans="1:13" ht="17.45" customHeight="1" x14ac:dyDescent="0.25">
      <c r="A1167" s="1">
        <f>DATE(2012,2,9)</f>
        <v>40948</v>
      </c>
      <c r="B1167" t="s">
        <v>13</v>
      </c>
      <c r="C1167" t="s">
        <v>9</v>
      </c>
      <c r="D1167" s="3">
        <v>327.40199999999999</v>
      </c>
      <c r="E1167" s="3">
        <v>0</v>
      </c>
      <c r="F1167" t="s">
        <v>45</v>
      </c>
      <c r="G1167" s="3">
        <f t="shared" si="133"/>
        <v>-327.40199999999999</v>
      </c>
      <c r="H1167" s="3">
        <f t="shared" si="134"/>
        <v>327.40199999999999</v>
      </c>
      <c r="I1167" s="5" t="str">
        <f t="shared" si="135"/>
        <v>016</v>
      </c>
      <c r="J1167" s="5" t="str">
        <f t="shared" si="136"/>
        <v>2220</v>
      </c>
      <c r="K1167" s="5" t="str">
        <f t="shared" si="137"/>
        <v>000</v>
      </c>
      <c r="L1167" s="5">
        <f t="shared" si="138"/>
        <v>2</v>
      </c>
      <c r="M1167" s="5">
        <f t="shared" si="139"/>
        <v>2012</v>
      </c>
    </row>
    <row r="1168" spans="1:13" ht="17.45" customHeight="1" x14ac:dyDescent="0.25">
      <c r="A1168" s="1">
        <f>DATE(2012,2,9)</f>
        <v>40948</v>
      </c>
      <c r="B1168" t="s">
        <v>14</v>
      </c>
      <c r="C1168" t="s">
        <v>10</v>
      </c>
      <c r="D1168" s="3">
        <v>128.85599999999999</v>
      </c>
      <c r="E1168" s="3">
        <v>0</v>
      </c>
      <c r="F1168" t="s">
        <v>45</v>
      </c>
      <c r="G1168" s="3">
        <f t="shared" si="133"/>
        <v>-128.85599999999999</v>
      </c>
      <c r="H1168" s="3">
        <f t="shared" si="134"/>
        <v>128.85599999999999</v>
      </c>
      <c r="I1168" s="5" t="str">
        <f t="shared" si="135"/>
        <v>016</v>
      </c>
      <c r="J1168" s="5" t="str">
        <f t="shared" si="136"/>
        <v>2230</v>
      </c>
      <c r="K1168" s="5" t="str">
        <f t="shared" si="137"/>
        <v>000</v>
      </c>
      <c r="L1168" s="5">
        <f t="shared" si="138"/>
        <v>2</v>
      </c>
      <c r="M1168" s="5">
        <f t="shared" si="139"/>
        <v>2012</v>
      </c>
    </row>
    <row r="1169" spans="1:13" ht="17.45" customHeight="1" x14ac:dyDescent="0.25">
      <c r="A1169" s="1">
        <f t="shared" ref="A1169:A1172" si="140">DATE(2012,2,10)</f>
        <v>40949</v>
      </c>
      <c r="B1169" t="s">
        <v>11</v>
      </c>
      <c r="C1169" t="s">
        <v>6</v>
      </c>
      <c r="D1169" s="3">
        <v>6573.9974999999995</v>
      </c>
      <c r="E1169" s="3">
        <v>0</v>
      </c>
      <c r="F1169" t="s">
        <v>45</v>
      </c>
      <c r="G1169" s="3">
        <f t="shared" si="133"/>
        <v>-6573.9974999999995</v>
      </c>
      <c r="H1169" s="3">
        <f t="shared" si="134"/>
        <v>6573.9974999999995</v>
      </c>
      <c r="I1169" s="5" t="str">
        <f t="shared" si="135"/>
        <v>016</v>
      </c>
      <c r="J1169" s="5" t="str">
        <f t="shared" si="136"/>
        <v>2100</v>
      </c>
      <c r="K1169" s="5" t="str">
        <f t="shared" si="137"/>
        <v>000</v>
      </c>
      <c r="L1169" s="5">
        <f t="shared" si="138"/>
        <v>2</v>
      </c>
      <c r="M1169" s="5">
        <f t="shared" si="139"/>
        <v>2012</v>
      </c>
    </row>
    <row r="1170" spans="1:13" ht="17.45" customHeight="1" x14ac:dyDescent="0.25">
      <c r="A1170" s="1">
        <f t="shared" si="140"/>
        <v>40949</v>
      </c>
      <c r="B1170" t="s">
        <v>12</v>
      </c>
      <c r="C1170" t="s">
        <v>8</v>
      </c>
      <c r="D1170" s="3">
        <v>2878.33</v>
      </c>
      <c r="E1170" s="3">
        <v>0</v>
      </c>
      <c r="F1170" t="s">
        <v>45</v>
      </c>
      <c r="G1170" s="3">
        <f t="shared" si="133"/>
        <v>-2878.33</v>
      </c>
      <c r="H1170" s="3">
        <f t="shared" si="134"/>
        <v>2878.33</v>
      </c>
      <c r="I1170" s="5" t="str">
        <f t="shared" si="135"/>
        <v>016</v>
      </c>
      <c r="J1170" s="5" t="str">
        <f t="shared" si="136"/>
        <v>2210</v>
      </c>
      <c r="K1170" s="5" t="str">
        <f t="shared" si="137"/>
        <v>000</v>
      </c>
      <c r="L1170" s="5">
        <f t="shared" si="138"/>
        <v>2</v>
      </c>
      <c r="M1170" s="5">
        <f t="shared" si="139"/>
        <v>2012</v>
      </c>
    </row>
    <row r="1171" spans="1:13" ht="17.45" customHeight="1" x14ac:dyDescent="0.25">
      <c r="A1171" s="1">
        <f t="shared" si="140"/>
        <v>40949</v>
      </c>
      <c r="B1171" t="s">
        <v>13</v>
      </c>
      <c r="C1171" t="s">
        <v>9</v>
      </c>
      <c r="D1171" s="3">
        <v>553.65599999999995</v>
      </c>
      <c r="E1171" s="3">
        <v>0</v>
      </c>
      <c r="F1171" t="s">
        <v>45</v>
      </c>
      <c r="G1171" s="3">
        <f t="shared" si="133"/>
        <v>-553.65599999999995</v>
      </c>
      <c r="H1171" s="3">
        <f t="shared" si="134"/>
        <v>553.65599999999995</v>
      </c>
      <c r="I1171" s="5" t="str">
        <f t="shared" si="135"/>
        <v>016</v>
      </c>
      <c r="J1171" s="5" t="str">
        <f t="shared" si="136"/>
        <v>2220</v>
      </c>
      <c r="K1171" s="5" t="str">
        <f t="shared" si="137"/>
        <v>000</v>
      </c>
      <c r="L1171" s="5">
        <f t="shared" si="138"/>
        <v>2</v>
      </c>
      <c r="M1171" s="5">
        <f t="shared" si="139"/>
        <v>2012</v>
      </c>
    </row>
    <row r="1172" spans="1:13" ht="17.45" customHeight="1" x14ac:dyDescent="0.25">
      <c r="A1172" s="1">
        <f t="shared" si="140"/>
        <v>40949</v>
      </c>
      <c r="B1172" t="s">
        <v>14</v>
      </c>
      <c r="C1172" t="s">
        <v>10</v>
      </c>
      <c r="D1172" s="3">
        <v>184.20200000000003</v>
      </c>
      <c r="E1172" s="3">
        <v>0</v>
      </c>
      <c r="F1172" t="s">
        <v>45</v>
      </c>
      <c r="G1172" s="3">
        <f t="shared" si="133"/>
        <v>-184.20200000000003</v>
      </c>
      <c r="H1172" s="3">
        <f t="shared" si="134"/>
        <v>184.20200000000003</v>
      </c>
      <c r="I1172" s="5" t="str">
        <f t="shared" si="135"/>
        <v>016</v>
      </c>
      <c r="J1172" s="5" t="str">
        <f t="shared" si="136"/>
        <v>2230</v>
      </c>
      <c r="K1172" s="5" t="str">
        <f t="shared" si="137"/>
        <v>000</v>
      </c>
      <c r="L1172" s="5">
        <f t="shared" si="138"/>
        <v>2</v>
      </c>
      <c r="M1172" s="5">
        <f t="shared" si="139"/>
        <v>2012</v>
      </c>
    </row>
    <row r="1173" spans="1:13" ht="17.45" customHeight="1" x14ac:dyDescent="0.25">
      <c r="A1173" s="1">
        <f>DATE(2012,2,11)</f>
        <v>40950</v>
      </c>
      <c r="B1173" t="s">
        <v>11</v>
      </c>
      <c r="C1173" t="s">
        <v>6</v>
      </c>
      <c r="D1173" s="3">
        <v>8699.2199999999993</v>
      </c>
      <c r="E1173" s="3">
        <v>0</v>
      </c>
      <c r="F1173" t="s">
        <v>45</v>
      </c>
      <c r="G1173" s="3">
        <f t="shared" si="133"/>
        <v>-8699.2199999999993</v>
      </c>
      <c r="H1173" s="3">
        <f t="shared" si="134"/>
        <v>8699.2199999999993</v>
      </c>
      <c r="I1173" s="5" t="str">
        <f t="shared" si="135"/>
        <v>016</v>
      </c>
      <c r="J1173" s="5" t="str">
        <f t="shared" si="136"/>
        <v>2100</v>
      </c>
      <c r="K1173" s="5" t="str">
        <f t="shared" si="137"/>
        <v>000</v>
      </c>
      <c r="L1173" s="5">
        <f t="shared" si="138"/>
        <v>2</v>
      </c>
      <c r="M1173" s="5">
        <f t="shared" si="139"/>
        <v>2012</v>
      </c>
    </row>
    <row r="1174" spans="1:13" ht="17.45" customHeight="1" x14ac:dyDescent="0.25">
      <c r="A1174" s="1">
        <f>DATE(2012,2,11)</f>
        <v>40950</v>
      </c>
      <c r="B1174" t="s">
        <v>12</v>
      </c>
      <c r="C1174" t="s">
        <v>8</v>
      </c>
      <c r="D1174" s="3">
        <v>2560.864</v>
      </c>
      <c r="E1174" s="3">
        <v>0</v>
      </c>
      <c r="F1174" t="s">
        <v>45</v>
      </c>
      <c r="G1174" s="3">
        <f t="shared" si="133"/>
        <v>-2560.864</v>
      </c>
      <c r="H1174" s="3">
        <f t="shared" si="134"/>
        <v>2560.864</v>
      </c>
      <c r="I1174" s="5" t="str">
        <f t="shared" si="135"/>
        <v>016</v>
      </c>
      <c r="J1174" s="5" t="str">
        <f t="shared" si="136"/>
        <v>2210</v>
      </c>
      <c r="K1174" s="5" t="str">
        <f t="shared" si="137"/>
        <v>000</v>
      </c>
      <c r="L1174" s="5">
        <f t="shared" si="138"/>
        <v>2</v>
      </c>
      <c r="M1174" s="5">
        <f t="shared" si="139"/>
        <v>2012</v>
      </c>
    </row>
    <row r="1175" spans="1:13" ht="17.45" customHeight="1" x14ac:dyDescent="0.25">
      <c r="A1175" s="1">
        <f>DATE(2012,2,11)</f>
        <v>40950</v>
      </c>
      <c r="B1175" t="s">
        <v>13</v>
      </c>
      <c r="C1175" t="s">
        <v>9</v>
      </c>
      <c r="D1175" s="3">
        <v>554.55599999999993</v>
      </c>
      <c r="E1175" s="3">
        <v>0</v>
      </c>
      <c r="F1175" t="s">
        <v>45</v>
      </c>
      <c r="G1175" s="3">
        <f t="shared" si="133"/>
        <v>-554.55599999999993</v>
      </c>
      <c r="H1175" s="3">
        <f t="shared" si="134"/>
        <v>554.55599999999993</v>
      </c>
      <c r="I1175" s="5" t="str">
        <f t="shared" si="135"/>
        <v>016</v>
      </c>
      <c r="J1175" s="5" t="str">
        <f t="shared" si="136"/>
        <v>2220</v>
      </c>
      <c r="K1175" s="5" t="str">
        <f t="shared" si="137"/>
        <v>000</v>
      </c>
      <c r="L1175" s="5">
        <f t="shared" si="138"/>
        <v>2</v>
      </c>
      <c r="M1175" s="5">
        <f t="shared" si="139"/>
        <v>2012</v>
      </c>
    </row>
    <row r="1176" spans="1:13" ht="17.45" customHeight="1" x14ac:dyDescent="0.25">
      <c r="A1176" s="1">
        <f>DATE(2012,2,11)</f>
        <v>40950</v>
      </c>
      <c r="B1176" t="s">
        <v>14</v>
      </c>
      <c r="C1176" t="s">
        <v>10</v>
      </c>
      <c r="D1176" s="3">
        <v>228.4365</v>
      </c>
      <c r="E1176" s="3">
        <v>0</v>
      </c>
      <c r="F1176" t="s">
        <v>45</v>
      </c>
      <c r="G1176" s="3">
        <f t="shared" si="133"/>
        <v>-228.4365</v>
      </c>
      <c r="H1176" s="3">
        <f t="shared" si="134"/>
        <v>228.4365</v>
      </c>
      <c r="I1176" s="5" t="str">
        <f t="shared" si="135"/>
        <v>016</v>
      </c>
      <c r="J1176" s="5" t="str">
        <f t="shared" si="136"/>
        <v>2230</v>
      </c>
      <c r="K1176" s="5" t="str">
        <f t="shared" si="137"/>
        <v>000</v>
      </c>
      <c r="L1176" s="5">
        <f t="shared" si="138"/>
        <v>2</v>
      </c>
      <c r="M1176" s="5">
        <f t="shared" si="139"/>
        <v>2012</v>
      </c>
    </row>
    <row r="1177" spans="1:13" ht="17.45" customHeight="1" x14ac:dyDescent="0.25">
      <c r="A1177" s="1">
        <f>DATE(2012,2,12)</f>
        <v>40951</v>
      </c>
      <c r="B1177" t="s">
        <v>11</v>
      </c>
      <c r="C1177" t="s">
        <v>6</v>
      </c>
      <c r="D1177" s="3">
        <v>5496.329999999999</v>
      </c>
      <c r="E1177" s="3">
        <v>0</v>
      </c>
      <c r="F1177" t="s">
        <v>45</v>
      </c>
      <c r="G1177" s="3">
        <f t="shared" si="133"/>
        <v>-5496.329999999999</v>
      </c>
      <c r="H1177" s="3">
        <f t="shared" si="134"/>
        <v>5496.329999999999</v>
      </c>
      <c r="I1177" s="5" t="str">
        <f t="shared" si="135"/>
        <v>016</v>
      </c>
      <c r="J1177" s="5" t="str">
        <f t="shared" si="136"/>
        <v>2100</v>
      </c>
      <c r="K1177" s="5" t="str">
        <f t="shared" si="137"/>
        <v>000</v>
      </c>
      <c r="L1177" s="5">
        <f t="shared" si="138"/>
        <v>2</v>
      </c>
      <c r="M1177" s="5">
        <f t="shared" si="139"/>
        <v>2012</v>
      </c>
    </row>
    <row r="1178" spans="1:13" ht="17.45" customHeight="1" x14ac:dyDescent="0.25">
      <c r="A1178" s="1">
        <f>DATE(2012,2,12)</f>
        <v>40951</v>
      </c>
      <c r="B1178" t="s">
        <v>12</v>
      </c>
      <c r="C1178" t="s">
        <v>8</v>
      </c>
      <c r="D1178" s="3">
        <v>1825.9604999999999</v>
      </c>
      <c r="E1178" s="3">
        <v>0</v>
      </c>
      <c r="F1178" t="s">
        <v>45</v>
      </c>
      <c r="G1178" s="3">
        <f t="shared" si="133"/>
        <v>-1825.9604999999999</v>
      </c>
      <c r="H1178" s="3">
        <f t="shared" si="134"/>
        <v>1825.9604999999999</v>
      </c>
      <c r="I1178" s="5" t="str">
        <f t="shared" si="135"/>
        <v>016</v>
      </c>
      <c r="J1178" s="5" t="str">
        <f t="shared" si="136"/>
        <v>2210</v>
      </c>
      <c r="K1178" s="5" t="str">
        <f t="shared" si="137"/>
        <v>000</v>
      </c>
      <c r="L1178" s="5">
        <f t="shared" si="138"/>
        <v>2</v>
      </c>
      <c r="M1178" s="5">
        <f t="shared" si="139"/>
        <v>2012</v>
      </c>
    </row>
    <row r="1179" spans="1:13" ht="17.45" customHeight="1" x14ac:dyDescent="0.25">
      <c r="A1179" s="1">
        <f>DATE(2012,2,12)</f>
        <v>40951</v>
      </c>
      <c r="B1179" t="s">
        <v>13</v>
      </c>
      <c r="C1179" t="s">
        <v>9</v>
      </c>
      <c r="D1179" s="3">
        <v>307.00799999999998</v>
      </c>
      <c r="E1179" s="3">
        <v>0</v>
      </c>
      <c r="F1179" t="s">
        <v>45</v>
      </c>
      <c r="G1179" s="3">
        <f t="shared" si="133"/>
        <v>-307.00799999999998</v>
      </c>
      <c r="H1179" s="3">
        <f t="shared" si="134"/>
        <v>307.00799999999998</v>
      </c>
      <c r="I1179" s="5" t="str">
        <f t="shared" si="135"/>
        <v>016</v>
      </c>
      <c r="J1179" s="5" t="str">
        <f t="shared" si="136"/>
        <v>2220</v>
      </c>
      <c r="K1179" s="5" t="str">
        <f t="shared" si="137"/>
        <v>000</v>
      </c>
      <c r="L1179" s="5">
        <f t="shared" si="138"/>
        <v>2</v>
      </c>
      <c r="M1179" s="5">
        <f t="shared" si="139"/>
        <v>2012</v>
      </c>
    </row>
    <row r="1180" spans="1:13" ht="17.45" customHeight="1" x14ac:dyDescent="0.25">
      <c r="A1180" s="1">
        <f>DATE(2012,2,12)</f>
        <v>40951</v>
      </c>
      <c r="B1180" t="s">
        <v>14</v>
      </c>
      <c r="C1180" t="s">
        <v>10</v>
      </c>
      <c r="D1180" s="3">
        <v>255.892</v>
      </c>
      <c r="E1180" s="3">
        <v>0</v>
      </c>
      <c r="F1180" t="s">
        <v>45</v>
      </c>
      <c r="G1180" s="3">
        <f t="shared" si="133"/>
        <v>-255.892</v>
      </c>
      <c r="H1180" s="3">
        <f t="shared" si="134"/>
        <v>255.892</v>
      </c>
      <c r="I1180" s="5" t="str">
        <f t="shared" si="135"/>
        <v>016</v>
      </c>
      <c r="J1180" s="5" t="str">
        <f t="shared" si="136"/>
        <v>2230</v>
      </c>
      <c r="K1180" s="5" t="str">
        <f t="shared" si="137"/>
        <v>000</v>
      </c>
      <c r="L1180" s="5">
        <f t="shared" si="138"/>
        <v>2</v>
      </c>
      <c r="M1180" s="5">
        <f t="shared" si="139"/>
        <v>2012</v>
      </c>
    </row>
    <row r="1181" spans="1:13" ht="17.45" customHeight="1" x14ac:dyDescent="0.25">
      <c r="A1181" s="1">
        <f>DATE(2012,2,6)</f>
        <v>40945</v>
      </c>
      <c r="B1181" t="s">
        <v>15</v>
      </c>
      <c r="C1181" t="s">
        <v>6</v>
      </c>
      <c r="D1181" s="3">
        <v>3949.6360000000004</v>
      </c>
      <c r="E1181" s="3">
        <v>0</v>
      </c>
      <c r="F1181" t="s">
        <v>45</v>
      </c>
      <c r="G1181" s="3">
        <f t="shared" si="133"/>
        <v>-3949.6360000000004</v>
      </c>
      <c r="H1181" s="3">
        <f t="shared" si="134"/>
        <v>3949.6360000000004</v>
      </c>
      <c r="I1181" s="5" t="str">
        <f t="shared" si="135"/>
        <v>017</v>
      </c>
      <c r="J1181" s="5" t="str">
        <f t="shared" si="136"/>
        <v>2100</v>
      </c>
      <c r="K1181" s="5" t="str">
        <f t="shared" si="137"/>
        <v>000</v>
      </c>
      <c r="L1181" s="5">
        <f t="shared" si="138"/>
        <v>2</v>
      </c>
      <c r="M1181" s="5">
        <f t="shared" si="139"/>
        <v>2012</v>
      </c>
    </row>
    <row r="1182" spans="1:13" ht="17.45" customHeight="1" x14ac:dyDescent="0.25">
      <c r="A1182" s="1">
        <f>DATE(2012,2,6)</f>
        <v>40945</v>
      </c>
      <c r="B1182" t="s">
        <v>16</v>
      </c>
      <c r="C1182" t="s">
        <v>8</v>
      </c>
      <c r="D1182" s="3">
        <v>798.17250000000001</v>
      </c>
      <c r="E1182" s="3">
        <v>0</v>
      </c>
      <c r="F1182" t="s">
        <v>45</v>
      </c>
      <c r="G1182" s="3">
        <f t="shared" si="133"/>
        <v>-798.17250000000001</v>
      </c>
      <c r="H1182" s="3">
        <f t="shared" si="134"/>
        <v>798.17250000000001</v>
      </c>
      <c r="I1182" s="5" t="str">
        <f t="shared" si="135"/>
        <v>017</v>
      </c>
      <c r="J1182" s="5" t="str">
        <f t="shared" si="136"/>
        <v>2210</v>
      </c>
      <c r="K1182" s="5" t="str">
        <f t="shared" si="137"/>
        <v>000</v>
      </c>
      <c r="L1182" s="5">
        <f t="shared" si="138"/>
        <v>2</v>
      </c>
      <c r="M1182" s="5">
        <f t="shared" si="139"/>
        <v>2012</v>
      </c>
    </row>
    <row r="1183" spans="1:13" ht="17.45" customHeight="1" x14ac:dyDescent="0.25">
      <c r="A1183" s="1">
        <f>DATE(2012,2,6)</f>
        <v>40945</v>
      </c>
      <c r="B1183" t="s">
        <v>17</v>
      </c>
      <c r="C1183" t="s">
        <v>9</v>
      </c>
      <c r="D1183" s="3">
        <v>468.6</v>
      </c>
      <c r="E1183" s="3">
        <v>0</v>
      </c>
      <c r="F1183" t="s">
        <v>45</v>
      </c>
      <c r="G1183" s="3">
        <f t="shared" si="133"/>
        <v>-468.6</v>
      </c>
      <c r="H1183" s="3">
        <f t="shared" si="134"/>
        <v>468.6</v>
      </c>
      <c r="I1183" s="5" t="str">
        <f t="shared" si="135"/>
        <v>017</v>
      </c>
      <c r="J1183" s="5" t="str">
        <f t="shared" si="136"/>
        <v>2220</v>
      </c>
      <c r="K1183" s="5" t="str">
        <f t="shared" si="137"/>
        <v>000</v>
      </c>
      <c r="L1183" s="5">
        <f t="shared" si="138"/>
        <v>2</v>
      </c>
      <c r="M1183" s="5">
        <f t="shared" si="139"/>
        <v>2012</v>
      </c>
    </row>
    <row r="1184" spans="1:13" ht="17.45" customHeight="1" x14ac:dyDescent="0.25">
      <c r="A1184" s="1">
        <f>DATE(2012,2,6)</f>
        <v>40945</v>
      </c>
      <c r="B1184" t="s">
        <v>18</v>
      </c>
      <c r="C1184" t="s">
        <v>10</v>
      </c>
      <c r="D1184" s="3">
        <v>110.474</v>
      </c>
      <c r="E1184" s="3">
        <v>0</v>
      </c>
      <c r="F1184" t="s">
        <v>45</v>
      </c>
      <c r="G1184" s="3">
        <f t="shared" si="133"/>
        <v>-110.474</v>
      </c>
      <c r="H1184" s="3">
        <f t="shared" si="134"/>
        <v>110.474</v>
      </c>
      <c r="I1184" s="5" t="str">
        <f t="shared" si="135"/>
        <v>017</v>
      </c>
      <c r="J1184" s="5" t="str">
        <f t="shared" si="136"/>
        <v>2230</v>
      </c>
      <c r="K1184" s="5" t="str">
        <f t="shared" si="137"/>
        <v>000</v>
      </c>
      <c r="L1184" s="5">
        <f t="shared" si="138"/>
        <v>2</v>
      </c>
      <c r="M1184" s="5">
        <f t="shared" si="139"/>
        <v>2012</v>
      </c>
    </row>
    <row r="1185" spans="1:13" ht="17.45" customHeight="1" x14ac:dyDescent="0.25">
      <c r="A1185" s="1">
        <f>DATE(2012,2,7)</f>
        <v>40946</v>
      </c>
      <c r="B1185" t="s">
        <v>15</v>
      </c>
      <c r="C1185" t="s">
        <v>6</v>
      </c>
      <c r="D1185" s="3">
        <v>5663.5259999999998</v>
      </c>
      <c r="E1185" s="3">
        <v>0</v>
      </c>
      <c r="F1185" t="s">
        <v>45</v>
      </c>
      <c r="G1185" s="3">
        <f t="shared" si="133"/>
        <v>-5663.5259999999998</v>
      </c>
      <c r="H1185" s="3">
        <f t="shared" si="134"/>
        <v>5663.5259999999998</v>
      </c>
      <c r="I1185" s="5" t="str">
        <f t="shared" si="135"/>
        <v>017</v>
      </c>
      <c r="J1185" s="5" t="str">
        <f t="shared" si="136"/>
        <v>2100</v>
      </c>
      <c r="K1185" s="5" t="str">
        <f t="shared" si="137"/>
        <v>000</v>
      </c>
      <c r="L1185" s="5">
        <f t="shared" si="138"/>
        <v>2</v>
      </c>
      <c r="M1185" s="5">
        <f t="shared" si="139"/>
        <v>2012</v>
      </c>
    </row>
    <row r="1186" spans="1:13" ht="17.45" customHeight="1" x14ac:dyDescent="0.25">
      <c r="A1186" s="1">
        <f>DATE(2012,2,7)</f>
        <v>40946</v>
      </c>
      <c r="B1186" t="s">
        <v>16</v>
      </c>
      <c r="C1186" t="s">
        <v>8</v>
      </c>
      <c r="D1186" s="3">
        <v>906.34949999999992</v>
      </c>
      <c r="E1186" s="3">
        <v>0</v>
      </c>
      <c r="F1186" t="s">
        <v>45</v>
      </c>
      <c r="G1186" s="3">
        <f t="shared" si="133"/>
        <v>-906.34949999999992</v>
      </c>
      <c r="H1186" s="3">
        <f t="shared" si="134"/>
        <v>906.34949999999992</v>
      </c>
      <c r="I1186" s="5" t="str">
        <f t="shared" si="135"/>
        <v>017</v>
      </c>
      <c r="J1186" s="5" t="str">
        <f t="shared" si="136"/>
        <v>2210</v>
      </c>
      <c r="K1186" s="5" t="str">
        <f t="shared" si="137"/>
        <v>000</v>
      </c>
      <c r="L1186" s="5">
        <f t="shared" si="138"/>
        <v>2</v>
      </c>
      <c r="M1186" s="5">
        <f t="shared" si="139"/>
        <v>2012</v>
      </c>
    </row>
    <row r="1187" spans="1:13" ht="17.45" customHeight="1" x14ac:dyDescent="0.25">
      <c r="A1187" s="1">
        <f>DATE(2012,2,7)</f>
        <v>40946</v>
      </c>
      <c r="B1187" t="s">
        <v>17</v>
      </c>
      <c r="C1187" t="s">
        <v>9</v>
      </c>
      <c r="D1187" s="3">
        <v>905.21999999999991</v>
      </c>
      <c r="E1187" s="3">
        <v>0</v>
      </c>
      <c r="F1187" t="s">
        <v>45</v>
      </c>
      <c r="G1187" s="3">
        <f t="shared" si="133"/>
        <v>-905.21999999999991</v>
      </c>
      <c r="H1187" s="3">
        <f t="shared" si="134"/>
        <v>905.21999999999991</v>
      </c>
      <c r="I1187" s="5" t="str">
        <f t="shared" si="135"/>
        <v>017</v>
      </c>
      <c r="J1187" s="5" t="str">
        <f t="shared" si="136"/>
        <v>2220</v>
      </c>
      <c r="K1187" s="5" t="str">
        <f t="shared" si="137"/>
        <v>000</v>
      </c>
      <c r="L1187" s="5">
        <f t="shared" si="138"/>
        <v>2</v>
      </c>
      <c r="M1187" s="5">
        <f t="shared" si="139"/>
        <v>2012</v>
      </c>
    </row>
    <row r="1188" spans="1:13" ht="17.45" customHeight="1" x14ac:dyDescent="0.25">
      <c r="A1188" s="1">
        <f>DATE(2012,2,7)</f>
        <v>40946</v>
      </c>
      <c r="B1188" t="s">
        <v>18</v>
      </c>
      <c r="C1188" t="s">
        <v>10</v>
      </c>
      <c r="D1188" s="3">
        <v>164.87299999999999</v>
      </c>
      <c r="E1188" s="3">
        <v>0</v>
      </c>
      <c r="F1188" t="s">
        <v>45</v>
      </c>
      <c r="G1188" s="3">
        <f t="shared" si="133"/>
        <v>-164.87299999999999</v>
      </c>
      <c r="H1188" s="3">
        <f t="shared" si="134"/>
        <v>164.87299999999999</v>
      </c>
      <c r="I1188" s="5" t="str">
        <f t="shared" si="135"/>
        <v>017</v>
      </c>
      <c r="J1188" s="5" t="str">
        <f t="shared" si="136"/>
        <v>2230</v>
      </c>
      <c r="K1188" s="5" t="str">
        <f t="shared" si="137"/>
        <v>000</v>
      </c>
      <c r="L1188" s="5">
        <f t="shared" si="138"/>
        <v>2</v>
      </c>
      <c r="M1188" s="5">
        <f t="shared" si="139"/>
        <v>2012</v>
      </c>
    </row>
    <row r="1189" spans="1:13" ht="17.45" customHeight="1" x14ac:dyDescent="0.25">
      <c r="A1189" s="1">
        <f>DATE(2012,2,8)</f>
        <v>40947</v>
      </c>
      <c r="B1189" t="s">
        <v>15</v>
      </c>
      <c r="C1189" t="s">
        <v>6</v>
      </c>
      <c r="D1189" s="3">
        <v>4108.41</v>
      </c>
      <c r="E1189" s="3">
        <v>0</v>
      </c>
      <c r="F1189" t="s">
        <v>45</v>
      </c>
      <c r="G1189" s="3">
        <f t="shared" si="133"/>
        <v>-4108.41</v>
      </c>
      <c r="H1189" s="3">
        <f t="shared" si="134"/>
        <v>4108.41</v>
      </c>
      <c r="I1189" s="5" t="str">
        <f t="shared" si="135"/>
        <v>017</v>
      </c>
      <c r="J1189" s="5" t="str">
        <f t="shared" si="136"/>
        <v>2100</v>
      </c>
      <c r="K1189" s="5" t="str">
        <f t="shared" si="137"/>
        <v>000</v>
      </c>
      <c r="L1189" s="5">
        <f t="shared" si="138"/>
        <v>2</v>
      </c>
      <c r="M1189" s="5">
        <f t="shared" si="139"/>
        <v>2012</v>
      </c>
    </row>
    <row r="1190" spans="1:13" ht="17.45" customHeight="1" x14ac:dyDescent="0.25">
      <c r="A1190" s="1">
        <f>DATE(2012,2,8)</f>
        <v>40947</v>
      </c>
      <c r="B1190" t="s">
        <v>16</v>
      </c>
      <c r="C1190" t="s">
        <v>8</v>
      </c>
      <c r="D1190" s="3">
        <v>1558.96</v>
      </c>
      <c r="E1190" s="3">
        <v>0</v>
      </c>
      <c r="F1190" t="s">
        <v>45</v>
      </c>
      <c r="G1190" s="3">
        <f t="shared" si="133"/>
        <v>-1558.96</v>
      </c>
      <c r="H1190" s="3">
        <f t="shared" si="134"/>
        <v>1558.96</v>
      </c>
      <c r="I1190" s="5" t="str">
        <f t="shared" si="135"/>
        <v>017</v>
      </c>
      <c r="J1190" s="5" t="str">
        <f t="shared" si="136"/>
        <v>2210</v>
      </c>
      <c r="K1190" s="5" t="str">
        <f t="shared" si="137"/>
        <v>000</v>
      </c>
      <c r="L1190" s="5">
        <f t="shared" si="138"/>
        <v>2</v>
      </c>
      <c r="M1190" s="5">
        <f t="shared" si="139"/>
        <v>2012</v>
      </c>
    </row>
    <row r="1191" spans="1:13" ht="17.45" customHeight="1" x14ac:dyDescent="0.25">
      <c r="A1191" s="1">
        <f>DATE(2012,2,8)</f>
        <v>40947</v>
      </c>
      <c r="B1191" t="s">
        <v>17</v>
      </c>
      <c r="C1191" t="s">
        <v>9</v>
      </c>
      <c r="D1191" s="3">
        <v>508.51249999999999</v>
      </c>
      <c r="E1191" s="3">
        <v>0</v>
      </c>
      <c r="F1191" t="s">
        <v>45</v>
      </c>
      <c r="G1191" s="3">
        <f t="shared" si="133"/>
        <v>-508.51249999999999</v>
      </c>
      <c r="H1191" s="3">
        <f t="shared" si="134"/>
        <v>508.51249999999999</v>
      </c>
      <c r="I1191" s="5" t="str">
        <f t="shared" si="135"/>
        <v>017</v>
      </c>
      <c r="J1191" s="5" t="str">
        <f t="shared" si="136"/>
        <v>2220</v>
      </c>
      <c r="K1191" s="5" t="str">
        <f t="shared" si="137"/>
        <v>000</v>
      </c>
      <c r="L1191" s="5">
        <f t="shared" si="138"/>
        <v>2</v>
      </c>
      <c r="M1191" s="5">
        <f t="shared" si="139"/>
        <v>2012</v>
      </c>
    </row>
    <row r="1192" spans="1:13" ht="17.45" customHeight="1" x14ac:dyDescent="0.25">
      <c r="A1192" s="1">
        <f>DATE(2012,2,8)</f>
        <v>40947</v>
      </c>
      <c r="B1192" t="s">
        <v>18</v>
      </c>
      <c r="C1192" t="s">
        <v>10</v>
      </c>
      <c r="D1192" s="3">
        <v>116.245</v>
      </c>
      <c r="E1192" s="3">
        <v>0</v>
      </c>
      <c r="F1192" t="s">
        <v>45</v>
      </c>
      <c r="G1192" s="3">
        <f t="shared" si="133"/>
        <v>-116.245</v>
      </c>
      <c r="H1192" s="3">
        <f t="shared" si="134"/>
        <v>116.245</v>
      </c>
      <c r="I1192" s="5" t="str">
        <f t="shared" si="135"/>
        <v>017</v>
      </c>
      <c r="J1192" s="5" t="str">
        <f t="shared" si="136"/>
        <v>2230</v>
      </c>
      <c r="K1192" s="5" t="str">
        <f t="shared" si="137"/>
        <v>000</v>
      </c>
      <c r="L1192" s="5">
        <f t="shared" si="138"/>
        <v>2</v>
      </c>
      <c r="M1192" s="5">
        <f t="shared" si="139"/>
        <v>2012</v>
      </c>
    </row>
    <row r="1193" spans="1:13" ht="17.45" customHeight="1" x14ac:dyDescent="0.25">
      <c r="A1193" s="1">
        <f>DATE(2012,2,9)</f>
        <v>40948</v>
      </c>
      <c r="B1193" t="s">
        <v>15</v>
      </c>
      <c r="C1193" t="s">
        <v>6</v>
      </c>
      <c r="D1193" s="3">
        <v>6186.1887000000006</v>
      </c>
      <c r="E1193" s="3">
        <v>0</v>
      </c>
      <c r="F1193" t="s">
        <v>45</v>
      </c>
      <c r="G1193" s="3">
        <f t="shared" si="133"/>
        <v>-6186.1887000000006</v>
      </c>
      <c r="H1193" s="3">
        <f t="shared" si="134"/>
        <v>6186.1887000000006</v>
      </c>
      <c r="I1193" s="5" t="str">
        <f t="shared" si="135"/>
        <v>017</v>
      </c>
      <c r="J1193" s="5" t="str">
        <f t="shared" si="136"/>
        <v>2100</v>
      </c>
      <c r="K1193" s="5" t="str">
        <f t="shared" si="137"/>
        <v>000</v>
      </c>
      <c r="L1193" s="5">
        <f t="shared" si="138"/>
        <v>2</v>
      </c>
      <c r="M1193" s="5">
        <f t="shared" si="139"/>
        <v>2012</v>
      </c>
    </row>
    <row r="1194" spans="1:13" ht="17.45" customHeight="1" x14ac:dyDescent="0.25">
      <c r="A1194" s="1">
        <f>DATE(2012,2,9)</f>
        <v>40948</v>
      </c>
      <c r="B1194" t="s">
        <v>16</v>
      </c>
      <c r="C1194" t="s">
        <v>8</v>
      </c>
      <c r="D1194" s="3">
        <v>1546.1880000000001</v>
      </c>
      <c r="E1194" s="3">
        <v>0</v>
      </c>
      <c r="F1194" t="s">
        <v>45</v>
      </c>
      <c r="G1194" s="3">
        <f t="shared" si="133"/>
        <v>-1546.1880000000001</v>
      </c>
      <c r="H1194" s="3">
        <f t="shared" si="134"/>
        <v>1546.1880000000001</v>
      </c>
      <c r="I1194" s="5" t="str">
        <f t="shared" si="135"/>
        <v>017</v>
      </c>
      <c r="J1194" s="5" t="str">
        <f t="shared" si="136"/>
        <v>2210</v>
      </c>
      <c r="K1194" s="5" t="str">
        <f t="shared" si="137"/>
        <v>000</v>
      </c>
      <c r="L1194" s="5">
        <f t="shared" si="138"/>
        <v>2</v>
      </c>
      <c r="M1194" s="5">
        <f t="shared" si="139"/>
        <v>2012</v>
      </c>
    </row>
    <row r="1195" spans="1:13" ht="17.45" customHeight="1" x14ac:dyDescent="0.25">
      <c r="A1195" s="1">
        <f>DATE(2012,2,9)</f>
        <v>40948</v>
      </c>
      <c r="B1195" t="s">
        <v>17</v>
      </c>
      <c r="C1195" t="s">
        <v>9</v>
      </c>
      <c r="D1195" s="3">
        <v>361.51500000000004</v>
      </c>
      <c r="E1195" s="3">
        <v>0</v>
      </c>
      <c r="F1195" t="s">
        <v>45</v>
      </c>
      <c r="G1195" s="3">
        <f t="shared" si="133"/>
        <v>-361.51500000000004</v>
      </c>
      <c r="H1195" s="3">
        <f t="shared" si="134"/>
        <v>361.51500000000004</v>
      </c>
      <c r="I1195" s="5" t="str">
        <f t="shared" si="135"/>
        <v>017</v>
      </c>
      <c r="J1195" s="5" t="str">
        <f t="shared" si="136"/>
        <v>2220</v>
      </c>
      <c r="K1195" s="5" t="str">
        <f t="shared" si="137"/>
        <v>000</v>
      </c>
      <c r="L1195" s="5">
        <f t="shared" si="138"/>
        <v>2</v>
      </c>
      <c r="M1195" s="5">
        <f t="shared" si="139"/>
        <v>2012</v>
      </c>
    </row>
    <row r="1196" spans="1:13" ht="17.45" customHeight="1" x14ac:dyDescent="0.25">
      <c r="A1196" s="1">
        <f>DATE(2012,2,9)</f>
        <v>40948</v>
      </c>
      <c r="B1196" t="s">
        <v>18</v>
      </c>
      <c r="C1196" t="s">
        <v>10</v>
      </c>
      <c r="D1196" s="3">
        <v>191.77099999999999</v>
      </c>
      <c r="E1196" s="3">
        <v>0</v>
      </c>
      <c r="F1196" t="s">
        <v>45</v>
      </c>
      <c r="G1196" s="3">
        <f t="shared" si="133"/>
        <v>-191.77099999999999</v>
      </c>
      <c r="H1196" s="3">
        <f t="shared" si="134"/>
        <v>191.77099999999999</v>
      </c>
      <c r="I1196" s="5" t="str">
        <f t="shared" si="135"/>
        <v>017</v>
      </c>
      <c r="J1196" s="5" t="str">
        <f t="shared" si="136"/>
        <v>2230</v>
      </c>
      <c r="K1196" s="5" t="str">
        <f t="shared" si="137"/>
        <v>000</v>
      </c>
      <c r="L1196" s="5">
        <f t="shared" si="138"/>
        <v>2</v>
      </c>
      <c r="M1196" s="5">
        <f t="shared" si="139"/>
        <v>2012</v>
      </c>
    </row>
    <row r="1197" spans="1:13" ht="17.45" customHeight="1" x14ac:dyDescent="0.25">
      <c r="A1197" s="1">
        <f>DATE(2012,2,10)</f>
        <v>40949</v>
      </c>
      <c r="B1197" t="s">
        <v>15</v>
      </c>
      <c r="C1197" t="s">
        <v>6</v>
      </c>
      <c r="D1197" s="3">
        <v>7648.2899999999991</v>
      </c>
      <c r="E1197" s="3">
        <v>0</v>
      </c>
      <c r="F1197" t="s">
        <v>45</v>
      </c>
      <c r="G1197" s="3">
        <f t="shared" si="133"/>
        <v>-7648.2899999999991</v>
      </c>
      <c r="H1197" s="3">
        <f t="shared" si="134"/>
        <v>7648.2899999999991</v>
      </c>
      <c r="I1197" s="5" t="str">
        <f t="shared" si="135"/>
        <v>017</v>
      </c>
      <c r="J1197" s="5" t="str">
        <f t="shared" si="136"/>
        <v>2100</v>
      </c>
      <c r="K1197" s="5" t="str">
        <f t="shared" si="137"/>
        <v>000</v>
      </c>
      <c r="L1197" s="5">
        <f t="shared" si="138"/>
        <v>2</v>
      </c>
      <c r="M1197" s="5">
        <f t="shared" si="139"/>
        <v>2012</v>
      </c>
    </row>
    <row r="1198" spans="1:13" ht="17.45" customHeight="1" x14ac:dyDescent="0.25">
      <c r="A1198" s="1">
        <f>DATE(2012,2,10)</f>
        <v>40949</v>
      </c>
      <c r="B1198" t="s">
        <v>16</v>
      </c>
      <c r="C1198" t="s">
        <v>8</v>
      </c>
      <c r="D1198" s="3">
        <v>2391.0120000000002</v>
      </c>
      <c r="E1198" s="3">
        <v>0</v>
      </c>
      <c r="F1198" t="s">
        <v>45</v>
      </c>
      <c r="G1198" s="3">
        <f t="shared" si="133"/>
        <v>-2391.0120000000002</v>
      </c>
      <c r="H1198" s="3">
        <f t="shared" si="134"/>
        <v>2391.0120000000002</v>
      </c>
      <c r="I1198" s="5" t="str">
        <f t="shared" si="135"/>
        <v>017</v>
      </c>
      <c r="J1198" s="5" t="str">
        <f t="shared" si="136"/>
        <v>2210</v>
      </c>
      <c r="K1198" s="5" t="str">
        <f t="shared" si="137"/>
        <v>000</v>
      </c>
      <c r="L1198" s="5">
        <f t="shared" si="138"/>
        <v>2</v>
      </c>
      <c r="M1198" s="5">
        <f t="shared" si="139"/>
        <v>2012</v>
      </c>
    </row>
    <row r="1199" spans="1:13" ht="17.45" customHeight="1" x14ac:dyDescent="0.25">
      <c r="A1199" s="1">
        <f>DATE(2012,2,10)</f>
        <v>40949</v>
      </c>
      <c r="B1199" t="s">
        <v>17</v>
      </c>
      <c r="C1199" t="s">
        <v>9</v>
      </c>
      <c r="D1199" s="3">
        <v>555.34500000000003</v>
      </c>
      <c r="E1199" s="3">
        <v>0</v>
      </c>
      <c r="F1199" t="s">
        <v>45</v>
      </c>
      <c r="G1199" s="3">
        <f t="shared" si="133"/>
        <v>-555.34500000000003</v>
      </c>
      <c r="H1199" s="3">
        <f t="shared" si="134"/>
        <v>555.34500000000003</v>
      </c>
      <c r="I1199" s="5" t="str">
        <f t="shared" si="135"/>
        <v>017</v>
      </c>
      <c r="J1199" s="5" t="str">
        <f t="shared" si="136"/>
        <v>2220</v>
      </c>
      <c r="K1199" s="5" t="str">
        <f t="shared" si="137"/>
        <v>000</v>
      </c>
      <c r="L1199" s="5">
        <f t="shared" si="138"/>
        <v>2</v>
      </c>
      <c r="M1199" s="5">
        <f t="shared" si="139"/>
        <v>2012</v>
      </c>
    </row>
    <row r="1200" spans="1:13" ht="17.45" customHeight="1" x14ac:dyDescent="0.25">
      <c r="A1200" s="1">
        <f>DATE(2012,2,10)</f>
        <v>40949</v>
      </c>
      <c r="B1200" t="s">
        <v>18</v>
      </c>
      <c r="C1200" t="s">
        <v>10</v>
      </c>
      <c r="D1200" s="3">
        <v>132.09</v>
      </c>
      <c r="E1200" s="3">
        <v>0</v>
      </c>
      <c r="F1200" t="s">
        <v>45</v>
      </c>
      <c r="G1200" s="3">
        <f t="shared" si="133"/>
        <v>-132.09</v>
      </c>
      <c r="H1200" s="3">
        <f t="shared" si="134"/>
        <v>132.09</v>
      </c>
      <c r="I1200" s="5" t="str">
        <f t="shared" si="135"/>
        <v>017</v>
      </c>
      <c r="J1200" s="5" t="str">
        <f t="shared" si="136"/>
        <v>2230</v>
      </c>
      <c r="K1200" s="5" t="str">
        <f t="shared" si="137"/>
        <v>000</v>
      </c>
      <c r="L1200" s="5">
        <f t="shared" si="138"/>
        <v>2</v>
      </c>
      <c r="M1200" s="5">
        <f t="shared" si="139"/>
        <v>2012</v>
      </c>
    </row>
    <row r="1201" spans="1:13" ht="17.45" customHeight="1" x14ac:dyDescent="0.25">
      <c r="A1201" s="1">
        <f>DATE(2012,2,11)</f>
        <v>40950</v>
      </c>
      <c r="B1201" t="s">
        <v>15</v>
      </c>
      <c r="C1201" t="s">
        <v>6</v>
      </c>
      <c r="D1201" s="3">
        <v>8579.0074999999997</v>
      </c>
      <c r="E1201" s="3">
        <v>0</v>
      </c>
      <c r="F1201" t="s">
        <v>45</v>
      </c>
      <c r="G1201" s="3">
        <f t="shared" si="133"/>
        <v>-8579.0074999999997</v>
      </c>
      <c r="H1201" s="3">
        <f t="shared" si="134"/>
        <v>8579.0074999999997</v>
      </c>
      <c r="I1201" s="5" t="str">
        <f t="shared" si="135"/>
        <v>017</v>
      </c>
      <c r="J1201" s="5" t="str">
        <f t="shared" si="136"/>
        <v>2100</v>
      </c>
      <c r="K1201" s="5" t="str">
        <f t="shared" si="137"/>
        <v>000</v>
      </c>
      <c r="L1201" s="5">
        <f t="shared" si="138"/>
        <v>2</v>
      </c>
      <c r="M1201" s="5">
        <f t="shared" si="139"/>
        <v>2012</v>
      </c>
    </row>
    <row r="1202" spans="1:13" ht="17.45" customHeight="1" x14ac:dyDescent="0.25">
      <c r="A1202" s="1">
        <f>DATE(2012,2,11)</f>
        <v>40950</v>
      </c>
      <c r="B1202" t="s">
        <v>16</v>
      </c>
      <c r="C1202" t="s">
        <v>8</v>
      </c>
      <c r="D1202" s="3">
        <v>2101.1149999999998</v>
      </c>
      <c r="E1202" s="3">
        <v>0</v>
      </c>
      <c r="F1202" t="s">
        <v>45</v>
      </c>
      <c r="G1202" s="3">
        <f t="shared" si="133"/>
        <v>-2101.1149999999998</v>
      </c>
      <c r="H1202" s="3">
        <f t="shared" si="134"/>
        <v>2101.1149999999998</v>
      </c>
      <c r="I1202" s="5" t="str">
        <f t="shared" si="135"/>
        <v>017</v>
      </c>
      <c r="J1202" s="5" t="str">
        <f t="shared" si="136"/>
        <v>2210</v>
      </c>
      <c r="K1202" s="5" t="str">
        <f t="shared" si="137"/>
        <v>000</v>
      </c>
      <c r="L1202" s="5">
        <f t="shared" si="138"/>
        <v>2</v>
      </c>
      <c r="M1202" s="5">
        <f t="shared" si="139"/>
        <v>2012</v>
      </c>
    </row>
    <row r="1203" spans="1:13" ht="17.45" customHeight="1" x14ac:dyDescent="0.25">
      <c r="A1203" s="1">
        <f>DATE(2012,2,11)</f>
        <v>40950</v>
      </c>
      <c r="B1203" t="s">
        <v>17</v>
      </c>
      <c r="C1203" t="s">
        <v>9</v>
      </c>
      <c r="D1203" s="3">
        <v>342.38000000000005</v>
      </c>
      <c r="E1203" s="3">
        <v>0</v>
      </c>
      <c r="F1203" t="s">
        <v>45</v>
      </c>
      <c r="G1203" s="3">
        <f t="shared" si="133"/>
        <v>-342.38000000000005</v>
      </c>
      <c r="H1203" s="3">
        <f t="shared" si="134"/>
        <v>342.38000000000005</v>
      </c>
      <c r="I1203" s="5" t="str">
        <f t="shared" si="135"/>
        <v>017</v>
      </c>
      <c r="J1203" s="5" t="str">
        <f t="shared" si="136"/>
        <v>2220</v>
      </c>
      <c r="K1203" s="5" t="str">
        <f t="shared" si="137"/>
        <v>000</v>
      </c>
      <c r="L1203" s="5">
        <f t="shared" si="138"/>
        <v>2</v>
      </c>
      <c r="M1203" s="5">
        <f t="shared" si="139"/>
        <v>2012</v>
      </c>
    </row>
    <row r="1204" spans="1:13" ht="17.45" customHeight="1" x14ac:dyDescent="0.25">
      <c r="A1204" s="1">
        <f>DATE(2012,2,11)</f>
        <v>40950</v>
      </c>
      <c r="B1204" t="s">
        <v>18</v>
      </c>
      <c r="C1204" t="s">
        <v>10</v>
      </c>
      <c r="D1204" s="3">
        <v>214.75799999999998</v>
      </c>
      <c r="E1204" s="3">
        <v>0</v>
      </c>
      <c r="F1204" t="s">
        <v>45</v>
      </c>
      <c r="G1204" s="3">
        <f t="shared" si="133"/>
        <v>-214.75799999999998</v>
      </c>
      <c r="H1204" s="3">
        <f t="shared" si="134"/>
        <v>214.75799999999998</v>
      </c>
      <c r="I1204" s="5" t="str">
        <f t="shared" si="135"/>
        <v>017</v>
      </c>
      <c r="J1204" s="5" t="str">
        <f t="shared" si="136"/>
        <v>2230</v>
      </c>
      <c r="K1204" s="5" t="str">
        <f t="shared" si="137"/>
        <v>000</v>
      </c>
      <c r="L1204" s="5">
        <f t="shared" si="138"/>
        <v>2</v>
      </c>
      <c r="M1204" s="5">
        <f t="shared" si="139"/>
        <v>2012</v>
      </c>
    </row>
    <row r="1205" spans="1:13" ht="17.45" customHeight="1" x14ac:dyDescent="0.25">
      <c r="A1205" s="1">
        <f>DATE(2012,2,12)</f>
        <v>40951</v>
      </c>
      <c r="B1205" t="s">
        <v>15</v>
      </c>
      <c r="C1205" t="s">
        <v>6</v>
      </c>
      <c r="D1205" s="3">
        <v>4016.0128000000004</v>
      </c>
      <c r="E1205" s="3">
        <v>0</v>
      </c>
      <c r="F1205" t="s">
        <v>45</v>
      </c>
      <c r="G1205" s="3">
        <f t="shared" si="133"/>
        <v>-4016.0128000000004</v>
      </c>
      <c r="H1205" s="3">
        <f t="shared" si="134"/>
        <v>4016.0128000000004</v>
      </c>
      <c r="I1205" s="5" t="str">
        <f t="shared" si="135"/>
        <v>017</v>
      </c>
      <c r="J1205" s="5" t="str">
        <f t="shared" si="136"/>
        <v>2100</v>
      </c>
      <c r="K1205" s="5" t="str">
        <f t="shared" si="137"/>
        <v>000</v>
      </c>
      <c r="L1205" s="5">
        <f t="shared" si="138"/>
        <v>2</v>
      </c>
      <c r="M1205" s="5">
        <f t="shared" si="139"/>
        <v>2012</v>
      </c>
    </row>
    <row r="1206" spans="1:13" ht="17.45" customHeight="1" x14ac:dyDescent="0.25">
      <c r="A1206" s="1">
        <f>DATE(2012,2,12)</f>
        <v>40951</v>
      </c>
      <c r="B1206" t="s">
        <v>16</v>
      </c>
      <c r="C1206" t="s">
        <v>8</v>
      </c>
      <c r="D1206" s="3">
        <v>661.01750000000004</v>
      </c>
      <c r="E1206" s="3">
        <v>0</v>
      </c>
      <c r="F1206" t="s">
        <v>45</v>
      </c>
      <c r="G1206" s="3">
        <f t="shared" si="133"/>
        <v>-661.01750000000004</v>
      </c>
      <c r="H1206" s="3">
        <f t="shared" si="134"/>
        <v>661.01750000000004</v>
      </c>
      <c r="I1206" s="5" t="str">
        <f t="shared" si="135"/>
        <v>017</v>
      </c>
      <c r="J1206" s="5" t="str">
        <f t="shared" si="136"/>
        <v>2210</v>
      </c>
      <c r="K1206" s="5" t="str">
        <f t="shared" si="137"/>
        <v>000</v>
      </c>
      <c r="L1206" s="5">
        <f t="shared" si="138"/>
        <v>2</v>
      </c>
      <c r="M1206" s="5">
        <f t="shared" si="139"/>
        <v>2012</v>
      </c>
    </row>
    <row r="1207" spans="1:13" ht="17.45" customHeight="1" x14ac:dyDescent="0.25">
      <c r="A1207" s="1">
        <f>DATE(2012,2,12)</f>
        <v>40951</v>
      </c>
      <c r="B1207" t="s">
        <v>17</v>
      </c>
      <c r="C1207" t="s">
        <v>9</v>
      </c>
      <c r="D1207" s="3">
        <v>191.47499999999999</v>
      </c>
      <c r="E1207" s="3">
        <v>0</v>
      </c>
      <c r="F1207" t="s">
        <v>45</v>
      </c>
      <c r="G1207" s="3">
        <f t="shared" si="133"/>
        <v>-191.47499999999999</v>
      </c>
      <c r="H1207" s="3">
        <f t="shared" si="134"/>
        <v>191.47499999999999</v>
      </c>
      <c r="I1207" s="5" t="str">
        <f t="shared" si="135"/>
        <v>017</v>
      </c>
      <c r="J1207" s="5" t="str">
        <f t="shared" si="136"/>
        <v>2220</v>
      </c>
      <c r="K1207" s="5" t="str">
        <f t="shared" si="137"/>
        <v>000</v>
      </c>
      <c r="L1207" s="5">
        <f t="shared" si="138"/>
        <v>2</v>
      </c>
      <c r="M1207" s="5">
        <f t="shared" si="139"/>
        <v>2012</v>
      </c>
    </row>
    <row r="1208" spans="1:13" ht="17.45" customHeight="1" x14ac:dyDescent="0.25">
      <c r="A1208" s="1">
        <f>DATE(2012,2,12)</f>
        <v>40951</v>
      </c>
      <c r="B1208" t="s">
        <v>18</v>
      </c>
      <c r="C1208" t="s">
        <v>10</v>
      </c>
      <c r="D1208" s="3">
        <v>110.63799999999999</v>
      </c>
      <c r="E1208" s="3">
        <v>0</v>
      </c>
      <c r="F1208" t="s">
        <v>45</v>
      </c>
      <c r="G1208" s="3">
        <f t="shared" si="133"/>
        <v>-110.63799999999999</v>
      </c>
      <c r="H1208" s="3">
        <f t="shared" si="134"/>
        <v>110.63799999999999</v>
      </c>
      <c r="I1208" s="5" t="str">
        <f t="shared" si="135"/>
        <v>017</v>
      </c>
      <c r="J1208" s="5" t="str">
        <f t="shared" si="136"/>
        <v>2230</v>
      </c>
      <c r="K1208" s="5" t="str">
        <f t="shared" si="137"/>
        <v>000</v>
      </c>
      <c r="L1208" s="5">
        <f t="shared" si="138"/>
        <v>2</v>
      </c>
      <c r="M1208" s="5">
        <f t="shared" si="139"/>
        <v>2012</v>
      </c>
    </row>
    <row r="1209" spans="1:13" ht="17.45" customHeight="1" x14ac:dyDescent="0.25">
      <c r="A1209" s="1">
        <f>DATE(2012,2,6)</f>
        <v>40945</v>
      </c>
      <c r="B1209" t="s">
        <v>19</v>
      </c>
      <c r="C1209" t="s">
        <v>6</v>
      </c>
      <c r="D1209" s="3">
        <v>2153.384</v>
      </c>
      <c r="E1209" s="3">
        <v>0</v>
      </c>
      <c r="F1209" t="s">
        <v>45</v>
      </c>
      <c r="G1209" s="3">
        <f t="shared" si="133"/>
        <v>-2153.384</v>
      </c>
      <c r="H1209" s="3">
        <f t="shared" si="134"/>
        <v>2153.384</v>
      </c>
      <c r="I1209" s="5" t="str">
        <f t="shared" si="135"/>
        <v>018</v>
      </c>
      <c r="J1209" s="5" t="str">
        <f t="shared" si="136"/>
        <v>2100</v>
      </c>
      <c r="K1209" s="5" t="str">
        <f t="shared" si="137"/>
        <v>000</v>
      </c>
      <c r="L1209" s="5">
        <f t="shared" si="138"/>
        <v>2</v>
      </c>
      <c r="M1209" s="5">
        <f t="shared" si="139"/>
        <v>2012</v>
      </c>
    </row>
    <row r="1210" spans="1:13" ht="17.45" customHeight="1" x14ac:dyDescent="0.25">
      <c r="A1210" s="1">
        <f>DATE(2012,2,6)</f>
        <v>40945</v>
      </c>
      <c r="B1210" t="s">
        <v>20</v>
      </c>
      <c r="C1210" t="s">
        <v>8</v>
      </c>
      <c r="D1210" s="3">
        <v>271.17899999999997</v>
      </c>
      <c r="E1210" s="3">
        <v>0</v>
      </c>
      <c r="F1210" t="s">
        <v>45</v>
      </c>
      <c r="G1210" s="3">
        <f t="shared" si="133"/>
        <v>-271.17899999999997</v>
      </c>
      <c r="H1210" s="3">
        <f t="shared" si="134"/>
        <v>271.17899999999997</v>
      </c>
      <c r="I1210" s="5" t="str">
        <f t="shared" si="135"/>
        <v>018</v>
      </c>
      <c r="J1210" s="5" t="str">
        <f t="shared" si="136"/>
        <v>2210</v>
      </c>
      <c r="K1210" s="5" t="str">
        <f t="shared" si="137"/>
        <v>000</v>
      </c>
      <c r="L1210" s="5">
        <f t="shared" si="138"/>
        <v>2</v>
      </c>
      <c r="M1210" s="5">
        <f t="shared" si="139"/>
        <v>2012</v>
      </c>
    </row>
    <row r="1211" spans="1:13" ht="17.45" customHeight="1" x14ac:dyDescent="0.25">
      <c r="A1211" s="1">
        <f>DATE(2012,2,6)</f>
        <v>40945</v>
      </c>
      <c r="B1211" t="s">
        <v>21</v>
      </c>
      <c r="C1211" t="s">
        <v>9</v>
      </c>
      <c r="D1211" s="3">
        <v>102.476</v>
      </c>
      <c r="E1211" s="3">
        <v>0</v>
      </c>
      <c r="F1211" t="s">
        <v>45</v>
      </c>
      <c r="G1211" s="3">
        <f t="shared" si="133"/>
        <v>-102.476</v>
      </c>
      <c r="H1211" s="3">
        <f t="shared" si="134"/>
        <v>102.476</v>
      </c>
      <c r="I1211" s="5" t="str">
        <f t="shared" si="135"/>
        <v>018</v>
      </c>
      <c r="J1211" s="5" t="str">
        <f t="shared" si="136"/>
        <v>2220</v>
      </c>
      <c r="K1211" s="5" t="str">
        <f t="shared" si="137"/>
        <v>000</v>
      </c>
      <c r="L1211" s="5">
        <f t="shared" si="138"/>
        <v>2</v>
      </c>
      <c r="M1211" s="5">
        <f t="shared" si="139"/>
        <v>2012</v>
      </c>
    </row>
    <row r="1212" spans="1:13" ht="17.45" customHeight="1" x14ac:dyDescent="0.25">
      <c r="A1212" s="1">
        <f>DATE(2012,2,6)</f>
        <v>40945</v>
      </c>
      <c r="B1212" t="s">
        <v>22</v>
      </c>
      <c r="C1212" t="s">
        <v>10</v>
      </c>
      <c r="D1212" s="3">
        <v>7.9654999999999996</v>
      </c>
      <c r="E1212" s="3">
        <v>0</v>
      </c>
      <c r="F1212" t="s">
        <v>45</v>
      </c>
      <c r="G1212" s="3">
        <f t="shared" si="133"/>
        <v>-7.9654999999999996</v>
      </c>
      <c r="H1212" s="3">
        <f t="shared" si="134"/>
        <v>7.9654999999999996</v>
      </c>
      <c r="I1212" s="5" t="str">
        <f t="shared" si="135"/>
        <v>018</v>
      </c>
      <c r="J1212" s="5" t="str">
        <f t="shared" si="136"/>
        <v>2230</v>
      </c>
      <c r="K1212" s="5" t="str">
        <f t="shared" si="137"/>
        <v>000</v>
      </c>
      <c r="L1212" s="5">
        <f t="shared" si="138"/>
        <v>2</v>
      </c>
      <c r="M1212" s="5">
        <f t="shared" si="139"/>
        <v>2012</v>
      </c>
    </row>
    <row r="1213" spans="1:13" ht="17.45" customHeight="1" x14ac:dyDescent="0.25">
      <c r="A1213" s="1">
        <f>DATE(2012,2,7)</f>
        <v>40946</v>
      </c>
      <c r="B1213" t="s">
        <v>19</v>
      </c>
      <c r="C1213" t="s">
        <v>6</v>
      </c>
      <c r="D1213" s="3">
        <v>2920.1288999999997</v>
      </c>
      <c r="E1213" s="3">
        <v>0</v>
      </c>
      <c r="F1213" t="s">
        <v>45</v>
      </c>
      <c r="G1213" s="3">
        <f t="shared" si="133"/>
        <v>-2920.1288999999997</v>
      </c>
      <c r="H1213" s="3">
        <f t="shared" si="134"/>
        <v>2920.1288999999997</v>
      </c>
      <c r="I1213" s="5" t="str">
        <f t="shared" si="135"/>
        <v>018</v>
      </c>
      <c r="J1213" s="5" t="str">
        <f t="shared" si="136"/>
        <v>2100</v>
      </c>
      <c r="K1213" s="5" t="str">
        <f t="shared" si="137"/>
        <v>000</v>
      </c>
      <c r="L1213" s="5">
        <f t="shared" si="138"/>
        <v>2</v>
      </c>
      <c r="M1213" s="5">
        <f t="shared" si="139"/>
        <v>2012</v>
      </c>
    </row>
    <row r="1214" spans="1:13" ht="17.45" customHeight="1" x14ac:dyDescent="0.25">
      <c r="A1214" s="1">
        <f>DATE(2012,2,7)</f>
        <v>40946</v>
      </c>
      <c r="B1214" t="s">
        <v>20</v>
      </c>
      <c r="C1214" t="s">
        <v>8</v>
      </c>
      <c r="D1214" s="3">
        <v>420.42</v>
      </c>
      <c r="E1214" s="3">
        <v>0</v>
      </c>
      <c r="F1214" t="s">
        <v>45</v>
      </c>
      <c r="G1214" s="3">
        <f t="shared" si="133"/>
        <v>-420.42</v>
      </c>
      <c r="H1214" s="3">
        <f t="shared" si="134"/>
        <v>420.42</v>
      </c>
      <c r="I1214" s="5" t="str">
        <f t="shared" si="135"/>
        <v>018</v>
      </c>
      <c r="J1214" s="5" t="str">
        <f t="shared" si="136"/>
        <v>2210</v>
      </c>
      <c r="K1214" s="5" t="str">
        <f t="shared" si="137"/>
        <v>000</v>
      </c>
      <c r="L1214" s="5">
        <f t="shared" si="138"/>
        <v>2</v>
      </c>
      <c r="M1214" s="5">
        <f t="shared" si="139"/>
        <v>2012</v>
      </c>
    </row>
    <row r="1215" spans="1:13" ht="17.45" customHeight="1" x14ac:dyDescent="0.25">
      <c r="A1215" s="1">
        <f>DATE(2012,2,7)</f>
        <v>40946</v>
      </c>
      <c r="B1215" t="s">
        <v>21</v>
      </c>
      <c r="C1215" t="s">
        <v>9</v>
      </c>
      <c r="D1215" s="3">
        <v>82.362500000000011</v>
      </c>
      <c r="E1215" s="3">
        <v>0</v>
      </c>
      <c r="F1215" t="s">
        <v>45</v>
      </c>
      <c r="G1215" s="3">
        <f t="shared" si="133"/>
        <v>-82.362500000000011</v>
      </c>
      <c r="H1215" s="3">
        <f t="shared" si="134"/>
        <v>82.362500000000011</v>
      </c>
      <c r="I1215" s="5" t="str">
        <f t="shared" si="135"/>
        <v>018</v>
      </c>
      <c r="J1215" s="5" t="str">
        <f t="shared" si="136"/>
        <v>2220</v>
      </c>
      <c r="K1215" s="5" t="str">
        <f t="shared" si="137"/>
        <v>000</v>
      </c>
      <c r="L1215" s="5">
        <f t="shared" si="138"/>
        <v>2</v>
      </c>
      <c r="M1215" s="5">
        <f t="shared" si="139"/>
        <v>2012</v>
      </c>
    </row>
    <row r="1216" spans="1:13" ht="17.45" customHeight="1" x14ac:dyDescent="0.25">
      <c r="A1216" s="1">
        <f>DATE(2012,2,8)</f>
        <v>40947</v>
      </c>
      <c r="B1216" t="s">
        <v>19</v>
      </c>
      <c r="C1216" t="s">
        <v>6</v>
      </c>
      <c r="D1216" s="3">
        <v>2201.3897999999999</v>
      </c>
      <c r="E1216" s="3">
        <v>0</v>
      </c>
      <c r="F1216" t="s">
        <v>45</v>
      </c>
      <c r="G1216" s="3">
        <f t="shared" si="133"/>
        <v>-2201.3897999999999</v>
      </c>
      <c r="H1216" s="3">
        <f t="shared" si="134"/>
        <v>2201.3897999999999</v>
      </c>
      <c r="I1216" s="5" t="str">
        <f t="shared" si="135"/>
        <v>018</v>
      </c>
      <c r="J1216" s="5" t="str">
        <f t="shared" si="136"/>
        <v>2100</v>
      </c>
      <c r="K1216" s="5" t="str">
        <f t="shared" si="137"/>
        <v>000</v>
      </c>
      <c r="L1216" s="5">
        <f t="shared" si="138"/>
        <v>2</v>
      </c>
      <c r="M1216" s="5">
        <f t="shared" si="139"/>
        <v>2012</v>
      </c>
    </row>
    <row r="1217" spans="1:13" ht="17.45" customHeight="1" x14ac:dyDescent="0.25">
      <c r="A1217" s="1">
        <f>DATE(2012,2,8)</f>
        <v>40947</v>
      </c>
      <c r="B1217" t="s">
        <v>20</v>
      </c>
      <c r="C1217" t="s">
        <v>8</v>
      </c>
      <c r="D1217" s="3">
        <v>552.4</v>
      </c>
      <c r="E1217" s="3">
        <v>0</v>
      </c>
      <c r="F1217" t="s">
        <v>45</v>
      </c>
      <c r="G1217" s="3">
        <f t="shared" si="133"/>
        <v>-552.4</v>
      </c>
      <c r="H1217" s="3">
        <f t="shared" si="134"/>
        <v>552.4</v>
      </c>
      <c r="I1217" s="5" t="str">
        <f t="shared" si="135"/>
        <v>018</v>
      </c>
      <c r="J1217" s="5" t="str">
        <f t="shared" si="136"/>
        <v>2210</v>
      </c>
      <c r="K1217" s="5" t="str">
        <f t="shared" si="137"/>
        <v>000</v>
      </c>
      <c r="L1217" s="5">
        <f t="shared" si="138"/>
        <v>2</v>
      </c>
      <c r="M1217" s="5">
        <f t="shared" si="139"/>
        <v>2012</v>
      </c>
    </row>
    <row r="1218" spans="1:13" ht="17.45" customHeight="1" x14ac:dyDescent="0.25">
      <c r="A1218" s="1">
        <f>DATE(2012,2,8)</f>
        <v>40947</v>
      </c>
      <c r="B1218" t="s">
        <v>21</v>
      </c>
      <c r="C1218" t="s">
        <v>9</v>
      </c>
      <c r="D1218" s="3">
        <v>92.399999999999991</v>
      </c>
      <c r="E1218" s="3">
        <v>0</v>
      </c>
      <c r="F1218" t="s">
        <v>45</v>
      </c>
      <c r="G1218" s="3">
        <f t="shared" ref="G1218:G1281" si="141">E1218-D1218</f>
        <v>-92.399999999999991</v>
      </c>
      <c r="H1218" s="3">
        <f t="shared" ref="H1218:H1281" si="142">ABS(G1218)</f>
        <v>92.399999999999991</v>
      </c>
      <c r="I1218" s="5" t="str">
        <f t="shared" ref="I1218:I1281" si="143">MID(B1218,1,3)</f>
        <v>018</v>
      </c>
      <c r="J1218" s="5" t="str">
        <f t="shared" ref="J1218:J1281" si="144">MID(B1218,5,4)</f>
        <v>2220</v>
      </c>
      <c r="K1218" s="5" t="str">
        <f t="shared" ref="K1218:K1281" si="145">MID(B1218,10,3)</f>
        <v>000</v>
      </c>
      <c r="L1218" s="5">
        <f t="shared" ref="L1218:L1281" si="146">MONTH(A1218)</f>
        <v>2</v>
      </c>
      <c r="M1218" s="5">
        <f t="shared" ref="M1218:M1281" si="147">YEAR(A1218)</f>
        <v>2012</v>
      </c>
    </row>
    <row r="1219" spans="1:13" ht="17.45" customHeight="1" x14ac:dyDescent="0.25">
      <c r="A1219" s="1">
        <f>DATE(2012,2,8)</f>
        <v>40947</v>
      </c>
      <c r="B1219" t="s">
        <v>22</v>
      </c>
      <c r="C1219" t="s">
        <v>10</v>
      </c>
      <c r="D1219" s="3">
        <v>34.28</v>
      </c>
      <c r="E1219" s="3">
        <v>0</v>
      </c>
      <c r="F1219" t="s">
        <v>45</v>
      </c>
      <c r="G1219" s="3">
        <f t="shared" si="141"/>
        <v>-34.28</v>
      </c>
      <c r="H1219" s="3">
        <f t="shared" si="142"/>
        <v>34.28</v>
      </c>
      <c r="I1219" s="5" t="str">
        <f t="shared" si="143"/>
        <v>018</v>
      </c>
      <c r="J1219" s="5" t="str">
        <f t="shared" si="144"/>
        <v>2230</v>
      </c>
      <c r="K1219" s="5" t="str">
        <f t="shared" si="145"/>
        <v>000</v>
      </c>
      <c r="L1219" s="5">
        <f t="shared" si="146"/>
        <v>2</v>
      </c>
      <c r="M1219" s="5">
        <f t="shared" si="147"/>
        <v>2012</v>
      </c>
    </row>
    <row r="1220" spans="1:13" ht="17.45" customHeight="1" x14ac:dyDescent="0.25">
      <c r="A1220" s="1">
        <f>DATE(2012,2,9)</f>
        <v>40948</v>
      </c>
      <c r="B1220" t="s">
        <v>19</v>
      </c>
      <c r="C1220" t="s">
        <v>6</v>
      </c>
      <c r="D1220" s="3">
        <v>4354.4865</v>
      </c>
      <c r="E1220" s="3">
        <v>0</v>
      </c>
      <c r="F1220" t="s">
        <v>45</v>
      </c>
      <c r="G1220" s="3">
        <f t="shared" si="141"/>
        <v>-4354.4865</v>
      </c>
      <c r="H1220" s="3">
        <f t="shared" si="142"/>
        <v>4354.4865</v>
      </c>
      <c r="I1220" s="5" t="str">
        <f t="shared" si="143"/>
        <v>018</v>
      </c>
      <c r="J1220" s="5" t="str">
        <f t="shared" si="144"/>
        <v>2100</v>
      </c>
      <c r="K1220" s="5" t="str">
        <f t="shared" si="145"/>
        <v>000</v>
      </c>
      <c r="L1220" s="5">
        <f t="shared" si="146"/>
        <v>2</v>
      </c>
      <c r="M1220" s="5">
        <f t="shared" si="147"/>
        <v>2012</v>
      </c>
    </row>
    <row r="1221" spans="1:13" ht="17.45" customHeight="1" x14ac:dyDescent="0.25">
      <c r="A1221" s="1">
        <f>DATE(2012,2,9)</f>
        <v>40948</v>
      </c>
      <c r="B1221" t="s">
        <v>20</v>
      </c>
      <c r="C1221" t="s">
        <v>8</v>
      </c>
      <c r="D1221" s="3">
        <v>602.61149999999998</v>
      </c>
      <c r="E1221" s="3">
        <v>0</v>
      </c>
      <c r="F1221" t="s">
        <v>45</v>
      </c>
      <c r="G1221" s="3">
        <f t="shared" si="141"/>
        <v>-602.61149999999998</v>
      </c>
      <c r="H1221" s="3">
        <f t="shared" si="142"/>
        <v>602.61149999999998</v>
      </c>
      <c r="I1221" s="5" t="str">
        <f t="shared" si="143"/>
        <v>018</v>
      </c>
      <c r="J1221" s="5" t="str">
        <f t="shared" si="144"/>
        <v>2210</v>
      </c>
      <c r="K1221" s="5" t="str">
        <f t="shared" si="145"/>
        <v>000</v>
      </c>
      <c r="L1221" s="5">
        <f t="shared" si="146"/>
        <v>2</v>
      </c>
      <c r="M1221" s="5">
        <f t="shared" si="147"/>
        <v>2012</v>
      </c>
    </row>
    <row r="1222" spans="1:13" ht="17.45" customHeight="1" x14ac:dyDescent="0.25">
      <c r="A1222" s="1">
        <f>DATE(2012,2,9)</f>
        <v>40948</v>
      </c>
      <c r="B1222" t="s">
        <v>21</v>
      </c>
      <c r="C1222" t="s">
        <v>9</v>
      </c>
      <c r="D1222" s="3">
        <v>168.39</v>
      </c>
      <c r="E1222" s="3">
        <v>0</v>
      </c>
      <c r="F1222" t="s">
        <v>45</v>
      </c>
      <c r="G1222" s="3">
        <f t="shared" si="141"/>
        <v>-168.39</v>
      </c>
      <c r="H1222" s="3">
        <f t="shared" si="142"/>
        <v>168.39</v>
      </c>
      <c r="I1222" s="5" t="str">
        <f t="shared" si="143"/>
        <v>018</v>
      </c>
      <c r="J1222" s="5" t="str">
        <f t="shared" si="144"/>
        <v>2220</v>
      </c>
      <c r="K1222" s="5" t="str">
        <f t="shared" si="145"/>
        <v>000</v>
      </c>
      <c r="L1222" s="5">
        <f t="shared" si="146"/>
        <v>2</v>
      </c>
      <c r="M1222" s="5">
        <f t="shared" si="147"/>
        <v>2012</v>
      </c>
    </row>
    <row r="1223" spans="1:13" ht="17.45" customHeight="1" x14ac:dyDescent="0.25">
      <c r="A1223" s="1">
        <f>DATE(2012,2,9)</f>
        <v>40948</v>
      </c>
      <c r="B1223" t="s">
        <v>22</v>
      </c>
      <c r="C1223" t="s">
        <v>10</v>
      </c>
      <c r="D1223" s="3">
        <v>13.819499999999998</v>
      </c>
      <c r="E1223" s="3">
        <v>0</v>
      </c>
      <c r="F1223" t="s">
        <v>45</v>
      </c>
      <c r="G1223" s="3">
        <f t="shared" si="141"/>
        <v>-13.819499999999998</v>
      </c>
      <c r="H1223" s="3">
        <f t="shared" si="142"/>
        <v>13.819499999999998</v>
      </c>
      <c r="I1223" s="5" t="str">
        <f t="shared" si="143"/>
        <v>018</v>
      </c>
      <c r="J1223" s="5" t="str">
        <f t="shared" si="144"/>
        <v>2230</v>
      </c>
      <c r="K1223" s="5" t="str">
        <f t="shared" si="145"/>
        <v>000</v>
      </c>
      <c r="L1223" s="5">
        <f t="shared" si="146"/>
        <v>2</v>
      </c>
      <c r="M1223" s="5">
        <f t="shared" si="147"/>
        <v>2012</v>
      </c>
    </row>
    <row r="1224" spans="1:13" ht="17.45" customHeight="1" x14ac:dyDescent="0.25">
      <c r="A1224" s="1">
        <f>DATE(2012,2,10)</f>
        <v>40949</v>
      </c>
      <c r="B1224" t="s">
        <v>19</v>
      </c>
      <c r="C1224" t="s">
        <v>6</v>
      </c>
      <c r="D1224" s="3">
        <v>6974.1834999999992</v>
      </c>
      <c r="E1224" s="3">
        <v>0</v>
      </c>
      <c r="F1224" t="s">
        <v>45</v>
      </c>
      <c r="G1224" s="3">
        <f t="shared" si="141"/>
        <v>-6974.1834999999992</v>
      </c>
      <c r="H1224" s="3">
        <f t="shared" si="142"/>
        <v>6974.1834999999992</v>
      </c>
      <c r="I1224" s="5" t="str">
        <f t="shared" si="143"/>
        <v>018</v>
      </c>
      <c r="J1224" s="5" t="str">
        <f t="shared" si="144"/>
        <v>2100</v>
      </c>
      <c r="K1224" s="5" t="str">
        <f t="shared" si="145"/>
        <v>000</v>
      </c>
      <c r="L1224" s="5">
        <f t="shared" si="146"/>
        <v>2</v>
      </c>
      <c r="M1224" s="5">
        <f t="shared" si="147"/>
        <v>2012</v>
      </c>
    </row>
    <row r="1225" spans="1:13" ht="17.45" customHeight="1" x14ac:dyDescent="0.25">
      <c r="A1225" s="1">
        <f>DATE(2012,2,10)</f>
        <v>40949</v>
      </c>
      <c r="B1225" t="s">
        <v>20</v>
      </c>
      <c r="C1225" t="s">
        <v>8</v>
      </c>
      <c r="D1225" s="3">
        <v>2496.0150000000003</v>
      </c>
      <c r="E1225" s="3">
        <v>0</v>
      </c>
      <c r="F1225" t="s">
        <v>45</v>
      </c>
      <c r="G1225" s="3">
        <f t="shared" si="141"/>
        <v>-2496.0150000000003</v>
      </c>
      <c r="H1225" s="3">
        <f t="shared" si="142"/>
        <v>2496.0150000000003</v>
      </c>
      <c r="I1225" s="5" t="str">
        <f t="shared" si="143"/>
        <v>018</v>
      </c>
      <c r="J1225" s="5" t="str">
        <f t="shared" si="144"/>
        <v>2210</v>
      </c>
      <c r="K1225" s="5" t="str">
        <f t="shared" si="145"/>
        <v>000</v>
      </c>
      <c r="L1225" s="5">
        <f t="shared" si="146"/>
        <v>2</v>
      </c>
      <c r="M1225" s="5">
        <f t="shared" si="147"/>
        <v>2012</v>
      </c>
    </row>
    <row r="1226" spans="1:13" ht="17.45" customHeight="1" x14ac:dyDescent="0.25">
      <c r="A1226" s="1">
        <f>DATE(2012,2,10)</f>
        <v>40949</v>
      </c>
      <c r="B1226" t="s">
        <v>21</v>
      </c>
      <c r="C1226" t="s">
        <v>9</v>
      </c>
      <c r="D1226" s="3">
        <v>390.87900000000002</v>
      </c>
      <c r="E1226" s="3">
        <v>0</v>
      </c>
      <c r="F1226" t="s">
        <v>45</v>
      </c>
      <c r="G1226" s="3">
        <f t="shared" si="141"/>
        <v>-390.87900000000002</v>
      </c>
      <c r="H1226" s="3">
        <f t="shared" si="142"/>
        <v>390.87900000000002</v>
      </c>
      <c r="I1226" s="5" t="str">
        <f t="shared" si="143"/>
        <v>018</v>
      </c>
      <c r="J1226" s="5" t="str">
        <f t="shared" si="144"/>
        <v>2220</v>
      </c>
      <c r="K1226" s="5" t="str">
        <f t="shared" si="145"/>
        <v>000</v>
      </c>
      <c r="L1226" s="5">
        <f t="shared" si="146"/>
        <v>2</v>
      </c>
      <c r="M1226" s="5">
        <f t="shared" si="147"/>
        <v>2012</v>
      </c>
    </row>
    <row r="1227" spans="1:13" ht="17.45" customHeight="1" x14ac:dyDescent="0.25">
      <c r="A1227" s="1">
        <f>DATE(2012,2,10)</f>
        <v>40949</v>
      </c>
      <c r="B1227" t="s">
        <v>22</v>
      </c>
      <c r="C1227" t="s">
        <v>10</v>
      </c>
      <c r="D1227" s="3">
        <v>145.512</v>
      </c>
      <c r="E1227" s="3">
        <v>0</v>
      </c>
      <c r="F1227" t="s">
        <v>45</v>
      </c>
      <c r="G1227" s="3">
        <f t="shared" si="141"/>
        <v>-145.512</v>
      </c>
      <c r="H1227" s="3">
        <f t="shared" si="142"/>
        <v>145.512</v>
      </c>
      <c r="I1227" s="5" t="str">
        <f t="shared" si="143"/>
        <v>018</v>
      </c>
      <c r="J1227" s="5" t="str">
        <f t="shared" si="144"/>
        <v>2230</v>
      </c>
      <c r="K1227" s="5" t="str">
        <f t="shared" si="145"/>
        <v>000</v>
      </c>
      <c r="L1227" s="5">
        <f t="shared" si="146"/>
        <v>2</v>
      </c>
      <c r="M1227" s="5">
        <f t="shared" si="147"/>
        <v>2012</v>
      </c>
    </row>
    <row r="1228" spans="1:13" ht="17.45" customHeight="1" x14ac:dyDescent="0.25">
      <c r="A1228" s="1">
        <f>DATE(2012,2,11)</f>
        <v>40950</v>
      </c>
      <c r="B1228" t="s">
        <v>19</v>
      </c>
      <c r="C1228" t="s">
        <v>6</v>
      </c>
      <c r="D1228" s="3">
        <v>14587.631999999998</v>
      </c>
      <c r="E1228" s="3">
        <v>0</v>
      </c>
      <c r="F1228" t="s">
        <v>45</v>
      </c>
      <c r="G1228" s="3">
        <f t="shared" si="141"/>
        <v>-14587.631999999998</v>
      </c>
      <c r="H1228" s="3">
        <f t="shared" si="142"/>
        <v>14587.631999999998</v>
      </c>
      <c r="I1228" s="5" t="str">
        <f t="shared" si="143"/>
        <v>018</v>
      </c>
      <c r="J1228" s="5" t="str">
        <f t="shared" si="144"/>
        <v>2100</v>
      </c>
      <c r="K1228" s="5" t="str">
        <f t="shared" si="145"/>
        <v>000</v>
      </c>
      <c r="L1228" s="5">
        <f t="shared" si="146"/>
        <v>2</v>
      </c>
      <c r="M1228" s="5">
        <f t="shared" si="147"/>
        <v>2012</v>
      </c>
    </row>
    <row r="1229" spans="1:13" ht="17.45" customHeight="1" x14ac:dyDescent="0.25">
      <c r="A1229" s="1">
        <f>DATE(2012,2,11)</f>
        <v>40950</v>
      </c>
      <c r="B1229" t="s">
        <v>20</v>
      </c>
      <c r="C1229" t="s">
        <v>8</v>
      </c>
      <c r="D1229" s="3">
        <v>1706.2375000000002</v>
      </c>
      <c r="E1229" s="3">
        <v>0</v>
      </c>
      <c r="F1229" t="s">
        <v>45</v>
      </c>
      <c r="G1229" s="3">
        <f t="shared" si="141"/>
        <v>-1706.2375000000002</v>
      </c>
      <c r="H1229" s="3">
        <f t="shared" si="142"/>
        <v>1706.2375000000002</v>
      </c>
      <c r="I1229" s="5" t="str">
        <f t="shared" si="143"/>
        <v>018</v>
      </c>
      <c r="J1229" s="5" t="str">
        <f t="shared" si="144"/>
        <v>2210</v>
      </c>
      <c r="K1229" s="5" t="str">
        <f t="shared" si="145"/>
        <v>000</v>
      </c>
      <c r="L1229" s="5">
        <f t="shared" si="146"/>
        <v>2</v>
      </c>
      <c r="M1229" s="5">
        <f t="shared" si="147"/>
        <v>2012</v>
      </c>
    </row>
    <row r="1230" spans="1:13" ht="17.45" customHeight="1" x14ac:dyDescent="0.25">
      <c r="A1230" s="1">
        <f>DATE(2012,2,11)</f>
        <v>40950</v>
      </c>
      <c r="B1230" t="s">
        <v>21</v>
      </c>
      <c r="C1230" t="s">
        <v>9</v>
      </c>
      <c r="D1230" s="3">
        <v>990.02699999999982</v>
      </c>
      <c r="E1230" s="3">
        <v>0</v>
      </c>
      <c r="F1230" t="s">
        <v>45</v>
      </c>
      <c r="G1230" s="3">
        <f t="shared" si="141"/>
        <v>-990.02699999999982</v>
      </c>
      <c r="H1230" s="3">
        <f t="shared" si="142"/>
        <v>990.02699999999982</v>
      </c>
      <c r="I1230" s="5" t="str">
        <f t="shared" si="143"/>
        <v>018</v>
      </c>
      <c r="J1230" s="5" t="str">
        <f t="shared" si="144"/>
        <v>2220</v>
      </c>
      <c r="K1230" s="5" t="str">
        <f t="shared" si="145"/>
        <v>000</v>
      </c>
      <c r="L1230" s="5">
        <f t="shared" si="146"/>
        <v>2</v>
      </c>
      <c r="M1230" s="5">
        <f t="shared" si="147"/>
        <v>2012</v>
      </c>
    </row>
    <row r="1231" spans="1:13" ht="17.45" customHeight="1" x14ac:dyDescent="0.25">
      <c r="A1231" s="1">
        <f>DATE(2012,2,11)</f>
        <v>40950</v>
      </c>
      <c r="B1231" t="s">
        <v>22</v>
      </c>
      <c r="C1231" t="s">
        <v>10</v>
      </c>
      <c r="D1231" s="3">
        <v>253.32999999999996</v>
      </c>
      <c r="E1231" s="3">
        <v>0</v>
      </c>
      <c r="F1231" t="s">
        <v>45</v>
      </c>
      <c r="G1231" s="3">
        <f t="shared" si="141"/>
        <v>-253.32999999999996</v>
      </c>
      <c r="H1231" s="3">
        <f t="shared" si="142"/>
        <v>253.32999999999996</v>
      </c>
      <c r="I1231" s="5" t="str">
        <f t="shared" si="143"/>
        <v>018</v>
      </c>
      <c r="J1231" s="5" t="str">
        <f t="shared" si="144"/>
        <v>2230</v>
      </c>
      <c r="K1231" s="5" t="str">
        <f t="shared" si="145"/>
        <v>000</v>
      </c>
      <c r="L1231" s="5">
        <f t="shared" si="146"/>
        <v>2</v>
      </c>
      <c r="M1231" s="5">
        <f t="shared" si="147"/>
        <v>2012</v>
      </c>
    </row>
    <row r="1232" spans="1:13" ht="17.45" customHeight="1" x14ac:dyDescent="0.25">
      <c r="A1232" s="1">
        <f>DATE(2012,2,12)</f>
        <v>40951</v>
      </c>
      <c r="B1232" t="s">
        <v>19</v>
      </c>
      <c r="C1232" t="s">
        <v>6</v>
      </c>
      <c r="D1232" s="3">
        <v>6792.5190000000002</v>
      </c>
      <c r="E1232" s="3">
        <v>0</v>
      </c>
      <c r="F1232" t="s">
        <v>45</v>
      </c>
      <c r="G1232" s="3">
        <f t="shared" si="141"/>
        <v>-6792.5190000000002</v>
      </c>
      <c r="H1232" s="3">
        <f t="shared" si="142"/>
        <v>6792.5190000000002</v>
      </c>
      <c r="I1232" s="5" t="str">
        <f t="shared" si="143"/>
        <v>018</v>
      </c>
      <c r="J1232" s="5" t="str">
        <f t="shared" si="144"/>
        <v>2100</v>
      </c>
      <c r="K1232" s="5" t="str">
        <f t="shared" si="145"/>
        <v>000</v>
      </c>
      <c r="L1232" s="5">
        <f t="shared" si="146"/>
        <v>2</v>
      </c>
      <c r="M1232" s="5">
        <f t="shared" si="147"/>
        <v>2012</v>
      </c>
    </row>
    <row r="1233" spans="1:13" ht="17.45" customHeight="1" x14ac:dyDescent="0.25">
      <c r="A1233" s="1">
        <f>DATE(2012,2,12)</f>
        <v>40951</v>
      </c>
      <c r="B1233" t="s">
        <v>20</v>
      </c>
      <c r="C1233" t="s">
        <v>8</v>
      </c>
      <c r="D1233" s="3">
        <v>1190.1559999999999</v>
      </c>
      <c r="E1233" s="3">
        <v>0</v>
      </c>
      <c r="F1233" t="s">
        <v>45</v>
      </c>
      <c r="G1233" s="3">
        <f t="shared" si="141"/>
        <v>-1190.1559999999999</v>
      </c>
      <c r="H1233" s="3">
        <f t="shared" si="142"/>
        <v>1190.1559999999999</v>
      </c>
      <c r="I1233" s="5" t="str">
        <f t="shared" si="143"/>
        <v>018</v>
      </c>
      <c r="J1233" s="5" t="str">
        <f t="shared" si="144"/>
        <v>2210</v>
      </c>
      <c r="K1233" s="5" t="str">
        <f t="shared" si="145"/>
        <v>000</v>
      </c>
      <c r="L1233" s="5">
        <f t="shared" si="146"/>
        <v>2</v>
      </c>
      <c r="M1233" s="5">
        <f t="shared" si="147"/>
        <v>2012</v>
      </c>
    </row>
    <row r="1234" spans="1:13" ht="17.45" customHeight="1" x14ac:dyDescent="0.25">
      <c r="A1234" s="1">
        <f>DATE(2012,2,12)</f>
        <v>40951</v>
      </c>
      <c r="B1234" t="s">
        <v>21</v>
      </c>
      <c r="C1234" t="s">
        <v>9</v>
      </c>
      <c r="D1234" s="3">
        <v>268.04249999999996</v>
      </c>
      <c r="E1234" s="3">
        <v>0</v>
      </c>
      <c r="F1234" t="s">
        <v>45</v>
      </c>
      <c r="G1234" s="3">
        <f t="shared" si="141"/>
        <v>-268.04249999999996</v>
      </c>
      <c r="H1234" s="3">
        <f t="shared" si="142"/>
        <v>268.04249999999996</v>
      </c>
      <c r="I1234" s="5" t="str">
        <f t="shared" si="143"/>
        <v>018</v>
      </c>
      <c r="J1234" s="5" t="str">
        <f t="shared" si="144"/>
        <v>2220</v>
      </c>
      <c r="K1234" s="5" t="str">
        <f t="shared" si="145"/>
        <v>000</v>
      </c>
      <c r="L1234" s="5">
        <f t="shared" si="146"/>
        <v>2</v>
      </c>
      <c r="M1234" s="5">
        <f t="shared" si="147"/>
        <v>2012</v>
      </c>
    </row>
    <row r="1235" spans="1:13" ht="17.45" customHeight="1" x14ac:dyDescent="0.25">
      <c r="A1235" s="1">
        <f>DATE(2012,2,12)</f>
        <v>40951</v>
      </c>
      <c r="B1235" t="s">
        <v>22</v>
      </c>
      <c r="C1235" t="s">
        <v>10</v>
      </c>
      <c r="D1235" s="3">
        <v>131.46100000000001</v>
      </c>
      <c r="E1235" s="3">
        <v>0</v>
      </c>
      <c r="F1235" t="s">
        <v>45</v>
      </c>
      <c r="G1235" s="3">
        <f t="shared" si="141"/>
        <v>-131.46100000000001</v>
      </c>
      <c r="H1235" s="3">
        <f t="shared" si="142"/>
        <v>131.46100000000001</v>
      </c>
      <c r="I1235" s="5" t="str">
        <f t="shared" si="143"/>
        <v>018</v>
      </c>
      <c r="J1235" s="5" t="str">
        <f t="shared" si="144"/>
        <v>2230</v>
      </c>
      <c r="K1235" s="5" t="str">
        <f t="shared" si="145"/>
        <v>000</v>
      </c>
      <c r="L1235" s="5">
        <f t="shared" si="146"/>
        <v>2</v>
      </c>
      <c r="M1235" s="5">
        <f t="shared" si="147"/>
        <v>2012</v>
      </c>
    </row>
    <row r="1236" spans="1:13" ht="17.45" customHeight="1" x14ac:dyDescent="0.25">
      <c r="A1236" s="1">
        <f>DATE(2012,2,13)</f>
        <v>40952</v>
      </c>
      <c r="B1236" t="s">
        <v>11</v>
      </c>
      <c r="C1236" t="s">
        <v>6</v>
      </c>
      <c r="D1236" s="3">
        <v>2405.3399999999997</v>
      </c>
      <c r="E1236" s="3">
        <v>0</v>
      </c>
      <c r="F1236" t="s">
        <v>45</v>
      </c>
      <c r="G1236" s="3">
        <f t="shared" si="141"/>
        <v>-2405.3399999999997</v>
      </c>
      <c r="H1236" s="3">
        <f t="shared" si="142"/>
        <v>2405.3399999999997</v>
      </c>
      <c r="I1236" s="5" t="str">
        <f t="shared" si="143"/>
        <v>016</v>
      </c>
      <c r="J1236" s="5" t="str">
        <f t="shared" si="144"/>
        <v>2100</v>
      </c>
      <c r="K1236" s="5" t="str">
        <f t="shared" si="145"/>
        <v>000</v>
      </c>
      <c r="L1236" s="5">
        <f t="shared" si="146"/>
        <v>2</v>
      </c>
      <c r="M1236" s="5">
        <f t="shared" si="147"/>
        <v>2012</v>
      </c>
    </row>
    <row r="1237" spans="1:13" ht="17.45" customHeight="1" x14ac:dyDescent="0.25">
      <c r="A1237" s="1">
        <f>DATE(2012,2,13)</f>
        <v>40952</v>
      </c>
      <c r="B1237" t="s">
        <v>12</v>
      </c>
      <c r="C1237" t="s">
        <v>8</v>
      </c>
      <c r="D1237" s="3">
        <v>803.24400000000003</v>
      </c>
      <c r="E1237" s="3">
        <v>0</v>
      </c>
      <c r="F1237" t="s">
        <v>45</v>
      </c>
      <c r="G1237" s="3">
        <f t="shared" si="141"/>
        <v>-803.24400000000003</v>
      </c>
      <c r="H1237" s="3">
        <f t="shared" si="142"/>
        <v>803.24400000000003</v>
      </c>
      <c r="I1237" s="5" t="str">
        <f t="shared" si="143"/>
        <v>016</v>
      </c>
      <c r="J1237" s="5" t="str">
        <f t="shared" si="144"/>
        <v>2210</v>
      </c>
      <c r="K1237" s="5" t="str">
        <f t="shared" si="145"/>
        <v>000</v>
      </c>
      <c r="L1237" s="5">
        <f t="shared" si="146"/>
        <v>2</v>
      </c>
      <c r="M1237" s="5">
        <f t="shared" si="147"/>
        <v>2012</v>
      </c>
    </row>
    <row r="1238" spans="1:13" ht="17.45" customHeight="1" x14ac:dyDescent="0.25">
      <c r="A1238" s="1">
        <f>DATE(2012,2,13)</f>
        <v>40952</v>
      </c>
      <c r="B1238" t="s">
        <v>13</v>
      </c>
      <c r="C1238" t="s">
        <v>9</v>
      </c>
      <c r="D1238" s="3">
        <v>76.786500000000004</v>
      </c>
      <c r="E1238" s="3">
        <v>0</v>
      </c>
      <c r="F1238" t="s">
        <v>45</v>
      </c>
      <c r="G1238" s="3">
        <f t="shared" si="141"/>
        <v>-76.786500000000004</v>
      </c>
      <c r="H1238" s="3">
        <f t="shared" si="142"/>
        <v>76.786500000000004</v>
      </c>
      <c r="I1238" s="5" t="str">
        <f t="shared" si="143"/>
        <v>016</v>
      </c>
      <c r="J1238" s="5" t="str">
        <f t="shared" si="144"/>
        <v>2220</v>
      </c>
      <c r="K1238" s="5" t="str">
        <f t="shared" si="145"/>
        <v>000</v>
      </c>
      <c r="L1238" s="5">
        <f t="shared" si="146"/>
        <v>2</v>
      </c>
      <c r="M1238" s="5">
        <f t="shared" si="147"/>
        <v>2012</v>
      </c>
    </row>
    <row r="1239" spans="1:13" ht="17.45" customHeight="1" x14ac:dyDescent="0.25">
      <c r="A1239" s="1">
        <f>DATE(2012,2,13)</f>
        <v>40952</v>
      </c>
      <c r="B1239" t="s">
        <v>14</v>
      </c>
      <c r="C1239" t="s">
        <v>10</v>
      </c>
      <c r="D1239" s="3">
        <v>101.426</v>
      </c>
      <c r="E1239" s="3">
        <v>0</v>
      </c>
      <c r="F1239" t="s">
        <v>45</v>
      </c>
      <c r="G1239" s="3">
        <f t="shared" si="141"/>
        <v>-101.426</v>
      </c>
      <c r="H1239" s="3">
        <f t="shared" si="142"/>
        <v>101.426</v>
      </c>
      <c r="I1239" s="5" t="str">
        <f t="shared" si="143"/>
        <v>016</v>
      </c>
      <c r="J1239" s="5" t="str">
        <f t="shared" si="144"/>
        <v>2230</v>
      </c>
      <c r="K1239" s="5" t="str">
        <f t="shared" si="145"/>
        <v>000</v>
      </c>
      <c r="L1239" s="5">
        <f t="shared" si="146"/>
        <v>2</v>
      </c>
      <c r="M1239" s="5">
        <f t="shared" si="147"/>
        <v>2012</v>
      </c>
    </row>
    <row r="1240" spans="1:13" ht="17.45" customHeight="1" x14ac:dyDescent="0.25">
      <c r="A1240" s="1">
        <f t="shared" ref="A1240:A1243" si="148">DATE(2012,2,14)</f>
        <v>40953</v>
      </c>
      <c r="B1240" t="s">
        <v>11</v>
      </c>
      <c r="C1240" t="s">
        <v>6</v>
      </c>
      <c r="D1240" s="3">
        <v>5028.3272000000006</v>
      </c>
      <c r="E1240" s="3">
        <v>0</v>
      </c>
      <c r="F1240" t="s">
        <v>45</v>
      </c>
      <c r="G1240" s="3">
        <f t="shared" si="141"/>
        <v>-5028.3272000000006</v>
      </c>
      <c r="H1240" s="3">
        <f t="shared" si="142"/>
        <v>5028.3272000000006</v>
      </c>
      <c r="I1240" s="5" t="str">
        <f t="shared" si="143"/>
        <v>016</v>
      </c>
      <c r="J1240" s="5" t="str">
        <f t="shared" si="144"/>
        <v>2100</v>
      </c>
      <c r="K1240" s="5" t="str">
        <f t="shared" si="145"/>
        <v>000</v>
      </c>
      <c r="L1240" s="5">
        <f t="shared" si="146"/>
        <v>2</v>
      </c>
      <c r="M1240" s="5">
        <f t="shared" si="147"/>
        <v>2012</v>
      </c>
    </row>
    <row r="1241" spans="1:13" ht="17.45" customHeight="1" x14ac:dyDescent="0.25">
      <c r="A1241" s="1">
        <f t="shared" si="148"/>
        <v>40953</v>
      </c>
      <c r="B1241" t="s">
        <v>12</v>
      </c>
      <c r="C1241" t="s">
        <v>8</v>
      </c>
      <c r="D1241" s="3">
        <v>1101.924</v>
      </c>
      <c r="E1241" s="3">
        <v>0</v>
      </c>
      <c r="F1241" t="s">
        <v>45</v>
      </c>
      <c r="G1241" s="3">
        <f t="shared" si="141"/>
        <v>-1101.924</v>
      </c>
      <c r="H1241" s="3">
        <f t="shared" si="142"/>
        <v>1101.924</v>
      </c>
      <c r="I1241" s="5" t="str">
        <f t="shared" si="143"/>
        <v>016</v>
      </c>
      <c r="J1241" s="5" t="str">
        <f t="shared" si="144"/>
        <v>2210</v>
      </c>
      <c r="K1241" s="5" t="str">
        <f t="shared" si="145"/>
        <v>000</v>
      </c>
      <c r="L1241" s="5">
        <f t="shared" si="146"/>
        <v>2</v>
      </c>
      <c r="M1241" s="5">
        <f t="shared" si="147"/>
        <v>2012</v>
      </c>
    </row>
    <row r="1242" spans="1:13" ht="17.45" customHeight="1" x14ac:dyDescent="0.25">
      <c r="A1242" s="1">
        <f t="shared" si="148"/>
        <v>40953</v>
      </c>
      <c r="B1242" t="s">
        <v>13</v>
      </c>
      <c r="C1242" t="s">
        <v>9</v>
      </c>
      <c r="D1242" s="3">
        <v>147.23099999999999</v>
      </c>
      <c r="E1242" s="3">
        <v>0</v>
      </c>
      <c r="F1242" t="s">
        <v>45</v>
      </c>
      <c r="G1242" s="3">
        <f t="shared" si="141"/>
        <v>-147.23099999999999</v>
      </c>
      <c r="H1242" s="3">
        <f t="shared" si="142"/>
        <v>147.23099999999999</v>
      </c>
      <c r="I1242" s="5" t="str">
        <f t="shared" si="143"/>
        <v>016</v>
      </c>
      <c r="J1242" s="5" t="str">
        <f t="shared" si="144"/>
        <v>2220</v>
      </c>
      <c r="K1242" s="5" t="str">
        <f t="shared" si="145"/>
        <v>000</v>
      </c>
      <c r="L1242" s="5">
        <f t="shared" si="146"/>
        <v>2</v>
      </c>
      <c r="M1242" s="5">
        <f t="shared" si="147"/>
        <v>2012</v>
      </c>
    </row>
    <row r="1243" spans="1:13" ht="17.45" customHeight="1" x14ac:dyDescent="0.25">
      <c r="A1243" s="1">
        <f t="shared" si="148"/>
        <v>40953</v>
      </c>
      <c r="B1243" t="s">
        <v>14</v>
      </c>
      <c r="C1243" t="s">
        <v>10</v>
      </c>
      <c r="D1243" s="3">
        <v>304.74</v>
      </c>
      <c r="E1243" s="3">
        <v>0</v>
      </c>
      <c r="F1243" t="s">
        <v>45</v>
      </c>
      <c r="G1243" s="3">
        <f t="shared" si="141"/>
        <v>-304.74</v>
      </c>
      <c r="H1243" s="3">
        <f t="shared" si="142"/>
        <v>304.74</v>
      </c>
      <c r="I1243" s="5" t="str">
        <f t="shared" si="143"/>
        <v>016</v>
      </c>
      <c r="J1243" s="5" t="str">
        <f t="shared" si="144"/>
        <v>2230</v>
      </c>
      <c r="K1243" s="5" t="str">
        <f t="shared" si="145"/>
        <v>000</v>
      </c>
      <c r="L1243" s="5">
        <f t="shared" si="146"/>
        <v>2</v>
      </c>
      <c r="M1243" s="5">
        <f t="shared" si="147"/>
        <v>2012</v>
      </c>
    </row>
    <row r="1244" spans="1:13" ht="17.45" customHeight="1" x14ac:dyDescent="0.25">
      <c r="A1244" s="1">
        <f>DATE(2012,2,15)</f>
        <v>40954</v>
      </c>
      <c r="B1244" t="s">
        <v>11</v>
      </c>
      <c r="C1244" t="s">
        <v>6</v>
      </c>
      <c r="D1244" s="3">
        <v>2168.3145</v>
      </c>
      <c r="E1244" s="3">
        <v>0</v>
      </c>
      <c r="F1244" t="s">
        <v>45</v>
      </c>
      <c r="G1244" s="3">
        <f t="shared" si="141"/>
        <v>-2168.3145</v>
      </c>
      <c r="H1244" s="3">
        <f t="shared" si="142"/>
        <v>2168.3145</v>
      </c>
      <c r="I1244" s="5" t="str">
        <f t="shared" si="143"/>
        <v>016</v>
      </c>
      <c r="J1244" s="5" t="str">
        <f t="shared" si="144"/>
        <v>2100</v>
      </c>
      <c r="K1244" s="5" t="str">
        <f t="shared" si="145"/>
        <v>000</v>
      </c>
      <c r="L1244" s="5">
        <f t="shared" si="146"/>
        <v>2</v>
      </c>
      <c r="M1244" s="5">
        <f t="shared" si="147"/>
        <v>2012</v>
      </c>
    </row>
    <row r="1245" spans="1:13" ht="17.45" customHeight="1" x14ac:dyDescent="0.25">
      <c r="A1245" s="1">
        <f>DATE(2012,2,15)</f>
        <v>40954</v>
      </c>
      <c r="B1245" t="s">
        <v>12</v>
      </c>
      <c r="C1245" t="s">
        <v>8</v>
      </c>
      <c r="D1245" s="3">
        <v>570.41399999999999</v>
      </c>
      <c r="E1245" s="3">
        <v>0</v>
      </c>
      <c r="F1245" t="s">
        <v>45</v>
      </c>
      <c r="G1245" s="3">
        <f t="shared" si="141"/>
        <v>-570.41399999999999</v>
      </c>
      <c r="H1245" s="3">
        <f t="shared" si="142"/>
        <v>570.41399999999999</v>
      </c>
      <c r="I1245" s="5" t="str">
        <f t="shared" si="143"/>
        <v>016</v>
      </c>
      <c r="J1245" s="5" t="str">
        <f t="shared" si="144"/>
        <v>2210</v>
      </c>
      <c r="K1245" s="5" t="str">
        <f t="shared" si="145"/>
        <v>000</v>
      </c>
      <c r="L1245" s="5">
        <f t="shared" si="146"/>
        <v>2</v>
      </c>
      <c r="M1245" s="5">
        <f t="shared" si="147"/>
        <v>2012</v>
      </c>
    </row>
    <row r="1246" spans="1:13" ht="17.45" customHeight="1" x14ac:dyDescent="0.25">
      <c r="A1246" s="1">
        <f>DATE(2012,2,15)</f>
        <v>40954</v>
      </c>
      <c r="B1246" t="s">
        <v>13</v>
      </c>
      <c r="C1246" t="s">
        <v>9</v>
      </c>
      <c r="D1246" s="3">
        <v>150.5205</v>
      </c>
      <c r="E1246" s="3">
        <v>0</v>
      </c>
      <c r="F1246" t="s">
        <v>45</v>
      </c>
      <c r="G1246" s="3">
        <f t="shared" si="141"/>
        <v>-150.5205</v>
      </c>
      <c r="H1246" s="3">
        <f t="shared" si="142"/>
        <v>150.5205</v>
      </c>
      <c r="I1246" s="5" t="str">
        <f t="shared" si="143"/>
        <v>016</v>
      </c>
      <c r="J1246" s="5" t="str">
        <f t="shared" si="144"/>
        <v>2220</v>
      </c>
      <c r="K1246" s="5" t="str">
        <f t="shared" si="145"/>
        <v>000</v>
      </c>
      <c r="L1246" s="5">
        <f t="shared" si="146"/>
        <v>2</v>
      </c>
      <c r="M1246" s="5">
        <f t="shared" si="147"/>
        <v>2012</v>
      </c>
    </row>
    <row r="1247" spans="1:13" ht="17.45" customHeight="1" x14ac:dyDescent="0.25">
      <c r="A1247" s="1">
        <f>DATE(2012,2,15)</f>
        <v>40954</v>
      </c>
      <c r="B1247" t="s">
        <v>14</v>
      </c>
      <c r="C1247" t="s">
        <v>10</v>
      </c>
      <c r="D1247" s="3">
        <v>60.984000000000009</v>
      </c>
      <c r="E1247" s="3">
        <v>0</v>
      </c>
      <c r="F1247" t="s">
        <v>45</v>
      </c>
      <c r="G1247" s="3">
        <f t="shared" si="141"/>
        <v>-60.984000000000009</v>
      </c>
      <c r="H1247" s="3">
        <f t="shared" si="142"/>
        <v>60.984000000000009</v>
      </c>
      <c r="I1247" s="5" t="str">
        <f t="shared" si="143"/>
        <v>016</v>
      </c>
      <c r="J1247" s="5" t="str">
        <f t="shared" si="144"/>
        <v>2230</v>
      </c>
      <c r="K1247" s="5" t="str">
        <f t="shared" si="145"/>
        <v>000</v>
      </c>
      <c r="L1247" s="5">
        <f t="shared" si="146"/>
        <v>2</v>
      </c>
      <c r="M1247" s="5">
        <f t="shared" si="147"/>
        <v>2012</v>
      </c>
    </row>
    <row r="1248" spans="1:13" ht="17.45" customHeight="1" x14ac:dyDescent="0.25">
      <c r="A1248" s="1">
        <f>DATE(2012,2,16)</f>
        <v>40955</v>
      </c>
      <c r="B1248" t="s">
        <v>11</v>
      </c>
      <c r="C1248" t="s">
        <v>6</v>
      </c>
      <c r="D1248" s="3">
        <v>4866.6372000000001</v>
      </c>
      <c r="E1248" s="3">
        <v>0</v>
      </c>
      <c r="F1248" t="s">
        <v>45</v>
      </c>
      <c r="G1248" s="3">
        <f t="shared" si="141"/>
        <v>-4866.6372000000001</v>
      </c>
      <c r="H1248" s="3">
        <f t="shared" si="142"/>
        <v>4866.6372000000001</v>
      </c>
      <c r="I1248" s="5" t="str">
        <f t="shared" si="143"/>
        <v>016</v>
      </c>
      <c r="J1248" s="5" t="str">
        <f t="shared" si="144"/>
        <v>2100</v>
      </c>
      <c r="K1248" s="5" t="str">
        <f t="shared" si="145"/>
        <v>000</v>
      </c>
      <c r="L1248" s="5">
        <f t="shared" si="146"/>
        <v>2</v>
      </c>
      <c r="M1248" s="5">
        <f t="shared" si="147"/>
        <v>2012</v>
      </c>
    </row>
    <row r="1249" spans="1:13" ht="17.45" customHeight="1" x14ac:dyDescent="0.25">
      <c r="A1249" s="1">
        <f>DATE(2012,2,16)</f>
        <v>40955</v>
      </c>
      <c r="B1249" t="s">
        <v>12</v>
      </c>
      <c r="C1249" t="s">
        <v>8</v>
      </c>
      <c r="D1249" s="3">
        <v>1310.2649999999999</v>
      </c>
      <c r="E1249" s="3">
        <v>0</v>
      </c>
      <c r="F1249" t="s">
        <v>45</v>
      </c>
      <c r="G1249" s="3">
        <f t="shared" si="141"/>
        <v>-1310.2649999999999</v>
      </c>
      <c r="H1249" s="3">
        <f t="shared" si="142"/>
        <v>1310.2649999999999</v>
      </c>
      <c r="I1249" s="5" t="str">
        <f t="shared" si="143"/>
        <v>016</v>
      </c>
      <c r="J1249" s="5" t="str">
        <f t="shared" si="144"/>
        <v>2210</v>
      </c>
      <c r="K1249" s="5" t="str">
        <f t="shared" si="145"/>
        <v>000</v>
      </c>
      <c r="L1249" s="5">
        <f t="shared" si="146"/>
        <v>2</v>
      </c>
      <c r="M1249" s="5">
        <f t="shared" si="147"/>
        <v>2012</v>
      </c>
    </row>
    <row r="1250" spans="1:13" ht="17.45" customHeight="1" x14ac:dyDescent="0.25">
      <c r="A1250" s="1">
        <f>DATE(2012,2,16)</f>
        <v>40955</v>
      </c>
      <c r="B1250" t="s">
        <v>13</v>
      </c>
      <c r="C1250" t="s">
        <v>9</v>
      </c>
      <c r="D1250" s="3">
        <v>319.99799999999999</v>
      </c>
      <c r="E1250" s="3">
        <v>0</v>
      </c>
      <c r="F1250" t="s">
        <v>45</v>
      </c>
      <c r="G1250" s="3">
        <f t="shared" si="141"/>
        <v>-319.99799999999999</v>
      </c>
      <c r="H1250" s="3">
        <f t="shared" si="142"/>
        <v>319.99799999999999</v>
      </c>
      <c r="I1250" s="5" t="str">
        <f t="shared" si="143"/>
        <v>016</v>
      </c>
      <c r="J1250" s="5" t="str">
        <f t="shared" si="144"/>
        <v>2220</v>
      </c>
      <c r="K1250" s="5" t="str">
        <f t="shared" si="145"/>
        <v>000</v>
      </c>
      <c r="L1250" s="5">
        <f t="shared" si="146"/>
        <v>2</v>
      </c>
      <c r="M1250" s="5">
        <f t="shared" si="147"/>
        <v>2012</v>
      </c>
    </row>
    <row r="1251" spans="1:13" ht="17.45" customHeight="1" x14ac:dyDescent="0.25">
      <c r="A1251" s="1">
        <f>DATE(2012,2,16)</f>
        <v>40955</v>
      </c>
      <c r="B1251" t="s">
        <v>14</v>
      </c>
      <c r="C1251" t="s">
        <v>10</v>
      </c>
      <c r="D1251" s="3">
        <v>123.895</v>
      </c>
      <c r="E1251" s="3">
        <v>0</v>
      </c>
      <c r="F1251" t="s">
        <v>45</v>
      </c>
      <c r="G1251" s="3">
        <f t="shared" si="141"/>
        <v>-123.895</v>
      </c>
      <c r="H1251" s="3">
        <f t="shared" si="142"/>
        <v>123.895</v>
      </c>
      <c r="I1251" s="5" t="str">
        <f t="shared" si="143"/>
        <v>016</v>
      </c>
      <c r="J1251" s="5" t="str">
        <f t="shared" si="144"/>
        <v>2230</v>
      </c>
      <c r="K1251" s="5" t="str">
        <f t="shared" si="145"/>
        <v>000</v>
      </c>
      <c r="L1251" s="5">
        <f t="shared" si="146"/>
        <v>2</v>
      </c>
      <c r="M1251" s="5">
        <f t="shared" si="147"/>
        <v>2012</v>
      </c>
    </row>
    <row r="1252" spans="1:13" ht="17.45" customHeight="1" x14ac:dyDescent="0.25">
      <c r="A1252" s="1">
        <f>DATE(2012,2,17)</f>
        <v>40956</v>
      </c>
      <c r="B1252" t="s">
        <v>11</v>
      </c>
      <c r="C1252" t="s">
        <v>6</v>
      </c>
      <c r="D1252" s="3">
        <v>8809.9600000000009</v>
      </c>
      <c r="E1252" s="3">
        <v>0</v>
      </c>
      <c r="F1252" t="s">
        <v>45</v>
      </c>
      <c r="G1252" s="3">
        <f t="shared" si="141"/>
        <v>-8809.9600000000009</v>
      </c>
      <c r="H1252" s="3">
        <f t="shared" si="142"/>
        <v>8809.9600000000009</v>
      </c>
      <c r="I1252" s="5" t="str">
        <f t="shared" si="143"/>
        <v>016</v>
      </c>
      <c r="J1252" s="5" t="str">
        <f t="shared" si="144"/>
        <v>2100</v>
      </c>
      <c r="K1252" s="5" t="str">
        <f t="shared" si="145"/>
        <v>000</v>
      </c>
      <c r="L1252" s="5">
        <f t="shared" si="146"/>
        <v>2</v>
      </c>
      <c r="M1252" s="5">
        <f t="shared" si="147"/>
        <v>2012</v>
      </c>
    </row>
    <row r="1253" spans="1:13" ht="17.45" customHeight="1" x14ac:dyDescent="0.25">
      <c r="A1253" s="1">
        <f>DATE(2012,2,17)</f>
        <v>40956</v>
      </c>
      <c r="B1253" t="s">
        <v>12</v>
      </c>
      <c r="C1253" t="s">
        <v>8</v>
      </c>
      <c r="D1253" s="3">
        <v>3097.634</v>
      </c>
      <c r="E1253" s="3">
        <v>0</v>
      </c>
      <c r="F1253" t="s">
        <v>45</v>
      </c>
      <c r="G1253" s="3">
        <f t="shared" si="141"/>
        <v>-3097.634</v>
      </c>
      <c r="H1253" s="3">
        <f t="shared" si="142"/>
        <v>3097.634</v>
      </c>
      <c r="I1253" s="5" t="str">
        <f t="shared" si="143"/>
        <v>016</v>
      </c>
      <c r="J1253" s="5" t="str">
        <f t="shared" si="144"/>
        <v>2210</v>
      </c>
      <c r="K1253" s="5" t="str">
        <f t="shared" si="145"/>
        <v>000</v>
      </c>
      <c r="L1253" s="5">
        <f t="shared" si="146"/>
        <v>2</v>
      </c>
      <c r="M1253" s="5">
        <f t="shared" si="147"/>
        <v>2012</v>
      </c>
    </row>
    <row r="1254" spans="1:13" ht="17.45" customHeight="1" x14ac:dyDescent="0.25">
      <c r="A1254" s="1">
        <f>DATE(2012,2,17)</f>
        <v>40956</v>
      </c>
      <c r="B1254" t="s">
        <v>13</v>
      </c>
      <c r="C1254" t="s">
        <v>9</v>
      </c>
      <c r="D1254" s="3">
        <v>421.137</v>
      </c>
      <c r="E1254" s="3">
        <v>0</v>
      </c>
      <c r="F1254" t="s">
        <v>45</v>
      </c>
      <c r="G1254" s="3">
        <f t="shared" si="141"/>
        <v>-421.137</v>
      </c>
      <c r="H1254" s="3">
        <f t="shared" si="142"/>
        <v>421.137</v>
      </c>
      <c r="I1254" s="5" t="str">
        <f t="shared" si="143"/>
        <v>016</v>
      </c>
      <c r="J1254" s="5" t="str">
        <f t="shared" si="144"/>
        <v>2220</v>
      </c>
      <c r="K1254" s="5" t="str">
        <f t="shared" si="145"/>
        <v>000</v>
      </c>
      <c r="L1254" s="5">
        <f t="shared" si="146"/>
        <v>2</v>
      </c>
      <c r="M1254" s="5">
        <f t="shared" si="147"/>
        <v>2012</v>
      </c>
    </row>
    <row r="1255" spans="1:13" ht="17.45" customHeight="1" x14ac:dyDescent="0.25">
      <c r="A1255" s="1">
        <f>DATE(2012,2,17)</f>
        <v>40956</v>
      </c>
      <c r="B1255" t="s">
        <v>14</v>
      </c>
      <c r="C1255" t="s">
        <v>10</v>
      </c>
      <c r="D1255" s="3">
        <v>178.976</v>
      </c>
      <c r="E1255" s="3">
        <v>0</v>
      </c>
      <c r="F1255" t="s">
        <v>45</v>
      </c>
      <c r="G1255" s="3">
        <f t="shared" si="141"/>
        <v>-178.976</v>
      </c>
      <c r="H1255" s="3">
        <f t="shared" si="142"/>
        <v>178.976</v>
      </c>
      <c r="I1255" s="5" t="str">
        <f t="shared" si="143"/>
        <v>016</v>
      </c>
      <c r="J1255" s="5" t="str">
        <f t="shared" si="144"/>
        <v>2230</v>
      </c>
      <c r="K1255" s="5" t="str">
        <f t="shared" si="145"/>
        <v>000</v>
      </c>
      <c r="L1255" s="5">
        <f t="shared" si="146"/>
        <v>2</v>
      </c>
      <c r="M1255" s="5">
        <f t="shared" si="147"/>
        <v>2012</v>
      </c>
    </row>
    <row r="1256" spans="1:13" ht="17.45" customHeight="1" x14ac:dyDescent="0.25">
      <c r="A1256" s="1">
        <f>DATE(2012,2,18)</f>
        <v>40957</v>
      </c>
      <c r="B1256" t="s">
        <v>11</v>
      </c>
      <c r="C1256" t="s">
        <v>6</v>
      </c>
      <c r="D1256" s="3">
        <v>9127.5589999999993</v>
      </c>
      <c r="E1256" s="3">
        <v>0</v>
      </c>
      <c r="F1256" t="s">
        <v>45</v>
      </c>
      <c r="G1256" s="3">
        <f t="shared" si="141"/>
        <v>-9127.5589999999993</v>
      </c>
      <c r="H1256" s="3">
        <f t="shared" si="142"/>
        <v>9127.5589999999993</v>
      </c>
      <c r="I1256" s="5" t="str">
        <f t="shared" si="143"/>
        <v>016</v>
      </c>
      <c r="J1256" s="5" t="str">
        <f t="shared" si="144"/>
        <v>2100</v>
      </c>
      <c r="K1256" s="5" t="str">
        <f t="shared" si="145"/>
        <v>000</v>
      </c>
      <c r="L1256" s="5">
        <f t="shared" si="146"/>
        <v>2</v>
      </c>
      <c r="M1256" s="5">
        <f t="shared" si="147"/>
        <v>2012</v>
      </c>
    </row>
    <row r="1257" spans="1:13" ht="17.45" customHeight="1" x14ac:dyDescent="0.25">
      <c r="A1257" s="1">
        <f>DATE(2012,2,18)</f>
        <v>40957</v>
      </c>
      <c r="B1257" t="s">
        <v>12</v>
      </c>
      <c r="C1257" t="s">
        <v>8</v>
      </c>
      <c r="D1257" s="3">
        <v>3526.5205000000001</v>
      </c>
      <c r="E1257" s="3">
        <v>0</v>
      </c>
      <c r="F1257" t="s">
        <v>45</v>
      </c>
      <c r="G1257" s="3">
        <f t="shared" si="141"/>
        <v>-3526.5205000000001</v>
      </c>
      <c r="H1257" s="3">
        <f t="shared" si="142"/>
        <v>3526.5205000000001</v>
      </c>
      <c r="I1257" s="5" t="str">
        <f t="shared" si="143"/>
        <v>016</v>
      </c>
      <c r="J1257" s="5" t="str">
        <f t="shared" si="144"/>
        <v>2210</v>
      </c>
      <c r="K1257" s="5" t="str">
        <f t="shared" si="145"/>
        <v>000</v>
      </c>
      <c r="L1257" s="5">
        <f t="shared" si="146"/>
        <v>2</v>
      </c>
      <c r="M1257" s="5">
        <f t="shared" si="147"/>
        <v>2012</v>
      </c>
    </row>
    <row r="1258" spans="1:13" ht="17.45" customHeight="1" x14ac:dyDescent="0.25">
      <c r="A1258" s="1">
        <f>DATE(2012,2,18)</f>
        <v>40957</v>
      </c>
      <c r="B1258" t="s">
        <v>13</v>
      </c>
      <c r="C1258" t="s">
        <v>9</v>
      </c>
      <c r="D1258" s="3">
        <v>680.07599999999991</v>
      </c>
      <c r="E1258" s="3">
        <v>0</v>
      </c>
      <c r="F1258" t="s">
        <v>45</v>
      </c>
      <c r="G1258" s="3">
        <f t="shared" si="141"/>
        <v>-680.07599999999991</v>
      </c>
      <c r="H1258" s="3">
        <f t="shared" si="142"/>
        <v>680.07599999999991</v>
      </c>
      <c r="I1258" s="5" t="str">
        <f t="shared" si="143"/>
        <v>016</v>
      </c>
      <c r="J1258" s="5" t="str">
        <f t="shared" si="144"/>
        <v>2220</v>
      </c>
      <c r="K1258" s="5" t="str">
        <f t="shared" si="145"/>
        <v>000</v>
      </c>
      <c r="L1258" s="5">
        <f t="shared" si="146"/>
        <v>2</v>
      </c>
      <c r="M1258" s="5">
        <f t="shared" si="147"/>
        <v>2012</v>
      </c>
    </row>
    <row r="1259" spans="1:13" ht="17.45" customHeight="1" x14ac:dyDescent="0.25">
      <c r="A1259" s="1">
        <f>DATE(2012,2,18)</f>
        <v>40957</v>
      </c>
      <c r="B1259" t="s">
        <v>14</v>
      </c>
      <c r="C1259" t="s">
        <v>10</v>
      </c>
      <c r="D1259" s="3">
        <v>410.71050000000002</v>
      </c>
      <c r="E1259" s="3">
        <v>0</v>
      </c>
      <c r="F1259" t="s">
        <v>45</v>
      </c>
      <c r="G1259" s="3">
        <f t="shared" si="141"/>
        <v>-410.71050000000002</v>
      </c>
      <c r="H1259" s="3">
        <f t="shared" si="142"/>
        <v>410.71050000000002</v>
      </c>
      <c r="I1259" s="5" t="str">
        <f t="shared" si="143"/>
        <v>016</v>
      </c>
      <c r="J1259" s="5" t="str">
        <f t="shared" si="144"/>
        <v>2230</v>
      </c>
      <c r="K1259" s="5" t="str">
        <f t="shared" si="145"/>
        <v>000</v>
      </c>
      <c r="L1259" s="5">
        <f t="shared" si="146"/>
        <v>2</v>
      </c>
      <c r="M1259" s="5">
        <f t="shared" si="147"/>
        <v>2012</v>
      </c>
    </row>
    <row r="1260" spans="1:13" ht="17.45" customHeight="1" x14ac:dyDescent="0.25">
      <c r="A1260" s="1">
        <f>DATE(2012,2,19)</f>
        <v>40958</v>
      </c>
      <c r="B1260" t="s">
        <v>11</v>
      </c>
      <c r="C1260" t="s">
        <v>6</v>
      </c>
      <c r="D1260" s="3">
        <v>5126.0739999999996</v>
      </c>
      <c r="E1260" s="3">
        <v>0</v>
      </c>
      <c r="F1260" t="s">
        <v>45</v>
      </c>
      <c r="G1260" s="3">
        <f t="shared" si="141"/>
        <v>-5126.0739999999996</v>
      </c>
      <c r="H1260" s="3">
        <f t="shared" si="142"/>
        <v>5126.0739999999996</v>
      </c>
      <c r="I1260" s="5" t="str">
        <f t="shared" si="143"/>
        <v>016</v>
      </c>
      <c r="J1260" s="5" t="str">
        <f t="shared" si="144"/>
        <v>2100</v>
      </c>
      <c r="K1260" s="5" t="str">
        <f t="shared" si="145"/>
        <v>000</v>
      </c>
      <c r="L1260" s="5">
        <f t="shared" si="146"/>
        <v>2</v>
      </c>
      <c r="M1260" s="5">
        <f t="shared" si="147"/>
        <v>2012</v>
      </c>
    </row>
    <row r="1261" spans="1:13" ht="17.45" customHeight="1" x14ac:dyDescent="0.25">
      <c r="A1261" s="1">
        <f>DATE(2012,2,19)</f>
        <v>40958</v>
      </c>
      <c r="B1261" t="s">
        <v>12</v>
      </c>
      <c r="C1261" t="s">
        <v>8</v>
      </c>
      <c r="D1261" s="3">
        <v>1433.76</v>
      </c>
      <c r="E1261" s="3">
        <v>0</v>
      </c>
      <c r="F1261" t="s">
        <v>45</v>
      </c>
      <c r="G1261" s="3">
        <f t="shared" si="141"/>
        <v>-1433.76</v>
      </c>
      <c r="H1261" s="3">
        <f t="shared" si="142"/>
        <v>1433.76</v>
      </c>
      <c r="I1261" s="5" t="str">
        <f t="shared" si="143"/>
        <v>016</v>
      </c>
      <c r="J1261" s="5" t="str">
        <f t="shared" si="144"/>
        <v>2210</v>
      </c>
      <c r="K1261" s="5" t="str">
        <f t="shared" si="145"/>
        <v>000</v>
      </c>
      <c r="L1261" s="5">
        <f t="shared" si="146"/>
        <v>2</v>
      </c>
      <c r="M1261" s="5">
        <f t="shared" si="147"/>
        <v>2012</v>
      </c>
    </row>
    <row r="1262" spans="1:13" ht="17.45" customHeight="1" x14ac:dyDescent="0.25">
      <c r="A1262" s="1">
        <f>DATE(2012,2,19)</f>
        <v>40958</v>
      </c>
      <c r="B1262" t="s">
        <v>13</v>
      </c>
      <c r="C1262" t="s">
        <v>9</v>
      </c>
      <c r="D1262" s="3">
        <v>349.524</v>
      </c>
      <c r="E1262" s="3">
        <v>0</v>
      </c>
      <c r="F1262" t="s">
        <v>45</v>
      </c>
      <c r="G1262" s="3">
        <f t="shared" si="141"/>
        <v>-349.524</v>
      </c>
      <c r="H1262" s="3">
        <f t="shared" si="142"/>
        <v>349.524</v>
      </c>
      <c r="I1262" s="5" t="str">
        <f t="shared" si="143"/>
        <v>016</v>
      </c>
      <c r="J1262" s="5" t="str">
        <f t="shared" si="144"/>
        <v>2220</v>
      </c>
      <c r="K1262" s="5" t="str">
        <f t="shared" si="145"/>
        <v>000</v>
      </c>
      <c r="L1262" s="5">
        <f t="shared" si="146"/>
        <v>2</v>
      </c>
      <c r="M1262" s="5">
        <f t="shared" si="147"/>
        <v>2012</v>
      </c>
    </row>
    <row r="1263" spans="1:13" ht="17.45" customHeight="1" x14ac:dyDescent="0.25">
      <c r="A1263" s="1">
        <f>DATE(2012,2,19)</f>
        <v>40958</v>
      </c>
      <c r="B1263" t="s">
        <v>14</v>
      </c>
      <c r="C1263" t="s">
        <v>10</v>
      </c>
      <c r="D1263" s="3">
        <v>150.78700000000001</v>
      </c>
      <c r="E1263" s="3">
        <v>0</v>
      </c>
      <c r="F1263" t="s">
        <v>45</v>
      </c>
      <c r="G1263" s="3">
        <f t="shared" si="141"/>
        <v>-150.78700000000001</v>
      </c>
      <c r="H1263" s="3">
        <f t="shared" si="142"/>
        <v>150.78700000000001</v>
      </c>
      <c r="I1263" s="5" t="str">
        <f t="shared" si="143"/>
        <v>016</v>
      </c>
      <c r="J1263" s="5" t="str">
        <f t="shared" si="144"/>
        <v>2230</v>
      </c>
      <c r="K1263" s="5" t="str">
        <f t="shared" si="145"/>
        <v>000</v>
      </c>
      <c r="L1263" s="5">
        <f t="shared" si="146"/>
        <v>2</v>
      </c>
      <c r="M1263" s="5">
        <f t="shared" si="147"/>
        <v>2012</v>
      </c>
    </row>
    <row r="1264" spans="1:13" ht="17.45" customHeight="1" x14ac:dyDescent="0.25">
      <c r="A1264" s="1">
        <f>DATE(2012,2,13)</f>
        <v>40952</v>
      </c>
      <c r="B1264" t="s">
        <v>15</v>
      </c>
      <c r="C1264" t="s">
        <v>6</v>
      </c>
      <c r="D1264" s="3">
        <v>4329.7344999999996</v>
      </c>
      <c r="E1264" s="3">
        <v>0</v>
      </c>
      <c r="F1264" t="s">
        <v>45</v>
      </c>
      <c r="G1264" s="3">
        <f t="shared" si="141"/>
        <v>-4329.7344999999996</v>
      </c>
      <c r="H1264" s="3">
        <f t="shared" si="142"/>
        <v>4329.7344999999996</v>
      </c>
      <c r="I1264" s="5" t="str">
        <f t="shared" si="143"/>
        <v>017</v>
      </c>
      <c r="J1264" s="5" t="str">
        <f t="shared" si="144"/>
        <v>2100</v>
      </c>
      <c r="K1264" s="5" t="str">
        <f t="shared" si="145"/>
        <v>000</v>
      </c>
      <c r="L1264" s="5">
        <f t="shared" si="146"/>
        <v>2</v>
      </c>
      <c r="M1264" s="5">
        <f t="shared" si="147"/>
        <v>2012</v>
      </c>
    </row>
    <row r="1265" spans="1:13" ht="17.45" customHeight="1" x14ac:dyDescent="0.25">
      <c r="A1265" s="1">
        <f>DATE(2012,2,13)</f>
        <v>40952</v>
      </c>
      <c r="B1265" t="s">
        <v>16</v>
      </c>
      <c r="C1265" t="s">
        <v>8</v>
      </c>
      <c r="D1265" s="3">
        <v>393.33250000000004</v>
      </c>
      <c r="E1265" s="3">
        <v>0</v>
      </c>
      <c r="F1265" t="s">
        <v>45</v>
      </c>
      <c r="G1265" s="3">
        <f t="shared" si="141"/>
        <v>-393.33250000000004</v>
      </c>
      <c r="H1265" s="3">
        <f t="shared" si="142"/>
        <v>393.33250000000004</v>
      </c>
      <c r="I1265" s="5" t="str">
        <f t="shared" si="143"/>
        <v>017</v>
      </c>
      <c r="J1265" s="5" t="str">
        <f t="shared" si="144"/>
        <v>2210</v>
      </c>
      <c r="K1265" s="5" t="str">
        <f t="shared" si="145"/>
        <v>000</v>
      </c>
      <c r="L1265" s="5">
        <f t="shared" si="146"/>
        <v>2</v>
      </c>
      <c r="M1265" s="5">
        <f t="shared" si="147"/>
        <v>2012</v>
      </c>
    </row>
    <row r="1266" spans="1:13" ht="17.45" customHeight="1" x14ac:dyDescent="0.25">
      <c r="A1266" s="1">
        <f>DATE(2012,2,13)</f>
        <v>40952</v>
      </c>
      <c r="B1266" t="s">
        <v>17</v>
      </c>
      <c r="C1266" t="s">
        <v>9</v>
      </c>
      <c r="D1266" s="3">
        <v>239.76500000000001</v>
      </c>
      <c r="E1266" s="3">
        <v>0</v>
      </c>
      <c r="F1266" t="s">
        <v>45</v>
      </c>
      <c r="G1266" s="3">
        <f t="shared" si="141"/>
        <v>-239.76500000000001</v>
      </c>
      <c r="H1266" s="3">
        <f t="shared" si="142"/>
        <v>239.76500000000001</v>
      </c>
      <c r="I1266" s="5" t="str">
        <f t="shared" si="143"/>
        <v>017</v>
      </c>
      <c r="J1266" s="5" t="str">
        <f t="shared" si="144"/>
        <v>2220</v>
      </c>
      <c r="K1266" s="5" t="str">
        <f t="shared" si="145"/>
        <v>000</v>
      </c>
      <c r="L1266" s="5">
        <f t="shared" si="146"/>
        <v>2</v>
      </c>
      <c r="M1266" s="5">
        <f t="shared" si="147"/>
        <v>2012</v>
      </c>
    </row>
    <row r="1267" spans="1:13" ht="17.45" customHeight="1" x14ac:dyDescent="0.25">
      <c r="A1267" s="1">
        <f>DATE(2012,2,13)</f>
        <v>40952</v>
      </c>
      <c r="B1267" t="s">
        <v>18</v>
      </c>
      <c r="C1267" t="s">
        <v>10</v>
      </c>
      <c r="D1267" s="3">
        <v>38.777999999999999</v>
      </c>
      <c r="E1267" s="3">
        <v>0</v>
      </c>
      <c r="F1267" t="s">
        <v>45</v>
      </c>
      <c r="G1267" s="3">
        <f t="shared" si="141"/>
        <v>-38.777999999999999</v>
      </c>
      <c r="H1267" s="3">
        <f t="shared" si="142"/>
        <v>38.777999999999999</v>
      </c>
      <c r="I1267" s="5" t="str">
        <f t="shared" si="143"/>
        <v>017</v>
      </c>
      <c r="J1267" s="5" t="str">
        <f t="shared" si="144"/>
        <v>2230</v>
      </c>
      <c r="K1267" s="5" t="str">
        <f t="shared" si="145"/>
        <v>000</v>
      </c>
      <c r="L1267" s="5">
        <f t="shared" si="146"/>
        <v>2</v>
      </c>
      <c r="M1267" s="5">
        <f t="shared" si="147"/>
        <v>2012</v>
      </c>
    </row>
    <row r="1268" spans="1:13" ht="17.45" customHeight="1" x14ac:dyDescent="0.25">
      <c r="A1268" s="1">
        <f>DATE(2012,2,14)</f>
        <v>40953</v>
      </c>
      <c r="B1268" t="s">
        <v>15</v>
      </c>
      <c r="C1268" t="s">
        <v>6</v>
      </c>
      <c r="D1268" s="3">
        <v>6920.1630000000005</v>
      </c>
      <c r="E1268" s="3">
        <v>0</v>
      </c>
      <c r="F1268" t="s">
        <v>45</v>
      </c>
      <c r="G1268" s="3">
        <f t="shared" si="141"/>
        <v>-6920.1630000000005</v>
      </c>
      <c r="H1268" s="3">
        <f t="shared" si="142"/>
        <v>6920.1630000000005</v>
      </c>
      <c r="I1268" s="5" t="str">
        <f t="shared" si="143"/>
        <v>017</v>
      </c>
      <c r="J1268" s="5" t="str">
        <f t="shared" si="144"/>
        <v>2100</v>
      </c>
      <c r="K1268" s="5" t="str">
        <f t="shared" si="145"/>
        <v>000</v>
      </c>
      <c r="L1268" s="5">
        <f t="shared" si="146"/>
        <v>2</v>
      </c>
      <c r="M1268" s="5">
        <f t="shared" si="147"/>
        <v>2012</v>
      </c>
    </row>
    <row r="1269" spans="1:13" ht="17.45" customHeight="1" x14ac:dyDescent="0.25">
      <c r="A1269" s="1">
        <f>DATE(2012,2,14)</f>
        <v>40953</v>
      </c>
      <c r="B1269" t="s">
        <v>16</v>
      </c>
      <c r="C1269" t="s">
        <v>8</v>
      </c>
      <c r="D1269" s="3">
        <v>945.46950000000004</v>
      </c>
      <c r="E1269" s="3">
        <v>0</v>
      </c>
      <c r="F1269" t="s">
        <v>45</v>
      </c>
      <c r="G1269" s="3">
        <f t="shared" si="141"/>
        <v>-945.46950000000004</v>
      </c>
      <c r="H1269" s="3">
        <f t="shared" si="142"/>
        <v>945.46950000000004</v>
      </c>
      <c r="I1269" s="5" t="str">
        <f t="shared" si="143"/>
        <v>017</v>
      </c>
      <c r="J1269" s="5" t="str">
        <f t="shared" si="144"/>
        <v>2210</v>
      </c>
      <c r="K1269" s="5" t="str">
        <f t="shared" si="145"/>
        <v>000</v>
      </c>
      <c r="L1269" s="5">
        <f t="shared" si="146"/>
        <v>2</v>
      </c>
      <c r="M1269" s="5">
        <f t="shared" si="147"/>
        <v>2012</v>
      </c>
    </row>
    <row r="1270" spans="1:13" ht="17.45" customHeight="1" x14ac:dyDescent="0.25">
      <c r="A1270" s="1">
        <f>DATE(2012,2,14)</f>
        <v>40953</v>
      </c>
      <c r="B1270" t="s">
        <v>17</v>
      </c>
      <c r="C1270" t="s">
        <v>9</v>
      </c>
      <c r="D1270" s="3">
        <v>273.54250000000002</v>
      </c>
      <c r="E1270" s="3">
        <v>0</v>
      </c>
      <c r="F1270" t="s">
        <v>45</v>
      </c>
      <c r="G1270" s="3">
        <f t="shared" si="141"/>
        <v>-273.54250000000002</v>
      </c>
      <c r="H1270" s="3">
        <f t="shared" si="142"/>
        <v>273.54250000000002</v>
      </c>
      <c r="I1270" s="5" t="str">
        <f t="shared" si="143"/>
        <v>017</v>
      </c>
      <c r="J1270" s="5" t="str">
        <f t="shared" si="144"/>
        <v>2220</v>
      </c>
      <c r="K1270" s="5" t="str">
        <f t="shared" si="145"/>
        <v>000</v>
      </c>
      <c r="L1270" s="5">
        <f t="shared" si="146"/>
        <v>2</v>
      </c>
      <c r="M1270" s="5">
        <f t="shared" si="147"/>
        <v>2012</v>
      </c>
    </row>
    <row r="1271" spans="1:13" ht="17.45" customHeight="1" x14ac:dyDescent="0.25">
      <c r="A1271" s="1">
        <f>DATE(2012,2,14)</f>
        <v>40953</v>
      </c>
      <c r="B1271" t="s">
        <v>18</v>
      </c>
      <c r="C1271" t="s">
        <v>10</v>
      </c>
      <c r="D1271" s="3">
        <v>203.09</v>
      </c>
      <c r="E1271" s="3">
        <v>0</v>
      </c>
      <c r="F1271" t="s">
        <v>45</v>
      </c>
      <c r="G1271" s="3">
        <f t="shared" si="141"/>
        <v>-203.09</v>
      </c>
      <c r="H1271" s="3">
        <f t="shared" si="142"/>
        <v>203.09</v>
      </c>
      <c r="I1271" s="5" t="str">
        <f t="shared" si="143"/>
        <v>017</v>
      </c>
      <c r="J1271" s="5" t="str">
        <f t="shared" si="144"/>
        <v>2230</v>
      </c>
      <c r="K1271" s="5" t="str">
        <f t="shared" si="145"/>
        <v>000</v>
      </c>
      <c r="L1271" s="5">
        <f t="shared" si="146"/>
        <v>2</v>
      </c>
      <c r="M1271" s="5">
        <f t="shared" si="147"/>
        <v>2012</v>
      </c>
    </row>
    <row r="1272" spans="1:13" ht="17.45" customHeight="1" x14ac:dyDescent="0.25">
      <c r="A1272" s="1">
        <f>DATE(2012,2,15)</f>
        <v>40954</v>
      </c>
      <c r="B1272" t="s">
        <v>15</v>
      </c>
      <c r="C1272" t="s">
        <v>6</v>
      </c>
      <c r="D1272" s="3">
        <v>4077.8136</v>
      </c>
      <c r="E1272" s="3">
        <v>0</v>
      </c>
      <c r="F1272" t="s">
        <v>45</v>
      </c>
      <c r="G1272" s="3">
        <f t="shared" si="141"/>
        <v>-4077.8136</v>
      </c>
      <c r="H1272" s="3">
        <f t="shared" si="142"/>
        <v>4077.8136</v>
      </c>
      <c r="I1272" s="5" t="str">
        <f t="shared" si="143"/>
        <v>017</v>
      </c>
      <c r="J1272" s="5" t="str">
        <f t="shared" si="144"/>
        <v>2100</v>
      </c>
      <c r="K1272" s="5" t="str">
        <f t="shared" si="145"/>
        <v>000</v>
      </c>
      <c r="L1272" s="5">
        <f t="shared" si="146"/>
        <v>2</v>
      </c>
      <c r="M1272" s="5">
        <f t="shared" si="147"/>
        <v>2012</v>
      </c>
    </row>
    <row r="1273" spans="1:13" ht="17.45" customHeight="1" x14ac:dyDescent="0.25">
      <c r="A1273" s="1">
        <f>DATE(2012,2,15)</f>
        <v>40954</v>
      </c>
      <c r="B1273" t="s">
        <v>16</v>
      </c>
      <c r="C1273" t="s">
        <v>8</v>
      </c>
      <c r="D1273" s="3">
        <v>816.1875</v>
      </c>
      <c r="E1273" s="3">
        <v>0</v>
      </c>
      <c r="F1273" t="s">
        <v>45</v>
      </c>
      <c r="G1273" s="3">
        <f t="shared" si="141"/>
        <v>-816.1875</v>
      </c>
      <c r="H1273" s="3">
        <f t="shared" si="142"/>
        <v>816.1875</v>
      </c>
      <c r="I1273" s="5" t="str">
        <f t="shared" si="143"/>
        <v>017</v>
      </c>
      <c r="J1273" s="5" t="str">
        <f t="shared" si="144"/>
        <v>2210</v>
      </c>
      <c r="K1273" s="5" t="str">
        <f t="shared" si="145"/>
        <v>000</v>
      </c>
      <c r="L1273" s="5">
        <f t="shared" si="146"/>
        <v>2</v>
      </c>
      <c r="M1273" s="5">
        <f t="shared" si="147"/>
        <v>2012</v>
      </c>
    </row>
    <row r="1274" spans="1:13" ht="17.45" customHeight="1" x14ac:dyDescent="0.25">
      <c r="A1274" s="1">
        <f>DATE(2012,2,15)</f>
        <v>40954</v>
      </c>
      <c r="B1274" t="s">
        <v>17</v>
      </c>
      <c r="C1274" t="s">
        <v>9</v>
      </c>
      <c r="D1274" s="3">
        <v>480.10499999999996</v>
      </c>
      <c r="E1274" s="3">
        <v>0</v>
      </c>
      <c r="F1274" t="s">
        <v>45</v>
      </c>
      <c r="G1274" s="3">
        <f t="shared" si="141"/>
        <v>-480.10499999999996</v>
      </c>
      <c r="H1274" s="3">
        <f t="shared" si="142"/>
        <v>480.10499999999996</v>
      </c>
      <c r="I1274" s="5" t="str">
        <f t="shared" si="143"/>
        <v>017</v>
      </c>
      <c r="J1274" s="5" t="str">
        <f t="shared" si="144"/>
        <v>2220</v>
      </c>
      <c r="K1274" s="5" t="str">
        <f t="shared" si="145"/>
        <v>000</v>
      </c>
      <c r="L1274" s="5">
        <f t="shared" si="146"/>
        <v>2</v>
      </c>
      <c r="M1274" s="5">
        <f t="shared" si="147"/>
        <v>2012</v>
      </c>
    </row>
    <row r="1275" spans="1:13" ht="17.45" customHeight="1" x14ac:dyDescent="0.25">
      <c r="A1275" s="1">
        <f>DATE(2012,2,15)</f>
        <v>40954</v>
      </c>
      <c r="B1275" t="s">
        <v>18</v>
      </c>
      <c r="C1275" t="s">
        <v>10</v>
      </c>
      <c r="D1275" s="3">
        <v>106.99149999999999</v>
      </c>
      <c r="E1275" s="3">
        <v>0</v>
      </c>
      <c r="F1275" t="s">
        <v>45</v>
      </c>
      <c r="G1275" s="3">
        <f t="shared" si="141"/>
        <v>-106.99149999999999</v>
      </c>
      <c r="H1275" s="3">
        <f t="shared" si="142"/>
        <v>106.99149999999999</v>
      </c>
      <c r="I1275" s="5" t="str">
        <f t="shared" si="143"/>
        <v>017</v>
      </c>
      <c r="J1275" s="5" t="str">
        <f t="shared" si="144"/>
        <v>2230</v>
      </c>
      <c r="K1275" s="5" t="str">
        <f t="shared" si="145"/>
        <v>000</v>
      </c>
      <c r="L1275" s="5">
        <f t="shared" si="146"/>
        <v>2</v>
      </c>
      <c r="M1275" s="5">
        <f t="shared" si="147"/>
        <v>2012</v>
      </c>
    </row>
    <row r="1276" spans="1:13" ht="17.45" customHeight="1" x14ac:dyDescent="0.25">
      <c r="A1276" s="1">
        <f>DATE(2012,2,16)</f>
        <v>40955</v>
      </c>
      <c r="B1276" t="s">
        <v>15</v>
      </c>
      <c r="C1276" t="s">
        <v>6</v>
      </c>
      <c r="D1276" s="3">
        <v>4773.0930000000008</v>
      </c>
      <c r="E1276" s="3">
        <v>0</v>
      </c>
      <c r="F1276" t="s">
        <v>45</v>
      </c>
      <c r="G1276" s="3">
        <f t="shared" si="141"/>
        <v>-4773.0930000000008</v>
      </c>
      <c r="H1276" s="3">
        <f t="shared" si="142"/>
        <v>4773.0930000000008</v>
      </c>
      <c r="I1276" s="5" t="str">
        <f t="shared" si="143"/>
        <v>017</v>
      </c>
      <c r="J1276" s="5" t="str">
        <f t="shared" si="144"/>
        <v>2100</v>
      </c>
      <c r="K1276" s="5" t="str">
        <f t="shared" si="145"/>
        <v>000</v>
      </c>
      <c r="L1276" s="5">
        <f t="shared" si="146"/>
        <v>2</v>
      </c>
      <c r="M1276" s="5">
        <f t="shared" si="147"/>
        <v>2012</v>
      </c>
    </row>
    <row r="1277" spans="1:13" ht="17.45" customHeight="1" x14ac:dyDescent="0.25">
      <c r="A1277" s="1">
        <f>DATE(2012,2,16)</f>
        <v>40955</v>
      </c>
      <c r="B1277" t="s">
        <v>16</v>
      </c>
      <c r="C1277" t="s">
        <v>8</v>
      </c>
      <c r="D1277" s="3">
        <v>2118.4245000000001</v>
      </c>
      <c r="E1277" s="3">
        <v>0</v>
      </c>
      <c r="F1277" t="s">
        <v>45</v>
      </c>
      <c r="G1277" s="3">
        <f t="shared" si="141"/>
        <v>-2118.4245000000001</v>
      </c>
      <c r="H1277" s="3">
        <f t="shared" si="142"/>
        <v>2118.4245000000001</v>
      </c>
      <c r="I1277" s="5" t="str">
        <f t="shared" si="143"/>
        <v>017</v>
      </c>
      <c r="J1277" s="5" t="str">
        <f t="shared" si="144"/>
        <v>2210</v>
      </c>
      <c r="K1277" s="5" t="str">
        <f t="shared" si="145"/>
        <v>000</v>
      </c>
      <c r="L1277" s="5">
        <f t="shared" si="146"/>
        <v>2</v>
      </c>
      <c r="M1277" s="5">
        <f t="shared" si="147"/>
        <v>2012</v>
      </c>
    </row>
    <row r="1278" spans="1:13" ht="17.45" customHeight="1" x14ac:dyDescent="0.25">
      <c r="A1278" s="1">
        <f>DATE(2012,2,16)</f>
        <v>40955</v>
      </c>
      <c r="B1278" t="s">
        <v>17</v>
      </c>
      <c r="C1278" t="s">
        <v>9</v>
      </c>
      <c r="D1278" s="3">
        <v>380.8</v>
      </c>
      <c r="E1278" s="3">
        <v>0</v>
      </c>
      <c r="F1278" t="s">
        <v>45</v>
      </c>
      <c r="G1278" s="3">
        <f t="shared" si="141"/>
        <v>-380.8</v>
      </c>
      <c r="H1278" s="3">
        <f t="shared" si="142"/>
        <v>380.8</v>
      </c>
      <c r="I1278" s="5" t="str">
        <f t="shared" si="143"/>
        <v>017</v>
      </c>
      <c r="J1278" s="5" t="str">
        <f t="shared" si="144"/>
        <v>2220</v>
      </c>
      <c r="K1278" s="5" t="str">
        <f t="shared" si="145"/>
        <v>000</v>
      </c>
      <c r="L1278" s="5">
        <f t="shared" si="146"/>
        <v>2</v>
      </c>
      <c r="M1278" s="5">
        <f t="shared" si="147"/>
        <v>2012</v>
      </c>
    </row>
    <row r="1279" spans="1:13" ht="17.45" customHeight="1" x14ac:dyDescent="0.25">
      <c r="A1279" s="1">
        <f>DATE(2012,2,16)</f>
        <v>40955</v>
      </c>
      <c r="B1279" t="s">
        <v>18</v>
      </c>
      <c r="C1279" t="s">
        <v>10</v>
      </c>
      <c r="D1279" s="3">
        <v>156.3835</v>
      </c>
      <c r="E1279" s="3">
        <v>0</v>
      </c>
      <c r="F1279" t="s">
        <v>45</v>
      </c>
      <c r="G1279" s="3">
        <f t="shared" si="141"/>
        <v>-156.3835</v>
      </c>
      <c r="H1279" s="3">
        <f t="shared" si="142"/>
        <v>156.3835</v>
      </c>
      <c r="I1279" s="5" t="str">
        <f t="shared" si="143"/>
        <v>017</v>
      </c>
      <c r="J1279" s="5" t="str">
        <f t="shared" si="144"/>
        <v>2230</v>
      </c>
      <c r="K1279" s="5" t="str">
        <f t="shared" si="145"/>
        <v>000</v>
      </c>
      <c r="L1279" s="5">
        <f t="shared" si="146"/>
        <v>2</v>
      </c>
      <c r="M1279" s="5">
        <f t="shared" si="147"/>
        <v>2012</v>
      </c>
    </row>
    <row r="1280" spans="1:13" ht="17.45" customHeight="1" x14ac:dyDescent="0.25">
      <c r="A1280" s="1">
        <f>DATE(2012,2,17)</f>
        <v>40956</v>
      </c>
      <c r="B1280" t="s">
        <v>15</v>
      </c>
      <c r="C1280" t="s">
        <v>6</v>
      </c>
      <c r="D1280" s="3">
        <v>6933.2374999999993</v>
      </c>
      <c r="E1280" s="3">
        <v>0</v>
      </c>
      <c r="F1280" t="s">
        <v>45</v>
      </c>
      <c r="G1280" s="3">
        <f t="shared" si="141"/>
        <v>-6933.2374999999993</v>
      </c>
      <c r="H1280" s="3">
        <f t="shared" si="142"/>
        <v>6933.2374999999993</v>
      </c>
      <c r="I1280" s="5" t="str">
        <f t="shared" si="143"/>
        <v>017</v>
      </c>
      <c r="J1280" s="5" t="str">
        <f t="shared" si="144"/>
        <v>2100</v>
      </c>
      <c r="K1280" s="5" t="str">
        <f t="shared" si="145"/>
        <v>000</v>
      </c>
      <c r="L1280" s="5">
        <f t="shared" si="146"/>
        <v>2</v>
      </c>
      <c r="M1280" s="5">
        <f t="shared" si="147"/>
        <v>2012</v>
      </c>
    </row>
    <row r="1281" spans="1:13" ht="17.45" customHeight="1" x14ac:dyDescent="0.25">
      <c r="A1281" s="1">
        <f>DATE(2012,2,17)</f>
        <v>40956</v>
      </c>
      <c r="B1281" t="s">
        <v>16</v>
      </c>
      <c r="C1281" t="s">
        <v>8</v>
      </c>
      <c r="D1281" s="3">
        <v>2693.4960000000001</v>
      </c>
      <c r="E1281" s="3">
        <v>0</v>
      </c>
      <c r="F1281" t="s">
        <v>45</v>
      </c>
      <c r="G1281" s="3">
        <f t="shared" si="141"/>
        <v>-2693.4960000000001</v>
      </c>
      <c r="H1281" s="3">
        <f t="shared" si="142"/>
        <v>2693.4960000000001</v>
      </c>
      <c r="I1281" s="5" t="str">
        <f t="shared" si="143"/>
        <v>017</v>
      </c>
      <c r="J1281" s="5" t="str">
        <f t="shared" si="144"/>
        <v>2210</v>
      </c>
      <c r="K1281" s="5" t="str">
        <f t="shared" si="145"/>
        <v>000</v>
      </c>
      <c r="L1281" s="5">
        <f t="shared" si="146"/>
        <v>2</v>
      </c>
      <c r="M1281" s="5">
        <f t="shared" si="147"/>
        <v>2012</v>
      </c>
    </row>
    <row r="1282" spans="1:13" ht="17.45" customHeight="1" x14ac:dyDescent="0.25">
      <c r="A1282" s="1">
        <f>DATE(2012,2,17)</f>
        <v>40956</v>
      </c>
      <c r="B1282" t="s">
        <v>17</v>
      </c>
      <c r="C1282" t="s">
        <v>9</v>
      </c>
      <c r="D1282" s="3">
        <v>568.67999999999995</v>
      </c>
      <c r="E1282" s="3">
        <v>0</v>
      </c>
      <c r="F1282" t="s">
        <v>45</v>
      </c>
      <c r="G1282" s="3">
        <f t="shared" ref="G1282:G1345" si="149">E1282-D1282</f>
        <v>-568.67999999999995</v>
      </c>
      <c r="H1282" s="3">
        <f t="shared" ref="H1282:H1345" si="150">ABS(G1282)</f>
        <v>568.67999999999995</v>
      </c>
      <c r="I1282" s="5" t="str">
        <f t="shared" ref="I1282:I1345" si="151">MID(B1282,1,3)</f>
        <v>017</v>
      </c>
      <c r="J1282" s="5" t="str">
        <f t="shared" ref="J1282:J1345" si="152">MID(B1282,5,4)</f>
        <v>2220</v>
      </c>
      <c r="K1282" s="5" t="str">
        <f t="shared" ref="K1282:K1345" si="153">MID(B1282,10,3)</f>
        <v>000</v>
      </c>
      <c r="L1282" s="5">
        <f t="shared" ref="L1282:L1345" si="154">MONTH(A1282)</f>
        <v>2</v>
      </c>
      <c r="M1282" s="5">
        <f t="shared" ref="M1282:M1345" si="155">YEAR(A1282)</f>
        <v>2012</v>
      </c>
    </row>
    <row r="1283" spans="1:13" ht="17.45" customHeight="1" x14ac:dyDescent="0.25">
      <c r="A1283" s="1">
        <f>DATE(2012,2,17)</f>
        <v>40956</v>
      </c>
      <c r="B1283" t="s">
        <v>18</v>
      </c>
      <c r="C1283" t="s">
        <v>10</v>
      </c>
      <c r="D1283" s="3">
        <v>78.78</v>
      </c>
      <c r="E1283" s="3">
        <v>0</v>
      </c>
      <c r="F1283" t="s">
        <v>45</v>
      </c>
      <c r="G1283" s="3">
        <f t="shared" si="149"/>
        <v>-78.78</v>
      </c>
      <c r="H1283" s="3">
        <f t="shared" si="150"/>
        <v>78.78</v>
      </c>
      <c r="I1283" s="5" t="str">
        <f t="shared" si="151"/>
        <v>017</v>
      </c>
      <c r="J1283" s="5" t="str">
        <f t="shared" si="152"/>
        <v>2230</v>
      </c>
      <c r="K1283" s="5" t="str">
        <f t="shared" si="153"/>
        <v>000</v>
      </c>
      <c r="L1283" s="5">
        <f t="shared" si="154"/>
        <v>2</v>
      </c>
      <c r="M1283" s="5">
        <f t="shared" si="155"/>
        <v>2012</v>
      </c>
    </row>
    <row r="1284" spans="1:13" ht="17.45" customHeight="1" x14ac:dyDescent="0.25">
      <c r="A1284" s="1">
        <f>DATE(2012,2,18)</f>
        <v>40957</v>
      </c>
      <c r="B1284" t="s">
        <v>15</v>
      </c>
      <c r="C1284" t="s">
        <v>6</v>
      </c>
      <c r="D1284" s="3">
        <v>8967.4585000000006</v>
      </c>
      <c r="E1284" s="3">
        <v>0</v>
      </c>
      <c r="F1284" t="s">
        <v>45</v>
      </c>
      <c r="G1284" s="3">
        <f t="shared" si="149"/>
        <v>-8967.4585000000006</v>
      </c>
      <c r="H1284" s="3">
        <f t="shared" si="150"/>
        <v>8967.4585000000006</v>
      </c>
      <c r="I1284" s="5" t="str">
        <f t="shared" si="151"/>
        <v>017</v>
      </c>
      <c r="J1284" s="5" t="str">
        <f t="shared" si="152"/>
        <v>2100</v>
      </c>
      <c r="K1284" s="5" t="str">
        <f t="shared" si="153"/>
        <v>000</v>
      </c>
      <c r="L1284" s="5">
        <f t="shared" si="154"/>
        <v>2</v>
      </c>
      <c r="M1284" s="5">
        <f t="shared" si="155"/>
        <v>2012</v>
      </c>
    </row>
    <row r="1285" spans="1:13" ht="17.45" customHeight="1" x14ac:dyDescent="0.25">
      <c r="A1285" s="1">
        <f>DATE(2012,2,18)</f>
        <v>40957</v>
      </c>
      <c r="B1285" t="s">
        <v>16</v>
      </c>
      <c r="C1285" t="s">
        <v>8</v>
      </c>
      <c r="D1285" s="3">
        <v>1967.8950000000002</v>
      </c>
      <c r="E1285" s="3">
        <v>0</v>
      </c>
      <c r="F1285" t="s">
        <v>45</v>
      </c>
      <c r="G1285" s="3">
        <f t="shared" si="149"/>
        <v>-1967.8950000000002</v>
      </c>
      <c r="H1285" s="3">
        <f t="shared" si="150"/>
        <v>1967.8950000000002</v>
      </c>
      <c r="I1285" s="5" t="str">
        <f t="shared" si="151"/>
        <v>017</v>
      </c>
      <c r="J1285" s="5" t="str">
        <f t="shared" si="152"/>
        <v>2210</v>
      </c>
      <c r="K1285" s="5" t="str">
        <f t="shared" si="153"/>
        <v>000</v>
      </c>
      <c r="L1285" s="5">
        <f t="shared" si="154"/>
        <v>2</v>
      </c>
      <c r="M1285" s="5">
        <f t="shared" si="155"/>
        <v>2012</v>
      </c>
    </row>
    <row r="1286" spans="1:13" ht="17.45" customHeight="1" x14ac:dyDescent="0.25">
      <c r="A1286" s="1">
        <f>DATE(2012,2,18)</f>
        <v>40957</v>
      </c>
      <c r="B1286" t="s">
        <v>17</v>
      </c>
      <c r="C1286" t="s">
        <v>9</v>
      </c>
      <c r="D1286" s="3">
        <v>523.53</v>
      </c>
      <c r="E1286" s="3">
        <v>0</v>
      </c>
      <c r="F1286" t="s">
        <v>45</v>
      </c>
      <c r="G1286" s="3">
        <f t="shared" si="149"/>
        <v>-523.53</v>
      </c>
      <c r="H1286" s="3">
        <f t="shared" si="150"/>
        <v>523.53</v>
      </c>
      <c r="I1286" s="5" t="str">
        <f t="shared" si="151"/>
        <v>017</v>
      </c>
      <c r="J1286" s="5" t="str">
        <f t="shared" si="152"/>
        <v>2220</v>
      </c>
      <c r="K1286" s="5" t="str">
        <f t="shared" si="153"/>
        <v>000</v>
      </c>
      <c r="L1286" s="5">
        <f t="shared" si="154"/>
        <v>2</v>
      </c>
      <c r="M1286" s="5">
        <f t="shared" si="155"/>
        <v>2012</v>
      </c>
    </row>
    <row r="1287" spans="1:13" ht="17.45" customHeight="1" x14ac:dyDescent="0.25">
      <c r="A1287" s="1">
        <f>DATE(2012,2,18)</f>
        <v>40957</v>
      </c>
      <c r="B1287" t="s">
        <v>18</v>
      </c>
      <c r="C1287" t="s">
        <v>10</v>
      </c>
      <c r="D1287" s="3">
        <v>91.644000000000005</v>
      </c>
      <c r="E1287" s="3">
        <v>0</v>
      </c>
      <c r="F1287" t="s">
        <v>45</v>
      </c>
      <c r="G1287" s="3">
        <f t="shared" si="149"/>
        <v>-91.644000000000005</v>
      </c>
      <c r="H1287" s="3">
        <f t="shared" si="150"/>
        <v>91.644000000000005</v>
      </c>
      <c r="I1287" s="5" t="str">
        <f t="shared" si="151"/>
        <v>017</v>
      </c>
      <c r="J1287" s="5" t="str">
        <f t="shared" si="152"/>
        <v>2230</v>
      </c>
      <c r="K1287" s="5" t="str">
        <f t="shared" si="153"/>
        <v>000</v>
      </c>
      <c r="L1287" s="5">
        <f t="shared" si="154"/>
        <v>2</v>
      </c>
      <c r="M1287" s="5">
        <f t="shared" si="155"/>
        <v>2012</v>
      </c>
    </row>
    <row r="1288" spans="1:13" ht="17.45" customHeight="1" x14ac:dyDescent="0.25">
      <c r="A1288" s="1">
        <f>DATE(2012,2,19)</f>
        <v>40958</v>
      </c>
      <c r="B1288" t="s">
        <v>15</v>
      </c>
      <c r="C1288" t="s">
        <v>6</v>
      </c>
      <c r="D1288" s="3">
        <v>5036.3320000000003</v>
      </c>
      <c r="E1288" s="3">
        <v>0</v>
      </c>
      <c r="F1288" t="s">
        <v>45</v>
      </c>
      <c r="G1288" s="3">
        <f t="shared" si="149"/>
        <v>-5036.3320000000003</v>
      </c>
      <c r="H1288" s="3">
        <f t="shared" si="150"/>
        <v>5036.3320000000003</v>
      </c>
      <c r="I1288" s="5" t="str">
        <f t="shared" si="151"/>
        <v>017</v>
      </c>
      <c r="J1288" s="5" t="str">
        <f t="shared" si="152"/>
        <v>2100</v>
      </c>
      <c r="K1288" s="5" t="str">
        <f t="shared" si="153"/>
        <v>000</v>
      </c>
      <c r="L1288" s="5">
        <f t="shared" si="154"/>
        <v>2</v>
      </c>
      <c r="M1288" s="5">
        <f t="shared" si="155"/>
        <v>2012</v>
      </c>
    </row>
    <row r="1289" spans="1:13" ht="17.45" customHeight="1" x14ac:dyDescent="0.25">
      <c r="A1289" s="1">
        <f>DATE(2012,2,19)</f>
        <v>40958</v>
      </c>
      <c r="B1289" t="s">
        <v>16</v>
      </c>
      <c r="C1289" t="s">
        <v>8</v>
      </c>
      <c r="D1289" s="3">
        <v>650.20199999999988</v>
      </c>
      <c r="E1289" s="3">
        <v>0</v>
      </c>
      <c r="F1289" t="s">
        <v>45</v>
      </c>
      <c r="G1289" s="3">
        <f t="shared" si="149"/>
        <v>-650.20199999999988</v>
      </c>
      <c r="H1289" s="3">
        <f t="shared" si="150"/>
        <v>650.20199999999988</v>
      </c>
      <c r="I1289" s="5" t="str">
        <f t="shared" si="151"/>
        <v>017</v>
      </c>
      <c r="J1289" s="5" t="str">
        <f t="shared" si="152"/>
        <v>2210</v>
      </c>
      <c r="K1289" s="5" t="str">
        <f t="shared" si="153"/>
        <v>000</v>
      </c>
      <c r="L1289" s="5">
        <f t="shared" si="154"/>
        <v>2</v>
      </c>
      <c r="M1289" s="5">
        <f t="shared" si="155"/>
        <v>2012</v>
      </c>
    </row>
    <row r="1290" spans="1:13" ht="17.45" customHeight="1" x14ac:dyDescent="0.25">
      <c r="A1290" s="1">
        <f>DATE(2012,2,19)</f>
        <v>40958</v>
      </c>
      <c r="B1290" t="s">
        <v>17</v>
      </c>
      <c r="C1290" t="s">
        <v>9</v>
      </c>
      <c r="D1290" s="3">
        <v>146.685</v>
      </c>
      <c r="E1290" s="3">
        <v>0</v>
      </c>
      <c r="F1290" t="s">
        <v>45</v>
      </c>
      <c r="G1290" s="3">
        <f t="shared" si="149"/>
        <v>-146.685</v>
      </c>
      <c r="H1290" s="3">
        <f t="shared" si="150"/>
        <v>146.685</v>
      </c>
      <c r="I1290" s="5" t="str">
        <f t="shared" si="151"/>
        <v>017</v>
      </c>
      <c r="J1290" s="5" t="str">
        <f t="shared" si="152"/>
        <v>2220</v>
      </c>
      <c r="K1290" s="5" t="str">
        <f t="shared" si="153"/>
        <v>000</v>
      </c>
      <c r="L1290" s="5">
        <f t="shared" si="154"/>
        <v>2</v>
      </c>
      <c r="M1290" s="5">
        <f t="shared" si="155"/>
        <v>2012</v>
      </c>
    </row>
    <row r="1291" spans="1:13" ht="17.45" customHeight="1" x14ac:dyDescent="0.25">
      <c r="A1291" s="1">
        <f>DATE(2012,2,19)</f>
        <v>40958</v>
      </c>
      <c r="B1291" t="s">
        <v>18</v>
      </c>
      <c r="C1291" t="s">
        <v>10</v>
      </c>
      <c r="D1291" s="3">
        <v>73.739999999999995</v>
      </c>
      <c r="E1291" s="3">
        <v>0</v>
      </c>
      <c r="F1291" t="s">
        <v>45</v>
      </c>
      <c r="G1291" s="3">
        <f t="shared" si="149"/>
        <v>-73.739999999999995</v>
      </c>
      <c r="H1291" s="3">
        <f t="shared" si="150"/>
        <v>73.739999999999995</v>
      </c>
      <c r="I1291" s="5" t="str">
        <f t="shared" si="151"/>
        <v>017</v>
      </c>
      <c r="J1291" s="5" t="str">
        <f t="shared" si="152"/>
        <v>2230</v>
      </c>
      <c r="K1291" s="5" t="str">
        <f t="shared" si="153"/>
        <v>000</v>
      </c>
      <c r="L1291" s="5">
        <f t="shared" si="154"/>
        <v>2</v>
      </c>
      <c r="M1291" s="5">
        <f t="shared" si="155"/>
        <v>2012</v>
      </c>
    </row>
    <row r="1292" spans="1:13" ht="17.45" customHeight="1" x14ac:dyDescent="0.25">
      <c r="A1292" s="1">
        <f>DATE(2012,2,13)</f>
        <v>40952</v>
      </c>
      <c r="B1292" t="s">
        <v>19</v>
      </c>
      <c r="C1292" t="s">
        <v>6</v>
      </c>
      <c r="D1292" s="3">
        <v>2898.636</v>
      </c>
      <c r="E1292" s="3">
        <v>0</v>
      </c>
      <c r="F1292" t="s">
        <v>45</v>
      </c>
      <c r="G1292" s="3">
        <f t="shared" si="149"/>
        <v>-2898.636</v>
      </c>
      <c r="H1292" s="3">
        <f t="shared" si="150"/>
        <v>2898.636</v>
      </c>
      <c r="I1292" s="5" t="str">
        <f t="shared" si="151"/>
        <v>018</v>
      </c>
      <c r="J1292" s="5" t="str">
        <f t="shared" si="152"/>
        <v>2100</v>
      </c>
      <c r="K1292" s="5" t="str">
        <f t="shared" si="153"/>
        <v>000</v>
      </c>
      <c r="L1292" s="5">
        <f t="shared" si="154"/>
        <v>2</v>
      </c>
      <c r="M1292" s="5">
        <f t="shared" si="155"/>
        <v>2012</v>
      </c>
    </row>
    <row r="1293" spans="1:13" ht="17.45" customHeight="1" x14ac:dyDescent="0.25">
      <c r="A1293" s="1">
        <f>DATE(2012,2,13)</f>
        <v>40952</v>
      </c>
      <c r="B1293" t="s">
        <v>20</v>
      </c>
      <c r="C1293" t="s">
        <v>8</v>
      </c>
      <c r="D1293" s="3">
        <v>510.57350000000002</v>
      </c>
      <c r="E1293" s="3">
        <v>0</v>
      </c>
      <c r="F1293" t="s">
        <v>45</v>
      </c>
      <c r="G1293" s="3">
        <f t="shared" si="149"/>
        <v>-510.57350000000002</v>
      </c>
      <c r="H1293" s="3">
        <f t="shared" si="150"/>
        <v>510.57350000000002</v>
      </c>
      <c r="I1293" s="5" t="str">
        <f t="shared" si="151"/>
        <v>018</v>
      </c>
      <c r="J1293" s="5" t="str">
        <f t="shared" si="152"/>
        <v>2210</v>
      </c>
      <c r="K1293" s="5" t="str">
        <f t="shared" si="153"/>
        <v>000</v>
      </c>
      <c r="L1293" s="5">
        <f t="shared" si="154"/>
        <v>2</v>
      </c>
      <c r="M1293" s="5">
        <f t="shared" si="155"/>
        <v>2012</v>
      </c>
    </row>
    <row r="1294" spans="1:13" ht="17.45" customHeight="1" x14ac:dyDescent="0.25">
      <c r="A1294" s="1">
        <f>DATE(2012,2,13)</f>
        <v>40952</v>
      </c>
      <c r="B1294" t="s">
        <v>21</v>
      </c>
      <c r="C1294" t="s">
        <v>9</v>
      </c>
      <c r="D1294" s="3">
        <v>103.7475</v>
      </c>
      <c r="E1294" s="3">
        <v>0</v>
      </c>
      <c r="F1294" t="s">
        <v>45</v>
      </c>
      <c r="G1294" s="3">
        <f t="shared" si="149"/>
        <v>-103.7475</v>
      </c>
      <c r="H1294" s="3">
        <f t="shared" si="150"/>
        <v>103.7475</v>
      </c>
      <c r="I1294" s="5" t="str">
        <f t="shared" si="151"/>
        <v>018</v>
      </c>
      <c r="J1294" s="5" t="str">
        <f t="shared" si="152"/>
        <v>2220</v>
      </c>
      <c r="K1294" s="5" t="str">
        <f t="shared" si="153"/>
        <v>000</v>
      </c>
      <c r="L1294" s="5">
        <f t="shared" si="154"/>
        <v>2</v>
      </c>
      <c r="M1294" s="5">
        <f t="shared" si="155"/>
        <v>2012</v>
      </c>
    </row>
    <row r="1295" spans="1:13" ht="17.45" customHeight="1" x14ac:dyDescent="0.25">
      <c r="A1295" s="1">
        <f>DATE(2012,2,13)</f>
        <v>40952</v>
      </c>
      <c r="B1295" t="s">
        <v>22</v>
      </c>
      <c r="C1295" t="s">
        <v>10</v>
      </c>
      <c r="D1295" s="3">
        <v>8.7840000000000007</v>
      </c>
      <c r="E1295" s="3">
        <v>0</v>
      </c>
      <c r="F1295" t="s">
        <v>45</v>
      </c>
      <c r="G1295" s="3">
        <f t="shared" si="149"/>
        <v>-8.7840000000000007</v>
      </c>
      <c r="H1295" s="3">
        <f t="shared" si="150"/>
        <v>8.7840000000000007</v>
      </c>
      <c r="I1295" s="5" t="str">
        <f t="shared" si="151"/>
        <v>018</v>
      </c>
      <c r="J1295" s="5" t="str">
        <f t="shared" si="152"/>
        <v>2230</v>
      </c>
      <c r="K1295" s="5" t="str">
        <f t="shared" si="153"/>
        <v>000</v>
      </c>
      <c r="L1295" s="5">
        <f t="shared" si="154"/>
        <v>2</v>
      </c>
      <c r="M1295" s="5">
        <f t="shared" si="155"/>
        <v>2012</v>
      </c>
    </row>
    <row r="1296" spans="1:13" ht="17.45" customHeight="1" x14ac:dyDescent="0.25">
      <c r="A1296" s="1">
        <f>DATE(2012,2,14)</f>
        <v>40953</v>
      </c>
      <c r="B1296" t="s">
        <v>19</v>
      </c>
      <c r="C1296" t="s">
        <v>6</v>
      </c>
      <c r="D1296" s="3">
        <v>14539.41</v>
      </c>
      <c r="E1296" s="3">
        <v>0</v>
      </c>
      <c r="F1296" t="s">
        <v>45</v>
      </c>
      <c r="G1296" s="3">
        <f t="shared" si="149"/>
        <v>-14539.41</v>
      </c>
      <c r="H1296" s="3">
        <f t="shared" si="150"/>
        <v>14539.41</v>
      </c>
      <c r="I1296" s="5" t="str">
        <f t="shared" si="151"/>
        <v>018</v>
      </c>
      <c r="J1296" s="5" t="str">
        <f t="shared" si="152"/>
        <v>2100</v>
      </c>
      <c r="K1296" s="5" t="str">
        <f t="shared" si="153"/>
        <v>000</v>
      </c>
      <c r="L1296" s="5">
        <f t="shared" si="154"/>
        <v>2</v>
      </c>
      <c r="M1296" s="5">
        <f t="shared" si="155"/>
        <v>2012</v>
      </c>
    </row>
    <row r="1297" spans="1:13" ht="17.45" customHeight="1" x14ac:dyDescent="0.25">
      <c r="A1297" s="1">
        <f>DATE(2012,2,14)</f>
        <v>40953</v>
      </c>
      <c r="B1297" t="s">
        <v>20</v>
      </c>
      <c r="C1297" t="s">
        <v>8</v>
      </c>
      <c r="D1297" s="3">
        <v>1959.0870000000002</v>
      </c>
      <c r="E1297" s="3">
        <v>0</v>
      </c>
      <c r="F1297" t="s">
        <v>45</v>
      </c>
      <c r="G1297" s="3">
        <f t="shared" si="149"/>
        <v>-1959.0870000000002</v>
      </c>
      <c r="H1297" s="3">
        <f t="shared" si="150"/>
        <v>1959.0870000000002</v>
      </c>
      <c r="I1297" s="5" t="str">
        <f t="shared" si="151"/>
        <v>018</v>
      </c>
      <c r="J1297" s="5" t="str">
        <f t="shared" si="152"/>
        <v>2210</v>
      </c>
      <c r="K1297" s="5" t="str">
        <f t="shared" si="153"/>
        <v>000</v>
      </c>
      <c r="L1297" s="5">
        <f t="shared" si="154"/>
        <v>2</v>
      </c>
      <c r="M1297" s="5">
        <f t="shared" si="155"/>
        <v>2012</v>
      </c>
    </row>
    <row r="1298" spans="1:13" ht="17.45" customHeight="1" x14ac:dyDescent="0.25">
      <c r="A1298" s="1">
        <f>DATE(2012,2,14)</f>
        <v>40953</v>
      </c>
      <c r="B1298" t="s">
        <v>21</v>
      </c>
      <c r="C1298" t="s">
        <v>9</v>
      </c>
      <c r="D1298" s="3">
        <v>498.99899999999997</v>
      </c>
      <c r="E1298" s="3">
        <v>0</v>
      </c>
      <c r="F1298" t="s">
        <v>45</v>
      </c>
      <c r="G1298" s="3">
        <f t="shared" si="149"/>
        <v>-498.99899999999997</v>
      </c>
      <c r="H1298" s="3">
        <f t="shared" si="150"/>
        <v>498.99899999999997</v>
      </c>
      <c r="I1298" s="5" t="str">
        <f t="shared" si="151"/>
        <v>018</v>
      </c>
      <c r="J1298" s="5" t="str">
        <f t="shared" si="152"/>
        <v>2220</v>
      </c>
      <c r="K1298" s="5" t="str">
        <f t="shared" si="153"/>
        <v>000</v>
      </c>
      <c r="L1298" s="5">
        <f t="shared" si="154"/>
        <v>2</v>
      </c>
      <c r="M1298" s="5">
        <f t="shared" si="155"/>
        <v>2012</v>
      </c>
    </row>
    <row r="1299" spans="1:13" ht="17.45" customHeight="1" x14ac:dyDescent="0.25">
      <c r="A1299" s="1">
        <f>DATE(2012,2,14)</f>
        <v>40953</v>
      </c>
      <c r="B1299" t="s">
        <v>22</v>
      </c>
      <c r="C1299" t="s">
        <v>10</v>
      </c>
      <c r="D1299" s="3">
        <v>117.91200000000001</v>
      </c>
      <c r="E1299" s="3">
        <v>0</v>
      </c>
      <c r="F1299" t="s">
        <v>45</v>
      </c>
      <c r="G1299" s="3">
        <f t="shared" si="149"/>
        <v>-117.91200000000001</v>
      </c>
      <c r="H1299" s="3">
        <f t="shared" si="150"/>
        <v>117.91200000000001</v>
      </c>
      <c r="I1299" s="5" t="str">
        <f t="shared" si="151"/>
        <v>018</v>
      </c>
      <c r="J1299" s="5" t="str">
        <f t="shared" si="152"/>
        <v>2230</v>
      </c>
      <c r="K1299" s="5" t="str">
        <f t="shared" si="153"/>
        <v>000</v>
      </c>
      <c r="L1299" s="5">
        <f t="shared" si="154"/>
        <v>2</v>
      </c>
      <c r="M1299" s="5">
        <f t="shared" si="155"/>
        <v>2012</v>
      </c>
    </row>
    <row r="1300" spans="1:13" ht="17.45" customHeight="1" x14ac:dyDescent="0.25">
      <c r="A1300" s="1">
        <f>DATE(2012,2,15)</f>
        <v>40954</v>
      </c>
      <c r="B1300" t="s">
        <v>19</v>
      </c>
      <c r="C1300" t="s">
        <v>6</v>
      </c>
      <c r="D1300" s="3">
        <v>4664.5450000000001</v>
      </c>
      <c r="E1300" s="3">
        <v>0</v>
      </c>
      <c r="F1300" t="s">
        <v>45</v>
      </c>
      <c r="G1300" s="3">
        <f t="shared" si="149"/>
        <v>-4664.5450000000001</v>
      </c>
      <c r="H1300" s="3">
        <f t="shared" si="150"/>
        <v>4664.5450000000001</v>
      </c>
      <c r="I1300" s="5" t="str">
        <f t="shared" si="151"/>
        <v>018</v>
      </c>
      <c r="J1300" s="5" t="str">
        <f t="shared" si="152"/>
        <v>2100</v>
      </c>
      <c r="K1300" s="5" t="str">
        <f t="shared" si="153"/>
        <v>000</v>
      </c>
      <c r="L1300" s="5">
        <f t="shared" si="154"/>
        <v>2</v>
      </c>
      <c r="M1300" s="5">
        <f t="shared" si="155"/>
        <v>2012</v>
      </c>
    </row>
    <row r="1301" spans="1:13" ht="17.45" customHeight="1" x14ac:dyDescent="0.25">
      <c r="A1301" s="1">
        <f>DATE(2012,2,15)</f>
        <v>40954</v>
      </c>
      <c r="B1301" t="s">
        <v>20</v>
      </c>
      <c r="C1301" t="s">
        <v>8</v>
      </c>
      <c r="D1301" s="3">
        <v>624.41249999999991</v>
      </c>
      <c r="E1301" s="3">
        <v>0</v>
      </c>
      <c r="F1301" t="s">
        <v>45</v>
      </c>
      <c r="G1301" s="3">
        <f t="shared" si="149"/>
        <v>-624.41249999999991</v>
      </c>
      <c r="H1301" s="3">
        <f t="shared" si="150"/>
        <v>624.41249999999991</v>
      </c>
      <c r="I1301" s="5" t="str">
        <f t="shared" si="151"/>
        <v>018</v>
      </c>
      <c r="J1301" s="5" t="str">
        <f t="shared" si="152"/>
        <v>2210</v>
      </c>
      <c r="K1301" s="5" t="str">
        <f t="shared" si="153"/>
        <v>000</v>
      </c>
      <c r="L1301" s="5">
        <f t="shared" si="154"/>
        <v>2</v>
      </c>
      <c r="M1301" s="5">
        <f t="shared" si="155"/>
        <v>2012</v>
      </c>
    </row>
    <row r="1302" spans="1:13" ht="17.45" customHeight="1" x14ac:dyDescent="0.25">
      <c r="A1302" s="1">
        <f>DATE(2012,2,15)</f>
        <v>40954</v>
      </c>
      <c r="B1302" t="s">
        <v>21</v>
      </c>
      <c r="C1302" t="s">
        <v>9</v>
      </c>
      <c r="D1302" s="3">
        <v>164.22900000000001</v>
      </c>
      <c r="E1302" s="3">
        <v>0</v>
      </c>
      <c r="F1302" t="s">
        <v>45</v>
      </c>
      <c r="G1302" s="3">
        <f t="shared" si="149"/>
        <v>-164.22900000000001</v>
      </c>
      <c r="H1302" s="3">
        <f t="shared" si="150"/>
        <v>164.22900000000001</v>
      </c>
      <c r="I1302" s="5" t="str">
        <f t="shared" si="151"/>
        <v>018</v>
      </c>
      <c r="J1302" s="5" t="str">
        <f t="shared" si="152"/>
        <v>2220</v>
      </c>
      <c r="K1302" s="5" t="str">
        <f t="shared" si="153"/>
        <v>000</v>
      </c>
      <c r="L1302" s="5">
        <f t="shared" si="154"/>
        <v>2</v>
      </c>
      <c r="M1302" s="5">
        <f t="shared" si="155"/>
        <v>2012</v>
      </c>
    </row>
    <row r="1303" spans="1:13" ht="17.45" customHeight="1" x14ac:dyDescent="0.25">
      <c r="A1303" s="1">
        <f>DATE(2012,2,15)</f>
        <v>40954</v>
      </c>
      <c r="B1303" t="s">
        <v>22</v>
      </c>
      <c r="C1303" t="s">
        <v>10</v>
      </c>
      <c r="D1303" s="3">
        <v>51.530999999999999</v>
      </c>
      <c r="E1303" s="3">
        <v>0</v>
      </c>
      <c r="F1303" t="s">
        <v>45</v>
      </c>
      <c r="G1303" s="3">
        <f t="shared" si="149"/>
        <v>-51.530999999999999</v>
      </c>
      <c r="H1303" s="3">
        <f t="shared" si="150"/>
        <v>51.530999999999999</v>
      </c>
      <c r="I1303" s="5" t="str">
        <f t="shared" si="151"/>
        <v>018</v>
      </c>
      <c r="J1303" s="5" t="str">
        <f t="shared" si="152"/>
        <v>2230</v>
      </c>
      <c r="K1303" s="5" t="str">
        <f t="shared" si="153"/>
        <v>000</v>
      </c>
      <c r="L1303" s="5">
        <f t="shared" si="154"/>
        <v>2</v>
      </c>
      <c r="M1303" s="5">
        <f t="shared" si="155"/>
        <v>2012</v>
      </c>
    </row>
    <row r="1304" spans="1:13" ht="17.45" customHeight="1" x14ac:dyDescent="0.25">
      <c r="A1304" s="1">
        <f>DATE(2012,2,16)</f>
        <v>40955</v>
      </c>
      <c r="B1304" t="s">
        <v>19</v>
      </c>
      <c r="C1304" t="s">
        <v>6</v>
      </c>
      <c r="D1304" s="3">
        <v>2735.9261999999999</v>
      </c>
      <c r="E1304" s="3">
        <v>0</v>
      </c>
      <c r="F1304" t="s">
        <v>45</v>
      </c>
      <c r="G1304" s="3">
        <f t="shared" si="149"/>
        <v>-2735.9261999999999</v>
      </c>
      <c r="H1304" s="3">
        <f t="shared" si="150"/>
        <v>2735.9261999999999</v>
      </c>
      <c r="I1304" s="5" t="str">
        <f t="shared" si="151"/>
        <v>018</v>
      </c>
      <c r="J1304" s="5" t="str">
        <f t="shared" si="152"/>
        <v>2100</v>
      </c>
      <c r="K1304" s="5" t="str">
        <f t="shared" si="153"/>
        <v>000</v>
      </c>
      <c r="L1304" s="5">
        <f t="shared" si="154"/>
        <v>2</v>
      </c>
      <c r="M1304" s="5">
        <f t="shared" si="155"/>
        <v>2012</v>
      </c>
    </row>
    <row r="1305" spans="1:13" ht="17.45" customHeight="1" x14ac:dyDescent="0.25">
      <c r="A1305" s="1">
        <f>DATE(2012,2,16)</f>
        <v>40955</v>
      </c>
      <c r="B1305" t="s">
        <v>20</v>
      </c>
      <c r="C1305" t="s">
        <v>8</v>
      </c>
      <c r="D1305" s="3">
        <v>709.45799999999997</v>
      </c>
      <c r="E1305" s="3">
        <v>0</v>
      </c>
      <c r="F1305" t="s">
        <v>45</v>
      </c>
      <c r="G1305" s="3">
        <f t="shared" si="149"/>
        <v>-709.45799999999997</v>
      </c>
      <c r="H1305" s="3">
        <f t="shared" si="150"/>
        <v>709.45799999999997</v>
      </c>
      <c r="I1305" s="5" t="str">
        <f t="shared" si="151"/>
        <v>018</v>
      </c>
      <c r="J1305" s="5" t="str">
        <f t="shared" si="152"/>
        <v>2210</v>
      </c>
      <c r="K1305" s="5" t="str">
        <f t="shared" si="153"/>
        <v>000</v>
      </c>
      <c r="L1305" s="5">
        <f t="shared" si="154"/>
        <v>2</v>
      </c>
      <c r="M1305" s="5">
        <f t="shared" si="155"/>
        <v>2012</v>
      </c>
    </row>
    <row r="1306" spans="1:13" ht="17.45" customHeight="1" x14ac:dyDescent="0.25">
      <c r="A1306" s="1">
        <f>DATE(2012,2,16)</f>
        <v>40955</v>
      </c>
      <c r="B1306" t="s">
        <v>21</v>
      </c>
      <c r="C1306" t="s">
        <v>9</v>
      </c>
      <c r="D1306" s="3">
        <v>91.139999999999986</v>
      </c>
      <c r="E1306" s="3">
        <v>0</v>
      </c>
      <c r="F1306" t="s">
        <v>45</v>
      </c>
      <c r="G1306" s="3">
        <f t="shared" si="149"/>
        <v>-91.139999999999986</v>
      </c>
      <c r="H1306" s="3">
        <f t="shared" si="150"/>
        <v>91.139999999999986</v>
      </c>
      <c r="I1306" s="5" t="str">
        <f t="shared" si="151"/>
        <v>018</v>
      </c>
      <c r="J1306" s="5" t="str">
        <f t="shared" si="152"/>
        <v>2220</v>
      </c>
      <c r="K1306" s="5" t="str">
        <f t="shared" si="153"/>
        <v>000</v>
      </c>
      <c r="L1306" s="5">
        <f t="shared" si="154"/>
        <v>2</v>
      </c>
      <c r="M1306" s="5">
        <f t="shared" si="155"/>
        <v>2012</v>
      </c>
    </row>
    <row r="1307" spans="1:13" ht="17.45" customHeight="1" x14ac:dyDescent="0.25">
      <c r="A1307" s="1">
        <f>DATE(2012,2,16)</f>
        <v>40955</v>
      </c>
      <c r="B1307" t="s">
        <v>22</v>
      </c>
      <c r="C1307" t="s">
        <v>10</v>
      </c>
      <c r="D1307" s="3">
        <v>62.28</v>
      </c>
      <c r="E1307" s="3">
        <v>0</v>
      </c>
      <c r="F1307" t="s">
        <v>45</v>
      </c>
      <c r="G1307" s="3">
        <f t="shared" si="149"/>
        <v>-62.28</v>
      </c>
      <c r="H1307" s="3">
        <f t="shared" si="150"/>
        <v>62.28</v>
      </c>
      <c r="I1307" s="5" t="str">
        <f t="shared" si="151"/>
        <v>018</v>
      </c>
      <c r="J1307" s="5" t="str">
        <f t="shared" si="152"/>
        <v>2230</v>
      </c>
      <c r="K1307" s="5" t="str">
        <f t="shared" si="153"/>
        <v>000</v>
      </c>
      <c r="L1307" s="5">
        <f t="shared" si="154"/>
        <v>2</v>
      </c>
      <c r="M1307" s="5">
        <f t="shared" si="155"/>
        <v>2012</v>
      </c>
    </row>
    <row r="1308" spans="1:13" ht="17.45" customHeight="1" x14ac:dyDescent="0.25">
      <c r="A1308" s="1">
        <f>DATE(2012,2,17)</f>
        <v>40956</v>
      </c>
      <c r="B1308" t="s">
        <v>19</v>
      </c>
      <c r="C1308" t="s">
        <v>6</v>
      </c>
      <c r="D1308" s="3">
        <v>7570.41</v>
      </c>
      <c r="E1308" s="3">
        <v>0</v>
      </c>
      <c r="F1308" t="s">
        <v>45</v>
      </c>
      <c r="G1308" s="3">
        <f t="shared" si="149"/>
        <v>-7570.41</v>
      </c>
      <c r="H1308" s="3">
        <f t="shared" si="150"/>
        <v>7570.41</v>
      </c>
      <c r="I1308" s="5" t="str">
        <f t="shared" si="151"/>
        <v>018</v>
      </c>
      <c r="J1308" s="5" t="str">
        <f t="shared" si="152"/>
        <v>2100</v>
      </c>
      <c r="K1308" s="5" t="str">
        <f t="shared" si="153"/>
        <v>000</v>
      </c>
      <c r="L1308" s="5">
        <f t="shared" si="154"/>
        <v>2</v>
      </c>
      <c r="M1308" s="5">
        <f t="shared" si="155"/>
        <v>2012</v>
      </c>
    </row>
    <row r="1309" spans="1:13" ht="17.45" customHeight="1" x14ac:dyDescent="0.25">
      <c r="A1309" s="1">
        <f>DATE(2012,2,17)</f>
        <v>40956</v>
      </c>
      <c r="B1309" t="s">
        <v>20</v>
      </c>
      <c r="C1309" t="s">
        <v>8</v>
      </c>
      <c r="D1309" s="3">
        <v>3029</v>
      </c>
      <c r="E1309" s="3">
        <v>0</v>
      </c>
      <c r="F1309" t="s">
        <v>45</v>
      </c>
      <c r="G1309" s="3">
        <f t="shared" si="149"/>
        <v>-3029</v>
      </c>
      <c r="H1309" s="3">
        <f t="shared" si="150"/>
        <v>3029</v>
      </c>
      <c r="I1309" s="5" t="str">
        <f t="shared" si="151"/>
        <v>018</v>
      </c>
      <c r="J1309" s="5" t="str">
        <f t="shared" si="152"/>
        <v>2210</v>
      </c>
      <c r="K1309" s="5" t="str">
        <f t="shared" si="153"/>
        <v>000</v>
      </c>
      <c r="L1309" s="5">
        <f t="shared" si="154"/>
        <v>2</v>
      </c>
      <c r="M1309" s="5">
        <f t="shared" si="155"/>
        <v>2012</v>
      </c>
    </row>
    <row r="1310" spans="1:13" ht="17.45" customHeight="1" x14ac:dyDescent="0.25">
      <c r="A1310" s="1">
        <f>DATE(2012,2,17)</f>
        <v>40956</v>
      </c>
      <c r="B1310" t="s">
        <v>21</v>
      </c>
      <c r="C1310" t="s">
        <v>9</v>
      </c>
      <c r="D1310" s="3">
        <v>408.71999999999997</v>
      </c>
      <c r="E1310" s="3">
        <v>0</v>
      </c>
      <c r="F1310" t="s">
        <v>45</v>
      </c>
      <c r="G1310" s="3">
        <f t="shared" si="149"/>
        <v>-408.71999999999997</v>
      </c>
      <c r="H1310" s="3">
        <f t="shared" si="150"/>
        <v>408.71999999999997</v>
      </c>
      <c r="I1310" s="5" t="str">
        <f t="shared" si="151"/>
        <v>018</v>
      </c>
      <c r="J1310" s="5" t="str">
        <f t="shared" si="152"/>
        <v>2220</v>
      </c>
      <c r="K1310" s="5" t="str">
        <f t="shared" si="153"/>
        <v>000</v>
      </c>
      <c r="L1310" s="5">
        <f t="shared" si="154"/>
        <v>2</v>
      </c>
      <c r="M1310" s="5">
        <f t="shared" si="155"/>
        <v>2012</v>
      </c>
    </row>
    <row r="1311" spans="1:13" ht="17.45" customHeight="1" x14ac:dyDescent="0.25">
      <c r="A1311" s="1">
        <f>DATE(2012,2,17)</f>
        <v>40956</v>
      </c>
      <c r="B1311" t="s">
        <v>22</v>
      </c>
      <c r="C1311" t="s">
        <v>10</v>
      </c>
      <c r="D1311" s="3">
        <v>219.096</v>
      </c>
      <c r="E1311" s="3">
        <v>0</v>
      </c>
      <c r="F1311" t="s">
        <v>45</v>
      </c>
      <c r="G1311" s="3">
        <f t="shared" si="149"/>
        <v>-219.096</v>
      </c>
      <c r="H1311" s="3">
        <f t="shared" si="150"/>
        <v>219.096</v>
      </c>
      <c r="I1311" s="5" t="str">
        <f t="shared" si="151"/>
        <v>018</v>
      </c>
      <c r="J1311" s="5" t="str">
        <f t="shared" si="152"/>
        <v>2230</v>
      </c>
      <c r="K1311" s="5" t="str">
        <f t="shared" si="153"/>
        <v>000</v>
      </c>
      <c r="L1311" s="5">
        <f t="shared" si="154"/>
        <v>2</v>
      </c>
      <c r="M1311" s="5">
        <f t="shared" si="155"/>
        <v>2012</v>
      </c>
    </row>
    <row r="1312" spans="1:13" ht="17.45" customHeight="1" x14ac:dyDescent="0.25">
      <c r="A1312" s="1">
        <f>DATE(2012,2,18)</f>
        <v>40957</v>
      </c>
      <c r="B1312" t="s">
        <v>19</v>
      </c>
      <c r="C1312" t="s">
        <v>6</v>
      </c>
      <c r="D1312" s="3">
        <v>13090.012499999999</v>
      </c>
      <c r="E1312" s="3">
        <v>0</v>
      </c>
      <c r="F1312" t="s">
        <v>45</v>
      </c>
      <c r="G1312" s="3">
        <f t="shared" si="149"/>
        <v>-13090.012499999999</v>
      </c>
      <c r="H1312" s="3">
        <f t="shared" si="150"/>
        <v>13090.012499999999</v>
      </c>
      <c r="I1312" s="5" t="str">
        <f t="shared" si="151"/>
        <v>018</v>
      </c>
      <c r="J1312" s="5" t="str">
        <f t="shared" si="152"/>
        <v>2100</v>
      </c>
      <c r="K1312" s="5" t="str">
        <f t="shared" si="153"/>
        <v>000</v>
      </c>
      <c r="L1312" s="5">
        <f t="shared" si="154"/>
        <v>2</v>
      </c>
      <c r="M1312" s="5">
        <f t="shared" si="155"/>
        <v>2012</v>
      </c>
    </row>
    <row r="1313" spans="1:13" ht="17.45" customHeight="1" x14ac:dyDescent="0.25">
      <c r="A1313" s="1">
        <f>DATE(2012,2,18)</f>
        <v>40957</v>
      </c>
      <c r="B1313" t="s">
        <v>20</v>
      </c>
      <c r="C1313" t="s">
        <v>8</v>
      </c>
      <c r="D1313" s="3">
        <v>3480.7999999999997</v>
      </c>
      <c r="E1313" s="3">
        <v>0</v>
      </c>
      <c r="F1313" t="s">
        <v>45</v>
      </c>
      <c r="G1313" s="3">
        <f t="shared" si="149"/>
        <v>-3480.7999999999997</v>
      </c>
      <c r="H1313" s="3">
        <f t="shared" si="150"/>
        <v>3480.7999999999997</v>
      </c>
      <c r="I1313" s="5" t="str">
        <f t="shared" si="151"/>
        <v>018</v>
      </c>
      <c r="J1313" s="5" t="str">
        <f t="shared" si="152"/>
        <v>2210</v>
      </c>
      <c r="K1313" s="5" t="str">
        <f t="shared" si="153"/>
        <v>000</v>
      </c>
      <c r="L1313" s="5">
        <f t="shared" si="154"/>
        <v>2</v>
      </c>
      <c r="M1313" s="5">
        <f t="shared" si="155"/>
        <v>2012</v>
      </c>
    </row>
    <row r="1314" spans="1:13" ht="17.45" customHeight="1" x14ac:dyDescent="0.25">
      <c r="A1314" s="1">
        <f>DATE(2012,2,18)</f>
        <v>40957</v>
      </c>
      <c r="B1314" t="s">
        <v>21</v>
      </c>
      <c r="C1314" t="s">
        <v>9</v>
      </c>
      <c r="D1314" s="3">
        <v>982.52700000000004</v>
      </c>
      <c r="E1314" s="3">
        <v>0</v>
      </c>
      <c r="F1314" t="s">
        <v>45</v>
      </c>
      <c r="G1314" s="3">
        <f t="shared" si="149"/>
        <v>-982.52700000000004</v>
      </c>
      <c r="H1314" s="3">
        <f t="shared" si="150"/>
        <v>982.52700000000004</v>
      </c>
      <c r="I1314" s="5" t="str">
        <f t="shared" si="151"/>
        <v>018</v>
      </c>
      <c r="J1314" s="5" t="str">
        <f t="shared" si="152"/>
        <v>2220</v>
      </c>
      <c r="K1314" s="5" t="str">
        <f t="shared" si="153"/>
        <v>000</v>
      </c>
      <c r="L1314" s="5">
        <f t="shared" si="154"/>
        <v>2</v>
      </c>
      <c r="M1314" s="5">
        <f t="shared" si="155"/>
        <v>2012</v>
      </c>
    </row>
    <row r="1315" spans="1:13" ht="17.45" customHeight="1" x14ac:dyDescent="0.25">
      <c r="A1315" s="1">
        <f>DATE(2012,2,18)</f>
        <v>40957</v>
      </c>
      <c r="B1315" t="s">
        <v>22</v>
      </c>
      <c r="C1315" t="s">
        <v>10</v>
      </c>
      <c r="D1315" s="3">
        <v>178.178</v>
      </c>
      <c r="E1315" s="3">
        <v>0</v>
      </c>
      <c r="F1315" t="s">
        <v>45</v>
      </c>
      <c r="G1315" s="3">
        <f t="shared" si="149"/>
        <v>-178.178</v>
      </c>
      <c r="H1315" s="3">
        <f t="shared" si="150"/>
        <v>178.178</v>
      </c>
      <c r="I1315" s="5" t="str">
        <f t="shared" si="151"/>
        <v>018</v>
      </c>
      <c r="J1315" s="5" t="str">
        <f t="shared" si="152"/>
        <v>2230</v>
      </c>
      <c r="K1315" s="5" t="str">
        <f t="shared" si="153"/>
        <v>000</v>
      </c>
      <c r="L1315" s="5">
        <f t="shared" si="154"/>
        <v>2</v>
      </c>
      <c r="M1315" s="5">
        <f t="shared" si="155"/>
        <v>2012</v>
      </c>
    </row>
    <row r="1316" spans="1:13" ht="17.45" customHeight="1" x14ac:dyDescent="0.25">
      <c r="A1316" s="1">
        <f>DATE(2012,2,19)</f>
        <v>40958</v>
      </c>
      <c r="B1316" t="s">
        <v>19</v>
      </c>
      <c r="C1316" t="s">
        <v>6</v>
      </c>
      <c r="D1316" s="3">
        <v>7763.3135999999995</v>
      </c>
      <c r="E1316" s="3">
        <v>0</v>
      </c>
      <c r="F1316" t="s">
        <v>45</v>
      </c>
      <c r="G1316" s="3">
        <f t="shared" si="149"/>
        <v>-7763.3135999999995</v>
      </c>
      <c r="H1316" s="3">
        <f t="shared" si="150"/>
        <v>7763.3135999999995</v>
      </c>
      <c r="I1316" s="5" t="str">
        <f t="shared" si="151"/>
        <v>018</v>
      </c>
      <c r="J1316" s="5" t="str">
        <f t="shared" si="152"/>
        <v>2100</v>
      </c>
      <c r="K1316" s="5" t="str">
        <f t="shared" si="153"/>
        <v>000</v>
      </c>
      <c r="L1316" s="5">
        <f t="shared" si="154"/>
        <v>2</v>
      </c>
      <c r="M1316" s="5">
        <f t="shared" si="155"/>
        <v>2012</v>
      </c>
    </row>
    <row r="1317" spans="1:13" ht="17.45" customHeight="1" x14ac:dyDescent="0.25">
      <c r="A1317" s="1">
        <f>DATE(2012,2,19)</f>
        <v>40958</v>
      </c>
      <c r="B1317" t="s">
        <v>20</v>
      </c>
      <c r="C1317" t="s">
        <v>8</v>
      </c>
      <c r="D1317" s="3">
        <v>1245.3980000000001</v>
      </c>
      <c r="E1317" s="3">
        <v>0</v>
      </c>
      <c r="F1317" t="s">
        <v>45</v>
      </c>
      <c r="G1317" s="3">
        <f t="shared" si="149"/>
        <v>-1245.3980000000001</v>
      </c>
      <c r="H1317" s="3">
        <f t="shared" si="150"/>
        <v>1245.3980000000001</v>
      </c>
      <c r="I1317" s="5" t="str">
        <f t="shared" si="151"/>
        <v>018</v>
      </c>
      <c r="J1317" s="5" t="str">
        <f t="shared" si="152"/>
        <v>2210</v>
      </c>
      <c r="K1317" s="5" t="str">
        <f t="shared" si="153"/>
        <v>000</v>
      </c>
      <c r="L1317" s="5">
        <f t="shared" si="154"/>
        <v>2</v>
      </c>
      <c r="M1317" s="5">
        <f t="shared" si="155"/>
        <v>2012</v>
      </c>
    </row>
    <row r="1318" spans="1:13" ht="17.45" customHeight="1" x14ac:dyDescent="0.25">
      <c r="A1318" s="1">
        <f>DATE(2012,2,19)</f>
        <v>40958</v>
      </c>
      <c r="B1318" t="s">
        <v>21</v>
      </c>
      <c r="C1318" t="s">
        <v>9</v>
      </c>
      <c r="D1318" s="3">
        <v>334.09800000000001</v>
      </c>
      <c r="E1318" s="3">
        <v>0</v>
      </c>
      <c r="F1318" t="s">
        <v>45</v>
      </c>
      <c r="G1318" s="3">
        <f t="shared" si="149"/>
        <v>-334.09800000000001</v>
      </c>
      <c r="H1318" s="3">
        <f t="shared" si="150"/>
        <v>334.09800000000001</v>
      </c>
      <c r="I1318" s="5" t="str">
        <f t="shared" si="151"/>
        <v>018</v>
      </c>
      <c r="J1318" s="5" t="str">
        <f t="shared" si="152"/>
        <v>2220</v>
      </c>
      <c r="K1318" s="5" t="str">
        <f t="shared" si="153"/>
        <v>000</v>
      </c>
      <c r="L1318" s="5">
        <f t="shared" si="154"/>
        <v>2</v>
      </c>
      <c r="M1318" s="5">
        <f t="shared" si="155"/>
        <v>2012</v>
      </c>
    </row>
    <row r="1319" spans="1:13" ht="17.45" customHeight="1" x14ac:dyDescent="0.25">
      <c r="A1319" s="1">
        <f>DATE(2012,2,19)</f>
        <v>40958</v>
      </c>
      <c r="B1319" t="s">
        <v>22</v>
      </c>
      <c r="C1319" t="s">
        <v>10</v>
      </c>
      <c r="D1319" s="3">
        <v>116.43600000000001</v>
      </c>
      <c r="E1319" s="3">
        <v>0</v>
      </c>
      <c r="F1319" t="s">
        <v>45</v>
      </c>
      <c r="G1319" s="3">
        <f t="shared" si="149"/>
        <v>-116.43600000000001</v>
      </c>
      <c r="H1319" s="3">
        <f t="shared" si="150"/>
        <v>116.43600000000001</v>
      </c>
      <c r="I1319" s="5" t="str">
        <f t="shared" si="151"/>
        <v>018</v>
      </c>
      <c r="J1319" s="5" t="str">
        <f t="shared" si="152"/>
        <v>2230</v>
      </c>
      <c r="K1319" s="5" t="str">
        <f t="shared" si="153"/>
        <v>000</v>
      </c>
      <c r="L1319" s="5">
        <f t="shared" si="154"/>
        <v>2</v>
      </c>
      <c r="M1319" s="5">
        <f t="shared" si="155"/>
        <v>2012</v>
      </c>
    </row>
    <row r="1320" spans="1:13" ht="17.45" customHeight="1" x14ac:dyDescent="0.25">
      <c r="A1320" s="1">
        <f>DATE(2012,2,20)</f>
        <v>40959</v>
      </c>
      <c r="B1320" t="s">
        <v>11</v>
      </c>
      <c r="C1320" t="s">
        <v>6</v>
      </c>
      <c r="D1320" s="3">
        <v>5509.4579999999996</v>
      </c>
      <c r="E1320" s="3">
        <v>0</v>
      </c>
      <c r="F1320" t="s">
        <v>45</v>
      </c>
      <c r="G1320" s="3">
        <f t="shared" si="149"/>
        <v>-5509.4579999999996</v>
      </c>
      <c r="H1320" s="3">
        <f t="shared" si="150"/>
        <v>5509.4579999999996</v>
      </c>
      <c r="I1320" s="5" t="str">
        <f t="shared" si="151"/>
        <v>016</v>
      </c>
      <c r="J1320" s="5" t="str">
        <f t="shared" si="152"/>
        <v>2100</v>
      </c>
      <c r="K1320" s="5" t="str">
        <f t="shared" si="153"/>
        <v>000</v>
      </c>
      <c r="L1320" s="5">
        <f t="shared" si="154"/>
        <v>2</v>
      </c>
      <c r="M1320" s="5">
        <f t="shared" si="155"/>
        <v>2012</v>
      </c>
    </row>
    <row r="1321" spans="1:13" ht="17.45" customHeight="1" x14ac:dyDescent="0.25">
      <c r="A1321" s="1">
        <f>DATE(2012,2,20)</f>
        <v>40959</v>
      </c>
      <c r="B1321" t="s">
        <v>12</v>
      </c>
      <c r="C1321" t="s">
        <v>8</v>
      </c>
      <c r="D1321" s="3">
        <v>890.49400000000003</v>
      </c>
      <c r="E1321" s="3">
        <v>0</v>
      </c>
      <c r="F1321" t="s">
        <v>45</v>
      </c>
      <c r="G1321" s="3">
        <f t="shared" si="149"/>
        <v>-890.49400000000003</v>
      </c>
      <c r="H1321" s="3">
        <f t="shared" si="150"/>
        <v>890.49400000000003</v>
      </c>
      <c r="I1321" s="5" t="str">
        <f t="shared" si="151"/>
        <v>016</v>
      </c>
      <c r="J1321" s="5" t="str">
        <f t="shared" si="152"/>
        <v>2210</v>
      </c>
      <c r="K1321" s="5" t="str">
        <f t="shared" si="153"/>
        <v>000</v>
      </c>
      <c r="L1321" s="5">
        <f t="shared" si="154"/>
        <v>2</v>
      </c>
      <c r="M1321" s="5">
        <f t="shared" si="155"/>
        <v>2012</v>
      </c>
    </row>
    <row r="1322" spans="1:13" ht="17.45" customHeight="1" x14ac:dyDescent="0.25">
      <c r="A1322" s="1">
        <f>DATE(2012,2,20)</f>
        <v>40959</v>
      </c>
      <c r="B1322" t="s">
        <v>13</v>
      </c>
      <c r="C1322" t="s">
        <v>9</v>
      </c>
      <c r="D1322" s="3">
        <v>140.55299999999997</v>
      </c>
      <c r="E1322" s="3">
        <v>0</v>
      </c>
      <c r="F1322" t="s">
        <v>45</v>
      </c>
      <c r="G1322" s="3">
        <f t="shared" si="149"/>
        <v>-140.55299999999997</v>
      </c>
      <c r="H1322" s="3">
        <f t="shared" si="150"/>
        <v>140.55299999999997</v>
      </c>
      <c r="I1322" s="5" t="str">
        <f t="shared" si="151"/>
        <v>016</v>
      </c>
      <c r="J1322" s="5" t="str">
        <f t="shared" si="152"/>
        <v>2220</v>
      </c>
      <c r="K1322" s="5" t="str">
        <f t="shared" si="153"/>
        <v>000</v>
      </c>
      <c r="L1322" s="5">
        <f t="shared" si="154"/>
        <v>2</v>
      </c>
      <c r="M1322" s="5">
        <f t="shared" si="155"/>
        <v>2012</v>
      </c>
    </row>
    <row r="1323" spans="1:13" ht="17.45" customHeight="1" x14ac:dyDescent="0.25">
      <c r="A1323" s="1">
        <f>DATE(2012,2,20)</f>
        <v>40959</v>
      </c>
      <c r="B1323" t="s">
        <v>14</v>
      </c>
      <c r="C1323" t="s">
        <v>10</v>
      </c>
      <c r="D1323" s="3">
        <v>143.565</v>
      </c>
      <c r="E1323" s="3">
        <v>0</v>
      </c>
      <c r="F1323" t="s">
        <v>45</v>
      </c>
      <c r="G1323" s="3">
        <f t="shared" si="149"/>
        <v>-143.565</v>
      </c>
      <c r="H1323" s="3">
        <f t="shared" si="150"/>
        <v>143.565</v>
      </c>
      <c r="I1323" s="5" t="str">
        <f t="shared" si="151"/>
        <v>016</v>
      </c>
      <c r="J1323" s="5" t="str">
        <f t="shared" si="152"/>
        <v>2230</v>
      </c>
      <c r="K1323" s="5" t="str">
        <f t="shared" si="153"/>
        <v>000</v>
      </c>
      <c r="L1323" s="5">
        <f t="shared" si="154"/>
        <v>2</v>
      </c>
      <c r="M1323" s="5">
        <f t="shared" si="155"/>
        <v>2012</v>
      </c>
    </row>
    <row r="1324" spans="1:13" ht="17.45" customHeight="1" x14ac:dyDescent="0.25">
      <c r="A1324" s="1">
        <f t="shared" ref="A1324:A1327" si="156">DATE(2012,2,21)</f>
        <v>40960</v>
      </c>
      <c r="B1324" t="s">
        <v>11</v>
      </c>
      <c r="C1324" t="s">
        <v>6</v>
      </c>
      <c r="D1324" s="3">
        <v>3600.1598999999997</v>
      </c>
      <c r="E1324" s="3">
        <v>0</v>
      </c>
      <c r="F1324" t="s">
        <v>45</v>
      </c>
      <c r="G1324" s="3">
        <f t="shared" si="149"/>
        <v>-3600.1598999999997</v>
      </c>
      <c r="H1324" s="3">
        <f t="shared" si="150"/>
        <v>3600.1598999999997</v>
      </c>
      <c r="I1324" s="5" t="str">
        <f t="shared" si="151"/>
        <v>016</v>
      </c>
      <c r="J1324" s="5" t="str">
        <f t="shared" si="152"/>
        <v>2100</v>
      </c>
      <c r="K1324" s="5" t="str">
        <f t="shared" si="153"/>
        <v>000</v>
      </c>
      <c r="L1324" s="5">
        <f t="shared" si="154"/>
        <v>2</v>
      </c>
      <c r="M1324" s="5">
        <f t="shared" si="155"/>
        <v>2012</v>
      </c>
    </row>
    <row r="1325" spans="1:13" ht="17.45" customHeight="1" x14ac:dyDescent="0.25">
      <c r="A1325" s="1">
        <f t="shared" si="156"/>
        <v>40960</v>
      </c>
      <c r="B1325" t="s">
        <v>12</v>
      </c>
      <c r="C1325" t="s">
        <v>8</v>
      </c>
      <c r="D1325" s="3">
        <v>1401.4087999999999</v>
      </c>
      <c r="E1325" s="3">
        <v>0</v>
      </c>
      <c r="F1325" t="s">
        <v>45</v>
      </c>
      <c r="G1325" s="3">
        <f t="shared" si="149"/>
        <v>-1401.4087999999999</v>
      </c>
      <c r="H1325" s="3">
        <f t="shared" si="150"/>
        <v>1401.4087999999999</v>
      </c>
      <c r="I1325" s="5" t="str">
        <f t="shared" si="151"/>
        <v>016</v>
      </c>
      <c r="J1325" s="5" t="str">
        <f t="shared" si="152"/>
        <v>2210</v>
      </c>
      <c r="K1325" s="5" t="str">
        <f t="shared" si="153"/>
        <v>000</v>
      </c>
      <c r="L1325" s="5">
        <f t="shared" si="154"/>
        <v>2</v>
      </c>
      <c r="M1325" s="5">
        <f t="shared" si="155"/>
        <v>2012</v>
      </c>
    </row>
    <row r="1326" spans="1:13" ht="17.45" customHeight="1" x14ac:dyDescent="0.25">
      <c r="A1326" s="1">
        <f t="shared" si="156"/>
        <v>40960</v>
      </c>
      <c r="B1326" t="s">
        <v>13</v>
      </c>
      <c r="C1326" t="s">
        <v>9</v>
      </c>
      <c r="D1326" s="3">
        <v>240.46199999999999</v>
      </c>
      <c r="E1326" s="3">
        <v>0</v>
      </c>
      <c r="F1326" t="s">
        <v>45</v>
      </c>
      <c r="G1326" s="3">
        <f t="shared" si="149"/>
        <v>-240.46199999999999</v>
      </c>
      <c r="H1326" s="3">
        <f t="shared" si="150"/>
        <v>240.46199999999999</v>
      </c>
      <c r="I1326" s="5" t="str">
        <f t="shared" si="151"/>
        <v>016</v>
      </c>
      <c r="J1326" s="5" t="str">
        <f t="shared" si="152"/>
        <v>2220</v>
      </c>
      <c r="K1326" s="5" t="str">
        <f t="shared" si="153"/>
        <v>000</v>
      </c>
      <c r="L1326" s="5">
        <f t="shared" si="154"/>
        <v>2</v>
      </c>
      <c r="M1326" s="5">
        <f t="shared" si="155"/>
        <v>2012</v>
      </c>
    </row>
    <row r="1327" spans="1:13" ht="17.45" customHeight="1" x14ac:dyDescent="0.25">
      <c r="A1327" s="1">
        <f t="shared" si="156"/>
        <v>40960</v>
      </c>
      <c r="B1327" t="s">
        <v>14</v>
      </c>
      <c r="C1327" t="s">
        <v>10</v>
      </c>
      <c r="D1327" s="3">
        <v>173.101</v>
      </c>
      <c r="E1327" s="3">
        <v>0</v>
      </c>
      <c r="F1327" t="s">
        <v>45</v>
      </c>
      <c r="G1327" s="3">
        <f t="shared" si="149"/>
        <v>-173.101</v>
      </c>
      <c r="H1327" s="3">
        <f t="shared" si="150"/>
        <v>173.101</v>
      </c>
      <c r="I1327" s="5" t="str">
        <f t="shared" si="151"/>
        <v>016</v>
      </c>
      <c r="J1327" s="5" t="str">
        <f t="shared" si="152"/>
        <v>2230</v>
      </c>
      <c r="K1327" s="5" t="str">
        <f t="shared" si="153"/>
        <v>000</v>
      </c>
      <c r="L1327" s="5">
        <f t="shared" si="154"/>
        <v>2</v>
      </c>
      <c r="M1327" s="5">
        <f t="shared" si="155"/>
        <v>2012</v>
      </c>
    </row>
    <row r="1328" spans="1:13" ht="17.45" customHeight="1" x14ac:dyDescent="0.25">
      <c r="A1328" s="1">
        <f>DATE(2012,2,22)</f>
        <v>40961</v>
      </c>
      <c r="B1328" t="s">
        <v>11</v>
      </c>
      <c r="C1328" t="s">
        <v>6</v>
      </c>
      <c r="D1328" s="3">
        <v>5213.5092000000004</v>
      </c>
      <c r="E1328" s="3">
        <v>0</v>
      </c>
      <c r="F1328" t="s">
        <v>45</v>
      </c>
      <c r="G1328" s="3">
        <f t="shared" si="149"/>
        <v>-5213.5092000000004</v>
      </c>
      <c r="H1328" s="3">
        <f t="shared" si="150"/>
        <v>5213.5092000000004</v>
      </c>
      <c r="I1328" s="5" t="str">
        <f t="shared" si="151"/>
        <v>016</v>
      </c>
      <c r="J1328" s="5" t="str">
        <f t="shared" si="152"/>
        <v>2100</v>
      </c>
      <c r="K1328" s="5" t="str">
        <f t="shared" si="153"/>
        <v>000</v>
      </c>
      <c r="L1328" s="5">
        <f t="shared" si="154"/>
        <v>2</v>
      </c>
      <c r="M1328" s="5">
        <f t="shared" si="155"/>
        <v>2012</v>
      </c>
    </row>
    <row r="1329" spans="1:13" ht="17.45" customHeight="1" x14ac:dyDescent="0.25">
      <c r="A1329" s="1">
        <f>DATE(2012,2,22)</f>
        <v>40961</v>
      </c>
      <c r="B1329" t="s">
        <v>12</v>
      </c>
      <c r="C1329" t="s">
        <v>8</v>
      </c>
      <c r="D1329" s="3">
        <v>1383.0155</v>
      </c>
      <c r="E1329" s="3">
        <v>0</v>
      </c>
      <c r="F1329" t="s">
        <v>45</v>
      </c>
      <c r="G1329" s="3">
        <f t="shared" si="149"/>
        <v>-1383.0155</v>
      </c>
      <c r="H1329" s="3">
        <f t="shared" si="150"/>
        <v>1383.0155</v>
      </c>
      <c r="I1329" s="5" t="str">
        <f t="shared" si="151"/>
        <v>016</v>
      </c>
      <c r="J1329" s="5" t="str">
        <f t="shared" si="152"/>
        <v>2210</v>
      </c>
      <c r="K1329" s="5" t="str">
        <f t="shared" si="153"/>
        <v>000</v>
      </c>
      <c r="L1329" s="5">
        <f t="shared" si="154"/>
        <v>2</v>
      </c>
      <c r="M1329" s="5">
        <f t="shared" si="155"/>
        <v>2012</v>
      </c>
    </row>
    <row r="1330" spans="1:13" ht="17.45" customHeight="1" x14ac:dyDescent="0.25">
      <c r="A1330" s="1">
        <f>DATE(2012,2,22)</f>
        <v>40961</v>
      </c>
      <c r="B1330" t="s">
        <v>13</v>
      </c>
      <c r="C1330" t="s">
        <v>9</v>
      </c>
      <c r="D1330" s="3">
        <v>171.31199999999998</v>
      </c>
      <c r="E1330" s="3">
        <v>0</v>
      </c>
      <c r="F1330" t="s">
        <v>45</v>
      </c>
      <c r="G1330" s="3">
        <f t="shared" si="149"/>
        <v>-171.31199999999998</v>
      </c>
      <c r="H1330" s="3">
        <f t="shared" si="150"/>
        <v>171.31199999999998</v>
      </c>
      <c r="I1330" s="5" t="str">
        <f t="shared" si="151"/>
        <v>016</v>
      </c>
      <c r="J1330" s="5" t="str">
        <f t="shared" si="152"/>
        <v>2220</v>
      </c>
      <c r="K1330" s="5" t="str">
        <f t="shared" si="153"/>
        <v>000</v>
      </c>
      <c r="L1330" s="5">
        <f t="shared" si="154"/>
        <v>2</v>
      </c>
      <c r="M1330" s="5">
        <f t="shared" si="155"/>
        <v>2012</v>
      </c>
    </row>
    <row r="1331" spans="1:13" ht="17.45" customHeight="1" x14ac:dyDescent="0.25">
      <c r="A1331" s="1">
        <f>DATE(2012,2,22)</f>
        <v>40961</v>
      </c>
      <c r="B1331" t="s">
        <v>14</v>
      </c>
      <c r="C1331" t="s">
        <v>10</v>
      </c>
      <c r="D1331" s="3">
        <v>157.82600000000002</v>
      </c>
      <c r="E1331" s="3">
        <v>0</v>
      </c>
      <c r="F1331" t="s">
        <v>45</v>
      </c>
      <c r="G1331" s="3">
        <f t="shared" si="149"/>
        <v>-157.82600000000002</v>
      </c>
      <c r="H1331" s="3">
        <f t="shared" si="150"/>
        <v>157.82600000000002</v>
      </c>
      <c r="I1331" s="5" t="str">
        <f t="shared" si="151"/>
        <v>016</v>
      </c>
      <c r="J1331" s="5" t="str">
        <f t="shared" si="152"/>
        <v>2230</v>
      </c>
      <c r="K1331" s="5" t="str">
        <f t="shared" si="153"/>
        <v>000</v>
      </c>
      <c r="L1331" s="5">
        <f t="shared" si="154"/>
        <v>2</v>
      </c>
      <c r="M1331" s="5">
        <f t="shared" si="155"/>
        <v>2012</v>
      </c>
    </row>
    <row r="1332" spans="1:13" ht="17.45" customHeight="1" x14ac:dyDescent="0.25">
      <c r="A1332" s="1">
        <f>DATE(2012,2,23)</f>
        <v>40962</v>
      </c>
      <c r="B1332" t="s">
        <v>11</v>
      </c>
      <c r="C1332" t="s">
        <v>6</v>
      </c>
      <c r="D1332" s="3">
        <v>3749.7179999999998</v>
      </c>
      <c r="E1332" s="3">
        <v>0</v>
      </c>
      <c r="F1332" t="s">
        <v>45</v>
      </c>
      <c r="G1332" s="3">
        <f t="shared" si="149"/>
        <v>-3749.7179999999998</v>
      </c>
      <c r="H1332" s="3">
        <f t="shared" si="150"/>
        <v>3749.7179999999998</v>
      </c>
      <c r="I1332" s="5" t="str">
        <f t="shared" si="151"/>
        <v>016</v>
      </c>
      <c r="J1332" s="5" t="str">
        <f t="shared" si="152"/>
        <v>2100</v>
      </c>
      <c r="K1332" s="5" t="str">
        <f t="shared" si="153"/>
        <v>000</v>
      </c>
      <c r="L1332" s="5">
        <f t="shared" si="154"/>
        <v>2</v>
      </c>
      <c r="M1332" s="5">
        <f t="shared" si="155"/>
        <v>2012</v>
      </c>
    </row>
    <row r="1333" spans="1:13" ht="17.45" customHeight="1" x14ac:dyDescent="0.25">
      <c r="A1333" s="1">
        <f>DATE(2012,2,23)</f>
        <v>40962</v>
      </c>
      <c r="B1333" t="s">
        <v>12</v>
      </c>
      <c r="C1333" t="s">
        <v>8</v>
      </c>
      <c r="D1333" s="3">
        <v>1750.4425000000001</v>
      </c>
      <c r="E1333" s="3">
        <v>0</v>
      </c>
      <c r="F1333" t="s">
        <v>45</v>
      </c>
      <c r="G1333" s="3">
        <f t="shared" si="149"/>
        <v>-1750.4425000000001</v>
      </c>
      <c r="H1333" s="3">
        <f t="shared" si="150"/>
        <v>1750.4425000000001</v>
      </c>
      <c r="I1333" s="5" t="str">
        <f t="shared" si="151"/>
        <v>016</v>
      </c>
      <c r="J1333" s="5" t="str">
        <f t="shared" si="152"/>
        <v>2210</v>
      </c>
      <c r="K1333" s="5" t="str">
        <f t="shared" si="153"/>
        <v>000</v>
      </c>
      <c r="L1333" s="5">
        <f t="shared" si="154"/>
        <v>2</v>
      </c>
      <c r="M1333" s="5">
        <f t="shared" si="155"/>
        <v>2012</v>
      </c>
    </row>
    <row r="1334" spans="1:13" ht="17.45" customHeight="1" x14ac:dyDescent="0.25">
      <c r="A1334" s="1">
        <f>DATE(2012,2,23)</f>
        <v>40962</v>
      </c>
      <c r="B1334" t="s">
        <v>13</v>
      </c>
      <c r="C1334" t="s">
        <v>9</v>
      </c>
      <c r="D1334" s="3">
        <v>254.43</v>
      </c>
      <c r="E1334" s="3">
        <v>0</v>
      </c>
      <c r="F1334" t="s">
        <v>45</v>
      </c>
      <c r="G1334" s="3">
        <f t="shared" si="149"/>
        <v>-254.43</v>
      </c>
      <c r="H1334" s="3">
        <f t="shared" si="150"/>
        <v>254.43</v>
      </c>
      <c r="I1334" s="5" t="str">
        <f t="shared" si="151"/>
        <v>016</v>
      </c>
      <c r="J1334" s="5" t="str">
        <f t="shared" si="152"/>
        <v>2220</v>
      </c>
      <c r="K1334" s="5" t="str">
        <f t="shared" si="153"/>
        <v>000</v>
      </c>
      <c r="L1334" s="5">
        <f t="shared" si="154"/>
        <v>2</v>
      </c>
      <c r="M1334" s="5">
        <f t="shared" si="155"/>
        <v>2012</v>
      </c>
    </row>
    <row r="1335" spans="1:13" ht="17.45" customHeight="1" x14ac:dyDescent="0.25">
      <c r="A1335" s="1">
        <f>DATE(2012,2,23)</f>
        <v>40962</v>
      </c>
      <c r="B1335" t="s">
        <v>14</v>
      </c>
      <c r="C1335" t="s">
        <v>10</v>
      </c>
      <c r="D1335" s="3">
        <v>66.497</v>
      </c>
      <c r="E1335" s="3">
        <v>0</v>
      </c>
      <c r="F1335" t="s">
        <v>45</v>
      </c>
      <c r="G1335" s="3">
        <f t="shared" si="149"/>
        <v>-66.497</v>
      </c>
      <c r="H1335" s="3">
        <f t="shared" si="150"/>
        <v>66.497</v>
      </c>
      <c r="I1335" s="5" t="str">
        <f t="shared" si="151"/>
        <v>016</v>
      </c>
      <c r="J1335" s="5" t="str">
        <f t="shared" si="152"/>
        <v>2230</v>
      </c>
      <c r="K1335" s="5" t="str">
        <f t="shared" si="153"/>
        <v>000</v>
      </c>
      <c r="L1335" s="5">
        <f t="shared" si="154"/>
        <v>2</v>
      </c>
      <c r="M1335" s="5">
        <f t="shared" si="155"/>
        <v>2012</v>
      </c>
    </row>
    <row r="1336" spans="1:13" ht="17.45" customHeight="1" x14ac:dyDescent="0.25">
      <c r="A1336" s="1">
        <f>DATE(2012,2,24)</f>
        <v>40963</v>
      </c>
      <c r="B1336" t="s">
        <v>11</v>
      </c>
      <c r="C1336" t="s">
        <v>6</v>
      </c>
      <c r="D1336" s="3">
        <v>9187.7759999999998</v>
      </c>
      <c r="E1336" s="3">
        <v>0</v>
      </c>
      <c r="F1336" t="s">
        <v>45</v>
      </c>
      <c r="G1336" s="3">
        <f t="shared" si="149"/>
        <v>-9187.7759999999998</v>
      </c>
      <c r="H1336" s="3">
        <f t="shared" si="150"/>
        <v>9187.7759999999998</v>
      </c>
      <c r="I1336" s="5" t="str">
        <f t="shared" si="151"/>
        <v>016</v>
      </c>
      <c r="J1336" s="5" t="str">
        <f t="shared" si="152"/>
        <v>2100</v>
      </c>
      <c r="K1336" s="5" t="str">
        <f t="shared" si="153"/>
        <v>000</v>
      </c>
      <c r="L1336" s="5">
        <f t="shared" si="154"/>
        <v>2</v>
      </c>
      <c r="M1336" s="5">
        <f t="shared" si="155"/>
        <v>2012</v>
      </c>
    </row>
    <row r="1337" spans="1:13" ht="17.45" customHeight="1" x14ac:dyDescent="0.25">
      <c r="A1337" s="1">
        <f>DATE(2012,2,24)</f>
        <v>40963</v>
      </c>
      <c r="B1337" t="s">
        <v>12</v>
      </c>
      <c r="C1337" t="s">
        <v>8</v>
      </c>
      <c r="D1337" s="3">
        <v>3349.4880000000003</v>
      </c>
      <c r="E1337" s="3">
        <v>0</v>
      </c>
      <c r="F1337" t="s">
        <v>45</v>
      </c>
      <c r="G1337" s="3">
        <f t="shared" si="149"/>
        <v>-3349.4880000000003</v>
      </c>
      <c r="H1337" s="3">
        <f t="shared" si="150"/>
        <v>3349.4880000000003</v>
      </c>
      <c r="I1337" s="5" t="str">
        <f t="shared" si="151"/>
        <v>016</v>
      </c>
      <c r="J1337" s="5" t="str">
        <f t="shared" si="152"/>
        <v>2210</v>
      </c>
      <c r="K1337" s="5" t="str">
        <f t="shared" si="153"/>
        <v>000</v>
      </c>
      <c r="L1337" s="5">
        <f t="shared" si="154"/>
        <v>2</v>
      </c>
      <c r="M1337" s="5">
        <f t="shared" si="155"/>
        <v>2012</v>
      </c>
    </row>
    <row r="1338" spans="1:13" ht="17.45" customHeight="1" x14ac:dyDescent="0.25">
      <c r="A1338" s="1">
        <f>DATE(2012,2,24)</f>
        <v>40963</v>
      </c>
      <c r="B1338" t="s">
        <v>13</v>
      </c>
      <c r="C1338" t="s">
        <v>9</v>
      </c>
      <c r="D1338" s="3">
        <v>328.14</v>
      </c>
      <c r="E1338" s="3">
        <v>0</v>
      </c>
      <c r="F1338" t="s">
        <v>45</v>
      </c>
      <c r="G1338" s="3">
        <f t="shared" si="149"/>
        <v>-328.14</v>
      </c>
      <c r="H1338" s="3">
        <f t="shared" si="150"/>
        <v>328.14</v>
      </c>
      <c r="I1338" s="5" t="str">
        <f t="shared" si="151"/>
        <v>016</v>
      </c>
      <c r="J1338" s="5" t="str">
        <f t="shared" si="152"/>
        <v>2220</v>
      </c>
      <c r="K1338" s="5" t="str">
        <f t="shared" si="153"/>
        <v>000</v>
      </c>
      <c r="L1338" s="5">
        <f t="shared" si="154"/>
        <v>2</v>
      </c>
      <c r="M1338" s="5">
        <f t="shared" si="155"/>
        <v>2012</v>
      </c>
    </row>
    <row r="1339" spans="1:13" ht="17.45" customHeight="1" x14ac:dyDescent="0.25">
      <c r="A1339" s="1">
        <f>DATE(2012,2,24)</f>
        <v>40963</v>
      </c>
      <c r="B1339" t="s">
        <v>14</v>
      </c>
      <c r="C1339" t="s">
        <v>10</v>
      </c>
      <c r="D1339" s="3">
        <v>214.785</v>
      </c>
      <c r="E1339" s="3">
        <v>0</v>
      </c>
      <c r="F1339" t="s">
        <v>45</v>
      </c>
      <c r="G1339" s="3">
        <f t="shared" si="149"/>
        <v>-214.785</v>
      </c>
      <c r="H1339" s="3">
        <f t="shared" si="150"/>
        <v>214.785</v>
      </c>
      <c r="I1339" s="5" t="str">
        <f t="shared" si="151"/>
        <v>016</v>
      </c>
      <c r="J1339" s="5" t="str">
        <f t="shared" si="152"/>
        <v>2230</v>
      </c>
      <c r="K1339" s="5" t="str">
        <f t="shared" si="153"/>
        <v>000</v>
      </c>
      <c r="L1339" s="5">
        <f t="shared" si="154"/>
        <v>2</v>
      </c>
      <c r="M1339" s="5">
        <f t="shared" si="155"/>
        <v>2012</v>
      </c>
    </row>
    <row r="1340" spans="1:13" ht="17.45" customHeight="1" x14ac:dyDescent="0.25">
      <c r="A1340" s="1">
        <f t="shared" ref="A1340:A1343" si="157">DATE(2012,2,25)</f>
        <v>40964</v>
      </c>
      <c r="B1340" t="s">
        <v>11</v>
      </c>
      <c r="C1340" t="s">
        <v>6</v>
      </c>
      <c r="D1340" s="3">
        <v>7843.6575000000003</v>
      </c>
      <c r="E1340" s="3">
        <v>0</v>
      </c>
      <c r="F1340" t="s">
        <v>45</v>
      </c>
      <c r="G1340" s="3">
        <f t="shared" si="149"/>
        <v>-7843.6575000000003</v>
      </c>
      <c r="H1340" s="3">
        <f t="shared" si="150"/>
        <v>7843.6575000000003</v>
      </c>
      <c r="I1340" s="5" t="str">
        <f t="shared" si="151"/>
        <v>016</v>
      </c>
      <c r="J1340" s="5" t="str">
        <f t="shared" si="152"/>
        <v>2100</v>
      </c>
      <c r="K1340" s="5" t="str">
        <f t="shared" si="153"/>
        <v>000</v>
      </c>
      <c r="L1340" s="5">
        <f t="shared" si="154"/>
        <v>2</v>
      </c>
      <c r="M1340" s="5">
        <f t="shared" si="155"/>
        <v>2012</v>
      </c>
    </row>
    <row r="1341" spans="1:13" ht="17.45" customHeight="1" x14ac:dyDescent="0.25">
      <c r="A1341" s="1">
        <f t="shared" si="157"/>
        <v>40964</v>
      </c>
      <c r="B1341" t="s">
        <v>12</v>
      </c>
      <c r="C1341" t="s">
        <v>8</v>
      </c>
      <c r="D1341" s="3">
        <v>3290.0160000000001</v>
      </c>
      <c r="E1341" s="3">
        <v>0</v>
      </c>
      <c r="F1341" t="s">
        <v>45</v>
      </c>
      <c r="G1341" s="3">
        <f t="shared" si="149"/>
        <v>-3290.0160000000001</v>
      </c>
      <c r="H1341" s="3">
        <f t="shared" si="150"/>
        <v>3290.0160000000001</v>
      </c>
      <c r="I1341" s="5" t="str">
        <f t="shared" si="151"/>
        <v>016</v>
      </c>
      <c r="J1341" s="5" t="str">
        <f t="shared" si="152"/>
        <v>2210</v>
      </c>
      <c r="K1341" s="5" t="str">
        <f t="shared" si="153"/>
        <v>000</v>
      </c>
      <c r="L1341" s="5">
        <f t="shared" si="154"/>
        <v>2</v>
      </c>
      <c r="M1341" s="5">
        <f t="shared" si="155"/>
        <v>2012</v>
      </c>
    </row>
    <row r="1342" spans="1:13" ht="17.45" customHeight="1" x14ac:dyDescent="0.25">
      <c r="A1342" s="1">
        <f t="shared" si="157"/>
        <v>40964</v>
      </c>
      <c r="B1342" t="s">
        <v>13</v>
      </c>
      <c r="C1342" t="s">
        <v>9</v>
      </c>
      <c r="D1342" s="3">
        <v>684.495</v>
      </c>
      <c r="E1342" s="3">
        <v>0</v>
      </c>
      <c r="F1342" t="s">
        <v>45</v>
      </c>
      <c r="G1342" s="3">
        <f t="shared" si="149"/>
        <v>-684.495</v>
      </c>
      <c r="H1342" s="3">
        <f t="shared" si="150"/>
        <v>684.495</v>
      </c>
      <c r="I1342" s="5" t="str">
        <f t="shared" si="151"/>
        <v>016</v>
      </c>
      <c r="J1342" s="5" t="str">
        <f t="shared" si="152"/>
        <v>2220</v>
      </c>
      <c r="K1342" s="5" t="str">
        <f t="shared" si="153"/>
        <v>000</v>
      </c>
      <c r="L1342" s="5">
        <f t="shared" si="154"/>
        <v>2</v>
      </c>
      <c r="M1342" s="5">
        <f t="shared" si="155"/>
        <v>2012</v>
      </c>
    </row>
    <row r="1343" spans="1:13" ht="17.45" customHeight="1" x14ac:dyDescent="0.25">
      <c r="A1343" s="1">
        <f t="shared" si="157"/>
        <v>40964</v>
      </c>
      <c r="B1343" t="s">
        <v>14</v>
      </c>
      <c r="C1343" t="s">
        <v>10</v>
      </c>
      <c r="D1343" s="3">
        <v>270.93599999999998</v>
      </c>
      <c r="E1343" s="3">
        <v>0</v>
      </c>
      <c r="F1343" t="s">
        <v>45</v>
      </c>
      <c r="G1343" s="3">
        <f t="shared" si="149"/>
        <v>-270.93599999999998</v>
      </c>
      <c r="H1343" s="3">
        <f t="shared" si="150"/>
        <v>270.93599999999998</v>
      </c>
      <c r="I1343" s="5" t="str">
        <f t="shared" si="151"/>
        <v>016</v>
      </c>
      <c r="J1343" s="5" t="str">
        <f t="shared" si="152"/>
        <v>2230</v>
      </c>
      <c r="K1343" s="5" t="str">
        <f t="shared" si="153"/>
        <v>000</v>
      </c>
      <c r="L1343" s="5">
        <f t="shared" si="154"/>
        <v>2</v>
      </c>
      <c r="M1343" s="5">
        <f t="shared" si="155"/>
        <v>2012</v>
      </c>
    </row>
    <row r="1344" spans="1:13" ht="17.45" customHeight="1" x14ac:dyDescent="0.25">
      <c r="A1344" s="1">
        <f>DATE(2012,2,26)</f>
        <v>40965</v>
      </c>
      <c r="B1344" t="s">
        <v>11</v>
      </c>
      <c r="C1344" t="s">
        <v>6</v>
      </c>
      <c r="D1344" s="3">
        <v>6080.1895000000004</v>
      </c>
      <c r="E1344" s="3">
        <v>0</v>
      </c>
      <c r="F1344" t="s">
        <v>45</v>
      </c>
      <c r="G1344" s="3">
        <f t="shared" si="149"/>
        <v>-6080.1895000000004</v>
      </c>
      <c r="H1344" s="3">
        <f t="shared" si="150"/>
        <v>6080.1895000000004</v>
      </c>
      <c r="I1344" s="5" t="str">
        <f t="shared" si="151"/>
        <v>016</v>
      </c>
      <c r="J1344" s="5" t="str">
        <f t="shared" si="152"/>
        <v>2100</v>
      </c>
      <c r="K1344" s="5" t="str">
        <f t="shared" si="153"/>
        <v>000</v>
      </c>
      <c r="L1344" s="5">
        <f t="shared" si="154"/>
        <v>2</v>
      </c>
      <c r="M1344" s="5">
        <f t="shared" si="155"/>
        <v>2012</v>
      </c>
    </row>
    <row r="1345" spans="1:13" ht="17.45" customHeight="1" x14ac:dyDescent="0.25">
      <c r="A1345" s="1">
        <f>DATE(2012,2,26)</f>
        <v>40965</v>
      </c>
      <c r="B1345" t="s">
        <v>12</v>
      </c>
      <c r="C1345" t="s">
        <v>8</v>
      </c>
      <c r="D1345" s="3">
        <v>2159.5030000000002</v>
      </c>
      <c r="E1345" s="3">
        <v>0</v>
      </c>
      <c r="F1345" t="s">
        <v>45</v>
      </c>
      <c r="G1345" s="3">
        <f t="shared" si="149"/>
        <v>-2159.5030000000002</v>
      </c>
      <c r="H1345" s="3">
        <f t="shared" si="150"/>
        <v>2159.5030000000002</v>
      </c>
      <c r="I1345" s="5" t="str">
        <f t="shared" si="151"/>
        <v>016</v>
      </c>
      <c r="J1345" s="5" t="str">
        <f t="shared" si="152"/>
        <v>2210</v>
      </c>
      <c r="K1345" s="5" t="str">
        <f t="shared" si="153"/>
        <v>000</v>
      </c>
      <c r="L1345" s="5">
        <f t="shared" si="154"/>
        <v>2</v>
      </c>
      <c r="M1345" s="5">
        <f t="shared" si="155"/>
        <v>2012</v>
      </c>
    </row>
    <row r="1346" spans="1:13" ht="17.45" customHeight="1" x14ac:dyDescent="0.25">
      <c r="A1346" s="1">
        <f>DATE(2012,2,26)</f>
        <v>40965</v>
      </c>
      <c r="B1346" t="s">
        <v>13</v>
      </c>
      <c r="C1346" t="s">
        <v>9</v>
      </c>
      <c r="D1346" s="3">
        <v>278.88000000000005</v>
      </c>
      <c r="E1346" s="3">
        <v>0</v>
      </c>
      <c r="F1346" t="s">
        <v>45</v>
      </c>
      <c r="G1346" s="3">
        <f t="shared" ref="G1346:G1409" si="158">E1346-D1346</f>
        <v>-278.88000000000005</v>
      </c>
      <c r="H1346" s="3">
        <f t="shared" ref="H1346:H1409" si="159">ABS(G1346)</f>
        <v>278.88000000000005</v>
      </c>
      <c r="I1346" s="5" t="str">
        <f t="shared" ref="I1346:I1409" si="160">MID(B1346,1,3)</f>
        <v>016</v>
      </c>
      <c r="J1346" s="5" t="str">
        <f t="shared" ref="J1346:J1409" si="161">MID(B1346,5,4)</f>
        <v>2220</v>
      </c>
      <c r="K1346" s="5" t="str">
        <f t="shared" ref="K1346:K1409" si="162">MID(B1346,10,3)</f>
        <v>000</v>
      </c>
      <c r="L1346" s="5">
        <f t="shared" ref="L1346:L1409" si="163">MONTH(A1346)</f>
        <v>2</v>
      </c>
      <c r="M1346" s="5">
        <f t="shared" ref="M1346:M1409" si="164">YEAR(A1346)</f>
        <v>2012</v>
      </c>
    </row>
    <row r="1347" spans="1:13" ht="17.45" customHeight="1" x14ac:dyDescent="0.25">
      <c r="A1347" s="1">
        <f>DATE(2012,2,26)</f>
        <v>40965</v>
      </c>
      <c r="B1347" t="s">
        <v>14</v>
      </c>
      <c r="C1347" t="s">
        <v>10</v>
      </c>
      <c r="D1347" s="3">
        <v>177.16099999999997</v>
      </c>
      <c r="E1347" s="3">
        <v>0</v>
      </c>
      <c r="F1347" t="s">
        <v>45</v>
      </c>
      <c r="G1347" s="3">
        <f t="shared" si="158"/>
        <v>-177.16099999999997</v>
      </c>
      <c r="H1347" s="3">
        <f t="shared" si="159"/>
        <v>177.16099999999997</v>
      </c>
      <c r="I1347" s="5" t="str">
        <f t="shared" si="160"/>
        <v>016</v>
      </c>
      <c r="J1347" s="5" t="str">
        <f t="shared" si="161"/>
        <v>2230</v>
      </c>
      <c r="K1347" s="5" t="str">
        <f t="shared" si="162"/>
        <v>000</v>
      </c>
      <c r="L1347" s="5">
        <f t="shared" si="163"/>
        <v>2</v>
      </c>
      <c r="M1347" s="5">
        <f t="shared" si="164"/>
        <v>2012</v>
      </c>
    </row>
    <row r="1348" spans="1:13" ht="17.45" customHeight="1" x14ac:dyDescent="0.25">
      <c r="A1348" s="1">
        <f>DATE(2012,2,20)</f>
        <v>40959</v>
      </c>
      <c r="B1348" t="s">
        <v>15</v>
      </c>
      <c r="C1348" t="s">
        <v>6</v>
      </c>
      <c r="D1348" s="3">
        <v>4283.3940000000002</v>
      </c>
      <c r="E1348" s="3">
        <v>0</v>
      </c>
      <c r="F1348" t="s">
        <v>45</v>
      </c>
      <c r="G1348" s="3">
        <f t="shared" si="158"/>
        <v>-4283.3940000000002</v>
      </c>
      <c r="H1348" s="3">
        <f t="shared" si="159"/>
        <v>4283.3940000000002</v>
      </c>
      <c r="I1348" s="5" t="str">
        <f t="shared" si="160"/>
        <v>017</v>
      </c>
      <c r="J1348" s="5" t="str">
        <f t="shared" si="161"/>
        <v>2100</v>
      </c>
      <c r="K1348" s="5" t="str">
        <f t="shared" si="162"/>
        <v>000</v>
      </c>
      <c r="L1348" s="5">
        <f t="shared" si="163"/>
        <v>2</v>
      </c>
      <c r="M1348" s="5">
        <f t="shared" si="164"/>
        <v>2012</v>
      </c>
    </row>
    <row r="1349" spans="1:13" ht="17.45" customHeight="1" x14ac:dyDescent="0.25">
      <c r="A1349" s="1">
        <f>DATE(2012,2,20)</f>
        <v>40959</v>
      </c>
      <c r="B1349" t="s">
        <v>16</v>
      </c>
      <c r="C1349" t="s">
        <v>8</v>
      </c>
      <c r="D1349" s="3">
        <v>915.38200000000018</v>
      </c>
      <c r="E1349" s="3">
        <v>0</v>
      </c>
      <c r="F1349" t="s">
        <v>45</v>
      </c>
      <c r="G1349" s="3">
        <f t="shared" si="158"/>
        <v>-915.38200000000018</v>
      </c>
      <c r="H1349" s="3">
        <f t="shared" si="159"/>
        <v>915.38200000000018</v>
      </c>
      <c r="I1349" s="5" t="str">
        <f t="shared" si="160"/>
        <v>017</v>
      </c>
      <c r="J1349" s="5" t="str">
        <f t="shared" si="161"/>
        <v>2210</v>
      </c>
      <c r="K1349" s="5" t="str">
        <f t="shared" si="162"/>
        <v>000</v>
      </c>
      <c r="L1349" s="5">
        <f t="shared" si="163"/>
        <v>2</v>
      </c>
      <c r="M1349" s="5">
        <f t="shared" si="164"/>
        <v>2012</v>
      </c>
    </row>
    <row r="1350" spans="1:13" ht="17.45" customHeight="1" x14ac:dyDescent="0.25">
      <c r="A1350" s="1">
        <f>DATE(2012,2,20)</f>
        <v>40959</v>
      </c>
      <c r="B1350" t="s">
        <v>17</v>
      </c>
      <c r="C1350" t="s">
        <v>9</v>
      </c>
      <c r="D1350" s="3">
        <v>325.62</v>
      </c>
      <c r="E1350" s="3">
        <v>0</v>
      </c>
      <c r="F1350" t="s">
        <v>45</v>
      </c>
      <c r="G1350" s="3">
        <f t="shared" si="158"/>
        <v>-325.62</v>
      </c>
      <c r="H1350" s="3">
        <f t="shared" si="159"/>
        <v>325.62</v>
      </c>
      <c r="I1350" s="5" t="str">
        <f t="shared" si="160"/>
        <v>017</v>
      </c>
      <c r="J1350" s="5" t="str">
        <f t="shared" si="161"/>
        <v>2220</v>
      </c>
      <c r="K1350" s="5" t="str">
        <f t="shared" si="162"/>
        <v>000</v>
      </c>
      <c r="L1350" s="5">
        <f t="shared" si="163"/>
        <v>2</v>
      </c>
      <c r="M1350" s="5">
        <f t="shared" si="164"/>
        <v>2012</v>
      </c>
    </row>
    <row r="1351" spans="1:13" ht="17.45" customHeight="1" x14ac:dyDescent="0.25">
      <c r="A1351" s="1">
        <f>DATE(2012,2,20)</f>
        <v>40959</v>
      </c>
      <c r="B1351" t="s">
        <v>18</v>
      </c>
      <c r="C1351" t="s">
        <v>10</v>
      </c>
      <c r="D1351" s="3">
        <v>68.105500000000006</v>
      </c>
      <c r="E1351" s="3">
        <v>0</v>
      </c>
      <c r="F1351" t="s">
        <v>45</v>
      </c>
      <c r="G1351" s="3">
        <f t="shared" si="158"/>
        <v>-68.105500000000006</v>
      </c>
      <c r="H1351" s="3">
        <f t="shared" si="159"/>
        <v>68.105500000000006</v>
      </c>
      <c r="I1351" s="5" t="str">
        <f t="shared" si="160"/>
        <v>017</v>
      </c>
      <c r="J1351" s="5" t="str">
        <f t="shared" si="161"/>
        <v>2230</v>
      </c>
      <c r="K1351" s="5" t="str">
        <f t="shared" si="162"/>
        <v>000</v>
      </c>
      <c r="L1351" s="5">
        <f t="shared" si="163"/>
        <v>2</v>
      </c>
      <c r="M1351" s="5">
        <f t="shared" si="164"/>
        <v>2012</v>
      </c>
    </row>
    <row r="1352" spans="1:13" ht="17.45" customHeight="1" x14ac:dyDescent="0.25">
      <c r="A1352" s="1">
        <f>DATE(2012,2,21)</f>
        <v>40960</v>
      </c>
      <c r="B1352" t="s">
        <v>15</v>
      </c>
      <c r="C1352" t="s">
        <v>6</v>
      </c>
      <c r="D1352" s="3">
        <v>5453.8440000000001</v>
      </c>
      <c r="E1352" s="3">
        <v>0</v>
      </c>
      <c r="F1352" t="s">
        <v>45</v>
      </c>
      <c r="G1352" s="3">
        <f t="shared" si="158"/>
        <v>-5453.8440000000001</v>
      </c>
      <c r="H1352" s="3">
        <f t="shared" si="159"/>
        <v>5453.8440000000001</v>
      </c>
      <c r="I1352" s="5" t="str">
        <f t="shared" si="160"/>
        <v>017</v>
      </c>
      <c r="J1352" s="5" t="str">
        <f t="shared" si="161"/>
        <v>2100</v>
      </c>
      <c r="K1352" s="5" t="str">
        <f t="shared" si="162"/>
        <v>000</v>
      </c>
      <c r="L1352" s="5">
        <f t="shared" si="163"/>
        <v>2</v>
      </c>
      <c r="M1352" s="5">
        <f t="shared" si="164"/>
        <v>2012</v>
      </c>
    </row>
    <row r="1353" spans="1:13" ht="17.45" customHeight="1" x14ac:dyDescent="0.25">
      <c r="A1353" s="1">
        <f>DATE(2012,2,21)</f>
        <v>40960</v>
      </c>
      <c r="B1353" t="s">
        <v>16</v>
      </c>
      <c r="C1353" t="s">
        <v>8</v>
      </c>
      <c r="D1353" s="3">
        <v>1214.9835</v>
      </c>
      <c r="E1353" s="3">
        <v>0</v>
      </c>
      <c r="F1353" t="s">
        <v>45</v>
      </c>
      <c r="G1353" s="3">
        <f t="shared" si="158"/>
        <v>-1214.9835</v>
      </c>
      <c r="H1353" s="3">
        <f t="shared" si="159"/>
        <v>1214.9835</v>
      </c>
      <c r="I1353" s="5" t="str">
        <f t="shared" si="160"/>
        <v>017</v>
      </c>
      <c r="J1353" s="5" t="str">
        <f t="shared" si="161"/>
        <v>2210</v>
      </c>
      <c r="K1353" s="5" t="str">
        <f t="shared" si="162"/>
        <v>000</v>
      </c>
      <c r="L1353" s="5">
        <f t="shared" si="163"/>
        <v>2</v>
      </c>
      <c r="M1353" s="5">
        <f t="shared" si="164"/>
        <v>2012</v>
      </c>
    </row>
    <row r="1354" spans="1:13" ht="17.45" customHeight="1" x14ac:dyDescent="0.25">
      <c r="A1354" s="1">
        <f>DATE(2012,2,21)</f>
        <v>40960</v>
      </c>
      <c r="B1354" t="s">
        <v>17</v>
      </c>
      <c r="C1354" t="s">
        <v>9</v>
      </c>
      <c r="D1354" s="3">
        <v>355.98750000000001</v>
      </c>
      <c r="E1354" s="3">
        <v>0</v>
      </c>
      <c r="F1354" t="s">
        <v>45</v>
      </c>
      <c r="G1354" s="3">
        <f t="shared" si="158"/>
        <v>-355.98750000000001</v>
      </c>
      <c r="H1354" s="3">
        <f t="shared" si="159"/>
        <v>355.98750000000001</v>
      </c>
      <c r="I1354" s="5" t="str">
        <f t="shared" si="160"/>
        <v>017</v>
      </c>
      <c r="J1354" s="5" t="str">
        <f t="shared" si="161"/>
        <v>2220</v>
      </c>
      <c r="K1354" s="5" t="str">
        <f t="shared" si="162"/>
        <v>000</v>
      </c>
      <c r="L1354" s="5">
        <f t="shared" si="163"/>
        <v>2</v>
      </c>
      <c r="M1354" s="5">
        <f t="shared" si="164"/>
        <v>2012</v>
      </c>
    </row>
    <row r="1355" spans="1:13" ht="17.45" customHeight="1" x14ac:dyDescent="0.25">
      <c r="A1355" s="1">
        <f>DATE(2012,2,21)</f>
        <v>40960</v>
      </c>
      <c r="B1355" t="s">
        <v>18</v>
      </c>
      <c r="C1355" t="s">
        <v>10</v>
      </c>
      <c r="D1355" s="3">
        <v>91.552499999999995</v>
      </c>
      <c r="E1355" s="3">
        <v>0</v>
      </c>
      <c r="F1355" t="s">
        <v>45</v>
      </c>
      <c r="G1355" s="3">
        <f t="shared" si="158"/>
        <v>-91.552499999999995</v>
      </c>
      <c r="H1355" s="3">
        <f t="shared" si="159"/>
        <v>91.552499999999995</v>
      </c>
      <c r="I1355" s="5" t="str">
        <f t="shared" si="160"/>
        <v>017</v>
      </c>
      <c r="J1355" s="5" t="str">
        <f t="shared" si="161"/>
        <v>2230</v>
      </c>
      <c r="K1355" s="5" t="str">
        <f t="shared" si="162"/>
        <v>000</v>
      </c>
      <c r="L1355" s="5">
        <f t="shared" si="163"/>
        <v>2</v>
      </c>
      <c r="M1355" s="5">
        <f t="shared" si="164"/>
        <v>2012</v>
      </c>
    </row>
    <row r="1356" spans="1:13" ht="17.45" customHeight="1" x14ac:dyDescent="0.25">
      <c r="A1356" s="1">
        <f>DATE(2012,2,22)</f>
        <v>40961</v>
      </c>
      <c r="B1356" t="s">
        <v>15</v>
      </c>
      <c r="C1356" t="s">
        <v>6</v>
      </c>
      <c r="D1356" s="3">
        <v>5335.6379999999999</v>
      </c>
      <c r="E1356" s="3">
        <v>0</v>
      </c>
      <c r="F1356" t="s">
        <v>45</v>
      </c>
      <c r="G1356" s="3">
        <f t="shared" si="158"/>
        <v>-5335.6379999999999</v>
      </c>
      <c r="H1356" s="3">
        <f t="shared" si="159"/>
        <v>5335.6379999999999</v>
      </c>
      <c r="I1356" s="5" t="str">
        <f t="shared" si="160"/>
        <v>017</v>
      </c>
      <c r="J1356" s="5" t="str">
        <f t="shared" si="161"/>
        <v>2100</v>
      </c>
      <c r="K1356" s="5" t="str">
        <f t="shared" si="162"/>
        <v>000</v>
      </c>
      <c r="L1356" s="5">
        <f t="shared" si="163"/>
        <v>2</v>
      </c>
      <c r="M1356" s="5">
        <f t="shared" si="164"/>
        <v>2012</v>
      </c>
    </row>
    <row r="1357" spans="1:13" ht="17.45" customHeight="1" x14ac:dyDescent="0.25">
      <c r="A1357" s="1">
        <f>DATE(2012,2,22)</f>
        <v>40961</v>
      </c>
      <c r="B1357" t="s">
        <v>16</v>
      </c>
      <c r="C1357" t="s">
        <v>8</v>
      </c>
      <c r="D1357" s="3">
        <v>1166.8020000000001</v>
      </c>
      <c r="E1357" s="3">
        <v>0</v>
      </c>
      <c r="F1357" t="s">
        <v>45</v>
      </c>
      <c r="G1357" s="3">
        <f t="shared" si="158"/>
        <v>-1166.8020000000001</v>
      </c>
      <c r="H1357" s="3">
        <f t="shared" si="159"/>
        <v>1166.8020000000001</v>
      </c>
      <c r="I1357" s="5" t="str">
        <f t="shared" si="160"/>
        <v>017</v>
      </c>
      <c r="J1357" s="5" t="str">
        <f t="shared" si="161"/>
        <v>2210</v>
      </c>
      <c r="K1357" s="5" t="str">
        <f t="shared" si="162"/>
        <v>000</v>
      </c>
      <c r="L1357" s="5">
        <f t="shared" si="163"/>
        <v>2</v>
      </c>
      <c r="M1357" s="5">
        <f t="shared" si="164"/>
        <v>2012</v>
      </c>
    </row>
    <row r="1358" spans="1:13" ht="17.45" customHeight="1" x14ac:dyDescent="0.25">
      <c r="A1358" s="1">
        <f>DATE(2012,2,22)</f>
        <v>40961</v>
      </c>
      <c r="B1358" t="s">
        <v>17</v>
      </c>
      <c r="C1358" t="s">
        <v>9</v>
      </c>
      <c r="D1358" s="3">
        <v>385.7525</v>
      </c>
      <c r="E1358" s="3">
        <v>0</v>
      </c>
      <c r="F1358" t="s">
        <v>45</v>
      </c>
      <c r="G1358" s="3">
        <f t="shared" si="158"/>
        <v>-385.7525</v>
      </c>
      <c r="H1358" s="3">
        <f t="shared" si="159"/>
        <v>385.7525</v>
      </c>
      <c r="I1358" s="5" t="str">
        <f t="shared" si="160"/>
        <v>017</v>
      </c>
      <c r="J1358" s="5" t="str">
        <f t="shared" si="161"/>
        <v>2220</v>
      </c>
      <c r="K1358" s="5" t="str">
        <f t="shared" si="162"/>
        <v>000</v>
      </c>
      <c r="L1358" s="5">
        <f t="shared" si="163"/>
        <v>2</v>
      </c>
      <c r="M1358" s="5">
        <f t="shared" si="164"/>
        <v>2012</v>
      </c>
    </row>
    <row r="1359" spans="1:13" ht="17.45" customHeight="1" x14ac:dyDescent="0.25">
      <c r="A1359" s="1">
        <f>DATE(2012,2,22)</f>
        <v>40961</v>
      </c>
      <c r="B1359" t="s">
        <v>18</v>
      </c>
      <c r="C1359" t="s">
        <v>10</v>
      </c>
      <c r="D1359" s="3">
        <v>73.672499999999999</v>
      </c>
      <c r="E1359" s="3">
        <v>0</v>
      </c>
      <c r="F1359" t="s">
        <v>45</v>
      </c>
      <c r="G1359" s="3">
        <f t="shared" si="158"/>
        <v>-73.672499999999999</v>
      </c>
      <c r="H1359" s="3">
        <f t="shared" si="159"/>
        <v>73.672499999999999</v>
      </c>
      <c r="I1359" s="5" t="str">
        <f t="shared" si="160"/>
        <v>017</v>
      </c>
      <c r="J1359" s="5" t="str">
        <f t="shared" si="161"/>
        <v>2230</v>
      </c>
      <c r="K1359" s="5" t="str">
        <f t="shared" si="162"/>
        <v>000</v>
      </c>
      <c r="L1359" s="5">
        <f t="shared" si="163"/>
        <v>2</v>
      </c>
      <c r="M1359" s="5">
        <f t="shared" si="164"/>
        <v>2012</v>
      </c>
    </row>
    <row r="1360" spans="1:13" ht="17.45" customHeight="1" x14ac:dyDescent="0.25">
      <c r="A1360" s="1">
        <f>DATE(2012,2,23)</f>
        <v>40962</v>
      </c>
      <c r="B1360" t="s">
        <v>15</v>
      </c>
      <c r="C1360" t="s">
        <v>6</v>
      </c>
      <c r="D1360" s="3">
        <v>4685.8490000000002</v>
      </c>
      <c r="E1360" s="3">
        <v>0</v>
      </c>
      <c r="F1360" t="s">
        <v>45</v>
      </c>
      <c r="G1360" s="3">
        <f t="shared" si="158"/>
        <v>-4685.8490000000002</v>
      </c>
      <c r="H1360" s="3">
        <f t="shared" si="159"/>
        <v>4685.8490000000002</v>
      </c>
      <c r="I1360" s="5" t="str">
        <f t="shared" si="160"/>
        <v>017</v>
      </c>
      <c r="J1360" s="5" t="str">
        <f t="shared" si="161"/>
        <v>2100</v>
      </c>
      <c r="K1360" s="5" t="str">
        <f t="shared" si="162"/>
        <v>000</v>
      </c>
      <c r="L1360" s="5">
        <f t="shared" si="163"/>
        <v>2</v>
      </c>
      <c r="M1360" s="5">
        <f t="shared" si="164"/>
        <v>2012</v>
      </c>
    </row>
    <row r="1361" spans="1:13" ht="17.45" customHeight="1" x14ac:dyDescent="0.25">
      <c r="A1361" s="1">
        <f>DATE(2012,2,23)</f>
        <v>40962</v>
      </c>
      <c r="B1361" t="s">
        <v>16</v>
      </c>
      <c r="C1361" t="s">
        <v>8</v>
      </c>
      <c r="D1361" s="3">
        <v>1197.152</v>
      </c>
      <c r="E1361" s="3">
        <v>0</v>
      </c>
      <c r="F1361" t="s">
        <v>45</v>
      </c>
      <c r="G1361" s="3">
        <f t="shared" si="158"/>
        <v>-1197.152</v>
      </c>
      <c r="H1361" s="3">
        <f t="shared" si="159"/>
        <v>1197.152</v>
      </c>
      <c r="I1361" s="5" t="str">
        <f t="shared" si="160"/>
        <v>017</v>
      </c>
      <c r="J1361" s="5" t="str">
        <f t="shared" si="161"/>
        <v>2210</v>
      </c>
      <c r="K1361" s="5" t="str">
        <f t="shared" si="162"/>
        <v>000</v>
      </c>
      <c r="L1361" s="5">
        <f t="shared" si="163"/>
        <v>2</v>
      </c>
      <c r="M1361" s="5">
        <f t="shared" si="164"/>
        <v>2012</v>
      </c>
    </row>
    <row r="1362" spans="1:13" ht="17.45" customHeight="1" x14ac:dyDescent="0.25">
      <c r="A1362" s="1">
        <f>DATE(2012,2,23)</f>
        <v>40962</v>
      </c>
      <c r="B1362" t="s">
        <v>17</v>
      </c>
      <c r="C1362" t="s">
        <v>9</v>
      </c>
      <c r="D1362" s="3">
        <v>447.47999999999996</v>
      </c>
      <c r="E1362" s="3">
        <v>0</v>
      </c>
      <c r="F1362" t="s">
        <v>45</v>
      </c>
      <c r="G1362" s="3">
        <f t="shared" si="158"/>
        <v>-447.47999999999996</v>
      </c>
      <c r="H1362" s="3">
        <f t="shared" si="159"/>
        <v>447.47999999999996</v>
      </c>
      <c r="I1362" s="5" t="str">
        <f t="shared" si="160"/>
        <v>017</v>
      </c>
      <c r="J1362" s="5" t="str">
        <f t="shared" si="161"/>
        <v>2220</v>
      </c>
      <c r="K1362" s="5" t="str">
        <f t="shared" si="162"/>
        <v>000</v>
      </c>
      <c r="L1362" s="5">
        <f t="shared" si="163"/>
        <v>2</v>
      </c>
      <c r="M1362" s="5">
        <f t="shared" si="164"/>
        <v>2012</v>
      </c>
    </row>
    <row r="1363" spans="1:13" ht="17.45" customHeight="1" x14ac:dyDescent="0.25">
      <c r="A1363" s="1">
        <f>DATE(2012,2,23)</f>
        <v>40962</v>
      </c>
      <c r="B1363" t="s">
        <v>18</v>
      </c>
      <c r="C1363" t="s">
        <v>10</v>
      </c>
      <c r="D1363" s="3">
        <v>128.64500000000001</v>
      </c>
      <c r="E1363" s="3">
        <v>0</v>
      </c>
      <c r="F1363" t="s">
        <v>45</v>
      </c>
      <c r="G1363" s="3">
        <f t="shared" si="158"/>
        <v>-128.64500000000001</v>
      </c>
      <c r="H1363" s="3">
        <f t="shared" si="159"/>
        <v>128.64500000000001</v>
      </c>
      <c r="I1363" s="5" t="str">
        <f t="shared" si="160"/>
        <v>017</v>
      </c>
      <c r="J1363" s="5" t="str">
        <f t="shared" si="161"/>
        <v>2230</v>
      </c>
      <c r="K1363" s="5" t="str">
        <f t="shared" si="162"/>
        <v>000</v>
      </c>
      <c r="L1363" s="5">
        <f t="shared" si="163"/>
        <v>2</v>
      </c>
      <c r="M1363" s="5">
        <f t="shared" si="164"/>
        <v>2012</v>
      </c>
    </row>
    <row r="1364" spans="1:13" ht="17.45" customHeight="1" x14ac:dyDescent="0.25">
      <c r="A1364" s="1">
        <f>DATE(2012,2,24)</f>
        <v>40963</v>
      </c>
      <c r="B1364" t="s">
        <v>15</v>
      </c>
      <c r="C1364" t="s">
        <v>6</v>
      </c>
      <c r="D1364" s="3">
        <v>7298.8140000000003</v>
      </c>
      <c r="E1364" s="3">
        <v>0</v>
      </c>
      <c r="F1364" t="s">
        <v>45</v>
      </c>
      <c r="G1364" s="3">
        <f t="shared" si="158"/>
        <v>-7298.8140000000003</v>
      </c>
      <c r="H1364" s="3">
        <f t="shared" si="159"/>
        <v>7298.8140000000003</v>
      </c>
      <c r="I1364" s="5" t="str">
        <f t="shared" si="160"/>
        <v>017</v>
      </c>
      <c r="J1364" s="5" t="str">
        <f t="shared" si="161"/>
        <v>2100</v>
      </c>
      <c r="K1364" s="5" t="str">
        <f t="shared" si="162"/>
        <v>000</v>
      </c>
      <c r="L1364" s="5">
        <f t="shared" si="163"/>
        <v>2</v>
      </c>
      <c r="M1364" s="5">
        <f t="shared" si="164"/>
        <v>2012</v>
      </c>
    </row>
    <row r="1365" spans="1:13" ht="17.45" customHeight="1" x14ac:dyDescent="0.25">
      <c r="A1365" s="1">
        <f>DATE(2012,2,24)</f>
        <v>40963</v>
      </c>
      <c r="B1365" t="s">
        <v>16</v>
      </c>
      <c r="C1365" t="s">
        <v>8</v>
      </c>
      <c r="D1365" s="3">
        <v>3115.2239999999997</v>
      </c>
      <c r="E1365" s="3">
        <v>0</v>
      </c>
      <c r="F1365" t="s">
        <v>45</v>
      </c>
      <c r="G1365" s="3">
        <f t="shared" si="158"/>
        <v>-3115.2239999999997</v>
      </c>
      <c r="H1365" s="3">
        <f t="shared" si="159"/>
        <v>3115.2239999999997</v>
      </c>
      <c r="I1365" s="5" t="str">
        <f t="shared" si="160"/>
        <v>017</v>
      </c>
      <c r="J1365" s="5" t="str">
        <f t="shared" si="161"/>
        <v>2210</v>
      </c>
      <c r="K1365" s="5" t="str">
        <f t="shared" si="162"/>
        <v>000</v>
      </c>
      <c r="L1365" s="5">
        <f t="shared" si="163"/>
        <v>2</v>
      </c>
      <c r="M1365" s="5">
        <f t="shared" si="164"/>
        <v>2012</v>
      </c>
    </row>
    <row r="1366" spans="1:13" ht="17.45" customHeight="1" x14ac:dyDescent="0.25">
      <c r="A1366" s="1">
        <f>DATE(2012,2,24)</f>
        <v>40963</v>
      </c>
      <c r="B1366" t="s">
        <v>17</v>
      </c>
      <c r="C1366" t="s">
        <v>9</v>
      </c>
      <c r="D1366" s="3">
        <v>568.9325</v>
      </c>
      <c r="E1366" s="3">
        <v>0</v>
      </c>
      <c r="F1366" t="s">
        <v>45</v>
      </c>
      <c r="G1366" s="3">
        <f t="shared" si="158"/>
        <v>-568.9325</v>
      </c>
      <c r="H1366" s="3">
        <f t="shared" si="159"/>
        <v>568.9325</v>
      </c>
      <c r="I1366" s="5" t="str">
        <f t="shared" si="160"/>
        <v>017</v>
      </c>
      <c r="J1366" s="5" t="str">
        <f t="shared" si="161"/>
        <v>2220</v>
      </c>
      <c r="K1366" s="5" t="str">
        <f t="shared" si="162"/>
        <v>000</v>
      </c>
      <c r="L1366" s="5">
        <f t="shared" si="163"/>
        <v>2</v>
      </c>
      <c r="M1366" s="5">
        <f t="shared" si="164"/>
        <v>2012</v>
      </c>
    </row>
    <row r="1367" spans="1:13" ht="17.45" customHeight="1" x14ac:dyDescent="0.25">
      <c r="A1367" s="1">
        <f>DATE(2012,2,24)</f>
        <v>40963</v>
      </c>
      <c r="B1367" t="s">
        <v>18</v>
      </c>
      <c r="C1367" t="s">
        <v>10</v>
      </c>
      <c r="D1367" s="3">
        <v>184.5</v>
      </c>
      <c r="E1367" s="3">
        <v>0</v>
      </c>
      <c r="F1367" t="s">
        <v>45</v>
      </c>
      <c r="G1367" s="3">
        <f t="shared" si="158"/>
        <v>-184.5</v>
      </c>
      <c r="H1367" s="3">
        <f t="shared" si="159"/>
        <v>184.5</v>
      </c>
      <c r="I1367" s="5" t="str">
        <f t="shared" si="160"/>
        <v>017</v>
      </c>
      <c r="J1367" s="5" t="str">
        <f t="shared" si="161"/>
        <v>2230</v>
      </c>
      <c r="K1367" s="5" t="str">
        <f t="shared" si="162"/>
        <v>000</v>
      </c>
      <c r="L1367" s="5">
        <f t="shared" si="163"/>
        <v>2</v>
      </c>
      <c r="M1367" s="5">
        <f t="shared" si="164"/>
        <v>2012</v>
      </c>
    </row>
    <row r="1368" spans="1:13" ht="17.45" customHeight="1" x14ac:dyDescent="0.25">
      <c r="A1368" s="1">
        <f>DATE(2012,2,25)</f>
        <v>40964</v>
      </c>
      <c r="B1368" t="s">
        <v>15</v>
      </c>
      <c r="C1368" t="s">
        <v>6</v>
      </c>
      <c r="D1368" s="3">
        <v>8921.2050000000017</v>
      </c>
      <c r="E1368" s="3">
        <v>0</v>
      </c>
      <c r="F1368" t="s">
        <v>45</v>
      </c>
      <c r="G1368" s="3">
        <f t="shared" si="158"/>
        <v>-8921.2050000000017</v>
      </c>
      <c r="H1368" s="3">
        <f t="shared" si="159"/>
        <v>8921.2050000000017</v>
      </c>
      <c r="I1368" s="5" t="str">
        <f t="shared" si="160"/>
        <v>017</v>
      </c>
      <c r="J1368" s="5" t="str">
        <f t="shared" si="161"/>
        <v>2100</v>
      </c>
      <c r="K1368" s="5" t="str">
        <f t="shared" si="162"/>
        <v>000</v>
      </c>
      <c r="L1368" s="5">
        <f t="shared" si="163"/>
        <v>2</v>
      </c>
      <c r="M1368" s="5">
        <f t="shared" si="164"/>
        <v>2012</v>
      </c>
    </row>
    <row r="1369" spans="1:13" ht="17.45" customHeight="1" x14ac:dyDescent="0.25">
      <c r="A1369" s="1">
        <f>DATE(2012,2,25)</f>
        <v>40964</v>
      </c>
      <c r="B1369" t="s">
        <v>16</v>
      </c>
      <c r="C1369" t="s">
        <v>8</v>
      </c>
      <c r="D1369" s="3">
        <v>2373.3240000000001</v>
      </c>
      <c r="E1369" s="3">
        <v>0</v>
      </c>
      <c r="F1369" t="s">
        <v>45</v>
      </c>
      <c r="G1369" s="3">
        <f t="shared" si="158"/>
        <v>-2373.3240000000001</v>
      </c>
      <c r="H1369" s="3">
        <f t="shared" si="159"/>
        <v>2373.3240000000001</v>
      </c>
      <c r="I1369" s="5" t="str">
        <f t="shared" si="160"/>
        <v>017</v>
      </c>
      <c r="J1369" s="5" t="str">
        <f t="shared" si="161"/>
        <v>2210</v>
      </c>
      <c r="K1369" s="5" t="str">
        <f t="shared" si="162"/>
        <v>000</v>
      </c>
      <c r="L1369" s="5">
        <f t="shared" si="163"/>
        <v>2</v>
      </c>
      <c r="M1369" s="5">
        <f t="shared" si="164"/>
        <v>2012</v>
      </c>
    </row>
    <row r="1370" spans="1:13" ht="17.45" customHeight="1" x14ac:dyDescent="0.25">
      <c r="A1370" s="1">
        <f>DATE(2012,2,25)</f>
        <v>40964</v>
      </c>
      <c r="B1370" t="s">
        <v>17</v>
      </c>
      <c r="C1370" t="s">
        <v>9</v>
      </c>
      <c r="D1370" s="3">
        <v>388.8</v>
      </c>
      <c r="E1370" s="3">
        <v>0</v>
      </c>
      <c r="F1370" t="s">
        <v>45</v>
      </c>
      <c r="G1370" s="3">
        <f t="shared" si="158"/>
        <v>-388.8</v>
      </c>
      <c r="H1370" s="3">
        <f t="shared" si="159"/>
        <v>388.8</v>
      </c>
      <c r="I1370" s="5" t="str">
        <f t="shared" si="160"/>
        <v>017</v>
      </c>
      <c r="J1370" s="5" t="str">
        <f t="shared" si="161"/>
        <v>2220</v>
      </c>
      <c r="K1370" s="5" t="str">
        <f t="shared" si="162"/>
        <v>000</v>
      </c>
      <c r="L1370" s="5">
        <f t="shared" si="163"/>
        <v>2</v>
      </c>
      <c r="M1370" s="5">
        <f t="shared" si="164"/>
        <v>2012</v>
      </c>
    </row>
    <row r="1371" spans="1:13" ht="17.45" customHeight="1" x14ac:dyDescent="0.25">
      <c r="A1371" s="1">
        <f>DATE(2012,2,25)</f>
        <v>40964</v>
      </c>
      <c r="B1371" t="s">
        <v>18</v>
      </c>
      <c r="C1371" t="s">
        <v>10</v>
      </c>
      <c r="D1371" s="3">
        <v>80.033500000000004</v>
      </c>
      <c r="E1371" s="3">
        <v>0</v>
      </c>
      <c r="F1371" t="s">
        <v>45</v>
      </c>
      <c r="G1371" s="3">
        <f t="shared" si="158"/>
        <v>-80.033500000000004</v>
      </c>
      <c r="H1371" s="3">
        <f t="shared" si="159"/>
        <v>80.033500000000004</v>
      </c>
      <c r="I1371" s="5" t="str">
        <f t="shared" si="160"/>
        <v>017</v>
      </c>
      <c r="J1371" s="5" t="str">
        <f t="shared" si="161"/>
        <v>2230</v>
      </c>
      <c r="K1371" s="5" t="str">
        <f t="shared" si="162"/>
        <v>000</v>
      </c>
      <c r="L1371" s="5">
        <f t="shared" si="163"/>
        <v>2</v>
      </c>
      <c r="M1371" s="5">
        <f t="shared" si="164"/>
        <v>2012</v>
      </c>
    </row>
    <row r="1372" spans="1:13" ht="17.45" customHeight="1" x14ac:dyDescent="0.25">
      <c r="A1372" s="1">
        <f>DATE(2012,2,26)</f>
        <v>40965</v>
      </c>
      <c r="B1372" t="s">
        <v>15</v>
      </c>
      <c r="C1372" t="s">
        <v>6</v>
      </c>
      <c r="D1372" s="3">
        <v>3306.3224999999998</v>
      </c>
      <c r="E1372" s="3">
        <v>0</v>
      </c>
      <c r="F1372" t="s">
        <v>45</v>
      </c>
      <c r="G1372" s="3">
        <f t="shared" si="158"/>
        <v>-3306.3224999999998</v>
      </c>
      <c r="H1372" s="3">
        <f t="shared" si="159"/>
        <v>3306.3224999999998</v>
      </c>
      <c r="I1372" s="5" t="str">
        <f t="shared" si="160"/>
        <v>017</v>
      </c>
      <c r="J1372" s="5" t="str">
        <f t="shared" si="161"/>
        <v>2100</v>
      </c>
      <c r="K1372" s="5" t="str">
        <f t="shared" si="162"/>
        <v>000</v>
      </c>
      <c r="L1372" s="5">
        <f t="shared" si="163"/>
        <v>2</v>
      </c>
      <c r="M1372" s="5">
        <f t="shared" si="164"/>
        <v>2012</v>
      </c>
    </row>
    <row r="1373" spans="1:13" ht="17.45" customHeight="1" x14ac:dyDescent="0.25">
      <c r="A1373" s="1">
        <f>DATE(2012,2,26)</f>
        <v>40965</v>
      </c>
      <c r="B1373" t="s">
        <v>16</v>
      </c>
      <c r="C1373" t="s">
        <v>8</v>
      </c>
      <c r="D1373" s="3">
        <v>914.048</v>
      </c>
      <c r="E1373" s="3">
        <v>0</v>
      </c>
      <c r="F1373" t="s">
        <v>45</v>
      </c>
      <c r="G1373" s="3">
        <f t="shared" si="158"/>
        <v>-914.048</v>
      </c>
      <c r="H1373" s="3">
        <f t="shared" si="159"/>
        <v>914.048</v>
      </c>
      <c r="I1373" s="5" t="str">
        <f t="shared" si="160"/>
        <v>017</v>
      </c>
      <c r="J1373" s="5" t="str">
        <f t="shared" si="161"/>
        <v>2210</v>
      </c>
      <c r="K1373" s="5" t="str">
        <f t="shared" si="162"/>
        <v>000</v>
      </c>
      <c r="L1373" s="5">
        <f t="shared" si="163"/>
        <v>2</v>
      </c>
      <c r="M1373" s="5">
        <f t="shared" si="164"/>
        <v>2012</v>
      </c>
    </row>
    <row r="1374" spans="1:13" ht="17.45" customHeight="1" x14ac:dyDescent="0.25">
      <c r="A1374" s="1">
        <f>DATE(2012,2,26)</f>
        <v>40965</v>
      </c>
      <c r="B1374" t="s">
        <v>17</v>
      </c>
      <c r="C1374" t="s">
        <v>9</v>
      </c>
      <c r="D1374" s="3">
        <v>162.83499999999998</v>
      </c>
      <c r="E1374" s="3">
        <v>0</v>
      </c>
      <c r="F1374" t="s">
        <v>45</v>
      </c>
      <c r="G1374" s="3">
        <f t="shared" si="158"/>
        <v>-162.83499999999998</v>
      </c>
      <c r="H1374" s="3">
        <f t="shared" si="159"/>
        <v>162.83499999999998</v>
      </c>
      <c r="I1374" s="5" t="str">
        <f t="shared" si="160"/>
        <v>017</v>
      </c>
      <c r="J1374" s="5" t="str">
        <f t="shared" si="161"/>
        <v>2220</v>
      </c>
      <c r="K1374" s="5" t="str">
        <f t="shared" si="162"/>
        <v>000</v>
      </c>
      <c r="L1374" s="5">
        <f t="shared" si="163"/>
        <v>2</v>
      </c>
      <c r="M1374" s="5">
        <f t="shared" si="164"/>
        <v>2012</v>
      </c>
    </row>
    <row r="1375" spans="1:13" ht="17.45" customHeight="1" x14ac:dyDescent="0.25">
      <c r="A1375" s="1">
        <f>DATE(2012,2,26)</f>
        <v>40965</v>
      </c>
      <c r="B1375" t="s">
        <v>18</v>
      </c>
      <c r="C1375" t="s">
        <v>10</v>
      </c>
      <c r="D1375" s="3">
        <v>62.88</v>
      </c>
      <c r="E1375" s="3">
        <v>0</v>
      </c>
      <c r="F1375" t="s">
        <v>45</v>
      </c>
      <c r="G1375" s="3">
        <f t="shared" si="158"/>
        <v>-62.88</v>
      </c>
      <c r="H1375" s="3">
        <f t="shared" si="159"/>
        <v>62.88</v>
      </c>
      <c r="I1375" s="5" t="str">
        <f t="shared" si="160"/>
        <v>017</v>
      </c>
      <c r="J1375" s="5" t="str">
        <f t="shared" si="161"/>
        <v>2230</v>
      </c>
      <c r="K1375" s="5" t="str">
        <f t="shared" si="162"/>
        <v>000</v>
      </c>
      <c r="L1375" s="5">
        <f t="shared" si="163"/>
        <v>2</v>
      </c>
      <c r="M1375" s="5">
        <f t="shared" si="164"/>
        <v>2012</v>
      </c>
    </row>
    <row r="1376" spans="1:13" ht="17.45" customHeight="1" x14ac:dyDescent="0.25">
      <c r="A1376" s="1">
        <f>DATE(2012,2,20)</f>
        <v>40959</v>
      </c>
      <c r="B1376" t="s">
        <v>19</v>
      </c>
      <c r="C1376" t="s">
        <v>6</v>
      </c>
      <c r="D1376" s="3">
        <v>6568.7329999999993</v>
      </c>
      <c r="E1376" s="3">
        <v>0</v>
      </c>
      <c r="F1376" t="s">
        <v>45</v>
      </c>
      <c r="G1376" s="3">
        <f t="shared" si="158"/>
        <v>-6568.7329999999993</v>
      </c>
      <c r="H1376" s="3">
        <f t="shared" si="159"/>
        <v>6568.7329999999993</v>
      </c>
      <c r="I1376" s="5" t="str">
        <f t="shared" si="160"/>
        <v>018</v>
      </c>
      <c r="J1376" s="5" t="str">
        <f t="shared" si="161"/>
        <v>2100</v>
      </c>
      <c r="K1376" s="5" t="str">
        <f t="shared" si="162"/>
        <v>000</v>
      </c>
      <c r="L1376" s="5">
        <f t="shared" si="163"/>
        <v>2</v>
      </c>
      <c r="M1376" s="5">
        <f t="shared" si="164"/>
        <v>2012</v>
      </c>
    </row>
    <row r="1377" spans="1:13" ht="17.45" customHeight="1" x14ac:dyDescent="0.25">
      <c r="A1377" s="1">
        <f>DATE(2012,2,20)</f>
        <v>40959</v>
      </c>
      <c r="B1377" t="s">
        <v>20</v>
      </c>
      <c r="C1377" t="s">
        <v>8</v>
      </c>
      <c r="D1377" s="3">
        <v>934.18499999999995</v>
      </c>
      <c r="E1377" s="3">
        <v>0</v>
      </c>
      <c r="F1377" t="s">
        <v>45</v>
      </c>
      <c r="G1377" s="3">
        <f t="shared" si="158"/>
        <v>-934.18499999999995</v>
      </c>
      <c r="H1377" s="3">
        <f t="shared" si="159"/>
        <v>934.18499999999995</v>
      </c>
      <c r="I1377" s="5" t="str">
        <f t="shared" si="160"/>
        <v>018</v>
      </c>
      <c r="J1377" s="5" t="str">
        <f t="shared" si="161"/>
        <v>2210</v>
      </c>
      <c r="K1377" s="5" t="str">
        <f t="shared" si="162"/>
        <v>000</v>
      </c>
      <c r="L1377" s="5">
        <f t="shared" si="163"/>
        <v>2</v>
      </c>
      <c r="M1377" s="5">
        <f t="shared" si="164"/>
        <v>2012</v>
      </c>
    </row>
    <row r="1378" spans="1:13" ht="17.45" customHeight="1" x14ac:dyDescent="0.25">
      <c r="A1378" s="1">
        <f>DATE(2012,2,20)</f>
        <v>40959</v>
      </c>
      <c r="B1378" t="s">
        <v>21</v>
      </c>
      <c r="C1378" t="s">
        <v>9</v>
      </c>
      <c r="D1378" s="3">
        <v>278.964</v>
      </c>
      <c r="E1378" s="3">
        <v>0</v>
      </c>
      <c r="F1378" t="s">
        <v>45</v>
      </c>
      <c r="G1378" s="3">
        <f t="shared" si="158"/>
        <v>-278.964</v>
      </c>
      <c r="H1378" s="3">
        <f t="shared" si="159"/>
        <v>278.964</v>
      </c>
      <c r="I1378" s="5" t="str">
        <f t="shared" si="160"/>
        <v>018</v>
      </c>
      <c r="J1378" s="5" t="str">
        <f t="shared" si="161"/>
        <v>2220</v>
      </c>
      <c r="K1378" s="5" t="str">
        <f t="shared" si="162"/>
        <v>000</v>
      </c>
      <c r="L1378" s="5">
        <f t="shared" si="163"/>
        <v>2</v>
      </c>
      <c r="M1378" s="5">
        <f t="shared" si="164"/>
        <v>2012</v>
      </c>
    </row>
    <row r="1379" spans="1:13" ht="17.45" customHeight="1" x14ac:dyDescent="0.25">
      <c r="A1379" s="1">
        <f>DATE(2012,2,20)</f>
        <v>40959</v>
      </c>
      <c r="B1379" t="s">
        <v>22</v>
      </c>
      <c r="C1379" t="s">
        <v>10</v>
      </c>
      <c r="D1379" s="3">
        <v>59.8675</v>
      </c>
      <c r="E1379" s="3">
        <v>0</v>
      </c>
      <c r="F1379" t="s">
        <v>45</v>
      </c>
      <c r="G1379" s="3">
        <f t="shared" si="158"/>
        <v>-59.8675</v>
      </c>
      <c r="H1379" s="3">
        <f t="shared" si="159"/>
        <v>59.8675</v>
      </c>
      <c r="I1379" s="5" t="str">
        <f t="shared" si="160"/>
        <v>018</v>
      </c>
      <c r="J1379" s="5" t="str">
        <f t="shared" si="161"/>
        <v>2230</v>
      </c>
      <c r="K1379" s="5" t="str">
        <f t="shared" si="162"/>
        <v>000</v>
      </c>
      <c r="L1379" s="5">
        <f t="shared" si="163"/>
        <v>2</v>
      </c>
      <c r="M1379" s="5">
        <f t="shared" si="164"/>
        <v>2012</v>
      </c>
    </row>
    <row r="1380" spans="1:13" ht="17.45" customHeight="1" x14ac:dyDescent="0.25">
      <c r="A1380" s="1">
        <f>DATE(2012,2,21)</f>
        <v>40960</v>
      </c>
      <c r="B1380" t="s">
        <v>19</v>
      </c>
      <c r="C1380" t="s">
        <v>6</v>
      </c>
      <c r="D1380" s="3">
        <v>3305.5819999999999</v>
      </c>
      <c r="E1380" s="3">
        <v>0</v>
      </c>
      <c r="F1380" t="s">
        <v>45</v>
      </c>
      <c r="G1380" s="3">
        <f t="shared" si="158"/>
        <v>-3305.5819999999999</v>
      </c>
      <c r="H1380" s="3">
        <f t="shared" si="159"/>
        <v>3305.5819999999999</v>
      </c>
      <c r="I1380" s="5" t="str">
        <f t="shared" si="160"/>
        <v>018</v>
      </c>
      <c r="J1380" s="5" t="str">
        <f t="shared" si="161"/>
        <v>2100</v>
      </c>
      <c r="K1380" s="5" t="str">
        <f t="shared" si="162"/>
        <v>000</v>
      </c>
      <c r="L1380" s="5">
        <f t="shared" si="163"/>
        <v>2</v>
      </c>
      <c r="M1380" s="5">
        <f t="shared" si="164"/>
        <v>2012</v>
      </c>
    </row>
    <row r="1381" spans="1:13" ht="17.45" customHeight="1" x14ac:dyDescent="0.25">
      <c r="A1381" s="1">
        <f>DATE(2012,2,21)</f>
        <v>40960</v>
      </c>
      <c r="B1381" t="s">
        <v>20</v>
      </c>
      <c r="C1381" t="s">
        <v>8</v>
      </c>
      <c r="D1381" s="3">
        <v>346.40100000000001</v>
      </c>
      <c r="E1381" s="3">
        <v>0</v>
      </c>
      <c r="F1381" t="s">
        <v>45</v>
      </c>
      <c r="G1381" s="3">
        <f t="shared" si="158"/>
        <v>-346.40100000000001</v>
      </c>
      <c r="H1381" s="3">
        <f t="shared" si="159"/>
        <v>346.40100000000001</v>
      </c>
      <c r="I1381" s="5" t="str">
        <f t="shared" si="160"/>
        <v>018</v>
      </c>
      <c r="J1381" s="5" t="str">
        <f t="shared" si="161"/>
        <v>2210</v>
      </c>
      <c r="K1381" s="5" t="str">
        <f t="shared" si="162"/>
        <v>000</v>
      </c>
      <c r="L1381" s="5">
        <f t="shared" si="163"/>
        <v>2</v>
      </c>
      <c r="M1381" s="5">
        <f t="shared" si="164"/>
        <v>2012</v>
      </c>
    </row>
    <row r="1382" spans="1:13" ht="17.45" customHeight="1" x14ac:dyDescent="0.25">
      <c r="A1382" s="1">
        <f>DATE(2012,2,21)</f>
        <v>40960</v>
      </c>
      <c r="B1382" t="s">
        <v>21</v>
      </c>
      <c r="C1382" t="s">
        <v>9</v>
      </c>
      <c r="D1382" s="3">
        <v>168.965</v>
      </c>
      <c r="E1382" s="3">
        <v>0</v>
      </c>
      <c r="F1382" t="s">
        <v>45</v>
      </c>
      <c r="G1382" s="3">
        <f t="shared" si="158"/>
        <v>-168.965</v>
      </c>
      <c r="H1382" s="3">
        <f t="shared" si="159"/>
        <v>168.965</v>
      </c>
      <c r="I1382" s="5" t="str">
        <f t="shared" si="160"/>
        <v>018</v>
      </c>
      <c r="J1382" s="5" t="str">
        <f t="shared" si="161"/>
        <v>2220</v>
      </c>
      <c r="K1382" s="5" t="str">
        <f t="shared" si="162"/>
        <v>000</v>
      </c>
      <c r="L1382" s="5">
        <f t="shared" si="163"/>
        <v>2</v>
      </c>
      <c r="M1382" s="5">
        <f t="shared" si="164"/>
        <v>2012</v>
      </c>
    </row>
    <row r="1383" spans="1:13" ht="17.45" customHeight="1" x14ac:dyDescent="0.25">
      <c r="A1383" s="1">
        <f>DATE(2012,2,21)</f>
        <v>40960</v>
      </c>
      <c r="B1383" t="s">
        <v>22</v>
      </c>
      <c r="C1383" t="s">
        <v>10</v>
      </c>
      <c r="D1383" s="3">
        <v>5.2930000000000001</v>
      </c>
      <c r="E1383" s="3">
        <v>0</v>
      </c>
      <c r="F1383" t="s">
        <v>45</v>
      </c>
      <c r="G1383" s="3">
        <f t="shared" si="158"/>
        <v>-5.2930000000000001</v>
      </c>
      <c r="H1383" s="3">
        <f t="shared" si="159"/>
        <v>5.2930000000000001</v>
      </c>
      <c r="I1383" s="5" t="str">
        <f t="shared" si="160"/>
        <v>018</v>
      </c>
      <c r="J1383" s="5" t="str">
        <f t="shared" si="161"/>
        <v>2230</v>
      </c>
      <c r="K1383" s="5" t="str">
        <f t="shared" si="162"/>
        <v>000</v>
      </c>
      <c r="L1383" s="5">
        <f t="shared" si="163"/>
        <v>2</v>
      </c>
      <c r="M1383" s="5">
        <f t="shared" si="164"/>
        <v>2012</v>
      </c>
    </row>
    <row r="1384" spans="1:13" ht="17.45" customHeight="1" x14ac:dyDescent="0.25">
      <c r="A1384" s="1">
        <f>DATE(2012,2,22)</f>
        <v>40961</v>
      </c>
      <c r="B1384" t="s">
        <v>19</v>
      </c>
      <c r="C1384" t="s">
        <v>6</v>
      </c>
      <c r="D1384" s="3">
        <v>3848.8869999999997</v>
      </c>
      <c r="E1384" s="3">
        <v>0</v>
      </c>
      <c r="F1384" t="s">
        <v>45</v>
      </c>
      <c r="G1384" s="3">
        <f t="shared" si="158"/>
        <v>-3848.8869999999997</v>
      </c>
      <c r="H1384" s="3">
        <f t="shared" si="159"/>
        <v>3848.8869999999997</v>
      </c>
      <c r="I1384" s="5" t="str">
        <f t="shared" si="160"/>
        <v>018</v>
      </c>
      <c r="J1384" s="5" t="str">
        <f t="shared" si="161"/>
        <v>2100</v>
      </c>
      <c r="K1384" s="5" t="str">
        <f t="shared" si="162"/>
        <v>000</v>
      </c>
      <c r="L1384" s="5">
        <f t="shared" si="163"/>
        <v>2</v>
      </c>
      <c r="M1384" s="5">
        <f t="shared" si="164"/>
        <v>2012</v>
      </c>
    </row>
    <row r="1385" spans="1:13" ht="17.45" customHeight="1" x14ac:dyDescent="0.25">
      <c r="A1385" s="1">
        <f>DATE(2012,2,22)</f>
        <v>40961</v>
      </c>
      <c r="B1385" t="s">
        <v>20</v>
      </c>
      <c r="C1385" t="s">
        <v>8</v>
      </c>
      <c r="D1385" s="3">
        <v>602.31000000000006</v>
      </c>
      <c r="E1385" s="3">
        <v>0</v>
      </c>
      <c r="F1385" t="s">
        <v>45</v>
      </c>
      <c r="G1385" s="3">
        <f t="shared" si="158"/>
        <v>-602.31000000000006</v>
      </c>
      <c r="H1385" s="3">
        <f t="shared" si="159"/>
        <v>602.31000000000006</v>
      </c>
      <c r="I1385" s="5" t="str">
        <f t="shared" si="160"/>
        <v>018</v>
      </c>
      <c r="J1385" s="5" t="str">
        <f t="shared" si="161"/>
        <v>2210</v>
      </c>
      <c r="K1385" s="5" t="str">
        <f t="shared" si="162"/>
        <v>000</v>
      </c>
      <c r="L1385" s="5">
        <f t="shared" si="163"/>
        <v>2</v>
      </c>
      <c r="M1385" s="5">
        <f t="shared" si="164"/>
        <v>2012</v>
      </c>
    </row>
    <row r="1386" spans="1:13" ht="17.45" customHeight="1" x14ac:dyDescent="0.25">
      <c r="A1386" s="1">
        <f>DATE(2012,2,22)</f>
        <v>40961</v>
      </c>
      <c r="B1386" t="s">
        <v>21</v>
      </c>
      <c r="C1386" t="s">
        <v>9</v>
      </c>
      <c r="D1386" s="3">
        <v>193.6575</v>
      </c>
      <c r="E1386" s="3">
        <v>0</v>
      </c>
      <c r="F1386" t="s">
        <v>45</v>
      </c>
      <c r="G1386" s="3">
        <f t="shared" si="158"/>
        <v>-193.6575</v>
      </c>
      <c r="H1386" s="3">
        <f t="shared" si="159"/>
        <v>193.6575</v>
      </c>
      <c r="I1386" s="5" t="str">
        <f t="shared" si="160"/>
        <v>018</v>
      </c>
      <c r="J1386" s="5" t="str">
        <f t="shared" si="161"/>
        <v>2220</v>
      </c>
      <c r="K1386" s="5" t="str">
        <f t="shared" si="162"/>
        <v>000</v>
      </c>
      <c r="L1386" s="5">
        <f t="shared" si="163"/>
        <v>2</v>
      </c>
      <c r="M1386" s="5">
        <f t="shared" si="164"/>
        <v>2012</v>
      </c>
    </row>
    <row r="1387" spans="1:13" ht="17.45" customHeight="1" x14ac:dyDescent="0.25">
      <c r="A1387" s="1">
        <f>DATE(2012,2,22)</f>
        <v>40961</v>
      </c>
      <c r="B1387" t="s">
        <v>22</v>
      </c>
      <c r="C1387" t="s">
        <v>10</v>
      </c>
      <c r="D1387" s="3">
        <v>14.1645</v>
      </c>
      <c r="E1387" s="3">
        <v>0</v>
      </c>
      <c r="F1387" t="s">
        <v>45</v>
      </c>
      <c r="G1387" s="3">
        <f t="shared" si="158"/>
        <v>-14.1645</v>
      </c>
      <c r="H1387" s="3">
        <f t="shared" si="159"/>
        <v>14.1645</v>
      </c>
      <c r="I1387" s="5" t="str">
        <f t="shared" si="160"/>
        <v>018</v>
      </c>
      <c r="J1387" s="5" t="str">
        <f t="shared" si="161"/>
        <v>2230</v>
      </c>
      <c r="K1387" s="5" t="str">
        <f t="shared" si="162"/>
        <v>000</v>
      </c>
      <c r="L1387" s="5">
        <f t="shared" si="163"/>
        <v>2</v>
      </c>
      <c r="M1387" s="5">
        <f t="shared" si="164"/>
        <v>2012</v>
      </c>
    </row>
    <row r="1388" spans="1:13" ht="17.45" customHeight="1" x14ac:dyDescent="0.25">
      <c r="A1388" s="1">
        <f>DATE(2012,2,23)</f>
        <v>40962</v>
      </c>
      <c r="B1388" t="s">
        <v>19</v>
      </c>
      <c r="C1388" t="s">
        <v>6</v>
      </c>
      <c r="D1388" s="3">
        <v>4933.53</v>
      </c>
      <c r="E1388" s="3">
        <v>0</v>
      </c>
      <c r="F1388" t="s">
        <v>45</v>
      </c>
      <c r="G1388" s="3">
        <f t="shared" si="158"/>
        <v>-4933.53</v>
      </c>
      <c r="H1388" s="3">
        <f t="shared" si="159"/>
        <v>4933.53</v>
      </c>
      <c r="I1388" s="5" t="str">
        <f t="shared" si="160"/>
        <v>018</v>
      </c>
      <c r="J1388" s="5" t="str">
        <f t="shared" si="161"/>
        <v>2100</v>
      </c>
      <c r="K1388" s="5" t="str">
        <f t="shared" si="162"/>
        <v>000</v>
      </c>
      <c r="L1388" s="5">
        <f t="shared" si="163"/>
        <v>2</v>
      </c>
      <c r="M1388" s="5">
        <f t="shared" si="164"/>
        <v>2012</v>
      </c>
    </row>
    <row r="1389" spans="1:13" ht="17.45" customHeight="1" x14ac:dyDescent="0.25">
      <c r="A1389" s="1">
        <f>DATE(2012,2,23)</f>
        <v>40962</v>
      </c>
      <c r="B1389" t="s">
        <v>20</v>
      </c>
      <c r="C1389" t="s">
        <v>8</v>
      </c>
      <c r="D1389" s="3">
        <v>756.68849999999998</v>
      </c>
      <c r="E1389" s="3">
        <v>0</v>
      </c>
      <c r="F1389" t="s">
        <v>45</v>
      </c>
      <c r="G1389" s="3">
        <f t="shared" si="158"/>
        <v>-756.68849999999998</v>
      </c>
      <c r="H1389" s="3">
        <f t="shared" si="159"/>
        <v>756.68849999999998</v>
      </c>
      <c r="I1389" s="5" t="str">
        <f t="shared" si="160"/>
        <v>018</v>
      </c>
      <c r="J1389" s="5" t="str">
        <f t="shared" si="161"/>
        <v>2210</v>
      </c>
      <c r="K1389" s="5" t="str">
        <f t="shared" si="162"/>
        <v>000</v>
      </c>
      <c r="L1389" s="5">
        <f t="shared" si="163"/>
        <v>2</v>
      </c>
      <c r="M1389" s="5">
        <f t="shared" si="164"/>
        <v>2012</v>
      </c>
    </row>
    <row r="1390" spans="1:13" ht="17.45" customHeight="1" x14ac:dyDescent="0.25">
      <c r="A1390" s="1">
        <f>DATE(2012,2,23)</f>
        <v>40962</v>
      </c>
      <c r="B1390" t="s">
        <v>21</v>
      </c>
      <c r="C1390" t="s">
        <v>9</v>
      </c>
      <c r="D1390" s="3">
        <v>162</v>
      </c>
      <c r="E1390" s="3">
        <v>0</v>
      </c>
      <c r="F1390" t="s">
        <v>45</v>
      </c>
      <c r="G1390" s="3">
        <f t="shared" si="158"/>
        <v>-162</v>
      </c>
      <c r="H1390" s="3">
        <f t="shared" si="159"/>
        <v>162</v>
      </c>
      <c r="I1390" s="5" t="str">
        <f t="shared" si="160"/>
        <v>018</v>
      </c>
      <c r="J1390" s="5" t="str">
        <f t="shared" si="161"/>
        <v>2220</v>
      </c>
      <c r="K1390" s="5" t="str">
        <f t="shared" si="162"/>
        <v>000</v>
      </c>
      <c r="L1390" s="5">
        <f t="shared" si="163"/>
        <v>2</v>
      </c>
      <c r="M1390" s="5">
        <f t="shared" si="164"/>
        <v>2012</v>
      </c>
    </row>
    <row r="1391" spans="1:13" ht="17.45" customHeight="1" x14ac:dyDescent="0.25">
      <c r="A1391" s="1">
        <f>DATE(2012,2,23)</f>
        <v>40962</v>
      </c>
      <c r="B1391" t="s">
        <v>22</v>
      </c>
      <c r="C1391" t="s">
        <v>10</v>
      </c>
      <c r="D1391" s="3">
        <v>39.887999999999998</v>
      </c>
      <c r="E1391" s="3">
        <v>0</v>
      </c>
      <c r="F1391" t="s">
        <v>45</v>
      </c>
      <c r="G1391" s="3">
        <f t="shared" si="158"/>
        <v>-39.887999999999998</v>
      </c>
      <c r="H1391" s="3">
        <f t="shared" si="159"/>
        <v>39.887999999999998</v>
      </c>
      <c r="I1391" s="5" t="str">
        <f t="shared" si="160"/>
        <v>018</v>
      </c>
      <c r="J1391" s="5" t="str">
        <f t="shared" si="161"/>
        <v>2230</v>
      </c>
      <c r="K1391" s="5" t="str">
        <f t="shared" si="162"/>
        <v>000</v>
      </c>
      <c r="L1391" s="5">
        <f t="shared" si="163"/>
        <v>2</v>
      </c>
      <c r="M1391" s="5">
        <f t="shared" si="164"/>
        <v>2012</v>
      </c>
    </row>
    <row r="1392" spans="1:13" ht="17.45" customHeight="1" x14ac:dyDescent="0.25">
      <c r="A1392" s="1">
        <f>DATE(2012,2,24)</f>
        <v>40963</v>
      </c>
      <c r="B1392" t="s">
        <v>19</v>
      </c>
      <c r="C1392" t="s">
        <v>6</v>
      </c>
      <c r="D1392" s="3">
        <v>9290.3040000000001</v>
      </c>
      <c r="E1392" s="3">
        <v>0</v>
      </c>
      <c r="F1392" t="s">
        <v>45</v>
      </c>
      <c r="G1392" s="3">
        <f t="shared" si="158"/>
        <v>-9290.3040000000001</v>
      </c>
      <c r="H1392" s="3">
        <f t="shared" si="159"/>
        <v>9290.3040000000001</v>
      </c>
      <c r="I1392" s="5" t="str">
        <f t="shared" si="160"/>
        <v>018</v>
      </c>
      <c r="J1392" s="5" t="str">
        <f t="shared" si="161"/>
        <v>2100</v>
      </c>
      <c r="K1392" s="5" t="str">
        <f t="shared" si="162"/>
        <v>000</v>
      </c>
      <c r="L1392" s="5">
        <f t="shared" si="163"/>
        <v>2</v>
      </c>
      <c r="M1392" s="5">
        <f t="shared" si="164"/>
        <v>2012</v>
      </c>
    </row>
    <row r="1393" spans="1:13" ht="17.45" customHeight="1" x14ac:dyDescent="0.25">
      <c r="A1393" s="1">
        <f>DATE(2012,2,24)</f>
        <v>40963</v>
      </c>
      <c r="B1393" t="s">
        <v>20</v>
      </c>
      <c r="C1393" t="s">
        <v>8</v>
      </c>
      <c r="D1393" s="3">
        <v>1939.6839999999997</v>
      </c>
      <c r="E1393" s="3">
        <v>0</v>
      </c>
      <c r="F1393" t="s">
        <v>45</v>
      </c>
      <c r="G1393" s="3">
        <f t="shared" si="158"/>
        <v>-1939.6839999999997</v>
      </c>
      <c r="H1393" s="3">
        <f t="shared" si="159"/>
        <v>1939.6839999999997</v>
      </c>
      <c r="I1393" s="5" t="str">
        <f t="shared" si="160"/>
        <v>018</v>
      </c>
      <c r="J1393" s="5" t="str">
        <f t="shared" si="161"/>
        <v>2210</v>
      </c>
      <c r="K1393" s="5" t="str">
        <f t="shared" si="162"/>
        <v>000</v>
      </c>
      <c r="L1393" s="5">
        <f t="shared" si="163"/>
        <v>2</v>
      </c>
      <c r="M1393" s="5">
        <f t="shared" si="164"/>
        <v>2012</v>
      </c>
    </row>
    <row r="1394" spans="1:13" ht="17.45" customHeight="1" x14ac:dyDescent="0.25">
      <c r="A1394" s="1">
        <f>DATE(2012,2,24)</f>
        <v>40963</v>
      </c>
      <c r="B1394" t="s">
        <v>21</v>
      </c>
      <c r="C1394" t="s">
        <v>9</v>
      </c>
      <c r="D1394" s="3">
        <v>380.19599999999997</v>
      </c>
      <c r="E1394" s="3">
        <v>0</v>
      </c>
      <c r="F1394" t="s">
        <v>45</v>
      </c>
      <c r="G1394" s="3">
        <f t="shared" si="158"/>
        <v>-380.19599999999997</v>
      </c>
      <c r="H1394" s="3">
        <f t="shared" si="159"/>
        <v>380.19599999999997</v>
      </c>
      <c r="I1394" s="5" t="str">
        <f t="shared" si="160"/>
        <v>018</v>
      </c>
      <c r="J1394" s="5" t="str">
        <f t="shared" si="161"/>
        <v>2220</v>
      </c>
      <c r="K1394" s="5" t="str">
        <f t="shared" si="162"/>
        <v>000</v>
      </c>
      <c r="L1394" s="5">
        <f t="shared" si="163"/>
        <v>2</v>
      </c>
      <c r="M1394" s="5">
        <f t="shared" si="164"/>
        <v>2012</v>
      </c>
    </row>
    <row r="1395" spans="1:13" ht="17.45" customHeight="1" x14ac:dyDescent="0.25">
      <c r="A1395" s="1">
        <f>DATE(2012,2,24)</f>
        <v>40963</v>
      </c>
      <c r="B1395" t="s">
        <v>22</v>
      </c>
      <c r="C1395" t="s">
        <v>10</v>
      </c>
      <c r="D1395" s="3">
        <v>76.497</v>
      </c>
      <c r="E1395" s="3">
        <v>0</v>
      </c>
      <c r="F1395" t="s">
        <v>45</v>
      </c>
      <c r="G1395" s="3">
        <f t="shared" si="158"/>
        <v>-76.497</v>
      </c>
      <c r="H1395" s="3">
        <f t="shared" si="159"/>
        <v>76.497</v>
      </c>
      <c r="I1395" s="5" t="str">
        <f t="shared" si="160"/>
        <v>018</v>
      </c>
      <c r="J1395" s="5" t="str">
        <f t="shared" si="161"/>
        <v>2230</v>
      </c>
      <c r="K1395" s="5" t="str">
        <f t="shared" si="162"/>
        <v>000</v>
      </c>
      <c r="L1395" s="5">
        <f t="shared" si="163"/>
        <v>2</v>
      </c>
      <c r="M1395" s="5">
        <f t="shared" si="164"/>
        <v>2012</v>
      </c>
    </row>
    <row r="1396" spans="1:13" ht="17.45" customHeight="1" x14ac:dyDescent="0.25">
      <c r="A1396" s="1">
        <f>DATE(2012,2,25)</f>
        <v>40964</v>
      </c>
      <c r="B1396" t="s">
        <v>19</v>
      </c>
      <c r="C1396" t="s">
        <v>6</v>
      </c>
      <c r="D1396" s="3">
        <v>9426.15</v>
      </c>
      <c r="E1396" s="3">
        <v>0</v>
      </c>
      <c r="F1396" t="s">
        <v>45</v>
      </c>
      <c r="G1396" s="3">
        <f t="shared" si="158"/>
        <v>-9426.15</v>
      </c>
      <c r="H1396" s="3">
        <f t="shared" si="159"/>
        <v>9426.15</v>
      </c>
      <c r="I1396" s="5" t="str">
        <f t="shared" si="160"/>
        <v>018</v>
      </c>
      <c r="J1396" s="5" t="str">
        <f t="shared" si="161"/>
        <v>2100</v>
      </c>
      <c r="K1396" s="5" t="str">
        <f t="shared" si="162"/>
        <v>000</v>
      </c>
      <c r="L1396" s="5">
        <f t="shared" si="163"/>
        <v>2</v>
      </c>
      <c r="M1396" s="5">
        <f t="shared" si="164"/>
        <v>2012</v>
      </c>
    </row>
    <row r="1397" spans="1:13" ht="17.45" customHeight="1" x14ac:dyDescent="0.25">
      <c r="A1397" s="1">
        <f>DATE(2012,2,25)</f>
        <v>40964</v>
      </c>
      <c r="B1397" t="s">
        <v>20</v>
      </c>
      <c r="C1397" t="s">
        <v>8</v>
      </c>
      <c r="D1397" s="3">
        <v>2358.252</v>
      </c>
      <c r="E1397" s="3">
        <v>0</v>
      </c>
      <c r="F1397" t="s">
        <v>45</v>
      </c>
      <c r="G1397" s="3">
        <f t="shared" si="158"/>
        <v>-2358.252</v>
      </c>
      <c r="H1397" s="3">
        <f t="shared" si="159"/>
        <v>2358.252</v>
      </c>
      <c r="I1397" s="5" t="str">
        <f t="shared" si="160"/>
        <v>018</v>
      </c>
      <c r="J1397" s="5" t="str">
        <f t="shared" si="161"/>
        <v>2210</v>
      </c>
      <c r="K1397" s="5" t="str">
        <f t="shared" si="162"/>
        <v>000</v>
      </c>
      <c r="L1397" s="5">
        <f t="shared" si="163"/>
        <v>2</v>
      </c>
      <c r="M1397" s="5">
        <f t="shared" si="164"/>
        <v>2012</v>
      </c>
    </row>
    <row r="1398" spans="1:13" ht="17.45" customHeight="1" x14ac:dyDescent="0.25">
      <c r="A1398" s="1">
        <f>DATE(2012,2,25)</f>
        <v>40964</v>
      </c>
      <c r="B1398" t="s">
        <v>21</v>
      </c>
      <c r="C1398" t="s">
        <v>9</v>
      </c>
      <c r="D1398" s="3">
        <v>410.96699999999998</v>
      </c>
      <c r="E1398" s="3">
        <v>0</v>
      </c>
      <c r="F1398" t="s">
        <v>45</v>
      </c>
      <c r="G1398" s="3">
        <f t="shared" si="158"/>
        <v>-410.96699999999998</v>
      </c>
      <c r="H1398" s="3">
        <f t="shared" si="159"/>
        <v>410.96699999999998</v>
      </c>
      <c r="I1398" s="5" t="str">
        <f t="shared" si="160"/>
        <v>018</v>
      </c>
      <c r="J1398" s="5" t="str">
        <f t="shared" si="161"/>
        <v>2220</v>
      </c>
      <c r="K1398" s="5" t="str">
        <f t="shared" si="162"/>
        <v>000</v>
      </c>
      <c r="L1398" s="5">
        <f t="shared" si="163"/>
        <v>2</v>
      </c>
      <c r="M1398" s="5">
        <f t="shared" si="164"/>
        <v>2012</v>
      </c>
    </row>
    <row r="1399" spans="1:13" ht="17.45" customHeight="1" x14ac:dyDescent="0.25">
      <c r="A1399" s="1">
        <f>DATE(2012,2,25)</f>
        <v>40964</v>
      </c>
      <c r="B1399" t="s">
        <v>22</v>
      </c>
      <c r="C1399" t="s">
        <v>10</v>
      </c>
      <c r="D1399" s="3">
        <v>105.36999999999999</v>
      </c>
      <c r="E1399" s="3">
        <v>0</v>
      </c>
      <c r="F1399" t="s">
        <v>45</v>
      </c>
      <c r="G1399" s="3">
        <f t="shared" si="158"/>
        <v>-105.36999999999999</v>
      </c>
      <c r="H1399" s="3">
        <f t="shared" si="159"/>
        <v>105.36999999999999</v>
      </c>
      <c r="I1399" s="5" t="str">
        <f t="shared" si="160"/>
        <v>018</v>
      </c>
      <c r="J1399" s="5" t="str">
        <f t="shared" si="161"/>
        <v>2230</v>
      </c>
      <c r="K1399" s="5" t="str">
        <f t="shared" si="162"/>
        <v>000</v>
      </c>
      <c r="L1399" s="5">
        <f t="shared" si="163"/>
        <v>2</v>
      </c>
      <c r="M1399" s="5">
        <f t="shared" si="164"/>
        <v>2012</v>
      </c>
    </row>
    <row r="1400" spans="1:13" ht="17.45" customHeight="1" x14ac:dyDescent="0.25">
      <c r="A1400" s="1">
        <f>DATE(2012,2,26)</f>
        <v>40965</v>
      </c>
      <c r="B1400" t="s">
        <v>19</v>
      </c>
      <c r="C1400" t="s">
        <v>6</v>
      </c>
      <c r="D1400" s="3">
        <v>7547.9949999999999</v>
      </c>
      <c r="E1400" s="3">
        <v>0</v>
      </c>
      <c r="F1400" t="s">
        <v>45</v>
      </c>
      <c r="G1400" s="3">
        <f t="shared" si="158"/>
        <v>-7547.9949999999999</v>
      </c>
      <c r="H1400" s="3">
        <f t="shared" si="159"/>
        <v>7547.9949999999999</v>
      </c>
      <c r="I1400" s="5" t="str">
        <f t="shared" si="160"/>
        <v>018</v>
      </c>
      <c r="J1400" s="5" t="str">
        <f t="shared" si="161"/>
        <v>2100</v>
      </c>
      <c r="K1400" s="5" t="str">
        <f t="shared" si="162"/>
        <v>000</v>
      </c>
      <c r="L1400" s="5">
        <f t="shared" si="163"/>
        <v>2</v>
      </c>
      <c r="M1400" s="5">
        <f t="shared" si="164"/>
        <v>2012</v>
      </c>
    </row>
    <row r="1401" spans="1:13" ht="17.45" customHeight="1" x14ac:dyDescent="0.25">
      <c r="A1401" s="1">
        <f>DATE(2012,2,26)</f>
        <v>40965</v>
      </c>
      <c r="B1401" t="s">
        <v>20</v>
      </c>
      <c r="C1401" t="s">
        <v>8</v>
      </c>
      <c r="D1401" s="3">
        <v>1389.0149999999999</v>
      </c>
      <c r="E1401" s="3">
        <v>0</v>
      </c>
      <c r="F1401" t="s">
        <v>45</v>
      </c>
      <c r="G1401" s="3">
        <f t="shared" si="158"/>
        <v>-1389.0149999999999</v>
      </c>
      <c r="H1401" s="3">
        <f t="shared" si="159"/>
        <v>1389.0149999999999</v>
      </c>
      <c r="I1401" s="5" t="str">
        <f t="shared" si="160"/>
        <v>018</v>
      </c>
      <c r="J1401" s="5" t="str">
        <f t="shared" si="161"/>
        <v>2210</v>
      </c>
      <c r="K1401" s="5" t="str">
        <f t="shared" si="162"/>
        <v>000</v>
      </c>
      <c r="L1401" s="5">
        <f t="shared" si="163"/>
        <v>2</v>
      </c>
      <c r="M1401" s="5">
        <f t="shared" si="164"/>
        <v>2012</v>
      </c>
    </row>
    <row r="1402" spans="1:13" ht="17.45" customHeight="1" x14ac:dyDescent="0.25">
      <c r="A1402" s="1">
        <f>DATE(2012,2,26)</f>
        <v>40965</v>
      </c>
      <c r="B1402" t="s">
        <v>21</v>
      </c>
      <c r="C1402" t="s">
        <v>9</v>
      </c>
      <c r="D1402" s="3">
        <v>257.92199999999997</v>
      </c>
      <c r="E1402" s="3">
        <v>0</v>
      </c>
      <c r="F1402" t="s">
        <v>45</v>
      </c>
      <c r="G1402" s="3">
        <f t="shared" si="158"/>
        <v>-257.92199999999997</v>
      </c>
      <c r="H1402" s="3">
        <f t="shared" si="159"/>
        <v>257.92199999999997</v>
      </c>
      <c r="I1402" s="5" t="str">
        <f t="shared" si="160"/>
        <v>018</v>
      </c>
      <c r="J1402" s="5" t="str">
        <f t="shared" si="161"/>
        <v>2220</v>
      </c>
      <c r="K1402" s="5" t="str">
        <f t="shared" si="162"/>
        <v>000</v>
      </c>
      <c r="L1402" s="5">
        <f t="shared" si="163"/>
        <v>2</v>
      </c>
      <c r="M1402" s="5">
        <f t="shared" si="164"/>
        <v>2012</v>
      </c>
    </row>
    <row r="1403" spans="1:13" ht="17.45" customHeight="1" x14ac:dyDescent="0.25">
      <c r="A1403" s="1">
        <f>DATE(2012,2,26)</f>
        <v>40965</v>
      </c>
      <c r="B1403" t="s">
        <v>22</v>
      </c>
      <c r="C1403" t="s">
        <v>10</v>
      </c>
      <c r="D1403" s="3">
        <v>71.376499999999993</v>
      </c>
      <c r="E1403" s="3">
        <v>0</v>
      </c>
      <c r="F1403" t="s">
        <v>45</v>
      </c>
      <c r="G1403" s="3">
        <f t="shared" si="158"/>
        <v>-71.376499999999993</v>
      </c>
      <c r="H1403" s="3">
        <f t="shared" si="159"/>
        <v>71.376499999999993</v>
      </c>
      <c r="I1403" s="5" t="str">
        <f t="shared" si="160"/>
        <v>018</v>
      </c>
      <c r="J1403" s="5" t="str">
        <f t="shared" si="161"/>
        <v>2230</v>
      </c>
      <c r="K1403" s="5" t="str">
        <f t="shared" si="162"/>
        <v>000</v>
      </c>
      <c r="L1403" s="5">
        <f t="shared" si="163"/>
        <v>2</v>
      </c>
      <c r="M1403" s="5">
        <f t="shared" si="164"/>
        <v>2012</v>
      </c>
    </row>
    <row r="1404" spans="1:13" ht="17.45" customHeight="1" x14ac:dyDescent="0.25">
      <c r="A1404" s="1">
        <f>DATE(2012,2,27)</f>
        <v>40966</v>
      </c>
      <c r="B1404" t="s">
        <v>11</v>
      </c>
      <c r="C1404" t="s">
        <v>6</v>
      </c>
      <c r="D1404" s="3">
        <v>2987.1325999999999</v>
      </c>
      <c r="E1404" s="3">
        <v>0</v>
      </c>
      <c r="F1404" t="s">
        <v>45</v>
      </c>
      <c r="G1404" s="3">
        <f t="shared" si="158"/>
        <v>-2987.1325999999999</v>
      </c>
      <c r="H1404" s="3">
        <f t="shared" si="159"/>
        <v>2987.1325999999999</v>
      </c>
      <c r="I1404" s="5" t="str">
        <f t="shared" si="160"/>
        <v>016</v>
      </c>
      <c r="J1404" s="5" t="str">
        <f t="shared" si="161"/>
        <v>2100</v>
      </c>
      <c r="K1404" s="5" t="str">
        <f t="shared" si="162"/>
        <v>000</v>
      </c>
      <c r="L1404" s="5">
        <f t="shared" si="163"/>
        <v>2</v>
      </c>
      <c r="M1404" s="5">
        <f t="shared" si="164"/>
        <v>2012</v>
      </c>
    </row>
    <row r="1405" spans="1:13" ht="17.45" customHeight="1" x14ac:dyDescent="0.25">
      <c r="A1405" s="1">
        <f>DATE(2012,2,27)</f>
        <v>40966</v>
      </c>
      <c r="B1405" t="s">
        <v>12</v>
      </c>
      <c r="C1405" t="s">
        <v>8</v>
      </c>
      <c r="D1405" s="3">
        <v>482.35699999999997</v>
      </c>
      <c r="E1405" s="3">
        <v>0</v>
      </c>
      <c r="F1405" t="s">
        <v>45</v>
      </c>
      <c r="G1405" s="3">
        <f t="shared" si="158"/>
        <v>-482.35699999999997</v>
      </c>
      <c r="H1405" s="3">
        <f t="shared" si="159"/>
        <v>482.35699999999997</v>
      </c>
      <c r="I1405" s="5" t="str">
        <f t="shared" si="160"/>
        <v>016</v>
      </c>
      <c r="J1405" s="5" t="str">
        <f t="shared" si="161"/>
        <v>2210</v>
      </c>
      <c r="K1405" s="5" t="str">
        <f t="shared" si="162"/>
        <v>000</v>
      </c>
      <c r="L1405" s="5">
        <f t="shared" si="163"/>
        <v>2</v>
      </c>
      <c r="M1405" s="5">
        <f t="shared" si="164"/>
        <v>2012</v>
      </c>
    </row>
    <row r="1406" spans="1:13" ht="17.45" customHeight="1" x14ac:dyDescent="0.25">
      <c r="A1406" s="1">
        <f>DATE(2012,2,27)</f>
        <v>40966</v>
      </c>
      <c r="B1406" t="s">
        <v>13</v>
      </c>
      <c r="C1406" t="s">
        <v>9</v>
      </c>
      <c r="D1406" s="3">
        <v>292.18950000000001</v>
      </c>
      <c r="E1406" s="3">
        <v>0</v>
      </c>
      <c r="F1406" t="s">
        <v>45</v>
      </c>
      <c r="G1406" s="3">
        <f t="shared" si="158"/>
        <v>-292.18950000000001</v>
      </c>
      <c r="H1406" s="3">
        <f t="shared" si="159"/>
        <v>292.18950000000001</v>
      </c>
      <c r="I1406" s="5" t="str">
        <f t="shared" si="160"/>
        <v>016</v>
      </c>
      <c r="J1406" s="5" t="str">
        <f t="shared" si="161"/>
        <v>2220</v>
      </c>
      <c r="K1406" s="5" t="str">
        <f t="shared" si="162"/>
        <v>000</v>
      </c>
      <c r="L1406" s="5">
        <f t="shared" si="163"/>
        <v>2</v>
      </c>
      <c r="M1406" s="5">
        <f t="shared" si="164"/>
        <v>2012</v>
      </c>
    </row>
    <row r="1407" spans="1:13" ht="17.45" customHeight="1" x14ac:dyDescent="0.25">
      <c r="A1407" s="1">
        <f>DATE(2012,2,27)</f>
        <v>40966</v>
      </c>
      <c r="B1407" t="s">
        <v>14</v>
      </c>
      <c r="C1407" t="s">
        <v>10</v>
      </c>
      <c r="D1407" s="3">
        <v>23.156999999999996</v>
      </c>
      <c r="E1407" s="3">
        <v>0</v>
      </c>
      <c r="F1407" t="s">
        <v>45</v>
      </c>
      <c r="G1407" s="3">
        <f t="shared" si="158"/>
        <v>-23.156999999999996</v>
      </c>
      <c r="H1407" s="3">
        <f t="shared" si="159"/>
        <v>23.156999999999996</v>
      </c>
      <c r="I1407" s="5" t="str">
        <f t="shared" si="160"/>
        <v>016</v>
      </c>
      <c r="J1407" s="5" t="str">
        <f t="shared" si="161"/>
        <v>2230</v>
      </c>
      <c r="K1407" s="5" t="str">
        <f t="shared" si="162"/>
        <v>000</v>
      </c>
      <c r="L1407" s="5">
        <f t="shared" si="163"/>
        <v>2</v>
      </c>
      <c r="M1407" s="5">
        <f t="shared" si="164"/>
        <v>2012</v>
      </c>
    </row>
    <row r="1408" spans="1:13" ht="17.45" customHeight="1" x14ac:dyDescent="0.25">
      <c r="A1408" s="1">
        <f>DATE(2012,2,28)</f>
        <v>40967</v>
      </c>
      <c r="B1408" t="s">
        <v>11</v>
      </c>
      <c r="C1408" t="s">
        <v>6</v>
      </c>
      <c r="D1408" s="3">
        <v>2772.1736000000005</v>
      </c>
      <c r="E1408" s="3">
        <v>0</v>
      </c>
      <c r="F1408" t="s">
        <v>45</v>
      </c>
      <c r="G1408" s="3">
        <f t="shared" si="158"/>
        <v>-2772.1736000000005</v>
      </c>
      <c r="H1408" s="3">
        <f t="shared" si="159"/>
        <v>2772.1736000000005</v>
      </c>
      <c r="I1408" s="5" t="str">
        <f t="shared" si="160"/>
        <v>016</v>
      </c>
      <c r="J1408" s="5" t="str">
        <f t="shared" si="161"/>
        <v>2100</v>
      </c>
      <c r="K1408" s="5" t="str">
        <f t="shared" si="162"/>
        <v>000</v>
      </c>
      <c r="L1408" s="5">
        <f t="shared" si="163"/>
        <v>2</v>
      </c>
      <c r="M1408" s="5">
        <f t="shared" si="164"/>
        <v>2012</v>
      </c>
    </row>
    <row r="1409" spans="1:13" ht="17.45" customHeight="1" x14ac:dyDescent="0.25">
      <c r="A1409" s="1">
        <f>DATE(2012,2,28)</f>
        <v>40967</v>
      </c>
      <c r="B1409" t="s">
        <v>12</v>
      </c>
      <c r="C1409" t="s">
        <v>8</v>
      </c>
      <c r="D1409" s="3">
        <v>1214.673</v>
      </c>
      <c r="E1409" s="3">
        <v>0</v>
      </c>
      <c r="F1409" t="s">
        <v>45</v>
      </c>
      <c r="G1409" s="3">
        <f t="shared" si="158"/>
        <v>-1214.673</v>
      </c>
      <c r="H1409" s="3">
        <f t="shared" si="159"/>
        <v>1214.673</v>
      </c>
      <c r="I1409" s="5" t="str">
        <f t="shared" si="160"/>
        <v>016</v>
      </c>
      <c r="J1409" s="5" t="str">
        <f t="shared" si="161"/>
        <v>2210</v>
      </c>
      <c r="K1409" s="5" t="str">
        <f t="shared" si="162"/>
        <v>000</v>
      </c>
      <c r="L1409" s="5">
        <f t="shared" si="163"/>
        <v>2</v>
      </c>
      <c r="M1409" s="5">
        <f t="shared" si="164"/>
        <v>2012</v>
      </c>
    </row>
    <row r="1410" spans="1:13" ht="17.45" customHeight="1" x14ac:dyDescent="0.25">
      <c r="A1410" s="1">
        <f>DATE(2012,2,28)</f>
        <v>40967</v>
      </c>
      <c r="B1410" t="s">
        <v>13</v>
      </c>
      <c r="C1410" t="s">
        <v>9</v>
      </c>
      <c r="D1410" s="3">
        <v>177.9375</v>
      </c>
      <c r="E1410" s="3">
        <v>0</v>
      </c>
      <c r="F1410" t="s">
        <v>45</v>
      </c>
      <c r="G1410" s="3">
        <f t="shared" ref="G1410:G1473" si="165">E1410-D1410</f>
        <v>-177.9375</v>
      </c>
      <c r="H1410" s="3">
        <f t="shared" ref="H1410:H1473" si="166">ABS(G1410)</f>
        <v>177.9375</v>
      </c>
      <c r="I1410" s="5" t="str">
        <f t="shared" ref="I1410:I1473" si="167">MID(B1410,1,3)</f>
        <v>016</v>
      </c>
      <c r="J1410" s="5" t="str">
        <f t="shared" ref="J1410:J1473" si="168">MID(B1410,5,4)</f>
        <v>2220</v>
      </c>
      <c r="K1410" s="5" t="str">
        <f t="shared" ref="K1410:K1473" si="169">MID(B1410,10,3)</f>
        <v>000</v>
      </c>
      <c r="L1410" s="5">
        <f t="shared" ref="L1410:L1473" si="170">MONTH(A1410)</f>
        <v>2</v>
      </c>
      <c r="M1410" s="5">
        <f t="shared" ref="M1410:M1473" si="171">YEAR(A1410)</f>
        <v>2012</v>
      </c>
    </row>
    <row r="1411" spans="1:13" ht="17.45" customHeight="1" x14ac:dyDescent="0.25">
      <c r="A1411" s="1">
        <f>DATE(2012,2,28)</f>
        <v>40967</v>
      </c>
      <c r="B1411" t="s">
        <v>14</v>
      </c>
      <c r="C1411" t="s">
        <v>10</v>
      </c>
      <c r="D1411" s="3">
        <v>89.407499999999999</v>
      </c>
      <c r="E1411" s="3">
        <v>0</v>
      </c>
      <c r="F1411" t="s">
        <v>45</v>
      </c>
      <c r="G1411" s="3">
        <f t="shared" si="165"/>
        <v>-89.407499999999999</v>
      </c>
      <c r="H1411" s="3">
        <f t="shared" si="166"/>
        <v>89.407499999999999</v>
      </c>
      <c r="I1411" s="5" t="str">
        <f t="shared" si="167"/>
        <v>016</v>
      </c>
      <c r="J1411" s="5" t="str">
        <f t="shared" si="168"/>
        <v>2230</v>
      </c>
      <c r="K1411" s="5" t="str">
        <f t="shared" si="169"/>
        <v>000</v>
      </c>
      <c r="L1411" s="5">
        <f t="shared" si="170"/>
        <v>2</v>
      </c>
      <c r="M1411" s="5">
        <f t="shared" si="171"/>
        <v>2012</v>
      </c>
    </row>
    <row r="1412" spans="1:13" ht="17.45" customHeight="1" x14ac:dyDescent="0.25">
      <c r="A1412" s="1">
        <f>DATE(2012,2,29)</f>
        <v>40968</v>
      </c>
      <c r="B1412" t="s">
        <v>11</v>
      </c>
      <c r="C1412" t="s">
        <v>6</v>
      </c>
      <c r="D1412" s="3">
        <v>3578.46</v>
      </c>
      <c r="E1412" s="3">
        <v>0</v>
      </c>
      <c r="F1412" t="s">
        <v>45</v>
      </c>
      <c r="G1412" s="3">
        <f t="shared" si="165"/>
        <v>-3578.46</v>
      </c>
      <c r="H1412" s="3">
        <f t="shared" si="166"/>
        <v>3578.46</v>
      </c>
      <c r="I1412" s="5" t="str">
        <f t="shared" si="167"/>
        <v>016</v>
      </c>
      <c r="J1412" s="5" t="str">
        <f t="shared" si="168"/>
        <v>2100</v>
      </c>
      <c r="K1412" s="5" t="str">
        <f t="shared" si="169"/>
        <v>000</v>
      </c>
      <c r="L1412" s="5">
        <f t="shared" si="170"/>
        <v>2</v>
      </c>
      <c r="M1412" s="5">
        <f t="shared" si="171"/>
        <v>2012</v>
      </c>
    </row>
    <row r="1413" spans="1:13" ht="17.45" customHeight="1" x14ac:dyDescent="0.25">
      <c r="A1413" s="1">
        <f>DATE(2012,2,29)</f>
        <v>40968</v>
      </c>
      <c r="B1413" t="s">
        <v>12</v>
      </c>
      <c r="C1413" t="s">
        <v>8</v>
      </c>
      <c r="D1413" s="3">
        <v>1147.3504999999998</v>
      </c>
      <c r="E1413" s="3">
        <v>0</v>
      </c>
      <c r="F1413" t="s">
        <v>45</v>
      </c>
      <c r="G1413" s="3">
        <f t="shared" si="165"/>
        <v>-1147.3504999999998</v>
      </c>
      <c r="H1413" s="3">
        <f t="shared" si="166"/>
        <v>1147.3504999999998</v>
      </c>
      <c r="I1413" s="5" t="str">
        <f t="shared" si="167"/>
        <v>016</v>
      </c>
      <c r="J1413" s="5" t="str">
        <f t="shared" si="168"/>
        <v>2210</v>
      </c>
      <c r="K1413" s="5" t="str">
        <f t="shared" si="169"/>
        <v>000</v>
      </c>
      <c r="L1413" s="5">
        <f t="shared" si="170"/>
        <v>2</v>
      </c>
      <c r="M1413" s="5">
        <f t="shared" si="171"/>
        <v>2012</v>
      </c>
    </row>
    <row r="1414" spans="1:13" ht="17.45" customHeight="1" x14ac:dyDescent="0.25">
      <c r="A1414" s="1">
        <f>DATE(2012,2,29)</f>
        <v>40968</v>
      </c>
      <c r="B1414" t="s">
        <v>13</v>
      </c>
      <c r="C1414" t="s">
        <v>9</v>
      </c>
      <c r="D1414" s="3">
        <v>177.792</v>
      </c>
      <c r="E1414" s="3">
        <v>0</v>
      </c>
      <c r="F1414" t="s">
        <v>45</v>
      </c>
      <c r="G1414" s="3">
        <f t="shared" si="165"/>
        <v>-177.792</v>
      </c>
      <c r="H1414" s="3">
        <f t="shared" si="166"/>
        <v>177.792</v>
      </c>
      <c r="I1414" s="5" t="str">
        <f t="shared" si="167"/>
        <v>016</v>
      </c>
      <c r="J1414" s="5" t="str">
        <f t="shared" si="168"/>
        <v>2220</v>
      </c>
      <c r="K1414" s="5" t="str">
        <f t="shared" si="169"/>
        <v>000</v>
      </c>
      <c r="L1414" s="5">
        <f t="shared" si="170"/>
        <v>2</v>
      </c>
      <c r="M1414" s="5">
        <f t="shared" si="171"/>
        <v>2012</v>
      </c>
    </row>
    <row r="1415" spans="1:13" ht="17.45" customHeight="1" x14ac:dyDescent="0.25">
      <c r="A1415" s="1">
        <f>DATE(2012,2,29)</f>
        <v>40968</v>
      </c>
      <c r="B1415" t="s">
        <v>14</v>
      </c>
      <c r="C1415" t="s">
        <v>10</v>
      </c>
      <c r="D1415" s="3">
        <v>175.18</v>
      </c>
      <c r="E1415" s="3">
        <v>0</v>
      </c>
      <c r="F1415" t="s">
        <v>45</v>
      </c>
      <c r="G1415" s="3">
        <f t="shared" si="165"/>
        <v>-175.18</v>
      </c>
      <c r="H1415" s="3">
        <f t="shared" si="166"/>
        <v>175.18</v>
      </c>
      <c r="I1415" s="5" t="str">
        <f t="shared" si="167"/>
        <v>016</v>
      </c>
      <c r="J1415" s="5" t="str">
        <f t="shared" si="168"/>
        <v>2230</v>
      </c>
      <c r="K1415" s="5" t="str">
        <f t="shared" si="169"/>
        <v>000</v>
      </c>
      <c r="L1415" s="5">
        <f t="shared" si="170"/>
        <v>2</v>
      </c>
      <c r="M1415" s="5">
        <f t="shared" si="171"/>
        <v>2012</v>
      </c>
    </row>
    <row r="1416" spans="1:13" ht="17.45" customHeight="1" x14ac:dyDescent="0.25">
      <c r="A1416" s="1">
        <f>DATE(2012,3,1)</f>
        <v>40969</v>
      </c>
      <c r="B1416" t="s">
        <v>11</v>
      </c>
      <c r="C1416" t="s">
        <v>6</v>
      </c>
      <c r="D1416" s="3">
        <v>3854.8445999999994</v>
      </c>
      <c r="E1416" s="3">
        <v>0</v>
      </c>
      <c r="F1416" t="s">
        <v>45</v>
      </c>
      <c r="G1416" s="3">
        <f t="shared" si="165"/>
        <v>-3854.8445999999994</v>
      </c>
      <c r="H1416" s="3">
        <f t="shared" si="166"/>
        <v>3854.8445999999994</v>
      </c>
      <c r="I1416" s="5" t="str">
        <f t="shared" si="167"/>
        <v>016</v>
      </c>
      <c r="J1416" s="5" t="str">
        <f t="shared" si="168"/>
        <v>2100</v>
      </c>
      <c r="K1416" s="5" t="str">
        <f t="shared" si="169"/>
        <v>000</v>
      </c>
      <c r="L1416" s="5">
        <f t="shared" si="170"/>
        <v>3</v>
      </c>
      <c r="M1416" s="5">
        <f t="shared" si="171"/>
        <v>2012</v>
      </c>
    </row>
    <row r="1417" spans="1:13" ht="17.45" customHeight="1" x14ac:dyDescent="0.25">
      <c r="A1417" s="1">
        <f>DATE(2012,3,1)</f>
        <v>40969</v>
      </c>
      <c r="B1417" t="s">
        <v>12</v>
      </c>
      <c r="C1417" t="s">
        <v>8</v>
      </c>
      <c r="D1417" s="3">
        <v>1097.0640000000001</v>
      </c>
      <c r="E1417" s="3">
        <v>0</v>
      </c>
      <c r="F1417" t="s">
        <v>45</v>
      </c>
      <c r="G1417" s="3">
        <f t="shared" si="165"/>
        <v>-1097.0640000000001</v>
      </c>
      <c r="H1417" s="3">
        <f t="shared" si="166"/>
        <v>1097.0640000000001</v>
      </c>
      <c r="I1417" s="5" t="str">
        <f t="shared" si="167"/>
        <v>016</v>
      </c>
      <c r="J1417" s="5" t="str">
        <f t="shared" si="168"/>
        <v>2210</v>
      </c>
      <c r="K1417" s="5" t="str">
        <f t="shared" si="169"/>
        <v>000</v>
      </c>
      <c r="L1417" s="5">
        <f t="shared" si="170"/>
        <v>3</v>
      </c>
      <c r="M1417" s="5">
        <f t="shared" si="171"/>
        <v>2012</v>
      </c>
    </row>
    <row r="1418" spans="1:13" ht="17.45" customHeight="1" x14ac:dyDescent="0.25">
      <c r="A1418" s="1">
        <f>DATE(2012,3,1)</f>
        <v>40969</v>
      </c>
      <c r="B1418" t="s">
        <v>13</v>
      </c>
      <c r="C1418" t="s">
        <v>9</v>
      </c>
      <c r="D1418" s="3">
        <v>240.8175</v>
      </c>
      <c r="E1418" s="3">
        <v>0</v>
      </c>
      <c r="F1418" t="s">
        <v>45</v>
      </c>
      <c r="G1418" s="3">
        <f t="shared" si="165"/>
        <v>-240.8175</v>
      </c>
      <c r="H1418" s="3">
        <f t="shared" si="166"/>
        <v>240.8175</v>
      </c>
      <c r="I1418" s="5" t="str">
        <f t="shared" si="167"/>
        <v>016</v>
      </c>
      <c r="J1418" s="5" t="str">
        <f t="shared" si="168"/>
        <v>2220</v>
      </c>
      <c r="K1418" s="5" t="str">
        <f t="shared" si="169"/>
        <v>000</v>
      </c>
      <c r="L1418" s="5">
        <f t="shared" si="170"/>
        <v>3</v>
      </c>
      <c r="M1418" s="5">
        <f t="shared" si="171"/>
        <v>2012</v>
      </c>
    </row>
    <row r="1419" spans="1:13" ht="17.45" customHeight="1" x14ac:dyDescent="0.25">
      <c r="A1419" s="1">
        <f>DATE(2012,3,1)</f>
        <v>40969</v>
      </c>
      <c r="B1419" t="s">
        <v>14</v>
      </c>
      <c r="C1419" t="s">
        <v>10</v>
      </c>
      <c r="D1419" s="3">
        <v>105.26400000000001</v>
      </c>
      <c r="E1419" s="3">
        <v>0</v>
      </c>
      <c r="F1419" t="s">
        <v>45</v>
      </c>
      <c r="G1419" s="3">
        <f t="shared" si="165"/>
        <v>-105.26400000000001</v>
      </c>
      <c r="H1419" s="3">
        <f t="shared" si="166"/>
        <v>105.26400000000001</v>
      </c>
      <c r="I1419" s="5" t="str">
        <f t="shared" si="167"/>
        <v>016</v>
      </c>
      <c r="J1419" s="5" t="str">
        <f t="shared" si="168"/>
        <v>2230</v>
      </c>
      <c r="K1419" s="5" t="str">
        <f t="shared" si="169"/>
        <v>000</v>
      </c>
      <c r="L1419" s="5">
        <f t="shared" si="170"/>
        <v>3</v>
      </c>
      <c r="M1419" s="5">
        <f t="shared" si="171"/>
        <v>2012</v>
      </c>
    </row>
    <row r="1420" spans="1:13" ht="17.45" customHeight="1" x14ac:dyDescent="0.25">
      <c r="A1420" s="1">
        <f>DATE(2012,3,2)</f>
        <v>40970</v>
      </c>
      <c r="B1420" t="s">
        <v>11</v>
      </c>
      <c r="C1420" t="s">
        <v>6</v>
      </c>
      <c r="D1420" s="3">
        <v>8913.08</v>
      </c>
      <c r="E1420" s="3">
        <v>0</v>
      </c>
      <c r="F1420" t="s">
        <v>45</v>
      </c>
      <c r="G1420" s="3">
        <f t="shared" si="165"/>
        <v>-8913.08</v>
      </c>
      <c r="H1420" s="3">
        <f t="shared" si="166"/>
        <v>8913.08</v>
      </c>
      <c r="I1420" s="5" t="str">
        <f t="shared" si="167"/>
        <v>016</v>
      </c>
      <c r="J1420" s="5" t="str">
        <f t="shared" si="168"/>
        <v>2100</v>
      </c>
      <c r="K1420" s="5" t="str">
        <f t="shared" si="169"/>
        <v>000</v>
      </c>
      <c r="L1420" s="5">
        <f t="shared" si="170"/>
        <v>3</v>
      </c>
      <c r="M1420" s="5">
        <f t="shared" si="171"/>
        <v>2012</v>
      </c>
    </row>
    <row r="1421" spans="1:13" ht="17.45" customHeight="1" x14ac:dyDescent="0.25">
      <c r="A1421" s="1">
        <f>DATE(2012,3,2)</f>
        <v>40970</v>
      </c>
      <c r="B1421" t="s">
        <v>12</v>
      </c>
      <c r="C1421" t="s">
        <v>8</v>
      </c>
      <c r="D1421" s="3">
        <v>4487.3729999999996</v>
      </c>
      <c r="E1421" s="3">
        <v>0</v>
      </c>
      <c r="F1421" t="s">
        <v>45</v>
      </c>
      <c r="G1421" s="3">
        <f t="shared" si="165"/>
        <v>-4487.3729999999996</v>
      </c>
      <c r="H1421" s="3">
        <f t="shared" si="166"/>
        <v>4487.3729999999996</v>
      </c>
      <c r="I1421" s="5" t="str">
        <f t="shared" si="167"/>
        <v>016</v>
      </c>
      <c r="J1421" s="5" t="str">
        <f t="shared" si="168"/>
        <v>2210</v>
      </c>
      <c r="K1421" s="5" t="str">
        <f t="shared" si="169"/>
        <v>000</v>
      </c>
      <c r="L1421" s="5">
        <f t="shared" si="170"/>
        <v>3</v>
      </c>
      <c r="M1421" s="5">
        <f t="shared" si="171"/>
        <v>2012</v>
      </c>
    </row>
    <row r="1422" spans="1:13" ht="17.45" customHeight="1" x14ac:dyDescent="0.25">
      <c r="A1422" s="1">
        <f>DATE(2012,3,2)</f>
        <v>40970</v>
      </c>
      <c r="B1422" t="s">
        <v>13</v>
      </c>
      <c r="C1422" t="s">
        <v>9</v>
      </c>
      <c r="D1422" s="3">
        <v>657.63299999999992</v>
      </c>
      <c r="E1422" s="3">
        <v>0</v>
      </c>
      <c r="F1422" t="s">
        <v>45</v>
      </c>
      <c r="G1422" s="3">
        <f t="shared" si="165"/>
        <v>-657.63299999999992</v>
      </c>
      <c r="H1422" s="3">
        <f t="shared" si="166"/>
        <v>657.63299999999992</v>
      </c>
      <c r="I1422" s="5" t="str">
        <f t="shared" si="167"/>
        <v>016</v>
      </c>
      <c r="J1422" s="5" t="str">
        <f t="shared" si="168"/>
        <v>2220</v>
      </c>
      <c r="K1422" s="5" t="str">
        <f t="shared" si="169"/>
        <v>000</v>
      </c>
      <c r="L1422" s="5">
        <f t="shared" si="170"/>
        <v>3</v>
      </c>
      <c r="M1422" s="5">
        <f t="shared" si="171"/>
        <v>2012</v>
      </c>
    </row>
    <row r="1423" spans="1:13" ht="17.45" customHeight="1" x14ac:dyDescent="0.25">
      <c r="A1423" s="1">
        <f>DATE(2012,3,2)</f>
        <v>40970</v>
      </c>
      <c r="B1423" t="s">
        <v>14</v>
      </c>
      <c r="C1423" t="s">
        <v>10</v>
      </c>
      <c r="D1423" s="3">
        <v>337.09949999999998</v>
      </c>
      <c r="E1423" s="3">
        <v>0</v>
      </c>
      <c r="F1423" t="s">
        <v>45</v>
      </c>
      <c r="G1423" s="3">
        <f t="shared" si="165"/>
        <v>-337.09949999999998</v>
      </c>
      <c r="H1423" s="3">
        <f t="shared" si="166"/>
        <v>337.09949999999998</v>
      </c>
      <c r="I1423" s="5" t="str">
        <f t="shared" si="167"/>
        <v>016</v>
      </c>
      <c r="J1423" s="5" t="str">
        <f t="shared" si="168"/>
        <v>2230</v>
      </c>
      <c r="K1423" s="5" t="str">
        <f t="shared" si="169"/>
        <v>000</v>
      </c>
      <c r="L1423" s="5">
        <f t="shared" si="170"/>
        <v>3</v>
      </c>
      <c r="M1423" s="5">
        <f t="shared" si="171"/>
        <v>2012</v>
      </c>
    </row>
    <row r="1424" spans="1:13" ht="17.45" customHeight="1" x14ac:dyDescent="0.25">
      <c r="A1424" s="1">
        <f t="shared" ref="A1424:A1427" si="172">DATE(2012,3,3)</f>
        <v>40971</v>
      </c>
      <c r="B1424" t="s">
        <v>11</v>
      </c>
      <c r="C1424" t="s">
        <v>6</v>
      </c>
      <c r="D1424" s="3">
        <v>9119.3919999999998</v>
      </c>
      <c r="E1424" s="3">
        <v>0</v>
      </c>
      <c r="F1424" t="s">
        <v>45</v>
      </c>
      <c r="G1424" s="3">
        <f t="shared" si="165"/>
        <v>-9119.3919999999998</v>
      </c>
      <c r="H1424" s="3">
        <f t="shared" si="166"/>
        <v>9119.3919999999998</v>
      </c>
      <c r="I1424" s="5" t="str">
        <f t="shared" si="167"/>
        <v>016</v>
      </c>
      <c r="J1424" s="5" t="str">
        <f t="shared" si="168"/>
        <v>2100</v>
      </c>
      <c r="K1424" s="5" t="str">
        <f t="shared" si="169"/>
        <v>000</v>
      </c>
      <c r="L1424" s="5">
        <f t="shared" si="170"/>
        <v>3</v>
      </c>
      <c r="M1424" s="5">
        <f t="shared" si="171"/>
        <v>2012</v>
      </c>
    </row>
    <row r="1425" spans="1:13" ht="17.45" customHeight="1" x14ac:dyDescent="0.25">
      <c r="A1425" s="1">
        <f t="shared" si="172"/>
        <v>40971</v>
      </c>
      <c r="B1425" t="s">
        <v>12</v>
      </c>
      <c r="C1425" t="s">
        <v>8</v>
      </c>
      <c r="D1425" s="3">
        <v>2675.1215000000002</v>
      </c>
      <c r="E1425" s="3">
        <v>0</v>
      </c>
      <c r="F1425" t="s">
        <v>45</v>
      </c>
      <c r="G1425" s="3">
        <f t="shared" si="165"/>
        <v>-2675.1215000000002</v>
      </c>
      <c r="H1425" s="3">
        <f t="shared" si="166"/>
        <v>2675.1215000000002</v>
      </c>
      <c r="I1425" s="5" t="str">
        <f t="shared" si="167"/>
        <v>016</v>
      </c>
      <c r="J1425" s="5" t="str">
        <f t="shared" si="168"/>
        <v>2210</v>
      </c>
      <c r="K1425" s="5" t="str">
        <f t="shared" si="169"/>
        <v>000</v>
      </c>
      <c r="L1425" s="5">
        <f t="shared" si="170"/>
        <v>3</v>
      </c>
      <c r="M1425" s="5">
        <f t="shared" si="171"/>
        <v>2012</v>
      </c>
    </row>
    <row r="1426" spans="1:13" ht="17.45" customHeight="1" x14ac:dyDescent="0.25">
      <c r="A1426" s="1">
        <f t="shared" si="172"/>
        <v>40971</v>
      </c>
      <c r="B1426" t="s">
        <v>13</v>
      </c>
      <c r="C1426" t="s">
        <v>9</v>
      </c>
      <c r="D1426" s="3">
        <v>574.13250000000005</v>
      </c>
      <c r="E1426" s="3">
        <v>0</v>
      </c>
      <c r="F1426" t="s">
        <v>45</v>
      </c>
      <c r="G1426" s="3">
        <f t="shared" si="165"/>
        <v>-574.13250000000005</v>
      </c>
      <c r="H1426" s="3">
        <f t="shared" si="166"/>
        <v>574.13250000000005</v>
      </c>
      <c r="I1426" s="5" t="str">
        <f t="shared" si="167"/>
        <v>016</v>
      </c>
      <c r="J1426" s="5" t="str">
        <f t="shared" si="168"/>
        <v>2220</v>
      </c>
      <c r="K1426" s="5" t="str">
        <f t="shared" si="169"/>
        <v>000</v>
      </c>
      <c r="L1426" s="5">
        <f t="shared" si="170"/>
        <v>3</v>
      </c>
      <c r="M1426" s="5">
        <f t="shared" si="171"/>
        <v>2012</v>
      </c>
    </row>
    <row r="1427" spans="1:13" ht="17.45" customHeight="1" x14ac:dyDescent="0.25">
      <c r="A1427" s="1">
        <f t="shared" si="172"/>
        <v>40971</v>
      </c>
      <c r="B1427" t="s">
        <v>14</v>
      </c>
      <c r="C1427" t="s">
        <v>10</v>
      </c>
      <c r="D1427" s="3">
        <v>218.83349999999996</v>
      </c>
      <c r="E1427" s="3">
        <v>0</v>
      </c>
      <c r="F1427" t="s">
        <v>45</v>
      </c>
      <c r="G1427" s="3">
        <f t="shared" si="165"/>
        <v>-218.83349999999996</v>
      </c>
      <c r="H1427" s="3">
        <f t="shared" si="166"/>
        <v>218.83349999999996</v>
      </c>
      <c r="I1427" s="5" t="str">
        <f t="shared" si="167"/>
        <v>016</v>
      </c>
      <c r="J1427" s="5" t="str">
        <f t="shared" si="168"/>
        <v>2230</v>
      </c>
      <c r="K1427" s="5" t="str">
        <f t="shared" si="169"/>
        <v>000</v>
      </c>
      <c r="L1427" s="5">
        <f t="shared" si="170"/>
        <v>3</v>
      </c>
      <c r="M1427" s="5">
        <f t="shared" si="171"/>
        <v>2012</v>
      </c>
    </row>
    <row r="1428" spans="1:13" ht="17.45" customHeight="1" x14ac:dyDescent="0.25">
      <c r="A1428" s="1">
        <f>DATE(2012,3,4)</f>
        <v>40972</v>
      </c>
      <c r="B1428" t="s">
        <v>11</v>
      </c>
      <c r="C1428" t="s">
        <v>6</v>
      </c>
      <c r="D1428" s="3">
        <v>5904.7190000000001</v>
      </c>
      <c r="E1428" s="3">
        <v>0</v>
      </c>
      <c r="F1428" t="s">
        <v>45</v>
      </c>
      <c r="G1428" s="3">
        <f t="shared" si="165"/>
        <v>-5904.7190000000001</v>
      </c>
      <c r="H1428" s="3">
        <f t="shared" si="166"/>
        <v>5904.7190000000001</v>
      </c>
      <c r="I1428" s="5" t="str">
        <f t="shared" si="167"/>
        <v>016</v>
      </c>
      <c r="J1428" s="5" t="str">
        <f t="shared" si="168"/>
        <v>2100</v>
      </c>
      <c r="K1428" s="5" t="str">
        <f t="shared" si="169"/>
        <v>000</v>
      </c>
      <c r="L1428" s="5">
        <f t="shared" si="170"/>
        <v>3</v>
      </c>
      <c r="M1428" s="5">
        <f t="shared" si="171"/>
        <v>2012</v>
      </c>
    </row>
    <row r="1429" spans="1:13" ht="17.45" customHeight="1" x14ac:dyDescent="0.25">
      <c r="A1429" s="1">
        <f>DATE(2012,3,4)</f>
        <v>40972</v>
      </c>
      <c r="B1429" t="s">
        <v>12</v>
      </c>
      <c r="C1429" t="s">
        <v>8</v>
      </c>
      <c r="D1429" s="3">
        <v>1493.8589999999999</v>
      </c>
      <c r="E1429" s="3">
        <v>0</v>
      </c>
      <c r="F1429" t="s">
        <v>45</v>
      </c>
      <c r="G1429" s="3">
        <f t="shared" si="165"/>
        <v>-1493.8589999999999</v>
      </c>
      <c r="H1429" s="3">
        <f t="shared" si="166"/>
        <v>1493.8589999999999</v>
      </c>
      <c r="I1429" s="5" t="str">
        <f t="shared" si="167"/>
        <v>016</v>
      </c>
      <c r="J1429" s="5" t="str">
        <f t="shared" si="168"/>
        <v>2210</v>
      </c>
      <c r="K1429" s="5" t="str">
        <f t="shared" si="169"/>
        <v>000</v>
      </c>
      <c r="L1429" s="5">
        <f t="shared" si="170"/>
        <v>3</v>
      </c>
      <c r="M1429" s="5">
        <f t="shared" si="171"/>
        <v>2012</v>
      </c>
    </row>
    <row r="1430" spans="1:13" ht="17.45" customHeight="1" x14ac:dyDescent="0.25">
      <c r="A1430" s="1">
        <f>DATE(2012,3,4)</f>
        <v>40972</v>
      </c>
      <c r="B1430" t="s">
        <v>13</v>
      </c>
      <c r="C1430" t="s">
        <v>9</v>
      </c>
      <c r="D1430" s="3">
        <v>175.17150000000001</v>
      </c>
      <c r="E1430" s="3">
        <v>0</v>
      </c>
      <c r="F1430" t="s">
        <v>45</v>
      </c>
      <c r="G1430" s="3">
        <f t="shared" si="165"/>
        <v>-175.17150000000001</v>
      </c>
      <c r="H1430" s="3">
        <f t="shared" si="166"/>
        <v>175.17150000000001</v>
      </c>
      <c r="I1430" s="5" t="str">
        <f t="shared" si="167"/>
        <v>016</v>
      </c>
      <c r="J1430" s="5" t="str">
        <f t="shared" si="168"/>
        <v>2220</v>
      </c>
      <c r="K1430" s="5" t="str">
        <f t="shared" si="169"/>
        <v>000</v>
      </c>
      <c r="L1430" s="5">
        <f t="shared" si="170"/>
        <v>3</v>
      </c>
      <c r="M1430" s="5">
        <f t="shared" si="171"/>
        <v>2012</v>
      </c>
    </row>
    <row r="1431" spans="1:13" ht="17.45" customHeight="1" x14ac:dyDescent="0.25">
      <c r="A1431" s="1">
        <f>DATE(2012,3,4)</f>
        <v>40972</v>
      </c>
      <c r="B1431" t="s">
        <v>14</v>
      </c>
      <c r="C1431" t="s">
        <v>10</v>
      </c>
      <c r="D1431" s="3">
        <v>201.98600000000002</v>
      </c>
      <c r="E1431" s="3">
        <v>0</v>
      </c>
      <c r="F1431" t="s">
        <v>45</v>
      </c>
      <c r="G1431" s="3">
        <f t="shared" si="165"/>
        <v>-201.98600000000002</v>
      </c>
      <c r="H1431" s="3">
        <f t="shared" si="166"/>
        <v>201.98600000000002</v>
      </c>
      <c r="I1431" s="5" t="str">
        <f t="shared" si="167"/>
        <v>016</v>
      </c>
      <c r="J1431" s="5" t="str">
        <f t="shared" si="168"/>
        <v>2230</v>
      </c>
      <c r="K1431" s="5" t="str">
        <f t="shared" si="169"/>
        <v>000</v>
      </c>
      <c r="L1431" s="5">
        <f t="shared" si="170"/>
        <v>3</v>
      </c>
      <c r="M1431" s="5">
        <f t="shared" si="171"/>
        <v>2012</v>
      </c>
    </row>
    <row r="1432" spans="1:13" ht="17.45" customHeight="1" x14ac:dyDescent="0.25">
      <c r="A1432" s="1">
        <f>DATE(2012,2,27)</f>
        <v>40966</v>
      </c>
      <c r="B1432" t="s">
        <v>15</v>
      </c>
      <c r="C1432" t="s">
        <v>6</v>
      </c>
      <c r="D1432" s="3">
        <v>3305.0592999999999</v>
      </c>
      <c r="E1432" s="3">
        <v>0</v>
      </c>
      <c r="F1432" t="s">
        <v>45</v>
      </c>
      <c r="G1432" s="3">
        <f t="shared" si="165"/>
        <v>-3305.0592999999999</v>
      </c>
      <c r="H1432" s="3">
        <f t="shared" si="166"/>
        <v>3305.0592999999999</v>
      </c>
      <c r="I1432" s="5" t="str">
        <f t="shared" si="167"/>
        <v>017</v>
      </c>
      <c r="J1432" s="5" t="str">
        <f t="shared" si="168"/>
        <v>2100</v>
      </c>
      <c r="K1432" s="5" t="str">
        <f t="shared" si="169"/>
        <v>000</v>
      </c>
      <c r="L1432" s="5">
        <f t="shared" si="170"/>
        <v>2</v>
      </c>
      <c r="M1432" s="5">
        <f t="shared" si="171"/>
        <v>2012</v>
      </c>
    </row>
    <row r="1433" spans="1:13" ht="17.45" customHeight="1" x14ac:dyDescent="0.25">
      <c r="A1433" s="1">
        <f>DATE(2012,2,27)</f>
        <v>40966</v>
      </c>
      <c r="B1433" t="s">
        <v>16</v>
      </c>
      <c r="C1433" t="s">
        <v>8</v>
      </c>
      <c r="D1433" s="3">
        <v>899.07999999999993</v>
      </c>
      <c r="E1433" s="3">
        <v>0</v>
      </c>
      <c r="F1433" t="s">
        <v>45</v>
      </c>
      <c r="G1433" s="3">
        <f t="shared" si="165"/>
        <v>-899.07999999999993</v>
      </c>
      <c r="H1433" s="3">
        <f t="shared" si="166"/>
        <v>899.07999999999993</v>
      </c>
      <c r="I1433" s="5" t="str">
        <f t="shared" si="167"/>
        <v>017</v>
      </c>
      <c r="J1433" s="5" t="str">
        <f t="shared" si="168"/>
        <v>2210</v>
      </c>
      <c r="K1433" s="5" t="str">
        <f t="shared" si="169"/>
        <v>000</v>
      </c>
      <c r="L1433" s="5">
        <f t="shared" si="170"/>
        <v>2</v>
      </c>
      <c r="M1433" s="5">
        <f t="shared" si="171"/>
        <v>2012</v>
      </c>
    </row>
    <row r="1434" spans="1:13" ht="17.45" customHeight="1" x14ac:dyDescent="0.25">
      <c r="A1434" s="1">
        <f>DATE(2012,2,27)</f>
        <v>40966</v>
      </c>
      <c r="B1434" t="s">
        <v>17</v>
      </c>
      <c r="C1434" t="s">
        <v>9</v>
      </c>
      <c r="D1434" s="3">
        <v>365.71499999999997</v>
      </c>
      <c r="E1434" s="3">
        <v>0</v>
      </c>
      <c r="F1434" t="s">
        <v>45</v>
      </c>
      <c r="G1434" s="3">
        <f t="shared" si="165"/>
        <v>-365.71499999999997</v>
      </c>
      <c r="H1434" s="3">
        <f t="shared" si="166"/>
        <v>365.71499999999997</v>
      </c>
      <c r="I1434" s="5" t="str">
        <f t="shared" si="167"/>
        <v>017</v>
      </c>
      <c r="J1434" s="5" t="str">
        <f t="shared" si="168"/>
        <v>2220</v>
      </c>
      <c r="K1434" s="5" t="str">
        <f t="shared" si="169"/>
        <v>000</v>
      </c>
      <c r="L1434" s="5">
        <f t="shared" si="170"/>
        <v>2</v>
      </c>
      <c r="M1434" s="5">
        <f t="shared" si="171"/>
        <v>2012</v>
      </c>
    </row>
    <row r="1435" spans="1:13" ht="17.45" customHeight="1" x14ac:dyDescent="0.25">
      <c r="A1435" s="1">
        <f>DATE(2012,2,27)</f>
        <v>40966</v>
      </c>
      <c r="B1435" t="s">
        <v>18</v>
      </c>
      <c r="C1435" t="s">
        <v>10</v>
      </c>
      <c r="D1435" s="3">
        <v>94.814999999999998</v>
      </c>
      <c r="E1435" s="3">
        <v>0</v>
      </c>
      <c r="F1435" t="s">
        <v>45</v>
      </c>
      <c r="G1435" s="3">
        <f t="shared" si="165"/>
        <v>-94.814999999999998</v>
      </c>
      <c r="H1435" s="3">
        <f t="shared" si="166"/>
        <v>94.814999999999998</v>
      </c>
      <c r="I1435" s="5" t="str">
        <f t="shared" si="167"/>
        <v>017</v>
      </c>
      <c r="J1435" s="5" t="str">
        <f t="shared" si="168"/>
        <v>2230</v>
      </c>
      <c r="K1435" s="5" t="str">
        <f t="shared" si="169"/>
        <v>000</v>
      </c>
      <c r="L1435" s="5">
        <f t="shared" si="170"/>
        <v>2</v>
      </c>
      <c r="M1435" s="5">
        <f t="shared" si="171"/>
        <v>2012</v>
      </c>
    </row>
    <row r="1436" spans="1:13" ht="17.45" customHeight="1" x14ac:dyDescent="0.25">
      <c r="A1436" s="1">
        <f>DATE(2012,2,28)</f>
        <v>40967</v>
      </c>
      <c r="B1436" t="s">
        <v>15</v>
      </c>
      <c r="C1436" t="s">
        <v>6</v>
      </c>
      <c r="D1436" s="3">
        <v>4679.7760000000007</v>
      </c>
      <c r="E1436" s="3">
        <v>0</v>
      </c>
      <c r="F1436" t="s">
        <v>45</v>
      </c>
      <c r="G1436" s="3">
        <f t="shared" si="165"/>
        <v>-4679.7760000000007</v>
      </c>
      <c r="H1436" s="3">
        <f t="shared" si="166"/>
        <v>4679.7760000000007</v>
      </c>
      <c r="I1436" s="5" t="str">
        <f t="shared" si="167"/>
        <v>017</v>
      </c>
      <c r="J1436" s="5" t="str">
        <f t="shared" si="168"/>
        <v>2100</v>
      </c>
      <c r="K1436" s="5" t="str">
        <f t="shared" si="169"/>
        <v>000</v>
      </c>
      <c r="L1436" s="5">
        <f t="shared" si="170"/>
        <v>2</v>
      </c>
      <c r="M1436" s="5">
        <f t="shared" si="171"/>
        <v>2012</v>
      </c>
    </row>
    <row r="1437" spans="1:13" ht="17.45" customHeight="1" x14ac:dyDescent="0.25">
      <c r="A1437" s="1">
        <f>DATE(2012,2,28)</f>
        <v>40967</v>
      </c>
      <c r="B1437" t="s">
        <v>16</v>
      </c>
      <c r="C1437" t="s">
        <v>8</v>
      </c>
      <c r="D1437" s="3">
        <v>1243.0079999999998</v>
      </c>
      <c r="E1437" s="3">
        <v>0</v>
      </c>
      <c r="F1437" t="s">
        <v>45</v>
      </c>
      <c r="G1437" s="3">
        <f t="shared" si="165"/>
        <v>-1243.0079999999998</v>
      </c>
      <c r="H1437" s="3">
        <f t="shared" si="166"/>
        <v>1243.0079999999998</v>
      </c>
      <c r="I1437" s="5" t="str">
        <f t="shared" si="167"/>
        <v>017</v>
      </c>
      <c r="J1437" s="5" t="str">
        <f t="shared" si="168"/>
        <v>2210</v>
      </c>
      <c r="K1437" s="5" t="str">
        <f t="shared" si="169"/>
        <v>000</v>
      </c>
      <c r="L1437" s="5">
        <f t="shared" si="170"/>
        <v>2</v>
      </c>
      <c r="M1437" s="5">
        <f t="shared" si="171"/>
        <v>2012</v>
      </c>
    </row>
    <row r="1438" spans="1:13" ht="17.45" customHeight="1" x14ac:dyDescent="0.25">
      <c r="A1438" s="1">
        <f>DATE(2012,2,28)</f>
        <v>40967</v>
      </c>
      <c r="B1438" t="s">
        <v>17</v>
      </c>
      <c r="C1438" t="s">
        <v>9</v>
      </c>
      <c r="D1438" s="3">
        <v>444.77250000000004</v>
      </c>
      <c r="E1438" s="3">
        <v>0</v>
      </c>
      <c r="F1438" t="s">
        <v>45</v>
      </c>
      <c r="G1438" s="3">
        <f t="shared" si="165"/>
        <v>-444.77250000000004</v>
      </c>
      <c r="H1438" s="3">
        <f t="shared" si="166"/>
        <v>444.77250000000004</v>
      </c>
      <c r="I1438" s="5" t="str">
        <f t="shared" si="167"/>
        <v>017</v>
      </c>
      <c r="J1438" s="5" t="str">
        <f t="shared" si="168"/>
        <v>2220</v>
      </c>
      <c r="K1438" s="5" t="str">
        <f t="shared" si="169"/>
        <v>000</v>
      </c>
      <c r="L1438" s="5">
        <f t="shared" si="170"/>
        <v>2</v>
      </c>
      <c r="M1438" s="5">
        <f t="shared" si="171"/>
        <v>2012</v>
      </c>
    </row>
    <row r="1439" spans="1:13" ht="17.45" customHeight="1" x14ac:dyDescent="0.25">
      <c r="A1439" s="1">
        <f>DATE(2012,2,28)</f>
        <v>40967</v>
      </c>
      <c r="B1439" t="s">
        <v>18</v>
      </c>
      <c r="C1439" t="s">
        <v>10</v>
      </c>
      <c r="D1439" s="3">
        <v>67.552999999999997</v>
      </c>
      <c r="E1439" s="3">
        <v>0</v>
      </c>
      <c r="F1439" t="s">
        <v>45</v>
      </c>
      <c r="G1439" s="3">
        <f t="shared" si="165"/>
        <v>-67.552999999999997</v>
      </c>
      <c r="H1439" s="3">
        <f t="shared" si="166"/>
        <v>67.552999999999997</v>
      </c>
      <c r="I1439" s="5" t="str">
        <f t="shared" si="167"/>
        <v>017</v>
      </c>
      <c r="J1439" s="5" t="str">
        <f t="shared" si="168"/>
        <v>2230</v>
      </c>
      <c r="K1439" s="5" t="str">
        <f t="shared" si="169"/>
        <v>000</v>
      </c>
      <c r="L1439" s="5">
        <f t="shared" si="170"/>
        <v>2</v>
      </c>
      <c r="M1439" s="5">
        <f t="shared" si="171"/>
        <v>2012</v>
      </c>
    </row>
    <row r="1440" spans="1:13" ht="17.45" customHeight="1" x14ac:dyDescent="0.25">
      <c r="A1440" s="1">
        <f>DATE(2012,2,29)</f>
        <v>40968</v>
      </c>
      <c r="B1440" t="s">
        <v>15</v>
      </c>
      <c r="C1440" t="s">
        <v>6</v>
      </c>
      <c r="D1440" s="3">
        <v>3445.7849999999999</v>
      </c>
      <c r="E1440" s="3">
        <v>0</v>
      </c>
      <c r="F1440" t="s">
        <v>45</v>
      </c>
      <c r="G1440" s="3">
        <f t="shared" si="165"/>
        <v>-3445.7849999999999</v>
      </c>
      <c r="H1440" s="3">
        <f t="shared" si="166"/>
        <v>3445.7849999999999</v>
      </c>
      <c r="I1440" s="5" t="str">
        <f t="shared" si="167"/>
        <v>017</v>
      </c>
      <c r="J1440" s="5" t="str">
        <f t="shared" si="168"/>
        <v>2100</v>
      </c>
      <c r="K1440" s="5" t="str">
        <f t="shared" si="169"/>
        <v>000</v>
      </c>
      <c r="L1440" s="5">
        <f t="shared" si="170"/>
        <v>2</v>
      </c>
      <c r="M1440" s="5">
        <f t="shared" si="171"/>
        <v>2012</v>
      </c>
    </row>
    <row r="1441" spans="1:13" ht="17.45" customHeight="1" x14ac:dyDescent="0.25">
      <c r="A1441" s="1">
        <f>DATE(2012,2,29)</f>
        <v>40968</v>
      </c>
      <c r="B1441" t="s">
        <v>16</v>
      </c>
      <c r="C1441" t="s">
        <v>8</v>
      </c>
      <c r="D1441" s="3">
        <v>1044.1600000000001</v>
      </c>
      <c r="E1441" s="3">
        <v>0</v>
      </c>
      <c r="F1441" t="s">
        <v>45</v>
      </c>
      <c r="G1441" s="3">
        <f t="shared" si="165"/>
        <v>-1044.1600000000001</v>
      </c>
      <c r="H1441" s="3">
        <f t="shared" si="166"/>
        <v>1044.1600000000001</v>
      </c>
      <c r="I1441" s="5" t="str">
        <f t="shared" si="167"/>
        <v>017</v>
      </c>
      <c r="J1441" s="5" t="str">
        <f t="shared" si="168"/>
        <v>2210</v>
      </c>
      <c r="K1441" s="5" t="str">
        <f t="shared" si="169"/>
        <v>000</v>
      </c>
      <c r="L1441" s="5">
        <f t="shared" si="170"/>
        <v>2</v>
      </c>
      <c r="M1441" s="5">
        <f t="shared" si="171"/>
        <v>2012</v>
      </c>
    </row>
    <row r="1442" spans="1:13" ht="17.45" customHeight="1" x14ac:dyDescent="0.25">
      <c r="A1442" s="1">
        <f>DATE(2012,2,29)</f>
        <v>40968</v>
      </c>
      <c r="B1442" t="s">
        <v>17</v>
      </c>
      <c r="C1442" t="s">
        <v>9</v>
      </c>
      <c r="D1442" s="3">
        <v>325.11750000000001</v>
      </c>
      <c r="E1442" s="3">
        <v>0</v>
      </c>
      <c r="F1442" t="s">
        <v>45</v>
      </c>
      <c r="G1442" s="3">
        <f t="shared" si="165"/>
        <v>-325.11750000000001</v>
      </c>
      <c r="H1442" s="3">
        <f t="shared" si="166"/>
        <v>325.11750000000001</v>
      </c>
      <c r="I1442" s="5" t="str">
        <f t="shared" si="167"/>
        <v>017</v>
      </c>
      <c r="J1442" s="5" t="str">
        <f t="shared" si="168"/>
        <v>2220</v>
      </c>
      <c r="K1442" s="5" t="str">
        <f t="shared" si="169"/>
        <v>000</v>
      </c>
      <c r="L1442" s="5">
        <f t="shared" si="170"/>
        <v>2</v>
      </c>
      <c r="M1442" s="5">
        <f t="shared" si="171"/>
        <v>2012</v>
      </c>
    </row>
    <row r="1443" spans="1:13" ht="17.45" customHeight="1" x14ac:dyDescent="0.25">
      <c r="A1443" s="1">
        <f>DATE(2012,2,29)</f>
        <v>40968</v>
      </c>
      <c r="B1443" t="s">
        <v>18</v>
      </c>
      <c r="C1443" t="s">
        <v>10</v>
      </c>
      <c r="D1443" s="3">
        <v>87.078000000000003</v>
      </c>
      <c r="E1443" s="3">
        <v>0</v>
      </c>
      <c r="F1443" t="s">
        <v>45</v>
      </c>
      <c r="G1443" s="3">
        <f t="shared" si="165"/>
        <v>-87.078000000000003</v>
      </c>
      <c r="H1443" s="3">
        <f t="shared" si="166"/>
        <v>87.078000000000003</v>
      </c>
      <c r="I1443" s="5" t="str">
        <f t="shared" si="167"/>
        <v>017</v>
      </c>
      <c r="J1443" s="5" t="str">
        <f t="shared" si="168"/>
        <v>2230</v>
      </c>
      <c r="K1443" s="5" t="str">
        <f t="shared" si="169"/>
        <v>000</v>
      </c>
      <c r="L1443" s="5">
        <f t="shared" si="170"/>
        <v>2</v>
      </c>
      <c r="M1443" s="5">
        <f t="shared" si="171"/>
        <v>2012</v>
      </c>
    </row>
    <row r="1444" spans="1:13" ht="17.45" customHeight="1" x14ac:dyDescent="0.25">
      <c r="A1444" s="1">
        <f>DATE(2012,3,1)</f>
        <v>40969</v>
      </c>
      <c r="B1444" t="s">
        <v>15</v>
      </c>
      <c r="C1444" t="s">
        <v>6</v>
      </c>
      <c r="D1444" s="3">
        <v>7337.8976000000002</v>
      </c>
      <c r="E1444" s="3">
        <v>0</v>
      </c>
      <c r="F1444" t="s">
        <v>45</v>
      </c>
      <c r="G1444" s="3">
        <f t="shared" si="165"/>
        <v>-7337.8976000000002</v>
      </c>
      <c r="H1444" s="3">
        <f t="shared" si="166"/>
        <v>7337.8976000000002</v>
      </c>
      <c r="I1444" s="5" t="str">
        <f t="shared" si="167"/>
        <v>017</v>
      </c>
      <c r="J1444" s="5" t="str">
        <f t="shared" si="168"/>
        <v>2100</v>
      </c>
      <c r="K1444" s="5" t="str">
        <f t="shared" si="169"/>
        <v>000</v>
      </c>
      <c r="L1444" s="5">
        <f t="shared" si="170"/>
        <v>3</v>
      </c>
      <c r="M1444" s="5">
        <f t="shared" si="171"/>
        <v>2012</v>
      </c>
    </row>
    <row r="1445" spans="1:13" ht="17.45" customHeight="1" x14ac:dyDescent="0.25">
      <c r="A1445" s="1">
        <f>DATE(2012,3,1)</f>
        <v>40969</v>
      </c>
      <c r="B1445" t="s">
        <v>16</v>
      </c>
      <c r="C1445" t="s">
        <v>8</v>
      </c>
      <c r="D1445" s="3">
        <v>1715.547</v>
      </c>
      <c r="E1445" s="3">
        <v>0</v>
      </c>
      <c r="F1445" t="s">
        <v>45</v>
      </c>
      <c r="G1445" s="3">
        <f t="shared" si="165"/>
        <v>-1715.547</v>
      </c>
      <c r="H1445" s="3">
        <f t="shared" si="166"/>
        <v>1715.547</v>
      </c>
      <c r="I1445" s="5" t="str">
        <f t="shared" si="167"/>
        <v>017</v>
      </c>
      <c r="J1445" s="5" t="str">
        <f t="shared" si="168"/>
        <v>2210</v>
      </c>
      <c r="K1445" s="5" t="str">
        <f t="shared" si="169"/>
        <v>000</v>
      </c>
      <c r="L1445" s="5">
        <f t="shared" si="170"/>
        <v>3</v>
      </c>
      <c r="M1445" s="5">
        <f t="shared" si="171"/>
        <v>2012</v>
      </c>
    </row>
    <row r="1446" spans="1:13" ht="17.45" customHeight="1" x14ac:dyDescent="0.25">
      <c r="A1446" s="1">
        <f>DATE(2012,3,1)</f>
        <v>40969</v>
      </c>
      <c r="B1446" t="s">
        <v>17</v>
      </c>
      <c r="C1446" t="s">
        <v>9</v>
      </c>
      <c r="D1446" s="3">
        <v>1048.5625</v>
      </c>
      <c r="E1446" s="3">
        <v>0</v>
      </c>
      <c r="F1446" t="s">
        <v>45</v>
      </c>
      <c r="G1446" s="3">
        <f t="shared" si="165"/>
        <v>-1048.5625</v>
      </c>
      <c r="H1446" s="3">
        <f t="shared" si="166"/>
        <v>1048.5625</v>
      </c>
      <c r="I1446" s="5" t="str">
        <f t="shared" si="167"/>
        <v>017</v>
      </c>
      <c r="J1446" s="5" t="str">
        <f t="shared" si="168"/>
        <v>2220</v>
      </c>
      <c r="K1446" s="5" t="str">
        <f t="shared" si="169"/>
        <v>000</v>
      </c>
      <c r="L1446" s="5">
        <f t="shared" si="170"/>
        <v>3</v>
      </c>
      <c r="M1446" s="5">
        <f t="shared" si="171"/>
        <v>2012</v>
      </c>
    </row>
    <row r="1447" spans="1:13" ht="17.45" customHeight="1" x14ac:dyDescent="0.25">
      <c r="A1447" s="1">
        <f>DATE(2012,3,1)</f>
        <v>40969</v>
      </c>
      <c r="B1447" t="s">
        <v>18</v>
      </c>
      <c r="C1447" t="s">
        <v>10</v>
      </c>
      <c r="D1447" s="3">
        <v>151.47</v>
      </c>
      <c r="E1447" s="3">
        <v>0</v>
      </c>
      <c r="F1447" t="s">
        <v>45</v>
      </c>
      <c r="G1447" s="3">
        <f t="shared" si="165"/>
        <v>-151.47</v>
      </c>
      <c r="H1447" s="3">
        <f t="shared" si="166"/>
        <v>151.47</v>
      </c>
      <c r="I1447" s="5" t="str">
        <f t="shared" si="167"/>
        <v>017</v>
      </c>
      <c r="J1447" s="5" t="str">
        <f t="shared" si="168"/>
        <v>2230</v>
      </c>
      <c r="K1447" s="5" t="str">
        <f t="shared" si="169"/>
        <v>000</v>
      </c>
      <c r="L1447" s="5">
        <f t="shared" si="170"/>
        <v>3</v>
      </c>
      <c r="M1447" s="5">
        <f t="shared" si="171"/>
        <v>2012</v>
      </c>
    </row>
    <row r="1448" spans="1:13" ht="17.45" customHeight="1" x14ac:dyDescent="0.25">
      <c r="A1448" s="1">
        <f>DATE(2012,3,2)</f>
        <v>40970</v>
      </c>
      <c r="B1448" t="s">
        <v>15</v>
      </c>
      <c r="C1448" t="s">
        <v>6</v>
      </c>
      <c r="D1448" s="3">
        <v>5358.3924999999999</v>
      </c>
      <c r="E1448" s="3">
        <v>0</v>
      </c>
      <c r="F1448" t="s">
        <v>45</v>
      </c>
      <c r="G1448" s="3">
        <f t="shared" si="165"/>
        <v>-5358.3924999999999</v>
      </c>
      <c r="H1448" s="3">
        <f t="shared" si="166"/>
        <v>5358.3924999999999</v>
      </c>
      <c r="I1448" s="5" t="str">
        <f t="shared" si="167"/>
        <v>017</v>
      </c>
      <c r="J1448" s="5" t="str">
        <f t="shared" si="168"/>
        <v>2100</v>
      </c>
      <c r="K1448" s="5" t="str">
        <f t="shared" si="169"/>
        <v>000</v>
      </c>
      <c r="L1448" s="5">
        <f t="shared" si="170"/>
        <v>3</v>
      </c>
      <c r="M1448" s="5">
        <f t="shared" si="171"/>
        <v>2012</v>
      </c>
    </row>
    <row r="1449" spans="1:13" ht="17.45" customHeight="1" x14ac:dyDescent="0.25">
      <c r="A1449" s="1">
        <f>DATE(2012,3,2)</f>
        <v>40970</v>
      </c>
      <c r="B1449" t="s">
        <v>16</v>
      </c>
      <c r="C1449" t="s">
        <v>8</v>
      </c>
      <c r="D1449" s="3">
        <v>2103.8424999999997</v>
      </c>
      <c r="E1449" s="3">
        <v>0</v>
      </c>
      <c r="F1449" t="s">
        <v>45</v>
      </c>
      <c r="G1449" s="3">
        <f t="shared" si="165"/>
        <v>-2103.8424999999997</v>
      </c>
      <c r="H1449" s="3">
        <f t="shared" si="166"/>
        <v>2103.8424999999997</v>
      </c>
      <c r="I1449" s="5" t="str">
        <f t="shared" si="167"/>
        <v>017</v>
      </c>
      <c r="J1449" s="5" t="str">
        <f t="shared" si="168"/>
        <v>2210</v>
      </c>
      <c r="K1449" s="5" t="str">
        <f t="shared" si="169"/>
        <v>000</v>
      </c>
      <c r="L1449" s="5">
        <f t="shared" si="170"/>
        <v>3</v>
      </c>
      <c r="M1449" s="5">
        <f t="shared" si="171"/>
        <v>2012</v>
      </c>
    </row>
    <row r="1450" spans="1:13" ht="17.45" customHeight="1" x14ac:dyDescent="0.25">
      <c r="A1450" s="1">
        <f>DATE(2012,3,2)</f>
        <v>40970</v>
      </c>
      <c r="B1450" t="s">
        <v>17</v>
      </c>
      <c r="C1450" t="s">
        <v>9</v>
      </c>
      <c r="D1450" s="3">
        <v>769.86</v>
      </c>
      <c r="E1450" s="3">
        <v>0</v>
      </c>
      <c r="F1450" t="s">
        <v>45</v>
      </c>
      <c r="G1450" s="3">
        <f t="shared" si="165"/>
        <v>-769.86</v>
      </c>
      <c r="H1450" s="3">
        <f t="shared" si="166"/>
        <v>769.86</v>
      </c>
      <c r="I1450" s="5" t="str">
        <f t="shared" si="167"/>
        <v>017</v>
      </c>
      <c r="J1450" s="5" t="str">
        <f t="shared" si="168"/>
        <v>2220</v>
      </c>
      <c r="K1450" s="5" t="str">
        <f t="shared" si="169"/>
        <v>000</v>
      </c>
      <c r="L1450" s="5">
        <f t="shared" si="170"/>
        <v>3</v>
      </c>
      <c r="M1450" s="5">
        <f t="shared" si="171"/>
        <v>2012</v>
      </c>
    </row>
    <row r="1451" spans="1:13" ht="17.45" customHeight="1" x14ac:dyDescent="0.25">
      <c r="A1451" s="1">
        <f>DATE(2012,3,2)</f>
        <v>40970</v>
      </c>
      <c r="B1451" t="s">
        <v>18</v>
      </c>
      <c r="C1451" t="s">
        <v>10</v>
      </c>
      <c r="D1451" s="3">
        <v>145.10999999999999</v>
      </c>
      <c r="E1451" s="3">
        <v>0</v>
      </c>
      <c r="F1451" t="s">
        <v>45</v>
      </c>
      <c r="G1451" s="3">
        <f t="shared" si="165"/>
        <v>-145.10999999999999</v>
      </c>
      <c r="H1451" s="3">
        <f t="shared" si="166"/>
        <v>145.10999999999999</v>
      </c>
      <c r="I1451" s="5" t="str">
        <f t="shared" si="167"/>
        <v>017</v>
      </c>
      <c r="J1451" s="5" t="str">
        <f t="shared" si="168"/>
        <v>2230</v>
      </c>
      <c r="K1451" s="5" t="str">
        <f t="shared" si="169"/>
        <v>000</v>
      </c>
      <c r="L1451" s="5">
        <f t="shared" si="170"/>
        <v>3</v>
      </c>
      <c r="M1451" s="5">
        <f t="shared" si="171"/>
        <v>2012</v>
      </c>
    </row>
    <row r="1452" spans="1:13" ht="17.45" customHeight="1" x14ac:dyDescent="0.25">
      <c r="A1452" s="1">
        <f t="shared" ref="A1452:A1455" si="173">DATE(2012,3,3)</f>
        <v>40971</v>
      </c>
      <c r="B1452" t="s">
        <v>15</v>
      </c>
      <c r="C1452" t="s">
        <v>6</v>
      </c>
      <c r="D1452" s="3">
        <v>7734.5625</v>
      </c>
      <c r="E1452" s="3">
        <v>0</v>
      </c>
      <c r="F1452" t="s">
        <v>45</v>
      </c>
      <c r="G1452" s="3">
        <f t="shared" si="165"/>
        <v>-7734.5625</v>
      </c>
      <c r="H1452" s="3">
        <f t="shared" si="166"/>
        <v>7734.5625</v>
      </c>
      <c r="I1452" s="5" t="str">
        <f t="shared" si="167"/>
        <v>017</v>
      </c>
      <c r="J1452" s="5" t="str">
        <f t="shared" si="168"/>
        <v>2100</v>
      </c>
      <c r="K1452" s="5" t="str">
        <f t="shared" si="169"/>
        <v>000</v>
      </c>
      <c r="L1452" s="5">
        <f t="shared" si="170"/>
        <v>3</v>
      </c>
      <c r="M1452" s="5">
        <f t="shared" si="171"/>
        <v>2012</v>
      </c>
    </row>
    <row r="1453" spans="1:13" ht="17.45" customHeight="1" x14ac:dyDescent="0.25">
      <c r="A1453" s="1">
        <f t="shared" si="173"/>
        <v>40971</v>
      </c>
      <c r="B1453" t="s">
        <v>16</v>
      </c>
      <c r="C1453" t="s">
        <v>8</v>
      </c>
      <c r="D1453" s="3">
        <v>2823.5480000000002</v>
      </c>
      <c r="E1453" s="3">
        <v>0</v>
      </c>
      <c r="F1453" t="s">
        <v>45</v>
      </c>
      <c r="G1453" s="3">
        <f t="shared" si="165"/>
        <v>-2823.5480000000002</v>
      </c>
      <c r="H1453" s="3">
        <f t="shared" si="166"/>
        <v>2823.5480000000002</v>
      </c>
      <c r="I1453" s="5" t="str">
        <f t="shared" si="167"/>
        <v>017</v>
      </c>
      <c r="J1453" s="5" t="str">
        <f t="shared" si="168"/>
        <v>2210</v>
      </c>
      <c r="K1453" s="5" t="str">
        <f t="shared" si="169"/>
        <v>000</v>
      </c>
      <c r="L1453" s="5">
        <f t="shared" si="170"/>
        <v>3</v>
      </c>
      <c r="M1453" s="5">
        <f t="shared" si="171"/>
        <v>2012</v>
      </c>
    </row>
    <row r="1454" spans="1:13" ht="17.45" customHeight="1" x14ac:dyDescent="0.25">
      <c r="A1454" s="1">
        <f t="shared" si="173"/>
        <v>40971</v>
      </c>
      <c r="B1454" t="s">
        <v>17</v>
      </c>
      <c r="C1454" t="s">
        <v>9</v>
      </c>
      <c r="D1454" s="3">
        <v>512.52499999999998</v>
      </c>
      <c r="E1454" s="3">
        <v>0</v>
      </c>
      <c r="F1454" t="s">
        <v>45</v>
      </c>
      <c r="G1454" s="3">
        <f t="shared" si="165"/>
        <v>-512.52499999999998</v>
      </c>
      <c r="H1454" s="3">
        <f t="shared" si="166"/>
        <v>512.52499999999998</v>
      </c>
      <c r="I1454" s="5" t="str">
        <f t="shared" si="167"/>
        <v>017</v>
      </c>
      <c r="J1454" s="5" t="str">
        <f t="shared" si="168"/>
        <v>2220</v>
      </c>
      <c r="K1454" s="5" t="str">
        <f t="shared" si="169"/>
        <v>000</v>
      </c>
      <c r="L1454" s="5">
        <f t="shared" si="170"/>
        <v>3</v>
      </c>
      <c r="M1454" s="5">
        <f t="shared" si="171"/>
        <v>2012</v>
      </c>
    </row>
    <row r="1455" spans="1:13" ht="17.45" customHeight="1" x14ac:dyDescent="0.25">
      <c r="A1455" s="1">
        <f t="shared" si="173"/>
        <v>40971</v>
      </c>
      <c r="B1455" t="s">
        <v>18</v>
      </c>
      <c r="C1455" t="s">
        <v>10</v>
      </c>
      <c r="D1455" s="3">
        <v>100.41800000000001</v>
      </c>
      <c r="E1455" s="3">
        <v>0</v>
      </c>
      <c r="F1455" t="s">
        <v>45</v>
      </c>
      <c r="G1455" s="3">
        <f t="shared" si="165"/>
        <v>-100.41800000000001</v>
      </c>
      <c r="H1455" s="3">
        <f t="shared" si="166"/>
        <v>100.41800000000001</v>
      </c>
      <c r="I1455" s="5" t="str">
        <f t="shared" si="167"/>
        <v>017</v>
      </c>
      <c r="J1455" s="5" t="str">
        <f t="shared" si="168"/>
        <v>2230</v>
      </c>
      <c r="K1455" s="5" t="str">
        <f t="shared" si="169"/>
        <v>000</v>
      </c>
      <c r="L1455" s="5">
        <f t="shared" si="170"/>
        <v>3</v>
      </c>
      <c r="M1455" s="5">
        <f t="shared" si="171"/>
        <v>2012</v>
      </c>
    </row>
    <row r="1456" spans="1:13" ht="17.45" customHeight="1" x14ac:dyDescent="0.25">
      <c r="A1456" s="1">
        <f t="shared" ref="A1456:A1459" si="174">DATE(2012,3,4)</f>
        <v>40972</v>
      </c>
      <c r="B1456" t="s">
        <v>15</v>
      </c>
      <c r="C1456" t="s">
        <v>6</v>
      </c>
      <c r="D1456" s="3">
        <v>6511.0884000000005</v>
      </c>
      <c r="E1456" s="3">
        <v>0</v>
      </c>
      <c r="F1456" t="s">
        <v>45</v>
      </c>
      <c r="G1456" s="3">
        <f t="shared" si="165"/>
        <v>-6511.0884000000005</v>
      </c>
      <c r="H1456" s="3">
        <f t="shared" si="166"/>
        <v>6511.0884000000005</v>
      </c>
      <c r="I1456" s="5" t="str">
        <f t="shared" si="167"/>
        <v>017</v>
      </c>
      <c r="J1456" s="5" t="str">
        <f t="shared" si="168"/>
        <v>2100</v>
      </c>
      <c r="K1456" s="5" t="str">
        <f t="shared" si="169"/>
        <v>000</v>
      </c>
      <c r="L1456" s="5">
        <f t="shared" si="170"/>
        <v>3</v>
      </c>
      <c r="M1456" s="5">
        <f t="shared" si="171"/>
        <v>2012</v>
      </c>
    </row>
    <row r="1457" spans="1:13" ht="17.45" customHeight="1" x14ac:dyDescent="0.25">
      <c r="A1457" s="1">
        <f t="shared" si="174"/>
        <v>40972</v>
      </c>
      <c r="B1457" t="s">
        <v>16</v>
      </c>
      <c r="C1457" t="s">
        <v>8</v>
      </c>
      <c r="D1457" s="3">
        <v>1527.1064999999999</v>
      </c>
      <c r="E1457" s="3">
        <v>0</v>
      </c>
      <c r="F1457" t="s">
        <v>45</v>
      </c>
      <c r="G1457" s="3">
        <f t="shared" si="165"/>
        <v>-1527.1064999999999</v>
      </c>
      <c r="H1457" s="3">
        <f t="shared" si="166"/>
        <v>1527.1064999999999</v>
      </c>
      <c r="I1457" s="5" t="str">
        <f t="shared" si="167"/>
        <v>017</v>
      </c>
      <c r="J1457" s="5" t="str">
        <f t="shared" si="168"/>
        <v>2210</v>
      </c>
      <c r="K1457" s="5" t="str">
        <f t="shared" si="169"/>
        <v>000</v>
      </c>
      <c r="L1457" s="5">
        <f t="shared" si="170"/>
        <v>3</v>
      </c>
      <c r="M1457" s="5">
        <f t="shared" si="171"/>
        <v>2012</v>
      </c>
    </row>
    <row r="1458" spans="1:13" ht="17.45" customHeight="1" x14ac:dyDescent="0.25">
      <c r="A1458" s="1">
        <f t="shared" si="174"/>
        <v>40972</v>
      </c>
      <c r="B1458" t="s">
        <v>17</v>
      </c>
      <c r="C1458" t="s">
        <v>9</v>
      </c>
      <c r="D1458" s="3">
        <v>302.94</v>
      </c>
      <c r="E1458" s="3">
        <v>0</v>
      </c>
      <c r="F1458" t="s">
        <v>45</v>
      </c>
      <c r="G1458" s="3">
        <f t="shared" si="165"/>
        <v>-302.94</v>
      </c>
      <c r="H1458" s="3">
        <f t="shared" si="166"/>
        <v>302.94</v>
      </c>
      <c r="I1458" s="5" t="str">
        <f t="shared" si="167"/>
        <v>017</v>
      </c>
      <c r="J1458" s="5" t="str">
        <f t="shared" si="168"/>
        <v>2220</v>
      </c>
      <c r="K1458" s="5" t="str">
        <f t="shared" si="169"/>
        <v>000</v>
      </c>
      <c r="L1458" s="5">
        <f t="shared" si="170"/>
        <v>3</v>
      </c>
      <c r="M1458" s="5">
        <f t="shared" si="171"/>
        <v>2012</v>
      </c>
    </row>
    <row r="1459" spans="1:13" ht="17.45" customHeight="1" x14ac:dyDescent="0.25">
      <c r="A1459" s="1">
        <f t="shared" si="174"/>
        <v>40972</v>
      </c>
      <c r="B1459" t="s">
        <v>18</v>
      </c>
      <c r="C1459" t="s">
        <v>10</v>
      </c>
      <c r="D1459" s="3">
        <v>92.080499999999986</v>
      </c>
      <c r="E1459" s="3">
        <v>0</v>
      </c>
      <c r="F1459" t="s">
        <v>45</v>
      </c>
      <c r="G1459" s="3">
        <f t="shared" si="165"/>
        <v>-92.080499999999986</v>
      </c>
      <c r="H1459" s="3">
        <f t="shared" si="166"/>
        <v>92.080499999999986</v>
      </c>
      <c r="I1459" s="5" t="str">
        <f t="shared" si="167"/>
        <v>017</v>
      </c>
      <c r="J1459" s="5" t="str">
        <f t="shared" si="168"/>
        <v>2230</v>
      </c>
      <c r="K1459" s="5" t="str">
        <f t="shared" si="169"/>
        <v>000</v>
      </c>
      <c r="L1459" s="5">
        <f t="shared" si="170"/>
        <v>3</v>
      </c>
      <c r="M1459" s="5">
        <f t="shared" si="171"/>
        <v>2012</v>
      </c>
    </row>
    <row r="1460" spans="1:13" ht="17.45" customHeight="1" x14ac:dyDescent="0.25">
      <c r="A1460" s="1">
        <f>DATE(2012,2,27)</f>
        <v>40966</v>
      </c>
      <c r="B1460" t="s">
        <v>19</v>
      </c>
      <c r="C1460" t="s">
        <v>6</v>
      </c>
      <c r="D1460" s="3">
        <v>3656.6669999999999</v>
      </c>
      <c r="E1460" s="3">
        <v>0</v>
      </c>
      <c r="F1460" t="s">
        <v>45</v>
      </c>
      <c r="G1460" s="3">
        <f t="shared" si="165"/>
        <v>-3656.6669999999999</v>
      </c>
      <c r="H1460" s="3">
        <f t="shared" si="166"/>
        <v>3656.6669999999999</v>
      </c>
      <c r="I1460" s="5" t="str">
        <f t="shared" si="167"/>
        <v>018</v>
      </c>
      <c r="J1460" s="5" t="str">
        <f t="shared" si="168"/>
        <v>2100</v>
      </c>
      <c r="K1460" s="5" t="str">
        <f t="shared" si="169"/>
        <v>000</v>
      </c>
      <c r="L1460" s="5">
        <f t="shared" si="170"/>
        <v>2</v>
      </c>
      <c r="M1460" s="5">
        <f t="shared" si="171"/>
        <v>2012</v>
      </c>
    </row>
    <row r="1461" spans="1:13" ht="17.45" customHeight="1" x14ac:dyDescent="0.25">
      <c r="A1461" s="1">
        <f>DATE(2012,2,27)</f>
        <v>40966</v>
      </c>
      <c r="B1461" t="s">
        <v>20</v>
      </c>
      <c r="C1461" t="s">
        <v>8</v>
      </c>
      <c r="D1461" s="3">
        <v>474.30300000000005</v>
      </c>
      <c r="E1461" s="3">
        <v>0</v>
      </c>
      <c r="F1461" t="s">
        <v>45</v>
      </c>
      <c r="G1461" s="3">
        <f t="shared" si="165"/>
        <v>-474.30300000000005</v>
      </c>
      <c r="H1461" s="3">
        <f t="shared" si="166"/>
        <v>474.30300000000005</v>
      </c>
      <c r="I1461" s="5" t="str">
        <f t="shared" si="167"/>
        <v>018</v>
      </c>
      <c r="J1461" s="5" t="str">
        <f t="shared" si="168"/>
        <v>2210</v>
      </c>
      <c r="K1461" s="5" t="str">
        <f t="shared" si="169"/>
        <v>000</v>
      </c>
      <c r="L1461" s="5">
        <f t="shared" si="170"/>
        <v>2</v>
      </c>
      <c r="M1461" s="5">
        <f t="shared" si="171"/>
        <v>2012</v>
      </c>
    </row>
    <row r="1462" spans="1:13" ht="17.45" customHeight="1" x14ac:dyDescent="0.25">
      <c r="A1462" s="1">
        <f>DATE(2012,2,27)</f>
        <v>40966</v>
      </c>
      <c r="B1462" t="s">
        <v>21</v>
      </c>
      <c r="C1462" t="s">
        <v>9</v>
      </c>
      <c r="D1462" s="3">
        <v>67.177499999999995</v>
      </c>
      <c r="E1462" s="3">
        <v>0</v>
      </c>
      <c r="F1462" t="s">
        <v>45</v>
      </c>
      <c r="G1462" s="3">
        <f t="shared" si="165"/>
        <v>-67.177499999999995</v>
      </c>
      <c r="H1462" s="3">
        <f t="shared" si="166"/>
        <v>67.177499999999995</v>
      </c>
      <c r="I1462" s="5" t="str">
        <f t="shared" si="167"/>
        <v>018</v>
      </c>
      <c r="J1462" s="5" t="str">
        <f t="shared" si="168"/>
        <v>2220</v>
      </c>
      <c r="K1462" s="5" t="str">
        <f t="shared" si="169"/>
        <v>000</v>
      </c>
      <c r="L1462" s="5">
        <f t="shared" si="170"/>
        <v>2</v>
      </c>
      <c r="M1462" s="5">
        <f t="shared" si="171"/>
        <v>2012</v>
      </c>
    </row>
    <row r="1463" spans="1:13" ht="17.45" customHeight="1" x14ac:dyDescent="0.25">
      <c r="A1463" s="1">
        <f>DATE(2012,2,27)</f>
        <v>40966</v>
      </c>
      <c r="B1463" t="s">
        <v>22</v>
      </c>
      <c r="C1463" t="s">
        <v>10</v>
      </c>
      <c r="D1463" s="3">
        <v>12.561000000000002</v>
      </c>
      <c r="E1463" s="3">
        <v>0</v>
      </c>
      <c r="F1463" t="s">
        <v>45</v>
      </c>
      <c r="G1463" s="3">
        <f t="shared" si="165"/>
        <v>-12.561000000000002</v>
      </c>
      <c r="H1463" s="3">
        <f t="shared" si="166"/>
        <v>12.561000000000002</v>
      </c>
      <c r="I1463" s="5" t="str">
        <f t="shared" si="167"/>
        <v>018</v>
      </c>
      <c r="J1463" s="5" t="str">
        <f t="shared" si="168"/>
        <v>2230</v>
      </c>
      <c r="K1463" s="5" t="str">
        <f t="shared" si="169"/>
        <v>000</v>
      </c>
      <c r="L1463" s="5">
        <f t="shared" si="170"/>
        <v>2</v>
      </c>
      <c r="M1463" s="5">
        <f t="shared" si="171"/>
        <v>2012</v>
      </c>
    </row>
    <row r="1464" spans="1:13" ht="17.45" customHeight="1" x14ac:dyDescent="0.25">
      <c r="A1464" s="1">
        <f>DATE(2012,2,28)</f>
        <v>40967</v>
      </c>
      <c r="B1464" t="s">
        <v>19</v>
      </c>
      <c r="C1464" t="s">
        <v>6</v>
      </c>
      <c r="D1464" s="3">
        <v>3570.8820000000001</v>
      </c>
      <c r="E1464" s="3">
        <v>0</v>
      </c>
      <c r="F1464" t="s">
        <v>45</v>
      </c>
      <c r="G1464" s="3">
        <f t="shared" si="165"/>
        <v>-3570.8820000000001</v>
      </c>
      <c r="H1464" s="3">
        <f t="shared" si="166"/>
        <v>3570.8820000000001</v>
      </c>
      <c r="I1464" s="5" t="str">
        <f t="shared" si="167"/>
        <v>018</v>
      </c>
      <c r="J1464" s="5" t="str">
        <f t="shared" si="168"/>
        <v>2100</v>
      </c>
      <c r="K1464" s="5" t="str">
        <f t="shared" si="169"/>
        <v>000</v>
      </c>
      <c r="L1464" s="5">
        <f t="shared" si="170"/>
        <v>2</v>
      </c>
      <c r="M1464" s="5">
        <f t="shared" si="171"/>
        <v>2012</v>
      </c>
    </row>
    <row r="1465" spans="1:13" ht="17.45" customHeight="1" x14ac:dyDescent="0.25">
      <c r="A1465" s="1">
        <f>DATE(2012,2,28)</f>
        <v>40967</v>
      </c>
      <c r="B1465" t="s">
        <v>20</v>
      </c>
      <c r="C1465" t="s">
        <v>8</v>
      </c>
      <c r="D1465" s="3">
        <v>919.44799999999998</v>
      </c>
      <c r="E1465" s="3">
        <v>0</v>
      </c>
      <c r="F1465" t="s">
        <v>45</v>
      </c>
      <c r="G1465" s="3">
        <f t="shared" si="165"/>
        <v>-919.44799999999998</v>
      </c>
      <c r="H1465" s="3">
        <f t="shared" si="166"/>
        <v>919.44799999999998</v>
      </c>
      <c r="I1465" s="5" t="str">
        <f t="shared" si="167"/>
        <v>018</v>
      </c>
      <c r="J1465" s="5" t="str">
        <f t="shared" si="168"/>
        <v>2210</v>
      </c>
      <c r="K1465" s="5" t="str">
        <f t="shared" si="169"/>
        <v>000</v>
      </c>
      <c r="L1465" s="5">
        <f t="shared" si="170"/>
        <v>2</v>
      </c>
      <c r="M1465" s="5">
        <f t="shared" si="171"/>
        <v>2012</v>
      </c>
    </row>
    <row r="1466" spans="1:13" ht="17.45" customHeight="1" x14ac:dyDescent="0.25">
      <c r="A1466" s="1">
        <f>DATE(2012,2,28)</f>
        <v>40967</v>
      </c>
      <c r="B1466" t="s">
        <v>21</v>
      </c>
      <c r="C1466" t="s">
        <v>9</v>
      </c>
      <c r="D1466" s="3">
        <v>96.394500000000008</v>
      </c>
      <c r="E1466" s="3">
        <v>0</v>
      </c>
      <c r="F1466" t="s">
        <v>45</v>
      </c>
      <c r="G1466" s="3">
        <f t="shared" si="165"/>
        <v>-96.394500000000008</v>
      </c>
      <c r="H1466" s="3">
        <f t="shared" si="166"/>
        <v>96.394500000000008</v>
      </c>
      <c r="I1466" s="5" t="str">
        <f t="shared" si="167"/>
        <v>018</v>
      </c>
      <c r="J1466" s="5" t="str">
        <f t="shared" si="168"/>
        <v>2220</v>
      </c>
      <c r="K1466" s="5" t="str">
        <f t="shared" si="169"/>
        <v>000</v>
      </c>
      <c r="L1466" s="5">
        <f t="shared" si="170"/>
        <v>2</v>
      </c>
      <c r="M1466" s="5">
        <f t="shared" si="171"/>
        <v>2012</v>
      </c>
    </row>
    <row r="1467" spans="1:13" ht="17.45" customHeight="1" x14ac:dyDescent="0.25">
      <c r="A1467" s="1">
        <f>DATE(2012,2,28)</f>
        <v>40967</v>
      </c>
      <c r="B1467" t="s">
        <v>22</v>
      </c>
      <c r="C1467" t="s">
        <v>10</v>
      </c>
      <c r="D1467" s="3">
        <v>58.104500000000002</v>
      </c>
      <c r="E1467" s="3">
        <v>0</v>
      </c>
      <c r="F1467" t="s">
        <v>45</v>
      </c>
      <c r="G1467" s="3">
        <f t="shared" si="165"/>
        <v>-58.104500000000002</v>
      </c>
      <c r="H1467" s="3">
        <f t="shared" si="166"/>
        <v>58.104500000000002</v>
      </c>
      <c r="I1467" s="5" t="str">
        <f t="shared" si="167"/>
        <v>018</v>
      </c>
      <c r="J1467" s="5" t="str">
        <f t="shared" si="168"/>
        <v>2230</v>
      </c>
      <c r="K1467" s="5" t="str">
        <f t="shared" si="169"/>
        <v>000</v>
      </c>
      <c r="L1467" s="5">
        <f t="shared" si="170"/>
        <v>2</v>
      </c>
      <c r="M1467" s="5">
        <f t="shared" si="171"/>
        <v>2012</v>
      </c>
    </row>
    <row r="1468" spans="1:13" ht="17.45" customHeight="1" x14ac:dyDescent="0.25">
      <c r="A1468" s="1">
        <f>DATE(2012,2,29)</f>
        <v>40968</v>
      </c>
      <c r="B1468" t="s">
        <v>19</v>
      </c>
      <c r="C1468" t="s">
        <v>6</v>
      </c>
      <c r="D1468" s="3">
        <v>3304.1269999999995</v>
      </c>
      <c r="E1468" s="3">
        <v>0</v>
      </c>
      <c r="F1468" t="s">
        <v>45</v>
      </c>
      <c r="G1468" s="3">
        <f t="shared" si="165"/>
        <v>-3304.1269999999995</v>
      </c>
      <c r="H1468" s="3">
        <f t="shared" si="166"/>
        <v>3304.1269999999995</v>
      </c>
      <c r="I1468" s="5" t="str">
        <f t="shared" si="167"/>
        <v>018</v>
      </c>
      <c r="J1468" s="5" t="str">
        <f t="shared" si="168"/>
        <v>2100</v>
      </c>
      <c r="K1468" s="5" t="str">
        <f t="shared" si="169"/>
        <v>000</v>
      </c>
      <c r="L1468" s="5">
        <f t="shared" si="170"/>
        <v>2</v>
      </c>
      <c r="M1468" s="5">
        <f t="shared" si="171"/>
        <v>2012</v>
      </c>
    </row>
    <row r="1469" spans="1:13" ht="17.45" customHeight="1" x14ac:dyDescent="0.25">
      <c r="A1469" s="1">
        <f>DATE(2012,2,29)</f>
        <v>40968</v>
      </c>
      <c r="B1469" t="s">
        <v>20</v>
      </c>
      <c r="C1469" t="s">
        <v>8</v>
      </c>
      <c r="D1469" s="3">
        <v>623.34950000000003</v>
      </c>
      <c r="E1469" s="3">
        <v>0</v>
      </c>
      <c r="F1469" t="s">
        <v>45</v>
      </c>
      <c r="G1469" s="3">
        <f t="shared" si="165"/>
        <v>-623.34950000000003</v>
      </c>
      <c r="H1469" s="3">
        <f t="shared" si="166"/>
        <v>623.34950000000003</v>
      </c>
      <c r="I1469" s="5" t="str">
        <f t="shared" si="167"/>
        <v>018</v>
      </c>
      <c r="J1469" s="5" t="str">
        <f t="shared" si="168"/>
        <v>2210</v>
      </c>
      <c r="K1469" s="5" t="str">
        <f t="shared" si="169"/>
        <v>000</v>
      </c>
      <c r="L1469" s="5">
        <f t="shared" si="170"/>
        <v>2</v>
      </c>
      <c r="M1469" s="5">
        <f t="shared" si="171"/>
        <v>2012</v>
      </c>
    </row>
    <row r="1470" spans="1:13" ht="17.45" customHeight="1" x14ac:dyDescent="0.25">
      <c r="A1470" s="1">
        <f>DATE(2012,2,29)</f>
        <v>40968</v>
      </c>
      <c r="B1470" t="s">
        <v>21</v>
      </c>
      <c r="C1470" t="s">
        <v>9</v>
      </c>
      <c r="D1470" s="3">
        <v>115.6455</v>
      </c>
      <c r="E1470" s="3">
        <v>0</v>
      </c>
      <c r="F1470" t="s">
        <v>45</v>
      </c>
      <c r="G1470" s="3">
        <f t="shared" si="165"/>
        <v>-115.6455</v>
      </c>
      <c r="H1470" s="3">
        <f t="shared" si="166"/>
        <v>115.6455</v>
      </c>
      <c r="I1470" s="5" t="str">
        <f t="shared" si="167"/>
        <v>018</v>
      </c>
      <c r="J1470" s="5" t="str">
        <f t="shared" si="168"/>
        <v>2220</v>
      </c>
      <c r="K1470" s="5" t="str">
        <f t="shared" si="169"/>
        <v>000</v>
      </c>
      <c r="L1470" s="5">
        <f t="shared" si="170"/>
        <v>2</v>
      </c>
      <c r="M1470" s="5">
        <f t="shared" si="171"/>
        <v>2012</v>
      </c>
    </row>
    <row r="1471" spans="1:13" ht="17.45" customHeight="1" x14ac:dyDescent="0.25">
      <c r="A1471" s="1">
        <f>DATE(2012,2,29)</f>
        <v>40968</v>
      </c>
      <c r="B1471" t="s">
        <v>22</v>
      </c>
      <c r="C1471" t="s">
        <v>10</v>
      </c>
      <c r="D1471" s="3">
        <v>21.648</v>
      </c>
      <c r="E1471" s="3">
        <v>0</v>
      </c>
      <c r="F1471" t="s">
        <v>45</v>
      </c>
      <c r="G1471" s="3">
        <f t="shared" si="165"/>
        <v>-21.648</v>
      </c>
      <c r="H1471" s="3">
        <f t="shared" si="166"/>
        <v>21.648</v>
      </c>
      <c r="I1471" s="5" t="str">
        <f t="shared" si="167"/>
        <v>018</v>
      </c>
      <c r="J1471" s="5" t="str">
        <f t="shared" si="168"/>
        <v>2230</v>
      </c>
      <c r="K1471" s="5" t="str">
        <f t="shared" si="169"/>
        <v>000</v>
      </c>
      <c r="L1471" s="5">
        <f t="shared" si="170"/>
        <v>2</v>
      </c>
      <c r="M1471" s="5">
        <f t="shared" si="171"/>
        <v>2012</v>
      </c>
    </row>
    <row r="1472" spans="1:13" ht="17.45" customHeight="1" x14ac:dyDescent="0.25">
      <c r="A1472" s="1">
        <f>DATE(2012,3,1)</f>
        <v>40969</v>
      </c>
      <c r="B1472" t="s">
        <v>19</v>
      </c>
      <c r="C1472" t="s">
        <v>6</v>
      </c>
      <c r="D1472" s="3">
        <v>4553.92</v>
      </c>
      <c r="E1472" s="3">
        <v>0</v>
      </c>
      <c r="F1472" t="s">
        <v>45</v>
      </c>
      <c r="G1472" s="3">
        <f t="shared" si="165"/>
        <v>-4553.92</v>
      </c>
      <c r="H1472" s="3">
        <f t="shared" si="166"/>
        <v>4553.92</v>
      </c>
      <c r="I1472" s="5" t="str">
        <f t="shared" si="167"/>
        <v>018</v>
      </c>
      <c r="J1472" s="5" t="str">
        <f t="shared" si="168"/>
        <v>2100</v>
      </c>
      <c r="K1472" s="5" t="str">
        <f t="shared" si="169"/>
        <v>000</v>
      </c>
      <c r="L1472" s="5">
        <f t="shared" si="170"/>
        <v>3</v>
      </c>
      <c r="M1472" s="5">
        <f t="shared" si="171"/>
        <v>2012</v>
      </c>
    </row>
    <row r="1473" spans="1:13" ht="17.45" customHeight="1" x14ac:dyDescent="0.25">
      <c r="A1473" s="1">
        <f>DATE(2012,3,1)</f>
        <v>40969</v>
      </c>
      <c r="B1473" t="s">
        <v>20</v>
      </c>
      <c r="C1473" t="s">
        <v>8</v>
      </c>
      <c r="D1473" s="3">
        <v>900.35</v>
      </c>
      <c r="E1473" s="3">
        <v>0</v>
      </c>
      <c r="F1473" t="s">
        <v>45</v>
      </c>
      <c r="G1473" s="3">
        <f t="shared" si="165"/>
        <v>-900.35</v>
      </c>
      <c r="H1473" s="3">
        <f t="shared" si="166"/>
        <v>900.35</v>
      </c>
      <c r="I1473" s="5" t="str">
        <f t="shared" si="167"/>
        <v>018</v>
      </c>
      <c r="J1473" s="5" t="str">
        <f t="shared" si="168"/>
        <v>2210</v>
      </c>
      <c r="K1473" s="5" t="str">
        <f t="shared" si="169"/>
        <v>000</v>
      </c>
      <c r="L1473" s="5">
        <f t="shared" si="170"/>
        <v>3</v>
      </c>
      <c r="M1473" s="5">
        <f t="shared" si="171"/>
        <v>2012</v>
      </c>
    </row>
    <row r="1474" spans="1:13" ht="17.45" customHeight="1" x14ac:dyDescent="0.25">
      <c r="A1474" s="1">
        <f>DATE(2012,3,1)</f>
        <v>40969</v>
      </c>
      <c r="B1474" t="s">
        <v>21</v>
      </c>
      <c r="C1474" t="s">
        <v>9</v>
      </c>
      <c r="D1474" s="3">
        <v>282.71600000000001</v>
      </c>
      <c r="E1474" s="3">
        <v>0</v>
      </c>
      <c r="F1474" t="s">
        <v>45</v>
      </c>
      <c r="G1474" s="3">
        <f t="shared" ref="G1474:G1537" si="175">E1474-D1474</f>
        <v>-282.71600000000001</v>
      </c>
      <c r="H1474" s="3">
        <f t="shared" ref="H1474:H1537" si="176">ABS(G1474)</f>
        <v>282.71600000000001</v>
      </c>
      <c r="I1474" s="5" t="str">
        <f t="shared" ref="I1474:I1537" si="177">MID(B1474,1,3)</f>
        <v>018</v>
      </c>
      <c r="J1474" s="5" t="str">
        <f t="shared" ref="J1474:J1537" si="178">MID(B1474,5,4)</f>
        <v>2220</v>
      </c>
      <c r="K1474" s="5" t="str">
        <f t="shared" ref="K1474:K1537" si="179">MID(B1474,10,3)</f>
        <v>000</v>
      </c>
      <c r="L1474" s="5">
        <f t="shared" ref="L1474:L1537" si="180">MONTH(A1474)</f>
        <v>3</v>
      </c>
      <c r="M1474" s="5">
        <f t="shared" ref="M1474:M1537" si="181">YEAR(A1474)</f>
        <v>2012</v>
      </c>
    </row>
    <row r="1475" spans="1:13" ht="17.45" customHeight="1" x14ac:dyDescent="0.25">
      <c r="A1475" s="1">
        <f>DATE(2012,3,1)</f>
        <v>40969</v>
      </c>
      <c r="B1475" t="s">
        <v>22</v>
      </c>
      <c r="C1475" t="s">
        <v>10</v>
      </c>
      <c r="D1475" s="3">
        <v>27.2195</v>
      </c>
      <c r="E1475" s="3">
        <v>0</v>
      </c>
      <c r="F1475" t="s">
        <v>45</v>
      </c>
      <c r="G1475" s="3">
        <f t="shared" si="175"/>
        <v>-27.2195</v>
      </c>
      <c r="H1475" s="3">
        <f t="shared" si="176"/>
        <v>27.2195</v>
      </c>
      <c r="I1475" s="5" t="str">
        <f t="shared" si="177"/>
        <v>018</v>
      </c>
      <c r="J1475" s="5" t="str">
        <f t="shared" si="178"/>
        <v>2230</v>
      </c>
      <c r="K1475" s="5" t="str">
        <f t="shared" si="179"/>
        <v>000</v>
      </c>
      <c r="L1475" s="5">
        <f t="shared" si="180"/>
        <v>3</v>
      </c>
      <c r="M1475" s="5">
        <f t="shared" si="181"/>
        <v>2012</v>
      </c>
    </row>
    <row r="1476" spans="1:13" ht="17.45" customHeight="1" x14ac:dyDescent="0.25">
      <c r="A1476" s="1">
        <f>DATE(2012,3,2)</f>
        <v>40970</v>
      </c>
      <c r="B1476" t="s">
        <v>19</v>
      </c>
      <c r="C1476" t="s">
        <v>6</v>
      </c>
      <c r="D1476" s="3">
        <v>9695.2799999999988</v>
      </c>
      <c r="E1476" s="3">
        <v>0</v>
      </c>
      <c r="F1476" t="s">
        <v>45</v>
      </c>
      <c r="G1476" s="3">
        <f t="shared" si="175"/>
        <v>-9695.2799999999988</v>
      </c>
      <c r="H1476" s="3">
        <f t="shared" si="176"/>
        <v>9695.2799999999988</v>
      </c>
      <c r="I1476" s="5" t="str">
        <f t="shared" si="177"/>
        <v>018</v>
      </c>
      <c r="J1476" s="5" t="str">
        <f t="shared" si="178"/>
        <v>2100</v>
      </c>
      <c r="K1476" s="5" t="str">
        <f t="shared" si="179"/>
        <v>000</v>
      </c>
      <c r="L1476" s="5">
        <f t="shared" si="180"/>
        <v>3</v>
      </c>
      <c r="M1476" s="5">
        <f t="shared" si="181"/>
        <v>2012</v>
      </c>
    </row>
    <row r="1477" spans="1:13" ht="17.45" customHeight="1" x14ac:dyDescent="0.25">
      <c r="A1477" s="1">
        <f>DATE(2012,3,2)</f>
        <v>40970</v>
      </c>
      <c r="B1477" t="s">
        <v>20</v>
      </c>
      <c r="C1477" t="s">
        <v>8</v>
      </c>
      <c r="D1477" s="3">
        <v>2520.1799999999998</v>
      </c>
      <c r="E1477" s="3">
        <v>0</v>
      </c>
      <c r="F1477" t="s">
        <v>45</v>
      </c>
      <c r="G1477" s="3">
        <f t="shared" si="175"/>
        <v>-2520.1799999999998</v>
      </c>
      <c r="H1477" s="3">
        <f t="shared" si="176"/>
        <v>2520.1799999999998</v>
      </c>
      <c r="I1477" s="5" t="str">
        <f t="shared" si="177"/>
        <v>018</v>
      </c>
      <c r="J1477" s="5" t="str">
        <f t="shared" si="178"/>
        <v>2210</v>
      </c>
      <c r="K1477" s="5" t="str">
        <f t="shared" si="179"/>
        <v>000</v>
      </c>
      <c r="L1477" s="5">
        <f t="shared" si="180"/>
        <v>3</v>
      </c>
      <c r="M1477" s="5">
        <f t="shared" si="181"/>
        <v>2012</v>
      </c>
    </row>
    <row r="1478" spans="1:13" ht="17.45" customHeight="1" x14ac:dyDescent="0.25">
      <c r="A1478" s="1">
        <f>DATE(2012,3,2)</f>
        <v>40970</v>
      </c>
      <c r="B1478" t="s">
        <v>21</v>
      </c>
      <c r="C1478" t="s">
        <v>9</v>
      </c>
      <c r="D1478" s="3">
        <v>344.84999999999997</v>
      </c>
      <c r="E1478" s="3">
        <v>0</v>
      </c>
      <c r="F1478" t="s">
        <v>45</v>
      </c>
      <c r="G1478" s="3">
        <f t="shared" si="175"/>
        <v>-344.84999999999997</v>
      </c>
      <c r="H1478" s="3">
        <f t="shared" si="176"/>
        <v>344.84999999999997</v>
      </c>
      <c r="I1478" s="5" t="str">
        <f t="shared" si="177"/>
        <v>018</v>
      </c>
      <c r="J1478" s="5" t="str">
        <f t="shared" si="178"/>
        <v>2220</v>
      </c>
      <c r="K1478" s="5" t="str">
        <f t="shared" si="179"/>
        <v>000</v>
      </c>
      <c r="L1478" s="5">
        <f t="shared" si="180"/>
        <v>3</v>
      </c>
      <c r="M1478" s="5">
        <f t="shared" si="181"/>
        <v>2012</v>
      </c>
    </row>
    <row r="1479" spans="1:13" ht="17.45" customHeight="1" x14ac:dyDescent="0.25">
      <c r="A1479" s="1">
        <f>DATE(2012,3,2)</f>
        <v>40970</v>
      </c>
      <c r="B1479" t="s">
        <v>22</v>
      </c>
      <c r="C1479" t="s">
        <v>10</v>
      </c>
      <c r="D1479" s="3">
        <v>120.4385</v>
      </c>
      <c r="E1479" s="3">
        <v>0</v>
      </c>
      <c r="F1479" t="s">
        <v>45</v>
      </c>
      <c r="G1479" s="3">
        <f t="shared" si="175"/>
        <v>-120.4385</v>
      </c>
      <c r="H1479" s="3">
        <f t="shared" si="176"/>
        <v>120.4385</v>
      </c>
      <c r="I1479" s="5" t="str">
        <f t="shared" si="177"/>
        <v>018</v>
      </c>
      <c r="J1479" s="5" t="str">
        <f t="shared" si="178"/>
        <v>2230</v>
      </c>
      <c r="K1479" s="5" t="str">
        <f t="shared" si="179"/>
        <v>000</v>
      </c>
      <c r="L1479" s="5">
        <f t="shared" si="180"/>
        <v>3</v>
      </c>
      <c r="M1479" s="5">
        <f t="shared" si="181"/>
        <v>2012</v>
      </c>
    </row>
    <row r="1480" spans="1:13" ht="17.45" customHeight="1" x14ac:dyDescent="0.25">
      <c r="A1480" s="1">
        <f>DATE(2012,3,3)</f>
        <v>40971</v>
      </c>
      <c r="B1480" t="s">
        <v>19</v>
      </c>
      <c r="C1480" t="s">
        <v>6</v>
      </c>
      <c r="D1480" s="3">
        <v>15376.621499999999</v>
      </c>
      <c r="E1480" s="3">
        <v>0</v>
      </c>
      <c r="F1480" t="s">
        <v>45</v>
      </c>
      <c r="G1480" s="3">
        <f t="shared" si="175"/>
        <v>-15376.621499999999</v>
      </c>
      <c r="H1480" s="3">
        <f t="shared" si="176"/>
        <v>15376.621499999999</v>
      </c>
      <c r="I1480" s="5" t="str">
        <f t="shared" si="177"/>
        <v>018</v>
      </c>
      <c r="J1480" s="5" t="str">
        <f t="shared" si="178"/>
        <v>2100</v>
      </c>
      <c r="K1480" s="5" t="str">
        <f t="shared" si="179"/>
        <v>000</v>
      </c>
      <c r="L1480" s="5">
        <f t="shared" si="180"/>
        <v>3</v>
      </c>
      <c r="M1480" s="5">
        <f t="shared" si="181"/>
        <v>2012</v>
      </c>
    </row>
    <row r="1481" spans="1:13" ht="17.45" customHeight="1" x14ac:dyDescent="0.25">
      <c r="A1481" s="1">
        <f>DATE(2012,3,3)</f>
        <v>40971</v>
      </c>
      <c r="B1481" t="s">
        <v>20</v>
      </c>
      <c r="C1481" t="s">
        <v>8</v>
      </c>
      <c r="D1481" s="3">
        <v>3363.9175</v>
      </c>
      <c r="E1481" s="3">
        <v>0</v>
      </c>
      <c r="F1481" t="s">
        <v>45</v>
      </c>
      <c r="G1481" s="3">
        <f t="shared" si="175"/>
        <v>-3363.9175</v>
      </c>
      <c r="H1481" s="3">
        <f t="shared" si="176"/>
        <v>3363.9175</v>
      </c>
      <c r="I1481" s="5" t="str">
        <f t="shared" si="177"/>
        <v>018</v>
      </c>
      <c r="J1481" s="5" t="str">
        <f t="shared" si="178"/>
        <v>2210</v>
      </c>
      <c r="K1481" s="5" t="str">
        <f t="shared" si="179"/>
        <v>000</v>
      </c>
      <c r="L1481" s="5">
        <f t="shared" si="180"/>
        <v>3</v>
      </c>
      <c r="M1481" s="5">
        <f t="shared" si="181"/>
        <v>2012</v>
      </c>
    </row>
    <row r="1482" spans="1:13" ht="17.45" customHeight="1" x14ac:dyDescent="0.25">
      <c r="A1482" s="1">
        <f>DATE(2012,3,3)</f>
        <v>40971</v>
      </c>
      <c r="B1482" t="s">
        <v>21</v>
      </c>
      <c r="C1482" t="s">
        <v>9</v>
      </c>
      <c r="D1482" s="3">
        <v>849.16650000000004</v>
      </c>
      <c r="E1482" s="3">
        <v>0</v>
      </c>
      <c r="F1482" t="s">
        <v>45</v>
      </c>
      <c r="G1482" s="3">
        <f t="shared" si="175"/>
        <v>-849.16650000000004</v>
      </c>
      <c r="H1482" s="3">
        <f t="shared" si="176"/>
        <v>849.16650000000004</v>
      </c>
      <c r="I1482" s="5" t="str">
        <f t="shared" si="177"/>
        <v>018</v>
      </c>
      <c r="J1482" s="5" t="str">
        <f t="shared" si="178"/>
        <v>2220</v>
      </c>
      <c r="K1482" s="5" t="str">
        <f t="shared" si="179"/>
        <v>000</v>
      </c>
      <c r="L1482" s="5">
        <f t="shared" si="180"/>
        <v>3</v>
      </c>
      <c r="M1482" s="5">
        <f t="shared" si="181"/>
        <v>2012</v>
      </c>
    </row>
    <row r="1483" spans="1:13" ht="17.45" customHeight="1" x14ac:dyDescent="0.25">
      <c r="A1483" s="1">
        <f>DATE(2012,3,3)</f>
        <v>40971</v>
      </c>
      <c r="B1483" t="s">
        <v>22</v>
      </c>
      <c r="C1483" t="s">
        <v>10</v>
      </c>
      <c r="D1483" s="3">
        <v>117.01900000000001</v>
      </c>
      <c r="E1483" s="3">
        <v>0</v>
      </c>
      <c r="F1483" t="s">
        <v>45</v>
      </c>
      <c r="G1483" s="3">
        <f t="shared" si="175"/>
        <v>-117.01900000000001</v>
      </c>
      <c r="H1483" s="3">
        <f t="shared" si="176"/>
        <v>117.01900000000001</v>
      </c>
      <c r="I1483" s="5" t="str">
        <f t="shared" si="177"/>
        <v>018</v>
      </c>
      <c r="J1483" s="5" t="str">
        <f t="shared" si="178"/>
        <v>2230</v>
      </c>
      <c r="K1483" s="5" t="str">
        <f t="shared" si="179"/>
        <v>000</v>
      </c>
      <c r="L1483" s="5">
        <f t="shared" si="180"/>
        <v>3</v>
      </c>
      <c r="M1483" s="5">
        <f t="shared" si="181"/>
        <v>2012</v>
      </c>
    </row>
    <row r="1484" spans="1:13" ht="17.45" customHeight="1" x14ac:dyDescent="0.25">
      <c r="A1484" s="1">
        <f>DATE(2012,3,4)</f>
        <v>40972</v>
      </c>
      <c r="B1484" t="s">
        <v>19</v>
      </c>
      <c r="C1484" t="s">
        <v>6</v>
      </c>
      <c r="D1484" s="3">
        <v>10186.916999999999</v>
      </c>
      <c r="E1484" s="3">
        <v>0</v>
      </c>
      <c r="F1484" t="s">
        <v>45</v>
      </c>
      <c r="G1484" s="3">
        <f t="shared" si="175"/>
        <v>-10186.916999999999</v>
      </c>
      <c r="H1484" s="3">
        <f t="shared" si="176"/>
        <v>10186.916999999999</v>
      </c>
      <c r="I1484" s="5" t="str">
        <f t="shared" si="177"/>
        <v>018</v>
      </c>
      <c r="J1484" s="5" t="str">
        <f t="shared" si="178"/>
        <v>2100</v>
      </c>
      <c r="K1484" s="5" t="str">
        <f t="shared" si="179"/>
        <v>000</v>
      </c>
      <c r="L1484" s="5">
        <f t="shared" si="180"/>
        <v>3</v>
      </c>
      <c r="M1484" s="5">
        <f t="shared" si="181"/>
        <v>2012</v>
      </c>
    </row>
    <row r="1485" spans="1:13" ht="17.45" customHeight="1" x14ac:dyDescent="0.25">
      <c r="A1485" s="1">
        <f>DATE(2012,3,4)</f>
        <v>40972</v>
      </c>
      <c r="B1485" t="s">
        <v>20</v>
      </c>
      <c r="C1485" t="s">
        <v>8</v>
      </c>
      <c r="D1485" s="3">
        <v>995.62699999999995</v>
      </c>
      <c r="E1485" s="3">
        <v>0</v>
      </c>
      <c r="F1485" t="s">
        <v>45</v>
      </c>
      <c r="G1485" s="3">
        <f t="shared" si="175"/>
        <v>-995.62699999999995</v>
      </c>
      <c r="H1485" s="3">
        <f t="shared" si="176"/>
        <v>995.62699999999995</v>
      </c>
      <c r="I1485" s="5" t="str">
        <f t="shared" si="177"/>
        <v>018</v>
      </c>
      <c r="J1485" s="5" t="str">
        <f t="shared" si="178"/>
        <v>2210</v>
      </c>
      <c r="K1485" s="5" t="str">
        <f t="shared" si="179"/>
        <v>000</v>
      </c>
      <c r="L1485" s="5">
        <f t="shared" si="180"/>
        <v>3</v>
      </c>
      <c r="M1485" s="5">
        <f t="shared" si="181"/>
        <v>2012</v>
      </c>
    </row>
    <row r="1486" spans="1:13" ht="17.45" customHeight="1" x14ac:dyDescent="0.25">
      <c r="A1486" s="1">
        <f>DATE(2012,3,4)</f>
        <v>40972</v>
      </c>
      <c r="B1486" t="s">
        <v>21</v>
      </c>
      <c r="C1486" t="s">
        <v>9</v>
      </c>
      <c r="D1486" s="3">
        <v>225.36</v>
      </c>
      <c r="E1486" s="3">
        <v>0</v>
      </c>
      <c r="F1486" t="s">
        <v>45</v>
      </c>
      <c r="G1486" s="3">
        <f t="shared" si="175"/>
        <v>-225.36</v>
      </c>
      <c r="H1486" s="3">
        <f t="shared" si="176"/>
        <v>225.36</v>
      </c>
      <c r="I1486" s="5" t="str">
        <f t="shared" si="177"/>
        <v>018</v>
      </c>
      <c r="J1486" s="5" t="str">
        <f t="shared" si="178"/>
        <v>2220</v>
      </c>
      <c r="K1486" s="5" t="str">
        <f t="shared" si="179"/>
        <v>000</v>
      </c>
      <c r="L1486" s="5">
        <f t="shared" si="180"/>
        <v>3</v>
      </c>
      <c r="M1486" s="5">
        <f t="shared" si="181"/>
        <v>2012</v>
      </c>
    </row>
    <row r="1487" spans="1:13" ht="17.45" customHeight="1" x14ac:dyDescent="0.25">
      <c r="A1487" s="1">
        <f>DATE(2012,3,4)</f>
        <v>40972</v>
      </c>
      <c r="B1487" t="s">
        <v>22</v>
      </c>
      <c r="C1487" t="s">
        <v>10</v>
      </c>
      <c r="D1487" s="3">
        <v>134.32500000000002</v>
      </c>
      <c r="E1487" s="3">
        <v>0</v>
      </c>
      <c r="F1487" t="s">
        <v>45</v>
      </c>
      <c r="G1487" s="3">
        <f t="shared" si="175"/>
        <v>-134.32500000000002</v>
      </c>
      <c r="H1487" s="3">
        <f t="shared" si="176"/>
        <v>134.32500000000002</v>
      </c>
      <c r="I1487" s="5" t="str">
        <f t="shared" si="177"/>
        <v>018</v>
      </c>
      <c r="J1487" s="5" t="str">
        <f t="shared" si="178"/>
        <v>2230</v>
      </c>
      <c r="K1487" s="5" t="str">
        <f t="shared" si="179"/>
        <v>000</v>
      </c>
      <c r="L1487" s="5">
        <f t="shared" si="180"/>
        <v>3</v>
      </c>
      <c r="M1487" s="5">
        <f t="shared" si="181"/>
        <v>2012</v>
      </c>
    </row>
    <row r="1488" spans="1:13" ht="17.45" customHeight="1" x14ac:dyDescent="0.25">
      <c r="A1488" s="1">
        <f>DATE(2012,3,5)</f>
        <v>40973</v>
      </c>
      <c r="B1488" t="s">
        <v>11</v>
      </c>
      <c r="C1488" t="s">
        <v>6</v>
      </c>
      <c r="D1488" s="3">
        <v>3498.0709999999995</v>
      </c>
      <c r="E1488" s="3">
        <v>0</v>
      </c>
      <c r="F1488" t="s">
        <v>45</v>
      </c>
      <c r="G1488" s="3">
        <f t="shared" si="175"/>
        <v>-3498.0709999999995</v>
      </c>
      <c r="H1488" s="3">
        <f t="shared" si="176"/>
        <v>3498.0709999999995</v>
      </c>
      <c r="I1488" s="5" t="str">
        <f t="shared" si="177"/>
        <v>016</v>
      </c>
      <c r="J1488" s="5" t="str">
        <f t="shared" si="178"/>
        <v>2100</v>
      </c>
      <c r="K1488" s="5" t="str">
        <f t="shared" si="179"/>
        <v>000</v>
      </c>
      <c r="L1488" s="5">
        <f t="shared" si="180"/>
        <v>3</v>
      </c>
      <c r="M1488" s="5">
        <f t="shared" si="181"/>
        <v>2012</v>
      </c>
    </row>
    <row r="1489" spans="1:13" ht="17.45" customHeight="1" x14ac:dyDescent="0.25">
      <c r="A1489" s="1">
        <f>DATE(2012,3,5)</f>
        <v>40973</v>
      </c>
      <c r="B1489" t="s">
        <v>12</v>
      </c>
      <c r="C1489" t="s">
        <v>8</v>
      </c>
      <c r="D1489" s="3">
        <v>629.36450000000002</v>
      </c>
      <c r="E1489" s="3">
        <v>0</v>
      </c>
      <c r="F1489" t="s">
        <v>45</v>
      </c>
      <c r="G1489" s="3">
        <f t="shared" si="175"/>
        <v>-629.36450000000002</v>
      </c>
      <c r="H1489" s="3">
        <f t="shared" si="176"/>
        <v>629.36450000000002</v>
      </c>
      <c r="I1489" s="5" t="str">
        <f t="shared" si="177"/>
        <v>016</v>
      </c>
      <c r="J1489" s="5" t="str">
        <f t="shared" si="178"/>
        <v>2210</v>
      </c>
      <c r="K1489" s="5" t="str">
        <f t="shared" si="179"/>
        <v>000</v>
      </c>
      <c r="L1489" s="5">
        <f t="shared" si="180"/>
        <v>3</v>
      </c>
      <c r="M1489" s="5">
        <f t="shared" si="181"/>
        <v>2012</v>
      </c>
    </row>
    <row r="1490" spans="1:13" ht="17.45" customHeight="1" x14ac:dyDescent="0.25">
      <c r="A1490" s="1">
        <f>DATE(2012,3,5)</f>
        <v>40973</v>
      </c>
      <c r="B1490" t="s">
        <v>13</v>
      </c>
      <c r="C1490" t="s">
        <v>9</v>
      </c>
      <c r="D1490" s="3">
        <v>90.792000000000002</v>
      </c>
      <c r="E1490" s="3">
        <v>0</v>
      </c>
      <c r="F1490" t="s">
        <v>45</v>
      </c>
      <c r="G1490" s="3">
        <f t="shared" si="175"/>
        <v>-90.792000000000002</v>
      </c>
      <c r="H1490" s="3">
        <f t="shared" si="176"/>
        <v>90.792000000000002</v>
      </c>
      <c r="I1490" s="5" t="str">
        <f t="shared" si="177"/>
        <v>016</v>
      </c>
      <c r="J1490" s="5" t="str">
        <f t="shared" si="178"/>
        <v>2220</v>
      </c>
      <c r="K1490" s="5" t="str">
        <f t="shared" si="179"/>
        <v>000</v>
      </c>
      <c r="L1490" s="5">
        <f t="shared" si="180"/>
        <v>3</v>
      </c>
      <c r="M1490" s="5">
        <f t="shared" si="181"/>
        <v>2012</v>
      </c>
    </row>
    <row r="1491" spans="1:13" ht="17.45" customHeight="1" x14ac:dyDescent="0.25">
      <c r="A1491" s="1">
        <f>DATE(2012,3,5)</f>
        <v>40973</v>
      </c>
      <c r="B1491" t="s">
        <v>14</v>
      </c>
      <c r="C1491" t="s">
        <v>10</v>
      </c>
      <c r="D1491" s="3">
        <v>27.209</v>
      </c>
      <c r="E1491" s="3">
        <v>0</v>
      </c>
      <c r="F1491" t="s">
        <v>45</v>
      </c>
      <c r="G1491" s="3">
        <f t="shared" si="175"/>
        <v>-27.209</v>
      </c>
      <c r="H1491" s="3">
        <f t="shared" si="176"/>
        <v>27.209</v>
      </c>
      <c r="I1491" s="5" t="str">
        <f t="shared" si="177"/>
        <v>016</v>
      </c>
      <c r="J1491" s="5" t="str">
        <f t="shared" si="178"/>
        <v>2230</v>
      </c>
      <c r="K1491" s="5" t="str">
        <f t="shared" si="179"/>
        <v>000</v>
      </c>
      <c r="L1491" s="5">
        <f t="shared" si="180"/>
        <v>3</v>
      </c>
      <c r="M1491" s="5">
        <f t="shared" si="181"/>
        <v>2012</v>
      </c>
    </row>
    <row r="1492" spans="1:13" ht="17.45" customHeight="1" x14ac:dyDescent="0.25">
      <c r="A1492" s="1">
        <f>DATE(2012,3,6)</f>
        <v>40974</v>
      </c>
      <c r="B1492" t="s">
        <v>11</v>
      </c>
      <c r="C1492" t="s">
        <v>6</v>
      </c>
      <c r="D1492" s="3">
        <v>2705.9858999999997</v>
      </c>
      <c r="E1492" s="3">
        <v>0</v>
      </c>
      <c r="F1492" t="s">
        <v>45</v>
      </c>
      <c r="G1492" s="3">
        <f t="shared" si="175"/>
        <v>-2705.9858999999997</v>
      </c>
      <c r="H1492" s="3">
        <f t="shared" si="176"/>
        <v>2705.9858999999997</v>
      </c>
      <c r="I1492" s="5" t="str">
        <f t="shared" si="177"/>
        <v>016</v>
      </c>
      <c r="J1492" s="5" t="str">
        <f t="shared" si="178"/>
        <v>2100</v>
      </c>
      <c r="K1492" s="5" t="str">
        <f t="shared" si="179"/>
        <v>000</v>
      </c>
      <c r="L1492" s="5">
        <f t="shared" si="180"/>
        <v>3</v>
      </c>
      <c r="M1492" s="5">
        <f t="shared" si="181"/>
        <v>2012</v>
      </c>
    </row>
    <row r="1493" spans="1:13" ht="17.45" customHeight="1" x14ac:dyDescent="0.25">
      <c r="A1493" s="1">
        <f>DATE(2012,3,6)</f>
        <v>40974</v>
      </c>
      <c r="B1493" t="s">
        <v>12</v>
      </c>
      <c r="C1493" t="s">
        <v>8</v>
      </c>
      <c r="D1493" s="3">
        <v>692.84699999999998</v>
      </c>
      <c r="E1493" s="3">
        <v>0</v>
      </c>
      <c r="F1493" t="s">
        <v>45</v>
      </c>
      <c r="G1493" s="3">
        <f t="shared" si="175"/>
        <v>-692.84699999999998</v>
      </c>
      <c r="H1493" s="3">
        <f t="shared" si="176"/>
        <v>692.84699999999998</v>
      </c>
      <c r="I1493" s="5" t="str">
        <f t="shared" si="177"/>
        <v>016</v>
      </c>
      <c r="J1493" s="5" t="str">
        <f t="shared" si="178"/>
        <v>2210</v>
      </c>
      <c r="K1493" s="5" t="str">
        <f t="shared" si="179"/>
        <v>000</v>
      </c>
      <c r="L1493" s="5">
        <f t="shared" si="180"/>
        <v>3</v>
      </c>
      <c r="M1493" s="5">
        <f t="shared" si="181"/>
        <v>2012</v>
      </c>
    </row>
    <row r="1494" spans="1:13" ht="17.45" customHeight="1" x14ac:dyDescent="0.25">
      <c r="A1494" s="1">
        <f>DATE(2012,3,6)</f>
        <v>40974</v>
      </c>
      <c r="B1494" t="s">
        <v>13</v>
      </c>
      <c r="C1494" t="s">
        <v>9</v>
      </c>
      <c r="D1494" s="3">
        <v>246.92850000000004</v>
      </c>
      <c r="E1494" s="3">
        <v>0</v>
      </c>
      <c r="F1494" t="s">
        <v>45</v>
      </c>
      <c r="G1494" s="3">
        <f t="shared" si="175"/>
        <v>-246.92850000000004</v>
      </c>
      <c r="H1494" s="3">
        <f t="shared" si="176"/>
        <v>246.92850000000004</v>
      </c>
      <c r="I1494" s="5" t="str">
        <f t="shared" si="177"/>
        <v>016</v>
      </c>
      <c r="J1494" s="5" t="str">
        <f t="shared" si="178"/>
        <v>2220</v>
      </c>
      <c r="K1494" s="5" t="str">
        <f t="shared" si="179"/>
        <v>000</v>
      </c>
      <c r="L1494" s="5">
        <f t="shared" si="180"/>
        <v>3</v>
      </c>
      <c r="M1494" s="5">
        <f t="shared" si="181"/>
        <v>2012</v>
      </c>
    </row>
    <row r="1495" spans="1:13" ht="17.45" customHeight="1" x14ac:dyDescent="0.25">
      <c r="A1495" s="1">
        <f>DATE(2012,3,6)</f>
        <v>40974</v>
      </c>
      <c r="B1495" t="s">
        <v>14</v>
      </c>
      <c r="C1495" t="s">
        <v>10</v>
      </c>
      <c r="D1495" s="3">
        <v>38.502000000000002</v>
      </c>
      <c r="E1495" s="3">
        <v>0</v>
      </c>
      <c r="F1495" t="s">
        <v>45</v>
      </c>
      <c r="G1495" s="3">
        <f t="shared" si="175"/>
        <v>-38.502000000000002</v>
      </c>
      <c r="H1495" s="3">
        <f t="shared" si="176"/>
        <v>38.502000000000002</v>
      </c>
      <c r="I1495" s="5" t="str">
        <f t="shared" si="177"/>
        <v>016</v>
      </c>
      <c r="J1495" s="5" t="str">
        <f t="shared" si="178"/>
        <v>2230</v>
      </c>
      <c r="K1495" s="5" t="str">
        <f t="shared" si="179"/>
        <v>000</v>
      </c>
      <c r="L1495" s="5">
        <f t="shared" si="180"/>
        <v>3</v>
      </c>
      <c r="M1495" s="5">
        <f t="shared" si="181"/>
        <v>2012</v>
      </c>
    </row>
    <row r="1496" spans="1:13" ht="17.45" customHeight="1" x14ac:dyDescent="0.25">
      <c r="A1496" s="1">
        <f>DATE(2012,3,7)</f>
        <v>40975</v>
      </c>
      <c r="B1496" t="s">
        <v>11</v>
      </c>
      <c r="C1496" t="s">
        <v>6</v>
      </c>
      <c r="D1496" s="3">
        <v>3943.4603999999999</v>
      </c>
      <c r="E1496" s="3">
        <v>0</v>
      </c>
      <c r="F1496" t="s">
        <v>45</v>
      </c>
      <c r="G1496" s="3">
        <f t="shared" si="175"/>
        <v>-3943.4603999999999</v>
      </c>
      <c r="H1496" s="3">
        <f t="shared" si="176"/>
        <v>3943.4603999999999</v>
      </c>
      <c r="I1496" s="5" t="str">
        <f t="shared" si="177"/>
        <v>016</v>
      </c>
      <c r="J1496" s="5" t="str">
        <f t="shared" si="178"/>
        <v>2100</v>
      </c>
      <c r="K1496" s="5" t="str">
        <f t="shared" si="179"/>
        <v>000</v>
      </c>
      <c r="L1496" s="5">
        <f t="shared" si="180"/>
        <v>3</v>
      </c>
      <c r="M1496" s="5">
        <f t="shared" si="181"/>
        <v>2012</v>
      </c>
    </row>
    <row r="1497" spans="1:13" ht="17.45" customHeight="1" x14ac:dyDescent="0.25">
      <c r="A1497" s="1">
        <f>DATE(2012,3,7)</f>
        <v>40975</v>
      </c>
      <c r="B1497" t="s">
        <v>12</v>
      </c>
      <c r="C1497" t="s">
        <v>8</v>
      </c>
      <c r="D1497" s="3">
        <v>655.39400000000012</v>
      </c>
      <c r="E1497" s="3">
        <v>0</v>
      </c>
      <c r="F1497" t="s">
        <v>45</v>
      </c>
      <c r="G1497" s="3">
        <f t="shared" si="175"/>
        <v>-655.39400000000012</v>
      </c>
      <c r="H1497" s="3">
        <f t="shared" si="176"/>
        <v>655.39400000000012</v>
      </c>
      <c r="I1497" s="5" t="str">
        <f t="shared" si="177"/>
        <v>016</v>
      </c>
      <c r="J1497" s="5" t="str">
        <f t="shared" si="178"/>
        <v>2210</v>
      </c>
      <c r="K1497" s="5" t="str">
        <f t="shared" si="179"/>
        <v>000</v>
      </c>
      <c r="L1497" s="5">
        <f t="shared" si="180"/>
        <v>3</v>
      </c>
      <c r="M1497" s="5">
        <f t="shared" si="181"/>
        <v>2012</v>
      </c>
    </row>
    <row r="1498" spans="1:13" ht="17.45" customHeight="1" x14ac:dyDescent="0.25">
      <c r="A1498" s="1">
        <f>DATE(2012,3,7)</f>
        <v>40975</v>
      </c>
      <c r="B1498" t="s">
        <v>13</v>
      </c>
      <c r="C1498" t="s">
        <v>9</v>
      </c>
      <c r="D1498" s="3">
        <v>123.58500000000001</v>
      </c>
      <c r="E1498" s="3">
        <v>0</v>
      </c>
      <c r="F1498" t="s">
        <v>45</v>
      </c>
      <c r="G1498" s="3">
        <f t="shared" si="175"/>
        <v>-123.58500000000001</v>
      </c>
      <c r="H1498" s="3">
        <f t="shared" si="176"/>
        <v>123.58500000000001</v>
      </c>
      <c r="I1498" s="5" t="str">
        <f t="shared" si="177"/>
        <v>016</v>
      </c>
      <c r="J1498" s="5" t="str">
        <f t="shared" si="178"/>
        <v>2220</v>
      </c>
      <c r="K1498" s="5" t="str">
        <f t="shared" si="179"/>
        <v>000</v>
      </c>
      <c r="L1498" s="5">
        <f t="shared" si="180"/>
        <v>3</v>
      </c>
      <c r="M1498" s="5">
        <f t="shared" si="181"/>
        <v>2012</v>
      </c>
    </row>
    <row r="1499" spans="1:13" ht="17.45" customHeight="1" x14ac:dyDescent="0.25">
      <c r="A1499" s="1">
        <f>DATE(2012,3,7)</f>
        <v>40975</v>
      </c>
      <c r="B1499" t="s">
        <v>14</v>
      </c>
      <c r="C1499" t="s">
        <v>10</v>
      </c>
      <c r="D1499" s="3">
        <v>48.015499999999996</v>
      </c>
      <c r="E1499" s="3">
        <v>0</v>
      </c>
      <c r="F1499" t="s">
        <v>45</v>
      </c>
      <c r="G1499" s="3">
        <f t="shared" si="175"/>
        <v>-48.015499999999996</v>
      </c>
      <c r="H1499" s="3">
        <f t="shared" si="176"/>
        <v>48.015499999999996</v>
      </c>
      <c r="I1499" s="5" t="str">
        <f t="shared" si="177"/>
        <v>016</v>
      </c>
      <c r="J1499" s="5" t="str">
        <f t="shared" si="178"/>
        <v>2230</v>
      </c>
      <c r="K1499" s="5" t="str">
        <f t="shared" si="179"/>
        <v>000</v>
      </c>
      <c r="L1499" s="5">
        <f t="shared" si="180"/>
        <v>3</v>
      </c>
      <c r="M1499" s="5">
        <f t="shared" si="181"/>
        <v>2012</v>
      </c>
    </row>
    <row r="1500" spans="1:13" ht="17.45" customHeight="1" x14ac:dyDescent="0.25">
      <c r="A1500" s="1">
        <f>DATE(2012,3,8)</f>
        <v>40976</v>
      </c>
      <c r="B1500" t="s">
        <v>11</v>
      </c>
      <c r="C1500" t="s">
        <v>6</v>
      </c>
      <c r="D1500" s="3">
        <v>4026.165</v>
      </c>
      <c r="E1500" s="3">
        <v>0</v>
      </c>
      <c r="F1500" t="s">
        <v>45</v>
      </c>
      <c r="G1500" s="3">
        <f t="shared" si="175"/>
        <v>-4026.165</v>
      </c>
      <c r="H1500" s="3">
        <f t="shared" si="176"/>
        <v>4026.165</v>
      </c>
      <c r="I1500" s="5" t="str">
        <f t="shared" si="177"/>
        <v>016</v>
      </c>
      <c r="J1500" s="5" t="str">
        <f t="shared" si="178"/>
        <v>2100</v>
      </c>
      <c r="K1500" s="5" t="str">
        <f t="shared" si="179"/>
        <v>000</v>
      </c>
      <c r="L1500" s="5">
        <f t="shared" si="180"/>
        <v>3</v>
      </c>
      <c r="M1500" s="5">
        <f t="shared" si="181"/>
        <v>2012</v>
      </c>
    </row>
    <row r="1501" spans="1:13" ht="17.45" customHeight="1" x14ac:dyDescent="0.25">
      <c r="A1501" s="1">
        <f>DATE(2012,3,8)</f>
        <v>40976</v>
      </c>
      <c r="B1501" t="s">
        <v>12</v>
      </c>
      <c r="C1501" t="s">
        <v>8</v>
      </c>
      <c r="D1501" s="3">
        <v>636.83999999999992</v>
      </c>
      <c r="E1501" s="3">
        <v>0</v>
      </c>
      <c r="F1501" t="s">
        <v>45</v>
      </c>
      <c r="G1501" s="3">
        <f t="shared" si="175"/>
        <v>-636.83999999999992</v>
      </c>
      <c r="H1501" s="3">
        <f t="shared" si="176"/>
        <v>636.83999999999992</v>
      </c>
      <c r="I1501" s="5" t="str">
        <f t="shared" si="177"/>
        <v>016</v>
      </c>
      <c r="J1501" s="5" t="str">
        <f t="shared" si="178"/>
        <v>2210</v>
      </c>
      <c r="K1501" s="5" t="str">
        <f t="shared" si="179"/>
        <v>000</v>
      </c>
      <c r="L1501" s="5">
        <f t="shared" si="180"/>
        <v>3</v>
      </c>
      <c r="M1501" s="5">
        <f t="shared" si="181"/>
        <v>2012</v>
      </c>
    </row>
    <row r="1502" spans="1:13" ht="17.45" customHeight="1" x14ac:dyDescent="0.25">
      <c r="A1502" s="1">
        <f>DATE(2012,3,8)</f>
        <v>40976</v>
      </c>
      <c r="B1502" t="s">
        <v>13</v>
      </c>
      <c r="C1502" t="s">
        <v>9</v>
      </c>
      <c r="D1502" s="3">
        <v>278.58600000000001</v>
      </c>
      <c r="E1502" s="3">
        <v>0</v>
      </c>
      <c r="F1502" t="s">
        <v>45</v>
      </c>
      <c r="G1502" s="3">
        <f t="shared" si="175"/>
        <v>-278.58600000000001</v>
      </c>
      <c r="H1502" s="3">
        <f t="shared" si="176"/>
        <v>278.58600000000001</v>
      </c>
      <c r="I1502" s="5" t="str">
        <f t="shared" si="177"/>
        <v>016</v>
      </c>
      <c r="J1502" s="5" t="str">
        <f t="shared" si="178"/>
        <v>2220</v>
      </c>
      <c r="K1502" s="5" t="str">
        <f t="shared" si="179"/>
        <v>000</v>
      </c>
      <c r="L1502" s="5">
        <f t="shared" si="180"/>
        <v>3</v>
      </c>
      <c r="M1502" s="5">
        <f t="shared" si="181"/>
        <v>2012</v>
      </c>
    </row>
    <row r="1503" spans="1:13" ht="17.45" customHeight="1" x14ac:dyDescent="0.25">
      <c r="A1503" s="1">
        <f>DATE(2012,3,8)</f>
        <v>40976</v>
      </c>
      <c r="B1503" t="s">
        <v>14</v>
      </c>
      <c r="C1503" t="s">
        <v>10</v>
      </c>
      <c r="D1503" s="3">
        <v>68.846000000000004</v>
      </c>
      <c r="E1503" s="3">
        <v>0</v>
      </c>
      <c r="F1503" t="s">
        <v>45</v>
      </c>
      <c r="G1503" s="3">
        <f t="shared" si="175"/>
        <v>-68.846000000000004</v>
      </c>
      <c r="H1503" s="3">
        <f t="shared" si="176"/>
        <v>68.846000000000004</v>
      </c>
      <c r="I1503" s="5" t="str">
        <f t="shared" si="177"/>
        <v>016</v>
      </c>
      <c r="J1503" s="5" t="str">
        <f t="shared" si="178"/>
        <v>2230</v>
      </c>
      <c r="K1503" s="5" t="str">
        <f t="shared" si="179"/>
        <v>000</v>
      </c>
      <c r="L1503" s="5">
        <f t="shared" si="180"/>
        <v>3</v>
      </c>
      <c r="M1503" s="5">
        <f t="shared" si="181"/>
        <v>2012</v>
      </c>
    </row>
    <row r="1504" spans="1:13" ht="17.45" customHeight="1" x14ac:dyDescent="0.25">
      <c r="A1504" s="1">
        <f>DATE(2012,3,9)</f>
        <v>40977</v>
      </c>
      <c r="B1504" t="s">
        <v>11</v>
      </c>
      <c r="C1504" t="s">
        <v>6</v>
      </c>
      <c r="D1504" s="3">
        <v>6141.4710000000005</v>
      </c>
      <c r="E1504" s="3">
        <v>0</v>
      </c>
      <c r="F1504" t="s">
        <v>45</v>
      </c>
      <c r="G1504" s="3">
        <f t="shared" si="175"/>
        <v>-6141.4710000000005</v>
      </c>
      <c r="H1504" s="3">
        <f t="shared" si="176"/>
        <v>6141.4710000000005</v>
      </c>
      <c r="I1504" s="5" t="str">
        <f t="shared" si="177"/>
        <v>016</v>
      </c>
      <c r="J1504" s="5" t="str">
        <f t="shared" si="178"/>
        <v>2100</v>
      </c>
      <c r="K1504" s="5" t="str">
        <f t="shared" si="179"/>
        <v>000</v>
      </c>
      <c r="L1504" s="5">
        <f t="shared" si="180"/>
        <v>3</v>
      </c>
      <c r="M1504" s="5">
        <f t="shared" si="181"/>
        <v>2012</v>
      </c>
    </row>
    <row r="1505" spans="1:13" ht="17.45" customHeight="1" x14ac:dyDescent="0.25">
      <c r="A1505" s="1">
        <f>DATE(2012,3,9)</f>
        <v>40977</v>
      </c>
      <c r="B1505" t="s">
        <v>12</v>
      </c>
      <c r="C1505" t="s">
        <v>8</v>
      </c>
      <c r="D1505" s="3">
        <v>2352.63</v>
      </c>
      <c r="E1505" s="3">
        <v>0</v>
      </c>
      <c r="F1505" t="s">
        <v>45</v>
      </c>
      <c r="G1505" s="3">
        <f t="shared" si="175"/>
        <v>-2352.63</v>
      </c>
      <c r="H1505" s="3">
        <f t="shared" si="176"/>
        <v>2352.63</v>
      </c>
      <c r="I1505" s="5" t="str">
        <f t="shared" si="177"/>
        <v>016</v>
      </c>
      <c r="J1505" s="5" t="str">
        <f t="shared" si="178"/>
        <v>2210</v>
      </c>
      <c r="K1505" s="5" t="str">
        <f t="shared" si="179"/>
        <v>000</v>
      </c>
      <c r="L1505" s="5">
        <f t="shared" si="180"/>
        <v>3</v>
      </c>
      <c r="M1505" s="5">
        <f t="shared" si="181"/>
        <v>2012</v>
      </c>
    </row>
    <row r="1506" spans="1:13" ht="17.45" customHeight="1" x14ac:dyDescent="0.25">
      <c r="A1506" s="1">
        <f>DATE(2012,3,9)</f>
        <v>40977</v>
      </c>
      <c r="B1506" t="s">
        <v>13</v>
      </c>
      <c r="C1506" t="s">
        <v>9</v>
      </c>
      <c r="D1506" s="3">
        <v>471.04199999999997</v>
      </c>
      <c r="E1506" s="3">
        <v>0</v>
      </c>
      <c r="F1506" t="s">
        <v>45</v>
      </c>
      <c r="G1506" s="3">
        <f t="shared" si="175"/>
        <v>-471.04199999999997</v>
      </c>
      <c r="H1506" s="3">
        <f t="shared" si="176"/>
        <v>471.04199999999997</v>
      </c>
      <c r="I1506" s="5" t="str">
        <f t="shared" si="177"/>
        <v>016</v>
      </c>
      <c r="J1506" s="5" t="str">
        <f t="shared" si="178"/>
        <v>2220</v>
      </c>
      <c r="K1506" s="5" t="str">
        <f t="shared" si="179"/>
        <v>000</v>
      </c>
      <c r="L1506" s="5">
        <f t="shared" si="180"/>
        <v>3</v>
      </c>
      <c r="M1506" s="5">
        <f t="shared" si="181"/>
        <v>2012</v>
      </c>
    </row>
    <row r="1507" spans="1:13" ht="17.45" customHeight="1" x14ac:dyDescent="0.25">
      <c r="A1507" s="1">
        <f>DATE(2012,3,9)</f>
        <v>40977</v>
      </c>
      <c r="B1507" t="s">
        <v>14</v>
      </c>
      <c r="C1507" t="s">
        <v>10</v>
      </c>
      <c r="D1507" s="3">
        <v>286.88850000000002</v>
      </c>
      <c r="E1507" s="3">
        <v>0</v>
      </c>
      <c r="F1507" t="s">
        <v>45</v>
      </c>
      <c r="G1507" s="3">
        <f t="shared" si="175"/>
        <v>-286.88850000000002</v>
      </c>
      <c r="H1507" s="3">
        <f t="shared" si="176"/>
        <v>286.88850000000002</v>
      </c>
      <c r="I1507" s="5" t="str">
        <f t="shared" si="177"/>
        <v>016</v>
      </c>
      <c r="J1507" s="5" t="str">
        <f t="shared" si="178"/>
        <v>2230</v>
      </c>
      <c r="K1507" s="5" t="str">
        <f t="shared" si="179"/>
        <v>000</v>
      </c>
      <c r="L1507" s="5">
        <f t="shared" si="180"/>
        <v>3</v>
      </c>
      <c r="M1507" s="5">
        <f t="shared" si="181"/>
        <v>2012</v>
      </c>
    </row>
    <row r="1508" spans="1:13" ht="17.45" customHeight="1" x14ac:dyDescent="0.25">
      <c r="A1508" s="1">
        <f t="shared" ref="A1508:A1511" si="182">DATE(2012,3,10)</f>
        <v>40978</v>
      </c>
      <c r="B1508" t="s">
        <v>11</v>
      </c>
      <c r="C1508" t="s">
        <v>6</v>
      </c>
      <c r="D1508" s="3">
        <v>10466.092000000001</v>
      </c>
      <c r="E1508" s="3">
        <v>0</v>
      </c>
      <c r="F1508" t="s">
        <v>45</v>
      </c>
      <c r="G1508" s="3">
        <f t="shared" si="175"/>
        <v>-10466.092000000001</v>
      </c>
      <c r="H1508" s="3">
        <f t="shared" si="176"/>
        <v>10466.092000000001</v>
      </c>
      <c r="I1508" s="5" t="str">
        <f t="shared" si="177"/>
        <v>016</v>
      </c>
      <c r="J1508" s="5" t="str">
        <f t="shared" si="178"/>
        <v>2100</v>
      </c>
      <c r="K1508" s="5" t="str">
        <f t="shared" si="179"/>
        <v>000</v>
      </c>
      <c r="L1508" s="5">
        <f t="shared" si="180"/>
        <v>3</v>
      </c>
      <c r="M1508" s="5">
        <f t="shared" si="181"/>
        <v>2012</v>
      </c>
    </row>
    <row r="1509" spans="1:13" ht="17.45" customHeight="1" x14ac:dyDescent="0.25">
      <c r="A1509" s="1">
        <f t="shared" si="182"/>
        <v>40978</v>
      </c>
      <c r="B1509" t="s">
        <v>12</v>
      </c>
      <c r="C1509" t="s">
        <v>8</v>
      </c>
      <c r="D1509" s="3">
        <v>2832.9839999999999</v>
      </c>
      <c r="E1509" s="3">
        <v>0</v>
      </c>
      <c r="F1509" t="s">
        <v>45</v>
      </c>
      <c r="G1509" s="3">
        <f t="shared" si="175"/>
        <v>-2832.9839999999999</v>
      </c>
      <c r="H1509" s="3">
        <f t="shared" si="176"/>
        <v>2832.9839999999999</v>
      </c>
      <c r="I1509" s="5" t="str">
        <f t="shared" si="177"/>
        <v>016</v>
      </c>
      <c r="J1509" s="5" t="str">
        <f t="shared" si="178"/>
        <v>2210</v>
      </c>
      <c r="K1509" s="5" t="str">
        <f t="shared" si="179"/>
        <v>000</v>
      </c>
      <c r="L1509" s="5">
        <f t="shared" si="180"/>
        <v>3</v>
      </c>
      <c r="M1509" s="5">
        <f t="shared" si="181"/>
        <v>2012</v>
      </c>
    </row>
    <row r="1510" spans="1:13" ht="17.45" customHeight="1" x14ac:dyDescent="0.25">
      <c r="A1510" s="1">
        <f t="shared" si="182"/>
        <v>40978</v>
      </c>
      <c r="B1510" t="s">
        <v>13</v>
      </c>
      <c r="C1510" t="s">
        <v>9</v>
      </c>
      <c r="D1510" s="3">
        <v>548.53200000000004</v>
      </c>
      <c r="E1510" s="3">
        <v>0</v>
      </c>
      <c r="F1510" t="s">
        <v>45</v>
      </c>
      <c r="G1510" s="3">
        <f t="shared" si="175"/>
        <v>-548.53200000000004</v>
      </c>
      <c r="H1510" s="3">
        <f t="shared" si="176"/>
        <v>548.53200000000004</v>
      </c>
      <c r="I1510" s="5" t="str">
        <f t="shared" si="177"/>
        <v>016</v>
      </c>
      <c r="J1510" s="5" t="str">
        <f t="shared" si="178"/>
        <v>2220</v>
      </c>
      <c r="K1510" s="5" t="str">
        <f t="shared" si="179"/>
        <v>000</v>
      </c>
      <c r="L1510" s="5">
        <f t="shared" si="180"/>
        <v>3</v>
      </c>
      <c r="M1510" s="5">
        <f t="shared" si="181"/>
        <v>2012</v>
      </c>
    </row>
    <row r="1511" spans="1:13" ht="17.45" customHeight="1" x14ac:dyDescent="0.25">
      <c r="A1511" s="1">
        <f t="shared" si="182"/>
        <v>40978</v>
      </c>
      <c r="B1511" t="s">
        <v>14</v>
      </c>
      <c r="C1511" t="s">
        <v>10</v>
      </c>
      <c r="D1511" s="3">
        <v>295.53599999999994</v>
      </c>
      <c r="E1511" s="3">
        <v>0</v>
      </c>
      <c r="F1511" t="s">
        <v>45</v>
      </c>
      <c r="G1511" s="3">
        <f t="shared" si="175"/>
        <v>-295.53599999999994</v>
      </c>
      <c r="H1511" s="3">
        <f t="shared" si="176"/>
        <v>295.53599999999994</v>
      </c>
      <c r="I1511" s="5" t="str">
        <f t="shared" si="177"/>
        <v>016</v>
      </c>
      <c r="J1511" s="5" t="str">
        <f t="shared" si="178"/>
        <v>2230</v>
      </c>
      <c r="K1511" s="5" t="str">
        <f t="shared" si="179"/>
        <v>000</v>
      </c>
      <c r="L1511" s="5">
        <f t="shared" si="180"/>
        <v>3</v>
      </c>
      <c r="M1511" s="5">
        <f t="shared" si="181"/>
        <v>2012</v>
      </c>
    </row>
    <row r="1512" spans="1:13" ht="17.45" customHeight="1" x14ac:dyDescent="0.25">
      <c r="A1512" s="1">
        <f t="shared" ref="A1512:A1515" si="183">DATE(2012,3,11)</f>
        <v>40979</v>
      </c>
      <c r="B1512" t="s">
        <v>11</v>
      </c>
      <c r="C1512" t="s">
        <v>6</v>
      </c>
      <c r="D1512" s="3">
        <v>6076.9049999999997</v>
      </c>
      <c r="E1512" s="3">
        <v>0</v>
      </c>
      <c r="F1512" t="s">
        <v>45</v>
      </c>
      <c r="G1512" s="3">
        <f t="shared" si="175"/>
        <v>-6076.9049999999997</v>
      </c>
      <c r="H1512" s="3">
        <f t="shared" si="176"/>
        <v>6076.9049999999997</v>
      </c>
      <c r="I1512" s="5" t="str">
        <f t="shared" si="177"/>
        <v>016</v>
      </c>
      <c r="J1512" s="5" t="str">
        <f t="shared" si="178"/>
        <v>2100</v>
      </c>
      <c r="K1512" s="5" t="str">
        <f t="shared" si="179"/>
        <v>000</v>
      </c>
      <c r="L1512" s="5">
        <f t="shared" si="180"/>
        <v>3</v>
      </c>
      <c r="M1512" s="5">
        <f t="shared" si="181"/>
        <v>2012</v>
      </c>
    </row>
    <row r="1513" spans="1:13" ht="17.45" customHeight="1" x14ac:dyDescent="0.25">
      <c r="A1513" s="1">
        <f t="shared" si="183"/>
        <v>40979</v>
      </c>
      <c r="B1513" t="s">
        <v>12</v>
      </c>
      <c r="C1513" t="s">
        <v>8</v>
      </c>
      <c r="D1513" s="3">
        <v>1444.4325000000001</v>
      </c>
      <c r="E1513" s="3">
        <v>0</v>
      </c>
      <c r="F1513" t="s">
        <v>45</v>
      </c>
      <c r="G1513" s="3">
        <f t="shared" si="175"/>
        <v>-1444.4325000000001</v>
      </c>
      <c r="H1513" s="3">
        <f t="shared" si="176"/>
        <v>1444.4325000000001</v>
      </c>
      <c r="I1513" s="5" t="str">
        <f t="shared" si="177"/>
        <v>016</v>
      </c>
      <c r="J1513" s="5" t="str">
        <f t="shared" si="178"/>
        <v>2210</v>
      </c>
      <c r="K1513" s="5" t="str">
        <f t="shared" si="179"/>
        <v>000</v>
      </c>
      <c r="L1513" s="5">
        <f t="shared" si="180"/>
        <v>3</v>
      </c>
      <c r="M1513" s="5">
        <f t="shared" si="181"/>
        <v>2012</v>
      </c>
    </row>
    <row r="1514" spans="1:13" ht="17.45" customHeight="1" x14ac:dyDescent="0.25">
      <c r="A1514" s="1">
        <f t="shared" si="183"/>
        <v>40979</v>
      </c>
      <c r="B1514" t="s">
        <v>13</v>
      </c>
      <c r="C1514" t="s">
        <v>9</v>
      </c>
      <c r="D1514" s="3">
        <v>152.685</v>
      </c>
      <c r="E1514" s="3">
        <v>0</v>
      </c>
      <c r="F1514" t="s">
        <v>45</v>
      </c>
      <c r="G1514" s="3">
        <f t="shared" si="175"/>
        <v>-152.685</v>
      </c>
      <c r="H1514" s="3">
        <f t="shared" si="176"/>
        <v>152.685</v>
      </c>
      <c r="I1514" s="5" t="str">
        <f t="shared" si="177"/>
        <v>016</v>
      </c>
      <c r="J1514" s="5" t="str">
        <f t="shared" si="178"/>
        <v>2220</v>
      </c>
      <c r="K1514" s="5" t="str">
        <f t="shared" si="179"/>
        <v>000</v>
      </c>
      <c r="L1514" s="5">
        <f t="shared" si="180"/>
        <v>3</v>
      </c>
      <c r="M1514" s="5">
        <f t="shared" si="181"/>
        <v>2012</v>
      </c>
    </row>
    <row r="1515" spans="1:13" ht="17.45" customHeight="1" x14ac:dyDescent="0.25">
      <c r="A1515" s="1">
        <f t="shared" si="183"/>
        <v>40979</v>
      </c>
      <c r="B1515" t="s">
        <v>14</v>
      </c>
      <c r="C1515" t="s">
        <v>10</v>
      </c>
      <c r="D1515" s="3">
        <v>139.63249999999999</v>
      </c>
      <c r="E1515" s="3">
        <v>0</v>
      </c>
      <c r="F1515" t="s">
        <v>45</v>
      </c>
      <c r="G1515" s="3">
        <f t="shared" si="175"/>
        <v>-139.63249999999999</v>
      </c>
      <c r="H1515" s="3">
        <f t="shared" si="176"/>
        <v>139.63249999999999</v>
      </c>
      <c r="I1515" s="5" t="str">
        <f t="shared" si="177"/>
        <v>016</v>
      </c>
      <c r="J1515" s="5" t="str">
        <f t="shared" si="178"/>
        <v>2230</v>
      </c>
      <c r="K1515" s="5" t="str">
        <f t="shared" si="179"/>
        <v>000</v>
      </c>
      <c r="L1515" s="5">
        <f t="shared" si="180"/>
        <v>3</v>
      </c>
      <c r="M1515" s="5">
        <f t="shared" si="181"/>
        <v>2012</v>
      </c>
    </row>
    <row r="1516" spans="1:13" ht="17.45" customHeight="1" x14ac:dyDescent="0.25">
      <c r="A1516" s="1">
        <f>DATE(2012,3,5)</f>
        <v>40973</v>
      </c>
      <c r="B1516" t="s">
        <v>15</v>
      </c>
      <c r="C1516" t="s">
        <v>6</v>
      </c>
      <c r="D1516" s="3">
        <v>3321.5349999999999</v>
      </c>
      <c r="E1516" s="3">
        <v>0</v>
      </c>
      <c r="F1516" t="s">
        <v>45</v>
      </c>
      <c r="G1516" s="3">
        <f t="shared" si="175"/>
        <v>-3321.5349999999999</v>
      </c>
      <c r="H1516" s="3">
        <f t="shared" si="176"/>
        <v>3321.5349999999999</v>
      </c>
      <c r="I1516" s="5" t="str">
        <f t="shared" si="177"/>
        <v>017</v>
      </c>
      <c r="J1516" s="5" t="str">
        <f t="shared" si="178"/>
        <v>2100</v>
      </c>
      <c r="K1516" s="5" t="str">
        <f t="shared" si="179"/>
        <v>000</v>
      </c>
      <c r="L1516" s="5">
        <f t="shared" si="180"/>
        <v>3</v>
      </c>
      <c r="M1516" s="5">
        <f t="shared" si="181"/>
        <v>2012</v>
      </c>
    </row>
    <row r="1517" spans="1:13" ht="17.45" customHeight="1" x14ac:dyDescent="0.25">
      <c r="A1517" s="1">
        <f>DATE(2012,3,5)</f>
        <v>40973</v>
      </c>
      <c r="B1517" t="s">
        <v>16</v>
      </c>
      <c r="C1517" t="s">
        <v>8</v>
      </c>
      <c r="D1517" s="3">
        <v>494.53600000000006</v>
      </c>
      <c r="E1517" s="3">
        <v>0</v>
      </c>
      <c r="F1517" t="s">
        <v>45</v>
      </c>
      <c r="G1517" s="3">
        <f t="shared" si="175"/>
        <v>-494.53600000000006</v>
      </c>
      <c r="H1517" s="3">
        <f t="shared" si="176"/>
        <v>494.53600000000006</v>
      </c>
      <c r="I1517" s="5" t="str">
        <f t="shared" si="177"/>
        <v>017</v>
      </c>
      <c r="J1517" s="5" t="str">
        <f t="shared" si="178"/>
        <v>2210</v>
      </c>
      <c r="K1517" s="5" t="str">
        <f t="shared" si="179"/>
        <v>000</v>
      </c>
      <c r="L1517" s="5">
        <f t="shared" si="180"/>
        <v>3</v>
      </c>
      <c r="M1517" s="5">
        <f t="shared" si="181"/>
        <v>2012</v>
      </c>
    </row>
    <row r="1518" spans="1:13" ht="17.45" customHeight="1" x14ac:dyDescent="0.25">
      <c r="A1518" s="1">
        <f>DATE(2012,3,5)</f>
        <v>40973</v>
      </c>
      <c r="B1518" t="s">
        <v>17</v>
      </c>
      <c r="C1518" t="s">
        <v>9</v>
      </c>
      <c r="D1518" s="3">
        <v>165.70250000000001</v>
      </c>
      <c r="E1518" s="3">
        <v>0</v>
      </c>
      <c r="F1518" t="s">
        <v>45</v>
      </c>
      <c r="G1518" s="3">
        <f t="shared" si="175"/>
        <v>-165.70250000000001</v>
      </c>
      <c r="H1518" s="3">
        <f t="shared" si="176"/>
        <v>165.70250000000001</v>
      </c>
      <c r="I1518" s="5" t="str">
        <f t="shared" si="177"/>
        <v>017</v>
      </c>
      <c r="J1518" s="5" t="str">
        <f t="shared" si="178"/>
        <v>2220</v>
      </c>
      <c r="K1518" s="5" t="str">
        <f t="shared" si="179"/>
        <v>000</v>
      </c>
      <c r="L1518" s="5">
        <f t="shared" si="180"/>
        <v>3</v>
      </c>
      <c r="M1518" s="5">
        <f t="shared" si="181"/>
        <v>2012</v>
      </c>
    </row>
    <row r="1519" spans="1:13" ht="17.45" customHeight="1" x14ac:dyDescent="0.25">
      <c r="A1519" s="1">
        <f>DATE(2012,3,5)</f>
        <v>40973</v>
      </c>
      <c r="B1519" t="s">
        <v>18</v>
      </c>
      <c r="C1519" t="s">
        <v>10</v>
      </c>
      <c r="D1519" s="3">
        <v>57.494000000000007</v>
      </c>
      <c r="E1519" s="3">
        <v>0</v>
      </c>
      <c r="F1519" t="s">
        <v>45</v>
      </c>
      <c r="G1519" s="3">
        <f t="shared" si="175"/>
        <v>-57.494000000000007</v>
      </c>
      <c r="H1519" s="3">
        <f t="shared" si="176"/>
        <v>57.494000000000007</v>
      </c>
      <c r="I1519" s="5" t="str">
        <f t="shared" si="177"/>
        <v>017</v>
      </c>
      <c r="J1519" s="5" t="str">
        <f t="shared" si="178"/>
        <v>2230</v>
      </c>
      <c r="K1519" s="5" t="str">
        <f t="shared" si="179"/>
        <v>000</v>
      </c>
      <c r="L1519" s="5">
        <f t="shared" si="180"/>
        <v>3</v>
      </c>
      <c r="M1519" s="5">
        <f t="shared" si="181"/>
        <v>2012</v>
      </c>
    </row>
    <row r="1520" spans="1:13" ht="17.45" customHeight="1" x14ac:dyDescent="0.25">
      <c r="A1520" s="1">
        <f>DATE(2012,3,6)</f>
        <v>40974</v>
      </c>
      <c r="B1520" t="s">
        <v>15</v>
      </c>
      <c r="C1520" t="s">
        <v>6</v>
      </c>
      <c r="D1520" s="3">
        <v>5956.1628000000001</v>
      </c>
      <c r="E1520" s="3">
        <v>0</v>
      </c>
      <c r="F1520" t="s">
        <v>45</v>
      </c>
      <c r="G1520" s="3">
        <f t="shared" si="175"/>
        <v>-5956.1628000000001</v>
      </c>
      <c r="H1520" s="3">
        <f t="shared" si="176"/>
        <v>5956.1628000000001</v>
      </c>
      <c r="I1520" s="5" t="str">
        <f t="shared" si="177"/>
        <v>017</v>
      </c>
      <c r="J1520" s="5" t="str">
        <f t="shared" si="178"/>
        <v>2100</v>
      </c>
      <c r="K1520" s="5" t="str">
        <f t="shared" si="179"/>
        <v>000</v>
      </c>
      <c r="L1520" s="5">
        <f t="shared" si="180"/>
        <v>3</v>
      </c>
      <c r="M1520" s="5">
        <f t="shared" si="181"/>
        <v>2012</v>
      </c>
    </row>
    <row r="1521" spans="1:13" ht="17.45" customHeight="1" x14ac:dyDescent="0.25">
      <c r="A1521" s="1">
        <f>DATE(2012,3,6)</f>
        <v>40974</v>
      </c>
      <c r="B1521" t="s">
        <v>16</v>
      </c>
      <c r="C1521" t="s">
        <v>8</v>
      </c>
      <c r="D1521" s="3">
        <v>1272.7459999999999</v>
      </c>
      <c r="E1521" s="3">
        <v>0</v>
      </c>
      <c r="F1521" t="s">
        <v>45</v>
      </c>
      <c r="G1521" s="3">
        <f t="shared" si="175"/>
        <v>-1272.7459999999999</v>
      </c>
      <c r="H1521" s="3">
        <f t="shared" si="176"/>
        <v>1272.7459999999999</v>
      </c>
      <c r="I1521" s="5" t="str">
        <f t="shared" si="177"/>
        <v>017</v>
      </c>
      <c r="J1521" s="5" t="str">
        <f t="shared" si="178"/>
        <v>2210</v>
      </c>
      <c r="K1521" s="5" t="str">
        <f t="shared" si="179"/>
        <v>000</v>
      </c>
      <c r="L1521" s="5">
        <f t="shared" si="180"/>
        <v>3</v>
      </c>
      <c r="M1521" s="5">
        <f t="shared" si="181"/>
        <v>2012</v>
      </c>
    </row>
    <row r="1522" spans="1:13" ht="17.45" customHeight="1" x14ac:dyDescent="0.25">
      <c r="A1522" s="1">
        <f>DATE(2012,3,6)</f>
        <v>40974</v>
      </c>
      <c r="B1522" t="s">
        <v>17</v>
      </c>
      <c r="C1522" t="s">
        <v>9</v>
      </c>
      <c r="D1522" s="3">
        <v>266.25</v>
      </c>
      <c r="E1522" s="3">
        <v>0</v>
      </c>
      <c r="F1522" t="s">
        <v>45</v>
      </c>
      <c r="G1522" s="3">
        <f t="shared" si="175"/>
        <v>-266.25</v>
      </c>
      <c r="H1522" s="3">
        <f t="shared" si="176"/>
        <v>266.25</v>
      </c>
      <c r="I1522" s="5" t="str">
        <f t="shared" si="177"/>
        <v>017</v>
      </c>
      <c r="J1522" s="5" t="str">
        <f t="shared" si="178"/>
        <v>2220</v>
      </c>
      <c r="K1522" s="5" t="str">
        <f t="shared" si="179"/>
        <v>000</v>
      </c>
      <c r="L1522" s="5">
        <f t="shared" si="180"/>
        <v>3</v>
      </c>
      <c r="M1522" s="5">
        <f t="shared" si="181"/>
        <v>2012</v>
      </c>
    </row>
    <row r="1523" spans="1:13" ht="17.45" customHeight="1" x14ac:dyDescent="0.25">
      <c r="A1523" s="1">
        <f>DATE(2012,3,6)</f>
        <v>40974</v>
      </c>
      <c r="B1523" t="s">
        <v>18</v>
      </c>
      <c r="C1523" t="s">
        <v>10</v>
      </c>
      <c r="D1523" s="3">
        <v>81.10199999999999</v>
      </c>
      <c r="E1523" s="3">
        <v>0</v>
      </c>
      <c r="F1523" t="s">
        <v>45</v>
      </c>
      <c r="G1523" s="3">
        <f t="shared" si="175"/>
        <v>-81.10199999999999</v>
      </c>
      <c r="H1523" s="3">
        <f t="shared" si="176"/>
        <v>81.10199999999999</v>
      </c>
      <c r="I1523" s="5" t="str">
        <f t="shared" si="177"/>
        <v>017</v>
      </c>
      <c r="J1523" s="5" t="str">
        <f t="shared" si="178"/>
        <v>2230</v>
      </c>
      <c r="K1523" s="5" t="str">
        <f t="shared" si="179"/>
        <v>000</v>
      </c>
      <c r="L1523" s="5">
        <f t="shared" si="180"/>
        <v>3</v>
      </c>
      <c r="M1523" s="5">
        <f t="shared" si="181"/>
        <v>2012</v>
      </c>
    </row>
    <row r="1524" spans="1:13" ht="17.45" customHeight="1" x14ac:dyDescent="0.25">
      <c r="A1524" s="1">
        <f>DATE(2012,3,7)</f>
        <v>40975</v>
      </c>
      <c r="B1524" t="s">
        <v>15</v>
      </c>
      <c r="C1524" t="s">
        <v>6</v>
      </c>
      <c r="D1524" s="3">
        <v>4579.63</v>
      </c>
      <c r="E1524" s="3">
        <v>0</v>
      </c>
      <c r="F1524" t="s">
        <v>45</v>
      </c>
      <c r="G1524" s="3">
        <f t="shared" si="175"/>
        <v>-4579.63</v>
      </c>
      <c r="H1524" s="3">
        <f t="shared" si="176"/>
        <v>4579.63</v>
      </c>
      <c r="I1524" s="5" t="str">
        <f t="shared" si="177"/>
        <v>017</v>
      </c>
      <c r="J1524" s="5" t="str">
        <f t="shared" si="178"/>
        <v>2100</v>
      </c>
      <c r="K1524" s="5" t="str">
        <f t="shared" si="179"/>
        <v>000</v>
      </c>
      <c r="L1524" s="5">
        <f t="shared" si="180"/>
        <v>3</v>
      </c>
      <c r="M1524" s="5">
        <f t="shared" si="181"/>
        <v>2012</v>
      </c>
    </row>
    <row r="1525" spans="1:13" ht="17.45" customHeight="1" x14ac:dyDescent="0.25">
      <c r="A1525" s="1">
        <f>DATE(2012,3,7)</f>
        <v>40975</v>
      </c>
      <c r="B1525" t="s">
        <v>16</v>
      </c>
      <c r="C1525" t="s">
        <v>8</v>
      </c>
      <c r="D1525" s="3">
        <v>1026.4865</v>
      </c>
      <c r="E1525" s="3">
        <v>0</v>
      </c>
      <c r="F1525" t="s">
        <v>45</v>
      </c>
      <c r="G1525" s="3">
        <f t="shared" si="175"/>
        <v>-1026.4865</v>
      </c>
      <c r="H1525" s="3">
        <f t="shared" si="176"/>
        <v>1026.4865</v>
      </c>
      <c r="I1525" s="5" t="str">
        <f t="shared" si="177"/>
        <v>017</v>
      </c>
      <c r="J1525" s="5" t="str">
        <f t="shared" si="178"/>
        <v>2210</v>
      </c>
      <c r="K1525" s="5" t="str">
        <f t="shared" si="179"/>
        <v>000</v>
      </c>
      <c r="L1525" s="5">
        <f t="shared" si="180"/>
        <v>3</v>
      </c>
      <c r="M1525" s="5">
        <f t="shared" si="181"/>
        <v>2012</v>
      </c>
    </row>
    <row r="1526" spans="1:13" ht="17.45" customHeight="1" x14ac:dyDescent="0.25">
      <c r="A1526" s="1">
        <f>DATE(2012,3,7)</f>
        <v>40975</v>
      </c>
      <c r="B1526" t="s">
        <v>17</v>
      </c>
      <c r="C1526" t="s">
        <v>9</v>
      </c>
      <c r="D1526" s="3">
        <v>225.63</v>
      </c>
      <c r="E1526" s="3">
        <v>0</v>
      </c>
      <c r="F1526" t="s">
        <v>45</v>
      </c>
      <c r="G1526" s="3">
        <f t="shared" si="175"/>
        <v>-225.63</v>
      </c>
      <c r="H1526" s="3">
        <f t="shared" si="176"/>
        <v>225.63</v>
      </c>
      <c r="I1526" s="5" t="str">
        <f t="shared" si="177"/>
        <v>017</v>
      </c>
      <c r="J1526" s="5" t="str">
        <f t="shared" si="178"/>
        <v>2220</v>
      </c>
      <c r="K1526" s="5" t="str">
        <f t="shared" si="179"/>
        <v>000</v>
      </c>
      <c r="L1526" s="5">
        <f t="shared" si="180"/>
        <v>3</v>
      </c>
      <c r="M1526" s="5">
        <f t="shared" si="181"/>
        <v>2012</v>
      </c>
    </row>
    <row r="1527" spans="1:13" ht="17.45" customHeight="1" x14ac:dyDescent="0.25">
      <c r="A1527" s="1">
        <f>DATE(2012,3,7)</f>
        <v>40975</v>
      </c>
      <c r="B1527" t="s">
        <v>18</v>
      </c>
      <c r="C1527" t="s">
        <v>10</v>
      </c>
      <c r="D1527" s="3">
        <v>84.26</v>
      </c>
      <c r="E1527" s="3">
        <v>0</v>
      </c>
      <c r="F1527" t="s">
        <v>45</v>
      </c>
      <c r="G1527" s="3">
        <f t="shared" si="175"/>
        <v>-84.26</v>
      </c>
      <c r="H1527" s="3">
        <f t="shared" si="176"/>
        <v>84.26</v>
      </c>
      <c r="I1527" s="5" t="str">
        <f t="shared" si="177"/>
        <v>017</v>
      </c>
      <c r="J1527" s="5" t="str">
        <f t="shared" si="178"/>
        <v>2230</v>
      </c>
      <c r="K1527" s="5" t="str">
        <f t="shared" si="179"/>
        <v>000</v>
      </c>
      <c r="L1527" s="5">
        <f t="shared" si="180"/>
        <v>3</v>
      </c>
      <c r="M1527" s="5">
        <f t="shared" si="181"/>
        <v>2012</v>
      </c>
    </row>
    <row r="1528" spans="1:13" ht="17.45" customHeight="1" x14ac:dyDescent="0.25">
      <c r="A1528" s="1">
        <f>DATE(2012,3,8)</f>
        <v>40976</v>
      </c>
      <c r="B1528" t="s">
        <v>15</v>
      </c>
      <c r="C1528" t="s">
        <v>6</v>
      </c>
      <c r="D1528" s="3">
        <v>7467.5103999999992</v>
      </c>
      <c r="E1528" s="3">
        <v>0</v>
      </c>
      <c r="F1528" t="s">
        <v>45</v>
      </c>
      <c r="G1528" s="3">
        <f t="shared" si="175"/>
        <v>-7467.5103999999992</v>
      </c>
      <c r="H1528" s="3">
        <f t="shared" si="176"/>
        <v>7467.5103999999992</v>
      </c>
      <c r="I1528" s="5" t="str">
        <f t="shared" si="177"/>
        <v>017</v>
      </c>
      <c r="J1528" s="5" t="str">
        <f t="shared" si="178"/>
        <v>2100</v>
      </c>
      <c r="K1528" s="5" t="str">
        <f t="shared" si="179"/>
        <v>000</v>
      </c>
      <c r="L1528" s="5">
        <f t="shared" si="180"/>
        <v>3</v>
      </c>
      <c r="M1528" s="5">
        <f t="shared" si="181"/>
        <v>2012</v>
      </c>
    </row>
    <row r="1529" spans="1:13" ht="17.45" customHeight="1" x14ac:dyDescent="0.25">
      <c r="A1529" s="1">
        <f>DATE(2012,3,8)</f>
        <v>40976</v>
      </c>
      <c r="B1529" t="s">
        <v>16</v>
      </c>
      <c r="C1529" t="s">
        <v>8</v>
      </c>
      <c r="D1529" s="3">
        <v>2400.4639999999999</v>
      </c>
      <c r="E1529" s="3">
        <v>0</v>
      </c>
      <c r="F1529" t="s">
        <v>45</v>
      </c>
      <c r="G1529" s="3">
        <f t="shared" si="175"/>
        <v>-2400.4639999999999</v>
      </c>
      <c r="H1529" s="3">
        <f t="shared" si="176"/>
        <v>2400.4639999999999</v>
      </c>
      <c r="I1529" s="5" t="str">
        <f t="shared" si="177"/>
        <v>017</v>
      </c>
      <c r="J1529" s="5" t="str">
        <f t="shared" si="178"/>
        <v>2210</v>
      </c>
      <c r="K1529" s="5" t="str">
        <f t="shared" si="179"/>
        <v>000</v>
      </c>
      <c r="L1529" s="5">
        <f t="shared" si="180"/>
        <v>3</v>
      </c>
      <c r="M1529" s="5">
        <f t="shared" si="181"/>
        <v>2012</v>
      </c>
    </row>
    <row r="1530" spans="1:13" ht="17.45" customHeight="1" x14ac:dyDescent="0.25">
      <c r="A1530" s="1">
        <f>DATE(2012,3,8)</f>
        <v>40976</v>
      </c>
      <c r="B1530" t="s">
        <v>17</v>
      </c>
      <c r="C1530" t="s">
        <v>9</v>
      </c>
      <c r="D1530" s="3">
        <v>459.11250000000001</v>
      </c>
      <c r="E1530" s="3">
        <v>0</v>
      </c>
      <c r="F1530" t="s">
        <v>45</v>
      </c>
      <c r="G1530" s="3">
        <f t="shared" si="175"/>
        <v>-459.11250000000001</v>
      </c>
      <c r="H1530" s="3">
        <f t="shared" si="176"/>
        <v>459.11250000000001</v>
      </c>
      <c r="I1530" s="5" t="str">
        <f t="shared" si="177"/>
        <v>017</v>
      </c>
      <c r="J1530" s="5" t="str">
        <f t="shared" si="178"/>
        <v>2220</v>
      </c>
      <c r="K1530" s="5" t="str">
        <f t="shared" si="179"/>
        <v>000</v>
      </c>
      <c r="L1530" s="5">
        <f t="shared" si="180"/>
        <v>3</v>
      </c>
      <c r="M1530" s="5">
        <f t="shared" si="181"/>
        <v>2012</v>
      </c>
    </row>
    <row r="1531" spans="1:13" ht="17.45" customHeight="1" x14ac:dyDescent="0.25">
      <c r="A1531" s="1">
        <f>DATE(2012,3,8)</f>
        <v>40976</v>
      </c>
      <c r="B1531" t="s">
        <v>18</v>
      </c>
      <c r="C1531" t="s">
        <v>10</v>
      </c>
      <c r="D1531" s="3">
        <v>80.632500000000007</v>
      </c>
      <c r="E1531" s="3">
        <v>0</v>
      </c>
      <c r="F1531" t="s">
        <v>45</v>
      </c>
      <c r="G1531" s="3">
        <f t="shared" si="175"/>
        <v>-80.632500000000007</v>
      </c>
      <c r="H1531" s="3">
        <f t="shared" si="176"/>
        <v>80.632500000000007</v>
      </c>
      <c r="I1531" s="5" t="str">
        <f t="shared" si="177"/>
        <v>017</v>
      </c>
      <c r="J1531" s="5" t="str">
        <f t="shared" si="178"/>
        <v>2230</v>
      </c>
      <c r="K1531" s="5" t="str">
        <f t="shared" si="179"/>
        <v>000</v>
      </c>
      <c r="L1531" s="5">
        <f t="shared" si="180"/>
        <v>3</v>
      </c>
      <c r="M1531" s="5">
        <f t="shared" si="181"/>
        <v>2012</v>
      </c>
    </row>
    <row r="1532" spans="1:13" ht="17.45" customHeight="1" x14ac:dyDescent="0.25">
      <c r="A1532" s="1">
        <f>DATE(2012,3,9)</f>
        <v>40977</v>
      </c>
      <c r="B1532" t="s">
        <v>15</v>
      </c>
      <c r="C1532" t="s">
        <v>6</v>
      </c>
      <c r="D1532" s="3">
        <v>5504.9876999999997</v>
      </c>
      <c r="E1532" s="3">
        <v>0</v>
      </c>
      <c r="F1532" t="s">
        <v>45</v>
      </c>
      <c r="G1532" s="3">
        <f t="shared" si="175"/>
        <v>-5504.9876999999997</v>
      </c>
      <c r="H1532" s="3">
        <f t="shared" si="176"/>
        <v>5504.9876999999997</v>
      </c>
      <c r="I1532" s="5" t="str">
        <f t="shared" si="177"/>
        <v>017</v>
      </c>
      <c r="J1532" s="5" t="str">
        <f t="shared" si="178"/>
        <v>2100</v>
      </c>
      <c r="K1532" s="5" t="str">
        <f t="shared" si="179"/>
        <v>000</v>
      </c>
      <c r="L1532" s="5">
        <f t="shared" si="180"/>
        <v>3</v>
      </c>
      <c r="M1532" s="5">
        <f t="shared" si="181"/>
        <v>2012</v>
      </c>
    </row>
    <row r="1533" spans="1:13" ht="17.45" customHeight="1" x14ac:dyDescent="0.25">
      <c r="A1533" s="1">
        <f>DATE(2012,3,9)</f>
        <v>40977</v>
      </c>
      <c r="B1533" t="s">
        <v>16</v>
      </c>
      <c r="C1533" t="s">
        <v>8</v>
      </c>
      <c r="D1533" s="3">
        <v>2022.24</v>
      </c>
      <c r="E1533" s="3">
        <v>0</v>
      </c>
      <c r="F1533" t="s">
        <v>45</v>
      </c>
      <c r="G1533" s="3">
        <f t="shared" si="175"/>
        <v>-2022.24</v>
      </c>
      <c r="H1533" s="3">
        <f t="shared" si="176"/>
        <v>2022.24</v>
      </c>
      <c r="I1533" s="5" t="str">
        <f t="shared" si="177"/>
        <v>017</v>
      </c>
      <c r="J1533" s="5" t="str">
        <f t="shared" si="178"/>
        <v>2210</v>
      </c>
      <c r="K1533" s="5" t="str">
        <f t="shared" si="179"/>
        <v>000</v>
      </c>
      <c r="L1533" s="5">
        <f t="shared" si="180"/>
        <v>3</v>
      </c>
      <c r="M1533" s="5">
        <f t="shared" si="181"/>
        <v>2012</v>
      </c>
    </row>
    <row r="1534" spans="1:13" ht="17.45" customHeight="1" x14ac:dyDescent="0.25">
      <c r="A1534" s="1">
        <f>DATE(2012,3,9)</f>
        <v>40977</v>
      </c>
      <c r="B1534" t="s">
        <v>17</v>
      </c>
      <c r="C1534" t="s">
        <v>9</v>
      </c>
      <c r="D1534" s="3">
        <v>361.38749999999999</v>
      </c>
      <c r="E1534" s="3">
        <v>0</v>
      </c>
      <c r="F1534" t="s">
        <v>45</v>
      </c>
      <c r="G1534" s="3">
        <f t="shared" si="175"/>
        <v>-361.38749999999999</v>
      </c>
      <c r="H1534" s="3">
        <f t="shared" si="176"/>
        <v>361.38749999999999</v>
      </c>
      <c r="I1534" s="5" t="str">
        <f t="shared" si="177"/>
        <v>017</v>
      </c>
      <c r="J1534" s="5" t="str">
        <f t="shared" si="178"/>
        <v>2220</v>
      </c>
      <c r="K1534" s="5" t="str">
        <f t="shared" si="179"/>
        <v>000</v>
      </c>
      <c r="L1534" s="5">
        <f t="shared" si="180"/>
        <v>3</v>
      </c>
      <c r="M1534" s="5">
        <f t="shared" si="181"/>
        <v>2012</v>
      </c>
    </row>
    <row r="1535" spans="1:13" ht="17.45" customHeight="1" x14ac:dyDescent="0.25">
      <c r="A1535" s="1">
        <f>DATE(2012,3,9)</f>
        <v>40977</v>
      </c>
      <c r="B1535" t="s">
        <v>18</v>
      </c>
      <c r="C1535" t="s">
        <v>10</v>
      </c>
      <c r="D1535" s="3">
        <v>59.840999999999994</v>
      </c>
      <c r="E1535" s="3">
        <v>0</v>
      </c>
      <c r="F1535" t="s">
        <v>45</v>
      </c>
      <c r="G1535" s="3">
        <f t="shared" si="175"/>
        <v>-59.840999999999994</v>
      </c>
      <c r="H1535" s="3">
        <f t="shared" si="176"/>
        <v>59.840999999999994</v>
      </c>
      <c r="I1535" s="5" t="str">
        <f t="shared" si="177"/>
        <v>017</v>
      </c>
      <c r="J1535" s="5" t="str">
        <f t="shared" si="178"/>
        <v>2230</v>
      </c>
      <c r="K1535" s="5" t="str">
        <f t="shared" si="179"/>
        <v>000</v>
      </c>
      <c r="L1535" s="5">
        <f t="shared" si="180"/>
        <v>3</v>
      </c>
      <c r="M1535" s="5">
        <f t="shared" si="181"/>
        <v>2012</v>
      </c>
    </row>
    <row r="1536" spans="1:13" ht="17.45" customHeight="1" x14ac:dyDescent="0.25">
      <c r="A1536" s="1">
        <f>DATE(2012,3,10)</f>
        <v>40978</v>
      </c>
      <c r="B1536" t="s">
        <v>15</v>
      </c>
      <c r="C1536" t="s">
        <v>6</v>
      </c>
      <c r="D1536" s="3">
        <v>7134.8874999999998</v>
      </c>
      <c r="E1536" s="3">
        <v>0</v>
      </c>
      <c r="F1536" t="s">
        <v>45</v>
      </c>
      <c r="G1536" s="3">
        <f t="shared" si="175"/>
        <v>-7134.8874999999998</v>
      </c>
      <c r="H1536" s="3">
        <f t="shared" si="176"/>
        <v>7134.8874999999998</v>
      </c>
      <c r="I1536" s="5" t="str">
        <f t="shared" si="177"/>
        <v>017</v>
      </c>
      <c r="J1536" s="5" t="str">
        <f t="shared" si="178"/>
        <v>2100</v>
      </c>
      <c r="K1536" s="5" t="str">
        <f t="shared" si="179"/>
        <v>000</v>
      </c>
      <c r="L1536" s="5">
        <f t="shared" si="180"/>
        <v>3</v>
      </c>
      <c r="M1536" s="5">
        <f t="shared" si="181"/>
        <v>2012</v>
      </c>
    </row>
    <row r="1537" spans="1:13" ht="17.45" customHeight="1" x14ac:dyDescent="0.25">
      <c r="A1537" s="1">
        <f>DATE(2012,3,10)</f>
        <v>40978</v>
      </c>
      <c r="B1537" t="s">
        <v>16</v>
      </c>
      <c r="C1537" t="s">
        <v>8</v>
      </c>
      <c r="D1537" s="3">
        <v>2474.306</v>
      </c>
      <c r="E1537" s="3">
        <v>0</v>
      </c>
      <c r="F1537" t="s">
        <v>45</v>
      </c>
      <c r="G1537" s="3">
        <f t="shared" si="175"/>
        <v>-2474.306</v>
      </c>
      <c r="H1537" s="3">
        <f t="shared" si="176"/>
        <v>2474.306</v>
      </c>
      <c r="I1537" s="5" t="str">
        <f t="shared" si="177"/>
        <v>017</v>
      </c>
      <c r="J1537" s="5" t="str">
        <f t="shared" si="178"/>
        <v>2210</v>
      </c>
      <c r="K1537" s="5" t="str">
        <f t="shared" si="179"/>
        <v>000</v>
      </c>
      <c r="L1537" s="5">
        <f t="shared" si="180"/>
        <v>3</v>
      </c>
      <c r="M1537" s="5">
        <f t="shared" si="181"/>
        <v>2012</v>
      </c>
    </row>
    <row r="1538" spans="1:13" ht="17.45" customHeight="1" x14ac:dyDescent="0.25">
      <c r="A1538" s="1">
        <f>DATE(2012,3,10)</f>
        <v>40978</v>
      </c>
      <c r="B1538" t="s">
        <v>17</v>
      </c>
      <c r="C1538" t="s">
        <v>9</v>
      </c>
      <c r="D1538" s="3">
        <v>410.85</v>
      </c>
      <c r="E1538" s="3">
        <v>0</v>
      </c>
      <c r="F1538" t="s">
        <v>45</v>
      </c>
      <c r="G1538" s="3">
        <f t="shared" ref="G1538:G1601" si="184">E1538-D1538</f>
        <v>-410.85</v>
      </c>
      <c r="H1538" s="3">
        <f t="shared" ref="H1538:H1601" si="185">ABS(G1538)</f>
        <v>410.85</v>
      </c>
      <c r="I1538" s="5" t="str">
        <f t="shared" ref="I1538:I1601" si="186">MID(B1538,1,3)</f>
        <v>017</v>
      </c>
      <c r="J1538" s="5" t="str">
        <f t="shared" ref="J1538:J1601" si="187">MID(B1538,5,4)</f>
        <v>2220</v>
      </c>
      <c r="K1538" s="5" t="str">
        <f t="shared" ref="K1538:K1601" si="188">MID(B1538,10,3)</f>
        <v>000</v>
      </c>
      <c r="L1538" s="5">
        <f t="shared" ref="L1538:L1601" si="189">MONTH(A1538)</f>
        <v>3</v>
      </c>
      <c r="M1538" s="5">
        <f t="shared" ref="M1538:M1601" si="190">YEAR(A1538)</f>
        <v>2012</v>
      </c>
    </row>
    <row r="1539" spans="1:13" ht="17.45" customHeight="1" x14ac:dyDescent="0.25">
      <c r="A1539" s="1">
        <f>DATE(2012,3,10)</f>
        <v>40978</v>
      </c>
      <c r="B1539" t="s">
        <v>18</v>
      </c>
      <c r="C1539" t="s">
        <v>10</v>
      </c>
      <c r="D1539" s="3">
        <v>90.649999999999991</v>
      </c>
      <c r="E1539" s="3">
        <v>0</v>
      </c>
      <c r="F1539" t="s">
        <v>45</v>
      </c>
      <c r="G1539" s="3">
        <f t="shared" si="184"/>
        <v>-90.649999999999991</v>
      </c>
      <c r="H1539" s="3">
        <f t="shared" si="185"/>
        <v>90.649999999999991</v>
      </c>
      <c r="I1539" s="5" t="str">
        <f t="shared" si="186"/>
        <v>017</v>
      </c>
      <c r="J1539" s="5" t="str">
        <f t="shared" si="187"/>
        <v>2230</v>
      </c>
      <c r="K1539" s="5" t="str">
        <f t="shared" si="188"/>
        <v>000</v>
      </c>
      <c r="L1539" s="5">
        <f t="shared" si="189"/>
        <v>3</v>
      </c>
      <c r="M1539" s="5">
        <f t="shared" si="190"/>
        <v>2012</v>
      </c>
    </row>
    <row r="1540" spans="1:13" ht="17.45" customHeight="1" x14ac:dyDescent="0.25">
      <c r="A1540" s="1">
        <f>DATE(2012,3,11)</f>
        <v>40979</v>
      </c>
      <c r="B1540" t="s">
        <v>15</v>
      </c>
      <c r="C1540" t="s">
        <v>6</v>
      </c>
      <c r="D1540" s="3">
        <v>6178.0136000000002</v>
      </c>
      <c r="E1540" s="3">
        <v>0</v>
      </c>
      <c r="F1540" t="s">
        <v>45</v>
      </c>
      <c r="G1540" s="3">
        <f t="shared" si="184"/>
        <v>-6178.0136000000002</v>
      </c>
      <c r="H1540" s="3">
        <f t="shared" si="185"/>
        <v>6178.0136000000002</v>
      </c>
      <c r="I1540" s="5" t="str">
        <f t="shared" si="186"/>
        <v>017</v>
      </c>
      <c r="J1540" s="5" t="str">
        <f t="shared" si="187"/>
        <v>2100</v>
      </c>
      <c r="K1540" s="5" t="str">
        <f t="shared" si="188"/>
        <v>000</v>
      </c>
      <c r="L1540" s="5">
        <f t="shared" si="189"/>
        <v>3</v>
      </c>
      <c r="M1540" s="5">
        <f t="shared" si="190"/>
        <v>2012</v>
      </c>
    </row>
    <row r="1541" spans="1:13" ht="17.45" customHeight="1" x14ac:dyDescent="0.25">
      <c r="A1541" s="1">
        <f>DATE(2012,3,11)</f>
        <v>40979</v>
      </c>
      <c r="B1541" t="s">
        <v>16</v>
      </c>
      <c r="C1541" t="s">
        <v>8</v>
      </c>
      <c r="D1541" s="3">
        <v>870.24000000000012</v>
      </c>
      <c r="E1541" s="3">
        <v>0</v>
      </c>
      <c r="F1541" t="s">
        <v>45</v>
      </c>
      <c r="G1541" s="3">
        <f t="shared" si="184"/>
        <v>-870.24000000000012</v>
      </c>
      <c r="H1541" s="3">
        <f t="shared" si="185"/>
        <v>870.24000000000012</v>
      </c>
      <c r="I1541" s="5" t="str">
        <f t="shared" si="186"/>
        <v>017</v>
      </c>
      <c r="J1541" s="5" t="str">
        <f t="shared" si="187"/>
        <v>2210</v>
      </c>
      <c r="K1541" s="5" t="str">
        <f t="shared" si="188"/>
        <v>000</v>
      </c>
      <c r="L1541" s="5">
        <f t="shared" si="189"/>
        <v>3</v>
      </c>
      <c r="M1541" s="5">
        <f t="shared" si="190"/>
        <v>2012</v>
      </c>
    </row>
    <row r="1542" spans="1:13" ht="17.45" customHeight="1" x14ac:dyDescent="0.25">
      <c r="A1542" s="1">
        <f>DATE(2012,3,11)</f>
        <v>40979</v>
      </c>
      <c r="B1542" t="s">
        <v>17</v>
      </c>
      <c r="C1542" t="s">
        <v>9</v>
      </c>
      <c r="D1542" s="3">
        <v>197.56</v>
      </c>
      <c r="E1542" s="3">
        <v>0</v>
      </c>
      <c r="F1542" t="s">
        <v>45</v>
      </c>
      <c r="G1542" s="3">
        <f t="shared" si="184"/>
        <v>-197.56</v>
      </c>
      <c r="H1542" s="3">
        <f t="shared" si="185"/>
        <v>197.56</v>
      </c>
      <c r="I1542" s="5" t="str">
        <f t="shared" si="186"/>
        <v>017</v>
      </c>
      <c r="J1542" s="5" t="str">
        <f t="shared" si="187"/>
        <v>2220</v>
      </c>
      <c r="K1542" s="5" t="str">
        <f t="shared" si="188"/>
        <v>000</v>
      </c>
      <c r="L1542" s="5">
        <f t="shared" si="189"/>
        <v>3</v>
      </c>
      <c r="M1542" s="5">
        <f t="shared" si="190"/>
        <v>2012</v>
      </c>
    </row>
    <row r="1543" spans="1:13" ht="17.45" customHeight="1" x14ac:dyDescent="0.25">
      <c r="A1543" s="1">
        <f>DATE(2012,3,11)</f>
        <v>40979</v>
      </c>
      <c r="B1543" t="s">
        <v>18</v>
      </c>
      <c r="C1543" t="s">
        <v>10</v>
      </c>
      <c r="D1543" s="3">
        <v>59.84</v>
      </c>
      <c r="E1543" s="3">
        <v>0</v>
      </c>
      <c r="F1543" t="s">
        <v>45</v>
      </c>
      <c r="G1543" s="3">
        <f t="shared" si="184"/>
        <v>-59.84</v>
      </c>
      <c r="H1543" s="3">
        <f t="shared" si="185"/>
        <v>59.84</v>
      </c>
      <c r="I1543" s="5" t="str">
        <f t="shared" si="186"/>
        <v>017</v>
      </c>
      <c r="J1543" s="5" t="str">
        <f t="shared" si="187"/>
        <v>2230</v>
      </c>
      <c r="K1543" s="5" t="str">
        <f t="shared" si="188"/>
        <v>000</v>
      </c>
      <c r="L1543" s="5">
        <f t="shared" si="189"/>
        <v>3</v>
      </c>
      <c r="M1543" s="5">
        <f t="shared" si="190"/>
        <v>2012</v>
      </c>
    </row>
    <row r="1544" spans="1:13" ht="17.45" customHeight="1" x14ac:dyDescent="0.25">
      <c r="A1544" s="1">
        <f>DATE(2012,3,5)</f>
        <v>40973</v>
      </c>
      <c r="B1544" t="s">
        <v>19</v>
      </c>
      <c r="C1544" t="s">
        <v>6</v>
      </c>
      <c r="D1544" s="3">
        <v>1698.0425</v>
      </c>
      <c r="E1544" s="3">
        <v>0</v>
      </c>
      <c r="F1544" t="s">
        <v>45</v>
      </c>
      <c r="G1544" s="3">
        <f t="shared" si="184"/>
        <v>-1698.0425</v>
      </c>
      <c r="H1544" s="3">
        <f t="shared" si="185"/>
        <v>1698.0425</v>
      </c>
      <c r="I1544" s="5" t="str">
        <f t="shared" si="186"/>
        <v>018</v>
      </c>
      <c r="J1544" s="5" t="str">
        <f t="shared" si="187"/>
        <v>2100</v>
      </c>
      <c r="K1544" s="5" t="str">
        <f t="shared" si="188"/>
        <v>000</v>
      </c>
      <c r="L1544" s="5">
        <f t="shared" si="189"/>
        <v>3</v>
      </c>
      <c r="M1544" s="5">
        <f t="shared" si="190"/>
        <v>2012</v>
      </c>
    </row>
    <row r="1545" spans="1:13" ht="17.45" customHeight="1" x14ac:dyDescent="0.25">
      <c r="A1545" s="1">
        <f>DATE(2012,3,5)</f>
        <v>40973</v>
      </c>
      <c r="B1545" t="s">
        <v>20</v>
      </c>
      <c r="C1545" t="s">
        <v>8</v>
      </c>
      <c r="D1545" s="3">
        <v>213.63600000000002</v>
      </c>
      <c r="E1545" s="3">
        <v>0</v>
      </c>
      <c r="F1545" t="s">
        <v>45</v>
      </c>
      <c r="G1545" s="3">
        <f t="shared" si="184"/>
        <v>-213.63600000000002</v>
      </c>
      <c r="H1545" s="3">
        <f t="shared" si="185"/>
        <v>213.63600000000002</v>
      </c>
      <c r="I1545" s="5" t="str">
        <f t="shared" si="186"/>
        <v>018</v>
      </c>
      <c r="J1545" s="5" t="str">
        <f t="shared" si="187"/>
        <v>2210</v>
      </c>
      <c r="K1545" s="5" t="str">
        <f t="shared" si="188"/>
        <v>000</v>
      </c>
      <c r="L1545" s="5">
        <f t="shared" si="189"/>
        <v>3</v>
      </c>
      <c r="M1545" s="5">
        <f t="shared" si="190"/>
        <v>2012</v>
      </c>
    </row>
    <row r="1546" spans="1:13" ht="17.45" customHeight="1" x14ac:dyDescent="0.25">
      <c r="A1546" s="1">
        <f>DATE(2012,3,5)</f>
        <v>40973</v>
      </c>
      <c r="B1546" t="s">
        <v>21</v>
      </c>
      <c r="C1546" t="s">
        <v>9</v>
      </c>
      <c r="D1546" s="3">
        <v>53.889499999999998</v>
      </c>
      <c r="E1546" s="3">
        <v>0</v>
      </c>
      <c r="F1546" t="s">
        <v>45</v>
      </c>
      <c r="G1546" s="3">
        <f t="shared" si="184"/>
        <v>-53.889499999999998</v>
      </c>
      <c r="H1546" s="3">
        <f t="shared" si="185"/>
        <v>53.889499999999998</v>
      </c>
      <c r="I1546" s="5" t="str">
        <f t="shared" si="186"/>
        <v>018</v>
      </c>
      <c r="J1546" s="5" t="str">
        <f t="shared" si="187"/>
        <v>2220</v>
      </c>
      <c r="K1546" s="5" t="str">
        <f t="shared" si="188"/>
        <v>000</v>
      </c>
      <c r="L1546" s="5">
        <f t="shared" si="189"/>
        <v>3</v>
      </c>
      <c r="M1546" s="5">
        <f t="shared" si="190"/>
        <v>2012</v>
      </c>
    </row>
    <row r="1547" spans="1:13" ht="17.45" customHeight="1" x14ac:dyDescent="0.25">
      <c r="A1547" s="1">
        <f>DATE(2012,3,5)</f>
        <v>40973</v>
      </c>
      <c r="B1547" t="s">
        <v>22</v>
      </c>
      <c r="C1547" t="s">
        <v>10</v>
      </c>
      <c r="D1547" s="3">
        <v>5.6980000000000004</v>
      </c>
      <c r="E1547" s="3">
        <v>0</v>
      </c>
      <c r="F1547" t="s">
        <v>45</v>
      </c>
      <c r="G1547" s="3">
        <f t="shared" si="184"/>
        <v>-5.6980000000000004</v>
      </c>
      <c r="H1547" s="3">
        <f t="shared" si="185"/>
        <v>5.6980000000000004</v>
      </c>
      <c r="I1547" s="5" t="str">
        <f t="shared" si="186"/>
        <v>018</v>
      </c>
      <c r="J1547" s="5" t="str">
        <f t="shared" si="187"/>
        <v>2230</v>
      </c>
      <c r="K1547" s="5" t="str">
        <f t="shared" si="188"/>
        <v>000</v>
      </c>
      <c r="L1547" s="5">
        <f t="shared" si="189"/>
        <v>3</v>
      </c>
      <c r="M1547" s="5">
        <f t="shared" si="190"/>
        <v>2012</v>
      </c>
    </row>
    <row r="1548" spans="1:13" ht="17.45" customHeight="1" x14ac:dyDescent="0.25">
      <c r="A1548" s="1">
        <f>DATE(2012,3,6)</f>
        <v>40974</v>
      </c>
      <c r="B1548" t="s">
        <v>19</v>
      </c>
      <c r="C1548" t="s">
        <v>6</v>
      </c>
      <c r="D1548" s="3">
        <v>4773.7079999999996</v>
      </c>
      <c r="E1548" s="3">
        <v>0</v>
      </c>
      <c r="F1548" t="s">
        <v>45</v>
      </c>
      <c r="G1548" s="3">
        <f t="shared" si="184"/>
        <v>-4773.7079999999996</v>
      </c>
      <c r="H1548" s="3">
        <f t="shared" si="185"/>
        <v>4773.7079999999996</v>
      </c>
      <c r="I1548" s="5" t="str">
        <f t="shared" si="186"/>
        <v>018</v>
      </c>
      <c r="J1548" s="5" t="str">
        <f t="shared" si="187"/>
        <v>2100</v>
      </c>
      <c r="K1548" s="5" t="str">
        <f t="shared" si="188"/>
        <v>000</v>
      </c>
      <c r="L1548" s="5">
        <f t="shared" si="189"/>
        <v>3</v>
      </c>
      <c r="M1548" s="5">
        <f t="shared" si="190"/>
        <v>2012</v>
      </c>
    </row>
    <row r="1549" spans="1:13" ht="17.45" customHeight="1" x14ac:dyDescent="0.25">
      <c r="A1549" s="1">
        <f>DATE(2012,3,6)</f>
        <v>40974</v>
      </c>
      <c r="B1549" t="s">
        <v>20</v>
      </c>
      <c r="C1549" t="s">
        <v>8</v>
      </c>
      <c r="D1549" s="3">
        <v>616.93799999999999</v>
      </c>
      <c r="E1549" s="3">
        <v>0</v>
      </c>
      <c r="F1549" t="s">
        <v>45</v>
      </c>
      <c r="G1549" s="3">
        <f t="shared" si="184"/>
        <v>-616.93799999999999</v>
      </c>
      <c r="H1549" s="3">
        <f t="shared" si="185"/>
        <v>616.93799999999999</v>
      </c>
      <c r="I1549" s="5" t="str">
        <f t="shared" si="186"/>
        <v>018</v>
      </c>
      <c r="J1549" s="5" t="str">
        <f t="shared" si="187"/>
        <v>2210</v>
      </c>
      <c r="K1549" s="5" t="str">
        <f t="shared" si="188"/>
        <v>000</v>
      </c>
      <c r="L1549" s="5">
        <f t="shared" si="189"/>
        <v>3</v>
      </c>
      <c r="M1549" s="5">
        <f t="shared" si="190"/>
        <v>2012</v>
      </c>
    </row>
    <row r="1550" spans="1:13" ht="17.45" customHeight="1" x14ac:dyDescent="0.25">
      <c r="A1550" s="1">
        <f>DATE(2012,3,6)</f>
        <v>40974</v>
      </c>
      <c r="B1550" t="s">
        <v>21</v>
      </c>
      <c r="C1550" t="s">
        <v>9</v>
      </c>
      <c r="D1550" s="3">
        <v>157.815</v>
      </c>
      <c r="E1550" s="3">
        <v>0</v>
      </c>
      <c r="F1550" t="s">
        <v>45</v>
      </c>
      <c r="G1550" s="3">
        <f t="shared" si="184"/>
        <v>-157.815</v>
      </c>
      <c r="H1550" s="3">
        <f t="shared" si="185"/>
        <v>157.815</v>
      </c>
      <c r="I1550" s="5" t="str">
        <f t="shared" si="186"/>
        <v>018</v>
      </c>
      <c r="J1550" s="5" t="str">
        <f t="shared" si="187"/>
        <v>2220</v>
      </c>
      <c r="K1550" s="5" t="str">
        <f t="shared" si="188"/>
        <v>000</v>
      </c>
      <c r="L1550" s="5">
        <f t="shared" si="189"/>
        <v>3</v>
      </c>
      <c r="M1550" s="5">
        <f t="shared" si="190"/>
        <v>2012</v>
      </c>
    </row>
    <row r="1551" spans="1:13" ht="17.45" customHeight="1" x14ac:dyDescent="0.25">
      <c r="A1551" s="1">
        <f>DATE(2012,3,6)</f>
        <v>40974</v>
      </c>
      <c r="B1551" t="s">
        <v>22</v>
      </c>
      <c r="C1551" t="s">
        <v>10</v>
      </c>
      <c r="D1551" s="3">
        <v>133.755</v>
      </c>
      <c r="E1551" s="3">
        <v>0</v>
      </c>
      <c r="F1551" t="s">
        <v>45</v>
      </c>
      <c r="G1551" s="3">
        <f t="shared" si="184"/>
        <v>-133.755</v>
      </c>
      <c r="H1551" s="3">
        <f t="shared" si="185"/>
        <v>133.755</v>
      </c>
      <c r="I1551" s="5" t="str">
        <f t="shared" si="186"/>
        <v>018</v>
      </c>
      <c r="J1551" s="5" t="str">
        <f t="shared" si="187"/>
        <v>2230</v>
      </c>
      <c r="K1551" s="5" t="str">
        <f t="shared" si="188"/>
        <v>000</v>
      </c>
      <c r="L1551" s="5">
        <f t="shared" si="189"/>
        <v>3</v>
      </c>
      <c r="M1551" s="5">
        <f t="shared" si="190"/>
        <v>2012</v>
      </c>
    </row>
    <row r="1552" spans="1:13" ht="17.45" customHeight="1" x14ac:dyDescent="0.25">
      <c r="A1552" s="1">
        <f>DATE(2012,3,7)</f>
        <v>40975</v>
      </c>
      <c r="B1552" t="s">
        <v>19</v>
      </c>
      <c r="C1552" t="s">
        <v>6</v>
      </c>
      <c r="D1552" s="3">
        <v>3620.7059999999997</v>
      </c>
      <c r="E1552" s="3">
        <v>0</v>
      </c>
      <c r="F1552" t="s">
        <v>45</v>
      </c>
      <c r="G1552" s="3">
        <f t="shared" si="184"/>
        <v>-3620.7059999999997</v>
      </c>
      <c r="H1552" s="3">
        <f t="shared" si="185"/>
        <v>3620.7059999999997</v>
      </c>
      <c r="I1552" s="5" t="str">
        <f t="shared" si="186"/>
        <v>018</v>
      </c>
      <c r="J1552" s="5" t="str">
        <f t="shared" si="187"/>
        <v>2100</v>
      </c>
      <c r="K1552" s="5" t="str">
        <f t="shared" si="188"/>
        <v>000</v>
      </c>
      <c r="L1552" s="5">
        <f t="shared" si="189"/>
        <v>3</v>
      </c>
      <c r="M1552" s="5">
        <f t="shared" si="190"/>
        <v>2012</v>
      </c>
    </row>
    <row r="1553" spans="1:13" ht="17.45" customHeight="1" x14ac:dyDescent="0.25">
      <c r="A1553" s="1">
        <f>DATE(2012,3,7)</f>
        <v>40975</v>
      </c>
      <c r="B1553" t="s">
        <v>20</v>
      </c>
      <c r="C1553" t="s">
        <v>8</v>
      </c>
      <c r="D1553" s="3">
        <v>570.70200000000011</v>
      </c>
      <c r="E1553" s="3">
        <v>0</v>
      </c>
      <c r="F1553" t="s">
        <v>45</v>
      </c>
      <c r="G1553" s="3">
        <f t="shared" si="184"/>
        <v>-570.70200000000011</v>
      </c>
      <c r="H1553" s="3">
        <f t="shared" si="185"/>
        <v>570.70200000000011</v>
      </c>
      <c r="I1553" s="5" t="str">
        <f t="shared" si="186"/>
        <v>018</v>
      </c>
      <c r="J1553" s="5" t="str">
        <f t="shared" si="187"/>
        <v>2210</v>
      </c>
      <c r="K1553" s="5" t="str">
        <f t="shared" si="188"/>
        <v>000</v>
      </c>
      <c r="L1553" s="5">
        <f t="shared" si="189"/>
        <v>3</v>
      </c>
      <c r="M1553" s="5">
        <f t="shared" si="190"/>
        <v>2012</v>
      </c>
    </row>
    <row r="1554" spans="1:13" ht="17.45" customHeight="1" x14ac:dyDescent="0.25">
      <c r="A1554" s="1">
        <f>DATE(2012,3,7)</f>
        <v>40975</v>
      </c>
      <c r="B1554" t="s">
        <v>21</v>
      </c>
      <c r="C1554" t="s">
        <v>9</v>
      </c>
      <c r="D1554" s="3">
        <v>98.423999999999992</v>
      </c>
      <c r="E1554" s="3">
        <v>0</v>
      </c>
      <c r="F1554" t="s">
        <v>45</v>
      </c>
      <c r="G1554" s="3">
        <f t="shared" si="184"/>
        <v>-98.423999999999992</v>
      </c>
      <c r="H1554" s="3">
        <f t="shared" si="185"/>
        <v>98.423999999999992</v>
      </c>
      <c r="I1554" s="5" t="str">
        <f t="shared" si="186"/>
        <v>018</v>
      </c>
      <c r="J1554" s="5" t="str">
        <f t="shared" si="187"/>
        <v>2220</v>
      </c>
      <c r="K1554" s="5" t="str">
        <f t="shared" si="188"/>
        <v>000</v>
      </c>
      <c r="L1554" s="5">
        <f t="shared" si="189"/>
        <v>3</v>
      </c>
      <c r="M1554" s="5">
        <f t="shared" si="190"/>
        <v>2012</v>
      </c>
    </row>
    <row r="1555" spans="1:13" ht="17.45" customHeight="1" x14ac:dyDescent="0.25">
      <c r="A1555" s="1">
        <f>DATE(2012,3,7)</f>
        <v>40975</v>
      </c>
      <c r="B1555" t="s">
        <v>22</v>
      </c>
      <c r="C1555" t="s">
        <v>10</v>
      </c>
      <c r="D1555" s="3">
        <v>77</v>
      </c>
      <c r="E1555" s="3">
        <v>0</v>
      </c>
      <c r="F1555" t="s">
        <v>45</v>
      </c>
      <c r="G1555" s="3">
        <f t="shared" si="184"/>
        <v>-77</v>
      </c>
      <c r="H1555" s="3">
        <f t="shared" si="185"/>
        <v>77</v>
      </c>
      <c r="I1555" s="5" t="str">
        <f t="shared" si="186"/>
        <v>018</v>
      </c>
      <c r="J1555" s="5" t="str">
        <f t="shared" si="187"/>
        <v>2230</v>
      </c>
      <c r="K1555" s="5" t="str">
        <f t="shared" si="188"/>
        <v>000</v>
      </c>
      <c r="L1555" s="5">
        <f t="shared" si="189"/>
        <v>3</v>
      </c>
      <c r="M1555" s="5">
        <f t="shared" si="190"/>
        <v>2012</v>
      </c>
    </row>
    <row r="1556" spans="1:13" ht="17.45" customHeight="1" x14ac:dyDescent="0.25">
      <c r="A1556" s="1">
        <f>DATE(2012,3,8)</f>
        <v>40976</v>
      </c>
      <c r="B1556" t="s">
        <v>19</v>
      </c>
      <c r="C1556" t="s">
        <v>6</v>
      </c>
      <c r="D1556" s="3">
        <v>5898.6608999999999</v>
      </c>
      <c r="E1556" s="3">
        <v>0</v>
      </c>
      <c r="F1556" t="s">
        <v>45</v>
      </c>
      <c r="G1556" s="3">
        <f t="shared" si="184"/>
        <v>-5898.6608999999999</v>
      </c>
      <c r="H1556" s="3">
        <f t="shared" si="185"/>
        <v>5898.6608999999999</v>
      </c>
      <c r="I1556" s="5" t="str">
        <f t="shared" si="186"/>
        <v>018</v>
      </c>
      <c r="J1556" s="5" t="str">
        <f t="shared" si="187"/>
        <v>2100</v>
      </c>
      <c r="K1556" s="5" t="str">
        <f t="shared" si="188"/>
        <v>000</v>
      </c>
      <c r="L1556" s="5">
        <f t="shared" si="189"/>
        <v>3</v>
      </c>
      <c r="M1556" s="5">
        <f t="shared" si="190"/>
        <v>2012</v>
      </c>
    </row>
    <row r="1557" spans="1:13" ht="17.45" customHeight="1" x14ac:dyDescent="0.25">
      <c r="A1557" s="1">
        <f>DATE(2012,3,8)</f>
        <v>40976</v>
      </c>
      <c r="B1557" t="s">
        <v>20</v>
      </c>
      <c r="C1557" t="s">
        <v>8</v>
      </c>
      <c r="D1557" s="3">
        <v>846.09</v>
      </c>
      <c r="E1557" s="3">
        <v>0</v>
      </c>
      <c r="F1557" t="s">
        <v>45</v>
      </c>
      <c r="G1557" s="3">
        <f t="shared" si="184"/>
        <v>-846.09</v>
      </c>
      <c r="H1557" s="3">
        <f t="shared" si="185"/>
        <v>846.09</v>
      </c>
      <c r="I1557" s="5" t="str">
        <f t="shared" si="186"/>
        <v>018</v>
      </c>
      <c r="J1557" s="5" t="str">
        <f t="shared" si="187"/>
        <v>2210</v>
      </c>
      <c r="K1557" s="5" t="str">
        <f t="shared" si="188"/>
        <v>000</v>
      </c>
      <c r="L1557" s="5">
        <f t="shared" si="189"/>
        <v>3</v>
      </c>
      <c r="M1557" s="5">
        <f t="shared" si="190"/>
        <v>2012</v>
      </c>
    </row>
    <row r="1558" spans="1:13" ht="17.45" customHeight="1" x14ac:dyDescent="0.25">
      <c r="A1558" s="1">
        <f>DATE(2012,3,8)</f>
        <v>40976</v>
      </c>
      <c r="B1558" t="s">
        <v>21</v>
      </c>
      <c r="C1558" t="s">
        <v>9</v>
      </c>
      <c r="D1558" s="3">
        <v>235.52250000000001</v>
      </c>
      <c r="E1558" s="3">
        <v>0</v>
      </c>
      <c r="F1558" t="s">
        <v>45</v>
      </c>
      <c r="G1558" s="3">
        <f t="shared" si="184"/>
        <v>-235.52250000000001</v>
      </c>
      <c r="H1558" s="3">
        <f t="shared" si="185"/>
        <v>235.52250000000001</v>
      </c>
      <c r="I1558" s="5" t="str">
        <f t="shared" si="186"/>
        <v>018</v>
      </c>
      <c r="J1558" s="5" t="str">
        <f t="shared" si="187"/>
        <v>2220</v>
      </c>
      <c r="K1558" s="5" t="str">
        <f t="shared" si="188"/>
        <v>000</v>
      </c>
      <c r="L1558" s="5">
        <f t="shared" si="189"/>
        <v>3</v>
      </c>
      <c r="M1558" s="5">
        <f t="shared" si="190"/>
        <v>2012</v>
      </c>
    </row>
    <row r="1559" spans="1:13" ht="17.45" customHeight="1" x14ac:dyDescent="0.25">
      <c r="A1559" s="1">
        <f>DATE(2012,3,8)</f>
        <v>40976</v>
      </c>
      <c r="B1559" t="s">
        <v>22</v>
      </c>
      <c r="C1559" t="s">
        <v>10</v>
      </c>
      <c r="D1559" s="3">
        <v>60.509999999999991</v>
      </c>
      <c r="E1559" s="3">
        <v>0</v>
      </c>
      <c r="F1559" t="s">
        <v>45</v>
      </c>
      <c r="G1559" s="3">
        <f t="shared" si="184"/>
        <v>-60.509999999999991</v>
      </c>
      <c r="H1559" s="3">
        <f t="shared" si="185"/>
        <v>60.509999999999991</v>
      </c>
      <c r="I1559" s="5" t="str">
        <f t="shared" si="186"/>
        <v>018</v>
      </c>
      <c r="J1559" s="5" t="str">
        <f t="shared" si="187"/>
        <v>2230</v>
      </c>
      <c r="K1559" s="5" t="str">
        <f t="shared" si="188"/>
        <v>000</v>
      </c>
      <c r="L1559" s="5">
        <f t="shared" si="189"/>
        <v>3</v>
      </c>
      <c r="M1559" s="5">
        <f t="shared" si="190"/>
        <v>2012</v>
      </c>
    </row>
    <row r="1560" spans="1:13" ht="17.45" customHeight="1" x14ac:dyDescent="0.25">
      <c r="A1560" s="1">
        <f>DATE(2012,3,9)</f>
        <v>40977</v>
      </c>
      <c r="B1560" t="s">
        <v>19</v>
      </c>
      <c r="C1560" t="s">
        <v>6</v>
      </c>
      <c r="D1560" s="3">
        <v>7956.3705</v>
      </c>
      <c r="E1560" s="3">
        <v>0</v>
      </c>
      <c r="F1560" t="s">
        <v>45</v>
      </c>
      <c r="G1560" s="3">
        <f t="shared" si="184"/>
        <v>-7956.3705</v>
      </c>
      <c r="H1560" s="3">
        <f t="shared" si="185"/>
        <v>7956.3705</v>
      </c>
      <c r="I1560" s="5" t="str">
        <f t="shared" si="186"/>
        <v>018</v>
      </c>
      <c r="J1560" s="5" t="str">
        <f t="shared" si="187"/>
        <v>2100</v>
      </c>
      <c r="K1560" s="5" t="str">
        <f t="shared" si="188"/>
        <v>000</v>
      </c>
      <c r="L1560" s="5">
        <f t="shared" si="189"/>
        <v>3</v>
      </c>
      <c r="M1560" s="5">
        <f t="shared" si="190"/>
        <v>2012</v>
      </c>
    </row>
    <row r="1561" spans="1:13" ht="17.45" customHeight="1" x14ac:dyDescent="0.25">
      <c r="A1561" s="1">
        <f>DATE(2012,3,9)</f>
        <v>40977</v>
      </c>
      <c r="B1561" t="s">
        <v>20</v>
      </c>
      <c r="C1561" t="s">
        <v>8</v>
      </c>
      <c r="D1561" s="3">
        <v>3228.9075000000003</v>
      </c>
      <c r="E1561" s="3">
        <v>0</v>
      </c>
      <c r="F1561" t="s">
        <v>45</v>
      </c>
      <c r="G1561" s="3">
        <f t="shared" si="184"/>
        <v>-3228.9075000000003</v>
      </c>
      <c r="H1561" s="3">
        <f t="shared" si="185"/>
        <v>3228.9075000000003</v>
      </c>
      <c r="I1561" s="5" t="str">
        <f t="shared" si="186"/>
        <v>018</v>
      </c>
      <c r="J1561" s="5" t="str">
        <f t="shared" si="187"/>
        <v>2210</v>
      </c>
      <c r="K1561" s="5" t="str">
        <f t="shared" si="188"/>
        <v>000</v>
      </c>
      <c r="L1561" s="5">
        <f t="shared" si="189"/>
        <v>3</v>
      </c>
      <c r="M1561" s="5">
        <f t="shared" si="190"/>
        <v>2012</v>
      </c>
    </row>
    <row r="1562" spans="1:13" ht="17.45" customHeight="1" x14ac:dyDescent="0.25">
      <c r="A1562" s="1">
        <f>DATE(2012,3,9)</f>
        <v>40977</v>
      </c>
      <c r="B1562" t="s">
        <v>21</v>
      </c>
      <c r="C1562" t="s">
        <v>9</v>
      </c>
      <c r="D1562" s="3">
        <v>669.39600000000007</v>
      </c>
      <c r="E1562" s="3">
        <v>0</v>
      </c>
      <c r="F1562" t="s">
        <v>45</v>
      </c>
      <c r="G1562" s="3">
        <f t="shared" si="184"/>
        <v>-669.39600000000007</v>
      </c>
      <c r="H1562" s="3">
        <f t="shared" si="185"/>
        <v>669.39600000000007</v>
      </c>
      <c r="I1562" s="5" t="str">
        <f t="shared" si="186"/>
        <v>018</v>
      </c>
      <c r="J1562" s="5" t="str">
        <f t="shared" si="187"/>
        <v>2220</v>
      </c>
      <c r="K1562" s="5" t="str">
        <f t="shared" si="188"/>
        <v>000</v>
      </c>
      <c r="L1562" s="5">
        <f t="shared" si="189"/>
        <v>3</v>
      </c>
      <c r="M1562" s="5">
        <f t="shared" si="190"/>
        <v>2012</v>
      </c>
    </row>
    <row r="1563" spans="1:13" ht="17.45" customHeight="1" x14ac:dyDescent="0.25">
      <c r="A1563" s="1">
        <f>DATE(2012,3,9)</f>
        <v>40977</v>
      </c>
      <c r="B1563" t="s">
        <v>22</v>
      </c>
      <c r="C1563" t="s">
        <v>10</v>
      </c>
      <c r="D1563" s="3">
        <v>158.73000000000002</v>
      </c>
      <c r="E1563" s="3">
        <v>0</v>
      </c>
      <c r="F1563" t="s">
        <v>45</v>
      </c>
      <c r="G1563" s="3">
        <f t="shared" si="184"/>
        <v>-158.73000000000002</v>
      </c>
      <c r="H1563" s="3">
        <f t="shared" si="185"/>
        <v>158.73000000000002</v>
      </c>
      <c r="I1563" s="5" t="str">
        <f t="shared" si="186"/>
        <v>018</v>
      </c>
      <c r="J1563" s="5" t="str">
        <f t="shared" si="187"/>
        <v>2230</v>
      </c>
      <c r="K1563" s="5" t="str">
        <f t="shared" si="188"/>
        <v>000</v>
      </c>
      <c r="L1563" s="5">
        <f t="shared" si="189"/>
        <v>3</v>
      </c>
      <c r="M1563" s="5">
        <f t="shared" si="190"/>
        <v>2012</v>
      </c>
    </row>
    <row r="1564" spans="1:13" ht="17.45" customHeight="1" x14ac:dyDescent="0.25">
      <c r="A1564" s="1">
        <f>DATE(2012,3,10)</f>
        <v>40978</v>
      </c>
      <c r="B1564" t="s">
        <v>19</v>
      </c>
      <c r="C1564" t="s">
        <v>6</v>
      </c>
      <c r="D1564" s="3">
        <v>15395.248</v>
      </c>
      <c r="E1564" s="3">
        <v>0</v>
      </c>
      <c r="F1564" t="s">
        <v>45</v>
      </c>
      <c r="G1564" s="3">
        <f t="shared" si="184"/>
        <v>-15395.248</v>
      </c>
      <c r="H1564" s="3">
        <f t="shared" si="185"/>
        <v>15395.248</v>
      </c>
      <c r="I1564" s="5" t="str">
        <f t="shared" si="186"/>
        <v>018</v>
      </c>
      <c r="J1564" s="5" t="str">
        <f t="shared" si="187"/>
        <v>2100</v>
      </c>
      <c r="K1564" s="5" t="str">
        <f t="shared" si="188"/>
        <v>000</v>
      </c>
      <c r="L1564" s="5">
        <f t="shared" si="189"/>
        <v>3</v>
      </c>
      <c r="M1564" s="5">
        <f t="shared" si="190"/>
        <v>2012</v>
      </c>
    </row>
    <row r="1565" spans="1:13" ht="17.45" customHeight="1" x14ac:dyDescent="0.25">
      <c r="A1565" s="1">
        <f>DATE(2012,3,10)</f>
        <v>40978</v>
      </c>
      <c r="B1565" t="s">
        <v>20</v>
      </c>
      <c r="C1565" t="s">
        <v>8</v>
      </c>
      <c r="D1565" s="3">
        <v>4536.2974999999997</v>
      </c>
      <c r="E1565" s="3">
        <v>0</v>
      </c>
      <c r="F1565" t="s">
        <v>45</v>
      </c>
      <c r="G1565" s="3">
        <f t="shared" si="184"/>
        <v>-4536.2974999999997</v>
      </c>
      <c r="H1565" s="3">
        <f t="shared" si="185"/>
        <v>4536.2974999999997</v>
      </c>
      <c r="I1565" s="5" t="str">
        <f t="shared" si="186"/>
        <v>018</v>
      </c>
      <c r="J1565" s="5" t="str">
        <f t="shared" si="187"/>
        <v>2210</v>
      </c>
      <c r="K1565" s="5" t="str">
        <f t="shared" si="188"/>
        <v>000</v>
      </c>
      <c r="L1565" s="5">
        <f t="shared" si="189"/>
        <v>3</v>
      </c>
      <c r="M1565" s="5">
        <f t="shared" si="190"/>
        <v>2012</v>
      </c>
    </row>
    <row r="1566" spans="1:13" ht="17.45" customHeight="1" x14ac:dyDescent="0.25">
      <c r="A1566" s="1">
        <f>DATE(2012,3,10)</f>
        <v>40978</v>
      </c>
      <c r="B1566" t="s">
        <v>21</v>
      </c>
      <c r="C1566" t="s">
        <v>9</v>
      </c>
      <c r="D1566" s="3">
        <v>606.41100000000006</v>
      </c>
      <c r="E1566" s="3">
        <v>0</v>
      </c>
      <c r="F1566" t="s">
        <v>45</v>
      </c>
      <c r="G1566" s="3">
        <f t="shared" si="184"/>
        <v>-606.41100000000006</v>
      </c>
      <c r="H1566" s="3">
        <f t="shared" si="185"/>
        <v>606.41100000000006</v>
      </c>
      <c r="I1566" s="5" t="str">
        <f t="shared" si="186"/>
        <v>018</v>
      </c>
      <c r="J1566" s="5" t="str">
        <f t="shared" si="187"/>
        <v>2220</v>
      </c>
      <c r="K1566" s="5" t="str">
        <f t="shared" si="188"/>
        <v>000</v>
      </c>
      <c r="L1566" s="5">
        <f t="shared" si="189"/>
        <v>3</v>
      </c>
      <c r="M1566" s="5">
        <f t="shared" si="190"/>
        <v>2012</v>
      </c>
    </row>
    <row r="1567" spans="1:13" ht="17.45" customHeight="1" x14ac:dyDescent="0.25">
      <c r="A1567" s="1">
        <f>DATE(2012,3,10)</f>
        <v>40978</v>
      </c>
      <c r="B1567" t="s">
        <v>22</v>
      </c>
      <c r="C1567" t="s">
        <v>10</v>
      </c>
      <c r="D1567" s="3">
        <v>205.85499999999999</v>
      </c>
      <c r="E1567" s="3">
        <v>0</v>
      </c>
      <c r="F1567" t="s">
        <v>45</v>
      </c>
      <c r="G1567" s="3">
        <f t="shared" si="184"/>
        <v>-205.85499999999999</v>
      </c>
      <c r="H1567" s="3">
        <f t="shared" si="185"/>
        <v>205.85499999999999</v>
      </c>
      <c r="I1567" s="5" t="str">
        <f t="shared" si="186"/>
        <v>018</v>
      </c>
      <c r="J1567" s="5" t="str">
        <f t="shared" si="187"/>
        <v>2230</v>
      </c>
      <c r="K1567" s="5" t="str">
        <f t="shared" si="188"/>
        <v>000</v>
      </c>
      <c r="L1567" s="5">
        <f t="shared" si="189"/>
        <v>3</v>
      </c>
      <c r="M1567" s="5">
        <f t="shared" si="190"/>
        <v>2012</v>
      </c>
    </row>
    <row r="1568" spans="1:13" ht="17.45" customHeight="1" x14ac:dyDescent="0.25">
      <c r="A1568" s="1">
        <f>DATE(2012,3,11)</f>
        <v>40979</v>
      </c>
      <c r="B1568" t="s">
        <v>19</v>
      </c>
      <c r="C1568" t="s">
        <v>6</v>
      </c>
      <c r="D1568" s="3">
        <v>11666.34</v>
      </c>
      <c r="E1568" s="3">
        <v>0</v>
      </c>
      <c r="F1568" t="s">
        <v>45</v>
      </c>
      <c r="G1568" s="3">
        <f t="shared" si="184"/>
        <v>-11666.34</v>
      </c>
      <c r="H1568" s="3">
        <f t="shared" si="185"/>
        <v>11666.34</v>
      </c>
      <c r="I1568" s="5" t="str">
        <f t="shared" si="186"/>
        <v>018</v>
      </c>
      <c r="J1568" s="5" t="str">
        <f t="shared" si="187"/>
        <v>2100</v>
      </c>
      <c r="K1568" s="5" t="str">
        <f t="shared" si="188"/>
        <v>000</v>
      </c>
      <c r="L1568" s="5">
        <f t="shared" si="189"/>
        <v>3</v>
      </c>
      <c r="M1568" s="5">
        <f t="shared" si="190"/>
        <v>2012</v>
      </c>
    </row>
    <row r="1569" spans="1:13" ht="17.45" customHeight="1" x14ac:dyDescent="0.25">
      <c r="A1569" s="1">
        <f>DATE(2012,3,11)</f>
        <v>40979</v>
      </c>
      <c r="B1569" t="s">
        <v>20</v>
      </c>
      <c r="C1569" t="s">
        <v>8</v>
      </c>
      <c r="D1569" s="3">
        <v>1151.9360000000001</v>
      </c>
      <c r="E1569" s="3">
        <v>0</v>
      </c>
      <c r="F1569" t="s">
        <v>45</v>
      </c>
      <c r="G1569" s="3">
        <f t="shared" si="184"/>
        <v>-1151.9360000000001</v>
      </c>
      <c r="H1569" s="3">
        <f t="shared" si="185"/>
        <v>1151.9360000000001</v>
      </c>
      <c r="I1569" s="5" t="str">
        <f t="shared" si="186"/>
        <v>018</v>
      </c>
      <c r="J1569" s="5" t="str">
        <f t="shared" si="187"/>
        <v>2210</v>
      </c>
      <c r="K1569" s="5" t="str">
        <f t="shared" si="188"/>
        <v>000</v>
      </c>
      <c r="L1569" s="5">
        <f t="shared" si="189"/>
        <v>3</v>
      </c>
      <c r="M1569" s="5">
        <f t="shared" si="190"/>
        <v>2012</v>
      </c>
    </row>
    <row r="1570" spans="1:13" ht="17.45" customHeight="1" x14ac:dyDescent="0.25">
      <c r="A1570" s="1">
        <f>DATE(2012,3,11)</f>
        <v>40979</v>
      </c>
      <c r="B1570" t="s">
        <v>21</v>
      </c>
      <c r="C1570" t="s">
        <v>9</v>
      </c>
      <c r="D1570" s="3">
        <v>275.32349999999997</v>
      </c>
      <c r="E1570" s="3">
        <v>0</v>
      </c>
      <c r="F1570" t="s">
        <v>45</v>
      </c>
      <c r="G1570" s="3">
        <f t="shared" si="184"/>
        <v>-275.32349999999997</v>
      </c>
      <c r="H1570" s="3">
        <f t="shared" si="185"/>
        <v>275.32349999999997</v>
      </c>
      <c r="I1570" s="5" t="str">
        <f t="shared" si="186"/>
        <v>018</v>
      </c>
      <c r="J1570" s="5" t="str">
        <f t="shared" si="187"/>
        <v>2220</v>
      </c>
      <c r="K1570" s="5" t="str">
        <f t="shared" si="188"/>
        <v>000</v>
      </c>
      <c r="L1570" s="5">
        <f t="shared" si="189"/>
        <v>3</v>
      </c>
      <c r="M1570" s="5">
        <f t="shared" si="190"/>
        <v>2012</v>
      </c>
    </row>
    <row r="1571" spans="1:13" ht="17.45" customHeight="1" x14ac:dyDescent="0.25">
      <c r="A1571" s="1">
        <f>DATE(2012,3,11)</f>
        <v>40979</v>
      </c>
      <c r="B1571" t="s">
        <v>22</v>
      </c>
      <c r="C1571" t="s">
        <v>10</v>
      </c>
      <c r="D1571" s="3">
        <v>63.878</v>
      </c>
      <c r="E1571" s="3">
        <v>0</v>
      </c>
      <c r="F1571" t="s">
        <v>45</v>
      </c>
      <c r="G1571" s="3">
        <f t="shared" si="184"/>
        <v>-63.878</v>
      </c>
      <c r="H1571" s="3">
        <f t="shared" si="185"/>
        <v>63.878</v>
      </c>
      <c r="I1571" s="5" t="str">
        <f t="shared" si="186"/>
        <v>018</v>
      </c>
      <c r="J1571" s="5" t="str">
        <f t="shared" si="187"/>
        <v>2230</v>
      </c>
      <c r="K1571" s="5" t="str">
        <f t="shared" si="188"/>
        <v>000</v>
      </c>
      <c r="L1571" s="5">
        <f t="shared" si="189"/>
        <v>3</v>
      </c>
      <c r="M1571" s="5">
        <f t="shared" si="190"/>
        <v>2012</v>
      </c>
    </row>
    <row r="1572" spans="1:13" ht="17.45" customHeight="1" x14ac:dyDescent="0.25">
      <c r="A1572" s="1">
        <f>DATE(2012,3,12)</f>
        <v>40980</v>
      </c>
      <c r="B1572" t="s">
        <v>11</v>
      </c>
      <c r="C1572" t="s">
        <v>6</v>
      </c>
      <c r="D1572" s="3">
        <v>3891.1120000000005</v>
      </c>
      <c r="E1572" s="3">
        <v>0</v>
      </c>
      <c r="F1572" t="s">
        <v>45</v>
      </c>
      <c r="G1572" s="3">
        <f t="shared" si="184"/>
        <v>-3891.1120000000005</v>
      </c>
      <c r="H1572" s="3">
        <f t="shared" si="185"/>
        <v>3891.1120000000005</v>
      </c>
      <c r="I1572" s="5" t="str">
        <f t="shared" si="186"/>
        <v>016</v>
      </c>
      <c r="J1572" s="5" t="str">
        <f t="shared" si="187"/>
        <v>2100</v>
      </c>
      <c r="K1572" s="5" t="str">
        <f t="shared" si="188"/>
        <v>000</v>
      </c>
      <c r="L1572" s="5">
        <f t="shared" si="189"/>
        <v>3</v>
      </c>
      <c r="M1572" s="5">
        <f t="shared" si="190"/>
        <v>2012</v>
      </c>
    </row>
    <row r="1573" spans="1:13" ht="17.45" customHeight="1" x14ac:dyDescent="0.25">
      <c r="A1573" s="1">
        <f>DATE(2012,3,12)</f>
        <v>40980</v>
      </c>
      <c r="B1573" t="s">
        <v>12</v>
      </c>
      <c r="C1573" t="s">
        <v>8</v>
      </c>
      <c r="D1573" s="3">
        <v>810.72</v>
      </c>
      <c r="E1573" s="3">
        <v>0</v>
      </c>
      <c r="F1573" t="s">
        <v>45</v>
      </c>
      <c r="G1573" s="3">
        <f t="shared" si="184"/>
        <v>-810.72</v>
      </c>
      <c r="H1573" s="3">
        <f t="shared" si="185"/>
        <v>810.72</v>
      </c>
      <c r="I1573" s="5" t="str">
        <f t="shared" si="186"/>
        <v>016</v>
      </c>
      <c r="J1573" s="5" t="str">
        <f t="shared" si="187"/>
        <v>2210</v>
      </c>
      <c r="K1573" s="5" t="str">
        <f t="shared" si="188"/>
        <v>000</v>
      </c>
      <c r="L1573" s="5">
        <f t="shared" si="189"/>
        <v>3</v>
      </c>
      <c r="M1573" s="5">
        <f t="shared" si="190"/>
        <v>2012</v>
      </c>
    </row>
    <row r="1574" spans="1:13" ht="17.45" customHeight="1" x14ac:dyDescent="0.25">
      <c r="A1574" s="1">
        <f>DATE(2012,3,12)</f>
        <v>40980</v>
      </c>
      <c r="B1574" t="s">
        <v>13</v>
      </c>
      <c r="C1574" t="s">
        <v>9</v>
      </c>
      <c r="D1574" s="3">
        <v>137.25</v>
      </c>
      <c r="E1574" s="3">
        <v>0</v>
      </c>
      <c r="F1574" t="s">
        <v>45</v>
      </c>
      <c r="G1574" s="3">
        <f t="shared" si="184"/>
        <v>-137.25</v>
      </c>
      <c r="H1574" s="3">
        <f t="shared" si="185"/>
        <v>137.25</v>
      </c>
      <c r="I1574" s="5" t="str">
        <f t="shared" si="186"/>
        <v>016</v>
      </c>
      <c r="J1574" s="5" t="str">
        <f t="shared" si="187"/>
        <v>2220</v>
      </c>
      <c r="K1574" s="5" t="str">
        <f t="shared" si="188"/>
        <v>000</v>
      </c>
      <c r="L1574" s="5">
        <f t="shared" si="189"/>
        <v>3</v>
      </c>
      <c r="M1574" s="5">
        <f t="shared" si="190"/>
        <v>2012</v>
      </c>
    </row>
    <row r="1575" spans="1:13" ht="17.45" customHeight="1" x14ac:dyDescent="0.25">
      <c r="A1575" s="1">
        <f>DATE(2012,3,12)</f>
        <v>40980</v>
      </c>
      <c r="B1575" t="s">
        <v>14</v>
      </c>
      <c r="C1575" t="s">
        <v>10</v>
      </c>
      <c r="D1575" s="3">
        <v>110.99550000000001</v>
      </c>
      <c r="E1575" s="3">
        <v>0</v>
      </c>
      <c r="F1575" t="s">
        <v>45</v>
      </c>
      <c r="G1575" s="3">
        <f t="shared" si="184"/>
        <v>-110.99550000000001</v>
      </c>
      <c r="H1575" s="3">
        <f t="shared" si="185"/>
        <v>110.99550000000001</v>
      </c>
      <c r="I1575" s="5" t="str">
        <f t="shared" si="186"/>
        <v>016</v>
      </c>
      <c r="J1575" s="5" t="str">
        <f t="shared" si="187"/>
        <v>2230</v>
      </c>
      <c r="K1575" s="5" t="str">
        <f t="shared" si="188"/>
        <v>000</v>
      </c>
      <c r="L1575" s="5">
        <f t="shared" si="189"/>
        <v>3</v>
      </c>
      <c r="M1575" s="5">
        <f t="shared" si="190"/>
        <v>2012</v>
      </c>
    </row>
    <row r="1576" spans="1:13" ht="17.45" customHeight="1" x14ac:dyDescent="0.25">
      <c r="A1576" s="1">
        <f>DATE(2012,3,13)</f>
        <v>40981</v>
      </c>
      <c r="B1576" t="s">
        <v>11</v>
      </c>
      <c r="C1576" t="s">
        <v>6</v>
      </c>
      <c r="D1576" s="3">
        <v>4527.4230000000007</v>
      </c>
      <c r="E1576" s="3">
        <v>0</v>
      </c>
      <c r="F1576" t="s">
        <v>45</v>
      </c>
      <c r="G1576" s="3">
        <f t="shared" si="184"/>
        <v>-4527.4230000000007</v>
      </c>
      <c r="H1576" s="3">
        <f t="shared" si="185"/>
        <v>4527.4230000000007</v>
      </c>
      <c r="I1576" s="5" t="str">
        <f t="shared" si="186"/>
        <v>016</v>
      </c>
      <c r="J1576" s="5" t="str">
        <f t="shared" si="187"/>
        <v>2100</v>
      </c>
      <c r="K1576" s="5" t="str">
        <f t="shared" si="188"/>
        <v>000</v>
      </c>
      <c r="L1576" s="5">
        <f t="shared" si="189"/>
        <v>3</v>
      </c>
      <c r="M1576" s="5">
        <f t="shared" si="190"/>
        <v>2012</v>
      </c>
    </row>
    <row r="1577" spans="1:13" ht="17.45" customHeight="1" x14ac:dyDescent="0.25">
      <c r="A1577" s="1">
        <f>DATE(2012,3,13)</f>
        <v>40981</v>
      </c>
      <c r="B1577" t="s">
        <v>12</v>
      </c>
      <c r="C1577" t="s">
        <v>8</v>
      </c>
      <c r="D1577" s="3">
        <v>1082.9225000000001</v>
      </c>
      <c r="E1577" s="3">
        <v>0</v>
      </c>
      <c r="F1577" t="s">
        <v>45</v>
      </c>
      <c r="G1577" s="3">
        <f t="shared" si="184"/>
        <v>-1082.9225000000001</v>
      </c>
      <c r="H1577" s="3">
        <f t="shared" si="185"/>
        <v>1082.9225000000001</v>
      </c>
      <c r="I1577" s="5" t="str">
        <f t="shared" si="186"/>
        <v>016</v>
      </c>
      <c r="J1577" s="5" t="str">
        <f t="shared" si="187"/>
        <v>2210</v>
      </c>
      <c r="K1577" s="5" t="str">
        <f t="shared" si="188"/>
        <v>000</v>
      </c>
      <c r="L1577" s="5">
        <f t="shared" si="189"/>
        <v>3</v>
      </c>
      <c r="M1577" s="5">
        <f t="shared" si="190"/>
        <v>2012</v>
      </c>
    </row>
    <row r="1578" spans="1:13" ht="17.45" customHeight="1" x14ac:dyDescent="0.25">
      <c r="A1578" s="1">
        <f>DATE(2012,3,13)</f>
        <v>40981</v>
      </c>
      <c r="B1578" t="s">
        <v>13</v>
      </c>
      <c r="C1578" t="s">
        <v>9</v>
      </c>
      <c r="D1578" s="3">
        <v>294.93</v>
      </c>
      <c r="E1578" s="3">
        <v>0</v>
      </c>
      <c r="F1578" t="s">
        <v>45</v>
      </c>
      <c r="G1578" s="3">
        <f t="shared" si="184"/>
        <v>-294.93</v>
      </c>
      <c r="H1578" s="3">
        <f t="shared" si="185"/>
        <v>294.93</v>
      </c>
      <c r="I1578" s="5" t="str">
        <f t="shared" si="186"/>
        <v>016</v>
      </c>
      <c r="J1578" s="5" t="str">
        <f t="shared" si="187"/>
        <v>2220</v>
      </c>
      <c r="K1578" s="5" t="str">
        <f t="shared" si="188"/>
        <v>000</v>
      </c>
      <c r="L1578" s="5">
        <f t="shared" si="189"/>
        <v>3</v>
      </c>
      <c r="M1578" s="5">
        <f t="shared" si="190"/>
        <v>2012</v>
      </c>
    </row>
    <row r="1579" spans="1:13" ht="17.45" customHeight="1" x14ac:dyDescent="0.25">
      <c r="A1579" s="1">
        <f>DATE(2012,3,13)</f>
        <v>40981</v>
      </c>
      <c r="B1579" t="s">
        <v>14</v>
      </c>
      <c r="C1579" t="s">
        <v>10</v>
      </c>
      <c r="D1579" s="3">
        <v>168.49349999999998</v>
      </c>
      <c r="E1579" s="3">
        <v>0</v>
      </c>
      <c r="F1579" t="s">
        <v>45</v>
      </c>
      <c r="G1579" s="3">
        <f t="shared" si="184"/>
        <v>-168.49349999999998</v>
      </c>
      <c r="H1579" s="3">
        <f t="shared" si="185"/>
        <v>168.49349999999998</v>
      </c>
      <c r="I1579" s="5" t="str">
        <f t="shared" si="186"/>
        <v>016</v>
      </c>
      <c r="J1579" s="5" t="str">
        <f t="shared" si="187"/>
        <v>2230</v>
      </c>
      <c r="K1579" s="5" t="str">
        <f t="shared" si="188"/>
        <v>000</v>
      </c>
      <c r="L1579" s="5">
        <f t="shared" si="189"/>
        <v>3</v>
      </c>
      <c r="M1579" s="5">
        <f t="shared" si="190"/>
        <v>2012</v>
      </c>
    </row>
    <row r="1580" spans="1:13" ht="17.45" customHeight="1" x14ac:dyDescent="0.25">
      <c r="A1580" s="1">
        <f>DATE(2012,3,14)</f>
        <v>40982</v>
      </c>
      <c r="B1580" t="s">
        <v>11</v>
      </c>
      <c r="C1580" t="s">
        <v>6</v>
      </c>
      <c r="D1580" s="3">
        <v>5093.6130000000003</v>
      </c>
      <c r="E1580" s="3">
        <v>0</v>
      </c>
      <c r="F1580" t="s">
        <v>45</v>
      </c>
      <c r="G1580" s="3">
        <f t="shared" si="184"/>
        <v>-5093.6130000000003</v>
      </c>
      <c r="H1580" s="3">
        <f t="shared" si="185"/>
        <v>5093.6130000000003</v>
      </c>
      <c r="I1580" s="5" t="str">
        <f t="shared" si="186"/>
        <v>016</v>
      </c>
      <c r="J1580" s="5" t="str">
        <f t="shared" si="187"/>
        <v>2100</v>
      </c>
      <c r="K1580" s="5" t="str">
        <f t="shared" si="188"/>
        <v>000</v>
      </c>
      <c r="L1580" s="5">
        <f t="shared" si="189"/>
        <v>3</v>
      </c>
      <c r="M1580" s="5">
        <f t="shared" si="190"/>
        <v>2012</v>
      </c>
    </row>
    <row r="1581" spans="1:13" ht="17.45" customHeight="1" x14ac:dyDescent="0.25">
      <c r="A1581" s="1">
        <f>DATE(2012,3,14)</f>
        <v>40982</v>
      </c>
      <c r="B1581" t="s">
        <v>12</v>
      </c>
      <c r="C1581" t="s">
        <v>8</v>
      </c>
      <c r="D1581" s="3">
        <v>978.06299999999999</v>
      </c>
      <c r="E1581" s="3">
        <v>0</v>
      </c>
      <c r="F1581" t="s">
        <v>45</v>
      </c>
      <c r="G1581" s="3">
        <f t="shared" si="184"/>
        <v>-978.06299999999999</v>
      </c>
      <c r="H1581" s="3">
        <f t="shared" si="185"/>
        <v>978.06299999999999</v>
      </c>
      <c r="I1581" s="5" t="str">
        <f t="shared" si="186"/>
        <v>016</v>
      </c>
      <c r="J1581" s="5" t="str">
        <f t="shared" si="187"/>
        <v>2210</v>
      </c>
      <c r="K1581" s="5" t="str">
        <f t="shared" si="188"/>
        <v>000</v>
      </c>
      <c r="L1581" s="5">
        <f t="shared" si="189"/>
        <v>3</v>
      </c>
      <c r="M1581" s="5">
        <f t="shared" si="190"/>
        <v>2012</v>
      </c>
    </row>
    <row r="1582" spans="1:13" ht="17.45" customHeight="1" x14ac:dyDescent="0.25">
      <c r="A1582" s="1">
        <f>DATE(2012,3,14)</f>
        <v>40982</v>
      </c>
      <c r="B1582" t="s">
        <v>13</v>
      </c>
      <c r="C1582" t="s">
        <v>9</v>
      </c>
      <c r="D1582" s="3">
        <v>361.452</v>
      </c>
      <c r="E1582" s="3">
        <v>0</v>
      </c>
      <c r="F1582" t="s">
        <v>45</v>
      </c>
      <c r="G1582" s="3">
        <f t="shared" si="184"/>
        <v>-361.452</v>
      </c>
      <c r="H1582" s="3">
        <f t="shared" si="185"/>
        <v>361.452</v>
      </c>
      <c r="I1582" s="5" t="str">
        <f t="shared" si="186"/>
        <v>016</v>
      </c>
      <c r="J1582" s="5" t="str">
        <f t="shared" si="187"/>
        <v>2220</v>
      </c>
      <c r="K1582" s="5" t="str">
        <f t="shared" si="188"/>
        <v>000</v>
      </c>
      <c r="L1582" s="5">
        <f t="shared" si="189"/>
        <v>3</v>
      </c>
      <c r="M1582" s="5">
        <f t="shared" si="190"/>
        <v>2012</v>
      </c>
    </row>
    <row r="1583" spans="1:13" ht="17.45" customHeight="1" x14ac:dyDescent="0.25">
      <c r="A1583" s="1">
        <f>DATE(2012,3,14)</f>
        <v>40982</v>
      </c>
      <c r="B1583" t="s">
        <v>14</v>
      </c>
      <c r="C1583" t="s">
        <v>10</v>
      </c>
      <c r="D1583" s="3">
        <v>94.5</v>
      </c>
      <c r="E1583" s="3">
        <v>0</v>
      </c>
      <c r="F1583" t="s">
        <v>45</v>
      </c>
      <c r="G1583" s="3">
        <f t="shared" si="184"/>
        <v>-94.5</v>
      </c>
      <c r="H1583" s="3">
        <f t="shared" si="185"/>
        <v>94.5</v>
      </c>
      <c r="I1583" s="5" t="str">
        <f t="shared" si="186"/>
        <v>016</v>
      </c>
      <c r="J1583" s="5" t="str">
        <f t="shared" si="187"/>
        <v>2230</v>
      </c>
      <c r="K1583" s="5" t="str">
        <f t="shared" si="188"/>
        <v>000</v>
      </c>
      <c r="L1583" s="5">
        <f t="shared" si="189"/>
        <v>3</v>
      </c>
      <c r="M1583" s="5">
        <f t="shared" si="190"/>
        <v>2012</v>
      </c>
    </row>
    <row r="1584" spans="1:13" ht="17.45" customHeight="1" x14ac:dyDescent="0.25">
      <c r="A1584" s="1">
        <f>DATE(2012,3,15)</f>
        <v>40983</v>
      </c>
      <c r="B1584" t="s">
        <v>11</v>
      </c>
      <c r="C1584" t="s">
        <v>6</v>
      </c>
      <c r="D1584" s="3">
        <v>4689.6908000000003</v>
      </c>
      <c r="E1584" s="3">
        <v>0</v>
      </c>
      <c r="F1584" t="s">
        <v>45</v>
      </c>
      <c r="G1584" s="3">
        <f t="shared" si="184"/>
        <v>-4689.6908000000003</v>
      </c>
      <c r="H1584" s="3">
        <f t="shared" si="185"/>
        <v>4689.6908000000003</v>
      </c>
      <c r="I1584" s="5" t="str">
        <f t="shared" si="186"/>
        <v>016</v>
      </c>
      <c r="J1584" s="5" t="str">
        <f t="shared" si="187"/>
        <v>2100</v>
      </c>
      <c r="K1584" s="5" t="str">
        <f t="shared" si="188"/>
        <v>000</v>
      </c>
      <c r="L1584" s="5">
        <f t="shared" si="189"/>
        <v>3</v>
      </c>
      <c r="M1584" s="5">
        <f t="shared" si="190"/>
        <v>2012</v>
      </c>
    </row>
    <row r="1585" spans="1:13" ht="17.45" customHeight="1" x14ac:dyDescent="0.25">
      <c r="A1585" s="1">
        <f>DATE(2012,3,15)</f>
        <v>40983</v>
      </c>
      <c r="B1585" t="s">
        <v>12</v>
      </c>
      <c r="C1585" t="s">
        <v>8</v>
      </c>
      <c r="D1585" s="3">
        <v>1823.4040000000002</v>
      </c>
      <c r="E1585" s="3">
        <v>0</v>
      </c>
      <c r="F1585" t="s">
        <v>45</v>
      </c>
      <c r="G1585" s="3">
        <f t="shared" si="184"/>
        <v>-1823.4040000000002</v>
      </c>
      <c r="H1585" s="3">
        <f t="shared" si="185"/>
        <v>1823.4040000000002</v>
      </c>
      <c r="I1585" s="5" t="str">
        <f t="shared" si="186"/>
        <v>016</v>
      </c>
      <c r="J1585" s="5" t="str">
        <f t="shared" si="187"/>
        <v>2210</v>
      </c>
      <c r="K1585" s="5" t="str">
        <f t="shared" si="188"/>
        <v>000</v>
      </c>
      <c r="L1585" s="5">
        <f t="shared" si="189"/>
        <v>3</v>
      </c>
      <c r="M1585" s="5">
        <f t="shared" si="190"/>
        <v>2012</v>
      </c>
    </row>
    <row r="1586" spans="1:13" ht="17.45" customHeight="1" x14ac:dyDescent="0.25">
      <c r="A1586" s="1">
        <f>DATE(2012,3,15)</f>
        <v>40983</v>
      </c>
      <c r="B1586" t="s">
        <v>13</v>
      </c>
      <c r="C1586" t="s">
        <v>9</v>
      </c>
      <c r="D1586" s="3">
        <v>159.39000000000001</v>
      </c>
      <c r="E1586" s="3">
        <v>0</v>
      </c>
      <c r="F1586" t="s">
        <v>45</v>
      </c>
      <c r="G1586" s="3">
        <f t="shared" si="184"/>
        <v>-159.39000000000001</v>
      </c>
      <c r="H1586" s="3">
        <f t="shared" si="185"/>
        <v>159.39000000000001</v>
      </c>
      <c r="I1586" s="5" t="str">
        <f t="shared" si="186"/>
        <v>016</v>
      </c>
      <c r="J1586" s="5" t="str">
        <f t="shared" si="187"/>
        <v>2220</v>
      </c>
      <c r="K1586" s="5" t="str">
        <f t="shared" si="188"/>
        <v>000</v>
      </c>
      <c r="L1586" s="5">
        <f t="shared" si="189"/>
        <v>3</v>
      </c>
      <c r="M1586" s="5">
        <f t="shared" si="190"/>
        <v>2012</v>
      </c>
    </row>
    <row r="1587" spans="1:13" ht="17.45" customHeight="1" x14ac:dyDescent="0.25">
      <c r="A1587" s="1">
        <f>DATE(2012,3,15)</f>
        <v>40983</v>
      </c>
      <c r="B1587" t="s">
        <v>14</v>
      </c>
      <c r="C1587" t="s">
        <v>10</v>
      </c>
      <c r="D1587" s="3">
        <v>187.30800000000002</v>
      </c>
      <c r="E1587" s="3">
        <v>0</v>
      </c>
      <c r="F1587" t="s">
        <v>45</v>
      </c>
      <c r="G1587" s="3">
        <f t="shared" si="184"/>
        <v>-187.30800000000002</v>
      </c>
      <c r="H1587" s="3">
        <f t="shared" si="185"/>
        <v>187.30800000000002</v>
      </c>
      <c r="I1587" s="5" t="str">
        <f t="shared" si="186"/>
        <v>016</v>
      </c>
      <c r="J1587" s="5" t="str">
        <f t="shared" si="187"/>
        <v>2230</v>
      </c>
      <c r="K1587" s="5" t="str">
        <f t="shared" si="188"/>
        <v>000</v>
      </c>
      <c r="L1587" s="5">
        <f t="shared" si="189"/>
        <v>3</v>
      </c>
      <c r="M1587" s="5">
        <f t="shared" si="190"/>
        <v>2012</v>
      </c>
    </row>
    <row r="1588" spans="1:13" ht="17.45" customHeight="1" x14ac:dyDescent="0.25">
      <c r="A1588" s="1">
        <f>DATE(2012,3,16)</f>
        <v>40984</v>
      </c>
      <c r="B1588" t="s">
        <v>11</v>
      </c>
      <c r="C1588" t="s">
        <v>6</v>
      </c>
      <c r="D1588" s="3">
        <v>8914.4331999999995</v>
      </c>
      <c r="E1588" s="3">
        <v>0</v>
      </c>
      <c r="F1588" t="s">
        <v>45</v>
      </c>
      <c r="G1588" s="3">
        <f t="shared" si="184"/>
        <v>-8914.4331999999995</v>
      </c>
      <c r="H1588" s="3">
        <f t="shared" si="185"/>
        <v>8914.4331999999995</v>
      </c>
      <c r="I1588" s="5" t="str">
        <f t="shared" si="186"/>
        <v>016</v>
      </c>
      <c r="J1588" s="5" t="str">
        <f t="shared" si="187"/>
        <v>2100</v>
      </c>
      <c r="K1588" s="5" t="str">
        <f t="shared" si="188"/>
        <v>000</v>
      </c>
      <c r="L1588" s="5">
        <f t="shared" si="189"/>
        <v>3</v>
      </c>
      <c r="M1588" s="5">
        <f t="shared" si="190"/>
        <v>2012</v>
      </c>
    </row>
    <row r="1589" spans="1:13" ht="17.45" customHeight="1" x14ac:dyDescent="0.25">
      <c r="A1589" s="1">
        <f>DATE(2012,3,16)</f>
        <v>40984</v>
      </c>
      <c r="B1589" t="s">
        <v>12</v>
      </c>
      <c r="C1589" t="s">
        <v>8</v>
      </c>
      <c r="D1589" s="3">
        <v>2399.7760000000003</v>
      </c>
      <c r="E1589" s="3">
        <v>0</v>
      </c>
      <c r="F1589" t="s">
        <v>45</v>
      </c>
      <c r="G1589" s="3">
        <f t="shared" si="184"/>
        <v>-2399.7760000000003</v>
      </c>
      <c r="H1589" s="3">
        <f t="shared" si="185"/>
        <v>2399.7760000000003</v>
      </c>
      <c r="I1589" s="5" t="str">
        <f t="shared" si="186"/>
        <v>016</v>
      </c>
      <c r="J1589" s="5" t="str">
        <f t="shared" si="187"/>
        <v>2210</v>
      </c>
      <c r="K1589" s="5" t="str">
        <f t="shared" si="188"/>
        <v>000</v>
      </c>
      <c r="L1589" s="5">
        <f t="shared" si="189"/>
        <v>3</v>
      </c>
      <c r="M1589" s="5">
        <f t="shared" si="190"/>
        <v>2012</v>
      </c>
    </row>
    <row r="1590" spans="1:13" ht="17.45" customHeight="1" x14ac:dyDescent="0.25">
      <c r="A1590" s="1">
        <f>DATE(2012,3,16)</f>
        <v>40984</v>
      </c>
      <c r="B1590" t="s">
        <v>13</v>
      </c>
      <c r="C1590" t="s">
        <v>9</v>
      </c>
      <c r="D1590" s="3">
        <v>637.5</v>
      </c>
      <c r="E1590" s="3">
        <v>0</v>
      </c>
      <c r="F1590" t="s">
        <v>45</v>
      </c>
      <c r="G1590" s="3">
        <f t="shared" si="184"/>
        <v>-637.5</v>
      </c>
      <c r="H1590" s="3">
        <f t="shared" si="185"/>
        <v>637.5</v>
      </c>
      <c r="I1590" s="5" t="str">
        <f t="shared" si="186"/>
        <v>016</v>
      </c>
      <c r="J1590" s="5" t="str">
        <f t="shared" si="187"/>
        <v>2220</v>
      </c>
      <c r="K1590" s="5" t="str">
        <f t="shared" si="188"/>
        <v>000</v>
      </c>
      <c r="L1590" s="5">
        <f t="shared" si="189"/>
        <v>3</v>
      </c>
      <c r="M1590" s="5">
        <f t="shared" si="190"/>
        <v>2012</v>
      </c>
    </row>
    <row r="1591" spans="1:13" ht="17.45" customHeight="1" x14ac:dyDescent="0.25">
      <c r="A1591" s="1">
        <f>DATE(2012,3,16)</f>
        <v>40984</v>
      </c>
      <c r="B1591" t="s">
        <v>14</v>
      </c>
      <c r="C1591" t="s">
        <v>10</v>
      </c>
      <c r="D1591" s="3">
        <v>375.96249999999998</v>
      </c>
      <c r="E1591" s="3">
        <v>0</v>
      </c>
      <c r="F1591" t="s">
        <v>45</v>
      </c>
      <c r="G1591" s="3">
        <f t="shared" si="184"/>
        <v>-375.96249999999998</v>
      </c>
      <c r="H1591" s="3">
        <f t="shared" si="185"/>
        <v>375.96249999999998</v>
      </c>
      <c r="I1591" s="5" t="str">
        <f t="shared" si="186"/>
        <v>016</v>
      </c>
      <c r="J1591" s="5" t="str">
        <f t="shared" si="187"/>
        <v>2230</v>
      </c>
      <c r="K1591" s="5" t="str">
        <f t="shared" si="188"/>
        <v>000</v>
      </c>
      <c r="L1591" s="5">
        <f t="shared" si="189"/>
        <v>3</v>
      </c>
      <c r="M1591" s="5">
        <f t="shared" si="190"/>
        <v>2012</v>
      </c>
    </row>
    <row r="1592" spans="1:13" ht="17.45" customHeight="1" x14ac:dyDescent="0.25">
      <c r="A1592" s="1">
        <f>DATE(2012,3,17)</f>
        <v>40985</v>
      </c>
      <c r="B1592" t="s">
        <v>11</v>
      </c>
      <c r="C1592" t="s">
        <v>6</v>
      </c>
      <c r="D1592" s="3">
        <v>9947.8995000000014</v>
      </c>
      <c r="E1592" s="3">
        <v>0</v>
      </c>
      <c r="F1592" t="s">
        <v>45</v>
      </c>
      <c r="G1592" s="3">
        <f t="shared" si="184"/>
        <v>-9947.8995000000014</v>
      </c>
      <c r="H1592" s="3">
        <f t="shared" si="185"/>
        <v>9947.8995000000014</v>
      </c>
      <c r="I1592" s="5" t="str">
        <f t="shared" si="186"/>
        <v>016</v>
      </c>
      <c r="J1592" s="5" t="str">
        <f t="shared" si="187"/>
        <v>2100</v>
      </c>
      <c r="K1592" s="5" t="str">
        <f t="shared" si="188"/>
        <v>000</v>
      </c>
      <c r="L1592" s="5">
        <f t="shared" si="189"/>
        <v>3</v>
      </c>
      <c r="M1592" s="5">
        <f t="shared" si="190"/>
        <v>2012</v>
      </c>
    </row>
    <row r="1593" spans="1:13" ht="17.45" customHeight="1" x14ac:dyDescent="0.25">
      <c r="A1593" s="1">
        <f>DATE(2012,3,17)</f>
        <v>40985</v>
      </c>
      <c r="B1593" t="s">
        <v>12</v>
      </c>
      <c r="C1593" t="s">
        <v>8</v>
      </c>
      <c r="D1593" s="3">
        <v>2946.2510000000002</v>
      </c>
      <c r="E1593" s="3">
        <v>0</v>
      </c>
      <c r="F1593" t="s">
        <v>45</v>
      </c>
      <c r="G1593" s="3">
        <f t="shared" si="184"/>
        <v>-2946.2510000000002</v>
      </c>
      <c r="H1593" s="3">
        <f t="shared" si="185"/>
        <v>2946.2510000000002</v>
      </c>
      <c r="I1593" s="5" t="str">
        <f t="shared" si="186"/>
        <v>016</v>
      </c>
      <c r="J1593" s="5" t="str">
        <f t="shared" si="187"/>
        <v>2210</v>
      </c>
      <c r="K1593" s="5" t="str">
        <f t="shared" si="188"/>
        <v>000</v>
      </c>
      <c r="L1593" s="5">
        <f t="shared" si="189"/>
        <v>3</v>
      </c>
      <c r="M1593" s="5">
        <f t="shared" si="190"/>
        <v>2012</v>
      </c>
    </row>
    <row r="1594" spans="1:13" ht="17.45" customHeight="1" x14ac:dyDescent="0.25">
      <c r="A1594" s="1">
        <f>DATE(2012,3,17)</f>
        <v>40985</v>
      </c>
      <c r="B1594" t="s">
        <v>13</v>
      </c>
      <c r="C1594" t="s">
        <v>9</v>
      </c>
      <c r="D1594" s="3">
        <v>812.91600000000005</v>
      </c>
      <c r="E1594" s="3">
        <v>0</v>
      </c>
      <c r="F1594" t="s">
        <v>45</v>
      </c>
      <c r="G1594" s="3">
        <f t="shared" si="184"/>
        <v>-812.91600000000005</v>
      </c>
      <c r="H1594" s="3">
        <f t="shared" si="185"/>
        <v>812.91600000000005</v>
      </c>
      <c r="I1594" s="5" t="str">
        <f t="shared" si="186"/>
        <v>016</v>
      </c>
      <c r="J1594" s="5" t="str">
        <f t="shared" si="187"/>
        <v>2220</v>
      </c>
      <c r="K1594" s="5" t="str">
        <f t="shared" si="188"/>
        <v>000</v>
      </c>
      <c r="L1594" s="5">
        <f t="shared" si="189"/>
        <v>3</v>
      </c>
      <c r="M1594" s="5">
        <f t="shared" si="190"/>
        <v>2012</v>
      </c>
    </row>
    <row r="1595" spans="1:13" ht="17.45" customHeight="1" x14ac:dyDescent="0.25">
      <c r="A1595" s="1">
        <f>DATE(2012,3,17)</f>
        <v>40985</v>
      </c>
      <c r="B1595" t="s">
        <v>14</v>
      </c>
      <c r="C1595" t="s">
        <v>10</v>
      </c>
      <c r="D1595" s="3">
        <v>308.17199999999997</v>
      </c>
      <c r="E1595" s="3">
        <v>0</v>
      </c>
      <c r="F1595" t="s">
        <v>45</v>
      </c>
      <c r="G1595" s="3">
        <f t="shared" si="184"/>
        <v>-308.17199999999997</v>
      </c>
      <c r="H1595" s="3">
        <f t="shared" si="185"/>
        <v>308.17199999999997</v>
      </c>
      <c r="I1595" s="5" t="str">
        <f t="shared" si="186"/>
        <v>016</v>
      </c>
      <c r="J1595" s="5" t="str">
        <f t="shared" si="187"/>
        <v>2230</v>
      </c>
      <c r="K1595" s="5" t="str">
        <f t="shared" si="188"/>
        <v>000</v>
      </c>
      <c r="L1595" s="5">
        <f t="shared" si="189"/>
        <v>3</v>
      </c>
      <c r="M1595" s="5">
        <f t="shared" si="190"/>
        <v>2012</v>
      </c>
    </row>
    <row r="1596" spans="1:13" ht="17.45" customHeight="1" x14ac:dyDescent="0.25">
      <c r="A1596" s="1">
        <f>DATE(2012,3,18)</f>
        <v>40986</v>
      </c>
      <c r="B1596" t="s">
        <v>11</v>
      </c>
      <c r="C1596" t="s">
        <v>6</v>
      </c>
      <c r="D1596" s="3">
        <v>6228.6165000000001</v>
      </c>
      <c r="E1596" s="3">
        <v>0</v>
      </c>
      <c r="F1596" t="s">
        <v>45</v>
      </c>
      <c r="G1596" s="3">
        <f t="shared" si="184"/>
        <v>-6228.6165000000001</v>
      </c>
      <c r="H1596" s="3">
        <f t="shared" si="185"/>
        <v>6228.6165000000001</v>
      </c>
      <c r="I1596" s="5" t="str">
        <f t="shared" si="186"/>
        <v>016</v>
      </c>
      <c r="J1596" s="5" t="str">
        <f t="shared" si="187"/>
        <v>2100</v>
      </c>
      <c r="K1596" s="5" t="str">
        <f t="shared" si="188"/>
        <v>000</v>
      </c>
      <c r="L1596" s="5">
        <f t="shared" si="189"/>
        <v>3</v>
      </c>
      <c r="M1596" s="5">
        <f t="shared" si="190"/>
        <v>2012</v>
      </c>
    </row>
    <row r="1597" spans="1:13" ht="17.45" customHeight="1" x14ac:dyDescent="0.25">
      <c r="A1597" s="1">
        <f>DATE(2012,3,18)</f>
        <v>40986</v>
      </c>
      <c r="B1597" t="s">
        <v>12</v>
      </c>
      <c r="C1597" t="s">
        <v>8</v>
      </c>
      <c r="D1597" s="3">
        <v>935.1875</v>
      </c>
      <c r="E1597" s="3">
        <v>0</v>
      </c>
      <c r="F1597" t="s">
        <v>45</v>
      </c>
      <c r="G1597" s="3">
        <f t="shared" si="184"/>
        <v>-935.1875</v>
      </c>
      <c r="H1597" s="3">
        <f t="shared" si="185"/>
        <v>935.1875</v>
      </c>
      <c r="I1597" s="5" t="str">
        <f t="shared" si="186"/>
        <v>016</v>
      </c>
      <c r="J1597" s="5" t="str">
        <f t="shared" si="187"/>
        <v>2210</v>
      </c>
      <c r="K1597" s="5" t="str">
        <f t="shared" si="188"/>
        <v>000</v>
      </c>
      <c r="L1597" s="5">
        <f t="shared" si="189"/>
        <v>3</v>
      </c>
      <c r="M1597" s="5">
        <f t="shared" si="190"/>
        <v>2012</v>
      </c>
    </row>
    <row r="1598" spans="1:13" ht="17.45" customHeight="1" x14ac:dyDescent="0.25">
      <c r="A1598" s="1">
        <f>DATE(2012,3,18)</f>
        <v>40986</v>
      </c>
      <c r="B1598" t="s">
        <v>13</v>
      </c>
      <c r="C1598" t="s">
        <v>9</v>
      </c>
      <c r="D1598" s="3">
        <v>267.10199999999998</v>
      </c>
      <c r="E1598" s="3">
        <v>0</v>
      </c>
      <c r="F1598" t="s">
        <v>45</v>
      </c>
      <c r="G1598" s="3">
        <f t="shared" si="184"/>
        <v>-267.10199999999998</v>
      </c>
      <c r="H1598" s="3">
        <f t="shared" si="185"/>
        <v>267.10199999999998</v>
      </c>
      <c r="I1598" s="5" t="str">
        <f t="shared" si="186"/>
        <v>016</v>
      </c>
      <c r="J1598" s="5" t="str">
        <f t="shared" si="187"/>
        <v>2220</v>
      </c>
      <c r="K1598" s="5" t="str">
        <f t="shared" si="188"/>
        <v>000</v>
      </c>
      <c r="L1598" s="5">
        <f t="shared" si="189"/>
        <v>3</v>
      </c>
      <c r="M1598" s="5">
        <f t="shared" si="190"/>
        <v>2012</v>
      </c>
    </row>
    <row r="1599" spans="1:13" ht="17.45" customHeight="1" x14ac:dyDescent="0.25">
      <c r="A1599" s="1">
        <f>DATE(2012,3,18)</f>
        <v>40986</v>
      </c>
      <c r="B1599" t="s">
        <v>14</v>
      </c>
      <c r="C1599" t="s">
        <v>10</v>
      </c>
      <c r="D1599" s="3">
        <v>137.76899999999998</v>
      </c>
      <c r="E1599" s="3">
        <v>0</v>
      </c>
      <c r="F1599" t="s">
        <v>45</v>
      </c>
      <c r="G1599" s="3">
        <f t="shared" si="184"/>
        <v>-137.76899999999998</v>
      </c>
      <c r="H1599" s="3">
        <f t="shared" si="185"/>
        <v>137.76899999999998</v>
      </c>
      <c r="I1599" s="5" t="str">
        <f t="shared" si="186"/>
        <v>016</v>
      </c>
      <c r="J1599" s="5" t="str">
        <f t="shared" si="187"/>
        <v>2230</v>
      </c>
      <c r="K1599" s="5" t="str">
        <f t="shared" si="188"/>
        <v>000</v>
      </c>
      <c r="L1599" s="5">
        <f t="shared" si="189"/>
        <v>3</v>
      </c>
      <c r="M1599" s="5">
        <f t="shared" si="190"/>
        <v>2012</v>
      </c>
    </row>
    <row r="1600" spans="1:13" ht="17.45" customHeight="1" x14ac:dyDescent="0.25">
      <c r="A1600" s="1">
        <f>DATE(2012,3,12)</f>
        <v>40980</v>
      </c>
      <c r="B1600" t="s">
        <v>15</v>
      </c>
      <c r="C1600" t="s">
        <v>6</v>
      </c>
      <c r="D1600" s="3">
        <v>4188.03</v>
      </c>
      <c r="E1600" s="3">
        <v>0</v>
      </c>
      <c r="F1600" t="s">
        <v>45</v>
      </c>
      <c r="G1600" s="3">
        <f t="shared" si="184"/>
        <v>-4188.03</v>
      </c>
      <c r="H1600" s="3">
        <f t="shared" si="185"/>
        <v>4188.03</v>
      </c>
      <c r="I1600" s="5" t="str">
        <f t="shared" si="186"/>
        <v>017</v>
      </c>
      <c r="J1600" s="5" t="str">
        <f t="shared" si="187"/>
        <v>2100</v>
      </c>
      <c r="K1600" s="5" t="str">
        <f t="shared" si="188"/>
        <v>000</v>
      </c>
      <c r="L1600" s="5">
        <f t="shared" si="189"/>
        <v>3</v>
      </c>
      <c r="M1600" s="5">
        <f t="shared" si="190"/>
        <v>2012</v>
      </c>
    </row>
    <row r="1601" spans="1:13" ht="17.45" customHeight="1" x14ac:dyDescent="0.25">
      <c r="A1601" s="1">
        <f>DATE(2012,3,12)</f>
        <v>40980</v>
      </c>
      <c r="B1601" t="s">
        <v>16</v>
      </c>
      <c r="C1601" t="s">
        <v>8</v>
      </c>
      <c r="D1601" s="3">
        <v>1029.1325000000002</v>
      </c>
      <c r="E1601" s="3">
        <v>0</v>
      </c>
      <c r="F1601" t="s">
        <v>45</v>
      </c>
      <c r="G1601" s="3">
        <f t="shared" si="184"/>
        <v>-1029.1325000000002</v>
      </c>
      <c r="H1601" s="3">
        <f t="shared" si="185"/>
        <v>1029.1325000000002</v>
      </c>
      <c r="I1601" s="5" t="str">
        <f t="shared" si="186"/>
        <v>017</v>
      </c>
      <c r="J1601" s="5" t="str">
        <f t="shared" si="187"/>
        <v>2210</v>
      </c>
      <c r="K1601" s="5" t="str">
        <f t="shared" si="188"/>
        <v>000</v>
      </c>
      <c r="L1601" s="5">
        <f t="shared" si="189"/>
        <v>3</v>
      </c>
      <c r="M1601" s="5">
        <f t="shared" si="190"/>
        <v>2012</v>
      </c>
    </row>
    <row r="1602" spans="1:13" ht="17.45" customHeight="1" x14ac:dyDescent="0.25">
      <c r="A1602" s="1">
        <f>DATE(2012,3,12)</f>
        <v>40980</v>
      </c>
      <c r="B1602" t="s">
        <v>17</v>
      </c>
      <c r="C1602" t="s">
        <v>9</v>
      </c>
      <c r="D1602" s="3">
        <v>322.82249999999999</v>
      </c>
      <c r="E1602" s="3">
        <v>0</v>
      </c>
      <c r="F1602" t="s">
        <v>45</v>
      </c>
      <c r="G1602" s="3">
        <f t="shared" ref="G1602:G1665" si="191">E1602-D1602</f>
        <v>-322.82249999999999</v>
      </c>
      <c r="H1602" s="3">
        <f t="shared" ref="H1602:H1665" si="192">ABS(G1602)</f>
        <v>322.82249999999999</v>
      </c>
      <c r="I1602" s="5" t="str">
        <f t="shared" ref="I1602:I1665" si="193">MID(B1602,1,3)</f>
        <v>017</v>
      </c>
      <c r="J1602" s="5" t="str">
        <f t="shared" ref="J1602:J1665" si="194">MID(B1602,5,4)</f>
        <v>2220</v>
      </c>
      <c r="K1602" s="5" t="str">
        <f t="shared" ref="K1602:K1665" si="195">MID(B1602,10,3)</f>
        <v>000</v>
      </c>
      <c r="L1602" s="5">
        <f t="shared" ref="L1602:L1665" si="196">MONTH(A1602)</f>
        <v>3</v>
      </c>
      <c r="M1602" s="5">
        <f t="shared" ref="M1602:M1665" si="197">YEAR(A1602)</f>
        <v>2012</v>
      </c>
    </row>
    <row r="1603" spans="1:13" ht="17.45" customHeight="1" x14ac:dyDescent="0.25">
      <c r="A1603" s="1">
        <f>DATE(2012,3,12)</f>
        <v>40980</v>
      </c>
      <c r="B1603" t="s">
        <v>18</v>
      </c>
      <c r="C1603" t="s">
        <v>10</v>
      </c>
      <c r="D1603" s="3">
        <v>98.04</v>
      </c>
      <c r="E1603" s="3">
        <v>0</v>
      </c>
      <c r="F1603" t="s">
        <v>45</v>
      </c>
      <c r="G1603" s="3">
        <f t="shared" si="191"/>
        <v>-98.04</v>
      </c>
      <c r="H1603" s="3">
        <f t="shared" si="192"/>
        <v>98.04</v>
      </c>
      <c r="I1603" s="5" t="str">
        <f t="shared" si="193"/>
        <v>017</v>
      </c>
      <c r="J1603" s="5" t="str">
        <f t="shared" si="194"/>
        <v>2230</v>
      </c>
      <c r="K1603" s="5" t="str">
        <f t="shared" si="195"/>
        <v>000</v>
      </c>
      <c r="L1603" s="5">
        <f t="shared" si="196"/>
        <v>3</v>
      </c>
      <c r="M1603" s="5">
        <f t="shared" si="197"/>
        <v>2012</v>
      </c>
    </row>
    <row r="1604" spans="1:13" ht="17.45" customHeight="1" x14ac:dyDescent="0.25">
      <c r="A1604" s="1">
        <f>DATE(2012,3,13)</f>
        <v>40981</v>
      </c>
      <c r="B1604" t="s">
        <v>15</v>
      </c>
      <c r="C1604" t="s">
        <v>6</v>
      </c>
      <c r="D1604" s="3">
        <v>3772.6041999999998</v>
      </c>
      <c r="E1604" s="3">
        <v>0</v>
      </c>
      <c r="F1604" t="s">
        <v>45</v>
      </c>
      <c r="G1604" s="3">
        <f t="shared" si="191"/>
        <v>-3772.6041999999998</v>
      </c>
      <c r="H1604" s="3">
        <f t="shared" si="192"/>
        <v>3772.6041999999998</v>
      </c>
      <c r="I1604" s="5" t="str">
        <f t="shared" si="193"/>
        <v>017</v>
      </c>
      <c r="J1604" s="5" t="str">
        <f t="shared" si="194"/>
        <v>2100</v>
      </c>
      <c r="K1604" s="5" t="str">
        <f t="shared" si="195"/>
        <v>000</v>
      </c>
      <c r="L1604" s="5">
        <f t="shared" si="196"/>
        <v>3</v>
      </c>
      <c r="M1604" s="5">
        <f t="shared" si="197"/>
        <v>2012</v>
      </c>
    </row>
    <row r="1605" spans="1:13" ht="17.45" customHeight="1" x14ac:dyDescent="0.25">
      <c r="A1605" s="1">
        <f>DATE(2012,3,13)</f>
        <v>40981</v>
      </c>
      <c r="B1605" t="s">
        <v>16</v>
      </c>
      <c r="C1605" t="s">
        <v>8</v>
      </c>
      <c r="D1605" s="3">
        <v>1351.0240000000001</v>
      </c>
      <c r="E1605" s="3">
        <v>0</v>
      </c>
      <c r="F1605" t="s">
        <v>45</v>
      </c>
      <c r="G1605" s="3">
        <f t="shared" si="191"/>
        <v>-1351.0240000000001</v>
      </c>
      <c r="H1605" s="3">
        <f t="shared" si="192"/>
        <v>1351.0240000000001</v>
      </c>
      <c r="I1605" s="5" t="str">
        <f t="shared" si="193"/>
        <v>017</v>
      </c>
      <c r="J1605" s="5" t="str">
        <f t="shared" si="194"/>
        <v>2210</v>
      </c>
      <c r="K1605" s="5" t="str">
        <f t="shared" si="195"/>
        <v>000</v>
      </c>
      <c r="L1605" s="5">
        <f t="shared" si="196"/>
        <v>3</v>
      </c>
      <c r="M1605" s="5">
        <f t="shared" si="197"/>
        <v>2012</v>
      </c>
    </row>
    <row r="1606" spans="1:13" ht="17.45" customHeight="1" x14ac:dyDescent="0.25">
      <c r="A1606" s="1">
        <f>DATE(2012,3,13)</f>
        <v>40981</v>
      </c>
      <c r="B1606" t="s">
        <v>17</v>
      </c>
      <c r="C1606" t="s">
        <v>9</v>
      </c>
      <c r="D1606" s="3">
        <v>283.64999999999998</v>
      </c>
      <c r="E1606" s="3">
        <v>0</v>
      </c>
      <c r="F1606" t="s">
        <v>45</v>
      </c>
      <c r="G1606" s="3">
        <f t="shared" si="191"/>
        <v>-283.64999999999998</v>
      </c>
      <c r="H1606" s="3">
        <f t="shared" si="192"/>
        <v>283.64999999999998</v>
      </c>
      <c r="I1606" s="5" t="str">
        <f t="shared" si="193"/>
        <v>017</v>
      </c>
      <c r="J1606" s="5" t="str">
        <f t="shared" si="194"/>
        <v>2220</v>
      </c>
      <c r="K1606" s="5" t="str">
        <f t="shared" si="195"/>
        <v>000</v>
      </c>
      <c r="L1606" s="5">
        <f t="shared" si="196"/>
        <v>3</v>
      </c>
      <c r="M1606" s="5">
        <f t="shared" si="197"/>
        <v>2012</v>
      </c>
    </row>
    <row r="1607" spans="1:13" ht="17.45" customHeight="1" x14ac:dyDescent="0.25">
      <c r="A1607" s="1">
        <f>DATE(2012,3,13)</f>
        <v>40981</v>
      </c>
      <c r="B1607" t="s">
        <v>18</v>
      </c>
      <c r="C1607" t="s">
        <v>10</v>
      </c>
      <c r="D1607" s="3">
        <v>43.877000000000002</v>
      </c>
      <c r="E1607" s="3">
        <v>0</v>
      </c>
      <c r="F1607" t="s">
        <v>45</v>
      </c>
      <c r="G1607" s="3">
        <f t="shared" si="191"/>
        <v>-43.877000000000002</v>
      </c>
      <c r="H1607" s="3">
        <f t="shared" si="192"/>
        <v>43.877000000000002</v>
      </c>
      <c r="I1607" s="5" t="str">
        <f t="shared" si="193"/>
        <v>017</v>
      </c>
      <c r="J1607" s="5" t="str">
        <f t="shared" si="194"/>
        <v>2230</v>
      </c>
      <c r="K1607" s="5" t="str">
        <f t="shared" si="195"/>
        <v>000</v>
      </c>
      <c r="L1607" s="5">
        <f t="shared" si="196"/>
        <v>3</v>
      </c>
      <c r="M1607" s="5">
        <f t="shared" si="197"/>
        <v>2012</v>
      </c>
    </row>
    <row r="1608" spans="1:13" ht="17.45" customHeight="1" x14ac:dyDescent="0.25">
      <c r="A1608" s="1">
        <f>DATE(2012,3,14)</f>
        <v>40982</v>
      </c>
      <c r="B1608" t="s">
        <v>15</v>
      </c>
      <c r="C1608" t="s">
        <v>6</v>
      </c>
      <c r="D1608" s="3">
        <v>5206.8554999999997</v>
      </c>
      <c r="E1608" s="3">
        <v>0</v>
      </c>
      <c r="F1608" t="s">
        <v>45</v>
      </c>
      <c r="G1608" s="3">
        <f t="shared" si="191"/>
        <v>-5206.8554999999997</v>
      </c>
      <c r="H1608" s="3">
        <f t="shared" si="192"/>
        <v>5206.8554999999997</v>
      </c>
      <c r="I1608" s="5" t="str">
        <f t="shared" si="193"/>
        <v>017</v>
      </c>
      <c r="J1608" s="5" t="str">
        <f t="shared" si="194"/>
        <v>2100</v>
      </c>
      <c r="K1608" s="5" t="str">
        <f t="shared" si="195"/>
        <v>000</v>
      </c>
      <c r="L1608" s="5">
        <f t="shared" si="196"/>
        <v>3</v>
      </c>
      <c r="M1608" s="5">
        <f t="shared" si="197"/>
        <v>2012</v>
      </c>
    </row>
    <row r="1609" spans="1:13" ht="17.45" customHeight="1" x14ac:dyDescent="0.25">
      <c r="A1609" s="1">
        <f>DATE(2012,3,14)</f>
        <v>40982</v>
      </c>
      <c r="B1609" t="s">
        <v>16</v>
      </c>
      <c r="C1609" t="s">
        <v>8</v>
      </c>
      <c r="D1609" s="3">
        <v>1316.4460000000001</v>
      </c>
      <c r="E1609" s="3">
        <v>0</v>
      </c>
      <c r="F1609" t="s">
        <v>45</v>
      </c>
      <c r="G1609" s="3">
        <f t="shared" si="191"/>
        <v>-1316.4460000000001</v>
      </c>
      <c r="H1609" s="3">
        <f t="shared" si="192"/>
        <v>1316.4460000000001</v>
      </c>
      <c r="I1609" s="5" t="str">
        <f t="shared" si="193"/>
        <v>017</v>
      </c>
      <c r="J1609" s="5" t="str">
        <f t="shared" si="194"/>
        <v>2210</v>
      </c>
      <c r="K1609" s="5" t="str">
        <f t="shared" si="195"/>
        <v>000</v>
      </c>
      <c r="L1609" s="5">
        <f t="shared" si="196"/>
        <v>3</v>
      </c>
      <c r="M1609" s="5">
        <f t="shared" si="197"/>
        <v>2012</v>
      </c>
    </row>
    <row r="1610" spans="1:13" ht="17.45" customHeight="1" x14ac:dyDescent="0.25">
      <c r="A1610" s="1">
        <f>DATE(2012,3,14)</f>
        <v>40982</v>
      </c>
      <c r="B1610" t="s">
        <v>17</v>
      </c>
      <c r="C1610" t="s">
        <v>9</v>
      </c>
      <c r="D1610" s="3">
        <v>301.92</v>
      </c>
      <c r="E1610" s="3">
        <v>0</v>
      </c>
      <c r="F1610" t="s">
        <v>45</v>
      </c>
      <c r="G1610" s="3">
        <f t="shared" si="191"/>
        <v>-301.92</v>
      </c>
      <c r="H1610" s="3">
        <f t="shared" si="192"/>
        <v>301.92</v>
      </c>
      <c r="I1610" s="5" t="str">
        <f t="shared" si="193"/>
        <v>017</v>
      </c>
      <c r="J1610" s="5" t="str">
        <f t="shared" si="194"/>
        <v>2220</v>
      </c>
      <c r="K1610" s="5" t="str">
        <f t="shared" si="195"/>
        <v>000</v>
      </c>
      <c r="L1610" s="5">
        <f t="shared" si="196"/>
        <v>3</v>
      </c>
      <c r="M1610" s="5">
        <f t="shared" si="197"/>
        <v>2012</v>
      </c>
    </row>
    <row r="1611" spans="1:13" ht="17.45" customHeight="1" x14ac:dyDescent="0.25">
      <c r="A1611" s="1">
        <f>DATE(2012,3,14)</f>
        <v>40982</v>
      </c>
      <c r="B1611" t="s">
        <v>18</v>
      </c>
      <c r="C1611" t="s">
        <v>10</v>
      </c>
      <c r="D1611" s="3">
        <v>65.52</v>
      </c>
      <c r="E1611" s="3">
        <v>0</v>
      </c>
      <c r="F1611" t="s">
        <v>45</v>
      </c>
      <c r="G1611" s="3">
        <f t="shared" si="191"/>
        <v>-65.52</v>
      </c>
      <c r="H1611" s="3">
        <f t="shared" si="192"/>
        <v>65.52</v>
      </c>
      <c r="I1611" s="5" t="str">
        <f t="shared" si="193"/>
        <v>017</v>
      </c>
      <c r="J1611" s="5" t="str">
        <f t="shared" si="194"/>
        <v>2230</v>
      </c>
      <c r="K1611" s="5" t="str">
        <f t="shared" si="195"/>
        <v>000</v>
      </c>
      <c r="L1611" s="5">
        <f t="shared" si="196"/>
        <v>3</v>
      </c>
      <c r="M1611" s="5">
        <f t="shared" si="197"/>
        <v>2012</v>
      </c>
    </row>
    <row r="1612" spans="1:13" ht="17.45" customHeight="1" x14ac:dyDescent="0.25">
      <c r="A1612" s="1">
        <f>DATE(2012,3,15)</f>
        <v>40983</v>
      </c>
      <c r="B1612" t="s">
        <v>15</v>
      </c>
      <c r="C1612" t="s">
        <v>6</v>
      </c>
      <c r="D1612" s="3">
        <v>5609.9404999999997</v>
      </c>
      <c r="E1612" s="3">
        <v>0</v>
      </c>
      <c r="F1612" t="s">
        <v>45</v>
      </c>
      <c r="G1612" s="3">
        <f t="shared" si="191"/>
        <v>-5609.9404999999997</v>
      </c>
      <c r="H1612" s="3">
        <f t="shared" si="192"/>
        <v>5609.9404999999997</v>
      </c>
      <c r="I1612" s="5" t="str">
        <f t="shared" si="193"/>
        <v>017</v>
      </c>
      <c r="J1612" s="5" t="str">
        <f t="shared" si="194"/>
        <v>2100</v>
      </c>
      <c r="K1612" s="5" t="str">
        <f t="shared" si="195"/>
        <v>000</v>
      </c>
      <c r="L1612" s="5">
        <f t="shared" si="196"/>
        <v>3</v>
      </c>
      <c r="M1612" s="5">
        <f t="shared" si="197"/>
        <v>2012</v>
      </c>
    </row>
    <row r="1613" spans="1:13" ht="17.45" customHeight="1" x14ac:dyDescent="0.25">
      <c r="A1613" s="1">
        <f>DATE(2012,3,15)</f>
        <v>40983</v>
      </c>
      <c r="B1613" t="s">
        <v>16</v>
      </c>
      <c r="C1613" t="s">
        <v>8</v>
      </c>
      <c r="D1613" s="3">
        <v>1807.19</v>
      </c>
      <c r="E1613" s="3">
        <v>0</v>
      </c>
      <c r="F1613" t="s">
        <v>45</v>
      </c>
      <c r="G1613" s="3">
        <f t="shared" si="191"/>
        <v>-1807.19</v>
      </c>
      <c r="H1613" s="3">
        <f t="shared" si="192"/>
        <v>1807.19</v>
      </c>
      <c r="I1613" s="5" t="str">
        <f t="shared" si="193"/>
        <v>017</v>
      </c>
      <c r="J1613" s="5" t="str">
        <f t="shared" si="194"/>
        <v>2210</v>
      </c>
      <c r="K1613" s="5" t="str">
        <f t="shared" si="195"/>
        <v>000</v>
      </c>
      <c r="L1613" s="5">
        <f t="shared" si="196"/>
        <v>3</v>
      </c>
      <c r="M1613" s="5">
        <f t="shared" si="197"/>
        <v>2012</v>
      </c>
    </row>
    <row r="1614" spans="1:13" ht="17.45" customHeight="1" x14ac:dyDescent="0.25">
      <c r="A1614" s="1">
        <f>DATE(2012,3,15)</f>
        <v>40983</v>
      </c>
      <c r="B1614" t="s">
        <v>17</v>
      </c>
      <c r="C1614" t="s">
        <v>9</v>
      </c>
      <c r="D1614" s="3">
        <v>349.25</v>
      </c>
      <c r="E1614" s="3">
        <v>0</v>
      </c>
      <c r="F1614" t="s">
        <v>45</v>
      </c>
      <c r="G1614" s="3">
        <f t="shared" si="191"/>
        <v>-349.25</v>
      </c>
      <c r="H1614" s="3">
        <f t="shared" si="192"/>
        <v>349.25</v>
      </c>
      <c r="I1614" s="5" t="str">
        <f t="shared" si="193"/>
        <v>017</v>
      </c>
      <c r="J1614" s="5" t="str">
        <f t="shared" si="194"/>
        <v>2220</v>
      </c>
      <c r="K1614" s="5" t="str">
        <f t="shared" si="195"/>
        <v>000</v>
      </c>
      <c r="L1614" s="5">
        <f t="shared" si="196"/>
        <v>3</v>
      </c>
      <c r="M1614" s="5">
        <f t="shared" si="197"/>
        <v>2012</v>
      </c>
    </row>
    <row r="1615" spans="1:13" ht="17.45" customHeight="1" x14ac:dyDescent="0.25">
      <c r="A1615" s="1">
        <f>DATE(2012,3,15)</f>
        <v>40983</v>
      </c>
      <c r="B1615" t="s">
        <v>18</v>
      </c>
      <c r="C1615" t="s">
        <v>10</v>
      </c>
      <c r="D1615" s="3">
        <v>119.98250000000002</v>
      </c>
      <c r="E1615" s="3">
        <v>0</v>
      </c>
      <c r="F1615" t="s">
        <v>45</v>
      </c>
      <c r="G1615" s="3">
        <f t="shared" si="191"/>
        <v>-119.98250000000002</v>
      </c>
      <c r="H1615" s="3">
        <f t="shared" si="192"/>
        <v>119.98250000000002</v>
      </c>
      <c r="I1615" s="5" t="str">
        <f t="shared" si="193"/>
        <v>017</v>
      </c>
      <c r="J1615" s="5" t="str">
        <f t="shared" si="194"/>
        <v>2230</v>
      </c>
      <c r="K1615" s="5" t="str">
        <f t="shared" si="195"/>
        <v>000</v>
      </c>
      <c r="L1615" s="5">
        <f t="shared" si="196"/>
        <v>3</v>
      </c>
      <c r="M1615" s="5">
        <f t="shared" si="197"/>
        <v>2012</v>
      </c>
    </row>
    <row r="1616" spans="1:13" ht="17.45" customHeight="1" x14ac:dyDescent="0.25">
      <c r="A1616" s="1">
        <f>DATE(2012,3,16)</f>
        <v>40984</v>
      </c>
      <c r="B1616" t="s">
        <v>15</v>
      </c>
      <c r="C1616" t="s">
        <v>6</v>
      </c>
      <c r="D1616" s="3">
        <v>7903.8050000000003</v>
      </c>
      <c r="E1616" s="3">
        <v>0</v>
      </c>
      <c r="F1616" t="s">
        <v>45</v>
      </c>
      <c r="G1616" s="3">
        <f t="shared" si="191"/>
        <v>-7903.8050000000003</v>
      </c>
      <c r="H1616" s="3">
        <f t="shared" si="192"/>
        <v>7903.8050000000003</v>
      </c>
      <c r="I1616" s="5" t="str">
        <f t="shared" si="193"/>
        <v>017</v>
      </c>
      <c r="J1616" s="5" t="str">
        <f t="shared" si="194"/>
        <v>2100</v>
      </c>
      <c r="K1616" s="5" t="str">
        <f t="shared" si="195"/>
        <v>000</v>
      </c>
      <c r="L1616" s="5">
        <f t="shared" si="196"/>
        <v>3</v>
      </c>
      <c r="M1616" s="5">
        <f t="shared" si="197"/>
        <v>2012</v>
      </c>
    </row>
    <row r="1617" spans="1:13" ht="17.45" customHeight="1" x14ac:dyDescent="0.25">
      <c r="A1617" s="1">
        <f>DATE(2012,3,16)</f>
        <v>40984</v>
      </c>
      <c r="B1617" t="s">
        <v>16</v>
      </c>
      <c r="C1617" t="s">
        <v>8</v>
      </c>
      <c r="D1617" s="3">
        <v>3063.6210000000001</v>
      </c>
      <c r="E1617" s="3">
        <v>0</v>
      </c>
      <c r="F1617" t="s">
        <v>45</v>
      </c>
      <c r="G1617" s="3">
        <f t="shared" si="191"/>
        <v>-3063.6210000000001</v>
      </c>
      <c r="H1617" s="3">
        <f t="shared" si="192"/>
        <v>3063.6210000000001</v>
      </c>
      <c r="I1617" s="5" t="str">
        <f t="shared" si="193"/>
        <v>017</v>
      </c>
      <c r="J1617" s="5" t="str">
        <f t="shared" si="194"/>
        <v>2210</v>
      </c>
      <c r="K1617" s="5" t="str">
        <f t="shared" si="195"/>
        <v>000</v>
      </c>
      <c r="L1617" s="5">
        <f t="shared" si="196"/>
        <v>3</v>
      </c>
      <c r="M1617" s="5">
        <f t="shared" si="197"/>
        <v>2012</v>
      </c>
    </row>
    <row r="1618" spans="1:13" ht="17.45" customHeight="1" x14ac:dyDescent="0.25">
      <c r="A1618" s="1">
        <f>DATE(2012,3,16)</f>
        <v>40984</v>
      </c>
      <c r="B1618" t="s">
        <v>17</v>
      </c>
      <c r="C1618" t="s">
        <v>9</v>
      </c>
      <c r="D1618" s="3">
        <v>510.61500000000001</v>
      </c>
      <c r="E1618" s="3">
        <v>0</v>
      </c>
      <c r="F1618" t="s">
        <v>45</v>
      </c>
      <c r="G1618" s="3">
        <f t="shared" si="191"/>
        <v>-510.61500000000001</v>
      </c>
      <c r="H1618" s="3">
        <f t="shared" si="192"/>
        <v>510.61500000000001</v>
      </c>
      <c r="I1618" s="5" t="str">
        <f t="shared" si="193"/>
        <v>017</v>
      </c>
      <c r="J1618" s="5" t="str">
        <f t="shared" si="194"/>
        <v>2220</v>
      </c>
      <c r="K1618" s="5" t="str">
        <f t="shared" si="195"/>
        <v>000</v>
      </c>
      <c r="L1618" s="5">
        <f t="shared" si="196"/>
        <v>3</v>
      </c>
      <c r="M1618" s="5">
        <f t="shared" si="197"/>
        <v>2012</v>
      </c>
    </row>
    <row r="1619" spans="1:13" ht="17.45" customHeight="1" x14ac:dyDescent="0.25">
      <c r="A1619" s="1">
        <f>DATE(2012,3,16)</f>
        <v>40984</v>
      </c>
      <c r="B1619" t="s">
        <v>18</v>
      </c>
      <c r="C1619" t="s">
        <v>10</v>
      </c>
      <c r="D1619" s="3">
        <v>173.72549999999998</v>
      </c>
      <c r="E1619" s="3">
        <v>0</v>
      </c>
      <c r="F1619" t="s">
        <v>45</v>
      </c>
      <c r="G1619" s="3">
        <f t="shared" si="191"/>
        <v>-173.72549999999998</v>
      </c>
      <c r="H1619" s="3">
        <f t="shared" si="192"/>
        <v>173.72549999999998</v>
      </c>
      <c r="I1619" s="5" t="str">
        <f t="shared" si="193"/>
        <v>017</v>
      </c>
      <c r="J1619" s="5" t="str">
        <f t="shared" si="194"/>
        <v>2230</v>
      </c>
      <c r="K1619" s="5" t="str">
        <f t="shared" si="195"/>
        <v>000</v>
      </c>
      <c r="L1619" s="5">
        <f t="shared" si="196"/>
        <v>3</v>
      </c>
      <c r="M1619" s="5">
        <f t="shared" si="197"/>
        <v>2012</v>
      </c>
    </row>
    <row r="1620" spans="1:13" ht="17.45" customHeight="1" x14ac:dyDescent="0.25">
      <c r="A1620" s="1">
        <f>DATE(2012,3,17)</f>
        <v>40985</v>
      </c>
      <c r="B1620" t="s">
        <v>15</v>
      </c>
      <c r="C1620" t="s">
        <v>6</v>
      </c>
      <c r="D1620" s="3">
        <v>9733.36</v>
      </c>
      <c r="E1620" s="3">
        <v>0</v>
      </c>
      <c r="F1620" t="s">
        <v>45</v>
      </c>
      <c r="G1620" s="3">
        <f t="shared" si="191"/>
        <v>-9733.36</v>
      </c>
      <c r="H1620" s="3">
        <f t="shared" si="192"/>
        <v>9733.36</v>
      </c>
      <c r="I1620" s="5" t="str">
        <f t="shared" si="193"/>
        <v>017</v>
      </c>
      <c r="J1620" s="5" t="str">
        <f t="shared" si="194"/>
        <v>2100</v>
      </c>
      <c r="K1620" s="5" t="str">
        <f t="shared" si="195"/>
        <v>000</v>
      </c>
      <c r="L1620" s="5">
        <f t="shared" si="196"/>
        <v>3</v>
      </c>
      <c r="M1620" s="5">
        <f t="shared" si="197"/>
        <v>2012</v>
      </c>
    </row>
    <row r="1621" spans="1:13" ht="17.45" customHeight="1" x14ac:dyDescent="0.25">
      <c r="A1621" s="1">
        <f>DATE(2012,3,17)</f>
        <v>40985</v>
      </c>
      <c r="B1621" t="s">
        <v>16</v>
      </c>
      <c r="C1621" t="s">
        <v>8</v>
      </c>
      <c r="D1621" s="3">
        <v>2680.3710000000001</v>
      </c>
      <c r="E1621" s="3">
        <v>0</v>
      </c>
      <c r="F1621" t="s">
        <v>45</v>
      </c>
      <c r="G1621" s="3">
        <f t="shared" si="191"/>
        <v>-2680.3710000000001</v>
      </c>
      <c r="H1621" s="3">
        <f t="shared" si="192"/>
        <v>2680.3710000000001</v>
      </c>
      <c r="I1621" s="5" t="str">
        <f t="shared" si="193"/>
        <v>017</v>
      </c>
      <c r="J1621" s="5" t="str">
        <f t="shared" si="194"/>
        <v>2210</v>
      </c>
      <c r="K1621" s="5" t="str">
        <f t="shared" si="195"/>
        <v>000</v>
      </c>
      <c r="L1621" s="5">
        <f t="shared" si="196"/>
        <v>3</v>
      </c>
      <c r="M1621" s="5">
        <f t="shared" si="197"/>
        <v>2012</v>
      </c>
    </row>
    <row r="1622" spans="1:13" ht="17.45" customHeight="1" x14ac:dyDescent="0.25">
      <c r="A1622" s="1">
        <f>DATE(2012,3,17)</f>
        <v>40985</v>
      </c>
      <c r="B1622" t="s">
        <v>17</v>
      </c>
      <c r="C1622" t="s">
        <v>9</v>
      </c>
      <c r="D1622" s="3">
        <v>407.83000000000004</v>
      </c>
      <c r="E1622" s="3">
        <v>0</v>
      </c>
      <c r="F1622" t="s">
        <v>45</v>
      </c>
      <c r="G1622" s="3">
        <f t="shared" si="191"/>
        <v>-407.83000000000004</v>
      </c>
      <c r="H1622" s="3">
        <f t="shared" si="192"/>
        <v>407.83000000000004</v>
      </c>
      <c r="I1622" s="5" t="str">
        <f t="shared" si="193"/>
        <v>017</v>
      </c>
      <c r="J1622" s="5" t="str">
        <f t="shared" si="194"/>
        <v>2220</v>
      </c>
      <c r="K1622" s="5" t="str">
        <f t="shared" si="195"/>
        <v>000</v>
      </c>
      <c r="L1622" s="5">
        <f t="shared" si="196"/>
        <v>3</v>
      </c>
      <c r="M1622" s="5">
        <f t="shared" si="197"/>
        <v>2012</v>
      </c>
    </row>
    <row r="1623" spans="1:13" ht="17.45" customHeight="1" x14ac:dyDescent="0.25">
      <c r="A1623" s="1">
        <f>DATE(2012,3,17)</f>
        <v>40985</v>
      </c>
      <c r="B1623" t="s">
        <v>18</v>
      </c>
      <c r="C1623" t="s">
        <v>10</v>
      </c>
      <c r="D1623" s="3">
        <v>33.779999999999994</v>
      </c>
      <c r="E1623" s="3">
        <v>0</v>
      </c>
      <c r="F1623" t="s">
        <v>45</v>
      </c>
      <c r="G1623" s="3">
        <f t="shared" si="191"/>
        <v>-33.779999999999994</v>
      </c>
      <c r="H1623" s="3">
        <f t="shared" si="192"/>
        <v>33.779999999999994</v>
      </c>
      <c r="I1623" s="5" t="str">
        <f t="shared" si="193"/>
        <v>017</v>
      </c>
      <c r="J1623" s="5" t="str">
        <f t="shared" si="194"/>
        <v>2230</v>
      </c>
      <c r="K1623" s="5" t="str">
        <f t="shared" si="195"/>
        <v>000</v>
      </c>
      <c r="L1623" s="5">
        <f t="shared" si="196"/>
        <v>3</v>
      </c>
      <c r="M1623" s="5">
        <f t="shared" si="197"/>
        <v>2012</v>
      </c>
    </row>
    <row r="1624" spans="1:13" ht="17.45" customHeight="1" x14ac:dyDescent="0.25">
      <c r="A1624" s="1">
        <f>DATE(2012,3,18)</f>
        <v>40986</v>
      </c>
      <c r="B1624" t="s">
        <v>15</v>
      </c>
      <c r="C1624" t="s">
        <v>6</v>
      </c>
      <c r="D1624" s="3">
        <v>4733.3248000000003</v>
      </c>
      <c r="E1624" s="3">
        <v>0</v>
      </c>
      <c r="F1624" t="s">
        <v>45</v>
      </c>
      <c r="G1624" s="3">
        <f t="shared" si="191"/>
        <v>-4733.3248000000003</v>
      </c>
      <c r="H1624" s="3">
        <f t="shared" si="192"/>
        <v>4733.3248000000003</v>
      </c>
      <c r="I1624" s="5" t="str">
        <f t="shared" si="193"/>
        <v>017</v>
      </c>
      <c r="J1624" s="5" t="str">
        <f t="shared" si="194"/>
        <v>2100</v>
      </c>
      <c r="K1624" s="5" t="str">
        <f t="shared" si="195"/>
        <v>000</v>
      </c>
      <c r="L1624" s="5">
        <f t="shared" si="196"/>
        <v>3</v>
      </c>
      <c r="M1624" s="5">
        <f t="shared" si="197"/>
        <v>2012</v>
      </c>
    </row>
    <row r="1625" spans="1:13" ht="17.45" customHeight="1" x14ac:dyDescent="0.25">
      <c r="A1625" s="1">
        <f>DATE(2012,3,18)</f>
        <v>40986</v>
      </c>
      <c r="B1625" t="s">
        <v>16</v>
      </c>
      <c r="C1625" t="s">
        <v>8</v>
      </c>
      <c r="D1625" s="3">
        <v>1505.4840000000002</v>
      </c>
      <c r="E1625" s="3">
        <v>0</v>
      </c>
      <c r="F1625" t="s">
        <v>45</v>
      </c>
      <c r="G1625" s="3">
        <f t="shared" si="191"/>
        <v>-1505.4840000000002</v>
      </c>
      <c r="H1625" s="3">
        <f t="shared" si="192"/>
        <v>1505.4840000000002</v>
      </c>
      <c r="I1625" s="5" t="str">
        <f t="shared" si="193"/>
        <v>017</v>
      </c>
      <c r="J1625" s="5" t="str">
        <f t="shared" si="194"/>
        <v>2210</v>
      </c>
      <c r="K1625" s="5" t="str">
        <f t="shared" si="195"/>
        <v>000</v>
      </c>
      <c r="L1625" s="5">
        <f t="shared" si="196"/>
        <v>3</v>
      </c>
      <c r="M1625" s="5">
        <f t="shared" si="197"/>
        <v>2012</v>
      </c>
    </row>
    <row r="1626" spans="1:13" ht="17.45" customHeight="1" x14ac:dyDescent="0.25">
      <c r="A1626" s="1">
        <f>DATE(2012,3,18)</f>
        <v>40986</v>
      </c>
      <c r="B1626" t="s">
        <v>17</v>
      </c>
      <c r="C1626" t="s">
        <v>9</v>
      </c>
      <c r="D1626" s="3">
        <v>252.9975</v>
      </c>
      <c r="E1626" s="3">
        <v>0</v>
      </c>
      <c r="F1626" t="s">
        <v>45</v>
      </c>
      <c r="G1626" s="3">
        <f t="shared" si="191"/>
        <v>-252.9975</v>
      </c>
      <c r="H1626" s="3">
        <f t="shared" si="192"/>
        <v>252.9975</v>
      </c>
      <c r="I1626" s="5" t="str">
        <f t="shared" si="193"/>
        <v>017</v>
      </c>
      <c r="J1626" s="5" t="str">
        <f t="shared" si="194"/>
        <v>2220</v>
      </c>
      <c r="K1626" s="5" t="str">
        <f t="shared" si="195"/>
        <v>000</v>
      </c>
      <c r="L1626" s="5">
        <f t="shared" si="196"/>
        <v>3</v>
      </c>
      <c r="M1626" s="5">
        <f t="shared" si="197"/>
        <v>2012</v>
      </c>
    </row>
    <row r="1627" spans="1:13" ht="17.45" customHeight="1" x14ac:dyDescent="0.25">
      <c r="A1627" s="1">
        <f>DATE(2012,3,18)</f>
        <v>40986</v>
      </c>
      <c r="B1627" t="s">
        <v>18</v>
      </c>
      <c r="C1627" t="s">
        <v>10</v>
      </c>
      <c r="D1627" s="3">
        <v>95.925000000000011</v>
      </c>
      <c r="E1627" s="3">
        <v>0</v>
      </c>
      <c r="F1627" t="s">
        <v>45</v>
      </c>
      <c r="G1627" s="3">
        <f t="shared" si="191"/>
        <v>-95.925000000000011</v>
      </c>
      <c r="H1627" s="3">
        <f t="shared" si="192"/>
        <v>95.925000000000011</v>
      </c>
      <c r="I1627" s="5" t="str">
        <f t="shared" si="193"/>
        <v>017</v>
      </c>
      <c r="J1627" s="5" t="str">
        <f t="shared" si="194"/>
        <v>2230</v>
      </c>
      <c r="K1627" s="5" t="str">
        <f t="shared" si="195"/>
        <v>000</v>
      </c>
      <c r="L1627" s="5">
        <f t="shared" si="196"/>
        <v>3</v>
      </c>
      <c r="M1627" s="5">
        <f t="shared" si="197"/>
        <v>2012</v>
      </c>
    </row>
    <row r="1628" spans="1:13" ht="17.45" customHeight="1" x14ac:dyDescent="0.25">
      <c r="A1628" s="1">
        <f>DATE(2012,3,12)</f>
        <v>40980</v>
      </c>
      <c r="B1628" t="s">
        <v>19</v>
      </c>
      <c r="C1628" t="s">
        <v>6</v>
      </c>
      <c r="D1628" s="3">
        <v>3098.1565000000001</v>
      </c>
      <c r="E1628" s="3">
        <v>0</v>
      </c>
      <c r="F1628" t="s">
        <v>45</v>
      </c>
      <c r="G1628" s="3">
        <f t="shared" si="191"/>
        <v>-3098.1565000000001</v>
      </c>
      <c r="H1628" s="3">
        <f t="shared" si="192"/>
        <v>3098.1565000000001</v>
      </c>
      <c r="I1628" s="5" t="str">
        <f t="shared" si="193"/>
        <v>018</v>
      </c>
      <c r="J1628" s="5" t="str">
        <f t="shared" si="194"/>
        <v>2100</v>
      </c>
      <c r="K1628" s="5" t="str">
        <f t="shared" si="195"/>
        <v>000</v>
      </c>
      <c r="L1628" s="5">
        <f t="shared" si="196"/>
        <v>3</v>
      </c>
      <c r="M1628" s="5">
        <f t="shared" si="197"/>
        <v>2012</v>
      </c>
    </row>
    <row r="1629" spans="1:13" ht="17.45" customHeight="1" x14ac:dyDescent="0.25">
      <c r="A1629" s="1">
        <f>DATE(2012,3,12)</f>
        <v>40980</v>
      </c>
      <c r="B1629" t="s">
        <v>20</v>
      </c>
      <c r="C1629" t="s">
        <v>8</v>
      </c>
      <c r="D1629" s="3">
        <v>854.73849999999993</v>
      </c>
      <c r="E1629" s="3">
        <v>0</v>
      </c>
      <c r="F1629" t="s">
        <v>45</v>
      </c>
      <c r="G1629" s="3">
        <f t="shared" si="191"/>
        <v>-854.73849999999993</v>
      </c>
      <c r="H1629" s="3">
        <f t="shared" si="192"/>
        <v>854.73849999999993</v>
      </c>
      <c r="I1629" s="5" t="str">
        <f t="shared" si="193"/>
        <v>018</v>
      </c>
      <c r="J1629" s="5" t="str">
        <f t="shared" si="194"/>
        <v>2210</v>
      </c>
      <c r="K1629" s="5" t="str">
        <f t="shared" si="195"/>
        <v>000</v>
      </c>
      <c r="L1629" s="5">
        <f t="shared" si="196"/>
        <v>3</v>
      </c>
      <c r="M1629" s="5">
        <f t="shared" si="197"/>
        <v>2012</v>
      </c>
    </row>
    <row r="1630" spans="1:13" ht="17.45" customHeight="1" x14ac:dyDescent="0.25">
      <c r="A1630" s="1">
        <f>DATE(2012,3,12)</f>
        <v>40980</v>
      </c>
      <c r="B1630" t="s">
        <v>21</v>
      </c>
      <c r="C1630" t="s">
        <v>9</v>
      </c>
      <c r="D1630" s="3">
        <v>117.092</v>
      </c>
      <c r="E1630" s="3">
        <v>0</v>
      </c>
      <c r="F1630" t="s">
        <v>45</v>
      </c>
      <c r="G1630" s="3">
        <f t="shared" si="191"/>
        <v>-117.092</v>
      </c>
      <c r="H1630" s="3">
        <f t="shared" si="192"/>
        <v>117.092</v>
      </c>
      <c r="I1630" s="5" t="str">
        <f t="shared" si="193"/>
        <v>018</v>
      </c>
      <c r="J1630" s="5" t="str">
        <f t="shared" si="194"/>
        <v>2220</v>
      </c>
      <c r="K1630" s="5" t="str">
        <f t="shared" si="195"/>
        <v>000</v>
      </c>
      <c r="L1630" s="5">
        <f t="shared" si="196"/>
        <v>3</v>
      </c>
      <c r="M1630" s="5">
        <f t="shared" si="197"/>
        <v>2012</v>
      </c>
    </row>
    <row r="1631" spans="1:13" ht="17.45" customHeight="1" x14ac:dyDescent="0.25">
      <c r="A1631" s="1">
        <f>DATE(2012,3,12)</f>
        <v>40980</v>
      </c>
      <c r="B1631" t="s">
        <v>22</v>
      </c>
      <c r="C1631" t="s">
        <v>10</v>
      </c>
      <c r="D1631" s="3">
        <v>14.237499999999999</v>
      </c>
      <c r="E1631" s="3">
        <v>0</v>
      </c>
      <c r="F1631" t="s">
        <v>45</v>
      </c>
      <c r="G1631" s="3">
        <f t="shared" si="191"/>
        <v>-14.237499999999999</v>
      </c>
      <c r="H1631" s="3">
        <f t="shared" si="192"/>
        <v>14.237499999999999</v>
      </c>
      <c r="I1631" s="5" t="str">
        <f t="shared" si="193"/>
        <v>018</v>
      </c>
      <c r="J1631" s="5" t="str">
        <f t="shared" si="194"/>
        <v>2230</v>
      </c>
      <c r="K1631" s="5" t="str">
        <f t="shared" si="195"/>
        <v>000</v>
      </c>
      <c r="L1631" s="5">
        <f t="shared" si="196"/>
        <v>3</v>
      </c>
      <c r="M1631" s="5">
        <f t="shared" si="197"/>
        <v>2012</v>
      </c>
    </row>
    <row r="1632" spans="1:13" ht="17.45" customHeight="1" x14ac:dyDescent="0.25">
      <c r="A1632" s="1">
        <f>DATE(2012,3,13)</f>
        <v>40981</v>
      </c>
      <c r="B1632" t="s">
        <v>19</v>
      </c>
      <c r="C1632" t="s">
        <v>6</v>
      </c>
      <c r="D1632" s="3">
        <v>4907.8645000000006</v>
      </c>
      <c r="E1632" s="3">
        <v>0</v>
      </c>
      <c r="F1632" t="s">
        <v>45</v>
      </c>
      <c r="G1632" s="3">
        <f t="shared" si="191"/>
        <v>-4907.8645000000006</v>
      </c>
      <c r="H1632" s="3">
        <f t="shared" si="192"/>
        <v>4907.8645000000006</v>
      </c>
      <c r="I1632" s="5" t="str">
        <f t="shared" si="193"/>
        <v>018</v>
      </c>
      <c r="J1632" s="5" t="str">
        <f t="shared" si="194"/>
        <v>2100</v>
      </c>
      <c r="K1632" s="5" t="str">
        <f t="shared" si="195"/>
        <v>000</v>
      </c>
      <c r="L1632" s="5">
        <f t="shared" si="196"/>
        <v>3</v>
      </c>
      <c r="M1632" s="5">
        <f t="shared" si="197"/>
        <v>2012</v>
      </c>
    </row>
    <row r="1633" spans="1:13" ht="17.45" customHeight="1" x14ac:dyDescent="0.25">
      <c r="A1633" s="1">
        <f>DATE(2012,3,13)</f>
        <v>40981</v>
      </c>
      <c r="B1633" t="s">
        <v>20</v>
      </c>
      <c r="C1633" t="s">
        <v>8</v>
      </c>
      <c r="D1633" s="3">
        <v>700.28800000000001</v>
      </c>
      <c r="E1633" s="3">
        <v>0</v>
      </c>
      <c r="F1633" t="s">
        <v>45</v>
      </c>
      <c r="G1633" s="3">
        <f t="shared" si="191"/>
        <v>-700.28800000000001</v>
      </c>
      <c r="H1633" s="3">
        <f t="shared" si="192"/>
        <v>700.28800000000001</v>
      </c>
      <c r="I1633" s="5" t="str">
        <f t="shared" si="193"/>
        <v>018</v>
      </c>
      <c r="J1633" s="5" t="str">
        <f t="shared" si="194"/>
        <v>2210</v>
      </c>
      <c r="K1633" s="5" t="str">
        <f t="shared" si="195"/>
        <v>000</v>
      </c>
      <c r="L1633" s="5">
        <f t="shared" si="196"/>
        <v>3</v>
      </c>
      <c r="M1633" s="5">
        <f t="shared" si="197"/>
        <v>2012</v>
      </c>
    </row>
    <row r="1634" spans="1:13" ht="17.45" customHeight="1" x14ac:dyDescent="0.25">
      <c r="A1634" s="1">
        <f>DATE(2012,3,13)</f>
        <v>40981</v>
      </c>
      <c r="B1634" t="s">
        <v>21</v>
      </c>
      <c r="C1634" t="s">
        <v>9</v>
      </c>
      <c r="D1634" s="3">
        <v>193.9425</v>
      </c>
      <c r="E1634" s="3">
        <v>0</v>
      </c>
      <c r="F1634" t="s">
        <v>45</v>
      </c>
      <c r="G1634" s="3">
        <f t="shared" si="191"/>
        <v>-193.9425</v>
      </c>
      <c r="H1634" s="3">
        <f t="shared" si="192"/>
        <v>193.9425</v>
      </c>
      <c r="I1634" s="5" t="str">
        <f t="shared" si="193"/>
        <v>018</v>
      </c>
      <c r="J1634" s="5" t="str">
        <f t="shared" si="194"/>
        <v>2220</v>
      </c>
      <c r="K1634" s="5" t="str">
        <f t="shared" si="195"/>
        <v>000</v>
      </c>
      <c r="L1634" s="5">
        <f t="shared" si="196"/>
        <v>3</v>
      </c>
      <c r="M1634" s="5">
        <f t="shared" si="197"/>
        <v>2012</v>
      </c>
    </row>
    <row r="1635" spans="1:13" ht="17.45" customHeight="1" x14ac:dyDescent="0.25">
      <c r="A1635" s="1">
        <f>DATE(2012,3,13)</f>
        <v>40981</v>
      </c>
      <c r="B1635" t="s">
        <v>22</v>
      </c>
      <c r="C1635" t="s">
        <v>10</v>
      </c>
      <c r="D1635" s="3">
        <v>29.867500000000003</v>
      </c>
      <c r="E1635" s="3">
        <v>0</v>
      </c>
      <c r="F1635" t="s">
        <v>45</v>
      </c>
      <c r="G1635" s="3">
        <f t="shared" si="191"/>
        <v>-29.867500000000003</v>
      </c>
      <c r="H1635" s="3">
        <f t="shared" si="192"/>
        <v>29.867500000000003</v>
      </c>
      <c r="I1635" s="5" t="str">
        <f t="shared" si="193"/>
        <v>018</v>
      </c>
      <c r="J1635" s="5" t="str">
        <f t="shared" si="194"/>
        <v>2230</v>
      </c>
      <c r="K1635" s="5" t="str">
        <f t="shared" si="195"/>
        <v>000</v>
      </c>
      <c r="L1635" s="5">
        <f t="shared" si="196"/>
        <v>3</v>
      </c>
      <c r="M1635" s="5">
        <f t="shared" si="197"/>
        <v>2012</v>
      </c>
    </row>
    <row r="1636" spans="1:13" ht="17.45" customHeight="1" x14ac:dyDescent="0.25">
      <c r="A1636" s="1">
        <f>DATE(2012,3,14)</f>
        <v>40982</v>
      </c>
      <c r="B1636" t="s">
        <v>19</v>
      </c>
      <c r="C1636" t="s">
        <v>6</v>
      </c>
      <c r="D1636" s="3">
        <v>4137.78</v>
      </c>
      <c r="E1636" s="3">
        <v>0</v>
      </c>
      <c r="F1636" t="s">
        <v>45</v>
      </c>
      <c r="G1636" s="3">
        <f t="shared" si="191"/>
        <v>-4137.78</v>
      </c>
      <c r="H1636" s="3">
        <f t="shared" si="192"/>
        <v>4137.78</v>
      </c>
      <c r="I1636" s="5" t="str">
        <f t="shared" si="193"/>
        <v>018</v>
      </c>
      <c r="J1636" s="5" t="str">
        <f t="shared" si="194"/>
        <v>2100</v>
      </c>
      <c r="K1636" s="5" t="str">
        <f t="shared" si="195"/>
        <v>000</v>
      </c>
      <c r="L1636" s="5">
        <f t="shared" si="196"/>
        <v>3</v>
      </c>
      <c r="M1636" s="5">
        <f t="shared" si="197"/>
        <v>2012</v>
      </c>
    </row>
    <row r="1637" spans="1:13" ht="17.45" customHeight="1" x14ac:dyDescent="0.25">
      <c r="A1637" s="1">
        <f>DATE(2012,3,14)</f>
        <v>40982</v>
      </c>
      <c r="B1637" t="s">
        <v>20</v>
      </c>
      <c r="C1637" t="s">
        <v>8</v>
      </c>
      <c r="D1637" s="3">
        <v>1358.9945</v>
      </c>
      <c r="E1637" s="3">
        <v>0</v>
      </c>
      <c r="F1637" t="s">
        <v>45</v>
      </c>
      <c r="G1637" s="3">
        <f t="shared" si="191"/>
        <v>-1358.9945</v>
      </c>
      <c r="H1637" s="3">
        <f t="shared" si="192"/>
        <v>1358.9945</v>
      </c>
      <c r="I1637" s="5" t="str">
        <f t="shared" si="193"/>
        <v>018</v>
      </c>
      <c r="J1637" s="5" t="str">
        <f t="shared" si="194"/>
        <v>2210</v>
      </c>
      <c r="K1637" s="5" t="str">
        <f t="shared" si="195"/>
        <v>000</v>
      </c>
      <c r="L1637" s="5">
        <f t="shared" si="196"/>
        <v>3</v>
      </c>
      <c r="M1637" s="5">
        <f t="shared" si="197"/>
        <v>2012</v>
      </c>
    </row>
    <row r="1638" spans="1:13" ht="17.45" customHeight="1" x14ac:dyDescent="0.25">
      <c r="A1638" s="1">
        <f>DATE(2012,3,14)</f>
        <v>40982</v>
      </c>
      <c r="B1638" t="s">
        <v>21</v>
      </c>
      <c r="C1638" t="s">
        <v>9</v>
      </c>
      <c r="D1638" s="3">
        <v>305.94600000000003</v>
      </c>
      <c r="E1638" s="3">
        <v>0</v>
      </c>
      <c r="F1638" t="s">
        <v>45</v>
      </c>
      <c r="G1638" s="3">
        <f t="shared" si="191"/>
        <v>-305.94600000000003</v>
      </c>
      <c r="H1638" s="3">
        <f t="shared" si="192"/>
        <v>305.94600000000003</v>
      </c>
      <c r="I1638" s="5" t="str">
        <f t="shared" si="193"/>
        <v>018</v>
      </c>
      <c r="J1638" s="5" t="str">
        <f t="shared" si="194"/>
        <v>2220</v>
      </c>
      <c r="K1638" s="5" t="str">
        <f t="shared" si="195"/>
        <v>000</v>
      </c>
      <c r="L1638" s="5">
        <f t="shared" si="196"/>
        <v>3</v>
      </c>
      <c r="M1638" s="5">
        <f t="shared" si="197"/>
        <v>2012</v>
      </c>
    </row>
    <row r="1639" spans="1:13" ht="17.45" customHeight="1" x14ac:dyDescent="0.25">
      <c r="A1639" s="1">
        <f>DATE(2012,3,14)</f>
        <v>40982</v>
      </c>
      <c r="B1639" t="s">
        <v>22</v>
      </c>
      <c r="C1639" t="s">
        <v>10</v>
      </c>
      <c r="D1639" s="3">
        <v>30.634</v>
      </c>
      <c r="E1639" s="3">
        <v>0</v>
      </c>
      <c r="F1639" t="s">
        <v>45</v>
      </c>
      <c r="G1639" s="3">
        <f t="shared" si="191"/>
        <v>-30.634</v>
      </c>
      <c r="H1639" s="3">
        <f t="shared" si="192"/>
        <v>30.634</v>
      </c>
      <c r="I1639" s="5" t="str">
        <f t="shared" si="193"/>
        <v>018</v>
      </c>
      <c r="J1639" s="5" t="str">
        <f t="shared" si="194"/>
        <v>2230</v>
      </c>
      <c r="K1639" s="5" t="str">
        <f t="shared" si="195"/>
        <v>000</v>
      </c>
      <c r="L1639" s="5">
        <f t="shared" si="196"/>
        <v>3</v>
      </c>
      <c r="M1639" s="5">
        <f t="shared" si="197"/>
        <v>2012</v>
      </c>
    </row>
    <row r="1640" spans="1:13" ht="17.45" customHeight="1" x14ac:dyDescent="0.25">
      <c r="A1640" s="1">
        <f>DATE(2012,3,15)</f>
        <v>40983</v>
      </c>
      <c r="B1640" t="s">
        <v>19</v>
      </c>
      <c r="C1640" t="s">
        <v>6</v>
      </c>
      <c r="D1640" s="3">
        <v>6069.978000000001</v>
      </c>
      <c r="E1640" s="3">
        <v>0</v>
      </c>
      <c r="F1640" t="s">
        <v>45</v>
      </c>
      <c r="G1640" s="3">
        <f t="shared" si="191"/>
        <v>-6069.978000000001</v>
      </c>
      <c r="H1640" s="3">
        <f t="shared" si="192"/>
        <v>6069.978000000001</v>
      </c>
      <c r="I1640" s="5" t="str">
        <f t="shared" si="193"/>
        <v>018</v>
      </c>
      <c r="J1640" s="5" t="str">
        <f t="shared" si="194"/>
        <v>2100</v>
      </c>
      <c r="K1640" s="5" t="str">
        <f t="shared" si="195"/>
        <v>000</v>
      </c>
      <c r="L1640" s="5">
        <f t="shared" si="196"/>
        <v>3</v>
      </c>
      <c r="M1640" s="5">
        <f t="shared" si="197"/>
        <v>2012</v>
      </c>
    </row>
    <row r="1641" spans="1:13" ht="17.45" customHeight="1" x14ac:dyDescent="0.25">
      <c r="A1641" s="1">
        <f>DATE(2012,3,15)</f>
        <v>40983</v>
      </c>
      <c r="B1641" t="s">
        <v>20</v>
      </c>
      <c r="C1641" t="s">
        <v>8</v>
      </c>
      <c r="D1641" s="3">
        <v>1085.04</v>
      </c>
      <c r="E1641" s="3">
        <v>0</v>
      </c>
      <c r="F1641" t="s">
        <v>45</v>
      </c>
      <c r="G1641" s="3">
        <f t="shared" si="191"/>
        <v>-1085.04</v>
      </c>
      <c r="H1641" s="3">
        <f t="shared" si="192"/>
        <v>1085.04</v>
      </c>
      <c r="I1641" s="5" t="str">
        <f t="shared" si="193"/>
        <v>018</v>
      </c>
      <c r="J1641" s="5" t="str">
        <f t="shared" si="194"/>
        <v>2210</v>
      </c>
      <c r="K1641" s="5" t="str">
        <f t="shared" si="195"/>
        <v>000</v>
      </c>
      <c r="L1641" s="5">
        <f t="shared" si="196"/>
        <v>3</v>
      </c>
      <c r="M1641" s="5">
        <f t="shared" si="197"/>
        <v>2012</v>
      </c>
    </row>
    <row r="1642" spans="1:13" ht="17.45" customHeight="1" x14ac:dyDescent="0.25">
      <c r="A1642" s="1">
        <f>DATE(2012,3,15)</f>
        <v>40983</v>
      </c>
      <c r="B1642" t="s">
        <v>21</v>
      </c>
      <c r="C1642" t="s">
        <v>9</v>
      </c>
      <c r="D1642" s="3">
        <v>197.125</v>
      </c>
      <c r="E1642" s="3">
        <v>0</v>
      </c>
      <c r="F1642" t="s">
        <v>45</v>
      </c>
      <c r="G1642" s="3">
        <f t="shared" si="191"/>
        <v>-197.125</v>
      </c>
      <c r="H1642" s="3">
        <f t="shared" si="192"/>
        <v>197.125</v>
      </c>
      <c r="I1642" s="5" t="str">
        <f t="shared" si="193"/>
        <v>018</v>
      </c>
      <c r="J1642" s="5" t="str">
        <f t="shared" si="194"/>
        <v>2220</v>
      </c>
      <c r="K1642" s="5" t="str">
        <f t="shared" si="195"/>
        <v>000</v>
      </c>
      <c r="L1642" s="5">
        <f t="shared" si="196"/>
        <v>3</v>
      </c>
      <c r="M1642" s="5">
        <f t="shared" si="197"/>
        <v>2012</v>
      </c>
    </row>
    <row r="1643" spans="1:13" ht="17.45" customHeight="1" x14ac:dyDescent="0.25">
      <c r="A1643" s="1">
        <f>DATE(2012,3,15)</f>
        <v>40983</v>
      </c>
      <c r="B1643" t="s">
        <v>22</v>
      </c>
      <c r="C1643" t="s">
        <v>10</v>
      </c>
      <c r="D1643" s="3">
        <v>94.77000000000001</v>
      </c>
      <c r="E1643" s="3">
        <v>0</v>
      </c>
      <c r="F1643" t="s">
        <v>45</v>
      </c>
      <c r="G1643" s="3">
        <f t="shared" si="191"/>
        <v>-94.77000000000001</v>
      </c>
      <c r="H1643" s="3">
        <f t="shared" si="192"/>
        <v>94.77000000000001</v>
      </c>
      <c r="I1643" s="5" t="str">
        <f t="shared" si="193"/>
        <v>018</v>
      </c>
      <c r="J1643" s="5" t="str">
        <f t="shared" si="194"/>
        <v>2230</v>
      </c>
      <c r="K1643" s="5" t="str">
        <f t="shared" si="195"/>
        <v>000</v>
      </c>
      <c r="L1643" s="5">
        <f t="shared" si="196"/>
        <v>3</v>
      </c>
      <c r="M1643" s="5">
        <f t="shared" si="197"/>
        <v>2012</v>
      </c>
    </row>
    <row r="1644" spans="1:13" ht="17.45" customHeight="1" x14ac:dyDescent="0.25">
      <c r="A1644" s="1">
        <f>DATE(2012,3,16)</f>
        <v>40984</v>
      </c>
      <c r="B1644" t="s">
        <v>19</v>
      </c>
      <c r="C1644" t="s">
        <v>6</v>
      </c>
      <c r="D1644" s="3">
        <v>6608.0099999999993</v>
      </c>
      <c r="E1644" s="3">
        <v>0</v>
      </c>
      <c r="F1644" t="s">
        <v>45</v>
      </c>
      <c r="G1644" s="3">
        <f t="shared" si="191"/>
        <v>-6608.0099999999993</v>
      </c>
      <c r="H1644" s="3">
        <f t="shared" si="192"/>
        <v>6608.0099999999993</v>
      </c>
      <c r="I1644" s="5" t="str">
        <f t="shared" si="193"/>
        <v>018</v>
      </c>
      <c r="J1644" s="5" t="str">
        <f t="shared" si="194"/>
        <v>2100</v>
      </c>
      <c r="K1644" s="5" t="str">
        <f t="shared" si="195"/>
        <v>000</v>
      </c>
      <c r="L1644" s="5">
        <f t="shared" si="196"/>
        <v>3</v>
      </c>
      <c r="M1644" s="5">
        <f t="shared" si="197"/>
        <v>2012</v>
      </c>
    </row>
    <row r="1645" spans="1:13" ht="17.45" customHeight="1" x14ac:dyDescent="0.25">
      <c r="A1645" s="1">
        <f>DATE(2012,3,16)</f>
        <v>40984</v>
      </c>
      <c r="B1645" t="s">
        <v>20</v>
      </c>
      <c r="C1645" t="s">
        <v>8</v>
      </c>
      <c r="D1645" s="3">
        <v>1767.48</v>
      </c>
      <c r="E1645" s="3">
        <v>0</v>
      </c>
      <c r="F1645" t="s">
        <v>45</v>
      </c>
      <c r="G1645" s="3">
        <f t="shared" si="191"/>
        <v>-1767.48</v>
      </c>
      <c r="H1645" s="3">
        <f t="shared" si="192"/>
        <v>1767.48</v>
      </c>
      <c r="I1645" s="5" t="str">
        <f t="shared" si="193"/>
        <v>018</v>
      </c>
      <c r="J1645" s="5" t="str">
        <f t="shared" si="194"/>
        <v>2210</v>
      </c>
      <c r="K1645" s="5" t="str">
        <f t="shared" si="195"/>
        <v>000</v>
      </c>
      <c r="L1645" s="5">
        <f t="shared" si="196"/>
        <v>3</v>
      </c>
      <c r="M1645" s="5">
        <f t="shared" si="197"/>
        <v>2012</v>
      </c>
    </row>
    <row r="1646" spans="1:13" ht="17.45" customHeight="1" x14ac:dyDescent="0.25">
      <c r="A1646" s="1">
        <f>DATE(2012,3,16)</f>
        <v>40984</v>
      </c>
      <c r="B1646" t="s">
        <v>21</v>
      </c>
      <c r="C1646" t="s">
        <v>9</v>
      </c>
      <c r="D1646" s="3">
        <v>532.93650000000002</v>
      </c>
      <c r="E1646" s="3">
        <v>0</v>
      </c>
      <c r="F1646" t="s">
        <v>45</v>
      </c>
      <c r="G1646" s="3">
        <f t="shared" si="191"/>
        <v>-532.93650000000002</v>
      </c>
      <c r="H1646" s="3">
        <f t="shared" si="192"/>
        <v>532.93650000000002</v>
      </c>
      <c r="I1646" s="5" t="str">
        <f t="shared" si="193"/>
        <v>018</v>
      </c>
      <c r="J1646" s="5" t="str">
        <f t="shared" si="194"/>
        <v>2220</v>
      </c>
      <c r="K1646" s="5" t="str">
        <f t="shared" si="195"/>
        <v>000</v>
      </c>
      <c r="L1646" s="5">
        <f t="shared" si="196"/>
        <v>3</v>
      </c>
      <c r="M1646" s="5">
        <f t="shared" si="197"/>
        <v>2012</v>
      </c>
    </row>
    <row r="1647" spans="1:13" ht="17.45" customHeight="1" x14ac:dyDescent="0.25">
      <c r="A1647" s="1">
        <f>DATE(2012,3,16)</f>
        <v>40984</v>
      </c>
      <c r="B1647" t="s">
        <v>22</v>
      </c>
      <c r="C1647" t="s">
        <v>10</v>
      </c>
      <c r="D1647" s="3">
        <v>96.53</v>
      </c>
      <c r="E1647" s="3">
        <v>0</v>
      </c>
      <c r="F1647" t="s">
        <v>45</v>
      </c>
      <c r="G1647" s="3">
        <f t="shared" si="191"/>
        <v>-96.53</v>
      </c>
      <c r="H1647" s="3">
        <f t="shared" si="192"/>
        <v>96.53</v>
      </c>
      <c r="I1647" s="5" t="str">
        <f t="shared" si="193"/>
        <v>018</v>
      </c>
      <c r="J1647" s="5" t="str">
        <f t="shared" si="194"/>
        <v>2230</v>
      </c>
      <c r="K1647" s="5" t="str">
        <f t="shared" si="195"/>
        <v>000</v>
      </c>
      <c r="L1647" s="5">
        <f t="shared" si="196"/>
        <v>3</v>
      </c>
      <c r="M1647" s="5">
        <f t="shared" si="197"/>
        <v>2012</v>
      </c>
    </row>
    <row r="1648" spans="1:13" ht="17.45" customHeight="1" x14ac:dyDescent="0.25">
      <c r="A1648" s="1">
        <f>DATE(2012,3,17)</f>
        <v>40985</v>
      </c>
      <c r="B1648" t="s">
        <v>19</v>
      </c>
      <c r="C1648" t="s">
        <v>6</v>
      </c>
      <c r="D1648" s="3">
        <v>15484.567999999999</v>
      </c>
      <c r="E1648" s="3">
        <v>0</v>
      </c>
      <c r="F1648" t="s">
        <v>45</v>
      </c>
      <c r="G1648" s="3">
        <f t="shared" si="191"/>
        <v>-15484.567999999999</v>
      </c>
      <c r="H1648" s="3">
        <f t="shared" si="192"/>
        <v>15484.567999999999</v>
      </c>
      <c r="I1648" s="5" t="str">
        <f t="shared" si="193"/>
        <v>018</v>
      </c>
      <c r="J1648" s="5" t="str">
        <f t="shared" si="194"/>
        <v>2100</v>
      </c>
      <c r="K1648" s="5" t="str">
        <f t="shared" si="195"/>
        <v>000</v>
      </c>
      <c r="L1648" s="5">
        <f t="shared" si="196"/>
        <v>3</v>
      </c>
      <c r="M1648" s="5">
        <f t="shared" si="197"/>
        <v>2012</v>
      </c>
    </row>
    <row r="1649" spans="1:13" ht="17.45" customHeight="1" x14ac:dyDescent="0.25">
      <c r="A1649" s="1">
        <f>DATE(2012,3,17)</f>
        <v>40985</v>
      </c>
      <c r="B1649" t="s">
        <v>20</v>
      </c>
      <c r="C1649" t="s">
        <v>8</v>
      </c>
      <c r="D1649" s="3">
        <v>3218.4589999999998</v>
      </c>
      <c r="E1649" s="3">
        <v>0</v>
      </c>
      <c r="F1649" t="s">
        <v>45</v>
      </c>
      <c r="G1649" s="3">
        <f t="shared" si="191"/>
        <v>-3218.4589999999998</v>
      </c>
      <c r="H1649" s="3">
        <f t="shared" si="192"/>
        <v>3218.4589999999998</v>
      </c>
      <c r="I1649" s="5" t="str">
        <f t="shared" si="193"/>
        <v>018</v>
      </c>
      <c r="J1649" s="5" t="str">
        <f t="shared" si="194"/>
        <v>2210</v>
      </c>
      <c r="K1649" s="5" t="str">
        <f t="shared" si="195"/>
        <v>000</v>
      </c>
      <c r="L1649" s="5">
        <f t="shared" si="196"/>
        <v>3</v>
      </c>
      <c r="M1649" s="5">
        <f t="shared" si="197"/>
        <v>2012</v>
      </c>
    </row>
    <row r="1650" spans="1:13" ht="17.45" customHeight="1" x14ac:dyDescent="0.25">
      <c r="A1650" s="1">
        <f>DATE(2012,3,17)</f>
        <v>40985</v>
      </c>
      <c r="B1650" t="s">
        <v>21</v>
      </c>
      <c r="C1650" t="s">
        <v>9</v>
      </c>
      <c r="D1650" s="3">
        <v>597.52350000000001</v>
      </c>
      <c r="E1650" s="3">
        <v>0</v>
      </c>
      <c r="F1650" t="s">
        <v>45</v>
      </c>
      <c r="G1650" s="3">
        <f t="shared" si="191"/>
        <v>-597.52350000000001</v>
      </c>
      <c r="H1650" s="3">
        <f t="shared" si="192"/>
        <v>597.52350000000001</v>
      </c>
      <c r="I1650" s="5" t="str">
        <f t="shared" si="193"/>
        <v>018</v>
      </c>
      <c r="J1650" s="5" t="str">
        <f t="shared" si="194"/>
        <v>2220</v>
      </c>
      <c r="K1650" s="5" t="str">
        <f t="shared" si="195"/>
        <v>000</v>
      </c>
      <c r="L1650" s="5">
        <f t="shared" si="196"/>
        <v>3</v>
      </c>
      <c r="M1650" s="5">
        <f t="shared" si="197"/>
        <v>2012</v>
      </c>
    </row>
    <row r="1651" spans="1:13" ht="17.45" customHeight="1" x14ac:dyDescent="0.25">
      <c r="A1651" s="1">
        <f>DATE(2012,3,17)</f>
        <v>40985</v>
      </c>
      <c r="B1651" t="s">
        <v>22</v>
      </c>
      <c r="C1651" t="s">
        <v>10</v>
      </c>
      <c r="D1651" s="3">
        <v>170.93849999999998</v>
      </c>
      <c r="E1651" s="3">
        <v>0</v>
      </c>
      <c r="F1651" t="s">
        <v>45</v>
      </c>
      <c r="G1651" s="3">
        <f t="shared" si="191"/>
        <v>-170.93849999999998</v>
      </c>
      <c r="H1651" s="3">
        <f t="shared" si="192"/>
        <v>170.93849999999998</v>
      </c>
      <c r="I1651" s="5" t="str">
        <f t="shared" si="193"/>
        <v>018</v>
      </c>
      <c r="J1651" s="5" t="str">
        <f t="shared" si="194"/>
        <v>2230</v>
      </c>
      <c r="K1651" s="5" t="str">
        <f t="shared" si="195"/>
        <v>000</v>
      </c>
      <c r="L1651" s="5">
        <f t="shared" si="196"/>
        <v>3</v>
      </c>
      <c r="M1651" s="5">
        <f t="shared" si="197"/>
        <v>2012</v>
      </c>
    </row>
    <row r="1652" spans="1:13" ht="17.45" customHeight="1" x14ac:dyDescent="0.25">
      <c r="A1652" s="1">
        <f>DATE(2012,3,18)</f>
        <v>40986</v>
      </c>
      <c r="B1652" t="s">
        <v>19</v>
      </c>
      <c r="C1652" t="s">
        <v>6</v>
      </c>
      <c r="D1652" s="3">
        <v>10717.129500000001</v>
      </c>
      <c r="E1652" s="3">
        <v>0</v>
      </c>
      <c r="F1652" t="s">
        <v>45</v>
      </c>
      <c r="G1652" s="3">
        <f t="shared" si="191"/>
        <v>-10717.129500000001</v>
      </c>
      <c r="H1652" s="3">
        <f t="shared" si="192"/>
        <v>10717.129500000001</v>
      </c>
      <c r="I1652" s="5" t="str">
        <f t="shared" si="193"/>
        <v>018</v>
      </c>
      <c r="J1652" s="5" t="str">
        <f t="shared" si="194"/>
        <v>2100</v>
      </c>
      <c r="K1652" s="5" t="str">
        <f t="shared" si="195"/>
        <v>000</v>
      </c>
      <c r="L1652" s="5">
        <f t="shared" si="196"/>
        <v>3</v>
      </c>
      <c r="M1652" s="5">
        <f t="shared" si="197"/>
        <v>2012</v>
      </c>
    </row>
    <row r="1653" spans="1:13" ht="17.45" customHeight="1" x14ac:dyDescent="0.25">
      <c r="A1653" s="1">
        <f>DATE(2012,3,18)</f>
        <v>40986</v>
      </c>
      <c r="B1653" t="s">
        <v>20</v>
      </c>
      <c r="C1653" t="s">
        <v>8</v>
      </c>
      <c r="D1653" s="3">
        <v>1301.9689999999998</v>
      </c>
      <c r="E1653" s="3">
        <v>0</v>
      </c>
      <c r="F1653" t="s">
        <v>45</v>
      </c>
      <c r="G1653" s="3">
        <f t="shared" si="191"/>
        <v>-1301.9689999999998</v>
      </c>
      <c r="H1653" s="3">
        <f t="shared" si="192"/>
        <v>1301.9689999999998</v>
      </c>
      <c r="I1653" s="5" t="str">
        <f t="shared" si="193"/>
        <v>018</v>
      </c>
      <c r="J1653" s="5" t="str">
        <f t="shared" si="194"/>
        <v>2210</v>
      </c>
      <c r="K1653" s="5" t="str">
        <f t="shared" si="195"/>
        <v>000</v>
      </c>
      <c r="L1653" s="5">
        <f t="shared" si="196"/>
        <v>3</v>
      </c>
      <c r="M1653" s="5">
        <f t="shared" si="197"/>
        <v>2012</v>
      </c>
    </row>
    <row r="1654" spans="1:13" ht="17.45" customHeight="1" x14ac:dyDescent="0.25">
      <c r="A1654" s="1">
        <f>DATE(2012,3,18)</f>
        <v>40986</v>
      </c>
      <c r="B1654" t="s">
        <v>21</v>
      </c>
      <c r="C1654" t="s">
        <v>9</v>
      </c>
      <c r="D1654" s="3">
        <v>423.83250000000004</v>
      </c>
      <c r="E1654" s="3">
        <v>0</v>
      </c>
      <c r="F1654" t="s">
        <v>45</v>
      </c>
      <c r="G1654" s="3">
        <f t="shared" si="191"/>
        <v>-423.83250000000004</v>
      </c>
      <c r="H1654" s="3">
        <f t="shared" si="192"/>
        <v>423.83250000000004</v>
      </c>
      <c r="I1654" s="5" t="str">
        <f t="shared" si="193"/>
        <v>018</v>
      </c>
      <c r="J1654" s="5" t="str">
        <f t="shared" si="194"/>
        <v>2220</v>
      </c>
      <c r="K1654" s="5" t="str">
        <f t="shared" si="195"/>
        <v>000</v>
      </c>
      <c r="L1654" s="5">
        <f t="shared" si="196"/>
        <v>3</v>
      </c>
      <c r="M1654" s="5">
        <f t="shared" si="197"/>
        <v>2012</v>
      </c>
    </row>
    <row r="1655" spans="1:13" ht="17.45" customHeight="1" x14ac:dyDescent="0.25">
      <c r="A1655" s="1">
        <f>DATE(2012,3,18)</f>
        <v>40986</v>
      </c>
      <c r="B1655" t="s">
        <v>22</v>
      </c>
      <c r="C1655" t="s">
        <v>10</v>
      </c>
      <c r="D1655" s="3">
        <v>103.2925</v>
      </c>
      <c r="E1655" s="3">
        <v>0</v>
      </c>
      <c r="F1655" t="s">
        <v>45</v>
      </c>
      <c r="G1655" s="3">
        <f t="shared" si="191"/>
        <v>-103.2925</v>
      </c>
      <c r="H1655" s="3">
        <f t="shared" si="192"/>
        <v>103.2925</v>
      </c>
      <c r="I1655" s="5" t="str">
        <f t="shared" si="193"/>
        <v>018</v>
      </c>
      <c r="J1655" s="5" t="str">
        <f t="shared" si="194"/>
        <v>2230</v>
      </c>
      <c r="K1655" s="5" t="str">
        <f t="shared" si="195"/>
        <v>000</v>
      </c>
      <c r="L1655" s="5">
        <f t="shared" si="196"/>
        <v>3</v>
      </c>
      <c r="M1655" s="5">
        <f t="shared" si="197"/>
        <v>2012</v>
      </c>
    </row>
    <row r="1656" spans="1:13" ht="17.45" customHeight="1" x14ac:dyDescent="0.25">
      <c r="A1656" s="1">
        <f>DATE(2012,3,19)</f>
        <v>40987</v>
      </c>
      <c r="B1656" t="s">
        <v>11</v>
      </c>
      <c r="C1656" t="s">
        <v>6</v>
      </c>
      <c r="D1656" s="3">
        <v>2368.1327999999999</v>
      </c>
      <c r="E1656" s="3">
        <v>0</v>
      </c>
      <c r="F1656" t="s">
        <v>45</v>
      </c>
      <c r="G1656" s="3">
        <f t="shared" si="191"/>
        <v>-2368.1327999999999</v>
      </c>
      <c r="H1656" s="3">
        <f t="shared" si="192"/>
        <v>2368.1327999999999</v>
      </c>
      <c r="I1656" s="5" t="str">
        <f t="shared" si="193"/>
        <v>016</v>
      </c>
      <c r="J1656" s="5" t="str">
        <f t="shared" si="194"/>
        <v>2100</v>
      </c>
      <c r="K1656" s="5" t="str">
        <f t="shared" si="195"/>
        <v>000</v>
      </c>
      <c r="L1656" s="5">
        <f t="shared" si="196"/>
        <v>3</v>
      </c>
      <c r="M1656" s="5">
        <f t="shared" si="197"/>
        <v>2012</v>
      </c>
    </row>
    <row r="1657" spans="1:13" ht="17.45" customHeight="1" x14ac:dyDescent="0.25">
      <c r="A1657" s="1">
        <f>DATE(2012,3,19)</f>
        <v>40987</v>
      </c>
      <c r="B1657" t="s">
        <v>12</v>
      </c>
      <c r="C1657" t="s">
        <v>8</v>
      </c>
      <c r="D1657" s="3">
        <v>1006.9460000000001</v>
      </c>
      <c r="E1657" s="3">
        <v>0</v>
      </c>
      <c r="F1657" t="s">
        <v>45</v>
      </c>
      <c r="G1657" s="3">
        <f t="shared" si="191"/>
        <v>-1006.9460000000001</v>
      </c>
      <c r="H1657" s="3">
        <f t="shared" si="192"/>
        <v>1006.9460000000001</v>
      </c>
      <c r="I1657" s="5" t="str">
        <f t="shared" si="193"/>
        <v>016</v>
      </c>
      <c r="J1657" s="5" t="str">
        <f t="shared" si="194"/>
        <v>2210</v>
      </c>
      <c r="K1657" s="5" t="str">
        <f t="shared" si="195"/>
        <v>000</v>
      </c>
      <c r="L1657" s="5">
        <f t="shared" si="196"/>
        <v>3</v>
      </c>
      <c r="M1657" s="5">
        <f t="shared" si="197"/>
        <v>2012</v>
      </c>
    </row>
    <row r="1658" spans="1:13" ht="17.45" customHeight="1" x14ac:dyDescent="0.25">
      <c r="A1658" s="1">
        <f>DATE(2012,3,19)</f>
        <v>40987</v>
      </c>
      <c r="B1658" t="s">
        <v>13</v>
      </c>
      <c r="C1658" t="s">
        <v>9</v>
      </c>
      <c r="D1658" s="3">
        <v>113.52</v>
      </c>
      <c r="E1658" s="3">
        <v>0</v>
      </c>
      <c r="F1658" t="s">
        <v>45</v>
      </c>
      <c r="G1658" s="3">
        <f t="shared" si="191"/>
        <v>-113.52</v>
      </c>
      <c r="H1658" s="3">
        <f t="shared" si="192"/>
        <v>113.52</v>
      </c>
      <c r="I1658" s="5" t="str">
        <f t="shared" si="193"/>
        <v>016</v>
      </c>
      <c r="J1658" s="5" t="str">
        <f t="shared" si="194"/>
        <v>2220</v>
      </c>
      <c r="K1658" s="5" t="str">
        <f t="shared" si="195"/>
        <v>000</v>
      </c>
      <c r="L1658" s="5">
        <f t="shared" si="196"/>
        <v>3</v>
      </c>
      <c r="M1658" s="5">
        <f t="shared" si="197"/>
        <v>2012</v>
      </c>
    </row>
    <row r="1659" spans="1:13" ht="17.45" customHeight="1" x14ac:dyDescent="0.25">
      <c r="A1659" s="1">
        <f>DATE(2012,3,19)</f>
        <v>40987</v>
      </c>
      <c r="B1659" t="s">
        <v>14</v>
      </c>
      <c r="C1659" t="s">
        <v>10</v>
      </c>
      <c r="D1659" s="3">
        <v>12.302499999999998</v>
      </c>
      <c r="E1659" s="3">
        <v>0</v>
      </c>
      <c r="F1659" t="s">
        <v>45</v>
      </c>
      <c r="G1659" s="3">
        <f t="shared" si="191"/>
        <v>-12.302499999999998</v>
      </c>
      <c r="H1659" s="3">
        <f t="shared" si="192"/>
        <v>12.302499999999998</v>
      </c>
      <c r="I1659" s="5" t="str">
        <f t="shared" si="193"/>
        <v>016</v>
      </c>
      <c r="J1659" s="5" t="str">
        <f t="shared" si="194"/>
        <v>2230</v>
      </c>
      <c r="K1659" s="5" t="str">
        <f t="shared" si="195"/>
        <v>000</v>
      </c>
      <c r="L1659" s="5">
        <f t="shared" si="196"/>
        <v>3</v>
      </c>
      <c r="M1659" s="5">
        <f t="shared" si="197"/>
        <v>2012</v>
      </c>
    </row>
    <row r="1660" spans="1:13" ht="17.45" customHeight="1" x14ac:dyDescent="0.25">
      <c r="A1660" s="1">
        <f>DATE(2012,3,20)</f>
        <v>40988</v>
      </c>
      <c r="B1660" t="s">
        <v>11</v>
      </c>
      <c r="C1660" t="s">
        <v>6</v>
      </c>
      <c r="D1660" s="3">
        <v>2773.5785000000001</v>
      </c>
      <c r="E1660" s="3">
        <v>0</v>
      </c>
      <c r="F1660" t="s">
        <v>45</v>
      </c>
      <c r="G1660" s="3">
        <f t="shared" si="191"/>
        <v>-2773.5785000000001</v>
      </c>
      <c r="H1660" s="3">
        <f t="shared" si="192"/>
        <v>2773.5785000000001</v>
      </c>
      <c r="I1660" s="5" t="str">
        <f t="shared" si="193"/>
        <v>016</v>
      </c>
      <c r="J1660" s="5" t="str">
        <f t="shared" si="194"/>
        <v>2100</v>
      </c>
      <c r="K1660" s="5" t="str">
        <f t="shared" si="195"/>
        <v>000</v>
      </c>
      <c r="L1660" s="5">
        <f t="shared" si="196"/>
        <v>3</v>
      </c>
      <c r="M1660" s="5">
        <f t="shared" si="197"/>
        <v>2012</v>
      </c>
    </row>
    <row r="1661" spans="1:13" ht="17.45" customHeight="1" x14ac:dyDescent="0.25">
      <c r="A1661" s="1">
        <f>DATE(2012,3,20)</f>
        <v>40988</v>
      </c>
      <c r="B1661" t="s">
        <v>12</v>
      </c>
      <c r="C1661" t="s">
        <v>8</v>
      </c>
      <c r="D1661" s="3">
        <v>1265.1990000000001</v>
      </c>
      <c r="E1661" s="3">
        <v>0</v>
      </c>
      <c r="F1661" t="s">
        <v>45</v>
      </c>
      <c r="G1661" s="3">
        <f t="shared" si="191"/>
        <v>-1265.1990000000001</v>
      </c>
      <c r="H1661" s="3">
        <f t="shared" si="192"/>
        <v>1265.1990000000001</v>
      </c>
      <c r="I1661" s="5" t="str">
        <f t="shared" si="193"/>
        <v>016</v>
      </c>
      <c r="J1661" s="5" t="str">
        <f t="shared" si="194"/>
        <v>2210</v>
      </c>
      <c r="K1661" s="5" t="str">
        <f t="shared" si="195"/>
        <v>000</v>
      </c>
      <c r="L1661" s="5">
        <f t="shared" si="196"/>
        <v>3</v>
      </c>
      <c r="M1661" s="5">
        <f t="shared" si="197"/>
        <v>2012</v>
      </c>
    </row>
    <row r="1662" spans="1:13" ht="17.45" customHeight="1" x14ac:dyDescent="0.25">
      <c r="A1662" s="1">
        <f>DATE(2012,3,20)</f>
        <v>40988</v>
      </c>
      <c r="B1662" t="s">
        <v>13</v>
      </c>
      <c r="C1662" t="s">
        <v>9</v>
      </c>
      <c r="D1662" s="3">
        <v>178.71</v>
      </c>
      <c r="E1662" s="3">
        <v>0</v>
      </c>
      <c r="F1662" t="s">
        <v>45</v>
      </c>
      <c r="G1662" s="3">
        <f t="shared" si="191"/>
        <v>-178.71</v>
      </c>
      <c r="H1662" s="3">
        <f t="shared" si="192"/>
        <v>178.71</v>
      </c>
      <c r="I1662" s="5" t="str">
        <f t="shared" si="193"/>
        <v>016</v>
      </c>
      <c r="J1662" s="5" t="str">
        <f t="shared" si="194"/>
        <v>2220</v>
      </c>
      <c r="K1662" s="5" t="str">
        <f t="shared" si="195"/>
        <v>000</v>
      </c>
      <c r="L1662" s="5">
        <f t="shared" si="196"/>
        <v>3</v>
      </c>
      <c r="M1662" s="5">
        <f t="shared" si="197"/>
        <v>2012</v>
      </c>
    </row>
    <row r="1663" spans="1:13" ht="17.45" customHeight="1" x14ac:dyDescent="0.25">
      <c r="A1663" s="1">
        <f>DATE(2012,3,20)</f>
        <v>40988</v>
      </c>
      <c r="B1663" t="s">
        <v>14</v>
      </c>
      <c r="C1663" t="s">
        <v>10</v>
      </c>
      <c r="D1663" s="3">
        <v>65.891999999999996</v>
      </c>
      <c r="E1663" s="3">
        <v>0</v>
      </c>
      <c r="F1663" t="s">
        <v>45</v>
      </c>
      <c r="G1663" s="3">
        <f t="shared" si="191"/>
        <v>-65.891999999999996</v>
      </c>
      <c r="H1663" s="3">
        <f t="shared" si="192"/>
        <v>65.891999999999996</v>
      </c>
      <c r="I1663" s="5" t="str">
        <f t="shared" si="193"/>
        <v>016</v>
      </c>
      <c r="J1663" s="5" t="str">
        <f t="shared" si="194"/>
        <v>2230</v>
      </c>
      <c r="K1663" s="5" t="str">
        <f t="shared" si="195"/>
        <v>000</v>
      </c>
      <c r="L1663" s="5">
        <f t="shared" si="196"/>
        <v>3</v>
      </c>
      <c r="M1663" s="5">
        <f t="shared" si="197"/>
        <v>2012</v>
      </c>
    </row>
    <row r="1664" spans="1:13" ht="17.45" customHeight="1" x14ac:dyDescent="0.25">
      <c r="A1664" s="1">
        <f>DATE(2012,3,21)</f>
        <v>40989</v>
      </c>
      <c r="B1664" t="s">
        <v>11</v>
      </c>
      <c r="C1664" t="s">
        <v>6</v>
      </c>
      <c r="D1664" s="3">
        <v>4170.7539999999999</v>
      </c>
      <c r="E1664" s="3">
        <v>0</v>
      </c>
      <c r="F1664" t="s">
        <v>45</v>
      </c>
      <c r="G1664" s="3">
        <f t="shared" si="191"/>
        <v>-4170.7539999999999</v>
      </c>
      <c r="H1664" s="3">
        <f t="shared" si="192"/>
        <v>4170.7539999999999</v>
      </c>
      <c r="I1664" s="5" t="str">
        <f t="shared" si="193"/>
        <v>016</v>
      </c>
      <c r="J1664" s="5" t="str">
        <f t="shared" si="194"/>
        <v>2100</v>
      </c>
      <c r="K1664" s="5" t="str">
        <f t="shared" si="195"/>
        <v>000</v>
      </c>
      <c r="L1664" s="5">
        <f t="shared" si="196"/>
        <v>3</v>
      </c>
      <c r="M1664" s="5">
        <f t="shared" si="197"/>
        <v>2012</v>
      </c>
    </row>
    <row r="1665" spans="1:13" ht="17.45" customHeight="1" x14ac:dyDescent="0.25">
      <c r="A1665" s="1">
        <f>DATE(2012,3,21)</f>
        <v>40989</v>
      </c>
      <c r="B1665" t="s">
        <v>12</v>
      </c>
      <c r="C1665" t="s">
        <v>8</v>
      </c>
      <c r="D1665" s="3">
        <v>1553.51</v>
      </c>
      <c r="E1665" s="3">
        <v>0</v>
      </c>
      <c r="F1665" t="s">
        <v>45</v>
      </c>
      <c r="G1665" s="3">
        <f t="shared" si="191"/>
        <v>-1553.51</v>
      </c>
      <c r="H1665" s="3">
        <f t="shared" si="192"/>
        <v>1553.51</v>
      </c>
      <c r="I1665" s="5" t="str">
        <f t="shared" si="193"/>
        <v>016</v>
      </c>
      <c r="J1665" s="5" t="str">
        <f t="shared" si="194"/>
        <v>2210</v>
      </c>
      <c r="K1665" s="5" t="str">
        <f t="shared" si="195"/>
        <v>000</v>
      </c>
      <c r="L1665" s="5">
        <f t="shared" si="196"/>
        <v>3</v>
      </c>
      <c r="M1665" s="5">
        <f t="shared" si="197"/>
        <v>2012</v>
      </c>
    </row>
    <row r="1666" spans="1:13" ht="17.45" customHeight="1" x14ac:dyDescent="0.25">
      <c r="A1666" s="1">
        <f>DATE(2012,3,21)</f>
        <v>40989</v>
      </c>
      <c r="B1666" t="s">
        <v>13</v>
      </c>
      <c r="C1666" t="s">
        <v>9</v>
      </c>
      <c r="D1666" s="3">
        <v>285.27</v>
      </c>
      <c r="E1666" s="3">
        <v>0</v>
      </c>
      <c r="F1666" t="s">
        <v>45</v>
      </c>
      <c r="G1666" s="3">
        <f t="shared" ref="G1666:G1729" si="198">E1666-D1666</f>
        <v>-285.27</v>
      </c>
      <c r="H1666" s="3">
        <f t="shared" ref="H1666:H1729" si="199">ABS(G1666)</f>
        <v>285.27</v>
      </c>
      <c r="I1666" s="5" t="str">
        <f t="shared" ref="I1666:I1729" si="200">MID(B1666,1,3)</f>
        <v>016</v>
      </c>
      <c r="J1666" s="5" t="str">
        <f t="shared" ref="J1666:J1729" si="201">MID(B1666,5,4)</f>
        <v>2220</v>
      </c>
      <c r="K1666" s="5" t="str">
        <f t="shared" ref="K1666:K1729" si="202">MID(B1666,10,3)</f>
        <v>000</v>
      </c>
      <c r="L1666" s="5">
        <f t="shared" ref="L1666:L1729" si="203">MONTH(A1666)</f>
        <v>3</v>
      </c>
      <c r="M1666" s="5">
        <f t="shared" ref="M1666:M1729" si="204">YEAR(A1666)</f>
        <v>2012</v>
      </c>
    </row>
    <row r="1667" spans="1:13" ht="17.45" customHeight="1" x14ac:dyDescent="0.25">
      <c r="A1667" s="1">
        <f>DATE(2012,3,21)</f>
        <v>40989</v>
      </c>
      <c r="B1667" t="s">
        <v>14</v>
      </c>
      <c r="C1667" t="s">
        <v>10</v>
      </c>
      <c r="D1667" s="3">
        <v>100.26299999999999</v>
      </c>
      <c r="E1667" s="3">
        <v>0</v>
      </c>
      <c r="F1667" t="s">
        <v>45</v>
      </c>
      <c r="G1667" s="3">
        <f t="shared" si="198"/>
        <v>-100.26299999999999</v>
      </c>
      <c r="H1667" s="3">
        <f t="shared" si="199"/>
        <v>100.26299999999999</v>
      </c>
      <c r="I1667" s="5" t="str">
        <f t="shared" si="200"/>
        <v>016</v>
      </c>
      <c r="J1667" s="5" t="str">
        <f t="shared" si="201"/>
        <v>2230</v>
      </c>
      <c r="K1667" s="5" t="str">
        <f t="shared" si="202"/>
        <v>000</v>
      </c>
      <c r="L1667" s="5">
        <f t="shared" si="203"/>
        <v>3</v>
      </c>
      <c r="M1667" s="5">
        <f t="shared" si="204"/>
        <v>2012</v>
      </c>
    </row>
    <row r="1668" spans="1:13" ht="17.45" customHeight="1" x14ac:dyDescent="0.25">
      <c r="A1668" s="1">
        <f>DATE(2012,3,22)</f>
        <v>40990</v>
      </c>
      <c r="B1668" t="s">
        <v>11</v>
      </c>
      <c r="C1668" t="s">
        <v>6</v>
      </c>
      <c r="D1668" s="3">
        <v>3350.2939999999999</v>
      </c>
      <c r="E1668" s="3">
        <v>0</v>
      </c>
      <c r="F1668" t="s">
        <v>45</v>
      </c>
      <c r="G1668" s="3">
        <f t="shared" si="198"/>
        <v>-3350.2939999999999</v>
      </c>
      <c r="H1668" s="3">
        <f t="shared" si="199"/>
        <v>3350.2939999999999</v>
      </c>
      <c r="I1668" s="5" t="str">
        <f t="shared" si="200"/>
        <v>016</v>
      </c>
      <c r="J1668" s="5" t="str">
        <f t="shared" si="201"/>
        <v>2100</v>
      </c>
      <c r="K1668" s="5" t="str">
        <f t="shared" si="202"/>
        <v>000</v>
      </c>
      <c r="L1668" s="5">
        <f t="shared" si="203"/>
        <v>3</v>
      </c>
      <c r="M1668" s="5">
        <f t="shared" si="204"/>
        <v>2012</v>
      </c>
    </row>
    <row r="1669" spans="1:13" ht="17.45" customHeight="1" x14ac:dyDescent="0.25">
      <c r="A1669" s="1">
        <f>DATE(2012,3,22)</f>
        <v>40990</v>
      </c>
      <c r="B1669" t="s">
        <v>12</v>
      </c>
      <c r="C1669" t="s">
        <v>8</v>
      </c>
      <c r="D1669" s="3">
        <v>1325.7639999999999</v>
      </c>
      <c r="E1669" s="3">
        <v>0</v>
      </c>
      <c r="F1669" t="s">
        <v>45</v>
      </c>
      <c r="G1669" s="3">
        <f t="shared" si="198"/>
        <v>-1325.7639999999999</v>
      </c>
      <c r="H1669" s="3">
        <f t="shared" si="199"/>
        <v>1325.7639999999999</v>
      </c>
      <c r="I1669" s="5" t="str">
        <f t="shared" si="200"/>
        <v>016</v>
      </c>
      <c r="J1669" s="5" t="str">
        <f t="shared" si="201"/>
        <v>2210</v>
      </c>
      <c r="K1669" s="5" t="str">
        <f t="shared" si="202"/>
        <v>000</v>
      </c>
      <c r="L1669" s="5">
        <f t="shared" si="203"/>
        <v>3</v>
      </c>
      <c r="M1669" s="5">
        <f t="shared" si="204"/>
        <v>2012</v>
      </c>
    </row>
    <row r="1670" spans="1:13" ht="17.45" customHeight="1" x14ac:dyDescent="0.25">
      <c r="A1670" s="1">
        <f>DATE(2012,3,22)</f>
        <v>40990</v>
      </c>
      <c r="B1670" t="s">
        <v>13</v>
      </c>
      <c r="C1670" t="s">
        <v>9</v>
      </c>
      <c r="D1670" s="3">
        <v>160.239</v>
      </c>
      <c r="E1670" s="3">
        <v>0</v>
      </c>
      <c r="F1670" t="s">
        <v>45</v>
      </c>
      <c r="G1670" s="3">
        <f t="shared" si="198"/>
        <v>-160.239</v>
      </c>
      <c r="H1670" s="3">
        <f t="shared" si="199"/>
        <v>160.239</v>
      </c>
      <c r="I1670" s="5" t="str">
        <f t="shared" si="200"/>
        <v>016</v>
      </c>
      <c r="J1670" s="5" t="str">
        <f t="shared" si="201"/>
        <v>2220</v>
      </c>
      <c r="K1670" s="5" t="str">
        <f t="shared" si="202"/>
        <v>000</v>
      </c>
      <c r="L1670" s="5">
        <f t="shared" si="203"/>
        <v>3</v>
      </c>
      <c r="M1670" s="5">
        <f t="shared" si="204"/>
        <v>2012</v>
      </c>
    </row>
    <row r="1671" spans="1:13" ht="17.45" customHeight="1" x14ac:dyDescent="0.25">
      <c r="A1671" s="1">
        <f>DATE(2012,3,22)</f>
        <v>40990</v>
      </c>
      <c r="B1671" t="s">
        <v>14</v>
      </c>
      <c r="C1671" t="s">
        <v>10</v>
      </c>
      <c r="D1671" s="3">
        <v>98.507500000000007</v>
      </c>
      <c r="E1671" s="3">
        <v>0</v>
      </c>
      <c r="F1671" t="s">
        <v>45</v>
      </c>
      <c r="G1671" s="3">
        <f t="shared" si="198"/>
        <v>-98.507500000000007</v>
      </c>
      <c r="H1671" s="3">
        <f t="shared" si="199"/>
        <v>98.507500000000007</v>
      </c>
      <c r="I1671" s="5" t="str">
        <f t="shared" si="200"/>
        <v>016</v>
      </c>
      <c r="J1671" s="5" t="str">
        <f t="shared" si="201"/>
        <v>2230</v>
      </c>
      <c r="K1671" s="5" t="str">
        <f t="shared" si="202"/>
        <v>000</v>
      </c>
      <c r="L1671" s="5">
        <f t="shared" si="203"/>
        <v>3</v>
      </c>
      <c r="M1671" s="5">
        <f t="shared" si="204"/>
        <v>2012</v>
      </c>
    </row>
    <row r="1672" spans="1:13" ht="17.45" customHeight="1" x14ac:dyDescent="0.25">
      <c r="A1672" s="1">
        <f>DATE(2012,3,23)</f>
        <v>40991</v>
      </c>
      <c r="B1672" t="s">
        <v>11</v>
      </c>
      <c r="C1672" t="s">
        <v>6</v>
      </c>
      <c r="D1672" s="3">
        <v>8200.7183999999997</v>
      </c>
      <c r="E1672" s="3">
        <v>0</v>
      </c>
      <c r="F1672" t="s">
        <v>45</v>
      </c>
      <c r="G1672" s="3">
        <f t="shared" si="198"/>
        <v>-8200.7183999999997</v>
      </c>
      <c r="H1672" s="3">
        <f t="shared" si="199"/>
        <v>8200.7183999999997</v>
      </c>
      <c r="I1672" s="5" t="str">
        <f t="shared" si="200"/>
        <v>016</v>
      </c>
      <c r="J1672" s="5" t="str">
        <f t="shared" si="201"/>
        <v>2100</v>
      </c>
      <c r="K1672" s="5" t="str">
        <f t="shared" si="202"/>
        <v>000</v>
      </c>
      <c r="L1672" s="5">
        <f t="shared" si="203"/>
        <v>3</v>
      </c>
      <c r="M1672" s="5">
        <f t="shared" si="204"/>
        <v>2012</v>
      </c>
    </row>
    <row r="1673" spans="1:13" ht="17.45" customHeight="1" x14ac:dyDescent="0.25">
      <c r="A1673" s="1">
        <f>DATE(2012,3,23)</f>
        <v>40991</v>
      </c>
      <c r="B1673" t="s">
        <v>12</v>
      </c>
      <c r="C1673" t="s">
        <v>8</v>
      </c>
      <c r="D1673" s="3">
        <v>3180.1979999999999</v>
      </c>
      <c r="E1673" s="3">
        <v>0</v>
      </c>
      <c r="F1673" t="s">
        <v>45</v>
      </c>
      <c r="G1673" s="3">
        <f t="shared" si="198"/>
        <v>-3180.1979999999999</v>
      </c>
      <c r="H1673" s="3">
        <f t="shared" si="199"/>
        <v>3180.1979999999999</v>
      </c>
      <c r="I1673" s="5" t="str">
        <f t="shared" si="200"/>
        <v>016</v>
      </c>
      <c r="J1673" s="5" t="str">
        <f t="shared" si="201"/>
        <v>2210</v>
      </c>
      <c r="K1673" s="5" t="str">
        <f t="shared" si="202"/>
        <v>000</v>
      </c>
      <c r="L1673" s="5">
        <f t="shared" si="203"/>
        <v>3</v>
      </c>
      <c r="M1673" s="5">
        <f t="shared" si="204"/>
        <v>2012</v>
      </c>
    </row>
    <row r="1674" spans="1:13" ht="17.45" customHeight="1" x14ac:dyDescent="0.25">
      <c r="A1674" s="1">
        <f>DATE(2012,3,23)</f>
        <v>40991</v>
      </c>
      <c r="B1674" t="s">
        <v>13</v>
      </c>
      <c r="C1674" t="s">
        <v>9</v>
      </c>
      <c r="D1674" s="3">
        <v>459.54300000000006</v>
      </c>
      <c r="E1674" s="3">
        <v>0</v>
      </c>
      <c r="F1674" t="s">
        <v>45</v>
      </c>
      <c r="G1674" s="3">
        <f t="shared" si="198"/>
        <v>-459.54300000000006</v>
      </c>
      <c r="H1674" s="3">
        <f t="shared" si="199"/>
        <v>459.54300000000006</v>
      </c>
      <c r="I1674" s="5" t="str">
        <f t="shared" si="200"/>
        <v>016</v>
      </c>
      <c r="J1674" s="5" t="str">
        <f t="shared" si="201"/>
        <v>2220</v>
      </c>
      <c r="K1674" s="5" t="str">
        <f t="shared" si="202"/>
        <v>000</v>
      </c>
      <c r="L1674" s="5">
        <f t="shared" si="203"/>
        <v>3</v>
      </c>
      <c r="M1674" s="5">
        <f t="shared" si="204"/>
        <v>2012</v>
      </c>
    </row>
    <row r="1675" spans="1:13" ht="17.45" customHeight="1" x14ac:dyDescent="0.25">
      <c r="A1675" s="1">
        <f>DATE(2012,3,23)</f>
        <v>40991</v>
      </c>
      <c r="B1675" t="s">
        <v>14</v>
      </c>
      <c r="C1675" t="s">
        <v>10</v>
      </c>
      <c r="D1675" s="3">
        <v>175.19600000000003</v>
      </c>
      <c r="E1675" s="3">
        <v>0</v>
      </c>
      <c r="F1675" t="s">
        <v>45</v>
      </c>
      <c r="G1675" s="3">
        <f t="shared" si="198"/>
        <v>-175.19600000000003</v>
      </c>
      <c r="H1675" s="3">
        <f t="shared" si="199"/>
        <v>175.19600000000003</v>
      </c>
      <c r="I1675" s="5" t="str">
        <f t="shared" si="200"/>
        <v>016</v>
      </c>
      <c r="J1675" s="5" t="str">
        <f t="shared" si="201"/>
        <v>2230</v>
      </c>
      <c r="K1675" s="5" t="str">
        <f t="shared" si="202"/>
        <v>000</v>
      </c>
      <c r="L1675" s="5">
        <f t="shared" si="203"/>
        <v>3</v>
      </c>
      <c r="M1675" s="5">
        <f t="shared" si="204"/>
        <v>2012</v>
      </c>
    </row>
    <row r="1676" spans="1:13" ht="17.45" customHeight="1" x14ac:dyDescent="0.25">
      <c r="A1676" s="1">
        <f>DATE(2012,3,24)</f>
        <v>40992</v>
      </c>
      <c r="B1676" t="s">
        <v>11</v>
      </c>
      <c r="C1676" t="s">
        <v>6</v>
      </c>
      <c r="D1676" s="3">
        <v>8570.7199999999993</v>
      </c>
      <c r="E1676" s="3">
        <v>0</v>
      </c>
      <c r="F1676" t="s">
        <v>45</v>
      </c>
      <c r="G1676" s="3">
        <f t="shared" si="198"/>
        <v>-8570.7199999999993</v>
      </c>
      <c r="H1676" s="3">
        <f t="shared" si="199"/>
        <v>8570.7199999999993</v>
      </c>
      <c r="I1676" s="5" t="str">
        <f t="shared" si="200"/>
        <v>016</v>
      </c>
      <c r="J1676" s="5" t="str">
        <f t="shared" si="201"/>
        <v>2100</v>
      </c>
      <c r="K1676" s="5" t="str">
        <f t="shared" si="202"/>
        <v>000</v>
      </c>
      <c r="L1676" s="5">
        <f t="shared" si="203"/>
        <v>3</v>
      </c>
      <c r="M1676" s="5">
        <f t="shared" si="204"/>
        <v>2012</v>
      </c>
    </row>
    <row r="1677" spans="1:13" ht="17.45" customHeight="1" x14ac:dyDescent="0.25">
      <c r="A1677" s="1">
        <f>DATE(2012,3,24)</f>
        <v>40992</v>
      </c>
      <c r="B1677" t="s">
        <v>12</v>
      </c>
      <c r="C1677" t="s">
        <v>8</v>
      </c>
      <c r="D1677" s="3">
        <v>2561.2860000000001</v>
      </c>
      <c r="E1677" s="3">
        <v>0</v>
      </c>
      <c r="F1677" t="s">
        <v>45</v>
      </c>
      <c r="G1677" s="3">
        <f t="shared" si="198"/>
        <v>-2561.2860000000001</v>
      </c>
      <c r="H1677" s="3">
        <f t="shared" si="199"/>
        <v>2561.2860000000001</v>
      </c>
      <c r="I1677" s="5" t="str">
        <f t="shared" si="200"/>
        <v>016</v>
      </c>
      <c r="J1677" s="5" t="str">
        <f t="shared" si="201"/>
        <v>2210</v>
      </c>
      <c r="K1677" s="5" t="str">
        <f t="shared" si="202"/>
        <v>000</v>
      </c>
      <c r="L1677" s="5">
        <f t="shared" si="203"/>
        <v>3</v>
      </c>
      <c r="M1677" s="5">
        <f t="shared" si="204"/>
        <v>2012</v>
      </c>
    </row>
    <row r="1678" spans="1:13" ht="17.45" customHeight="1" x14ac:dyDescent="0.25">
      <c r="A1678" s="1">
        <f>DATE(2012,3,24)</f>
        <v>40992</v>
      </c>
      <c r="B1678" t="s">
        <v>13</v>
      </c>
      <c r="C1678" t="s">
        <v>9</v>
      </c>
      <c r="D1678" s="3">
        <v>642.54600000000005</v>
      </c>
      <c r="E1678" s="3">
        <v>0</v>
      </c>
      <c r="F1678" t="s">
        <v>45</v>
      </c>
      <c r="G1678" s="3">
        <f t="shared" si="198"/>
        <v>-642.54600000000005</v>
      </c>
      <c r="H1678" s="3">
        <f t="shared" si="199"/>
        <v>642.54600000000005</v>
      </c>
      <c r="I1678" s="5" t="str">
        <f t="shared" si="200"/>
        <v>016</v>
      </c>
      <c r="J1678" s="5" t="str">
        <f t="shared" si="201"/>
        <v>2220</v>
      </c>
      <c r="K1678" s="5" t="str">
        <f t="shared" si="202"/>
        <v>000</v>
      </c>
      <c r="L1678" s="5">
        <f t="shared" si="203"/>
        <v>3</v>
      </c>
      <c r="M1678" s="5">
        <f t="shared" si="204"/>
        <v>2012</v>
      </c>
    </row>
    <row r="1679" spans="1:13" ht="17.45" customHeight="1" x14ac:dyDescent="0.25">
      <c r="A1679" s="1">
        <f>DATE(2012,3,24)</f>
        <v>40992</v>
      </c>
      <c r="B1679" t="s">
        <v>14</v>
      </c>
      <c r="C1679" t="s">
        <v>10</v>
      </c>
      <c r="D1679" s="3">
        <v>143.79300000000001</v>
      </c>
      <c r="E1679" s="3">
        <v>0</v>
      </c>
      <c r="F1679" t="s">
        <v>45</v>
      </c>
      <c r="G1679" s="3">
        <f t="shared" si="198"/>
        <v>-143.79300000000001</v>
      </c>
      <c r="H1679" s="3">
        <f t="shared" si="199"/>
        <v>143.79300000000001</v>
      </c>
      <c r="I1679" s="5" t="str">
        <f t="shared" si="200"/>
        <v>016</v>
      </c>
      <c r="J1679" s="5" t="str">
        <f t="shared" si="201"/>
        <v>2230</v>
      </c>
      <c r="K1679" s="5" t="str">
        <f t="shared" si="202"/>
        <v>000</v>
      </c>
      <c r="L1679" s="5">
        <f t="shared" si="203"/>
        <v>3</v>
      </c>
      <c r="M1679" s="5">
        <f t="shared" si="204"/>
        <v>2012</v>
      </c>
    </row>
    <row r="1680" spans="1:13" ht="17.45" customHeight="1" x14ac:dyDescent="0.25">
      <c r="A1680" s="1">
        <f>DATE(2012,3,25)</f>
        <v>40993</v>
      </c>
      <c r="B1680" t="s">
        <v>11</v>
      </c>
      <c r="C1680" t="s">
        <v>6</v>
      </c>
      <c r="D1680" s="3">
        <v>5131.4369999999999</v>
      </c>
      <c r="E1680" s="3">
        <v>0</v>
      </c>
      <c r="F1680" t="s">
        <v>45</v>
      </c>
      <c r="G1680" s="3">
        <f t="shared" si="198"/>
        <v>-5131.4369999999999</v>
      </c>
      <c r="H1680" s="3">
        <f t="shared" si="199"/>
        <v>5131.4369999999999</v>
      </c>
      <c r="I1680" s="5" t="str">
        <f t="shared" si="200"/>
        <v>016</v>
      </c>
      <c r="J1680" s="5" t="str">
        <f t="shared" si="201"/>
        <v>2100</v>
      </c>
      <c r="K1680" s="5" t="str">
        <f t="shared" si="202"/>
        <v>000</v>
      </c>
      <c r="L1680" s="5">
        <f t="shared" si="203"/>
        <v>3</v>
      </c>
      <c r="M1680" s="5">
        <f t="shared" si="204"/>
        <v>2012</v>
      </c>
    </row>
    <row r="1681" spans="1:13" ht="17.45" customHeight="1" x14ac:dyDescent="0.25">
      <c r="A1681" s="1">
        <f>DATE(2012,3,25)</f>
        <v>40993</v>
      </c>
      <c r="B1681" t="s">
        <v>12</v>
      </c>
      <c r="C1681" t="s">
        <v>8</v>
      </c>
      <c r="D1681" s="3">
        <v>1649.06</v>
      </c>
      <c r="E1681" s="3">
        <v>0</v>
      </c>
      <c r="F1681" t="s">
        <v>45</v>
      </c>
      <c r="G1681" s="3">
        <f t="shared" si="198"/>
        <v>-1649.06</v>
      </c>
      <c r="H1681" s="3">
        <f t="shared" si="199"/>
        <v>1649.06</v>
      </c>
      <c r="I1681" s="5" t="str">
        <f t="shared" si="200"/>
        <v>016</v>
      </c>
      <c r="J1681" s="5" t="str">
        <f t="shared" si="201"/>
        <v>2210</v>
      </c>
      <c r="K1681" s="5" t="str">
        <f t="shared" si="202"/>
        <v>000</v>
      </c>
      <c r="L1681" s="5">
        <f t="shared" si="203"/>
        <v>3</v>
      </c>
      <c r="M1681" s="5">
        <f t="shared" si="204"/>
        <v>2012</v>
      </c>
    </row>
    <row r="1682" spans="1:13" ht="17.45" customHeight="1" x14ac:dyDescent="0.25">
      <c r="A1682" s="1">
        <f>DATE(2012,3,25)</f>
        <v>40993</v>
      </c>
      <c r="B1682" t="s">
        <v>13</v>
      </c>
      <c r="C1682" t="s">
        <v>9</v>
      </c>
      <c r="D1682" s="3">
        <v>245.952</v>
      </c>
      <c r="E1682" s="3">
        <v>0</v>
      </c>
      <c r="F1682" t="s">
        <v>45</v>
      </c>
      <c r="G1682" s="3">
        <f t="shared" si="198"/>
        <v>-245.952</v>
      </c>
      <c r="H1682" s="3">
        <f t="shared" si="199"/>
        <v>245.952</v>
      </c>
      <c r="I1682" s="5" t="str">
        <f t="shared" si="200"/>
        <v>016</v>
      </c>
      <c r="J1682" s="5" t="str">
        <f t="shared" si="201"/>
        <v>2220</v>
      </c>
      <c r="K1682" s="5" t="str">
        <f t="shared" si="202"/>
        <v>000</v>
      </c>
      <c r="L1682" s="5">
        <f t="shared" si="203"/>
        <v>3</v>
      </c>
      <c r="M1682" s="5">
        <f t="shared" si="204"/>
        <v>2012</v>
      </c>
    </row>
    <row r="1683" spans="1:13" ht="17.45" customHeight="1" x14ac:dyDescent="0.25">
      <c r="A1683" s="1">
        <f>DATE(2012,3,25)</f>
        <v>40993</v>
      </c>
      <c r="B1683" t="s">
        <v>14</v>
      </c>
      <c r="C1683" t="s">
        <v>10</v>
      </c>
      <c r="D1683" s="3">
        <v>142.04400000000001</v>
      </c>
      <c r="E1683" s="3">
        <v>0</v>
      </c>
      <c r="F1683" t="s">
        <v>45</v>
      </c>
      <c r="G1683" s="3">
        <f t="shared" si="198"/>
        <v>-142.04400000000001</v>
      </c>
      <c r="H1683" s="3">
        <f t="shared" si="199"/>
        <v>142.04400000000001</v>
      </c>
      <c r="I1683" s="5" t="str">
        <f t="shared" si="200"/>
        <v>016</v>
      </c>
      <c r="J1683" s="5" t="str">
        <f t="shared" si="201"/>
        <v>2230</v>
      </c>
      <c r="K1683" s="5" t="str">
        <f t="shared" si="202"/>
        <v>000</v>
      </c>
      <c r="L1683" s="5">
        <f t="shared" si="203"/>
        <v>3</v>
      </c>
      <c r="M1683" s="5">
        <f t="shared" si="204"/>
        <v>2012</v>
      </c>
    </row>
    <row r="1684" spans="1:13" ht="17.45" customHeight="1" x14ac:dyDescent="0.25">
      <c r="A1684" s="1">
        <f>DATE(2012,3,19)</f>
        <v>40987</v>
      </c>
      <c r="B1684" t="s">
        <v>15</v>
      </c>
      <c r="C1684" t="s">
        <v>6</v>
      </c>
      <c r="D1684" s="3">
        <v>4473.3204999999998</v>
      </c>
      <c r="E1684" s="3">
        <v>0</v>
      </c>
      <c r="F1684" t="s">
        <v>45</v>
      </c>
      <c r="G1684" s="3">
        <f t="shared" si="198"/>
        <v>-4473.3204999999998</v>
      </c>
      <c r="H1684" s="3">
        <f t="shared" si="199"/>
        <v>4473.3204999999998</v>
      </c>
      <c r="I1684" s="5" t="str">
        <f t="shared" si="200"/>
        <v>017</v>
      </c>
      <c r="J1684" s="5" t="str">
        <f t="shared" si="201"/>
        <v>2100</v>
      </c>
      <c r="K1684" s="5" t="str">
        <f t="shared" si="202"/>
        <v>000</v>
      </c>
      <c r="L1684" s="5">
        <f t="shared" si="203"/>
        <v>3</v>
      </c>
      <c r="M1684" s="5">
        <f t="shared" si="204"/>
        <v>2012</v>
      </c>
    </row>
    <row r="1685" spans="1:13" ht="17.45" customHeight="1" x14ac:dyDescent="0.25">
      <c r="A1685" s="1">
        <f>DATE(2012,3,19)</f>
        <v>40987</v>
      </c>
      <c r="B1685" t="s">
        <v>16</v>
      </c>
      <c r="C1685" t="s">
        <v>8</v>
      </c>
      <c r="D1685" s="3">
        <v>1350.8924999999999</v>
      </c>
      <c r="E1685" s="3">
        <v>0</v>
      </c>
      <c r="F1685" t="s">
        <v>45</v>
      </c>
      <c r="G1685" s="3">
        <f t="shared" si="198"/>
        <v>-1350.8924999999999</v>
      </c>
      <c r="H1685" s="3">
        <f t="shared" si="199"/>
        <v>1350.8924999999999</v>
      </c>
      <c r="I1685" s="5" t="str">
        <f t="shared" si="200"/>
        <v>017</v>
      </c>
      <c r="J1685" s="5" t="str">
        <f t="shared" si="201"/>
        <v>2210</v>
      </c>
      <c r="K1685" s="5" t="str">
        <f t="shared" si="202"/>
        <v>000</v>
      </c>
      <c r="L1685" s="5">
        <f t="shared" si="203"/>
        <v>3</v>
      </c>
      <c r="M1685" s="5">
        <f t="shared" si="204"/>
        <v>2012</v>
      </c>
    </row>
    <row r="1686" spans="1:13" ht="17.45" customHeight="1" x14ac:dyDescent="0.25">
      <c r="A1686" s="1">
        <f>DATE(2012,3,19)</f>
        <v>40987</v>
      </c>
      <c r="B1686" t="s">
        <v>17</v>
      </c>
      <c r="C1686" t="s">
        <v>9</v>
      </c>
      <c r="D1686" s="3">
        <v>332.23499999999996</v>
      </c>
      <c r="E1686" s="3">
        <v>0</v>
      </c>
      <c r="F1686" t="s">
        <v>45</v>
      </c>
      <c r="G1686" s="3">
        <f t="shared" si="198"/>
        <v>-332.23499999999996</v>
      </c>
      <c r="H1686" s="3">
        <f t="shared" si="199"/>
        <v>332.23499999999996</v>
      </c>
      <c r="I1686" s="5" t="str">
        <f t="shared" si="200"/>
        <v>017</v>
      </c>
      <c r="J1686" s="5" t="str">
        <f t="shared" si="201"/>
        <v>2220</v>
      </c>
      <c r="K1686" s="5" t="str">
        <f t="shared" si="202"/>
        <v>000</v>
      </c>
      <c r="L1686" s="5">
        <f t="shared" si="203"/>
        <v>3</v>
      </c>
      <c r="M1686" s="5">
        <f t="shared" si="204"/>
        <v>2012</v>
      </c>
    </row>
    <row r="1687" spans="1:13" ht="17.45" customHeight="1" x14ac:dyDescent="0.25">
      <c r="A1687" s="1">
        <f>DATE(2012,3,19)</f>
        <v>40987</v>
      </c>
      <c r="B1687" t="s">
        <v>18</v>
      </c>
      <c r="C1687" t="s">
        <v>10</v>
      </c>
      <c r="D1687" s="3">
        <v>127.5425</v>
      </c>
      <c r="E1687" s="3">
        <v>0</v>
      </c>
      <c r="F1687" t="s">
        <v>45</v>
      </c>
      <c r="G1687" s="3">
        <f t="shared" si="198"/>
        <v>-127.5425</v>
      </c>
      <c r="H1687" s="3">
        <f t="shared" si="199"/>
        <v>127.5425</v>
      </c>
      <c r="I1687" s="5" t="str">
        <f t="shared" si="200"/>
        <v>017</v>
      </c>
      <c r="J1687" s="5" t="str">
        <f t="shared" si="201"/>
        <v>2230</v>
      </c>
      <c r="K1687" s="5" t="str">
        <f t="shared" si="202"/>
        <v>000</v>
      </c>
      <c r="L1687" s="5">
        <f t="shared" si="203"/>
        <v>3</v>
      </c>
      <c r="M1687" s="5">
        <f t="shared" si="204"/>
        <v>2012</v>
      </c>
    </row>
    <row r="1688" spans="1:13" ht="17.45" customHeight="1" x14ac:dyDescent="0.25">
      <c r="A1688" s="1">
        <f>DATE(2012,3,20)</f>
        <v>40988</v>
      </c>
      <c r="B1688" t="s">
        <v>15</v>
      </c>
      <c r="C1688" t="s">
        <v>6</v>
      </c>
      <c r="D1688" s="3">
        <v>5029.5493000000006</v>
      </c>
      <c r="E1688" s="3">
        <v>0</v>
      </c>
      <c r="F1688" t="s">
        <v>45</v>
      </c>
      <c r="G1688" s="3">
        <f t="shared" si="198"/>
        <v>-5029.5493000000006</v>
      </c>
      <c r="H1688" s="3">
        <f t="shared" si="199"/>
        <v>5029.5493000000006</v>
      </c>
      <c r="I1688" s="5" t="str">
        <f t="shared" si="200"/>
        <v>017</v>
      </c>
      <c r="J1688" s="5" t="str">
        <f t="shared" si="201"/>
        <v>2100</v>
      </c>
      <c r="K1688" s="5" t="str">
        <f t="shared" si="202"/>
        <v>000</v>
      </c>
      <c r="L1688" s="5">
        <f t="shared" si="203"/>
        <v>3</v>
      </c>
      <c r="M1688" s="5">
        <f t="shared" si="204"/>
        <v>2012</v>
      </c>
    </row>
    <row r="1689" spans="1:13" ht="17.45" customHeight="1" x14ac:dyDescent="0.25">
      <c r="A1689" s="1">
        <f>DATE(2012,3,20)</f>
        <v>40988</v>
      </c>
      <c r="B1689" t="s">
        <v>16</v>
      </c>
      <c r="C1689" t="s">
        <v>8</v>
      </c>
      <c r="D1689" s="3">
        <v>1683.296</v>
      </c>
      <c r="E1689" s="3">
        <v>0</v>
      </c>
      <c r="F1689" t="s">
        <v>45</v>
      </c>
      <c r="G1689" s="3">
        <f t="shared" si="198"/>
        <v>-1683.296</v>
      </c>
      <c r="H1689" s="3">
        <f t="shared" si="199"/>
        <v>1683.296</v>
      </c>
      <c r="I1689" s="5" t="str">
        <f t="shared" si="200"/>
        <v>017</v>
      </c>
      <c r="J1689" s="5" t="str">
        <f t="shared" si="201"/>
        <v>2210</v>
      </c>
      <c r="K1689" s="5" t="str">
        <f t="shared" si="202"/>
        <v>000</v>
      </c>
      <c r="L1689" s="5">
        <f t="shared" si="203"/>
        <v>3</v>
      </c>
      <c r="M1689" s="5">
        <f t="shared" si="204"/>
        <v>2012</v>
      </c>
    </row>
    <row r="1690" spans="1:13" ht="17.45" customHeight="1" x14ac:dyDescent="0.25">
      <c r="A1690" s="1">
        <f>DATE(2012,3,20)</f>
        <v>40988</v>
      </c>
      <c r="B1690" t="s">
        <v>17</v>
      </c>
      <c r="C1690" t="s">
        <v>9</v>
      </c>
      <c r="D1690" s="3">
        <v>786.88749999999993</v>
      </c>
      <c r="E1690" s="3">
        <v>0</v>
      </c>
      <c r="F1690" t="s">
        <v>45</v>
      </c>
      <c r="G1690" s="3">
        <f t="shared" si="198"/>
        <v>-786.88749999999993</v>
      </c>
      <c r="H1690" s="3">
        <f t="shared" si="199"/>
        <v>786.88749999999993</v>
      </c>
      <c r="I1690" s="5" t="str">
        <f t="shared" si="200"/>
        <v>017</v>
      </c>
      <c r="J1690" s="5" t="str">
        <f t="shared" si="201"/>
        <v>2220</v>
      </c>
      <c r="K1690" s="5" t="str">
        <f t="shared" si="202"/>
        <v>000</v>
      </c>
      <c r="L1690" s="5">
        <f t="shared" si="203"/>
        <v>3</v>
      </c>
      <c r="M1690" s="5">
        <f t="shared" si="204"/>
        <v>2012</v>
      </c>
    </row>
    <row r="1691" spans="1:13" ht="17.45" customHeight="1" x14ac:dyDescent="0.25">
      <c r="A1691" s="1">
        <f>DATE(2012,3,20)</f>
        <v>40988</v>
      </c>
      <c r="B1691" t="s">
        <v>18</v>
      </c>
      <c r="C1691" t="s">
        <v>10</v>
      </c>
      <c r="D1691" s="3">
        <v>137.81549999999999</v>
      </c>
      <c r="E1691" s="3">
        <v>0</v>
      </c>
      <c r="F1691" t="s">
        <v>45</v>
      </c>
      <c r="G1691" s="3">
        <f t="shared" si="198"/>
        <v>-137.81549999999999</v>
      </c>
      <c r="H1691" s="3">
        <f t="shared" si="199"/>
        <v>137.81549999999999</v>
      </c>
      <c r="I1691" s="5" t="str">
        <f t="shared" si="200"/>
        <v>017</v>
      </c>
      <c r="J1691" s="5" t="str">
        <f t="shared" si="201"/>
        <v>2230</v>
      </c>
      <c r="K1691" s="5" t="str">
        <f t="shared" si="202"/>
        <v>000</v>
      </c>
      <c r="L1691" s="5">
        <f t="shared" si="203"/>
        <v>3</v>
      </c>
      <c r="M1691" s="5">
        <f t="shared" si="204"/>
        <v>2012</v>
      </c>
    </row>
    <row r="1692" spans="1:13" ht="17.45" customHeight="1" x14ac:dyDescent="0.25">
      <c r="A1692" s="1">
        <f>DATE(2012,3,21)</f>
        <v>40989</v>
      </c>
      <c r="B1692" t="s">
        <v>15</v>
      </c>
      <c r="C1692" t="s">
        <v>6</v>
      </c>
      <c r="D1692" s="3">
        <v>5237.2950000000001</v>
      </c>
      <c r="E1692" s="3">
        <v>0</v>
      </c>
      <c r="F1692" t="s">
        <v>45</v>
      </c>
      <c r="G1692" s="3">
        <f t="shared" si="198"/>
        <v>-5237.2950000000001</v>
      </c>
      <c r="H1692" s="3">
        <f t="shared" si="199"/>
        <v>5237.2950000000001</v>
      </c>
      <c r="I1692" s="5" t="str">
        <f t="shared" si="200"/>
        <v>017</v>
      </c>
      <c r="J1692" s="5" t="str">
        <f t="shared" si="201"/>
        <v>2100</v>
      </c>
      <c r="K1692" s="5" t="str">
        <f t="shared" si="202"/>
        <v>000</v>
      </c>
      <c r="L1692" s="5">
        <f t="shared" si="203"/>
        <v>3</v>
      </c>
      <c r="M1692" s="5">
        <f t="shared" si="204"/>
        <v>2012</v>
      </c>
    </row>
    <row r="1693" spans="1:13" ht="17.45" customHeight="1" x14ac:dyDescent="0.25">
      <c r="A1693" s="1">
        <f>DATE(2012,3,21)</f>
        <v>40989</v>
      </c>
      <c r="B1693" t="s">
        <v>16</v>
      </c>
      <c r="C1693" t="s">
        <v>8</v>
      </c>
      <c r="D1693" s="3">
        <v>1218.1659999999999</v>
      </c>
      <c r="E1693" s="3">
        <v>0</v>
      </c>
      <c r="F1693" t="s">
        <v>45</v>
      </c>
      <c r="G1693" s="3">
        <f t="shared" si="198"/>
        <v>-1218.1659999999999</v>
      </c>
      <c r="H1693" s="3">
        <f t="shared" si="199"/>
        <v>1218.1659999999999</v>
      </c>
      <c r="I1693" s="5" t="str">
        <f t="shared" si="200"/>
        <v>017</v>
      </c>
      <c r="J1693" s="5" t="str">
        <f t="shared" si="201"/>
        <v>2210</v>
      </c>
      <c r="K1693" s="5" t="str">
        <f t="shared" si="202"/>
        <v>000</v>
      </c>
      <c r="L1693" s="5">
        <f t="shared" si="203"/>
        <v>3</v>
      </c>
      <c r="M1693" s="5">
        <f t="shared" si="204"/>
        <v>2012</v>
      </c>
    </row>
    <row r="1694" spans="1:13" ht="17.45" customHeight="1" x14ac:dyDescent="0.25">
      <c r="A1694" s="1">
        <f>DATE(2012,3,21)</f>
        <v>40989</v>
      </c>
      <c r="B1694" t="s">
        <v>17</v>
      </c>
      <c r="C1694" t="s">
        <v>9</v>
      </c>
      <c r="D1694" s="3">
        <v>512.4</v>
      </c>
      <c r="E1694" s="3">
        <v>0</v>
      </c>
      <c r="F1694" t="s">
        <v>45</v>
      </c>
      <c r="G1694" s="3">
        <f t="shared" si="198"/>
        <v>-512.4</v>
      </c>
      <c r="H1694" s="3">
        <f t="shared" si="199"/>
        <v>512.4</v>
      </c>
      <c r="I1694" s="5" t="str">
        <f t="shared" si="200"/>
        <v>017</v>
      </c>
      <c r="J1694" s="5" t="str">
        <f t="shared" si="201"/>
        <v>2220</v>
      </c>
      <c r="K1694" s="5" t="str">
        <f t="shared" si="202"/>
        <v>000</v>
      </c>
      <c r="L1694" s="5">
        <f t="shared" si="203"/>
        <v>3</v>
      </c>
      <c r="M1694" s="5">
        <f t="shared" si="204"/>
        <v>2012</v>
      </c>
    </row>
    <row r="1695" spans="1:13" ht="17.45" customHeight="1" x14ac:dyDescent="0.25">
      <c r="A1695" s="1">
        <f>DATE(2012,3,21)</f>
        <v>40989</v>
      </c>
      <c r="B1695" t="s">
        <v>18</v>
      </c>
      <c r="C1695" t="s">
        <v>10</v>
      </c>
      <c r="D1695" s="3">
        <v>52.688000000000002</v>
      </c>
      <c r="E1695" s="3">
        <v>0</v>
      </c>
      <c r="F1695" t="s">
        <v>45</v>
      </c>
      <c r="G1695" s="3">
        <f t="shared" si="198"/>
        <v>-52.688000000000002</v>
      </c>
      <c r="H1695" s="3">
        <f t="shared" si="199"/>
        <v>52.688000000000002</v>
      </c>
      <c r="I1695" s="5" t="str">
        <f t="shared" si="200"/>
        <v>017</v>
      </c>
      <c r="J1695" s="5" t="str">
        <f t="shared" si="201"/>
        <v>2230</v>
      </c>
      <c r="K1695" s="5" t="str">
        <f t="shared" si="202"/>
        <v>000</v>
      </c>
      <c r="L1695" s="5">
        <f t="shared" si="203"/>
        <v>3</v>
      </c>
      <c r="M1695" s="5">
        <f t="shared" si="204"/>
        <v>2012</v>
      </c>
    </row>
    <row r="1696" spans="1:13" ht="17.45" customHeight="1" x14ac:dyDescent="0.25">
      <c r="A1696" s="1">
        <f>DATE(2012,3,22)</f>
        <v>40990</v>
      </c>
      <c r="B1696" t="s">
        <v>15</v>
      </c>
      <c r="C1696" t="s">
        <v>6</v>
      </c>
      <c r="D1696" s="3">
        <v>9005.4146000000001</v>
      </c>
      <c r="E1696" s="3">
        <v>0</v>
      </c>
      <c r="F1696" t="s">
        <v>45</v>
      </c>
      <c r="G1696" s="3">
        <f t="shared" si="198"/>
        <v>-9005.4146000000001</v>
      </c>
      <c r="H1696" s="3">
        <f t="shared" si="199"/>
        <v>9005.4146000000001</v>
      </c>
      <c r="I1696" s="5" t="str">
        <f t="shared" si="200"/>
        <v>017</v>
      </c>
      <c r="J1696" s="5" t="str">
        <f t="shared" si="201"/>
        <v>2100</v>
      </c>
      <c r="K1696" s="5" t="str">
        <f t="shared" si="202"/>
        <v>000</v>
      </c>
      <c r="L1696" s="5">
        <f t="shared" si="203"/>
        <v>3</v>
      </c>
      <c r="M1696" s="5">
        <f t="shared" si="204"/>
        <v>2012</v>
      </c>
    </row>
    <row r="1697" spans="1:13" ht="17.45" customHeight="1" x14ac:dyDescent="0.25">
      <c r="A1697" s="1">
        <f>DATE(2012,3,22)</f>
        <v>40990</v>
      </c>
      <c r="B1697" t="s">
        <v>16</v>
      </c>
      <c r="C1697" t="s">
        <v>8</v>
      </c>
      <c r="D1697" s="3">
        <v>3478.0734999999995</v>
      </c>
      <c r="E1697" s="3">
        <v>0</v>
      </c>
      <c r="F1697" t="s">
        <v>45</v>
      </c>
      <c r="G1697" s="3">
        <f t="shared" si="198"/>
        <v>-3478.0734999999995</v>
      </c>
      <c r="H1697" s="3">
        <f t="shared" si="199"/>
        <v>3478.0734999999995</v>
      </c>
      <c r="I1697" s="5" t="str">
        <f t="shared" si="200"/>
        <v>017</v>
      </c>
      <c r="J1697" s="5" t="str">
        <f t="shared" si="201"/>
        <v>2210</v>
      </c>
      <c r="K1697" s="5" t="str">
        <f t="shared" si="202"/>
        <v>000</v>
      </c>
      <c r="L1697" s="5">
        <f t="shared" si="203"/>
        <v>3</v>
      </c>
      <c r="M1697" s="5">
        <f t="shared" si="204"/>
        <v>2012</v>
      </c>
    </row>
    <row r="1698" spans="1:13" ht="17.45" customHeight="1" x14ac:dyDescent="0.25">
      <c r="A1698" s="1">
        <f>DATE(2012,3,22)</f>
        <v>40990</v>
      </c>
      <c r="B1698" t="s">
        <v>17</v>
      </c>
      <c r="C1698" t="s">
        <v>9</v>
      </c>
      <c r="D1698" s="3">
        <v>897.76749999999993</v>
      </c>
      <c r="E1698" s="3">
        <v>0</v>
      </c>
      <c r="F1698" t="s">
        <v>45</v>
      </c>
      <c r="G1698" s="3">
        <f t="shared" si="198"/>
        <v>-897.76749999999993</v>
      </c>
      <c r="H1698" s="3">
        <f t="shared" si="199"/>
        <v>897.76749999999993</v>
      </c>
      <c r="I1698" s="5" t="str">
        <f t="shared" si="200"/>
        <v>017</v>
      </c>
      <c r="J1698" s="5" t="str">
        <f t="shared" si="201"/>
        <v>2220</v>
      </c>
      <c r="K1698" s="5" t="str">
        <f t="shared" si="202"/>
        <v>000</v>
      </c>
      <c r="L1698" s="5">
        <f t="shared" si="203"/>
        <v>3</v>
      </c>
      <c r="M1698" s="5">
        <f t="shared" si="204"/>
        <v>2012</v>
      </c>
    </row>
    <row r="1699" spans="1:13" ht="17.45" customHeight="1" x14ac:dyDescent="0.25">
      <c r="A1699" s="1">
        <f>DATE(2012,3,22)</f>
        <v>40990</v>
      </c>
      <c r="B1699" t="s">
        <v>18</v>
      </c>
      <c r="C1699" t="s">
        <v>10</v>
      </c>
      <c r="D1699" s="3">
        <v>277.56400000000002</v>
      </c>
      <c r="E1699" s="3">
        <v>0</v>
      </c>
      <c r="F1699" t="s">
        <v>45</v>
      </c>
      <c r="G1699" s="3">
        <f t="shared" si="198"/>
        <v>-277.56400000000002</v>
      </c>
      <c r="H1699" s="3">
        <f t="shared" si="199"/>
        <v>277.56400000000002</v>
      </c>
      <c r="I1699" s="5" t="str">
        <f t="shared" si="200"/>
        <v>017</v>
      </c>
      <c r="J1699" s="5" t="str">
        <f t="shared" si="201"/>
        <v>2230</v>
      </c>
      <c r="K1699" s="5" t="str">
        <f t="shared" si="202"/>
        <v>000</v>
      </c>
      <c r="L1699" s="5">
        <f t="shared" si="203"/>
        <v>3</v>
      </c>
      <c r="M1699" s="5">
        <f t="shared" si="204"/>
        <v>2012</v>
      </c>
    </row>
    <row r="1700" spans="1:13" ht="17.45" customHeight="1" x14ac:dyDescent="0.25">
      <c r="A1700" s="1">
        <f>DATE(2012,3,23)</f>
        <v>40991</v>
      </c>
      <c r="B1700" t="s">
        <v>15</v>
      </c>
      <c r="C1700" t="s">
        <v>6</v>
      </c>
      <c r="D1700" s="3">
        <v>8415.1375999999982</v>
      </c>
      <c r="E1700" s="3">
        <v>0</v>
      </c>
      <c r="F1700" t="s">
        <v>45</v>
      </c>
      <c r="G1700" s="3">
        <f t="shared" si="198"/>
        <v>-8415.1375999999982</v>
      </c>
      <c r="H1700" s="3">
        <f t="shared" si="199"/>
        <v>8415.1375999999982</v>
      </c>
      <c r="I1700" s="5" t="str">
        <f t="shared" si="200"/>
        <v>017</v>
      </c>
      <c r="J1700" s="5" t="str">
        <f t="shared" si="201"/>
        <v>2100</v>
      </c>
      <c r="K1700" s="5" t="str">
        <f t="shared" si="202"/>
        <v>000</v>
      </c>
      <c r="L1700" s="5">
        <f t="shared" si="203"/>
        <v>3</v>
      </c>
      <c r="M1700" s="5">
        <f t="shared" si="204"/>
        <v>2012</v>
      </c>
    </row>
    <row r="1701" spans="1:13" ht="17.45" customHeight="1" x14ac:dyDescent="0.25">
      <c r="A1701" s="1">
        <f>DATE(2012,3,23)</f>
        <v>40991</v>
      </c>
      <c r="B1701" t="s">
        <v>16</v>
      </c>
      <c r="C1701" t="s">
        <v>8</v>
      </c>
      <c r="D1701" s="3">
        <v>3038.5185000000001</v>
      </c>
      <c r="E1701" s="3">
        <v>0</v>
      </c>
      <c r="F1701" t="s">
        <v>45</v>
      </c>
      <c r="G1701" s="3">
        <f t="shared" si="198"/>
        <v>-3038.5185000000001</v>
      </c>
      <c r="H1701" s="3">
        <f t="shared" si="199"/>
        <v>3038.5185000000001</v>
      </c>
      <c r="I1701" s="5" t="str">
        <f t="shared" si="200"/>
        <v>017</v>
      </c>
      <c r="J1701" s="5" t="str">
        <f t="shared" si="201"/>
        <v>2210</v>
      </c>
      <c r="K1701" s="5" t="str">
        <f t="shared" si="202"/>
        <v>000</v>
      </c>
      <c r="L1701" s="5">
        <f t="shared" si="203"/>
        <v>3</v>
      </c>
      <c r="M1701" s="5">
        <f t="shared" si="204"/>
        <v>2012</v>
      </c>
    </row>
    <row r="1702" spans="1:13" ht="17.45" customHeight="1" x14ac:dyDescent="0.25">
      <c r="A1702" s="1">
        <f>DATE(2012,3,23)</f>
        <v>40991</v>
      </c>
      <c r="B1702" t="s">
        <v>17</v>
      </c>
      <c r="C1702" t="s">
        <v>9</v>
      </c>
      <c r="D1702" s="3">
        <v>554.04999999999995</v>
      </c>
      <c r="E1702" s="3">
        <v>0</v>
      </c>
      <c r="F1702" t="s">
        <v>45</v>
      </c>
      <c r="G1702" s="3">
        <f t="shared" si="198"/>
        <v>-554.04999999999995</v>
      </c>
      <c r="H1702" s="3">
        <f t="shared" si="199"/>
        <v>554.04999999999995</v>
      </c>
      <c r="I1702" s="5" t="str">
        <f t="shared" si="200"/>
        <v>017</v>
      </c>
      <c r="J1702" s="5" t="str">
        <f t="shared" si="201"/>
        <v>2220</v>
      </c>
      <c r="K1702" s="5" t="str">
        <f t="shared" si="202"/>
        <v>000</v>
      </c>
      <c r="L1702" s="5">
        <f t="shared" si="203"/>
        <v>3</v>
      </c>
      <c r="M1702" s="5">
        <f t="shared" si="204"/>
        <v>2012</v>
      </c>
    </row>
    <row r="1703" spans="1:13" ht="17.45" customHeight="1" x14ac:dyDescent="0.25">
      <c r="A1703" s="1">
        <f>DATE(2012,3,23)</f>
        <v>40991</v>
      </c>
      <c r="B1703" t="s">
        <v>18</v>
      </c>
      <c r="C1703" t="s">
        <v>10</v>
      </c>
      <c r="D1703" s="3">
        <v>114.5275</v>
      </c>
      <c r="E1703" s="3">
        <v>0</v>
      </c>
      <c r="F1703" t="s">
        <v>45</v>
      </c>
      <c r="G1703" s="3">
        <f t="shared" si="198"/>
        <v>-114.5275</v>
      </c>
      <c r="H1703" s="3">
        <f t="shared" si="199"/>
        <v>114.5275</v>
      </c>
      <c r="I1703" s="5" t="str">
        <f t="shared" si="200"/>
        <v>017</v>
      </c>
      <c r="J1703" s="5" t="str">
        <f t="shared" si="201"/>
        <v>2230</v>
      </c>
      <c r="K1703" s="5" t="str">
        <f t="shared" si="202"/>
        <v>000</v>
      </c>
      <c r="L1703" s="5">
        <f t="shared" si="203"/>
        <v>3</v>
      </c>
      <c r="M1703" s="5">
        <f t="shared" si="204"/>
        <v>2012</v>
      </c>
    </row>
    <row r="1704" spans="1:13" ht="17.45" customHeight="1" x14ac:dyDescent="0.25">
      <c r="A1704" s="1">
        <f>DATE(2012,3,24)</f>
        <v>40992</v>
      </c>
      <c r="B1704" t="s">
        <v>15</v>
      </c>
      <c r="C1704" t="s">
        <v>6</v>
      </c>
      <c r="D1704" s="3">
        <v>9260.8052000000007</v>
      </c>
      <c r="E1704" s="3">
        <v>0</v>
      </c>
      <c r="F1704" t="s">
        <v>45</v>
      </c>
      <c r="G1704" s="3">
        <f t="shared" si="198"/>
        <v>-9260.8052000000007</v>
      </c>
      <c r="H1704" s="3">
        <f t="shared" si="199"/>
        <v>9260.8052000000007</v>
      </c>
      <c r="I1704" s="5" t="str">
        <f t="shared" si="200"/>
        <v>017</v>
      </c>
      <c r="J1704" s="5" t="str">
        <f t="shared" si="201"/>
        <v>2100</v>
      </c>
      <c r="K1704" s="5" t="str">
        <f t="shared" si="202"/>
        <v>000</v>
      </c>
      <c r="L1704" s="5">
        <f t="shared" si="203"/>
        <v>3</v>
      </c>
      <c r="M1704" s="5">
        <f t="shared" si="204"/>
        <v>2012</v>
      </c>
    </row>
    <row r="1705" spans="1:13" ht="17.45" customHeight="1" x14ac:dyDescent="0.25">
      <c r="A1705" s="1">
        <f>DATE(2012,3,24)</f>
        <v>40992</v>
      </c>
      <c r="B1705" t="s">
        <v>16</v>
      </c>
      <c r="C1705" t="s">
        <v>8</v>
      </c>
      <c r="D1705" s="3">
        <v>2313.5165000000002</v>
      </c>
      <c r="E1705" s="3">
        <v>0</v>
      </c>
      <c r="F1705" t="s">
        <v>45</v>
      </c>
      <c r="G1705" s="3">
        <f t="shared" si="198"/>
        <v>-2313.5165000000002</v>
      </c>
      <c r="H1705" s="3">
        <f t="shared" si="199"/>
        <v>2313.5165000000002</v>
      </c>
      <c r="I1705" s="5" t="str">
        <f t="shared" si="200"/>
        <v>017</v>
      </c>
      <c r="J1705" s="5" t="str">
        <f t="shared" si="201"/>
        <v>2210</v>
      </c>
      <c r="K1705" s="5" t="str">
        <f t="shared" si="202"/>
        <v>000</v>
      </c>
      <c r="L1705" s="5">
        <f t="shared" si="203"/>
        <v>3</v>
      </c>
      <c r="M1705" s="5">
        <f t="shared" si="204"/>
        <v>2012</v>
      </c>
    </row>
    <row r="1706" spans="1:13" ht="17.45" customHeight="1" x14ac:dyDescent="0.25">
      <c r="A1706" s="1">
        <f>DATE(2012,3,24)</f>
        <v>40992</v>
      </c>
      <c r="B1706" t="s">
        <v>17</v>
      </c>
      <c r="C1706" t="s">
        <v>9</v>
      </c>
      <c r="D1706" s="3">
        <v>573.41000000000008</v>
      </c>
      <c r="E1706" s="3">
        <v>0</v>
      </c>
      <c r="F1706" t="s">
        <v>45</v>
      </c>
      <c r="G1706" s="3">
        <f t="shared" si="198"/>
        <v>-573.41000000000008</v>
      </c>
      <c r="H1706" s="3">
        <f t="shared" si="199"/>
        <v>573.41000000000008</v>
      </c>
      <c r="I1706" s="5" t="str">
        <f t="shared" si="200"/>
        <v>017</v>
      </c>
      <c r="J1706" s="5" t="str">
        <f t="shared" si="201"/>
        <v>2220</v>
      </c>
      <c r="K1706" s="5" t="str">
        <f t="shared" si="202"/>
        <v>000</v>
      </c>
      <c r="L1706" s="5">
        <f t="shared" si="203"/>
        <v>3</v>
      </c>
      <c r="M1706" s="5">
        <f t="shared" si="204"/>
        <v>2012</v>
      </c>
    </row>
    <row r="1707" spans="1:13" ht="17.45" customHeight="1" x14ac:dyDescent="0.25">
      <c r="A1707" s="1">
        <f>DATE(2012,3,24)</f>
        <v>40992</v>
      </c>
      <c r="B1707" t="s">
        <v>18</v>
      </c>
      <c r="C1707" t="s">
        <v>10</v>
      </c>
      <c r="D1707" s="3">
        <v>107.52</v>
      </c>
      <c r="E1707" s="3">
        <v>0</v>
      </c>
      <c r="F1707" t="s">
        <v>45</v>
      </c>
      <c r="G1707" s="3">
        <f t="shared" si="198"/>
        <v>-107.52</v>
      </c>
      <c r="H1707" s="3">
        <f t="shared" si="199"/>
        <v>107.52</v>
      </c>
      <c r="I1707" s="5" t="str">
        <f t="shared" si="200"/>
        <v>017</v>
      </c>
      <c r="J1707" s="5" t="str">
        <f t="shared" si="201"/>
        <v>2230</v>
      </c>
      <c r="K1707" s="5" t="str">
        <f t="shared" si="202"/>
        <v>000</v>
      </c>
      <c r="L1707" s="5">
        <f t="shared" si="203"/>
        <v>3</v>
      </c>
      <c r="M1707" s="5">
        <f t="shared" si="204"/>
        <v>2012</v>
      </c>
    </row>
    <row r="1708" spans="1:13" ht="17.45" customHeight="1" x14ac:dyDescent="0.25">
      <c r="A1708" s="1">
        <f>DATE(2012,3,25)</f>
        <v>40993</v>
      </c>
      <c r="B1708" t="s">
        <v>15</v>
      </c>
      <c r="C1708" t="s">
        <v>6</v>
      </c>
      <c r="D1708" s="3">
        <v>4360.6720000000005</v>
      </c>
      <c r="E1708" s="3">
        <v>0</v>
      </c>
      <c r="F1708" t="s">
        <v>45</v>
      </c>
      <c r="G1708" s="3">
        <f t="shared" si="198"/>
        <v>-4360.6720000000005</v>
      </c>
      <c r="H1708" s="3">
        <f t="shared" si="199"/>
        <v>4360.6720000000005</v>
      </c>
      <c r="I1708" s="5" t="str">
        <f t="shared" si="200"/>
        <v>017</v>
      </c>
      <c r="J1708" s="5" t="str">
        <f t="shared" si="201"/>
        <v>2100</v>
      </c>
      <c r="K1708" s="5" t="str">
        <f t="shared" si="202"/>
        <v>000</v>
      </c>
      <c r="L1708" s="5">
        <f t="shared" si="203"/>
        <v>3</v>
      </c>
      <c r="M1708" s="5">
        <f t="shared" si="204"/>
        <v>2012</v>
      </c>
    </row>
    <row r="1709" spans="1:13" ht="17.45" customHeight="1" x14ac:dyDescent="0.25">
      <c r="A1709" s="1">
        <f>DATE(2012,3,25)</f>
        <v>40993</v>
      </c>
      <c r="B1709" t="s">
        <v>16</v>
      </c>
      <c r="C1709" t="s">
        <v>8</v>
      </c>
      <c r="D1709" s="3">
        <v>1187.1624999999999</v>
      </c>
      <c r="E1709" s="3">
        <v>0</v>
      </c>
      <c r="F1709" t="s">
        <v>45</v>
      </c>
      <c r="G1709" s="3">
        <f t="shared" si="198"/>
        <v>-1187.1624999999999</v>
      </c>
      <c r="H1709" s="3">
        <f t="shared" si="199"/>
        <v>1187.1624999999999</v>
      </c>
      <c r="I1709" s="5" t="str">
        <f t="shared" si="200"/>
        <v>017</v>
      </c>
      <c r="J1709" s="5" t="str">
        <f t="shared" si="201"/>
        <v>2210</v>
      </c>
      <c r="K1709" s="5" t="str">
        <f t="shared" si="202"/>
        <v>000</v>
      </c>
      <c r="L1709" s="5">
        <f t="shared" si="203"/>
        <v>3</v>
      </c>
      <c r="M1709" s="5">
        <f t="shared" si="204"/>
        <v>2012</v>
      </c>
    </row>
    <row r="1710" spans="1:13" ht="17.45" customHeight="1" x14ac:dyDescent="0.25">
      <c r="A1710" s="1">
        <f>DATE(2012,3,25)</f>
        <v>40993</v>
      </c>
      <c r="B1710" t="s">
        <v>17</v>
      </c>
      <c r="C1710" t="s">
        <v>9</v>
      </c>
      <c r="D1710" s="3">
        <v>146.88499999999999</v>
      </c>
      <c r="E1710" s="3">
        <v>0</v>
      </c>
      <c r="F1710" t="s">
        <v>45</v>
      </c>
      <c r="G1710" s="3">
        <f t="shared" si="198"/>
        <v>-146.88499999999999</v>
      </c>
      <c r="H1710" s="3">
        <f t="shared" si="199"/>
        <v>146.88499999999999</v>
      </c>
      <c r="I1710" s="5" t="str">
        <f t="shared" si="200"/>
        <v>017</v>
      </c>
      <c r="J1710" s="5" t="str">
        <f t="shared" si="201"/>
        <v>2220</v>
      </c>
      <c r="K1710" s="5" t="str">
        <f t="shared" si="202"/>
        <v>000</v>
      </c>
      <c r="L1710" s="5">
        <f t="shared" si="203"/>
        <v>3</v>
      </c>
      <c r="M1710" s="5">
        <f t="shared" si="204"/>
        <v>2012</v>
      </c>
    </row>
    <row r="1711" spans="1:13" ht="17.45" customHeight="1" x14ac:dyDescent="0.25">
      <c r="A1711" s="1">
        <f>DATE(2012,3,25)</f>
        <v>40993</v>
      </c>
      <c r="B1711" t="s">
        <v>18</v>
      </c>
      <c r="C1711" t="s">
        <v>10</v>
      </c>
      <c r="D1711" s="3">
        <v>136.01</v>
      </c>
      <c r="E1711" s="3">
        <v>0</v>
      </c>
      <c r="F1711" t="s">
        <v>45</v>
      </c>
      <c r="G1711" s="3">
        <f t="shared" si="198"/>
        <v>-136.01</v>
      </c>
      <c r="H1711" s="3">
        <f t="shared" si="199"/>
        <v>136.01</v>
      </c>
      <c r="I1711" s="5" t="str">
        <f t="shared" si="200"/>
        <v>017</v>
      </c>
      <c r="J1711" s="5" t="str">
        <f t="shared" si="201"/>
        <v>2230</v>
      </c>
      <c r="K1711" s="5" t="str">
        <f t="shared" si="202"/>
        <v>000</v>
      </c>
      <c r="L1711" s="5">
        <f t="shared" si="203"/>
        <v>3</v>
      </c>
      <c r="M1711" s="5">
        <f t="shared" si="204"/>
        <v>2012</v>
      </c>
    </row>
    <row r="1712" spans="1:13" ht="17.45" customHeight="1" x14ac:dyDescent="0.25">
      <c r="A1712" s="1">
        <f>DATE(2012,3,19)</f>
        <v>40987</v>
      </c>
      <c r="B1712" t="s">
        <v>19</v>
      </c>
      <c r="C1712" t="s">
        <v>6</v>
      </c>
      <c r="D1712" s="3">
        <v>3994.2420000000002</v>
      </c>
      <c r="E1712" s="3">
        <v>0</v>
      </c>
      <c r="F1712" t="s">
        <v>45</v>
      </c>
      <c r="G1712" s="3">
        <f t="shared" si="198"/>
        <v>-3994.2420000000002</v>
      </c>
      <c r="H1712" s="3">
        <f t="shared" si="199"/>
        <v>3994.2420000000002</v>
      </c>
      <c r="I1712" s="5" t="str">
        <f t="shared" si="200"/>
        <v>018</v>
      </c>
      <c r="J1712" s="5" t="str">
        <f t="shared" si="201"/>
        <v>2100</v>
      </c>
      <c r="K1712" s="5" t="str">
        <f t="shared" si="202"/>
        <v>000</v>
      </c>
      <c r="L1712" s="5">
        <f t="shared" si="203"/>
        <v>3</v>
      </c>
      <c r="M1712" s="5">
        <f t="shared" si="204"/>
        <v>2012</v>
      </c>
    </row>
    <row r="1713" spans="1:13" ht="17.45" customHeight="1" x14ac:dyDescent="0.25">
      <c r="A1713" s="1">
        <f>DATE(2012,3,19)</f>
        <v>40987</v>
      </c>
      <c r="B1713" t="s">
        <v>20</v>
      </c>
      <c r="C1713" t="s">
        <v>8</v>
      </c>
      <c r="D1713" s="3">
        <v>705.18</v>
      </c>
      <c r="E1713" s="3">
        <v>0</v>
      </c>
      <c r="F1713" t="s">
        <v>45</v>
      </c>
      <c r="G1713" s="3">
        <f t="shared" si="198"/>
        <v>-705.18</v>
      </c>
      <c r="H1713" s="3">
        <f t="shared" si="199"/>
        <v>705.18</v>
      </c>
      <c r="I1713" s="5" t="str">
        <f t="shared" si="200"/>
        <v>018</v>
      </c>
      <c r="J1713" s="5" t="str">
        <f t="shared" si="201"/>
        <v>2210</v>
      </c>
      <c r="K1713" s="5" t="str">
        <f t="shared" si="202"/>
        <v>000</v>
      </c>
      <c r="L1713" s="5">
        <f t="shared" si="203"/>
        <v>3</v>
      </c>
      <c r="M1713" s="5">
        <f t="shared" si="204"/>
        <v>2012</v>
      </c>
    </row>
    <row r="1714" spans="1:13" ht="17.45" customHeight="1" x14ac:dyDescent="0.25">
      <c r="A1714" s="1">
        <f>DATE(2012,3,19)</f>
        <v>40987</v>
      </c>
      <c r="B1714" t="s">
        <v>21</v>
      </c>
      <c r="C1714" t="s">
        <v>9</v>
      </c>
      <c r="D1714" s="3">
        <v>170.34549999999999</v>
      </c>
      <c r="E1714" s="3">
        <v>0</v>
      </c>
      <c r="F1714" t="s">
        <v>45</v>
      </c>
      <c r="G1714" s="3">
        <f t="shared" si="198"/>
        <v>-170.34549999999999</v>
      </c>
      <c r="H1714" s="3">
        <f t="shared" si="199"/>
        <v>170.34549999999999</v>
      </c>
      <c r="I1714" s="5" t="str">
        <f t="shared" si="200"/>
        <v>018</v>
      </c>
      <c r="J1714" s="5" t="str">
        <f t="shared" si="201"/>
        <v>2220</v>
      </c>
      <c r="K1714" s="5" t="str">
        <f t="shared" si="202"/>
        <v>000</v>
      </c>
      <c r="L1714" s="5">
        <f t="shared" si="203"/>
        <v>3</v>
      </c>
      <c r="M1714" s="5">
        <f t="shared" si="204"/>
        <v>2012</v>
      </c>
    </row>
    <row r="1715" spans="1:13" ht="17.45" customHeight="1" x14ac:dyDescent="0.25">
      <c r="A1715" s="1">
        <f>DATE(2012,3,19)</f>
        <v>40987</v>
      </c>
      <c r="B1715" t="s">
        <v>22</v>
      </c>
      <c r="C1715" t="s">
        <v>10</v>
      </c>
      <c r="D1715" s="3">
        <v>17.876999999999999</v>
      </c>
      <c r="E1715" s="3">
        <v>0</v>
      </c>
      <c r="F1715" t="s">
        <v>45</v>
      </c>
      <c r="G1715" s="3">
        <f t="shared" si="198"/>
        <v>-17.876999999999999</v>
      </c>
      <c r="H1715" s="3">
        <f t="shared" si="199"/>
        <v>17.876999999999999</v>
      </c>
      <c r="I1715" s="5" t="str">
        <f t="shared" si="200"/>
        <v>018</v>
      </c>
      <c r="J1715" s="5" t="str">
        <f t="shared" si="201"/>
        <v>2230</v>
      </c>
      <c r="K1715" s="5" t="str">
        <f t="shared" si="202"/>
        <v>000</v>
      </c>
      <c r="L1715" s="5">
        <f t="shared" si="203"/>
        <v>3</v>
      </c>
      <c r="M1715" s="5">
        <f t="shared" si="204"/>
        <v>2012</v>
      </c>
    </row>
    <row r="1716" spans="1:13" ht="17.45" customHeight="1" x14ac:dyDescent="0.25">
      <c r="A1716" s="1">
        <f>DATE(2012,3,20)</f>
        <v>40988</v>
      </c>
      <c r="B1716" t="s">
        <v>19</v>
      </c>
      <c r="C1716" t="s">
        <v>6</v>
      </c>
      <c r="D1716" s="3">
        <v>4773.2150000000001</v>
      </c>
      <c r="E1716" s="3">
        <v>0</v>
      </c>
      <c r="F1716" t="s">
        <v>45</v>
      </c>
      <c r="G1716" s="3">
        <f t="shared" si="198"/>
        <v>-4773.2150000000001</v>
      </c>
      <c r="H1716" s="3">
        <f t="shared" si="199"/>
        <v>4773.2150000000001</v>
      </c>
      <c r="I1716" s="5" t="str">
        <f t="shared" si="200"/>
        <v>018</v>
      </c>
      <c r="J1716" s="5" t="str">
        <f t="shared" si="201"/>
        <v>2100</v>
      </c>
      <c r="K1716" s="5" t="str">
        <f t="shared" si="202"/>
        <v>000</v>
      </c>
      <c r="L1716" s="5">
        <f t="shared" si="203"/>
        <v>3</v>
      </c>
      <c r="M1716" s="5">
        <f t="shared" si="204"/>
        <v>2012</v>
      </c>
    </row>
    <row r="1717" spans="1:13" ht="17.45" customHeight="1" x14ac:dyDescent="0.25">
      <c r="A1717" s="1">
        <f>DATE(2012,3,20)</f>
        <v>40988</v>
      </c>
      <c r="B1717" t="s">
        <v>20</v>
      </c>
      <c r="C1717" t="s">
        <v>8</v>
      </c>
      <c r="D1717" s="3">
        <v>718.89400000000001</v>
      </c>
      <c r="E1717" s="3">
        <v>0</v>
      </c>
      <c r="F1717" t="s">
        <v>45</v>
      </c>
      <c r="G1717" s="3">
        <f t="shared" si="198"/>
        <v>-718.89400000000001</v>
      </c>
      <c r="H1717" s="3">
        <f t="shared" si="199"/>
        <v>718.89400000000001</v>
      </c>
      <c r="I1717" s="5" t="str">
        <f t="shared" si="200"/>
        <v>018</v>
      </c>
      <c r="J1717" s="5" t="str">
        <f t="shared" si="201"/>
        <v>2210</v>
      </c>
      <c r="K1717" s="5" t="str">
        <f t="shared" si="202"/>
        <v>000</v>
      </c>
      <c r="L1717" s="5">
        <f t="shared" si="203"/>
        <v>3</v>
      </c>
      <c r="M1717" s="5">
        <f t="shared" si="204"/>
        <v>2012</v>
      </c>
    </row>
    <row r="1718" spans="1:13" ht="17.45" customHeight="1" x14ac:dyDescent="0.25">
      <c r="A1718" s="1">
        <f>DATE(2012,3,20)</f>
        <v>40988</v>
      </c>
      <c r="B1718" t="s">
        <v>21</v>
      </c>
      <c r="C1718" t="s">
        <v>9</v>
      </c>
      <c r="D1718" s="3">
        <v>125.15400000000001</v>
      </c>
      <c r="E1718" s="3">
        <v>0</v>
      </c>
      <c r="F1718" t="s">
        <v>45</v>
      </c>
      <c r="G1718" s="3">
        <f t="shared" si="198"/>
        <v>-125.15400000000001</v>
      </c>
      <c r="H1718" s="3">
        <f t="shared" si="199"/>
        <v>125.15400000000001</v>
      </c>
      <c r="I1718" s="5" t="str">
        <f t="shared" si="200"/>
        <v>018</v>
      </c>
      <c r="J1718" s="5" t="str">
        <f t="shared" si="201"/>
        <v>2220</v>
      </c>
      <c r="K1718" s="5" t="str">
        <f t="shared" si="202"/>
        <v>000</v>
      </c>
      <c r="L1718" s="5">
        <f t="shared" si="203"/>
        <v>3</v>
      </c>
      <c r="M1718" s="5">
        <f t="shared" si="204"/>
        <v>2012</v>
      </c>
    </row>
    <row r="1719" spans="1:13" ht="17.45" customHeight="1" x14ac:dyDescent="0.25">
      <c r="A1719" s="1">
        <f>DATE(2012,3,20)</f>
        <v>40988</v>
      </c>
      <c r="B1719" t="s">
        <v>22</v>
      </c>
      <c r="C1719" t="s">
        <v>10</v>
      </c>
      <c r="D1719" s="3">
        <v>32.230000000000004</v>
      </c>
      <c r="E1719" s="3">
        <v>0</v>
      </c>
      <c r="F1719" t="s">
        <v>45</v>
      </c>
      <c r="G1719" s="3">
        <f t="shared" si="198"/>
        <v>-32.230000000000004</v>
      </c>
      <c r="H1719" s="3">
        <f t="shared" si="199"/>
        <v>32.230000000000004</v>
      </c>
      <c r="I1719" s="5" t="str">
        <f t="shared" si="200"/>
        <v>018</v>
      </c>
      <c r="J1719" s="5" t="str">
        <f t="shared" si="201"/>
        <v>2230</v>
      </c>
      <c r="K1719" s="5" t="str">
        <f t="shared" si="202"/>
        <v>000</v>
      </c>
      <c r="L1719" s="5">
        <f t="shared" si="203"/>
        <v>3</v>
      </c>
      <c r="M1719" s="5">
        <f t="shared" si="204"/>
        <v>2012</v>
      </c>
    </row>
    <row r="1720" spans="1:13" ht="17.45" customHeight="1" x14ac:dyDescent="0.25">
      <c r="A1720" s="1">
        <f>DATE(2012,3,21)</f>
        <v>40989</v>
      </c>
      <c r="B1720" t="s">
        <v>19</v>
      </c>
      <c r="C1720" t="s">
        <v>6</v>
      </c>
      <c r="D1720" s="3">
        <v>4627.1220000000003</v>
      </c>
      <c r="E1720" s="3">
        <v>0</v>
      </c>
      <c r="F1720" t="s">
        <v>45</v>
      </c>
      <c r="G1720" s="3">
        <f t="shared" si="198"/>
        <v>-4627.1220000000003</v>
      </c>
      <c r="H1720" s="3">
        <f t="shared" si="199"/>
        <v>4627.1220000000003</v>
      </c>
      <c r="I1720" s="5" t="str">
        <f t="shared" si="200"/>
        <v>018</v>
      </c>
      <c r="J1720" s="5" t="str">
        <f t="shared" si="201"/>
        <v>2100</v>
      </c>
      <c r="K1720" s="5" t="str">
        <f t="shared" si="202"/>
        <v>000</v>
      </c>
      <c r="L1720" s="5">
        <f t="shared" si="203"/>
        <v>3</v>
      </c>
      <c r="M1720" s="5">
        <f t="shared" si="204"/>
        <v>2012</v>
      </c>
    </row>
    <row r="1721" spans="1:13" ht="17.45" customHeight="1" x14ac:dyDescent="0.25">
      <c r="A1721" s="1">
        <f>DATE(2012,3,21)</f>
        <v>40989</v>
      </c>
      <c r="B1721" t="s">
        <v>20</v>
      </c>
      <c r="C1721" t="s">
        <v>8</v>
      </c>
      <c r="D1721" s="3">
        <v>547.2589999999999</v>
      </c>
      <c r="E1721" s="3">
        <v>0</v>
      </c>
      <c r="F1721" t="s">
        <v>45</v>
      </c>
      <c r="G1721" s="3">
        <f t="shared" si="198"/>
        <v>-547.2589999999999</v>
      </c>
      <c r="H1721" s="3">
        <f t="shared" si="199"/>
        <v>547.2589999999999</v>
      </c>
      <c r="I1721" s="5" t="str">
        <f t="shared" si="200"/>
        <v>018</v>
      </c>
      <c r="J1721" s="5" t="str">
        <f t="shared" si="201"/>
        <v>2210</v>
      </c>
      <c r="K1721" s="5" t="str">
        <f t="shared" si="202"/>
        <v>000</v>
      </c>
      <c r="L1721" s="5">
        <f t="shared" si="203"/>
        <v>3</v>
      </c>
      <c r="M1721" s="5">
        <f t="shared" si="204"/>
        <v>2012</v>
      </c>
    </row>
    <row r="1722" spans="1:13" ht="17.45" customHeight="1" x14ac:dyDescent="0.25">
      <c r="A1722" s="1">
        <f>DATE(2012,3,21)</f>
        <v>40989</v>
      </c>
      <c r="B1722" t="s">
        <v>21</v>
      </c>
      <c r="C1722" t="s">
        <v>9</v>
      </c>
      <c r="D1722" s="3">
        <v>119.268</v>
      </c>
      <c r="E1722" s="3">
        <v>0</v>
      </c>
      <c r="F1722" t="s">
        <v>45</v>
      </c>
      <c r="G1722" s="3">
        <f t="shared" si="198"/>
        <v>-119.268</v>
      </c>
      <c r="H1722" s="3">
        <f t="shared" si="199"/>
        <v>119.268</v>
      </c>
      <c r="I1722" s="5" t="str">
        <f t="shared" si="200"/>
        <v>018</v>
      </c>
      <c r="J1722" s="5" t="str">
        <f t="shared" si="201"/>
        <v>2220</v>
      </c>
      <c r="K1722" s="5" t="str">
        <f t="shared" si="202"/>
        <v>000</v>
      </c>
      <c r="L1722" s="5">
        <f t="shared" si="203"/>
        <v>3</v>
      </c>
      <c r="M1722" s="5">
        <f t="shared" si="204"/>
        <v>2012</v>
      </c>
    </row>
    <row r="1723" spans="1:13" ht="17.45" customHeight="1" x14ac:dyDescent="0.25">
      <c r="A1723" s="1">
        <f>DATE(2012,3,21)</f>
        <v>40989</v>
      </c>
      <c r="B1723" t="s">
        <v>22</v>
      </c>
      <c r="C1723" t="s">
        <v>10</v>
      </c>
      <c r="D1723" s="3">
        <v>84.8065</v>
      </c>
      <c r="E1723" s="3">
        <v>0</v>
      </c>
      <c r="F1723" t="s">
        <v>45</v>
      </c>
      <c r="G1723" s="3">
        <f t="shared" si="198"/>
        <v>-84.8065</v>
      </c>
      <c r="H1723" s="3">
        <f t="shared" si="199"/>
        <v>84.8065</v>
      </c>
      <c r="I1723" s="5" t="str">
        <f t="shared" si="200"/>
        <v>018</v>
      </c>
      <c r="J1723" s="5" t="str">
        <f t="shared" si="201"/>
        <v>2230</v>
      </c>
      <c r="K1723" s="5" t="str">
        <f t="shared" si="202"/>
        <v>000</v>
      </c>
      <c r="L1723" s="5">
        <f t="shared" si="203"/>
        <v>3</v>
      </c>
      <c r="M1723" s="5">
        <f t="shared" si="204"/>
        <v>2012</v>
      </c>
    </row>
    <row r="1724" spans="1:13" ht="17.45" customHeight="1" x14ac:dyDescent="0.25">
      <c r="A1724" s="1">
        <f>DATE(2012,3,22)</f>
        <v>40990</v>
      </c>
      <c r="B1724" t="s">
        <v>19</v>
      </c>
      <c r="C1724" t="s">
        <v>6</v>
      </c>
      <c r="D1724" s="3">
        <v>6307.1629999999996</v>
      </c>
      <c r="E1724" s="3">
        <v>0</v>
      </c>
      <c r="F1724" t="s">
        <v>45</v>
      </c>
      <c r="G1724" s="3">
        <f t="shared" si="198"/>
        <v>-6307.1629999999996</v>
      </c>
      <c r="H1724" s="3">
        <f t="shared" si="199"/>
        <v>6307.1629999999996</v>
      </c>
      <c r="I1724" s="5" t="str">
        <f t="shared" si="200"/>
        <v>018</v>
      </c>
      <c r="J1724" s="5" t="str">
        <f t="shared" si="201"/>
        <v>2100</v>
      </c>
      <c r="K1724" s="5" t="str">
        <f t="shared" si="202"/>
        <v>000</v>
      </c>
      <c r="L1724" s="5">
        <f t="shared" si="203"/>
        <v>3</v>
      </c>
      <c r="M1724" s="5">
        <f t="shared" si="204"/>
        <v>2012</v>
      </c>
    </row>
    <row r="1725" spans="1:13" ht="17.45" customHeight="1" x14ac:dyDescent="0.25">
      <c r="A1725" s="1">
        <f>DATE(2012,3,22)</f>
        <v>40990</v>
      </c>
      <c r="B1725" t="s">
        <v>20</v>
      </c>
      <c r="C1725" t="s">
        <v>8</v>
      </c>
      <c r="D1725" s="3">
        <v>1319.2605000000001</v>
      </c>
      <c r="E1725" s="3">
        <v>0</v>
      </c>
      <c r="F1725" t="s">
        <v>45</v>
      </c>
      <c r="G1725" s="3">
        <f t="shared" si="198"/>
        <v>-1319.2605000000001</v>
      </c>
      <c r="H1725" s="3">
        <f t="shared" si="199"/>
        <v>1319.2605000000001</v>
      </c>
      <c r="I1725" s="5" t="str">
        <f t="shared" si="200"/>
        <v>018</v>
      </c>
      <c r="J1725" s="5" t="str">
        <f t="shared" si="201"/>
        <v>2210</v>
      </c>
      <c r="K1725" s="5" t="str">
        <f t="shared" si="202"/>
        <v>000</v>
      </c>
      <c r="L1725" s="5">
        <f t="shared" si="203"/>
        <v>3</v>
      </c>
      <c r="M1725" s="5">
        <f t="shared" si="204"/>
        <v>2012</v>
      </c>
    </row>
    <row r="1726" spans="1:13" ht="17.45" customHeight="1" x14ac:dyDescent="0.25">
      <c r="A1726" s="1">
        <f>DATE(2012,3,22)</f>
        <v>40990</v>
      </c>
      <c r="B1726" t="s">
        <v>21</v>
      </c>
      <c r="C1726" t="s">
        <v>9</v>
      </c>
      <c r="D1726" s="3">
        <v>304.95400000000001</v>
      </c>
      <c r="E1726" s="3">
        <v>0</v>
      </c>
      <c r="F1726" t="s">
        <v>45</v>
      </c>
      <c r="G1726" s="3">
        <f t="shared" si="198"/>
        <v>-304.95400000000001</v>
      </c>
      <c r="H1726" s="3">
        <f t="shared" si="199"/>
        <v>304.95400000000001</v>
      </c>
      <c r="I1726" s="5" t="str">
        <f t="shared" si="200"/>
        <v>018</v>
      </c>
      <c r="J1726" s="5" t="str">
        <f t="shared" si="201"/>
        <v>2220</v>
      </c>
      <c r="K1726" s="5" t="str">
        <f t="shared" si="202"/>
        <v>000</v>
      </c>
      <c r="L1726" s="5">
        <f t="shared" si="203"/>
        <v>3</v>
      </c>
      <c r="M1726" s="5">
        <f t="shared" si="204"/>
        <v>2012</v>
      </c>
    </row>
    <row r="1727" spans="1:13" ht="17.45" customHeight="1" x14ac:dyDescent="0.25">
      <c r="A1727" s="1">
        <f>DATE(2012,3,22)</f>
        <v>40990</v>
      </c>
      <c r="B1727" t="s">
        <v>22</v>
      </c>
      <c r="C1727" t="s">
        <v>10</v>
      </c>
      <c r="D1727" s="3">
        <v>84.719999999999985</v>
      </c>
      <c r="E1727" s="3">
        <v>0</v>
      </c>
      <c r="F1727" t="s">
        <v>45</v>
      </c>
      <c r="G1727" s="3">
        <f t="shared" si="198"/>
        <v>-84.719999999999985</v>
      </c>
      <c r="H1727" s="3">
        <f t="shared" si="199"/>
        <v>84.719999999999985</v>
      </c>
      <c r="I1727" s="5" t="str">
        <f t="shared" si="200"/>
        <v>018</v>
      </c>
      <c r="J1727" s="5" t="str">
        <f t="shared" si="201"/>
        <v>2230</v>
      </c>
      <c r="K1727" s="5" t="str">
        <f t="shared" si="202"/>
        <v>000</v>
      </c>
      <c r="L1727" s="5">
        <f t="shared" si="203"/>
        <v>3</v>
      </c>
      <c r="M1727" s="5">
        <f t="shared" si="204"/>
        <v>2012</v>
      </c>
    </row>
    <row r="1728" spans="1:13" ht="17.45" customHeight="1" x14ac:dyDescent="0.25">
      <c r="A1728" s="1">
        <f>DATE(2012,3,23)</f>
        <v>40991</v>
      </c>
      <c r="B1728" t="s">
        <v>19</v>
      </c>
      <c r="C1728" t="s">
        <v>6</v>
      </c>
      <c r="D1728" s="3">
        <v>10346.200000000001</v>
      </c>
      <c r="E1728" s="3">
        <v>0</v>
      </c>
      <c r="F1728" t="s">
        <v>45</v>
      </c>
      <c r="G1728" s="3">
        <f t="shared" si="198"/>
        <v>-10346.200000000001</v>
      </c>
      <c r="H1728" s="3">
        <f t="shared" si="199"/>
        <v>10346.200000000001</v>
      </c>
      <c r="I1728" s="5" t="str">
        <f t="shared" si="200"/>
        <v>018</v>
      </c>
      <c r="J1728" s="5" t="str">
        <f t="shared" si="201"/>
        <v>2100</v>
      </c>
      <c r="K1728" s="5" t="str">
        <f t="shared" si="202"/>
        <v>000</v>
      </c>
      <c r="L1728" s="5">
        <f t="shared" si="203"/>
        <v>3</v>
      </c>
      <c r="M1728" s="5">
        <f t="shared" si="204"/>
        <v>2012</v>
      </c>
    </row>
    <row r="1729" spans="1:13" ht="17.45" customHeight="1" x14ac:dyDescent="0.25">
      <c r="A1729" s="1">
        <f>DATE(2012,3,23)</f>
        <v>40991</v>
      </c>
      <c r="B1729" t="s">
        <v>20</v>
      </c>
      <c r="C1729" t="s">
        <v>8</v>
      </c>
      <c r="D1729" s="3">
        <v>3149.2550000000001</v>
      </c>
      <c r="E1729" s="3">
        <v>0</v>
      </c>
      <c r="F1729" t="s">
        <v>45</v>
      </c>
      <c r="G1729" s="3">
        <f t="shared" si="198"/>
        <v>-3149.2550000000001</v>
      </c>
      <c r="H1729" s="3">
        <f t="shared" si="199"/>
        <v>3149.2550000000001</v>
      </c>
      <c r="I1729" s="5" t="str">
        <f t="shared" si="200"/>
        <v>018</v>
      </c>
      <c r="J1729" s="5" t="str">
        <f t="shared" si="201"/>
        <v>2210</v>
      </c>
      <c r="K1729" s="5" t="str">
        <f t="shared" si="202"/>
        <v>000</v>
      </c>
      <c r="L1729" s="5">
        <f t="shared" si="203"/>
        <v>3</v>
      </c>
      <c r="M1729" s="5">
        <f t="shared" si="204"/>
        <v>2012</v>
      </c>
    </row>
    <row r="1730" spans="1:13" ht="17.45" customHeight="1" x14ac:dyDescent="0.25">
      <c r="A1730" s="1">
        <f>DATE(2012,3,23)</f>
        <v>40991</v>
      </c>
      <c r="B1730" t="s">
        <v>21</v>
      </c>
      <c r="C1730" t="s">
        <v>9</v>
      </c>
      <c r="D1730" s="3">
        <v>459.92999999999995</v>
      </c>
      <c r="E1730" s="3">
        <v>0</v>
      </c>
      <c r="F1730" t="s">
        <v>45</v>
      </c>
      <c r="G1730" s="3">
        <f t="shared" ref="G1730:G1793" si="205">E1730-D1730</f>
        <v>-459.92999999999995</v>
      </c>
      <c r="H1730" s="3">
        <f t="shared" ref="H1730:H1793" si="206">ABS(G1730)</f>
        <v>459.92999999999995</v>
      </c>
      <c r="I1730" s="5" t="str">
        <f t="shared" ref="I1730:I1793" si="207">MID(B1730,1,3)</f>
        <v>018</v>
      </c>
      <c r="J1730" s="5" t="str">
        <f t="shared" ref="J1730:J1793" si="208">MID(B1730,5,4)</f>
        <v>2220</v>
      </c>
      <c r="K1730" s="5" t="str">
        <f t="shared" ref="K1730:K1793" si="209">MID(B1730,10,3)</f>
        <v>000</v>
      </c>
      <c r="L1730" s="5">
        <f t="shared" ref="L1730:L1793" si="210">MONTH(A1730)</f>
        <v>3</v>
      </c>
      <c r="M1730" s="5">
        <f t="shared" ref="M1730:M1793" si="211">YEAR(A1730)</f>
        <v>2012</v>
      </c>
    </row>
    <row r="1731" spans="1:13" ht="17.45" customHeight="1" x14ac:dyDescent="0.25">
      <c r="A1731" s="1">
        <f>DATE(2012,3,23)</f>
        <v>40991</v>
      </c>
      <c r="B1731" t="s">
        <v>22</v>
      </c>
      <c r="C1731" t="s">
        <v>10</v>
      </c>
      <c r="D1731" s="3">
        <v>114.75200000000001</v>
      </c>
      <c r="E1731" s="3">
        <v>0</v>
      </c>
      <c r="F1731" t="s">
        <v>45</v>
      </c>
      <c r="G1731" s="3">
        <f t="shared" si="205"/>
        <v>-114.75200000000001</v>
      </c>
      <c r="H1731" s="3">
        <f t="shared" si="206"/>
        <v>114.75200000000001</v>
      </c>
      <c r="I1731" s="5" t="str">
        <f t="shared" si="207"/>
        <v>018</v>
      </c>
      <c r="J1731" s="5" t="str">
        <f t="shared" si="208"/>
        <v>2230</v>
      </c>
      <c r="K1731" s="5" t="str">
        <f t="shared" si="209"/>
        <v>000</v>
      </c>
      <c r="L1731" s="5">
        <f t="shared" si="210"/>
        <v>3</v>
      </c>
      <c r="M1731" s="5">
        <f t="shared" si="211"/>
        <v>2012</v>
      </c>
    </row>
    <row r="1732" spans="1:13" ht="17.45" customHeight="1" x14ac:dyDescent="0.25">
      <c r="A1732" s="1">
        <f>DATE(2012,3,24)</f>
        <v>40992</v>
      </c>
      <c r="B1732" t="s">
        <v>19</v>
      </c>
      <c r="C1732" t="s">
        <v>6</v>
      </c>
      <c r="D1732" s="3">
        <v>14075.512500000001</v>
      </c>
      <c r="E1732" s="3">
        <v>0</v>
      </c>
      <c r="F1732" t="s">
        <v>45</v>
      </c>
      <c r="G1732" s="3">
        <f t="shared" si="205"/>
        <v>-14075.512500000001</v>
      </c>
      <c r="H1732" s="3">
        <f t="shared" si="206"/>
        <v>14075.512500000001</v>
      </c>
      <c r="I1732" s="5" t="str">
        <f t="shared" si="207"/>
        <v>018</v>
      </c>
      <c r="J1732" s="5" t="str">
        <f t="shared" si="208"/>
        <v>2100</v>
      </c>
      <c r="K1732" s="5" t="str">
        <f t="shared" si="209"/>
        <v>000</v>
      </c>
      <c r="L1732" s="5">
        <f t="shared" si="210"/>
        <v>3</v>
      </c>
      <c r="M1732" s="5">
        <f t="shared" si="211"/>
        <v>2012</v>
      </c>
    </row>
    <row r="1733" spans="1:13" ht="17.45" customHeight="1" x14ac:dyDescent="0.25">
      <c r="A1733" s="1">
        <f>DATE(2012,3,24)</f>
        <v>40992</v>
      </c>
      <c r="B1733" t="s">
        <v>20</v>
      </c>
      <c r="C1733" t="s">
        <v>8</v>
      </c>
      <c r="D1733" s="3">
        <v>4025.5520000000006</v>
      </c>
      <c r="E1733" s="3">
        <v>0</v>
      </c>
      <c r="F1733" t="s">
        <v>45</v>
      </c>
      <c r="G1733" s="3">
        <f t="shared" si="205"/>
        <v>-4025.5520000000006</v>
      </c>
      <c r="H1733" s="3">
        <f t="shared" si="206"/>
        <v>4025.5520000000006</v>
      </c>
      <c r="I1733" s="5" t="str">
        <f t="shared" si="207"/>
        <v>018</v>
      </c>
      <c r="J1733" s="5" t="str">
        <f t="shared" si="208"/>
        <v>2210</v>
      </c>
      <c r="K1733" s="5" t="str">
        <f t="shared" si="209"/>
        <v>000</v>
      </c>
      <c r="L1733" s="5">
        <f t="shared" si="210"/>
        <v>3</v>
      </c>
      <c r="M1733" s="5">
        <f t="shared" si="211"/>
        <v>2012</v>
      </c>
    </row>
    <row r="1734" spans="1:13" ht="17.45" customHeight="1" x14ac:dyDescent="0.25">
      <c r="A1734" s="1">
        <f>DATE(2012,3,24)</f>
        <v>40992</v>
      </c>
      <c r="B1734" t="s">
        <v>21</v>
      </c>
      <c r="C1734" t="s">
        <v>9</v>
      </c>
      <c r="D1734" s="3">
        <v>595.851</v>
      </c>
      <c r="E1734" s="3">
        <v>0</v>
      </c>
      <c r="F1734" t="s">
        <v>45</v>
      </c>
      <c r="G1734" s="3">
        <f t="shared" si="205"/>
        <v>-595.851</v>
      </c>
      <c r="H1734" s="3">
        <f t="shared" si="206"/>
        <v>595.851</v>
      </c>
      <c r="I1734" s="5" t="str">
        <f t="shared" si="207"/>
        <v>018</v>
      </c>
      <c r="J1734" s="5" t="str">
        <f t="shared" si="208"/>
        <v>2220</v>
      </c>
      <c r="K1734" s="5" t="str">
        <f t="shared" si="209"/>
        <v>000</v>
      </c>
      <c r="L1734" s="5">
        <f t="shared" si="210"/>
        <v>3</v>
      </c>
      <c r="M1734" s="5">
        <f t="shared" si="211"/>
        <v>2012</v>
      </c>
    </row>
    <row r="1735" spans="1:13" ht="17.45" customHeight="1" x14ac:dyDescent="0.25">
      <c r="A1735" s="1">
        <f>DATE(2012,3,24)</f>
        <v>40992</v>
      </c>
      <c r="B1735" t="s">
        <v>22</v>
      </c>
      <c r="C1735" t="s">
        <v>10</v>
      </c>
      <c r="D1735" s="3">
        <v>53.372</v>
      </c>
      <c r="E1735" s="3">
        <v>0</v>
      </c>
      <c r="F1735" t="s">
        <v>45</v>
      </c>
      <c r="G1735" s="3">
        <f t="shared" si="205"/>
        <v>-53.372</v>
      </c>
      <c r="H1735" s="3">
        <f t="shared" si="206"/>
        <v>53.372</v>
      </c>
      <c r="I1735" s="5" t="str">
        <f t="shared" si="207"/>
        <v>018</v>
      </c>
      <c r="J1735" s="5" t="str">
        <f t="shared" si="208"/>
        <v>2230</v>
      </c>
      <c r="K1735" s="5" t="str">
        <f t="shared" si="209"/>
        <v>000</v>
      </c>
      <c r="L1735" s="5">
        <f t="shared" si="210"/>
        <v>3</v>
      </c>
      <c r="M1735" s="5">
        <f t="shared" si="211"/>
        <v>2012</v>
      </c>
    </row>
    <row r="1736" spans="1:13" ht="17.45" customHeight="1" x14ac:dyDescent="0.25">
      <c r="A1736" s="1">
        <f>DATE(2012,3,25)</f>
        <v>40993</v>
      </c>
      <c r="B1736" t="s">
        <v>19</v>
      </c>
      <c r="C1736" t="s">
        <v>6</v>
      </c>
      <c r="D1736" s="3">
        <v>11840.584000000001</v>
      </c>
      <c r="E1736" s="3">
        <v>0</v>
      </c>
      <c r="F1736" t="s">
        <v>45</v>
      </c>
      <c r="G1736" s="3">
        <f t="shared" si="205"/>
        <v>-11840.584000000001</v>
      </c>
      <c r="H1736" s="3">
        <f t="shared" si="206"/>
        <v>11840.584000000001</v>
      </c>
      <c r="I1736" s="5" t="str">
        <f t="shared" si="207"/>
        <v>018</v>
      </c>
      <c r="J1736" s="5" t="str">
        <f t="shared" si="208"/>
        <v>2100</v>
      </c>
      <c r="K1736" s="5" t="str">
        <f t="shared" si="209"/>
        <v>000</v>
      </c>
      <c r="L1736" s="5">
        <f t="shared" si="210"/>
        <v>3</v>
      </c>
      <c r="M1736" s="5">
        <f t="shared" si="211"/>
        <v>2012</v>
      </c>
    </row>
    <row r="1737" spans="1:13" ht="17.45" customHeight="1" x14ac:dyDescent="0.25">
      <c r="A1737" s="1">
        <f>DATE(2012,3,25)</f>
        <v>40993</v>
      </c>
      <c r="B1737" t="s">
        <v>20</v>
      </c>
      <c r="C1737" t="s">
        <v>8</v>
      </c>
      <c r="D1737" s="3">
        <v>1094.9714999999999</v>
      </c>
      <c r="E1737" s="3">
        <v>0</v>
      </c>
      <c r="F1737" t="s">
        <v>45</v>
      </c>
      <c r="G1737" s="3">
        <f t="shared" si="205"/>
        <v>-1094.9714999999999</v>
      </c>
      <c r="H1737" s="3">
        <f t="shared" si="206"/>
        <v>1094.9714999999999</v>
      </c>
      <c r="I1737" s="5" t="str">
        <f t="shared" si="207"/>
        <v>018</v>
      </c>
      <c r="J1737" s="5" t="str">
        <f t="shared" si="208"/>
        <v>2210</v>
      </c>
      <c r="K1737" s="5" t="str">
        <f t="shared" si="209"/>
        <v>000</v>
      </c>
      <c r="L1737" s="5">
        <f t="shared" si="210"/>
        <v>3</v>
      </c>
      <c r="M1737" s="5">
        <f t="shared" si="211"/>
        <v>2012</v>
      </c>
    </row>
    <row r="1738" spans="1:13" ht="17.45" customHeight="1" x14ac:dyDescent="0.25">
      <c r="A1738" s="1">
        <f>DATE(2012,3,25)</f>
        <v>40993</v>
      </c>
      <c r="B1738" t="s">
        <v>21</v>
      </c>
      <c r="C1738" t="s">
        <v>9</v>
      </c>
      <c r="D1738" s="3">
        <v>178.26300000000001</v>
      </c>
      <c r="E1738" s="3">
        <v>0</v>
      </c>
      <c r="F1738" t="s">
        <v>45</v>
      </c>
      <c r="G1738" s="3">
        <f t="shared" si="205"/>
        <v>-178.26300000000001</v>
      </c>
      <c r="H1738" s="3">
        <f t="shared" si="206"/>
        <v>178.26300000000001</v>
      </c>
      <c r="I1738" s="5" t="str">
        <f t="shared" si="207"/>
        <v>018</v>
      </c>
      <c r="J1738" s="5" t="str">
        <f t="shared" si="208"/>
        <v>2220</v>
      </c>
      <c r="K1738" s="5" t="str">
        <f t="shared" si="209"/>
        <v>000</v>
      </c>
      <c r="L1738" s="5">
        <f t="shared" si="210"/>
        <v>3</v>
      </c>
      <c r="M1738" s="5">
        <f t="shared" si="211"/>
        <v>2012</v>
      </c>
    </row>
    <row r="1739" spans="1:13" ht="17.45" customHeight="1" x14ac:dyDescent="0.25">
      <c r="A1739" s="1">
        <f>DATE(2012,3,25)</f>
        <v>40993</v>
      </c>
      <c r="B1739" t="s">
        <v>22</v>
      </c>
      <c r="C1739" t="s">
        <v>10</v>
      </c>
      <c r="D1739" s="3">
        <v>168.67250000000001</v>
      </c>
      <c r="E1739" s="3">
        <v>0</v>
      </c>
      <c r="F1739" t="s">
        <v>45</v>
      </c>
      <c r="G1739" s="3">
        <f t="shared" si="205"/>
        <v>-168.67250000000001</v>
      </c>
      <c r="H1739" s="3">
        <f t="shared" si="206"/>
        <v>168.67250000000001</v>
      </c>
      <c r="I1739" s="5" t="str">
        <f t="shared" si="207"/>
        <v>018</v>
      </c>
      <c r="J1739" s="5" t="str">
        <f t="shared" si="208"/>
        <v>2230</v>
      </c>
      <c r="K1739" s="5" t="str">
        <f t="shared" si="209"/>
        <v>000</v>
      </c>
      <c r="L1739" s="5">
        <f t="shared" si="210"/>
        <v>3</v>
      </c>
      <c r="M1739" s="5">
        <f t="shared" si="211"/>
        <v>2012</v>
      </c>
    </row>
    <row r="1740" spans="1:13" ht="17.45" customHeight="1" x14ac:dyDescent="0.25">
      <c r="A1740" s="1">
        <f>DATE(2012,3,26)</f>
        <v>40994</v>
      </c>
      <c r="B1740" t="s">
        <v>11</v>
      </c>
      <c r="C1740" t="s">
        <v>6</v>
      </c>
      <c r="D1740" s="3">
        <v>3232.3977</v>
      </c>
      <c r="E1740" s="3">
        <v>0</v>
      </c>
      <c r="F1740" t="s">
        <v>45</v>
      </c>
      <c r="G1740" s="3">
        <f t="shared" si="205"/>
        <v>-3232.3977</v>
      </c>
      <c r="H1740" s="3">
        <f t="shared" si="206"/>
        <v>3232.3977</v>
      </c>
      <c r="I1740" s="5" t="str">
        <f t="shared" si="207"/>
        <v>016</v>
      </c>
      <c r="J1740" s="5" t="str">
        <f t="shared" si="208"/>
        <v>2100</v>
      </c>
      <c r="K1740" s="5" t="str">
        <f t="shared" si="209"/>
        <v>000</v>
      </c>
      <c r="L1740" s="5">
        <f t="shared" si="210"/>
        <v>3</v>
      </c>
      <c r="M1740" s="5">
        <f t="shared" si="211"/>
        <v>2012</v>
      </c>
    </row>
    <row r="1741" spans="1:13" ht="17.45" customHeight="1" x14ac:dyDescent="0.25">
      <c r="A1741" s="1">
        <f>DATE(2012,3,26)</f>
        <v>40994</v>
      </c>
      <c r="B1741" t="s">
        <v>12</v>
      </c>
      <c r="C1741" t="s">
        <v>8</v>
      </c>
      <c r="D1741" s="3">
        <v>1123.3174999999999</v>
      </c>
      <c r="E1741" s="3">
        <v>0</v>
      </c>
      <c r="F1741" t="s">
        <v>45</v>
      </c>
      <c r="G1741" s="3">
        <f t="shared" si="205"/>
        <v>-1123.3174999999999</v>
      </c>
      <c r="H1741" s="3">
        <f t="shared" si="206"/>
        <v>1123.3174999999999</v>
      </c>
      <c r="I1741" s="5" t="str">
        <f t="shared" si="207"/>
        <v>016</v>
      </c>
      <c r="J1741" s="5" t="str">
        <f t="shared" si="208"/>
        <v>2210</v>
      </c>
      <c r="K1741" s="5" t="str">
        <f t="shared" si="209"/>
        <v>000</v>
      </c>
      <c r="L1741" s="5">
        <f t="shared" si="210"/>
        <v>3</v>
      </c>
      <c r="M1741" s="5">
        <f t="shared" si="211"/>
        <v>2012</v>
      </c>
    </row>
    <row r="1742" spans="1:13" ht="17.45" customHeight="1" x14ac:dyDescent="0.25">
      <c r="A1742" s="1">
        <f>DATE(2012,3,26)</f>
        <v>40994</v>
      </c>
      <c r="B1742" t="s">
        <v>13</v>
      </c>
      <c r="C1742" t="s">
        <v>9</v>
      </c>
      <c r="D1742" s="3">
        <v>159.89999999999998</v>
      </c>
      <c r="E1742" s="3">
        <v>0</v>
      </c>
      <c r="F1742" t="s">
        <v>45</v>
      </c>
      <c r="G1742" s="3">
        <f t="shared" si="205"/>
        <v>-159.89999999999998</v>
      </c>
      <c r="H1742" s="3">
        <f t="shared" si="206"/>
        <v>159.89999999999998</v>
      </c>
      <c r="I1742" s="5" t="str">
        <f t="shared" si="207"/>
        <v>016</v>
      </c>
      <c r="J1742" s="5" t="str">
        <f t="shared" si="208"/>
        <v>2220</v>
      </c>
      <c r="K1742" s="5" t="str">
        <f t="shared" si="209"/>
        <v>000</v>
      </c>
      <c r="L1742" s="5">
        <f t="shared" si="210"/>
        <v>3</v>
      </c>
      <c r="M1742" s="5">
        <f t="shared" si="211"/>
        <v>2012</v>
      </c>
    </row>
    <row r="1743" spans="1:13" ht="17.45" customHeight="1" x14ac:dyDescent="0.25">
      <c r="A1743" s="1">
        <f>DATE(2012,3,26)</f>
        <v>40994</v>
      </c>
      <c r="B1743" t="s">
        <v>14</v>
      </c>
      <c r="C1743" t="s">
        <v>10</v>
      </c>
      <c r="D1743" s="3">
        <v>36.224999999999994</v>
      </c>
      <c r="E1743" s="3">
        <v>0</v>
      </c>
      <c r="F1743" t="s">
        <v>45</v>
      </c>
      <c r="G1743" s="3">
        <f t="shared" si="205"/>
        <v>-36.224999999999994</v>
      </c>
      <c r="H1743" s="3">
        <f t="shared" si="206"/>
        <v>36.224999999999994</v>
      </c>
      <c r="I1743" s="5" t="str">
        <f t="shared" si="207"/>
        <v>016</v>
      </c>
      <c r="J1743" s="5" t="str">
        <f t="shared" si="208"/>
        <v>2230</v>
      </c>
      <c r="K1743" s="5" t="str">
        <f t="shared" si="209"/>
        <v>000</v>
      </c>
      <c r="L1743" s="5">
        <f t="shared" si="210"/>
        <v>3</v>
      </c>
      <c r="M1743" s="5">
        <f t="shared" si="211"/>
        <v>2012</v>
      </c>
    </row>
    <row r="1744" spans="1:13" ht="17.45" customHeight="1" x14ac:dyDescent="0.25">
      <c r="A1744" s="1">
        <f>DATE(2012,3,27)</f>
        <v>40995</v>
      </c>
      <c r="B1744" t="s">
        <v>11</v>
      </c>
      <c r="C1744" t="s">
        <v>6</v>
      </c>
      <c r="D1744" s="3">
        <v>3692.7633999999998</v>
      </c>
      <c r="E1744" s="3">
        <v>0</v>
      </c>
      <c r="F1744" t="s">
        <v>45</v>
      </c>
      <c r="G1744" s="3">
        <f t="shared" si="205"/>
        <v>-3692.7633999999998</v>
      </c>
      <c r="H1744" s="3">
        <f t="shared" si="206"/>
        <v>3692.7633999999998</v>
      </c>
      <c r="I1744" s="5" t="str">
        <f t="shared" si="207"/>
        <v>016</v>
      </c>
      <c r="J1744" s="5" t="str">
        <f t="shared" si="208"/>
        <v>2100</v>
      </c>
      <c r="K1744" s="5" t="str">
        <f t="shared" si="209"/>
        <v>000</v>
      </c>
      <c r="L1744" s="5">
        <f t="shared" si="210"/>
        <v>3</v>
      </c>
      <c r="M1744" s="5">
        <f t="shared" si="211"/>
        <v>2012</v>
      </c>
    </row>
    <row r="1745" spans="1:13" ht="17.45" customHeight="1" x14ac:dyDescent="0.25">
      <c r="A1745" s="1">
        <f>DATE(2012,3,27)</f>
        <v>40995</v>
      </c>
      <c r="B1745" t="s">
        <v>12</v>
      </c>
      <c r="C1745" t="s">
        <v>8</v>
      </c>
      <c r="D1745" s="3">
        <v>1395.558</v>
      </c>
      <c r="E1745" s="3">
        <v>0</v>
      </c>
      <c r="F1745" t="s">
        <v>45</v>
      </c>
      <c r="G1745" s="3">
        <f t="shared" si="205"/>
        <v>-1395.558</v>
      </c>
      <c r="H1745" s="3">
        <f t="shared" si="206"/>
        <v>1395.558</v>
      </c>
      <c r="I1745" s="5" t="str">
        <f t="shared" si="207"/>
        <v>016</v>
      </c>
      <c r="J1745" s="5" t="str">
        <f t="shared" si="208"/>
        <v>2210</v>
      </c>
      <c r="K1745" s="5" t="str">
        <f t="shared" si="209"/>
        <v>000</v>
      </c>
      <c r="L1745" s="5">
        <f t="shared" si="210"/>
        <v>3</v>
      </c>
      <c r="M1745" s="5">
        <f t="shared" si="211"/>
        <v>2012</v>
      </c>
    </row>
    <row r="1746" spans="1:13" ht="17.45" customHeight="1" x14ac:dyDescent="0.25">
      <c r="A1746" s="1">
        <f>DATE(2012,3,27)</f>
        <v>40995</v>
      </c>
      <c r="B1746" t="s">
        <v>13</v>
      </c>
      <c r="C1746" t="s">
        <v>9</v>
      </c>
      <c r="D1746" s="3">
        <v>130.92750000000001</v>
      </c>
      <c r="E1746" s="3">
        <v>0</v>
      </c>
      <c r="F1746" t="s">
        <v>45</v>
      </c>
      <c r="G1746" s="3">
        <f t="shared" si="205"/>
        <v>-130.92750000000001</v>
      </c>
      <c r="H1746" s="3">
        <f t="shared" si="206"/>
        <v>130.92750000000001</v>
      </c>
      <c r="I1746" s="5" t="str">
        <f t="shared" si="207"/>
        <v>016</v>
      </c>
      <c r="J1746" s="5" t="str">
        <f t="shared" si="208"/>
        <v>2220</v>
      </c>
      <c r="K1746" s="5" t="str">
        <f t="shared" si="209"/>
        <v>000</v>
      </c>
      <c r="L1746" s="5">
        <f t="shared" si="210"/>
        <v>3</v>
      </c>
      <c r="M1746" s="5">
        <f t="shared" si="211"/>
        <v>2012</v>
      </c>
    </row>
    <row r="1747" spans="1:13" ht="17.45" customHeight="1" x14ac:dyDescent="0.25">
      <c r="A1747" s="1">
        <f>DATE(2012,3,27)</f>
        <v>40995</v>
      </c>
      <c r="B1747" t="s">
        <v>14</v>
      </c>
      <c r="C1747" t="s">
        <v>10</v>
      </c>
      <c r="D1747" s="3">
        <v>101.80500000000001</v>
      </c>
      <c r="E1747" s="3">
        <v>0</v>
      </c>
      <c r="F1747" t="s">
        <v>45</v>
      </c>
      <c r="G1747" s="3">
        <f t="shared" si="205"/>
        <v>-101.80500000000001</v>
      </c>
      <c r="H1747" s="3">
        <f t="shared" si="206"/>
        <v>101.80500000000001</v>
      </c>
      <c r="I1747" s="5" t="str">
        <f t="shared" si="207"/>
        <v>016</v>
      </c>
      <c r="J1747" s="5" t="str">
        <f t="shared" si="208"/>
        <v>2230</v>
      </c>
      <c r="K1747" s="5" t="str">
        <f t="shared" si="209"/>
        <v>000</v>
      </c>
      <c r="L1747" s="5">
        <f t="shared" si="210"/>
        <v>3</v>
      </c>
      <c r="M1747" s="5">
        <f t="shared" si="211"/>
        <v>2012</v>
      </c>
    </row>
    <row r="1748" spans="1:13" ht="17.45" customHeight="1" x14ac:dyDescent="0.25">
      <c r="A1748" s="1">
        <f>DATE(2012,3,28)</f>
        <v>40996</v>
      </c>
      <c r="B1748" t="s">
        <v>11</v>
      </c>
      <c r="C1748" t="s">
        <v>6</v>
      </c>
      <c r="D1748" s="3">
        <v>3141.7430000000004</v>
      </c>
      <c r="E1748" s="3">
        <v>0</v>
      </c>
      <c r="F1748" t="s">
        <v>45</v>
      </c>
      <c r="G1748" s="3">
        <f t="shared" si="205"/>
        <v>-3141.7430000000004</v>
      </c>
      <c r="H1748" s="3">
        <f t="shared" si="206"/>
        <v>3141.7430000000004</v>
      </c>
      <c r="I1748" s="5" t="str">
        <f t="shared" si="207"/>
        <v>016</v>
      </c>
      <c r="J1748" s="5" t="str">
        <f t="shared" si="208"/>
        <v>2100</v>
      </c>
      <c r="K1748" s="5" t="str">
        <f t="shared" si="209"/>
        <v>000</v>
      </c>
      <c r="L1748" s="5">
        <f t="shared" si="210"/>
        <v>3</v>
      </c>
      <c r="M1748" s="5">
        <f t="shared" si="211"/>
        <v>2012</v>
      </c>
    </row>
    <row r="1749" spans="1:13" ht="17.45" customHeight="1" x14ac:dyDescent="0.25">
      <c r="A1749" s="1">
        <f>DATE(2012,3,28)</f>
        <v>40996</v>
      </c>
      <c r="B1749" t="s">
        <v>12</v>
      </c>
      <c r="C1749" t="s">
        <v>8</v>
      </c>
      <c r="D1749" s="3">
        <v>1234.0999999999999</v>
      </c>
      <c r="E1749" s="3">
        <v>0</v>
      </c>
      <c r="F1749" t="s">
        <v>45</v>
      </c>
      <c r="G1749" s="3">
        <f t="shared" si="205"/>
        <v>-1234.0999999999999</v>
      </c>
      <c r="H1749" s="3">
        <f t="shared" si="206"/>
        <v>1234.0999999999999</v>
      </c>
      <c r="I1749" s="5" t="str">
        <f t="shared" si="207"/>
        <v>016</v>
      </c>
      <c r="J1749" s="5" t="str">
        <f t="shared" si="208"/>
        <v>2210</v>
      </c>
      <c r="K1749" s="5" t="str">
        <f t="shared" si="209"/>
        <v>000</v>
      </c>
      <c r="L1749" s="5">
        <f t="shared" si="210"/>
        <v>3</v>
      </c>
      <c r="M1749" s="5">
        <f t="shared" si="211"/>
        <v>2012</v>
      </c>
    </row>
    <row r="1750" spans="1:13" ht="17.45" customHeight="1" x14ac:dyDescent="0.25">
      <c r="A1750" s="1">
        <f>DATE(2012,3,28)</f>
        <v>40996</v>
      </c>
      <c r="B1750" t="s">
        <v>13</v>
      </c>
      <c r="C1750" t="s">
        <v>9</v>
      </c>
      <c r="D1750" s="3">
        <v>174.53699999999998</v>
      </c>
      <c r="E1750" s="3">
        <v>0</v>
      </c>
      <c r="F1750" t="s">
        <v>45</v>
      </c>
      <c r="G1750" s="3">
        <f t="shared" si="205"/>
        <v>-174.53699999999998</v>
      </c>
      <c r="H1750" s="3">
        <f t="shared" si="206"/>
        <v>174.53699999999998</v>
      </c>
      <c r="I1750" s="5" t="str">
        <f t="shared" si="207"/>
        <v>016</v>
      </c>
      <c r="J1750" s="5" t="str">
        <f t="shared" si="208"/>
        <v>2220</v>
      </c>
      <c r="K1750" s="5" t="str">
        <f t="shared" si="209"/>
        <v>000</v>
      </c>
      <c r="L1750" s="5">
        <f t="shared" si="210"/>
        <v>3</v>
      </c>
      <c r="M1750" s="5">
        <f t="shared" si="211"/>
        <v>2012</v>
      </c>
    </row>
    <row r="1751" spans="1:13" ht="17.45" customHeight="1" x14ac:dyDescent="0.25">
      <c r="A1751" s="1">
        <f>DATE(2012,3,28)</f>
        <v>40996</v>
      </c>
      <c r="B1751" t="s">
        <v>14</v>
      </c>
      <c r="C1751" t="s">
        <v>10</v>
      </c>
      <c r="D1751" s="3">
        <v>120.47499999999999</v>
      </c>
      <c r="E1751" s="3">
        <v>0</v>
      </c>
      <c r="F1751" t="s">
        <v>45</v>
      </c>
      <c r="G1751" s="3">
        <f t="shared" si="205"/>
        <v>-120.47499999999999</v>
      </c>
      <c r="H1751" s="3">
        <f t="shared" si="206"/>
        <v>120.47499999999999</v>
      </c>
      <c r="I1751" s="5" t="str">
        <f t="shared" si="207"/>
        <v>016</v>
      </c>
      <c r="J1751" s="5" t="str">
        <f t="shared" si="208"/>
        <v>2230</v>
      </c>
      <c r="K1751" s="5" t="str">
        <f t="shared" si="209"/>
        <v>000</v>
      </c>
      <c r="L1751" s="5">
        <f t="shared" si="210"/>
        <v>3</v>
      </c>
      <c r="M1751" s="5">
        <f t="shared" si="211"/>
        <v>2012</v>
      </c>
    </row>
    <row r="1752" spans="1:13" ht="17.45" customHeight="1" x14ac:dyDescent="0.25">
      <c r="A1752" s="1">
        <f>DATE(2012,3,29)</f>
        <v>40997</v>
      </c>
      <c r="B1752" t="s">
        <v>11</v>
      </c>
      <c r="C1752" t="s">
        <v>6</v>
      </c>
      <c r="D1752" s="3">
        <v>5094.6732000000002</v>
      </c>
      <c r="E1752" s="3">
        <v>0</v>
      </c>
      <c r="F1752" t="s">
        <v>45</v>
      </c>
      <c r="G1752" s="3">
        <f t="shared" si="205"/>
        <v>-5094.6732000000002</v>
      </c>
      <c r="H1752" s="3">
        <f t="shared" si="206"/>
        <v>5094.6732000000002</v>
      </c>
      <c r="I1752" s="5" t="str">
        <f t="shared" si="207"/>
        <v>016</v>
      </c>
      <c r="J1752" s="5" t="str">
        <f t="shared" si="208"/>
        <v>2100</v>
      </c>
      <c r="K1752" s="5" t="str">
        <f t="shared" si="209"/>
        <v>000</v>
      </c>
      <c r="L1752" s="5">
        <f t="shared" si="210"/>
        <v>3</v>
      </c>
      <c r="M1752" s="5">
        <f t="shared" si="211"/>
        <v>2012</v>
      </c>
    </row>
    <row r="1753" spans="1:13" ht="17.45" customHeight="1" x14ac:dyDescent="0.25">
      <c r="A1753" s="1">
        <f>DATE(2012,3,29)</f>
        <v>40997</v>
      </c>
      <c r="B1753" t="s">
        <v>12</v>
      </c>
      <c r="C1753" t="s">
        <v>8</v>
      </c>
      <c r="D1753" s="3">
        <v>1121.77</v>
      </c>
      <c r="E1753" s="3">
        <v>0</v>
      </c>
      <c r="F1753" t="s">
        <v>45</v>
      </c>
      <c r="G1753" s="3">
        <f t="shared" si="205"/>
        <v>-1121.77</v>
      </c>
      <c r="H1753" s="3">
        <f t="shared" si="206"/>
        <v>1121.77</v>
      </c>
      <c r="I1753" s="5" t="str">
        <f t="shared" si="207"/>
        <v>016</v>
      </c>
      <c r="J1753" s="5" t="str">
        <f t="shared" si="208"/>
        <v>2210</v>
      </c>
      <c r="K1753" s="5" t="str">
        <f t="shared" si="209"/>
        <v>000</v>
      </c>
      <c r="L1753" s="5">
        <f t="shared" si="210"/>
        <v>3</v>
      </c>
      <c r="M1753" s="5">
        <f t="shared" si="211"/>
        <v>2012</v>
      </c>
    </row>
    <row r="1754" spans="1:13" ht="17.45" customHeight="1" x14ac:dyDescent="0.25">
      <c r="A1754" s="1">
        <f>DATE(2012,3,29)</f>
        <v>40997</v>
      </c>
      <c r="B1754" t="s">
        <v>13</v>
      </c>
      <c r="C1754" t="s">
        <v>9</v>
      </c>
      <c r="D1754" s="3">
        <v>173.07</v>
      </c>
      <c r="E1754" s="3">
        <v>0</v>
      </c>
      <c r="F1754" t="s">
        <v>45</v>
      </c>
      <c r="G1754" s="3">
        <f t="shared" si="205"/>
        <v>-173.07</v>
      </c>
      <c r="H1754" s="3">
        <f t="shared" si="206"/>
        <v>173.07</v>
      </c>
      <c r="I1754" s="5" t="str">
        <f t="shared" si="207"/>
        <v>016</v>
      </c>
      <c r="J1754" s="5" t="str">
        <f t="shared" si="208"/>
        <v>2220</v>
      </c>
      <c r="K1754" s="5" t="str">
        <f t="shared" si="209"/>
        <v>000</v>
      </c>
      <c r="L1754" s="5">
        <f t="shared" si="210"/>
        <v>3</v>
      </c>
      <c r="M1754" s="5">
        <f t="shared" si="211"/>
        <v>2012</v>
      </c>
    </row>
    <row r="1755" spans="1:13" ht="17.45" customHeight="1" x14ac:dyDescent="0.25">
      <c r="A1755" s="1">
        <f>DATE(2012,3,29)</f>
        <v>40997</v>
      </c>
      <c r="B1755" t="s">
        <v>14</v>
      </c>
      <c r="C1755" t="s">
        <v>10</v>
      </c>
      <c r="D1755" s="3">
        <v>161.56</v>
      </c>
      <c r="E1755" s="3">
        <v>0</v>
      </c>
      <c r="F1755" t="s">
        <v>45</v>
      </c>
      <c r="G1755" s="3">
        <f t="shared" si="205"/>
        <v>-161.56</v>
      </c>
      <c r="H1755" s="3">
        <f t="shared" si="206"/>
        <v>161.56</v>
      </c>
      <c r="I1755" s="5" t="str">
        <f t="shared" si="207"/>
        <v>016</v>
      </c>
      <c r="J1755" s="5" t="str">
        <f t="shared" si="208"/>
        <v>2230</v>
      </c>
      <c r="K1755" s="5" t="str">
        <f t="shared" si="209"/>
        <v>000</v>
      </c>
      <c r="L1755" s="5">
        <f t="shared" si="210"/>
        <v>3</v>
      </c>
      <c r="M1755" s="5">
        <f t="shared" si="211"/>
        <v>2012</v>
      </c>
    </row>
    <row r="1756" spans="1:13" ht="17.45" customHeight="1" x14ac:dyDescent="0.25">
      <c r="A1756" s="1">
        <f>DATE(2012,3,30)</f>
        <v>40998</v>
      </c>
      <c r="B1756" t="s">
        <v>11</v>
      </c>
      <c r="C1756" t="s">
        <v>6</v>
      </c>
      <c r="D1756" s="3">
        <v>9804.0123999999996</v>
      </c>
      <c r="E1756" s="3">
        <v>0</v>
      </c>
      <c r="F1756" t="s">
        <v>45</v>
      </c>
      <c r="G1756" s="3">
        <f t="shared" si="205"/>
        <v>-9804.0123999999996</v>
      </c>
      <c r="H1756" s="3">
        <f t="shared" si="206"/>
        <v>9804.0123999999996</v>
      </c>
      <c r="I1756" s="5" t="str">
        <f t="shared" si="207"/>
        <v>016</v>
      </c>
      <c r="J1756" s="5" t="str">
        <f t="shared" si="208"/>
        <v>2100</v>
      </c>
      <c r="K1756" s="5" t="str">
        <f t="shared" si="209"/>
        <v>000</v>
      </c>
      <c r="L1756" s="5">
        <f t="shared" si="210"/>
        <v>3</v>
      </c>
      <c r="M1756" s="5">
        <f t="shared" si="211"/>
        <v>2012</v>
      </c>
    </row>
    <row r="1757" spans="1:13" ht="17.45" customHeight="1" x14ac:dyDescent="0.25">
      <c r="A1757" s="1">
        <f>DATE(2012,3,30)</f>
        <v>40998</v>
      </c>
      <c r="B1757" t="s">
        <v>12</v>
      </c>
      <c r="C1757" t="s">
        <v>8</v>
      </c>
      <c r="D1757" s="3">
        <v>2735.1349999999998</v>
      </c>
      <c r="E1757" s="3">
        <v>0</v>
      </c>
      <c r="F1757" t="s">
        <v>45</v>
      </c>
      <c r="G1757" s="3">
        <f t="shared" si="205"/>
        <v>-2735.1349999999998</v>
      </c>
      <c r="H1757" s="3">
        <f t="shared" si="206"/>
        <v>2735.1349999999998</v>
      </c>
      <c r="I1757" s="5" t="str">
        <f t="shared" si="207"/>
        <v>016</v>
      </c>
      <c r="J1757" s="5" t="str">
        <f t="shared" si="208"/>
        <v>2210</v>
      </c>
      <c r="K1757" s="5" t="str">
        <f t="shared" si="209"/>
        <v>000</v>
      </c>
      <c r="L1757" s="5">
        <f t="shared" si="210"/>
        <v>3</v>
      </c>
      <c r="M1757" s="5">
        <f t="shared" si="211"/>
        <v>2012</v>
      </c>
    </row>
    <row r="1758" spans="1:13" ht="17.45" customHeight="1" x14ac:dyDescent="0.25">
      <c r="A1758" s="1">
        <f>DATE(2012,3,30)</f>
        <v>40998</v>
      </c>
      <c r="B1758" t="s">
        <v>13</v>
      </c>
      <c r="C1758" t="s">
        <v>9</v>
      </c>
      <c r="D1758" s="3">
        <v>376.8</v>
      </c>
      <c r="E1758" s="3">
        <v>0</v>
      </c>
      <c r="F1758" t="s">
        <v>45</v>
      </c>
      <c r="G1758" s="3">
        <f t="shared" si="205"/>
        <v>-376.8</v>
      </c>
      <c r="H1758" s="3">
        <f t="shared" si="206"/>
        <v>376.8</v>
      </c>
      <c r="I1758" s="5" t="str">
        <f t="shared" si="207"/>
        <v>016</v>
      </c>
      <c r="J1758" s="5" t="str">
        <f t="shared" si="208"/>
        <v>2220</v>
      </c>
      <c r="K1758" s="5" t="str">
        <f t="shared" si="209"/>
        <v>000</v>
      </c>
      <c r="L1758" s="5">
        <f t="shared" si="210"/>
        <v>3</v>
      </c>
      <c r="M1758" s="5">
        <f t="shared" si="211"/>
        <v>2012</v>
      </c>
    </row>
    <row r="1759" spans="1:13" ht="17.45" customHeight="1" x14ac:dyDescent="0.25">
      <c r="A1759" s="1">
        <f>DATE(2012,3,30)</f>
        <v>40998</v>
      </c>
      <c r="B1759" t="s">
        <v>14</v>
      </c>
      <c r="C1759" t="s">
        <v>10</v>
      </c>
      <c r="D1759" s="3">
        <v>264.745</v>
      </c>
      <c r="E1759" s="3">
        <v>0</v>
      </c>
      <c r="F1759" t="s">
        <v>45</v>
      </c>
      <c r="G1759" s="3">
        <f t="shared" si="205"/>
        <v>-264.745</v>
      </c>
      <c r="H1759" s="3">
        <f t="shared" si="206"/>
        <v>264.745</v>
      </c>
      <c r="I1759" s="5" t="str">
        <f t="shared" si="207"/>
        <v>016</v>
      </c>
      <c r="J1759" s="5" t="str">
        <f t="shared" si="208"/>
        <v>2230</v>
      </c>
      <c r="K1759" s="5" t="str">
        <f t="shared" si="209"/>
        <v>000</v>
      </c>
      <c r="L1759" s="5">
        <f t="shared" si="210"/>
        <v>3</v>
      </c>
      <c r="M1759" s="5">
        <f t="shared" si="211"/>
        <v>2012</v>
      </c>
    </row>
    <row r="1760" spans="1:13" ht="17.45" customHeight="1" x14ac:dyDescent="0.25">
      <c r="A1760" s="1">
        <f>DATE(2012,3,31)</f>
        <v>40999</v>
      </c>
      <c r="B1760" t="s">
        <v>11</v>
      </c>
      <c r="C1760" t="s">
        <v>6</v>
      </c>
      <c r="D1760" s="3">
        <v>6586.0032000000001</v>
      </c>
      <c r="E1760" s="3">
        <v>0</v>
      </c>
      <c r="F1760" t="s">
        <v>45</v>
      </c>
      <c r="G1760" s="3">
        <f t="shared" si="205"/>
        <v>-6586.0032000000001</v>
      </c>
      <c r="H1760" s="3">
        <f t="shared" si="206"/>
        <v>6586.0032000000001</v>
      </c>
      <c r="I1760" s="5" t="str">
        <f t="shared" si="207"/>
        <v>016</v>
      </c>
      <c r="J1760" s="5" t="str">
        <f t="shared" si="208"/>
        <v>2100</v>
      </c>
      <c r="K1760" s="5" t="str">
        <f t="shared" si="209"/>
        <v>000</v>
      </c>
      <c r="L1760" s="5">
        <f t="shared" si="210"/>
        <v>3</v>
      </c>
      <c r="M1760" s="5">
        <f t="shared" si="211"/>
        <v>2012</v>
      </c>
    </row>
    <row r="1761" spans="1:13" ht="17.45" customHeight="1" x14ac:dyDescent="0.25">
      <c r="A1761" s="1">
        <f>DATE(2012,3,31)</f>
        <v>40999</v>
      </c>
      <c r="B1761" t="s">
        <v>12</v>
      </c>
      <c r="C1761" t="s">
        <v>8</v>
      </c>
      <c r="D1761" s="3">
        <v>2672.6079999999997</v>
      </c>
      <c r="E1761" s="3">
        <v>0</v>
      </c>
      <c r="F1761" t="s">
        <v>45</v>
      </c>
      <c r="G1761" s="3">
        <f t="shared" si="205"/>
        <v>-2672.6079999999997</v>
      </c>
      <c r="H1761" s="3">
        <f t="shared" si="206"/>
        <v>2672.6079999999997</v>
      </c>
      <c r="I1761" s="5" t="str">
        <f t="shared" si="207"/>
        <v>016</v>
      </c>
      <c r="J1761" s="5" t="str">
        <f t="shared" si="208"/>
        <v>2210</v>
      </c>
      <c r="K1761" s="5" t="str">
        <f t="shared" si="209"/>
        <v>000</v>
      </c>
      <c r="L1761" s="5">
        <f t="shared" si="210"/>
        <v>3</v>
      </c>
      <c r="M1761" s="5">
        <f t="shared" si="211"/>
        <v>2012</v>
      </c>
    </row>
    <row r="1762" spans="1:13" ht="17.45" customHeight="1" x14ac:dyDescent="0.25">
      <c r="A1762" s="1">
        <f>DATE(2012,3,31)</f>
        <v>40999</v>
      </c>
      <c r="B1762" t="s">
        <v>13</v>
      </c>
      <c r="C1762" t="s">
        <v>9</v>
      </c>
      <c r="D1762" s="3">
        <v>473.75549999999993</v>
      </c>
      <c r="E1762" s="3">
        <v>0</v>
      </c>
      <c r="F1762" t="s">
        <v>45</v>
      </c>
      <c r="G1762" s="3">
        <f t="shared" si="205"/>
        <v>-473.75549999999993</v>
      </c>
      <c r="H1762" s="3">
        <f t="shared" si="206"/>
        <v>473.75549999999993</v>
      </c>
      <c r="I1762" s="5" t="str">
        <f t="shared" si="207"/>
        <v>016</v>
      </c>
      <c r="J1762" s="5" t="str">
        <f t="shared" si="208"/>
        <v>2220</v>
      </c>
      <c r="K1762" s="5" t="str">
        <f t="shared" si="209"/>
        <v>000</v>
      </c>
      <c r="L1762" s="5">
        <f t="shared" si="210"/>
        <v>3</v>
      </c>
      <c r="M1762" s="5">
        <f t="shared" si="211"/>
        <v>2012</v>
      </c>
    </row>
    <row r="1763" spans="1:13" ht="17.45" customHeight="1" x14ac:dyDescent="0.25">
      <c r="A1763" s="1">
        <f>DATE(2012,3,31)</f>
        <v>40999</v>
      </c>
      <c r="B1763" t="s">
        <v>14</v>
      </c>
      <c r="C1763" t="s">
        <v>10</v>
      </c>
      <c r="D1763" s="3">
        <v>333.22999999999996</v>
      </c>
      <c r="E1763" s="3">
        <v>0</v>
      </c>
      <c r="F1763" t="s">
        <v>45</v>
      </c>
      <c r="G1763" s="3">
        <f t="shared" si="205"/>
        <v>-333.22999999999996</v>
      </c>
      <c r="H1763" s="3">
        <f t="shared" si="206"/>
        <v>333.22999999999996</v>
      </c>
      <c r="I1763" s="5" t="str">
        <f t="shared" si="207"/>
        <v>016</v>
      </c>
      <c r="J1763" s="5" t="str">
        <f t="shared" si="208"/>
        <v>2230</v>
      </c>
      <c r="K1763" s="5" t="str">
        <f t="shared" si="209"/>
        <v>000</v>
      </c>
      <c r="L1763" s="5">
        <f t="shared" si="210"/>
        <v>3</v>
      </c>
      <c r="M1763" s="5">
        <f t="shared" si="211"/>
        <v>2012</v>
      </c>
    </row>
    <row r="1764" spans="1:13" ht="17.45" customHeight="1" x14ac:dyDescent="0.25">
      <c r="A1764" s="1">
        <f>DATE(2012,3,26)</f>
        <v>40994</v>
      </c>
      <c r="B1764" t="s">
        <v>15</v>
      </c>
      <c r="C1764" t="s">
        <v>6</v>
      </c>
      <c r="D1764" s="3">
        <v>3498.6488999999997</v>
      </c>
      <c r="E1764" s="3">
        <v>0</v>
      </c>
      <c r="F1764" t="s">
        <v>45</v>
      </c>
      <c r="G1764" s="3">
        <f t="shared" si="205"/>
        <v>-3498.6488999999997</v>
      </c>
      <c r="H1764" s="3">
        <f t="shared" si="206"/>
        <v>3498.6488999999997</v>
      </c>
      <c r="I1764" s="5" t="str">
        <f t="shared" si="207"/>
        <v>017</v>
      </c>
      <c r="J1764" s="5" t="str">
        <f t="shared" si="208"/>
        <v>2100</v>
      </c>
      <c r="K1764" s="5" t="str">
        <f t="shared" si="209"/>
        <v>000</v>
      </c>
      <c r="L1764" s="5">
        <f t="shared" si="210"/>
        <v>3</v>
      </c>
      <c r="M1764" s="5">
        <f t="shared" si="211"/>
        <v>2012</v>
      </c>
    </row>
    <row r="1765" spans="1:13" ht="17.45" customHeight="1" x14ac:dyDescent="0.25">
      <c r="A1765" s="1">
        <f>DATE(2012,3,26)</f>
        <v>40994</v>
      </c>
      <c r="B1765" t="s">
        <v>16</v>
      </c>
      <c r="C1765" t="s">
        <v>8</v>
      </c>
      <c r="D1765" s="3">
        <v>1588.3525</v>
      </c>
      <c r="E1765" s="3">
        <v>0</v>
      </c>
      <c r="F1765" t="s">
        <v>45</v>
      </c>
      <c r="G1765" s="3">
        <f t="shared" si="205"/>
        <v>-1588.3525</v>
      </c>
      <c r="H1765" s="3">
        <f t="shared" si="206"/>
        <v>1588.3525</v>
      </c>
      <c r="I1765" s="5" t="str">
        <f t="shared" si="207"/>
        <v>017</v>
      </c>
      <c r="J1765" s="5" t="str">
        <f t="shared" si="208"/>
        <v>2210</v>
      </c>
      <c r="K1765" s="5" t="str">
        <f t="shared" si="209"/>
        <v>000</v>
      </c>
      <c r="L1765" s="5">
        <f t="shared" si="210"/>
        <v>3</v>
      </c>
      <c r="M1765" s="5">
        <f t="shared" si="211"/>
        <v>2012</v>
      </c>
    </row>
    <row r="1766" spans="1:13" ht="17.45" customHeight="1" x14ac:dyDescent="0.25">
      <c r="A1766" s="1">
        <f>DATE(2012,3,26)</f>
        <v>40994</v>
      </c>
      <c r="B1766" t="s">
        <v>17</v>
      </c>
      <c r="C1766" t="s">
        <v>9</v>
      </c>
      <c r="D1766" s="3">
        <v>280.73500000000001</v>
      </c>
      <c r="E1766" s="3">
        <v>0</v>
      </c>
      <c r="F1766" t="s">
        <v>45</v>
      </c>
      <c r="G1766" s="3">
        <f t="shared" si="205"/>
        <v>-280.73500000000001</v>
      </c>
      <c r="H1766" s="3">
        <f t="shared" si="206"/>
        <v>280.73500000000001</v>
      </c>
      <c r="I1766" s="5" t="str">
        <f t="shared" si="207"/>
        <v>017</v>
      </c>
      <c r="J1766" s="5" t="str">
        <f t="shared" si="208"/>
        <v>2220</v>
      </c>
      <c r="K1766" s="5" t="str">
        <f t="shared" si="209"/>
        <v>000</v>
      </c>
      <c r="L1766" s="5">
        <f t="shared" si="210"/>
        <v>3</v>
      </c>
      <c r="M1766" s="5">
        <f t="shared" si="211"/>
        <v>2012</v>
      </c>
    </row>
    <row r="1767" spans="1:13" ht="17.45" customHeight="1" x14ac:dyDescent="0.25">
      <c r="A1767" s="1">
        <f>DATE(2012,3,26)</f>
        <v>40994</v>
      </c>
      <c r="B1767" t="s">
        <v>18</v>
      </c>
      <c r="C1767" t="s">
        <v>10</v>
      </c>
      <c r="D1767" s="3">
        <v>10.308999999999999</v>
      </c>
      <c r="E1767" s="3">
        <v>0</v>
      </c>
      <c r="F1767" t="s">
        <v>45</v>
      </c>
      <c r="G1767" s="3">
        <f t="shared" si="205"/>
        <v>-10.308999999999999</v>
      </c>
      <c r="H1767" s="3">
        <f t="shared" si="206"/>
        <v>10.308999999999999</v>
      </c>
      <c r="I1767" s="5" t="str">
        <f t="shared" si="207"/>
        <v>017</v>
      </c>
      <c r="J1767" s="5" t="str">
        <f t="shared" si="208"/>
        <v>2230</v>
      </c>
      <c r="K1767" s="5" t="str">
        <f t="shared" si="209"/>
        <v>000</v>
      </c>
      <c r="L1767" s="5">
        <f t="shared" si="210"/>
        <v>3</v>
      </c>
      <c r="M1767" s="5">
        <f t="shared" si="211"/>
        <v>2012</v>
      </c>
    </row>
    <row r="1768" spans="1:13" ht="17.45" customHeight="1" x14ac:dyDescent="0.25">
      <c r="A1768" s="1">
        <f>DATE(2012,3,27)</f>
        <v>40995</v>
      </c>
      <c r="B1768" t="s">
        <v>15</v>
      </c>
      <c r="C1768" t="s">
        <v>6</v>
      </c>
      <c r="D1768" s="3">
        <v>5534.5752000000002</v>
      </c>
      <c r="E1768" s="3">
        <v>0</v>
      </c>
      <c r="F1768" t="s">
        <v>45</v>
      </c>
      <c r="G1768" s="3">
        <f t="shared" si="205"/>
        <v>-5534.5752000000002</v>
      </c>
      <c r="H1768" s="3">
        <f t="shared" si="206"/>
        <v>5534.5752000000002</v>
      </c>
      <c r="I1768" s="5" t="str">
        <f t="shared" si="207"/>
        <v>017</v>
      </c>
      <c r="J1768" s="5" t="str">
        <f t="shared" si="208"/>
        <v>2100</v>
      </c>
      <c r="K1768" s="5" t="str">
        <f t="shared" si="209"/>
        <v>000</v>
      </c>
      <c r="L1768" s="5">
        <f t="shared" si="210"/>
        <v>3</v>
      </c>
      <c r="M1768" s="5">
        <f t="shared" si="211"/>
        <v>2012</v>
      </c>
    </row>
    <row r="1769" spans="1:13" ht="17.45" customHeight="1" x14ac:dyDescent="0.25">
      <c r="A1769" s="1">
        <f>DATE(2012,3,27)</f>
        <v>40995</v>
      </c>
      <c r="B1769" t="s">
        <v>16</v>
      </c>
      <c r="C1769" t="s">
        <v>8</v>
      </c>
      <c r="D1769" s="3">
        <v>1389.5719999999999</v>
      </c>
      <c r="E1769" s="3">
        <v>0</v>
      </c>
      <c r="F1769" t="s">
        <v>45</v>
      </c>
      <c r="G1769" s="3">
        <f t="shared" si="205"/>
        <v>-1389.5719999999999</v>
      </c>
      <c r="H1769" s="3">
        <f t="shared" si="206"/>
        <v>1389.5719999999999</v>
      </c>
      <c r="I1769" s="5" t="str">
        <f t="shared" si="207"/>
        <v>017</v>
      </c>
      <c r="J1769" s="5" t="str">
        <f t="shared" si="208"/>
        <v>2210</v>
      </c>
      <c r="K1769" s="5" t="str">
        <f t="shared" si="209"/>
        <v>000</v>
      </c>
      <c r="L1769" s="5">
        <f t="shared" si="210"/>
        <v>3</v>
      </c>
      <c r="M1769" s="5">
        <f t="shared" si="211"/>
        <v>2012</v>
      </c>
    </row>
    <row r="1770" spans="1:13" ht="17.45" customHeight="1" x14ac:dyDescent="0.25">
      <c r="A1770" s="1">
        <f>DATE(2012,3,27)</f>
        <v>40995</v>
      </c>
      <c r="B1770" t="s">
        <v>17</v>
      </c>
      <c r="C1770" t="s">
        <v>9</v>
      </c>
      <c r="D1770" s="3">
        <v>255.76250000000002</v>
      </c>
      <c r="E1770" s="3">
        <v>0</v>
      </c>
      <c r="F1770" t="s">
        <v>45</v>
      </c>
      <c r="G1770" s="3">
        <f t="shared" si="205"/>
        <v>-255.76250000000002</v>
      </c>
      <c r="H1770" s="3">
        <f t="shared" si="206"/>
        <v>255.76250000000002</v>
      </c>
      <c r="I1770" s="5" t="str">
        <f t="shared" si="207"/>
        <v>017</v>
      </c>
      <c r="J1770" s="5" t="str">
        <f t="shared" si="208"/>
        <v>2220</v>
      </c>
      <c r="K1770" s="5" t="str">
        <f t="shared" si="209"/>
        <v>000</v>
      </c>
      <c r="L1770" s="5">
        <f t="shared" si="210"/>
        <v>3</v>
      </c>
      <c r="M1770" s="5">
        <f t="shared" si="211"/>
        <v>2012</v>
      </c>
    </row>
    <row r="1771" spans="1:13" ht="17.45" customHeight="1" x14ac:dyDescent="0.25">
      <c r="A1771" s="1">
        <f>DATE(2012,3,27)</f>
        <v>40995</v>
      </c>
      <c r="B1771" t="s">
        <v>18</v>
      </c>
      <c r="C1771" t="s">
        <v>10</v>
      </c>
      <c r="D1771" s="3">
        <v>54.2455</v>
      </c>
      <c r="E1771" s="3">
        <v>0</v>
      </c>
      <c r="F1771" t="s">
        <v>45</v>
      </c>
      <c r="G1771" s="3">
        <f t="shared" si="205"/>
        <v>-54.2455</v>
      </c>
      <c r="H1771" s="3">
        <f t="shared" si="206"/>
        <v>54.2455</v>
      </c>
      <c r="I1771" s="5" t="str">
        <f t="shared" si="207"/>
        <v>017</v>
      </c>
      <c r="J1771" s="5" t="str">
        <f t="shared" si="208"/>
        <v>2230</v>
      </c>
      <c r="K1771" s="5" t="str">
        <f t="shared" si="209"/>
        <v>000</v>
      </c>
      <c r="L1771" s="5">
        <f t="shared" si="210"/>
        <v>3</v>
      </c>
      <c r="M1771" s="5">
        <f t="shared" si="211"/>
        <v>2012</v>
      </c>
    </row>
    <row r="1772" spans="1:13" ht="17.45" customHeight="1" x14ac:dyDescent="0.25">
      <c r="A1772" s="1">
        <f>DATE(2012,3,28)</f>
        <v>40996</v>
      </c>
      <c r="B1772" t="s">
        <v>15</v>
      </c>
      <c r="C1772" t="s">
        <v>6</v>
      </c>
      <c r="D1772" s="3">
        <v>6848.8101999999999</v>
      </c>
      <c r="E1772" s="3">
        <v>0</v>
      </c>
      <c r="F1772" t="s">
        <v>45</v>
      </c>
      <c r="G1772" s="3">
        <f t="shared" si="205"/>
        <v>-6848.8101999999999</v>
      </c>
      <c r="H1772" s="3">
        <f t="shared" si="206"/>
        <v>6848.8101999999999</v>
      </c>
      <c r="I1772" s="5" t="str">
        <f t="shared" si="207"/>
        <v>017</v>
      </c>
      <c r="J1772" s="5" t="str">
        <f t="shared" si="208"/>
        <v>2100</v>
      </c>
      <c r="K1772" s="5" t="str">
        <f t="shared" si="209"/>
        <v>000</v>
      </c>
      <c r="L1772" s="5">
        <f t="shared" si="210"/>
        <v>3</v>
      </c>
      <c r="M1772" s="5">
        <f t="shared" si="211"/>
        <v>2012</v>
      </c>
    </row>
    <row r="1773" spans="1:13" ht="17.45" customHeight="1" x14ac:dyDescent="0.25">
      <c r="A1773" s="1">
        <f>DATE(2012,3,28)</f>
        <v>40996</v>
      </c>
      <c r="B1773" t="s">
        <v>16</v>
      </c>
      <c r="C1773" t="s">
        <v>8</v>
      </c>
      <c r="D1773" s="3">
        <v>2340.3380000000002</v>
      </c>
      <c r="E1773" s="3">
        <v>0</v>
      </c>
      <c r="F1773" t="s">
        <v>45</v>
      </c>
      <c r="G1773" s="3">
        <f t="shared" si="205"/>
        <v>-2340.3380000000002</v>
      </c>
      <c r="H1773" s="3">
        <f t="shared" si="206"/>
        <v>2340.3380000000002</v>
      </c>
      <c r="I1773" s="5" t="str">
        <f t="shared" si="207"/>
        <v>017</v>
      </c>
      <c r="J1773" s="5" t="str">
        <f t="shared" si="208"/>
        <v>2210</v>
      </c>
      <c r="K1773" s="5" t="str">
        <f t="shared" si="209"/>
        <v>000</v>
      </c>
      <c r="L1773" s="5">
        <f t="shared" si="210"/>
        <v>3</v>
      </c>
      <c r="M1773" s="5">
        <f t="shared" si="211"/>
        <v>2012</v>
      </c>
    </row>
    <row r="1774" spans="1:13" ht="17.45" customHeight="1" x14ac:dyDescent="0.25">
      <c r="A1774" s="1">
        <f>DATE(2012,3,28)</f>
        <v>40996</v>
      </c>
      <c r="B1774" t="s">
        <v>17</v>
      </c>
      <c r="C1774" t="s">
        <v>9</v>
      </c>
      <c r="D1774" s="3">
        <v>371.21249999999998</v>
      </c>
      <c r="E1774" s="3">
        <v>0</v>
      </c>
      <c r="F1774" t="s">
        <v>45</v>
      </c>
      <c r="G1774" s="3">
        <f t="shared" si="205"/>
        <v>-371.21249999999998</v>
      </c>
      <c r="H1774" s="3">
        <f t="shared" si="206"/>
        <v>371.21249999999998</v>
      </c>
      <c r="I1774" s="5" t="str">
        <f t="shared" si="207"/>
        <v>017</v>
      </c>
      <c r="J1774" s="5" t="str">
        <f t="shared" si="208"/>
        <v>2220</v>
      </c>
      <c r="K1774" s="5" t="str">
        <f t="shared" si="209"/>
        <v>000</v>
      </c>
      <c r="L1774" s="5">
        <f t="shared" si="210"/>
        <v>3</v>
      </c>
      <c r="M1774" s="5">
        <f t="shared" si="211"/>
        <v>2012</v>
      </c>
    </row>
    <row r="1775" spans="1:13" ht="17.45" customHeight="1" x14ac:dyDescent="0.25">
      <c r="A1775" s="1">
        <f>DATE(2012,3,28)</f>
        <v>40996</v>
      </c>
      <c r="B1775" t="s">
        <v>18</v>
      </c>
      <c r="C1775" t="s">
        <v>10</v>
      </c>
      <c r="D1775" s="3">
        <v>156.33749999999998</v>
      </c>
      <c r="E1775" s="3">
        <v>0</v>
      </c>
      <c r="F1775" t="s">
        <v>45</v>
      </c>
      <c r="G1775" s="3">
        <f t="shared" si="205"/>
        <v>-156.33749999999998</v>
      </c>
      <c r="H1775" s="3">
        <f t="shared" si="206"/>
        <v>156.33749999999998</v>
      </c>
      <c r="I1775" s="5" t="str">
        <f t="shared" si="207"/>
        <v>017</v>
      </c>
      <c r="J1775" s="5" t="str">
        <f t="shared" si="208"/>
        <v>2230</v>
      </c>
      <c r="K1775" s="5" t="str">
        <f t="shared" si="209"/>
        <v>000</v>
      </c>
      <c r="L1775" s="5">
        <f t="shared" si="210"/>
        <v>3</v>
      </c>
      <c r="M1775" s="5">
        <f t="shared" si="211"/>
        <v>2012</v>
      </c>
    </row>
    <row r="1776" spans="1:13" ht="17.45" customHeight="1" x14ac:dyDescent="0.25">
      <c r="A1776" s="1">
        <f>DATE(2012,3,29)</f>
        <v>40997</v>
      </c>
      <c r="B1776" t="s">
        <v>15</v>
      </c>
      <c r="C1776" t="s">
        <v>6</v>
      </c>
      <c r="D1776" s="3">
        <v>7565.3927999999996</v>
      </c>
      <c r="E1776" s="3">
        <v>0</v>
      </c>
      <c r="F1776" t="s">
        <v>45</v>
      </c>
      <c r="G1776" s="3">
        <f t="shared" si="205"/>
        <v>-7565.3927999999996</v>
      </c>
      <c r="H1776" s="3">
        <f t="shared" si="206"/>
        <v>7565.3927999999996</v>
      </c>
      <c r="I1776" s="5" t="str">
        <f t="shared" si="207"/>
        <v>017</v>
      </c>
      <c r="J1776" s="5" t="str">
        <f t="shared" si="208"/>
        <v>2100</v>
      </c>
      <c r="K1776" s="5" t="str">
        <f t="shared" si="209"/>
        <v>000</v>
      </c>
      <c r="L1776" s="5">
        <f t="shared" si="210"/>
        <v>3</v>
      </c>
      <c r="M1776" s="5">
        <f t="shared" si="211"/>
        <v>2012</v>
      </c>
    </row>
    <row r="1777" spans="1:13" ht="17.45" customHeight="1" x14ac:dyDescent="0.25">
      <c r="A1777" s="1">
        <f>DATE(2012,3,29)</f>
        <v>40997</v>
      </c>
      <c r="B1777" t="s">
        <v>16</v>
      </c>
      <c r="C1777" t="s">
        <v>8</v>
      </c>
      <c r="D1777" s="3">
        <v>2330.2439999999997</v>
      </c>
      <c r="E1777" s="3">
        <v>0</v>
      </c>
      <c r="F1777" t="s">
        <v>45</v>
      </c>
      <c r="G1777" s="3">
        <f t="shared" si="205"/>
        <v>-2330.2439999999997</v>
      </c>
      <c r="H1777" s="3">
        <f t="shared" si="206"/>
        <v>2330.2439999999997</v>
      </c>
      <c r="I1777" s="5" t="str">
        <f t="shared" si="207"/>
        <v>017</v>
      </c>
      <c r="J1777" s="5" t="str">
        <f t="shared" si="208"/>
        <v>2210</v>
      </c>
      <c r="K1777" s="5" t="str">
        <f t="shared" si="209"/>
        <v>000</v>
      </c>
      <c r="L1777" s="5">
        <f t="shared" si="210"/>
        <v>3</v>
      </c>
      <c r="M1777" s="5">
        <f t="shared" si="211"/>
        <v>2012</v>
      </c>
    </row>
    <row r="1778" spans="1:13" ht="17.45" customHeight="1" x14ac:dyDescent="0.25">
      <c r="A1778" s="1">
        <f>DATE(2012,3,29)</f>
        <v>40997</v>
      </c>
      <c r="B1778" t="s">
        <v>17</v>
      </c>
      <c r="C1778" t="s">
        <v>9</v>
      </c>
      <c r="D1778" s="3">
        <v>509.23999999999995</v>
      </c>
      <c r="E1778" s="3">
        <v>0</v>
      </c>
      <c r="F1778" t="s">
        <v>45</v>
      </c>
      <c r="G1778" s="3">
        <f t="shared" si="205"/>
        <v>-509.23999999999995</v>
      </c>
      <c r="H1778" s="3">
        <f t="shared" si="206"/>
        <v>509.23999999999995</v>
      </c>
      <c r="I1778" s="5" t="str">
        <f t="shared" si="207"/>
        <v>017</v>
      </c>
      <c r="J1778" s="5" t="str">
        <f t="shared" si="208"/>
        <v>2220</v>
      </c>
      <c r="K1778" s="5" t="str">
        <f t="shared" si="209"/>
        <v>000</v>
      </c>
      <c r="L1778" s="5">
        <f t="shared" si="210"/>
        <v>3</v>
      </c>
      <c r="M1778" s="5">
        <f t="shared" si="211"/>
        <v>2012</v>
      </c>
    </row>
    <row r="1779" spans="1:13" ht="17.45" customHeight="1" x14ac:dyDescent="0.25">
      <c r="A1779" s="1">
        <f>DATE(2012,3,29)</f>
        <v>40997</v>
      </c>
      <c r="B1779" t="s">
        <v>18</v>
      </c>
      <c r="C1779" t="s">
        <v>10</v>
      </c>
      <c r="D1779" s="3">
        <v>30.951999999999998</v>
      </c>
      <c r="E1779" s="3">
        <v>0</v>
      </c>
      <c r="F1779" t="s">
        <v>45</v>
      </c>
      <c r="G1779" s="3">
        <f t="shared" si="205"/>
        <v>-30.951999999999998</v>
      </c>
      <c r="H1779" s="3">
        <f t="shared" si="206"/>
        <v>30.951999999999998</v>
      </c>
      <c r="I1779" s="5" t="str">
        <f t="shared" si="207"/>
        <v>017</v>
      </c>
      <c r="J1779" s="5" t="str">
        <f t="shared" si="208"/>
        <v>2230</v>
      </c>
      <c r="K1779" s="5" t="str">
        <f t="shared" si="209"/>
        <v>000</v>
      </c>
      <c r="L1779" s="5">
        <f t="shared" si="210"/>
        <v>3</v>
      </c>
      <c r="M1779" s="5">
        <f t="shared" si="211"/>
        <v>2012</v>
      </c>
    </row>
    <row r="1780" spans="1:13" ht="17.45" customHeight="1" x14ac:dyDescent="0.25">
      <c r="A1780" s="1">
        <f>DATE(2012,3,30)</f>
        <v>40998</v>
      </c>
      <c r="B1780" t="s">
        <v>15</v>
      </c>
      <c r="C1780" t="s">
        <v>6</v>
      </c>
      <c r="D1780" s="3">
        <v>9730.1918999999998</v>
      </c>
      <c r="E1780" s="3">
        <v>0</v>
      </c>
      <c r="F1780" t="s">
        <v>45</v>
      </c>
      <c r="G1780" s="3">
        <f t="shared" si="205"/>
        <v>-9730.1918999999998</v>
      </c>
      <c r="H1780" s="3">
        <f t="shared" si="206"/>
        <v>9730.1918999999998</v>
      </c>
      <c r="I1780" s="5" t="str">
        <f t="shared" si="207"/>
        <v>017</v>
      </c>
      <c r="J1780" s="5" t="str">
        <f t="shared" si="208"/>
        <v>2100</v>
      </c>
      <c r="K1780" s="5" t="str">
        <f t="shared" si="209"/>
        <v>000</v>
      </c>
      <c r="L1780" s="5">
        <f t="shared" si="210"/>
        <v>3</v>
      </c>
      <c r="M1780" s="5">
        <f t="shared" si="211"/>
        <v>2012</v>
      </c>
    </row>
    <row r="1781" spans="1:13" ht="17.45" customHeight="1" x14ac:dyDescent="0.25">
      <c r="A1781" s="1">
        <f>DATE(2012,3,30)</f>
        <v>40998</v>
      </c>
      <c r="B1781" t="s">
        <v>16</v>
      </c>
      <c r="C1781" t="s">
        <v>8</v>
      </c>
      <c r="D1781" s="3">
        <v>2603.7760000000003</v>
      </c>
      <c r="E1781" s="3">
        <v>0</v>
      </c>
      <c r="F1781" t="s">
        <v>45</v>
      </c>
      <c r="G1781" s="3">
        <f t="shared" si="205"/>
        <v>-2603.7760000000003</v>
      </c>
      <c r="H1781" s="3">
        <f t="shared" si="206"/>
        <v>2603.7760000000003</v>
      </c>
      <c r="I1781" s="5" t="str">
        <f t="shared" si="207"/>
        <v>017</v>
      </c>
      <c r="J1781" s="5" t="str">
        <f t="shared" si="208"/>
        <v>2210</v>
      </c>
      <c r="K1781" s="5" t="str">
        <f t="shared" si="209"/>
        <v>000</v>
      </c>
      <c r="L1781" s="5">
        <f t="shared" si="210"/>
        <v>3</v>
      </c>
      <c r="M1781" s="5">
        <f t="shared" si="211"/>
        <v>2012</v>
      </c>
    </row>
    <row r="1782" spans="1:13" ht="17.45" customHeight="1" x14ac:dyDescent="0.25">
      <c r="A1782" s="1">
        <f>DATE(2012,3,30)</f>
        <v>40998</v>
      </c>
      <c r="B1782" t="s">
        <v>17</v>
      </c>
      <c r="C1782" t="s">
        <v>9</v>
      </c>
      <c r="D1782" s="3">
        <v>717.98500000000001</v>
      </c>
      <c r="E1782" s="3">
        <v>0</v>
      </c>
      <c r="F1782" t="s">
        <v>45</v>
      </c>
      <c r="G1782" s="3">
        <f t="shared" si="205"/>
        <v>-717.98500000000001</v>
      </c>
      <c r="H1782" s="3">
        <f t="shared" si="206"/>
        <v>717.98500000000001</v>
      </c>
      <c r="I1782" s="5" t="str">
        <f t="shared" si="207"/>
        <v>017</v>
      </c>
      <c r="J1782" s="5" t="str">
        <f t="shared" si="208"/>
        <v>2220</v>
      </c>
      <c r="K1782" s="5" t="str">
        <f t="shared" si="209"/>
        <v>000</v>
      </c>
      <c r="L1782" s="5">
        <f t="shared" si="210"/>
        <v>3</v>
      </c>
      <c r="M1782" s="5">
        <f t="shared" si="211"/>
        <v>2012</v>
      </c>
    </row>
    <row r="1783" spans="1:13" ht="17.45" customHeight="1" x14ac:dyDescent="0.25">
      <c r="A1783" s="1">
        <f>DATE(2012,3,30)</f>
        <v>40998</v>
      </c>
      <c r="B1783" t="s">
        <v>18</v>
      </c>
      <c r="C1783" t="s">
        <v>10</v>
      </c>
      <c r="D1783" s="3">
        <v>119.85199999999999</v>
      </c>
      <c r="E1783" s="3">
        <v>0</v>
      </c>
      <c r="F1783" t="s">
        <v>45</v>
      </c>
      <c r="G1783" s="3">
        <f t="shared" si="205"/>
        <v>-119.85199999999999</v>
      </c>
      <c r="H1783" s="3">
        <f t="shared" si="206"/>
        <v>119.85199999999999</v>
      </c>
      <c r="I1783" s="5" t="str">
        <f t="shared" si="207"/>
        <v>017</v>
      </c>
      <c r="J1783" s="5" t="str">
        <f t="shared" si="208"/>
        <v>2230</v>
      </c>
      <c r="K1783" s="5" t="str">
        <f t="shared" si="209"/>
        <v>000</v>
      </c>
      <c r="L1783" s="5">
        <f t="shared" si="210"/>
        <v>3</v>
      </c>
      <c r="M1783" s="5">
        <f t="shared" si="211"/>
        <v>2012</v>
      </c>
    </row>
    <row r="1784" spans="1:13" ht="17.45" customHeight="1" x14ac:dyDescent="0.25">
      <c r="A1784" s="1">
        <f>DATE(2012,3,31)</f>
        <v>40999</v>
      </c>
      <c r="B1784" t="s">
        <v>15</v>
      </c>
      <c r="C1784" t="s">
        <v>6</v>
      </c>
      <c r="D1784" s="3">
        <v>8469.0822000000007</v>
      </c>
      <c r="E1784" s="3">
        <v>0</v>
      </c>
      <c r="F1784" t="s">
        <v>45</v>
      </c>
      <c r="G1784" s="3">
        <f t="shared" si="205"/>
        <v>-8469.0822000000007</v>
      </c>
      <c r="H1784" s="3">
        <f t="shared" si="206"/>
        <v>8469.0822000000007</v>
      </c>
      <c r="I1784" s="5" t="str">
        <f t="shared" si="207"/>
        <v>017</v>
      </c>
      <c r="J1784" s="5" t="str">
        <f t="shared" si="208"/>
        <v>2100</v>
      </c>
      <c r="K1784" s="5" t="str">
        <f t="shared" si="209"/>
        <v>000</v>
      </c>
      <c r="L1784" s="5">
        <f t="shared" si="210"/>
        <v>3</v>
      </c>
      <c r="M1784" s="5">
        <f t="shared" si="211"/>
        <v>2012</v>
      </c>
    </row>
    <row r="1785" spans="1:13" ht="17.45" customHeight="1" x14ac:dyDescent="0.25">
      <c r="A1785" s="1">
        <f>DATE(2012,3,31)</f>
        <v>40999</v>
      </c>
      <c r="B1785" t="s">
        <v>16</v>
      </c>
      <c r="C1785" t="s">
        <v>8</v>
      </c>
      <c r="D1785" s="3">
        <v>1619.5694999999998</v>
      </c>
      <c r="E1785" s="3">
        <v>0</v>
      </c>
      <c r="F1785" t="s">
        <v>45</v>
      </c>
      <c r="G1785" s="3">
        <f t="shared" si="205"/>
        <v>-1619.5694999999998</v>
      </c>
      <c r="H1785" s="3">
        <f t="shared" si="206"/>
        <v>1619.5694999999998</v>
      </c>
      <c r="I1785" s="5" t="str">
        <f t="shared" si="207"/>
        <v>017</v>
      </c>
      <c r="J1785" s="5" t="str">
        <f t="shared" si="208"/>
        <v>2210</v>
      </c>
      <c r="K1785" s="5" t="str">
        <f t="shared" si="209"/>
        <v>000</v>
      </c>
      <c r="L1785" s="5">
        <f t="shared" si="210"/>
        <v>3</v>
      </c>
      <c r="M1785" s="5">
        <f t="shared" si="211"/>
        <v>2012</v>
      </c>
    </row>
    <row r="1786" spans="1:13" ht="17.45" customHeight="1" x14ac:dyDescent="0.25">
      <c r="A1786" s="1">
        <f>DATE(2012,3,31)</f>
        <v>40999</v>
      </c>
      <c r="B1786" t="s">
        <v>17</v>
      </c>
      <c r="C1786" t="s">
        <v>9</v>
      </c>
      <c r="D1786" s="3">
        <v>293.84999999999997</v>
      </c>
      <c r="E1786" s="3">
        <v>0</v>
      </c>
      <c r="F1786" t="s">
        <v>45</v>
      </c>
      <c r="G1786" s="3">
        <f t="shared" si="205"/>
        <v>-293.84999999999997</v>
      </c>
      <c r="H1786" s="3">
        <f t="shared" si="206"/>
        <v>293.84999999999997</v>
      </c>
      <c r="I1786" s="5" t="str">
        <f t="shared" si="207"/>
        <v>017</v>
      </c>
      <c r="J1786" s="5" t="str">
        <f t="shared" si="208"/>
        <v>2220</v>
      </c>
      <c r="K1786" s="5" t="str">
        <f t="shared" si="209"/>
        <v>000</v>
      </c>
      <c r="L1786" s="5">
        <f t="shared" si="210"/>
        <v>3</v>
      </c>
      <c r="M1786" s="5">
        <f t="shared" si="211"/>
        <v>2012</v>
      </c>
    </row>
    <row r="1787" spans="1:13" ht="17.45" customHeight="1" x14ac:dyDescent="0.25">
      <c r="A1787" s="1">
        <f>DATE(2012,3,31)</f>
        <v>40999</v>
      </c>
      <c r="B1787" t="s">
        <v>18</v>
      </c>
      <c r="C1787" t="s">
        <v>10</v>
      </c>
      <c r="D1787" s="3">
        <v>73.872</v>
      </c>
      <c r="E1787" s="3">
        <v>0</v>
      </c>
      <c r="F1787" t="s">
        <v>45</v>
      </c>
      <c r="G1787" s="3">
        <f t="shared" si="205"/>
        <v>-73.872</v>
      </c>
      <c r="H1787" s="3">
        <f t="shared" si="206"/>
        <v>73.872</v>
      </c>
      <c r="I1787" s="5" t="str">
        <f t="shared" si="207"/>
        <v>017</v>
      </c>
      <c r="J1787" s="5" t="str">
        <f t="shared" si="208"/>
        <v>2230</v>
      </c>
      <c r="K1787" s="5" t="str">
        <f t="shared" si="209"/>
        <v>000</v>
      </c>
      <c r="L1787" s="5">
        <f t="shared" si="210"/>
        <v>3</v>
      </c>
      <c r="M1787" s="5">
        <f t="shared" si="211"/>
        <v>2012</v>
      </c>
    </row>
    <row r="1788" spans="1:13" ht="17.45" customHeight="1" x14ac:dyDescent="0.25">
      <c r="A1788" s="1">
        <f>DATE(2012,3,26)</f>
        <v>40994</v>
      </c>
      <c r="B1788" t="s">
        <v>19</v>
      </c>
      <c r="C1788" t="s">
        <v>6</v>
      </c>
      <c r="D1788" s="3">
        <v>3371.3663000000001</v>
      </c>
      <c r="E1788" s="3">
        <v>0</v>
      </c>
      <c r="F1788" t="s">
        <v>45</v>
      </c>
      <c r="G1788" s="3">
        <f t="shared" si="205"/>
        <v>-3371.3663000000001</v>
      </c>
      <c r="H1788" s="3">
        <f t="shared" si="206"/>
        <v>3371.3663000000001</v>
      </c>
      <c r="I1788" s="5" t="str">
        <f t="shared" si="207"/>
        <v>018</v>
      </c>
      <c r="J1788" s="5" t="str">
        <f t="shared" si="208"/>
        <v>2100</v>
      </c>
      <c r="K1788" s="5" t="str">
        <f t="shared" si="209"/>
        <v>000</v>
      </c>
      <c r="L1788" s="5">
        <f t="shared" si="210"/>
        <v>3</v>
      </c>
      <c r="M1788" s="5">
        <f t="shared" si="211"/>
        <v>2012</v>
      </c>
    </row>
    <row r="1789" spans="1:13" ht="17.45" customHeight="1" x14ac:dyDescent="0.25">
      <c r="A1789" s="1">
        <f>DATE(2012,3,26)</f>
        <v>40994</v>
      </c>
      <c r="B1789" t="s">
        <v>20</v>
      </c>
      <c r="C1789" t="s">
        <v>8</v>
      </c>
      <c r="D1789" s="3">
        <v>729.72900000000004</v>
      </c>
      <c r="E1789" s="3">
        <v>0</v>
      </c>
      <c r="F1789" t="s">
        <v>45</v>
      </c>
      <c r="G1789" s="3">
        <f t="shared" si="205"/>
        <v>-729.72900000000004</v>
      </c>
      <c r="H1789" s="3">
        <f t="shared" si="206"/>
        <v>729.72900000000004</v>
      </c>
      <c r="I1789" s="5" t="str">
        <f t="shared" si="207"/>
        <v>018</v>
      </c>
      <c r="J1789" s="5" t="str">
        <f t="shared" si="208"/>
        <v>2210</v>
      </c>
      <c r="K1789" s="5" t="str">
        <f t="shared" si="209"/>
        <v>000</v>
      </c>
      <c r="L1789" s="5">
        <f t="shared" si="210"/>
        <v>3</v>
      </c>
      <c r="M1789" s="5">
        <f t="shared" si="211"/>
        <v>2012</v>
      </c>
    </row>
    <row r="1790" spans="1:13" ht="17.45" customHeight="1" x14ac:dyDescent="0.25">
      <c r="A1790" s="1">
        <f>DATE(2012,3,26)</f>
        <v>40994</v>
      </c>
      <c r="B1790" t="s">
        <v>21</v>
      </c>
      <c r="C1790" t="s">
        <v>9</v>
      </c>
      <c r="D1790" s="3">
        <v>208.74700000000001</v>
      </c>
      <c r="E1790" s="3">
        <v>0</v>
      </c>
      <c r="F1790" t="s">
        <v>45</v>
      </c>
      <c r="G1790" s="3">
        <f t="shared" si="205"/>
        <v>-208.74700000000001</v>
      </c>
      <c r="H1790" s="3">
        <f t="shared" si="206"/>
        <v>208.74700000000001</v>
      </c>
      <c r="I1790" s="5" t="str">
        <f t="shared" si="207"/>
        <v>018</v>
      </c>
      <c r="J1790" s="5" t="str">
        <f t="shared" si="208"/>
        <v>2220</v>
      </c>
      <c r="K1790" s="5" t="str">
        <f t="shared" si="209"/>
        <v>000</v>
      </c>
      <c r="L1790" s="5">
        <f t="shared" si="210"/>
        <v>3</v>
      </c>
      <c r="M1790" s="5">
        <f t="shared" si="211"/>
        <v>2012</v>
      </c>
    </row>
    <row r="1791" spans="1:13" ht="17.45" customHeight="1" x14ac:dyDescent="0.25">
      <c r="A1791" s="1">
        <f>DATE(2012,3,26)</f>
        <v>40994</v>
      </c>
      <c r="B1791" t="s">
        <v>22</v>
      </c>
      <c r="C1791" t="s">
        <v>10</v>
      </c>
      <c r="D1791" s="3">
        <v>103.16999999999999</v>
      </c>
      <c r="E1791" s="3">
        <v>0</v>
      </c>
      <c r="F1791" t="s">
        <v>45</v>
      </c>
      <c r="G1791" s="3">
        <f t="shared" si="205"/>
        <v>-103.16999999999999</v>
      </c>
      <c r="H1791" s="3">
        <f t="shared" si="206"/>
        <v>103.16999999999999</v>
      </c>
      <c r="I1791" s="5" t="str">
        <f t="shared" si="207"/>
        <v>018</v>
      </c>
      <c r="J1791" s="5" t="str">
        <f t="shared" si="208"/>
        <v>2230</v>
      </c>
      <c r="K1791" s="5" t="str">
        <f t="shared" si="209"/>
        <v>000</v>
      </c>
      <c r="L1791" s="5">
        <f t="shared" si="210"/>
        <v>3</v>
      </c>
      <c r="M1791" s="5">
        <f t="shared" si="211"/>
        <v>2012</v>
      </c>
    </row>
    <row r="1792" spans="1:13" ht="17.45" customHeight="1" x14ac:dyDescent="0.25">
      <c r="A1792" s="1">
        <f>DATE(2012,3,27)</f>
        <v>40995</v>
      </c>
      <c r="B1792" t="s">
        <v>19</v>
      </c>
      <c r="C1792" t="s">
        <v>6</v>
      </c>
      <c r="D1792" s="3">
        <v>4467.2459999999992</v>
      </c>
      <c r="E1792" s="3">
        <v>0</v>
      </c>
      <c r="F1792" t="s">
        <v>45</v>
      </c>
      <c r="G1792" s="3">
        <f t="shared" si="205"/>
        <v>-4467.2459999999992</v>
      </c>
      <c r="H1792" s="3">
        <f t="shared" si="206"/>
        <v>4467.2459999999992</v>
      </c>
      <c r="I1792" s="5" t="str">
        <f t="shared" si="207"/>
        <v>018</v>
      </c>
      <c r="J1792" s="5" t="str">
        <f t="shared" si="208"/>
        <v>2100</v>
      </c>
      <c r="K1792" s="5" t="str">
        <f t="shared" si="209"/>
        <v>000</v>
      </c>
      <c r="L1792" s="5">
        <f t="shared" si="210"/>
        <v>3</v>
      </c>
      <c r="M1792" s="5">
        <f t="shared" si="211"/>
        <v>2012</v>
      </c>
    </row>
    <row r="1793" spans="1:13" ht="17.45" customHeight="1" x14ac:dyDescent="0.25">
      <c r="A1793" s="1">
        <f>DATE(2012,3,27)</f>
        <v>40995</v>
      </c>
      <c r="B1793" t="s">
        <v>20</v>
      </c>
      <c r="C1793" t="s">
        <v>8</v>
      </c>
      <c r="D1793" s="3">
        <v>625.99599999999998</v>
      </c>
      <c r="E1793" s="3">
        <v>0</v>
      </c>
      <c r="F1793" t="s">
        <v>45</v>
      </c>
      <c r="G1793" s="3">
        <f t="shared" si="205"/>
        <v>-625.99599999999998</v>
      </c>
      <c r="H1793" s="3">
        <f t="shared" si="206"/>
        <v>625.99599999999998</v>
      </c>
      <c r="I1793" s="5" t="str">
        <f t="shared" si="207"/>
        <v>018</v>
      </c>
      <c r="J1793" s="5" t="str">
        <f t="shared" si="208"/>
        <v>2210</v>
      </c>
      <c r="K1793" s="5" t="str">
        <f t="shared" si="209"/>
        <v>000</v>
      </c>
      <c r="L1793" s="5">
        <f t="shared" si="210"/>
        <v>3</v>
      </c>
      <c r="M1793" s="5">
        <f t="shared" si="211"/>
        <v>2012</v>
      </c>
    </row>
    <row r="1794" spans="1:13" ht="17.45" customHeight="1" x14ac:dyDescent="0.25">
      <c r="A1794" s="1">
        <f>DATE(2012,3,27)</f>
        <v>40995</v>
      </c>
      <c r="B1794" t="s">
        <v>21</v>
      </c>
      <c r="C1794" t="s">
        <v>9</v>
      </c>
      <c r="D1794" s="3">
        <v>289.08499999999998</v>
      </c>
      <c r="E1794" s="3">
        <v>0</v>
      </c>
      <c r="F1794" t="s">
        <v>45</v>
      </c>
      <c r="G1794" s="3">
        <f t="shared" ref="G1794:G1857" si="212">E1794-D1794</f>
        <v>-289.08499999999998</v>
      </c>
      <c r="H1794" s="3">
        <f t="shared" ref="H1794:H1857" si="213">ABS(G1794)</f>
        <v>289.08499999999998</v>
      </c>
      <c r="I1794" s="5" t="str">
        <f t="shared" ref="I1794:I1857" si="214">MID(B1794,1,3)</f>
        <v>018</v>
      </c>
      <c r="J1794" s="5" t="str">
        <f t="shared" ref="J1794:J1857" si="215">MID(B1794,5,4)</f>
        <v>2220</v>
      </c>
      <c r="K1794" s="5" t="str">
        <f t="shared" ref="K1794:K1857" si="216">MID(B1794,10,3)</f>
        <v>000</v>
      </c>
      <c r="L1794" s="5">
        <f t="shared" ref="L1794:L1857" si="217">MONTH(A1794)</f>
        <v>3</v>
      </c>
      <c r="M1794" s="5">
        <f t="shared" ref="M1794:M1857" si="218">YEAR(A1794)</f>
        <v>2012</v>
      </c>
    </row>
    <row r="1795" spans="1:13" ht="17.45" customHeight="1" x14ac:dyDescent="0.25">
      <c r="A1795" s="1">
        <f>DATE(2012,3,27)</f>
        <v>40995</v>
      </c>
      <c r="B1795" t="s">
        <v>22</v>
      </c>
      <c r="C1795" t="s">
        <v>10</v>
      </c>
      <c r="D1795" s="3">
        <v>83.348500000000001</v>
      </c>
      <c r="E1795" s="3">
        <v>0</v>
      </c>
      <c r="F1795" t="s">
        <v>45</v>
      </c>
      <c r="G1795" s="3">
        <f t="shared" si="212"/>
        <v>-83.348500000000001</v>
      </c>
      <c r="H1795" s="3">
        <f t="shared" si="213"/>
        <v>83.348500000000001</v>
      </c>
      <c r="I1795" s="5" t="str">
        <f t="shared" si="214"/>
        <v>018</v>
      </c>
      <c r="J1795" s="5" t="str">
        <f t="shared" si="215"/>
        <v>2230</v>
      </c>
      <c r="K1795" s="5" t="str">
        <f t="shared" si="216"/>
        <v>000</v>
      </c>
      <c r="L1795" s="5">
        <f t="shared" si="217"/>
        <v>3</v>
      </c>
      <c r="M1795" s="5">
        <f t="shared" si="218"/>
        <v>2012</v>
      </c>
    </row>
    <row r="1796" spans="1:13" ht="17.45" customHeight="1" x14ac:dyDescent="0.25">
      <c r="A1796" s="1">
        <f>DATE(2012,3,28)</f>
        <v>40996</v>
      </c>
      <c r="B1796" t="s">
        <v>19</v>
      </c>
      <c r="C1796" t="s">
        <v>6</v>
      </c>
      <c r="D1796" s="3">
        <v>3892.5279000000005</v>
      </c>
      <c r="E1796" s="3">
        <v>0</v>
      </c>
      <c r="F1796" t="s">
        <v>45</v>
      </c>
      <c r="G1796" s="3">
        <f t="shared" si="212"/>
        <v>-3892.5279000000005</v>
      </c>
      <c r="H1796" s="3">
        <f t="shared" si="213"/>
        <v>3892.5279000000005</v>
      </c>
      <c r="I1796" s="5" t="str">
        <f t="shared" si="214"/>
        <v>018</v>
      </c>
      <c r="J1796" s="5" t="str">
        <f t="shared" si="215"/>
        <v>2100</v>
      </c>
      <c r="K1796" s="5" t="str">
        <f t="shared" si="216"/>
        <v>000</v>
      </c>
      <c r="L1796" s="5">
        <f t="shared" si="217"/>
        <v>3</v>
      </c>
      <c r="M1796" s="5">
        <f t="shared" si="218"/>
        <v>2012</v>
      </c>
    </row>
    <row r="1797" spans="1:13" ht="17.45" customHeight="1" x14ac:dyDescent="0.25">
      <c r="A1797" s="1">
        <f>DATE(2012,3,28)</f>
        <v>40996</v>
      </c>
      <c r="B1797" t="s">
        <v>20</v>
      </c>
      <c r="C1797" t="s">
        <v>8</v>
      </c>
      <c r="D1797" s="3">
        <v>549.72299999999996</v>
      </c>
      <c r="E1797" s="3">
        <v>0</v>
      </c>
      <c r="F1797" t="s">
        <v>45</v>
      </c>
      <c r="G1797" s="3">
        <f t="shared" si="212"/>
        <v>-549.72299999999996</v>
      </c>
      <c r="H1797" s="3">
        <f t="shared" si="213"/>
        <v>549.72299999999996</v>
      </c>
      <c r="I1797" s="5" t="str">
        <f t="shared" si="214"/>
        <v>018</v>
      </c>
      <c r="J1797" s="5" t="str">
        <f t="shared" si="215"/>
        <v>2210</v>
      </c>
      <c r="K1797" s="5" t="str">
        <f t="shared" si="216"/>
        <v>000</v>
      </c>
      <c r="L1797" s="5">
        <f t="shared" si="217"/>
        <v>3</v>
      </c>
      <c r="M1797" s="5">
        <f t="shared" si="218"/>
        <v>2012</v>
      </c>
    </row>
    <row r="1798" spans="1:13" ht="17.45" customHeight="1" x14ac:dyDescent="0.25">
      <c r="A1798" s="1">
        <f>DATE(2012,3,28)</f>
        <v>40996</v>
      </c>
      <c r="B1798" t="s">
        <v>21</v>
      </c>
      <c r="C1798" t="s">
        <v>9</v>
      </c>
      <c r="D1798" s="3">
        <v>125.202</v>
      </c>
      <c r="E1798" s="3">
        <v>0</v>
      </c>
      <c r="F1798" t="s">
        <v>45</v>
      </c>
      <c r="G1798" s="3">
        <f t="shared" si="212"/>
        <v>-125.202</v>
      </c>
      <c r="H1798" s="3">
        <f t="shared" si="213"/>
        <v>125.202</v>
      </c>
      <c r="I1798" s="5" t="str">
        <f t="shared" si="214"/>
        <v>018</v>
      </c>
      <c r="J1798" s="5" t="str">
        <f t="shared" si="215"/>
        <v>2220</v>
      </c>
      <c r="K1798" s="5" t="str">
        <f t="shared" si="216"/>
        <v>000</v>
      </c>
      <c r="L1798" s="5">
        <f t="shared" si="217"/>
        <v>3</v>
      </c>
      <c r="M1798" s="5">
        <f t="shared" si="218"/>
        <v>2012</v>
      </c>
    </row>
    <row r="1799" spans="1:13" ht="17.45" customHeight="1" x14ac:dyDescent="0.25">
      <c r="A1799" s="1">
        <f>DATE(2012,3,28)</f>
        <v>40996</v>
      </c>
      <c r="B1799" t="s">
        <v>22</v>
      </c>
      <c r="C1799" t="s">
        <v>10</v>
      </c>
      <c r="D1799" s="3">
        <v>30.643999999999998</v>
      </c>
      <c r="E1799" s="3">
        <v>0</v>
      </c>
      <c r="F1799" t="s">
        <v>45</v>
      </c>
      <c r="G1799" s="3">
        <f t="shared" si="212"/>
        <v>-30.643999999999998</v>
      </c>
      <c r="H1799" s="3">
        <f t="shared" si="213"/>
        <v>30.643999999999998</v>
      </c>
      <c r="I1799" s="5" t="str">
        <f t="shared" si="214"/>
        <v>018</v>
      </c>
      <c r="J1799" s="5" t="str">
        <f t="shared" si="215"/>
        <v>2230</v>
      </c>
      <c r="K1799" s="5" t="str">
        <f t="shared" si="216"/>
        <v>000</v>
      </c>
      <c r="L1799" s="5">
        <f t="shared" si="217"/>
        <v>3</v>
      </c>
      <c r="M1799" s="5">
        <f t="shared" si="218"/>
        <v>2012</v>
      </c>
    </row>
    <row r="1800" spans="1:13" ht="17.45" customHeight="1" x14ac:dyDescent="0.25">
      <c r="A1800" s="1">
        <f>DATE(2012,3,29)</f>
        <v>40997</v>
      </c>
      <c r="B1800" t="s">
        <v>19</v>
      </c>
      <c r="C1800" t="s">
        <v>6</v>
      </c>
      <c r="D1800" s="3">
        <v>4635.6269999999995</v>
      </c>
      <c r="E1800" s="3">
        <v>0</v>
      </c>
      <c r="F1800" t="s">
        <v>45</v>
      </c>
      <c r="G1800" s="3">
        <f t="shared" si="212"/>
        <v>-4635.6269999999995</v>
      </c>
      <c r="H1800" s="3">
        <f t="shared" si="213"/>
        <v>4635.6269999999995</v>
      </c>
      <c r="I1800" s="5" t="str">
        <f t="shared" si="214"/>
        <v>018</v>
      </c>
      <c r="J1800" s="5" t="str">
        <f t="shared" si="215"/>
        <v>2100</v>
      </c>
      <c r="K1800" s="5" t="str">
        <f t="shared" si="216"/>
        <v>000</v>
      </c>
      <c r="L1800" s="5">
        <f t="shared" si="217"/>
        <v>3</v>
      </c>
      <c r="M1800" s="5">
        <f t="shared" si="218"/>
        <v>2012</v>
      </c>
    </row>
    <row r="1801" spans="1:13" ht="17.45" customHeight="1" x14ac:dyDescent="0.25">
      <c r="A1801" s="1">
        <f>DATE(2012,3,29)</f>
        <v>40997</v>
      </c>
      <c r="B1801" t="s">
        <v>20</v>
      </c>
      <c r="C1801" t="s">
        <v>8</v>
      </c>
      <c r="D1801" s="3">
        <v>1409.8080000000002</v>
      </c>
      <c r="E1801" s="3">
        <v>0</v>
      </c>
      <c r="F1801" t="s">
        <v>45</v>
      </c>
      <c r="G1801" s="3">
        <f t="shared" si="212"/>
        <v>-1409.8080000000002</v>
      </c>
      <c r="H1801" s="3">
        <f t="shared" si="213"/>
        <v>1409.8080000000002</v>
      </c>
      <c r="I1801" s="5" t="str">
        <f t="shared" si="214"/>
        <v>018</v>
      </c>
      <c r="J1801" s="5" t="str">
        <f t="shared" si="215"/>
        <v>2210</v>
      </c>
      <c r="K1801" s="5" t="str">
        <f t="shared" si="216"/>
        <v>000</v>
      </c>
      <c r="L1801" s="5">
        <f t="shared" si="217"/>
        <v>3</v>
      </c>
      <c r="M1801" s="5">
        <f t="shared" si="218"/>
        <v>2012</v>
      </c>
    </row>
    <row r="1802" spans="1:13" ht="17.45" customHeight="1" x14ac:dyDescent="0.25">
      <c r="A1802" s="1">
        <f>DATE(2012,3,29)</f>
        <v>40997</v>
      </c>
      <c r="B1802" t="s">
        <v>21</v>
      </c>
      <c r="C1802" t="s">
        <v>9</v>
      </c>
      <c r="D1802" s="3">
        <v>245.83749999999998</v>
      </c>
      <c r="E1802" s="3">
        <v>0</v>
      </c>
      <c r="F1802" t="s">
        <v>45</v>
      </c>
      <c r="G1802" s="3">
        <f t="shared" si="212"/>
        <v>-245.83749999999998</v>
      </c>
      <c r="H1802" s="3">
        <f t="shared" si="213"/>
        <v>245.83749999999998</v>
      </c>
      <c r="I1802" s="5" t="str">
        <f t="shared" si="214"/>
        <v>018</v>
      </c>
      <c r="J1802" s="5" t="str">
        <f t="shared" si="215"/>
        <v>2220</v>
      </c>
      <c r="K1802" s="5" t="str">
        <f t="shared" si="216"/>
        <v>000</v>
      </c>
      <c r="L1802" s="5">
        <f t="shared" si="217"/>
        <v>3</v>
      </c>
      <c r="M1802" s="5">
        <f t="shared" si="218"/>
        <v>2012</v>
      </c>
    </row>
    <row r="1803" spans="1:13" ht="17.45" customHeight="1" x14ac:dyDescent="0.25">
      <c r="A1803" s="1">
        <f>DATE(2012,3,29)</f>
        <v>40997</v>
      </c>
      <c r="B1803" t="s">
        <v>22</v>
      </c>
      <c r="C1803" t="s">
        <v>10</v>
      </c>
      <c r="D1803" s="3">
        <v>37.440000000000005</v>
      </c>
      <c r="E1803" s="3">
        <v>0</v>
      </c>
      <c r="F1803" t="s">
        <v>45</v>
      </c>
      <c r="G1803" s="3">
        <f t="shared" si="212"/>
        <v>-37.440000000000005</v>
      </c>
      <c r="H1803" s="3">
        <f t="shared" si="213"/>
        <v>37.440000000000005</v>
      </c>
      <c r="I1803" s="5" t="str">
        <f t="shared" si="214"/>
        <v>018</v>
      </c>
      <c r="J1803" s="5" t="str">
        <f t="shared" si="215"/>
        <v>2230</v>
      </c>
      <c r="K1803" s="5" t="str">
        <f t="shared" si="216"/>
        <v>000</v>
      </c>
      <c r="L1803" s="5">
        <f t="shared" si="217"/>
        <v>3</v>
      </c>
      <c r="M1803" s="5">
        <f t="shared" si="218"/>
        <v>2012</v>
      </c>
    </row>
    <row r="1804" spans="1:13" ht="17.45" customHeight="1" x14ac:dyDescent="0.25">
      <c r="A1804" s="1">
        <f>DATE(2012,3,30)</f>
        <v>40998</v>
      </c>
      <c r="B1804" t="s">
        <v>19</v>
      </c>
      <c r="C1804" t="s">
        <v>6</v>
      </c>
      <c r="D1804" s="3">
        <v>8206.0572000000011</v>
      </c>
      <c r="E1804" s="3">
        <v>0</v>
      </c>
      <c r="F1804" t="s">
        <v>45</v>
      </c>
      <c r="G1804" s="3">
        <f t="shared" si="212"/>
        <v>-8206.0572000000011</v>
      </c>
      <c r="H1804" s="3">
        <f t="shared" si="213"/>
        <v>8206.0572000000011</v>
      </c>
      <c r="I1804" s="5" t="str">
        <f t="shared" si="214"/>
        <v>018</v>
      </c>
      <c r="J1804" s="5" t="str">
        <f t="shared" si="215"/>
        <v>2100</v>
      </c>
      <c r="K1804" s="5" t="str">
        <f t="shared" si="216"/>
        <v>000</v>
      </c>
      <c r="L1804" s="5">
        <f t="shared" si="217"/>
        <v>3</v>
      </c>
      <c r="M1804" s="5">
        <f t="shared" si="218"/>
        <v>2012</v>
      </c>
    </row>
    <row r="1805" spans="1:13" ht="17.45" customHeight="1" x14ac:dyDescent="0.25">
      <c r="A1805" s="1">
        <f>DATE(2012,3,30)</f>
        <v>40998</v>
      </c>
      <c r="B1805" t="s">
        <v>20</v>
      </c>
      <c r="C1805" t="s">
        <v>8</v>
      </c>
      <c r="D1805" s="3">
        <v>2745.3629999999998</v>
      </c>
      <c r="E1805" s="3">
        <v>0</v>
      </c>
      <c r="F1805" t="s">
        <v>45</v>
      </c>
      <c r="G1805" s="3">
        <f t="shared" si="212"/>
        <v>-2745.3629999999998</v>
      </c>
      <c r="H1805" s="3">
        <f t="shared" si="213"/>
        <v>2745.3629999999998</v>
      </c>
      <c r="I1805" s="5" t="str">
        <f t="shared" si="214"/>
        <v>018</v>
      </c>
      <c r="J1805" s="5" t="str">
        <f t="shared" si="215"/>
        <v>2210</v>
      </c>
      <c r="K1805" s="5" t="str">
        <f t="shared" si="216"/>
        <v>000</v>
      </c>
      <c r="L1805" s="5">
        <f t="shared" si="217"/>
        <v>3</v>
      </c>
      <c r="M1805" s="5">
        <f t="shared" si="218"/>
        <v>2012</v>
      </c>
    </row>
    <row r="1806" spans="1:13" ht="17.45" customHeight="1" x14ac:dyDescent="0.25">
      <c r="A1806" s="1">
        <f>DATE(2012,3,30)</f>
        <v>40998</v>
      </c>
      <c r="B1806" t="s">
        <v>21</v>
      </c>
      <c r="C1806" t="s">
        <v>9</v>
      </c>
      <c r="D1806" s="3">
        <v>641.69099999999992</v>
      </c>
      <c r="E1806" s="3">
        <v>0</v>
      </c>
      <c r="F1806" t="s">
        <v>45</v>
      </c>
      <c r="G1806" s="3">
        <f t="shared" si="212"/>
        <v>-641.69099999999992</v>
      </c>
      <c r="H1806" s="3">
        <f t="shared" si="213"/>
        <v>641.69099999999992</v>
      </c>
      <c r="I1806" s="5" t="str">
        <f t="shared" si="214"/>
        <v>018</v>
      </c>
      <c r="J1806" s="5" t="str">
        <f t="shared" si="215"/>
        <v>2220</v>
      </c>
      <c r="K1806" s="5" t="str">
        <f t="shared" si="216"/>
        <v>000</v>
      </c>
      <c r="L1806" s="5">
        <f t="shared" si="217"/>
        <v>3</v>
      </c>
      <c r="M1806" s="5">
        <f t="shared" si="218"/>
        <v>2012</v>
      </c>
    </row>
    <row r="1807" spans="1:13" ht="17.45" customHeight="1" x14ac:dyDescent="0.25">
      <c r="A1807" s="1">
        <f>DATE(2012,3,30)</f>
        <v>40998</v>
      </c>
      <c r="B1807" t="s">
        <v>22</v>
      </c>
      <c r="C1807" t="s">
        <v>10</v>
      </c>
      <c r="D1807" s="3">
        <v>190.5085</v>
      </c>
      <c r="E1807" s="3">
        <v>0</v>
      </c>
      <c r="F1807" t="s">
        <v>45</v>
      </c>
      <c r="G1807" s="3">
        <f t="shared" si="212"/>
        <v>-190.5085</v>
      </c>
      <c r="H1807" s="3">
        <f t="shared" si="213"/>
        <v>190.5085</v>
      </c>
      <c r="I1807" s="5" t="str">
        <f t="shared" si="214"/>
        <v>018</v>
      </c>
      <c r="J1807" s="5" t="str">
        <f t="shared" si="215"/>
        <v>2230</v>
      </c>
      <c r="K1807" s="5" t="str">
        <f t="shared" si="216"/>
        <v>000</v>
      </c>
      <c r="L1807" s="5">
        <f t="shared" si="217"/>
        <v>3</v>
      </c>
      <c r="M1807" s="5">
        <f t="shared" si="218"/>
        <v>2012</v>
      </c>
    </row>
    <row r="1808" spans="1:13" ht="17.45" customHeight="1" x14ac:dyDescent="0.25">
      <c r="A1808" s="1">
        <f>DATE(2012,3,31)</f>
        <v>40999</v>
      </c>
      <c r="B1808" t="s">
        <v>19</v>
      </c>
      <c r="C1808" t="s">
        <v>6</v>
      </c>
      <c r="D1808" s="3">
        <v>12426.645</v>
      </c>
      <c r="E1808" s="3">
        <v>0</v>
      </c>
      <c r="F1808" t="s">
        <v>45</v>
      </c>
      <c r="G1808" s="3">
        <f t="shared" si="212"/>
        <v>-12426.645</v>
      </c>
      <c r="H1808" s="3">
        <f t="shared" si="213"/>
        <v>12426.645</v>
      </c>
      <c r="I1808" s="5" t="str">
        <f t="shared" si="214"/>
        <v>018</v>
      </c>
      <c r="J1808" s="5" t="str">
        <f t="shared" si="215"/>
        <v>2100</v>
      </c>
      <c r="K1808" s="5" t="str">
        <f t="shared" si="216"/>
        <v>000</v>
      </c>
      <c r="L1808" s="5">
        <f t="shared" si="217"/>
        <v>3</v>
      </c>
      <c r="M1808" s="5">
        <f t="shared" si="218"/>
        <v>2012</v>
      </c>
    </row>
    <row r="1809" spans="1:13" ht="17.45" customHeight="1" x14ac:dyDescent="0.25">
      <c r="A1809" s="1">
        <f>DATE(2012,3,31)</f>
        <v>40999</v>
      </c>
      <c r="B1809" t="s">
        <v>20</v>
      </c>
      <c r="C1809" t="s">
        <v>8</v>
      </c>
      <c r="D1809" s="3">
        <v>2120.52</v>
      </c>
      <c r="E1809" s="3">
        <v>0</v>
      </c>
      <c r="F1809" t="s">
        <v>45</v>
      </c>
      <c r="G1809" s="3">
        <f t="shared" si="212"/>
        <v>-2120.52</v>
      </c>
      <c r="H1809" s="3">
        <f t="shared" si="213"/>
        <v>2120.52</v>
      </c>
      <c r="I1809" s="5" t="str">
        <f t="shared" si="214"/>
        <v>018</v>
      </c>
      <c r="J1809" s="5" t="str">
        <f t="shared" si="215"/>
        <v>2210</v>
      </c>
      <c r="K1809" s="5" t="str">
        <f t="shared" si="216"/>
        <v>000</v>
      </c>
      <c r="L1809" s="5">
        <f t="shared" si="217"/>
        <v>3</v>
      </c>
      <c r="M1809" s="5">
        <f t="shared" si="218"/>
        <v>2012</v>
      </c>
    </row>
    <row r="1810" spans="1:13" ht="17.45" customHeight="1" x14ac:dyDescent="0.25">
      <c r="A1810" s="1">
        <f>DATE(2012,3,31)</f>
        <v>40999</v>
      </c>
      <c r="B1810" t="s">
        <v>21</v>
      </c>
      <c r="C1810" t="s">
        <v>9</v>
      </c>
      <c r="D1810" s="3">
        <v>724.21649999999988</v>
      </c>
      <c r="E1810" s="3">
        <v>0</v>
      </c>
      <c r="F1810" t="s">
        <v>45</v>
      </c>
      <c r="G1810" s="3">
        <f t="shared" si="212"/>
        <v>-724.21649999999988</v>
      </c>
      <c r="H1810" s="3">
        <f t="shared" si="213"/>
        <v>724.21649999999988</v>
      </c>
      <c r="I1810" s="5" t="str">
        <f t="shared" si="214"/>
        <v>018</v>
      </c>
      <c r="J1810" s="5" t="str">
        <f t="shared" si="215"/>
        <v>2220</v>
      </c>
      <c r="K1810" s="5" t="str">
        <f t="shared" si="216"/>
        <v>000</v>
      </c>
      <c r="L1810" s="5">
        <f t="shared" si="217"/>
        <v>3</v>
      </c>
      <c r="M1810" s="5">
        <f t="shared" si="218"/>
        <v>2012</v>
      </c>
    </row>
    <row r="1811" spans="1:13" ht="17.45" customHeight="1" x14ac:dyDescent="0.25">
      <c r="A1811" s="1">
        <f>DATE(2012,3,31)</f>
        <v>40999</v>
      </c>
      <c r="B1811" t="s">
        <v>22</v>
      </c>
      <c r="C1811" t="s">
        <v>10</v>
      </c>
      <c r="D1811" s="3">
        <v>178.29</v>
      </c>
      <c r="E1811" s="3">
        <v>0</v>
      </c>
      <c r="F1811" t="s">
        <v>45</v>
      </c>
      <c r="G1811" s="3">
        <f t="shared" si="212"/>
        <v>-178.29</v>
      </c>
      <c r="H1811" s="3">
        <f t="shared" si="213"/>
        <v>178.29</v>
      </c>
      <c r="I1811" s="5" t="str">
        <f t="shared" si="214"/>
        <v>018</v>
      </c>
      <c r="J1811" s="5" t="str">
        <f t="shared" si="215"/>
        <v>2230</v>
      </c>
      <c r="K1811" s="5" t="str">
        <f t="shared" si="216"/>
        <v>000</v>
      </c>
      <c r="L1811" s="5">
        <f t="shared" si="217"/>
        <v>3</v>
      </c>
      <c r="M1811" s="5">
        <f t="shared" si="218"/>
        <v>2012</v>
      </c>
    </row>
    <row r="1812" spans="1:13" ht="17.45" customHeight="1" x14ac:dyDescent="0.25">
      <c r="A1812" s="1">
        <f t="shared" ref="A1812:A1813" si="219">DATE(2012,4,1)</f>
        <v>41000</v>
      </c>
      <c r="B1812" t="s">
        <v>11</v>
      </c>
      <c r="C1812" t="s">
        <v>6</v>
      </c>
      <c r="D1812" s="3">
        <v>5024.4552000000003</v>
      </c>
      <c r="E1812" s="3">
        <v>0</v>
      </c>
      <c r="F1812" t="s">
        <v>45</v>
      </c>
      <c r="G1812" s="3">
        <f t="shared" si="212"/>
        <v>-5024.4552000000003</v>
      </c>
      <c r="H1812" s="3">
        <f t="shared" si="213"/>
        <v>5024.4552000000003</v>
      </c>
      <c r="I1812" s="5" t="str">
        <f t="shared" si="214"/>
        <v>016</v>
      </c>
      <c r="J1812" s="5" t="str">
        <f t="shared" si="215"/>
        <v>2100</v>
      </c>
      <c r="K1812" s="5" t="str">
        <f t="shared" si="216"/>
        <v>000</v>
      </c>
      <c r="L1812" s="5">
        <f t="shared" si="217"/>
        <v>4</v>
      </c>
      <c r="M1812" s="5">
        <f t="shared" si="218"/>
        <v>2012</v>
      </c>
    </row>
    <row r="1813" spans="1:13" ht="17.45" customHeight="1" x14ac:dyDescent="0.25">
      <c r="A1813" s="1">
        <f t="shared" si="219"/>
        <v>41000</v>
      </c>
      <c r="B1813" t="s">
        <v>12</v>
      </c>
      <c r="C1813" t="s">
        <v>8</v>
      </c>
      <c r="D1813" s="3">
        <v>1107.652</v>
      </c>
      <c r="E1813" s="3">
        <v>0</v>
      </c>
      <c r="F1813" t="s">
        <v>45</v>
      </c>
      <c r="G1813" s="3">
        <f t="shared" si="212"/>
        <v>-1107.652</v>
      </c>
      <c r="H1813" s="3">
        <f t="shared" si="213"/>
        <v>1107.652</v>
      </c>
      <c r="I1813" s="5" t="str">
        <f t="shared" si="214"/>
        <v>016</v>
      </c>
      <c r="J1813" s="5" t="str">
        <f t="shared" si="215"/>
        <v>2210</v>
      </c>
      <c r="K1813" s="5" t="str">
        <f t="shared" si="216"/>
        <v>000</v>
      </c>
      <c r="L1813" s="5">
        <f t="shared" si="217"/>
        <v>4</v>
      </c>
      <c r="M1813" s="5">
        <f t="shared" si="218"/>
        <v>2012</v>
      </c>
    </row>
    <row r="1814" spans="1:13" ht="17.45" customHeight="1" x14ac:dyDescent="0.25">
      <c r="A1814" s="1">
        <f t="shared" ref="A1814:A1823" si="220">DATE(2012,4,1)</f>
        <v>41000</v>
      </c>
      <c r="B1814" t="s">
        <v>13</v>
      </c>
      <c r="C1814" t="s">
        <v>9</v>
      </c>
      <c r="D1814" s="3">
        <v>195.68440000000001</v>
      </c>
      <c r="E1814" s="3">
        <v>0</v>
      </c>
      <c r="F1814" t="s">
        <v>45</v>
      </c>
      <c r="G1814" s="3">
        <f t="shared" si="212"/>
        <v>-195.68440000000001</v>
      </c>
      <c r="H1814" s="3">
        <f t="shared" si="213"/>
        <v>195.68440000000001</v>
      </c>
      <c r="I1814" s="5" t="str">
        <f t="shared" si="214"/>
        <v>016</v>
      </c>
      <c r="J1814" s="5" t="str">
        <f t="shared" si="215"/>
        <v>2220</v>
      </c>
      <c r="K1814" s="5" t="str">
        <f t="shared" si="216"/>
        <v>000</v>
      </c>
      <c r="L1814" s="5">
        <f t="shared" si="217"/>
        <v>4</v>
      </c>
      <c r="M1814" s="5">
        <f t="shared" si="218"/>
        <v>2012</v>
      </c>
    </row>
    <row r="1815" spans="1:13" ht="17.45" customHeight="1" x14ac:dyDescent="0.25">
      <c r="A1815" s="1">
        <f t="shared" si="220"/>
        <v>41000</v>
      </c>
      <c r="B1815" t="s">
        <v>14</v>
      </c>
      <c r="C1815" t="s">
        <v>10</v>
      </c>
      <c r="D1815" s="3">
        <v>99.495000000000005</v>
      </c>
      <c r="E1815" s="3">
        <v>0</v>
      </c>
      <c r="F1815" t="s">
        <v>45</v>
      </c>
      <c r="G1815" s="3">
        <f t="shared" si="212"/>
        <v>-99.495000000000005</v>
      </c>
      <c r="H1815" s="3">
        <f t="shared" si="213"/>
        <v>99.495000000000005</v>
      </c>
      <c r="I1815" s="5" t="str">
        <f t="shared" si="214"/>
        <v>016</v>
      </c>
      <c r="J1815" s="5" t="str">
        <f t="shared" si="215"/>
        <v>2230</v>
      </c>
      <c r="K1815" s="5" t="str">
        <f t="shared" si="216"/>
        <v>000</v>
      </c>
      <c r="L1815" s="5">
        <f t="shared" si="217"/>
        <v>4</v>
      </c>
      <c r="M1815" s="5">
        <f t="shared" si="218"/>
        <v>2012</v>
      </c>
    </row>
    <row r="1816" spans="1:13" ht="17.45" customHeight="1" x14ac:dyDescent="0.25">
      <c r="A1816" s="1">
        <f t="shared" si="220"/>
        <v>41000</v>
      </c>
      <c r="B1816" t="s">
        <v>15</v>
      </c>
      <c r="C1816" t="s">
        <v>6</v>
      </c>
      <c r="D1816" s="3">
        <v>6309.6033000000007</v>
      </c>
      <c r="E1816" s="3">
        <v>0</v>
      </c>
      <c r="F1816" t="s">
        <v>45</v>
      </c>
      <c r="G1816" s="3">
        <f t="shared" si="212"/>
        <v>-6309.6033000000007</v>
      </c>
      <c r="H1816" s="3">
        <f t="shared" si="213"/>
        <v>6309.6033000000007</v>
      </c>
      <c r="I1816" s="5" t="str">
        <f t="shared" si="214"/>
        <v>017</v>
      </c>
      <c r="J1816" s="5" t="str">
        <f t="shared" si="215"/>
        <v>2100</v>
      </c>
      <c r="K1816" s="5" t="str">
        <f t="shared" si="216"/>
        <v>000</v>
      </c>
      <c r="L1816" s="5">
        <f t="shared" si="217"/>
        <v>4</v>
      </c>
      <c r="M1816" s="5">
        <f t="shared" si="218"/>
        <v>2012</v>
      </c>
    </row>
    <row r="1817" spans="1:13" ht="17.45" customHeight="1" x14ac:dyDescent="0.25">
      <c r="A1817" s="1">
        <f t="shared" si="220"/>
        <v>41000</v>
      </c>
      <c r="B1817" t="s">
        <v>16</v>
      </c>
      <c r="C1817" t="s">
        <v>8</v>
      </c>
      <c r="D1817" s="3">
        <v>1407.3895</v>
      </c>
      <c r="E1817" s="3">
        <v>0</v>
      </c>
      <c r="F1817" t="s">
        <v>45</v>
      </c>
      <c r="G1817" s="3">
        <f t="shared" si="212"/>
        <v>-1407.3895</v>
      </c>
      <c r="H1817" s="3">
        <f t="shared" si="213"/>
        <v>1407.3895</v>
      </c>
      <c r="I1817" s="5" t="str">
        <f t="shared" si="214"/>
        <v>017</v>
      </c>
      <c r="J1817" s="5" t="str">
        <f t="shared" si="215"/>
        <v>2210</v>
      </c>
      <c r="K1817" s="5" t="str">
        <f t="shared" si="216"/>
        <v>000</v>
      </c>
      <c r="L1817" s="5">
        <f t="shared" si="217"/>
        <v>4</v>
      </c>
      <c r="M1817" s="5">
        <f t="shared" si="218"/>
        <v>2012</v>
      </c>
    </row>
    <row r="1818" spans="1:13" ht="17.45" customHeight="1" x14ac:dyDescent="0.25">
      <c r="A1818" s="1">
        <f t="shared" si="220"/>
        <v>41000</v>
      </c>
      <c r="B1818" t="s">
        <v>17</v>
      </c>
      <c r="C1818" t="s">
        <v>9</v>
      </c>
      <c r="D1818" s="3">
        <v>276.14999999999998</v>
      </c>
      <c r="E1818" s="3">
        <v>0</v>
      </c>
      <c r="F1818" t="s">
        <v>45</v>
      </c>
      <c r="G1818" s="3">
        <f t="shared" si="212"/>
        <v>-276.14999999999998</v>
      </c>
      <c r="H1818" s="3">
        <f t="shared" si="213"/>
        <v>276.14999999999998</v>
      </c>
      <c r="I1818" s="5" t="str">
        <f t="shared" si="214"/>
        <v>017</v>
      </c>
      <c r="J1818" s="5" t="str">
        <f t="shared" si="215"/>
        <v>2220</v>
      </c>
      <c r="K1818" s="5" t="str">
        <f t="shared" si="216"/>
        <v>000</v>
      </c>
      <c r="L1818" s="5">
        <f t="shared" si="217"/>
        <v>4</v>
      </c>
      <c r="M1818" s="5">
        <f t="shared" si="218"/>
        <v>2012</v>
      </c>
    </row>
    <row r="1819" spans="1:13" ht="17.45" customHeight="1" x14ac:dyDescent="0.25">
      <c r="A1819" s="1">
        <f t="shared" si="220"/>
        <v>41000</v>
      </c>
      <c r="B1819" t="s">
        <v>18</v>
      </c>
      <c r="C1819" t="s">
        <v>10</v>
      </c>
      <c r="D1819" s="3">
        <v>124.124</v>
      </c>
      <c r="E1819" s="3">
        <v>0</v>
      </c>
      <c r="F1819" t="s">
        <v>45</v>
      </c>
      <c r="G1819" s="3">
        <f t="shared" si="212"/>
        <v>-124.124</v>
      </c>
      <c r="H1819" s="3">
        <f t="shared" si="213"/>
        <v>124.124</v>
      </c>
      <c r="I1819" s="5" t="str">
        <f t="shared" si="214"/>
        <v>017</v>
      </c>
      <c r="J1819" s="5" t="str">
        <f t="shared" si="215"/>
        <v>2230</v>
      </c>
      <c r="K1819" s="5" t="str">
        <f t="shared" si="216"/>
        <v>000</v>
      </c>
      <c r="L1819" s="5">
        <f t="shared" si="217"/>
        <v>4</v>
      </c>
      <c r="M1819" s="5">
        <f t="shared" si="218"/>
        <v>2012</v>
      </c>
    </row>
    <row r="1820" spans="1:13" ht="17.45" customHeight="1" x14ac:dyDescent="0.25">
      <c r="A1820" s="1">
        <f t="shared" si="220"/>
        <v>41000</v>
      </c>
      <c r="B1820" t="s">
        <v>19</v>
      </c>
      <c r="C1820" t="s">
        <v>6</v>
      </c>
      <c r="D1820" s="3">
        <v>11663.91</v>
      </c>
      <c r="E1820" s="3">
        <v>0</v>
      </c>
      <c r="F1820" t="s">
        <v>45</v>
      </c>
      <c r="G1820" s="3">
        <f t="shared" si="212"/>
        <v>-11663.91</v>
      </c>
      <c r="H1820" s="3">
        <f t="shared" si="213"/>
        <v>11663.91</v>
      </c>
      <c r="I1820" s="5" t="str">
        <f t="shared" si="214"/>
        <v>018</v>
      </c>
      <c r="J1820" s="5" t="str">
        <f t="shared" si="215"/>
        <v>2100</v>
      </c>
      <c r="K1820" s="5" t="str">
        <f t="shared" si="216"/>
        <v>000</v>
      </c>
      <c r="L1820" s="5">
        <f t="shared" si="217"/>
        <v>4</v>
      </c>
      <c r="M1820" s="5">
        <f t="shared" si="218"/>
        <v>2012</v>
      </c>
    </row>
    <row r="1821" spans="1:13" ht="17.45" customHeight="1" x14ac:dyDescent="0.25">
      <c r="A1821" s="1">
        <f t="shared" si="220"/>
        <v>41000</v>
      </c>
      <c r="B1821" t="s">
        <v>20</v>
      </c>
      <c r="C1821" t="s">
        <v>8</v>
      </c>
      <c r="D1821" s="3">
        <v>929.12849999999992</v>
      </c>
      <c r="E1821" s="3">
        <v>0</v>
      </c>
      <c r="F1821" t="s">
        <v>45</v>
      </c>
      <c r="G1821" s="3">
        <f t="shared" si="212"/>
        <v>-929.12849999999992</v>
      </c>
      <c r="H1821" s="3">
        <f t="shared" si="213"/>
        <v>929.12849999999992</v>
      </c>
      <c r="I1821" s="5" t="str">
        <f t="shared" si="214"/>
        <v>018</v>
      </c>
      <c r="J1821" s="5" t="str">
        <f t="shared" si="215"/>
        <v>2210</v>
      </c>
      <c r="K1821" s="5" t="str">
        <f t="shared" si="216"/>
        <v>000</v>
      </c>
      <c r="L1821" s="5">
        <f t="shared" si="217"/>
        <v>4</v>
      </c>
      <c r="M1821" s="5">
        <f t="shared" si="218"/>
        <v>2012</v>
      </c>
    </row>
    <row r="1822" spans="1:13" ht="17.45" customHeight="1" x14ac:dyDescent="0.25">
      <c r="A1822" s="1">
        <f t="shared" si="220"/>
        <v>41000</v>
      </c>
      <c r="B1822" t="s">
        <v>21</v>
      </c>
      <c r="C1822" t="s">
        <v>9</v>
      </c>
      <c r="D1822" s="3">
        <v>264.69</v>
      </c>
      <c r="E1822" s="3">
        <v>0</v>
      </c>
      <c r="F1822" t="s">
        <v>45</v>
      </c>
      <c r="G1822" s="3">
        <f t="shared" si="212"/>
        <v>-264.69</v>
      </c>
      <c r="H1822" s="3">
        <f t="shared" si="213"/>
        <v>264.69</v>
      </c>
      <c r="I1822" s="5" t="str">
        <f t="shared" si="214"/>
        <v>018</v>
      </c>
      <c r="J1822" s="5" t="str">
        <f t="shared" si="215"/>
        <v>2220</v>
      </c>
      <c r="K1822" s="5" t="str">
        <f t="shared" si="216"/>
        <v>000</v>
      </c>
      <c r="L1822" s="5">
        <f t="shared" si="217"/>
        <v>4</v>
      </c>
      <c r="M1822" s="5">
        <f t="shared" si="218"/>
        <v>2012</v>
      </c>
    </row>
    <row r="1823" spans="1:13" ht="17.45" customHeight="1" x14ac:dyDescent="0.25">
      <c r="A1823" s="1">
        <f t="shared" si="220"/>
        <v>41000</v>
      </c>
      <c r="B1823" t="s">
        <v>22</v>
      </c>
      <c r="C1823" t="s">
        <v>10</v>
      </c>
      <c r="D1823" s="3">
        <v>61.732000000000006</v>
      </c>
      <c r="E1823" s="3">
        <v>0</v>
      </c>
      <c r="F1823" t="s">
        <v>45</v>
      </c>
      <c r="G1823" s="3">
        <f t="shared" si="212"/>
        <v>-61.732000000000006</v>
      </c>
      <c r="H1823" s="3">
        <f t="shared" si="213"/>
        <v>61.732000000000006</v>
      </c>
      <c r="I1823" s="5" t="str">
        <f t="shared" si="214"/>
        <v>018</v>
      </c>
      <c r="J1823" s="5" t="str">
        <f t="shared" si="215"/>
        <v>2230</v>
      </c>
      <c r="K1823" s="5" t="str">
        <f t="shared" si="216"/>
        <v>000</v>
      </c>
      <c r="L1823" s="5">
        <f t="shared" si="217"/>
        <v>4</v>
      </c>
      <c r="M1823" s="5">
        <f t="shared" si="218"/>
        <v>2012</v>
      </c>
    </row>
    <row r="1824" spans="1:13" ht="17.45" customHeight="1" x14ac:dyDescent="0.25">
      <c r="A1824" s="1">
        <f>DATE(2012,4,2)</f>
        <v>41001</v>
      </c>
      <c r="B1824" t="s">
        <v>11</v>
      </c>
      <c r="C1824" t="s">
        <v>6</v>
      </c>
      <c r="D1824" s="3">
        <v>4072.9257000000002</v>
      </c>
      <c r="E1824" s="3">
        <v>0</v>
      </c>
      <c r="F1824" t="s">
        <v>45</v>
      </c>
      <c r="G1824" s="3">
        <f t="shared" si="212"/>
        <v>-4072.9257000000002</v>
      </c>
      <c r="H1824" s="3">
        <f t="shared" si="213"/>
        <v>4072.9257000000002</v>
      </c>
      <c r="I1824" s="5" t="str">
        <f t="shared" si="214"/>
        <v>016</v>
      </c>
      <c r="J1824" s="5" t="str">
        <f t="shared" si="215"/>
        <v>2100</v>
      </c>
      <c r="K1824" s="5" t="str">
        <f t="shared" si="216"/>
        <v>000</v>
      </c>
      <c r="L1824" s="5">
        <f t="shared" si="217"/>
        <v>4</v>
      </c>
      <c r="M1824" s="5">
        <f t="shared" si="218"/>
        <v>2012</v>
      </c>
    </row>
    <row r="1825" spans="1:13" ht="17.45" customHeight="1" x14ac:dyDescent="0.25">
      <c r="A1825" s="1">
        <f>DATE(2012,4,2)</f>
        <v>41001</v>
      </c>
      <c r="B1825" t="s">
        <v>12</v>
      </c>
      <c r="C1825" t="s">
        <v>8</v>
      </c>
      <c r="D1825" s="3">
        <v>1106.979</v>
      </c>
      <c r="E1825" s="3">
        <v>0</v>
      </c>
      <c r="F1825" t="s">
        <v>45</v>
      </c>
      <c r="G1825" s="3">
        <f t="shared" si="212"/>
        <v>-1106.979</v>
      </c>
      <c r="H1825" s="3">
        <f t="shared" si="213"/>
        <v>1106.979</v>
      </c>
      <c r="I1825" s="5" t="str">
        <f t="shared" si="214"/>
        <v>016</v>
      </c>
      <c r="J1825" s="5" t="str">
        <f t="shared" si="215"/>
        <v>2210</v>
      </c>
      <c r="K1825" s="5" t="str">
        <f t="shared" si="216"/>
        <v>000</v>
      </c>
      <c r="L1825" s="5">
        <f t="shared" si="217"/>
        <v>4</v>
      </c>
      <c r="M1825" s="5">
        <f t="shared" si="218"/>
        <v>2012</v>
      </c>
    </row>
    <row r="1826" spans="1:13" ht="17.45" customHeight="1" x14ac:dyDescent="0.25">
      <c r="A1826" s="1">
        <f>DATE(2012,4,2)</f>
        <v>41001</v>
      </c>
      <c r="B1826" t="s">
        <v>13</v>
      </c>
      <c r="C1826" t="s">
        <v>9</v>
      </c>
      <c r="D1826" s="3">
        <v>107.63849999999999</v>
      </c>
      <c r="E1826" s="3">
        <v>0</v>
      </c>
      <c r="F1826" t="s">
        <v>45</v>
      </c>
      <c r="G1826" s="3">
        <f t="shared" si="212"/>
        <v>-107.63849999999999</v>
      </c>
      <c r="H1826" s="3">
        <f t="shared" si="213"/>
        <v>107.63849999999999</v>
      </c>
      <c r="I1826" s="5" t="str">
        <f t="shared" si="214"/>
        <v>016</v>
      </c>
      <c r="J1826" s="5" t="str">
        <f t="shared" si="215"/>
        <v>2220</v>
      </c>
      <c r="K1826" s="5" t="str">
        <f t="shared" si="216"/>
        <v>000</v>
      </c>
      <c r="L1826" s="5">
        <f t="shared" si="217"/>
        <v>4</v>
      </c>
      <c r="M1826" s="5">
        <f t="shared" si="218"/>
        <v>2012</v>
      </c>
    </row>
    <row r="1827" spans="1:13" ht="17.45" customHeight="1" x14ac:dyDescent="0.25">
      <c r="A1827" s="1">
        <f>DATE(2012,4,2)</f>
        <v>41001</v>
      </c>
      <c r="B1827" t="s">
        <v>14</v>
      </c>
      <c r="C1827" t="s">
        <v>10</v>
      </c>
      <c r="D1827" s="3">
        <v>36.220999999999997</v>
      </c>
      <c r="E1827" s="3">
        <v>0</v>
      </c>
      <c r="F1827" t="s">
        <v>45</v>
      </c>
      <c r="G1827" s="3">
        <f t="shared" si="212"/>
        <v>-36.220999999999997</v>
      </c>
      <c r="H1827" s="3">
        <f t="shared" si="213"/>
        <v>36.220999999999997</v>
      </c>
      <c r="I1827" s="5" t="str">
        <f t="shared" si="214"/>
        <v>016</v>
      </c>
      <c r="J1827" s="5" t="str">
        <f t="shared" si="215"/>
        <v>2230</v>
      </c>
      <c r="K1827" s="5" t="str">
        <f t="shared" si="216"/>
        <v>000</v>
      </c>
      <c r="L1827" s="5">
        <f t="shared" si="217"/>
        <v>4</v>
      </c>
      <c r="M1827" s="5">
        <f t="shared" si="218"/>
        <v>2012</v>
      </c>
    </row>
    <row r="1828" spans="1:13" ht="17.45" customHeight="1" x14ac:dyDescent="0.25">
      <c r="A1828" s="1">
        <f>DATE(2012,4,3)</f>
        <v>41002</v>
      </c>
      <c r="B1828" t="s">
        <v>11</v>
      </c>
      <c r="C1828" t="s">
        <v>6</v>
      </c>
      <c r="D1828" s="3">
        <v>5721.517499999999</v>
      </c>
      <c r="E1828" s="3">
        <v>0</v>
      </c>
      <c r="F1828" t="s">
        <v>45</v>
      </c>
      <c r="G1828" s="3">
        <f t="shared" si="212"/>
        <v>-5721.517499999999</v>
      </c>
      <c r="H1828" s="3">
        <f t="shared" si="213"/>
        <v>5721.517499999999</v>
      </c>
      <c r="I1828" s="5" t="str">
        <f t="shared" si="214"/>
        <v>016</v>
      </c>
      <c r="J1828" s="5" t="str">
        <f t="shared" si="215"/>
        <v>2100</v>
      </c>
      <c r="K1828" s="5" t="str">
        <f t="shared" si="216"/>
        <v>000</v>
      </c>
      <c r="L1828" s="5">
        <f t="shared" si="217"/>
        <v>4</v>
      </c>
      <c r="M1828" s="5">
        <f t="shared" si="218"/>
        <v>2012</v>
      </c>
    </row>
    <row r="1829" spans="1:13" ht="17.45" customHeight="1" x14ac:dyDescent="0.25">
      <c r="A1829" s="1">
        <f>DATE(2012,4,3)</f>
        <v>41002</v>
      </c>
      <c r="B1829" t="s">
        <v>12</v>
      </c>
      <c r="C1829" t="s">
        <v>8</v>
      </c>
      <c r="D1829" s="3">
        <v>1188.5895</v>
      </c>
      <c r="E1829" s="3">
        <v>0</v>
      </c>
      <c r="F1829" t="s">
        <v>45</v>
      </c>
      <c r="G1829" s="3">
        <f t="shared" si="212"/>
        <v>-1188.5895</v>
      </c>
      <c r="H1829" s="3">
        <f t="shared" si="213"/>
        <v>1188.5895</v>
      </c>
      <c r="I1829" s="5" t="str">
        <f t="shared" si="214"/>
        <v>016</v>
      </c>
      <c r="J1829" s="5" t="str">
        <f t="shared" si="215"/>
        <v>2210</v>
      </c>
      <c r="K1829" s="5" t="str">
        <f t="shared" si="216"/>
        <v>000</v>
      </c>
      <c r="L1829" s="5">
        <f t="shared" si="217"/>
        <v>4</v>
      </c>
      <c r="M1829" s="5">
        <f t="shared" si="218"/>
        <v>2012</v>
      </c>
    </row>
    <row r="1830" spans="1:13" ht="17.45" customHeight="1" x14ac:dyDescent="0.25">
      <c r="A1830" s="1">
        <f>DATE(2012,4,3)</f>
        <v>41002</v>
      </c>
      <c r="B1830" t="s">
        <v>13</v>
      </c>
      <c r="C1830" t="s">
        <v>9</v>
      </c>
      <c r="D1830" s="3">
        <v>445.91399999999999</v>
      </c>
      <c r="E1830" s="3">
        <v>0</v>
      </c>
      <c r="F1830" t="s">
        <v>45</v>
      </c>
      <c r="G1830" s="3">
        <f t="shared" si="212"/>
        <v>-445.91399999999999</v>
      </c>
      <c r="H1830" s="3">
        <f t="shared" si="213"/>
        <v>445.91399999999999</v>
      </c>
      <c r="I1830" s="5" t="str">
        <f t="shared" si="214"/>
        <v>016</v>
      </c>
      <c r="J1830" s="5" t="str">
        <f t="shared" si="215"/>
        <v>2220</v>
      </c>
      <c r="K1830" s="5" t="str">
        <f t="shared" si="216"/>
        <v>000</v>
      </c>
      <c r="L1830" s="5">
        <f t="shared" si="217"/>
        <v>4</v>
      </c>
      <c r="M1830" s="5">
        <f t="shared" si="218"/>
        <v>2012</v>
      </c>
    </row>
    <row r="1831" spans="1:13" ht="17.45" customHeight="1" x14ac:dyDescent="0.25">
      <c r="A1831" s="1">
        <f>DATE(2012,4,3)</f>
        <v>41002</v>
      </c>
      <c r="B1831" t="s">
        <v>14</v>
      </c>
      <c r="C1831" t="s">
        <v>10</v>
      </c>
      <c r="D1831" s="3">
        <v>118.8</v>
      </c>
      <c r="E1831" s="3">
        <v>0</v>
      </c>
      <c r="F1831" t="s">
        <v>45</v>
      </c>
      <c r="G1831" s="3">
        <f t="shared" si="212"/>
        <v>-118.8</v>
      </c>
      <c r="H1831" s="3">
        <f t="shared" si="213"/>
        <v>118.8</v>
      </c>
      <c r="I1831" s="5" t="str">
        <f t="shared" si="214"/>
        <v>016</v>
      </c>
      <c r="J1831" s="5" t="str">
        <f t="shared" si="215"/>
        <v>2230</v>
      </c>
      <c r="K1831" s="5" t="str">
        <f t="shared" si="216"/>
        <v>000</v>
      </c>
      <c r="L1831" s="5">
        <f t="shared" si="217"/>
        <v>4</v>
      </c>
      <c r="M1831" s="5">
        <f t="shared" si="218"/>
        <v>2012</v>
      </c>
    </row>
    <row r="1832" spans="1:13" ht="17.45" customHeight="1" x14ac:dyDescent="0.25">
      <c r="A1832" s="1">
        <f>DATE(2012,4,4)</f>
        <v>41003</v>
      </c>
      <c r="B1832" t="s">
        <v>11</v>
      </c>
      <c r="C1832" t="s">
        <v>6</v>
      </c>
      <c r="D1832" s="3">
        <v>4405.1548000000003</v>
      </c>
      <c r="E1832" s="3">
        <v>0</v>
      </c>
      <c r="F1832" t="s">
        <v>45</v>
      </c>
      <c r="G1832" s="3">
        <f t="shared" si="212"/>
        <v>-4405.1548000000003</v>
      </c>
      <c r="H1832" s="3">
        <f t="shared" si="213"/>
        <v>4405.1548000000003</v>
      </c>
      <c r="I1832" s="5" t="str">
        <f t="shared" si="214"/>
        <v>016</v>
      </c>
      <c r="J1832" s="5" t="str">
        <f t="shared" si="215"/>
        <v>2100</v>
      </c>
      <c r="K1832" s="5" t="str">
        <f t="shared" si="216"/>
        <v>000</v>
      </c>
      <c r="L1832" s="5">
        <f t="shared" si="217"/>
        <v>4</v>
      </c>
      <c r="M1832" s="5">
        <f t="shared" si="218"/>
        <v>2012</v>
      </c>
    </row>
    <row r="1833" spans="1:13" ht="17.45" customHeight="1" x14ac:dyDescent="0.25">
      <c r="A1833" s="1">
        <f>DATE(2012,4,4)</f>
        <v>41003</v>
      </c>
      <c r="B1833" t="s">
        <v>12</v>
      </c>
      <c r="C1833" t="s">
        <v>8</v>
      </c>
      <c r="D1833" s="3">
        <v>835.82800000000009</v>
      </c>
      <c r="E1833" s="3">
        <v>0</v>
      </c>
      <c r="F1833" t="s">
        <v>45</v>
      </c>
      <c r="G1833" s="3">
        <f t="shared" si="212"/>
        <v>-835.82800000000009</v>
      </c>
      <c r="H1833" s="3">
        <f t="shared" si="213"/>
        <v>835.82800000000009</v>
      </c>
      <c r="I1833" s="5" t="str">
        <f t="shared" si="214"/>
        <v>016</v>
      </c>
      <c r="J1833" s="5" t="str">
        <f t="shared" si="215"/>
        <v>2210</v>
      </c>
      <c r="K1833" s="5" t="str">
        <f t="shared" si="216"/>
        <v>000</v>
      </c>
      <c r="L1833" s="5">
        <f t="shared" si="217"/>
        <v>4</v>
      </c>
      <c r="M1833" s="5">
        <f t="shared" si="218"/>
        <v>2012</v>
      </c>
    </row>
    <row r="1834" spans="1:13" ht="17.45" customHeight="1" x14ac:dyDescent="0.25">
      <c r="A1834" s="1">
        <f>DATE(2012,4,4)</f>
        <v>41003</v>
      </c>
      <c r="B1834" t="s">
        <v>13</v>
      </c>
      <c r="C1834" t="s">
        <v>9</v>
      </c>
      <c r="D1834" s="3">
        <v>140.90399999999997</v>
      </c>
      <c r="E1834" s="3">
        <v>0</v>
      </c>
      <c r="F1834" t="s">
        <v>45</v>
      </c>
      <c r="G1834" s="3">
        <f t="shared" si="212"/>
        <v>-140.90399999999997</v>
      </c>
      <c r="H1834" s="3">
        <f t="shared" si="213"/>
        <v>140.90399999999997</v>
      </c>
      <c r="I1834" s="5" t="str">
        <f t="shared" si="214"/>
        <v>016</v>
      </c>
      <c r="J1834" s="5" t="str">
        <f t="shared" si="215"/>
        <v>2220</v>
      </c>
      <c r="K1834" s="5" t="str">
        <f t="shared" si="216"/>
        <v>000</v>
      </c>
      <c r="L1834" s="5">
        <f t="shared" si="217"/>
        <v>4</v>
      </c>
      <c r="M1834" s="5">
        <f t="shared" si="218"/>
        <v>2012</v>
      </c>
    </row>
    <row r="1835" spans="1:13" ht="17.45" customHeight="1" x14ac:dyDescent="0.25">
      <c r="A1835" s="1">
        <f>DATE(2012,4,4)</f>
        <v>41003</v>
      </c>
      <c r="B1835" t="s">
        <v>14</v>
      </c>
      <c r="C1835" t="s">
        <v>10</v>
      </c>
      <c r="D1835" s="3">
        <v>88.691199999999995</v>
      </c>
      <c r="E1835" s="3">
        <v>0</v>
      </c>
      <c r="F1835" t="s">
        <v>45</v>
      </c>
      <c r="G1835" s="3">
        <f t="shared" si="212"/>
        <v>-88.691199999999995</v>
      </c>
      <c r="H1835" s="3">
        <f t="shared" si="213"/>
        <v>88.691199999999995</v>
      </c>
      <c r="I1835" s="5" t="str">
        <f t="shared" si="214"/>
        <v>016</v>
      </c>
      <c r="J1835" s="5" t="str">
        <f t="shared" si="215"/>
        <v>2230</v>
      </c>
      <c r="K1835" s="5" t="str">
        <f t="shared" si="216"/>
        <v>000</v>
      </c>
      <c r="L1835" s="5">
        <f t="shared" si="217"/>
        <v>4</v>
      </c>
      <c r="M1835" s="5">
        <f t="shared" si="218"/>
        <v>2012</v>
      </c>
    </row>
    <row r="1836" spans="1:13" ht="17.45" customHeight="1" x14ac:dyDescent="0.25">
      <c r="A1836" s="1">
        <f>DATE(2012,4,5)</f>
        <v>41004</v>
      </c>
      <c r="B1836" t="s">
        <v>11</v>
      </c>
      <c r="C1836" t="s">
        <v>6</v>
      </c>
      <c r="D1836" s="3">
        <v>4955.335</v>
      </c>
      <c r="E1836" s="3">
        <v>0</v>
      </c>
      <c r="F1836" t="s">
        <v>45</v>
      </c>
      <c r="G1836" s="3">
        <f t="shared" si="212"/>
        <v>-4955.335</v>
      </c>
      <c r="H1836" s="3">
        <f t="shared" si="213"/>
        <v>4955.335</v>
      </c>
      <c r="I1836" s="5" t="str">
        <f t="shared" si="214"/>
        <v>016</v>
      </c>
      <c r="J1836" s="5" t="str">
        <f t="shared" si="215"/>
        <v>2100</v>
      </c>
      <c r="K1836" s="5" t="str">
        <f t="shared" si="216"/>
        <v>000</v>
      </c>
      <c r="L1836" s="5">
        <f t="shared" si="217"/>
        <v>4</v>
      </c>
      <c r="M1836" s="5">
        <f t="shared" si="218"/>
        <v>2012</v>
      </c>
    </row>
    <row r="1837" spans="1:13" ht="17.45" customHeight="1" x14ac:dyDescent="0.25">
      <c r="A1837" s="1">
        <f>DATE(2012,4,5)</f>
        <v>41004</v>
      </c>
      <c r="B1837" t="s">
        <v>12</v>
      </c>
      <c r="C1837" t="s">
        <v>8</v>
      </c>
      <c r="D1837" s="3">
        <v>1629.184</v>
      </c>
      <c r="E1837" s="3">
        <v>0</v>
      </c>
      <c r="F1837" t="s">
        <v>45</v>
      </c>
      <c r="G1837" s="3">
        <f t="shared" si="212"/>
        <v>-1629.184</v>
      </c>
      <c r="H1837" s="3">
        <f t="shared" si="213"/>
        <v>1629.184</v>
      </c>
      <c r="I1837" s="5" t="str">
        <f t="shared" si="214"/>
        <v>016</v>
      </c>
      <c r="J1837" s="5" t="str">
        <f t="shared" si="215"/>
        <v>2210</v>
      </c>
      <c r="K1837" s="5" t="str">
        <f t="shared" si="216"/>
        <v>000</v>
      </c>
      <c r="L1837" s="5">
        <f t="shared" si="217"/>
        <v>4</v>
      </c>
      <c r="M1837" s="5">
        <f t="shared" si="218"/>
        <v>2012</v>
      </c>
    </row>
    <row r="1838" spans="1:13" ht="17.45" customHeight="1" x14ac:dyDescent="0.25">
      <c r="A1838" s="1">
        <f>DATE(2012,4,5)</f>
        <v>41004</v>
      </c>
      <c r="B1838" t="s">
        <v>13</v>
      </c>
      <c r="C1838" t="s">
        <v>9</v>
      </c>
      <c r="D1838" s="3">
        <v>174.76499999999999</v>
      </c>
      <c r="E1838" s="3">
        <v>0</v>
      </c>
      <c r="F1838" t="s">
        <v>45</v>
      </c>
      <c r="G1838" s="3">
        <f t="shared" si="212"/>
        <v>-174.76499999999999</v>
      </c>
      <c r="H1838" s="3">
        <f t="shared" si="213"/>
        <v>174.76499999999999</v>
      </c>
      <c r="I1838" s="5" t="str">
        <f t="shared" si="214"/>
        <v>016</v>
      </c>
      <c r="J1838" s="5" t="str">
        <f t="shared" si="215"/>
        <v>2220</v>
      </c>
      <c r="K1838" s="5" t="str">
        <f t="shared" si="216"/>
        <v>000</v>
      </c>
      <c r="L1838" s="5">
        <f t="shared" si="217"/>
        <v>4</v>
      </c>
      <c r="M1838" s="5">
        <f t="shared" si="218"/>
        <v>2012</v>
      </c>
    </row>
    <row r="1839" spans="1:13" ht="17.45" customHeight="1" x14ac:dyDescent="0.25">
      <c r="A1839" s="1">
        <f>DATE(2012,4,5)</f>
        <v>41004</v>
      </c>
      <c r="B1839" t="s">
        <v>14</v>
      </c>
      <c r="C1839" t="s">
        <v>10</v>
      </c>
      <c r="D1839" s="3">
        <v>195.33749999999998</v>
      </c>
      <c r="E1839" s="3">
        <v>0</v>
      </c>
      <c r="F1839" t="s">
        <v>45</v>
      </c>
      <c r="G1839" s="3">
        <f t="shared" si="212"/>
        <v>-195.33749999999998</v>
      </c>
      <c r="H1839" s="3">
        <f t="shared" si="213"/>
        <v>195.33749999999998</v>
      </c>
      <c r="I1839" s="5" t="str">
        <f t="shared" si="214"/>
        <v>016</v>
      </c>
      <c r="J1839" s="5" t="str">
        <f t="shared" si="215"/>
        <v>2230</v>
      </c>
      <c r="K1839" s="5" t="str">
        <f t="shared" si="216"/>
        <v>000</v>
      </c>
      <c r="L1839" s="5">
        <f t="shared" si="217"/>
        <v>4</v>
      </c>
      <c r="M1839" s="5">
        <f t="shared" si="218"/>
        <v>2012</v>
      </c>
    </row>
    <row r="1840" spans="1:13" ht="17.45" customHeight="1" x14ac:dyDescent="0.25">
      <c r="A1840" s="1">
        <f>DATE(2012,4,6)</f>
        <v>41005</v>
      </c>
      <c r="B1840" t="s">
        <v>11</v>
      </c>
      <c r="C1840" t="s">
        <v>6</v>
      </c>
      <c r="D1840" s="3">
        <v>8387.2578999999987</v>
      </c>
      <c r="E1840" s="3">
        <v>0</v>
      </c>
      <c r="F1840" t="s">
        <v>45</v>
      </c>
      <c r="G1840" s="3">
        <f t="shared" si="212"/>
        <v>-8387.2578999999987</v>
      </c>
      <c r="H1840" s="3">
        <f t="shared" si="213"/>
        <v>8387.2578999999987</v>
      </c>
      <c r="I1840" s="5" t="str">
        <f t="shared" si="214"/>
        <v>016</v>
      </c>
      <c r="J1840" s="5" t="str">
        <f t="shared" si="215"/>
        <v>2100</v>
      </c>
      <c r="K1840" s="5" t="str">
        <f t="shared" si="216"/>
        <v>000</v>
      </c>
      <c r="L1840" s="5">
        <f t="shared" si="217"/>
        <v>4</v>
      </c>
      <c r="M1840" s="5">
        <f t="shared" si="218"/>
        <v>2012</v>
      </c>
    </row>
    <row r="1841" spans="1:13" ht="17.45" customHeight="1" x14ac:dyDescent="0.25">
      <c r="A1841" s="1">
        <f>DATE(2012,4,6)</f>
        <v>41005</v>
      </c>
      <c r="B1841" t="s">
        <v>12</v>
      </c>
      <c r="C1841" t="s">
        <v>8</v>
      </c>
      <c r="D1841" s="3">
        <v>2165.5280000000002</v>
      </c>
      <c r="E1841" s="3">
        <v>0</v>
      </c>
      <c r="F1841" t="s">
        <v>45</v>
      </c>
      <c r="G1841" s="3">
        <f t="shared" si="212"/>
        <v>-2165.5280000000002</v>
      </c>
      <c r="H1841" s="3">
        <f t="shared" si="213"/>
        <v>2165.5280000000002</v>
      </c>
      <c r="I1841" s="5" t="str">
        <f t="shared" si="214"/>
        <v>016</v>
      </c>
      <c r="J1841" s="5" t="str">
        <f t="shared" si="215"/>
        <v>2210</v>
      </c>
      <c r="K1841" s="5" t="str">
        <f t="shared" si="216"/>
        <v>000</v>
      </c>
      <c r="L1841" s="5">
        <f t="shared" si="217"/>
        <v>4</v>
      </c>
      <c r="M1841" s="5">
        <f t="shared" si="218"/>
        <v>2012</v>
      </c>
    </row>
    <row r="1842" spans="1:13" ht="17.45" customHeight="1" x14ac:dyDescent="0.25">
      <c r="A1842" s="1">
        <f>DATE(2012,4,6)</f>
        <v>41005</v>
      </c>
      <c r="B1842" t="s">
        <v>13</v>
      </c>
      <c r="C1842" t="s">
        <v>9</v>
      </c>
      <c r="D1842" s="3">
        <v>409.54499999999996</v>
      </c>
      <c r="E1842" s="3">
        <v>0</v>
      </c>
      <c r="F1842" t="s">
        <v>45</v>
      </c>
      <c r="G1842" s="3">
        <f t="shared" si="212"/>
        <v>-409.54499999999996</v>
      </c>
      <c r="H1842" s="3">
        <f t="shared" si="213"/>
        <v>409.54499999999996</v>
      </c>
      <c r="I1842" s="5" t="str">
        <f t="shared" si="214"/>
        <v>016</v>
      </c>
      <c r="J1842" s="5" t="str">
        <f t="shared" si="215"/>
        <v>2220</v>
      </c>
      <c r="K1842" s="5" t="str">
        <f t="shared" si="216"/>
        <v>000</v>
      </c>
      <c r="L1842" s="5">
        <f t="shared" si="217"/>
        <v>4</v>
      </c>
      <c r="M1842" s="5">
        <f t="shared" si="218"/>
        <v>2012</v>
      </c>
    </row>
    <row r="1843" spans="1:13" ht="17.45" customHeight="1" x14ac:dyDescent="0.25">
      <c r="A1843" s="1">
        <f>DATE(2012,4,6)</f>
        <v>41005</v>
      </c>
      <c r="B1843" t="s">
        <v>14</v>
      </c>
      <c r="C1843" t="s">
        <v>10</v>
      </c>
      <c r="D1843" s="3">
        <v>265.95350000000002</v>
      </c>
      <c r="E1843" s="3">
        <v>0</v>
      </c>
      <c r="F1843" t="s">
        <v>45</v>
      </c>
      <c r="G1843" s="3">
        <f t="shared" si="212"/>
        <v>-265.95350000000002</v>
      </c>
      <c r="H1843" s="3">
        <f t="shared" si="213"/>
        <v>265.95350000000002</v>
      </c>
      <c r="I1843" s="5" t="str">
        <f t="shared" si="214"/>
        <v>016</v>
      </c>
      <c r="J1843" s="5" t="str">
        <f t="shared" si="215"/>
        <v>2230</v>
      </c>
      <c r="K1843" s="5" t="str">
        <f t="shared" si="216"/>
        <v>000</v>
      </c>
      <c r="L1843" s="5">
        <f t="shared" si="217"/>
        <v>4</v>
      </c>
      <c r="M1843" s="5">
        <f t="shared" si="218"/>
        <v>2012</v>
      </c>
    </row>
    <row r="1844" spans="1:13" ht="17.45" customHeight="1" x14ac:dyDescent="0.25">
      <c r="A1844" s="1">
        <f t="shared" ref="A1844:A1847" si="221">DATE(2012,4,7)</f>
        <v>41006</v>
      </c>
      <c r="B1844" t="s">
        <v>11</v>
      </c>
      <c r="C1844" t="s">
        <v>6</v>
      </c>
      <c r="D1844" s="3">
        <v>7213.5288</v>
      </c>
      <c r="E1844" s="3">
        <v>0</v>
      </c>
      <c r="F1844" t="s">
        <v>45</v>
      </c>
      <c r="G1844" s="3">
        <f t="shared" si="212"/>
        <v>-7213.5288</v>
      </c>
      <c r="H1844" s="3">
        <f t="shared" si="213"/>
        <v>7213.5288</v>
      </c>
      <c r="I1844" s="5" t="str">
        <f t="shared" si="214"/>
        <v>016</v>
      </c>
      <c r="J1844" s="5" t="str">
        <f t="shared" si="215"/>
        <v>2100</v>
      </c>
      <c r="K1844" s="5" t="str">
        <f t="shared" si="216"/>
        <v>000</v>
      </c>
      <c r="L1844" s="5">
        <f t="shared" si="217"/>
        <v>4</v>
      </c>
      <c r="M1844" s="5">
        <f t="shared" si="218"/>
        <v>2012</v>
      </c>
    </row>
    <row r="1845" spans="1:13" ht="17.45" customHeight="1" x14ac:dyDescent="0.25">
      <c r="A1845" s="1">
        <f t="shared" si="221"/>
        <v>41006</v>
      </c>
      <c r="B1845" t="s">
        <v>12</v>
      </c>
      <c r="C1845" t="s">
        <v>8</v>
      </c>
      <c r="D1845" s="3">
        <v>1700.0775000000003</v>
      </c>
      <c r="E1845" s="3">
        <v>0</v>
      </c>
      <c r="F1845" t="s">
        <v>45</v>
      </c>
      <c r="G1845" s="3">
        <f t="shared" si="212"/>
        <v>-1700.0775000000003</v>
      </c>
      <c r="H1845" s="3">
        <f t="shared" si="213"/>
        <v>1700.0775000000003</v>
      </c>
      <c r="I1845" s="5" t="str">
        <f t="shared" si="214"/>
        <v>016</v>
      </c>
      <c r="J1845" s="5" t="str">
        <f t="shared" si="215"/>
        <v>2210</v>
      </c>
      <c r="K1845" s="5" t="str">
        <f t="shared" si="216"/>
        <v>000</v>
      </c>
      <c r="L1845" s="5">
        <f t="shared" si="217"/>
        <v>4</v>
      </c>
      <c r="M1845" s="5">
        <f t="shared" si="218"/>
        <v>2012</v>
      </c>
    </row>
    <row r="1846" spans="1:13" ht="17.45" customHeight="1" x14ac:dyDescent="0.25">
      <c r="A1846" s="1">
        <f t="shared" si="221"/>
        <v>41006</v>
      </c>
      <c r="B1846" t="s">
        <v>13</v>
      </c>
      <c r="C1846" t="s">
        <v>9</v>
      </c>
      <c r="D1846" s="3">
        <v>396.28349999999995</v>
      </c>
      <c r="E1846" s="3">
        <v>0</v>
      </c>
      <c r="F1846" t="s">
        <v>45</v>
      </c>
      <c r="G1846" s="3">
        <f t="shared" si="212"/>
        <v>-396.28349999999995</v>
      </c>
      <c r="H1846" s="3">
        <f t="shared" si="213"/>
        <v>396.28349999999995</v>
      </c>
      <c r="I1846" s="5" t="str">
        <f t="shared" si="214"/>
        <v>016</v>
      </c>
      <c r="J1846" s="5" t="str">
        <f t="shared" si="215"/>
        <v>2220</v>
      </c>
      <c r="K1846" s="5" t="str">
        <f t="shared" si="216"/>
        <v>000</v>
      </c>
      <c r="L1846" s="5">
        <f t="shared" si="217"/>
        <v>4</v>
      </c>
      <c r="M1846" s="5">
        <f t="shared" si="218"/>
        <v>2012</v>
      </c>
    </row>
    <row r="1847" spans="1:13" ht="17.45" customHeight="1" x14ac:dyDescent="0.25">
      <c r="A1847" s="1">
        <f t="shared" si="221"/>
        <v>41006</v>
      </c>
      <c r="B1847" t="s">
        <v>14</v>
      </c>
      <c r="C1847" t="s">
        <v>10</v>
      </c>
      <c r="D1847" s="3">
        <v>340.4325</v>
      </c>
      <c r="E1847" s="3">
        <v>0</v>
      </c>
      <c r="F1847" t="s">
        <v>45</v>
      </c>
      <c r="G1847" s="3">
        <f t="shared" si="212"/>
        <v>-340.4325</v>
      </c>
      <c r="H1847" s="3">
        <f t="shared" si="213"/>
        <v>340.4325</v>
      </c>
      <c r="I1847" s="5" t="str">
        <f t="shared" si="214"/>
        <v>016</v>
      </c>
      <c r="J1847" s="5" t="str">
        <f t="shared" si="215"/>
        <v>2230</v>
      </c>
      <c r="K1847" s="5" t="str">
        <f t="shared" si="216"/>
        <v>000</v>
      </c>
      <c r="L1847" s="5">
        <f t="shared" si="217"/>
        <v>4</v>
      </c>
      <c r="M1847" s="5">
        <f t="shared" si="218"/>
        <v>2012</v>
      </c>
    </row>
    <row r="1848" spans="1:13" ht="17.45" customHeight="1" x14ac:dyDescent="0.25">
      <c r="A1848" s="1">
        <f>DATE(2012,4,8)</f>
        <v>41007</v>
      </c>
      <c r="B1848" t="s">
        <v>11</v>
      </c>
      <c r="C1848" t="s">
        <v>6</v>
      </c>
      <c r="D1848" s="3">
        <v>4931.1062000000002</v>
      </c>
      <c r="E1848" s="3">
        <v>0</v>
      </c>
      <c r="F1848" t="s">
        <v>45</v>
      </c>
      <c r="G1848" s="3">
        <f t="shared" si="212"/>
        <v>-4931.1062000000002</v>
      </c>
      <c r="H1848" s="3">
        <f t="shared" si="213"/>
        <v>4931.1062000000002</v>
      </c>
      <c r="I1848" s="5" t="str">
        <f t="shared" si="214"/>
        <v>016</v>
      </c>
      <c r="J1848" s="5" t="str">
        <f t="shared" si="215"/>
        <v>2100</v>
      </c>
      <c r="K1848" s="5" t="str">
        <f t="shared" si="216"/>
        <v>000</v>
      </c>
      <c r="L1848" s="5">
        <f t="shared" si="217"/>
        <v>4</v>
      </c>
      <c r="M1848" s="5">
        <f t="shared" si="218"/>
        <v>2012</v>
      </c>
    </row>
    <row r="1849" spans="1:13" ht="17.45" customHeight="1" x14ac:dyDescent="0.25">
      <c r="A1849" s="1">
        <f>DATE(2012,4,8)</f>
        <v>41007</v>
      </c>
      <c r="B1849" t="s">
        <v>12</v>
      </c>
      <c r="C1849" t="s">
        <v>8</v>
      </c>
      <c r="D1849" s="3">
        <v>650.57529999999997</v>
      </c>
      <c r="E1849" s="3">
        <v>0</v>
      </c>
      <c r="F1849" t="s">
        <v>45</v>
      </c>
      <c r="G1849" s="3">
        <f t="shared" si="212"/>
        <v>-650.57529999999997</v>
      </c>
      <c r="H1849" s="3">
        <f t="shared" si="213"/>
        <v>650.57529999999997</v>
      </c>
      <c r="I1849" s="5" t="str">
        <f t="shared" si="214"/>
        <v>016</v>
      </c>
      <c r="J1849" s="5" t="str">
        <f t="shared" si="215"/>
        <v>2210</v>
      </c>
      <c r="K1849" s="5" t="str">
        <f t="shared" si="216"/>
        <v>000</v>
      </c>
      <c r="L1849" s="5">
        <f t="shared" si="217"/>
        <v>4</v>
      </c>
      <c r="M1849" s="5">
        <f t="shared" si="218"/>
        <v>2012</v>
      </c>
    </row>
    <row r="1850" spans="1:13" ht="17.45" customHeight="1" x14ac:dyDescent="0.25">
      <c r="A1850" s="1">
        <f>DATE(2012,4,8)</f>
        <v>41007</v>
      </c>
      <c r="B1850" t="s">
        <v>13</v>
      </c>
      <c r="C1850" t="s">
        <v>9</v>
      </c>
      <c r="D1850" s="3">
        <v>153.1584</v>
      </c>
      <c r="E1850" s="3">
        <v>0</v>
      </c>
      <c r="F1850" t="s">
        <v>45</v>
      </c>
      <c r="G1850" s="3">
        <f t="shared" si="212"/>
        <v>-153.1584</v>
      </c>
      <c r="H1850" s="3">
        <f t="shared" si="213"/>
        <v>153.1584</v>
      </c>
      <c r="I1850" s="5" t="str">
        <f t="shared" si="214"/>
        <v>016</v>
      </c>
      <c r="J1850" s="5" t="str">
        <f t="shared" si="215"/>
        <v>2220</v>
      </c>
      <c r="K1850" s="5" t="str">
        <f t="shared" si="216"/>
        <v>000</v>
      </c>
      <c r="L1850" s="5">
        <f t="shared" si="217"/>
        <v>4</v>
      </c>
      <c r="M1850" s="5">
        <f t="shared" si="218"/>
        <v>2012</v>
      </c>
    </row>
    <row r="1851" spans="1:13" ht="17.45" customHeight="1" x14ac:dyDescent="0.25">
      <c r="A1851" s="1">
        <f>DATE(2012,4,8)</f>
        <v>41007</v>
      </c>
      <c r="B1851" t="s">
        <v>14</v>
      </c>
      <c r="C1851" t="s">
        <v>10</v>
      </c>
      <c r="D1851" s="3">
        <v>65.578500000000005</v>
      </c>
      <c r="E1851" s="3">
        <v>0</v>
      </c>
      <c r="F1851" t="s">
        <v>45</v>
      </c>
      <c r="G1851" s="3">
        <f t="shared" si="212"/>
        <v>-65.578500000000005</v>
      </c>
      <c r="H1851" s="3">
        <f t="shared" si="213"/>
        <v>65.578500000000005</v>
      </c>
      <c r="I1851" s="5" t="str">
        <f t="shared" si="214"/>
        <v>016</v>
      </c>
      <c r="J1851" s="5" t="str">
        <f t="shared" si="215"/>
        <v>2230</v>
      </c>
      <c r="K1851" s="5" t="str">
        <f t="shared" si="216"/>
        <v>000</v>
      </c>
      <c r="L1851" s="5">
        <f t="shared" si="217"/>
        <v>4</v>
      </c>
      <c r="M1851" s="5">
        <f t="shared" si="218"/>
        <v>2012</v>
      </c>
    </row>
    <row r="1852" spans="1:13" ht="17.45" customHeight="1" x14ac:dyDescent="0.25">
      <c r="A1852" s="1">
        <f>DATE(2012,4,2)</f>
        <v>41001</v>
      </c>
      <c r="B1852" t="s">
        <v>15</v>
      </c>
      <c r="C1852" t="s">
        <v>6</v>
      </c>
      <c r="D1852" s="3">
        <v>4205.2945</v>
      </c>
      <c r="E1852" s="3">
        <v>0</v>
      </c>
      <c r="F1852" t="s">
        <v>45</v>
      </c>
      <c r="G1852" s="3">
        <f t="shared" si="212"/>
        <v>-4205.2945</v>
      </c>
      <c r="H1852" s="3">
        <f t="shared" si="213"/>
        <v>4205.2945</v>
      </c>
      <c r="I1852" s="5" t="str">
        <f t="shared" si="214"/>
        <v>017</v>
      </c>
      <c r="J1852" s="5" t="str">
        <f t="shared" si="215"/>
        <v>2100</v>
      </c>
      <c r="K1852" s="5" t="str">
        <f t="shared" si="216"/>
        <v>000</v>
      </c>
      <c r="L1852" s="5">
        <f t="shared" si="217"/>
        <v>4</v>
      </c>
      <c r="M1852" s="5">
        <f t="shared" si="218"/>
        <v>2012</v>
      </c>
    </row>
    <row r="1853" spans="1:13" ht="17.45" customHeight="1" x14ac:dyDescent="0.25">
      <c r="A1853" s="1">
        <f>DATE(2012,4,2)</f>
        <v>41001</v>
      </c>
      <c r="B1853" t="s">
        <v>16</v>
      </c>
      <c r="C1853" t="s">
        <v>8</v>
      </c>
      <c r="D1853" s="3">
        <v>977.95749999999998</v>
      </c>
      <c r="E1853" s="3">
        <v>0</v>
      </c>
      <c r="F1853" t="s">
        <v>45</v>
      </c>
      <c r="G1853" s="3">
        <f t="shared" si="212"/>
        <v>-977.95749999999998</v>
      </c>
      <c r="H1853" s="3">
        <f t="shared" si="213"/>
        <v>977.95749999999998</v>
      </c>
      <c r="I1853" s="5" t="str">
        <f t="shared" si="214"/>
        <v>017</v>
      </c>
      <c r="J1853" s="5" t="str">
        <f t="shared" si="215"/>
        <v>2210</v>
      </c>
      <c r="K1853" s="5" t="str">
        <f t="shared" si="216"/>
        <v>000</v>
      </c>
      <c r="L1853" s="5">
        <f t="shared" si="217"/>
        <v>4</v>
      </c>
      <c r="M1853" s="5">
        <f t="shared" si="218"/>
        <v>2012</v>
      </c>
    </row>
    <row r="1854" spans="1:13" ht="17.45" customHeight="1" x14ac:dyDescent="0.25">
      <c r="A1854" s="1">
        <f>DATE(2012,4,2)</f>
        <v>41001</v>
      </c>
      <c r="B1854" t="s">
        <v>17</v>
      </c>
      <c r="C1854" t="s">
        <v>9</v>
      </c>
      <c r="D1854" s="3">
        <v>359.7475</v>
      </c>
      <c r="E1854" s="3">
        <v>0</v>
      </c>
      <c r="F1854" t="s">
        <v>45</v>
      </c>
      <c r="G1854" s="3">
        <f t="shared" si="212"/>
        <v>-359.7475</v>
      </c>
      <c r="H1854" s="3">
        <f t="shared" si="213"/>
        <v>359.7475</v>
      </c>
      <c r="I1854" s="5" t="str">
        <f t="shared" si="214"/>
        <v>017</v>
      </c>
      <c r="J1854" s="5" t="str">
        <f t="shared" si="215"/>
        <v>2220</v>
      </c>
      <c r="K1854" s="5" t="str">
        <f t="shared" si="216"/>
        <v>000</v>
      </c>
      <c r="L1854" s="5">
        <f t="shared" si="217"/>
        <v>4</v>
      </c>
      <c r="M1854" s="5">
        <f t="shared" si="218"/>
        <v>2012</v>
      </c>
    </row>
    <row r="1855" spans="1:13" ht="17.45" customHeight="1" x14ac:dyDescent="0.25">
      <c r="A1855" s="1">
        <f>DATE(2012,4,2)</f>
        <v>41001</v>
      </c>
      <c r="B1855" t="s">
        <v>18</v>
      </c>
      <c r="C1855" t="s">
        <v>10</v>
      </c>
      <c r="D1855" s="3">
        <v>78.78</v>
      </c>
      <c r="E1855" s="3">
        <v>0</v>
      </c>
      <c r="F1855" t="s">
        <v>45</v>
      </c>
      <c r="G1855" s="3">
        <f t="shared" si="212"/>
        <v>-78.78</v>
      </c>
      <c r="H1855" s="3">
        <f t="shared" si="213"/>
        <v>78.78</v>
      </c>
      <c r="I1855" s="5" t="str">
        <f t="shared" si="214"/>
        <v>017</v>
      </c>
      <c r="J1855" s="5" t="str">
        <f t="shared" si="215"/>
        <v>2230</v>
      </c>
      <c r="K1855" s="5" t="str">
        <f t="shared" si="216"/>
        <v>000</v>
      </c>
      <c r="L1855" s="5">
        <f t="shared" si="217"/>
        <v>4</v>
      </c>
      <c r="M1855" s="5">
        <f t="shared" si="218"/>
        <v>2012</v>
      </c>
    </row>
    <row r="1856" spans="1:13" ht="17.45" customHeight="1" x14ac:dyDescent="0.25">
      <c r="A1856" s="1">
        <f>DATE(2012,4,3)</f>
        <v>41002</v>
      </c>
      <c r="B1856" t="s">
        <v>15</v>
      </c>
      <c r="C1856" t="s">
        <v>6</v>
      </c>
      <c r="D1856" s="3">
        <v>6671.25</v>
      </c>
      <c r="E1856" s="3">
        <v>0</v>
      </c>
      <c r="F1856" t="s">
        <v>45</v>
      </c>
      <c r="G1856" s="3">
        <f t="shared" si="212"/>
        <v>-6671.25</v>
      </c>
      <c r="H1856" s="3">
        <f t="shared" si="213"/>
        <v>6671.25</v>
      </c>
      <c r="I1856" s="5" t="str">
        <f t="shared" si="214"/>
        <v>017</v>
      </c>
      <c r="J1856" s="5" t="str">
        <f t="shared" si="215"/>
        <v>2100</v>
      </c>
      <c r="K1856" s="5" t="str">
        <f t="shared" si="216"/>
        <v>000</v>
      </c>
      <c r="L1856" s="5">
        <f t="shared" si="217"/>
        <v>4</v>
      </c>
      <c r="M1856" s="5">
        <f t="shared" si="218"/>
        <v>2012</v>
      </c>
    </row>
    <row r="1857" spans="1:13" ht="17.45" customHeight="1" x14ac:dyDescent="0.25">
      <c r="A1857" s="1">
        <f>DATE(2012,4,3)</f>
        <v>41002</v>
      </c>
      <c r="B1857" t="s">
        <v>16</v>
      </c>
      <c r="C1857" t="s">
        <v>8</v>
      </c>
      <c r="D1857" s="3">
        <v>1590.183</v>
      </c>
      <c r="E1857" s="3">
        <v>0</v>
      </c>
      <c r="F1857" t="s">
        <v>45</v>
      </c>
      <c r="G1857" s="3">
        <f t="shared" si="212"/>
        <v>-1590.183</v>
      </c>
      <c r="H1857" s="3">
        <f t="shared" si="213"/>
        <v>1590.183</v>
      </c>
      <c r="I1857" s="5" t="str">
        <f t="shared" si="214"/>
        <v>017</v>
      </c>
      <c r="J1857" s="5" t="str">
        <f t="shared" si="215"/>
        <v>2210</v>
      </c>
      <c r="K1857" s="5" t="str">
        <f t="shared" si="216"/>
        <v>000</v>
      </c>
      <c r="L1857" s="5">
        <f t="shared" si="217"/>
        <v>4</v>
      </c>
      <c r="M1857" s="5">
        <f t="shared" si="218"/>
        <v>2012</v>
      </c>
    </row>
    <row r="1858" spans="1:13" ht="17.45" customHeight="1" x14ac:dyDescent="0.25">
      <c r="A1858" s="1">
        <f>DATE(2012,4,3)</f>
        <v>41002</v>
      </c>
      <c r="B1858" t="s">
        <v>17</v>
      </c>
      <c r="C1858" t="s">
        <v>9</v>
      </c>
      <c r="D1858" s="3">
        <v>384.94499999999999</v>
      </c>
      <c r="E1858" s="3">
        <v>0</v>
      </c>
      <c r="F1858" t="s">
        <v>45</v>
      </c>
      <c r="G1858" s="3">
        <f t="shared" ref="G1858:G1921" si="222">E1858-D1858</f>
        <v>-384.94499999999999</v>
      </c>
      <c r="H1858" s="3">
        <f t="shared" ref="H1858:H1921" si="223">ABS(G1858)</f>
        <v>384.94499999999999</v>
      </c>
      <c r="I1858" s="5" t="str">
        <f t="shared" ref="I1858:I1921" si="224">MID(B1858,1,3)</f>
        <v>017</v>
      </c>
      <c r="J1858" s="5" t="str">
        <f t="shared" ref="J1858:J1921" si="225">MID(B1858,5,4)</f>
        <v>2220</v>
      </c>
      <c r="K1858" s="5" t="str">
        <f t="shared" ref="K1858:K1921" si="226">MID(B1858,10,3)</f>
        <v>000</v>
      </c>
      <c r="L1858" s="5">
        <f t="shared" ref="L1858:L1921" si="227">MONTH(A1858)</f>
        <v>4</v>
      </c>
      <c r="M1858" s="5">
        <f t="shared" ref="M1858:M1921" si="228">YEAR(A1858)</f>
        <v>2012</v>
      </c>
    </row>
    <row r="1859" spans="1:13" ht="17.45" customHeight="1" x14ac:dyDescent="0.25">
      <c r="A1859" s="1">
        <f>DATE(2012,4,3)</f>
        <v>41002</v>
      </c>
      <c r="B1859" t="s">
        <v>18</v>
      </c>
      <c r="C1859" t="s">
        <v>10</v>
      </c>
      <c r="D1859" s="3">
        <v>63.896000000000001</v>
      </c>
      <c r="E1859" s="3">
        <v>0</v>
      </c>
      <c r="F1859" t="s">
        <v>45</v>
      </c>
      <c r="G1859" s="3">
        <f t="shared" si="222"/>
        <v>-63.896000000000001</v>
      </c>
      <c r="H1859" s="3">
        <f t="shared" si="223"/>
        <v>63.896000000000001</v>
      </c>
      <c r="I1859" s="5" t="str">
        <f t="shared" si="224"/>
        <v>017</v>
      </c>
      <c r="J1859" s="5" t="str">
        <f t="shared" si="225"/>
        <v>2230</v>
      </c>
      <c r="K1859" s="5" t="str">
        <f t="shared" si="226"/>
        <v>000</v>
      </c>
      <c r="L1859" s="5">
        <f t="shared" si="227"/>
        <v>4</v>
      </c>
      <c r="M1859" s="5">
        <f t="shared" si="228"/>
        <v>2012</v>
      </c>
    </row>
    <row r="1860" spans="1:13" ht="17.45" customHeight="1" x14ac:dyDescent="0.25">
      <c r="A1860" s="1">
        <f>DATE(2012,4,4)</f>
        <v>41003</v>
      </c>
      <c r="B1860" t="s">
        <v>15</v>
      </c>
      <c r="C1860" t="s">
        <v>6</v>
      </c>
      <c r="D1860" s="3">
        <v>3881.0989999999997</v>
      </c>
      <c r="E1860" s="3">
        <v>0</v>
      </c>
      <c r="F1860" t="s">
        <v>45</v>
      </c>
      <c r="G1860" s="3">
        <f t="shared" si="222"/>
        <v>-3881.0989999999997</v>
      </c>
      <c r="H1860" s="3">
        <f t="shared" si="223"/>
        <v>3881.0989999999997</v>
      </c>
      <c r="I1860" s="5" t="str">
        <f t="shared" si="224"/>
        <v>017</v>
      </c>
      <c r="J1860" s="5" t="str">
        <f t="shared" si="225"/>
        <v>2100</v>
      </c>
      <c r="K1860" s="5" t="str">
        <f t="shared" si="226"/>
        <v>000</v>
      </c>
      <c r="L1860" s="5">
        <f t="shared" si="227"/>
        <v>4</v>
      </c>
      <c r="M1860" s="5">
        <f t="shared" si="228"/>
        <v>2012</v>
      </c>
    </row>
    <row r="1861" spans="1:13" ht="17.45" customHeight="1" x14ac:dyDescent="0.25">
      <c r="A1861" s="1">
        <f>DATE(2012,4,4)</f>
        <v>41003</v>
      </c>
      <c r="B1861" t="s">
        <v>16</v>
      </c>
      <c r="C1861" t="s">
        <v>8</v>
      </c>
      <c r="D1861" s="3">
        <v>1368.4649999999999</v>
      </c>
      <c r="E1861" s="3">
        <v>0</v>
      </c>
      <c r="F1861" t="s">
        <v>45</v>
      </c>
      <c r="G1861" s="3">
        <f t="shared" si="222"/>
        <v>-1368.4649999999999</v>
      </c>
      <c r="H1861" s="3">
        <f t="shared" si="223"/>
        <v>1368.4649999999999</v>
      </c>
      <c r="I1861" s="5" t="str">
        <f t="shared" si="224"/>
        <v>017</v>
      </c>
      <c r="J1861" s="5" t="str">
        <f t="shared" si="225"/>
        <v>2210</v>
      </c>
      <c r="K1861" s="5" t="str">
        <f t="shared" si="226"/>
        <v>000</v>
      </c>
      <c r="L1861" s="5">
        <f t="shared" si="227"/>
        <v>4</v>
      </c>
      <c r="M1861" s="5">
        <f t="shared" si="228"/>
        <v>2012</v>
      </c>
    </row>
    <row r="1862" spans="1:13" ht="17.45" customHeight="1" x14ac:dyDescent="0.25">
      <c r="A1862" s="1">
        <f>DATE(2012,4,4)</f>
        <v>41003</v>
      </c>
      <c r="B1862" t="s">
        <v>17</v>
      </c>
      <c r="C1862" t="s">
        <v>9</v>
      </c>
      <c r="D1862" s="3">
        <v>349.44</v>
      </c>
      <c r="E1862" s="3">
        <v>0</v>
      </c>
      <c r="F1862" t="s">
        <v>45</v>
      </c>
      <c r="G1862" s="3">
        <f t="shared" si="222"/>
        <v>-349.44</v>
      </c>
      <c r="H1862" s="3">
        <f t="shared" si="223"/>
        <v>349.44</v>
      </c>
      <c r="I1862" s="5" t="str">
        <f t="shared" si="224"/>
        <v>017</v>
      </c>
      <c r="J1862" s="5" t="str">
        <f t="shared" si="225"/>
        <v>2220</v>
      </c>
      <c r="K1862" s="5" t="str">
        <f t="shared" si="226"/>
        <v>000</v>
      </c>
      <c r="L1862" s="5">
        <f t="shared" si="227"/>
        <v>4</v>
      </c>
      <c r="M1862" s="5">
        <f t="shared" si="228"/>
        <v>2012</v>
      </c>
    </row>
    <row r="1863" spans="1:13" ht="17.45" customHeight="1" x14ac:dyDescent="0.25">
      <c r="A1863" s="1">
        <f>DATE(2012,4,4)</f>
        <v>41003</v>
      </c>
      <c r="B1863" t="s">
        <v>18</v>
      </c>
      <c r="C1863" t="s">
        <v>10</v>
      </c>
      <c r="D1863" s="3">
        <v>91.245000000000005</v>
      </c>
      <c r="E1863" s="3">
        <v>0</v>
      </c>
      <c r="F1863" t="s">
        <v>45</v>
      </c>
      <c r="G1863" s="3">
        <f t="shared" si="222"/>
        <v>-91.245000000000005</v>
      </c>
      <c r="H1863" s="3">
        <f t="shared" si="223"/>
        <v>91.245000000000005</v>
      </c>
      <c r="I1863" s="5" t="str">
        <f t="shared" si="224"/>
        <v>017</v>
      </c>
      <c r="J1863" s="5" t="str">
        <f t="shared" si="225"/>
        <v>2230</v>
      </c>
      <c r="K1863" s="5" t="str">
        <f t="shared" si="226"/>
        <v>000</v>
      </c>
      <c r="L1863" s="5">
        <f t="shared" si="227"/>
        <v>4</v>
      </c>
      <c r="M1863" s="5">
        <f t="shared" si="228"/>
        <v>2012</v>
      </c>
    </row>
    <row r="1864" spans="1:13" ht="17.45" customHeight="1" x14ac:dyDescent="0.25">
      <c r="A1864" s="1">
        <f>DATE(2012,4,5)</f>
        <v>41004</v>
      </c>
      <c r="B1864" t="s">
        <v>15</v>
      </c>
      <c r="C1864" t="s">
        <v>6</v>
      </c>
      <c r="D1864" s="3">
        <v>7256.0334999999995</v>
      </c>
      <c r="E1864" s="3">
        <v>0</v>
      </c>
      <c r="F1864" t="s">
        <v>45</v>
      </c>
      <c r="G1864" s="3">
        <f t="shared" si="222"/>
        <v>-7256.0334999999995</v>
      </c>
      <c r="H1864" s="3">
        <f t="shared" si="223"/>
        <v>7256.0334999999995</v>
      </c>
      <c r="I1864" s="5" t="str">
        <f t="shared" si="224"/>
        <v>017</v>
      </c>
      <c r="J1864" s="5" t="str">
        <f t="shared" si="225"/>
        <v>2100</v>
      </c>
      <c r="K1864" s="5" t="str">
        <f t="shared" si="226"/>
        <v>000</v>
      </c>
      <c r="L1864" s="5">
        <f t="shared" si="227"/>
        <v>4</v>
      </c>
      <c r="M1864" s="5">
        <f t="shared" si="228"/>
        <v>2012</v>
      </c>
    </row>
    <row r="1865" spans="1:13" ht="17.45" customHeight="1" x14ac:dyDescent="0.25">
      <c r="A1865" s="1">
        <f>DATE(2012,4,5)</f>
        <v>41004</v>
      </c>
      <c r="B1865" t="s">
        <v>16</v>
      </c>
      <c r="C1865" t="s">
        <v>8</v>
      </c>
      <c r="D1865" s="3">
        <v>1956.99</v>
      </c>
      <c r="E1865" s="3">
        <v>0</v>
      </c>
      <c r="F1865" t="s">
        <v>45</v>
      </c>
      <c r="G1865" s="3">
        <f t="shared" si="222"/>
        <v>-1956.99</v>
      </c>
      <c r="H1865" s="3">
        <f t="shared" si="223"/>
        <v>1956.99</v>
      </c>
      <c r="I1865" s="5" t="str">
        <f t="shared" si="224"/>
        <v>017</v>
      </c>
      <c r="J1865" s="5" t="str">
        <f t="shared" si="225"/>
        <v>2210</v>
      </c>
      <c r="K1865" s="5" t="str">
        <f t="shared" si="226"/>
        <v>000</v>
      </c>
      <c r="L1865" s="5">
        <f t="shared" si="227"/>
        <v>4</v>
      </c>
      <c r="M1865" s="5">
        <f t="shared" si="228"/>
        <v>2012</v>
      </c>
    </row>
    <row r="1866" spans="1:13" ht="17.45" customHeight="1" x14ac:dyDescent="0.25">
      <c r="A1866" s="1">
        <f>DATE(2012,4,5)</f>
        <v>41004</v>
      </c>
      <c r="B1866" t="s">
        <v>17</v>
      </c>
      <c r="C1866" t="s">
        <v>9</v>
      </c>
      <c r="D1866" s="3">
        <v>254.745</v>
      </c>
      <c r="E1866" s="3">
        <v>0</v>
      </c>
      <c r="F1866" t="s">
        <v>45</v>
      </c>
      <c r="G1866" s="3">
        <f t="shared" si="222"/>
        <v>-254.745</v>
      </c>
      <c r="H1866" s="3">
        <f t="shared" si="223"/>
        <v>254.745</v>
      </c>
      <c r="I1866" s="5" t="str">
        <f t="shared" si="224"/>
        <v>017</v>
      </c>
      <c r="J1866" s="5" t="str">
        <f t="shared" si="225"/>
        <v>2220</v>
      </c>
      <c r="K1866" s="5" t="str">
        <f t="shared" si="226"/>
        <v>000</v>
      </c>
      <c r="L1866" s="5">
        <f t="shared" si="227"/>
        <v>4</v>
      </c>
      <c r="M1866" s="5">
        <f t="shared" si="228"/>
        <v>2012</v>
      </c>
    </row>
    <row r="1867" spans="1:13" ht="17.45" customHeight="1" x14ac:dyDescent="0.25">
      <c r="A1867" s="1">
        <f>DATE(2012,4,5)</f>
        <v>41004</v>
      </c>
      <c r="B1867" t="s">
        <v>18</v>
      </c>
      <c r="C1867" t="s">
        <v>10</v>
      </c>
      <c r="D1867" s="3">
        <v>146.1215</v>
      </c>
      <c r="E1867" s="3">
        <v>0</v>
      </c>
      <c r="F1867" t="s">
        <v>45</v>
      </c>
      <c r="G1867" s="3">
        <f t="shared" si="222"/>
        <v>-146.1215</v>
      </c>
      <c r="H1867" s="3">
        <f t="shared" si="223"/>
        <v>146.1215</v>
      </c>
      <c r="I1867" s="5" t="str">
        <f t="shared" si="224"/>
        <v>017</v>
      </c>
      <c r="J1867" s="5" t="str">
        <f t="shared" si="225"/>
        <v>2230</v>
      </c>
      <c r="K1867" s="5" t="str">
        <f t="shared" si="226"/>
        <v>000</v>
      </c>
      <c r="L1867" s="5">
        <f t="shared" si="227"/>
        <v>4</v>
      </c>
      <c r="M1867" s="5">
        <f t="shared" si="228"/>
        <v>2012</v>
      </c>
    </row>
    <row r="1868" spans="1:13" ht="17.45" customHeight="1" x14ac:dyDescent="0.25">
      <c r="A1868" s="1">
        <f>DATE(2012,4,6)</f>
        <v>41005</v>
      </c>
      <c r="B1868" t="s">
        <v>15</v>
      </c>
      <c r="C1868" t="s">
        <v>6</v>
      </c>
      <c r="D1868" s="3">
        <v>5876.2079999999996</v>
      </c>
      <c r="E1868" s="3">
        <v>0</v>
      </c>
      <c r="F1868" t="s">
        <v>45</v>
      </c>
      <c r="G1868" s="3">
        <f t="shared" si="222"/>
        <v>-5876.2079999999996</v>
      </c>
      <c r="H1868" s="3">
        <f t="shared" si="223"/>
        <v>5876.2079999999996</v>
      </c>
      <c r="I1868" s="5" t="str">
        <f t="shared" si="224"/>
        <v>017</v>
      </c>
      <c r="J1868" s="5" t="str">
        <f t="shared" si="225"/>
        <v>2100</v>
      </c>
      <c r="K1868" s="5" t="str">
        <f t="shared" si="226"/>
        <v>000</v>
      </c>
      <c r="L1868" s="5">
        <f t="shared" si="227"/>
        <v>4</v>
      </c>
      <c r="M1868" s="5">
        <f t="shared" si="228"/>
        <v>2012</v>
      </c>
    </row>
    <row r="1869" spans="1:13" ht="17.45" customHeight="1" x14ac:dyDescent="0.25">
      <c r="A1869" s="1">
        <f>DATE(2012,4,6)</f>
        <v>41005</v>
      </c>
      <c r="B1869" t="s">
        <v>16</v>
      </c>
      <c r="C1869" t="s">
        <v>8</v>
      </c>
      <c r="D1869" s="3">
        <v>2512.9499999999998</v>
      </c>
      <c r="E1869" s="3">
        <v>0</v>
      </c>
      <c r="F1869" t="s">
        <v>45</v>
      </c>
      <c r="G1869" s="3">
        <f t="shared" si="222"/>
        <v>-2512.9499999999998</v>
      </c>
      <c r="H1869" s="3">
        <f t="shared" si="223"/>
        <v>2512.9499999999998</v>
      </c>
      <c r="I1869" s="5" t="str">
        <f t="shared" si="224"/>
        <v>017</v>
      </c>
      <c r="J1869" s="5" t="str">
        <f t="shared" si="225"/>
        <v>2210</v>
      </c>
      <c r="K1869" s="5" t="str">
        <f t="shared" si="226"/>
        <v>000</v>
      </c>
      <c r="L1869" s="5">
        <f t="shared" si="227"/>
        <v>4</v>
      </c>
      <c r="M1869" s="5">
        <f t="shared" si="228"/>
        <v>2012</v>
      </c>
    </row>
    <row r="1870" spans="1:13" ht="17.45" customHeight="1" x14ac:dyDescent="0.25">
      <c r="A1870" s="1">
        <f>DATE(2012,4,6)</f>
        <v>41005</v>
      </c>
      <c r="B1870" t="s">
        <v>17</v>
      </c>
      <c r="C1870" t="s">
        <v>9</v>
      </c>
      <c r="D1870" s="3">
        <v>509.96</v>
      </c>
      <c r="E1870" s="3">
        <v>0</v>
      </c>
      <c r="F1870" t="s">
        <v>45</v>
      </c>
      <c r="G1870" s="3">
        <f t="shared" si="222"/>
        <v>-509.96</v>
      </c>
      <c r="H1870" s="3">
        <f t="shared" si="223"/>
        <v>509.96</v>
      </c>
      <c r="I1870" s="5" t="str">
        <f t="shared" si="224"/>
        <v>017</v>
      </c>
      <c r="J1870" s="5" t="str">
        <f t="shared" si="225"/>
        <v>2220</v>
      </c>
      <c r="K1870" s="5" t="str">
        <f t="shared" si="226"/>
        <v>000</v>
      </c>
      <c r="L1870" s="5">
        <f t="shared" si="227"/>
        <v>4</v>
      </c>
      <c r="M1870" s="5">
        <f t="shared" si="228"/>
        <v>2012</v>
      </c>
    </row>
    <row r="1871" spans="1:13" ht="17.45" customHeight="1" x14ac:dyDescent="0.25">
      <c r="A1871" s="1">
        <f>DATE(2012,4,6)</f>
        <v>41005</v>
      </c>
      <c r="B1871" t="s">
        <v>18</v>
      </c>
      <c r="C1871" t="s">
        <v>10</v>
      </c>
      <c r="D1871" s="3">
        <v>92.105999999999995</v>
      </c>
      <c r="E1871" s="3">
        <v>0</v>
      </c>
      <c r="F1871" t="s">
        <v>45</v>
      </c>
      <c r="G1871" s="3">
        <f t="shared" si="222"/>
        <v>-92.105999999999995</v>
      </c>
      <c r="H1871" s="3">
        <f t="shared" si="223"/>
        <v>92.105999999999995</v>
      </c>
      <c r="I1871" s="5" t="str">
        <f t="shared" si="224"/>
        <v>017</v>
      </c>
      <c r="J1871" s="5" t="str">
        <f t="shared" si="225"/>
        <v>2230</v>
      </c>
      <c r="K1871" s="5" t="str">
        <f t="shared" si="226"/>
        <v>000</v>
      </c>
      <c r="L1871" s="5">
        <f t="shared" si="227"/>
        <v>4</v>
      </c>
      <c r="M1871" s="5">
        <f t="shared" si="228"/>
        <v>2012</v>
      </c>
    </row>
    <row r="1872" spans="1:13" ht="17.45" customHeight="1" x14ac:dyDescent="0.25">
      <c r="A1872" s="1">
        <f>DATE(2012,4,7)</f>
        <v>41006</v>
      </c>
      <c r="B1872" t="s">
        <v>15</v>
      </c>
      <c r="C1872" t="s">
        <v>6</v>
      </c>
      <c r="D1872" s="3">
        <v>7653.74</v>
      </c>
      <c r="E1872" s="3">
        <v>0</v>
      </c>
      <c r="F1872" t="s">
        <v>45</v>
      </c>
      <c r="G1872" s="3">
        <f t="shared" si="222"/>
        <v>-7653.74</v>
      </c>
      <c r="H1872" s="3">
        <f t="shared" si="223"/>
        <v>7653.74</v>
      </c>
      <c r="I1872" s="5" t="str">
        <f t="shared" si="224"/>
        <v>017</v>
      </c>
      <c r="J1872" s="5" t="str">
        <f t="shared" si="225"/>
        <v>2100</v>
      </c>
      <c r="K1872" s="5" t="str">
        <f t="shared" si="226"/>
        <v>000</v>
      </c>
      <c r="L1872" s="5">
        <f t="shared" si="227"/>
        <v>4</v>
      </c>
      <c r="M1872" s="5">
        <f t="shared" si="228"/>
        <v>2012</v>
      </c>
    </row>
    <row r="1873" spans="1:13" ht="17.45" customHeight="1" x14ac:dyDescent="0.25">
      <c r="A1873" s="1">
        <f>DATE(2012,4,7)</f>
        <v>41006</v>
      </c>
      <c r="B1873" t="s">
        <v>16</v>
      </c>
      <c r="C1873" t="s">
        <v>8</v>
      </c>
      <c r="D1873" s="3">
        <v>1664.25</v>
      </c>
      <c r="E1873" s="3">
        <v>0</v>
      </c>
      <c r="F1873" t="s">
        <v>45</v>
      </c>
      <c r="G1873" s="3">
        <f t="shared" si="222"/>
        <v>-1664.25</v>
      </c>
      <c r="H1873" s="3">
        <f t="shared" si="223"/>
        <v>1664.25</v>
      </c>
      <c r="I1873" s="5" t="str">
        <f t="shared" si="224"/>
        <v>017</v>
      </c>
      <c r="J1873" s="5" t="str">
        <f t="shared" si="225"/>
        <v>2210</v>
      </c>
      <c r="K1873" s="5" t="str">
        <f t="shared" si="226"/>
        <v>000</v>
      </c>
      <c r="L1873" s="5">
        <f t="shared" si="227"/>
        <v>4</v>
      </c>
      <c r="M1873" s="5">
        <f t="shared" si="228"/>
        <v>2012</v>
      </c>
    </row>
    <row r="1874" spans="1:13" ht="17.45" customHeight="1" x14ac:dyDescent="0.25">
      <c r="A1874" s="1">
        <f>DATE(2012,4,7)</f>
        <v>41006</v>
      </c>
      <c r="B1874" t="s">
        <v>17</v>
      </c>
      <c r="C1874" t="s">
        <v>9</v>
      </c>
      <c r="D1874" s="3">
        <v>359.11500000000001</v>
      </c>
      <c r="E1874" s="3">
        <v>0</v>
      </c>
      <c r="F1874" t="s">
        <v>45</v>
      </c>
      <c r="G1874" s="3">
        <f t="shared" si="222"/>
        <v>-359.11500000000001</v>
      </c>
      <c r="H1874" s="3">
        <f t="shared" si="223"/>
        <v>359.11500000000001</v>
      </c>
      <c r="I1874" s="5" t="str">
        <f t="shared" si="224"/>
        <v>017</v>
      </c>
      <c r="J1874" s="5" t="str">
        <f t="shared" si="225"/>
        <v>2220</v>
      </c>
      <c r="K1874" s="5" t="str">
        <f t="shared" si="226"/>
        <v>000</v>
      </c>
      <c r="L1874" s="5">
        <f t="shared" si="227"/>
        <v>4</v>
      </c>
      <c r="M1874" s="5">
        <f t="shared" si="228"/>
        <v>2012</v>
      </c>
    </row>
    <row r="1875" spans="1:13" ht="17.45" customHeight="1" x14ac:dyDescent="0.25">
      <c r="A1875" s="1">
        <f>DATE(2012,4,7)</f>
        <v>41006</v>
      </c>
      <c r="B1875" t="s">
        <v>18</v>
      </c>
      <c r="C1875" t="s">
        <v>10</v>
      </c>
      <c r="D1875" s="3">
        <v>105.18300000000001</v>
      </c>
      <c r="E1875" s="3">
        <v>0</v>
      </c>
      <c r="F1875" t="s">
        <v>45</v>
      </c>
      <c r="G1875" s="3">
        <f t="shared" si="222"/>
        <v>-105.18300000000001</v>
      </c>
      <c r="H1875" s="3">
        <f t="shared" si="223"/>
        <v>105.18300000000001</v>
      </c>
      <c r="I1875" s="5" t="str">
        <f t="shared" si="224"/>
        <v>017</v>
      </c>
      <c r="J1875" s="5" t="str">
        <f t="shared" si="225"/>
        <v>2230</v>
      </c>
      <c r="K1875" s="5" t="str">
        <f t="shared" si="226"/>
        <v>000</v>
      </c>
      <c r="L1875" s="5">
        <f t="shared" si="227"/>
        <v>4</v>
      </c>
      <c r="M1875" s="5">
        <f t="shared" si="228"/>
        <v>2012</v>
      </c>
    </row>
    <row r="1876" spans="1:13" ht="17.45" customHeight="1" x14ac:dyDescent="0.25">
      <c r="A1876" s="1">
        <f>DATE(2012,4,8)</f>
        <v>41007</v>
      </c>
      <c r="B1876" t="s">
        <v>15</v>
      </c>
      <c r="C1876" t="s">
        <v>6</v>
      </c>
      <c r="D1876" s="3">
        <v>3477.3</v>
      </c>
      <c r="E1876" s="3">
        <v>0</v>
      </c>
      <c r="F1876" t="s">
        <v>45</v>
      </c>
      <c r="G1876" s="3">
        <f t="shared" si="222"/>
        <v>-3477.3</v>
      </c>
      <c r="H1876" s="3">
        <f t="shared" si="223"/>
        <v>3477.3</v>
      </c>
      <c r="I1876" s="5" t="str">
        <f t="shared" si="224"/>
        <v>017</v>
      </c>
      <c r="J1876" s="5" t="str">
        <f t="shared" si="225"/>
        <v>2100</v>
      </c>
      <c r="K1876" s="5" t="str">
        <f t="shared" si="226"/>
        <v>000</v>
      </c>
      <c r="L1876" s="5">
        <f t="shared" si="227"/>
        <v>4</v>
      </c>
      <c r="M1876" s="5">
        <f t="shared" si="228"/>
        <v>2012</v>
      </c>
    </row>
    <row r="1877" spans="1:13" ht="17.45" customHeight="1" x14ac:dyDescent="0.25">
      <c r="A1877" s="1">
        <f>DATE(2012,4,8)</f>
        <v>41007</v>
      </c>
      <c r="B1877" t="s">
        <v>16</v>
      </c>
      <c r="C1877" t="s">
        <v>8</v>
      </c>
      <c r="D1877" s="3">
        <v>1146.365</v>
      </c>
      <c r="E1877" s="3">
        <v>0</v>
      </c>
      <c r="F1877" t="s">
        <v>45</v>
      </c>
      <c r="G1877" s="3">
        <f t="shared" si="222"/>
        <v>-1146.365</v>
      </c>
      <c r="H1877" s="3">
        <f t="shared" si="223"/>
        <v>1146.365</v>
      </c>
      <c r="I1877" s="5" t="str">
        <f t="shared" si="224"/>
        <v>017</v>
      </c>
      <c r="J1877" s="5" t="str">
        <f t="shared" si="225"/>
        <v>2210</v>
      </c>
      <c r="K1877" s="5" t="str">
        <f t="shared" si="226"/>
        <v>000</v>
      </c>
      <c r="L1877" s="5">
        <f t="shared" si="227"/>
        <v>4</v>
      </c>
      <c r="M1877" s="5">
        <f t="shared" si="228"/>
        <v>2012</v>
      </c>
    </row>
    <row r="1878" spans="1:13" ht="17.45" customHeight="1" x14ac:dyDescent="0.25">
      <c r="A1878" s="1">
        <f>DATE(2012,4,8)</f>
        <v>41007</v>
      </c>
      <c r="B1878" t="s">
        <v>17</v>
      </c>
      <c r="C1878" t="s">
        <v>9</v>
      </c>
      <c r="D1878" s="3">
        <v>91.850000000000009</v>
      </c>
      <c r="E1878" s="3">
        <v>0</v>
      </c>
      <c r="F1878" t="s">
        <v>45</v>
      </c>
      <c r="G1878" s="3">
        <f t="shared" si="222"/>
        <v>-91.850000000000009</v>
      </c>
      <c r="H1878" s="3">
        <f t="shared" si="223"/>
        <v>91.850000000000009</v>
      </c>
      <c r="I1878" s="5" t="str">
        <f t="shared" si="224"/>
        <v>017</v>
      </c>
      <c r="J1878" s="5" t="str">
        <f t="shared" si="225"/>
        <v>2220</v>
      </c>
      <c r="K1878" s="5" t="str">
        <f t="shared" si="226"/>
        <v>000</v>
      </c>
      <c r="L1878" s="5">
        <f t="shared" si="227"/>
        <v>4</v>
      </c>
      <c r="M1878" s="5">
        <f t="shared" si="228"/>
        <v>2012</v>
      </c>
    </row>
    <row r="1879" spans="1:13" ht="17.45" customHeight="1" x14ac:dyDescent="0.25">
      <c r="A1879" s="1">
        <f>DATE(2012,4,8)</f>
        <v>41007</v>
      </c>
      <c r="B1879" t="s">
        <v>18</v>
      </c>
      <c r="C1879" t="s">
        <v>10</v>
      </c>
      <c r="D1879" s="3">
        <v>88.88</v>
      </c>
      <c r="E1879" s="3">
        <v>0</v>
      </c>
      <c r="F1879" t="s">
        <v>45</v>
      </c>
      <c r="G1879" s="3">
        <f t="shared" si="222"/>
        <v>-88.88</v>
      </c>
      <c r="H1879" s="3">
        <f t="shared" si="223"/>
        <v>88.88</v>
      </c>
      <c r="I1879" s="5" t="str">
        <f t="shared" si="224"/>
        <v>017</v>
      </c>
      <c r="J1879" s="5" t="str">
        <f t="shared" si="225"/>
        <v>2230</v>
      </c>
      <c r="K1879" s="5" t="str">
        <f t="shared" si="226"/>
        <v>000</v>
      </c>
      <c r="L1879" s="5">
        <f t="shared" si="227"/>
        <v>4</v>
      </c>
      <c r="M1879" s="5">
        <f t="shared" si="228"/>
        <v>2012</v>
      </c>
    </row>
    <row r="1880" spans="1:13" ht="17.45" customHeight="1" x14ac:dyDescent="0.25">
      <c r="A1880" s="1">
        <f>DATE(2012,4,2)</f>
        <v>41001</v>
      </c>
      <c r="B1880" t="s">
        <v>19</v>
      </c>
      <c r="C1880" t="s">
        <v>6</v>
      </c>
      <c r="D1880" s="3">
        <v>4724.0649999999996</v>
      </c>
      <c r="E1880" s="3">
        <v>0</v>
      </c>
      <c r="F1880" t="s">
        <v>45</v>
      </c>
      <c r="G1880" s="3">
        <f t="shared" si="222"/>
        <v>-4724.0649999999996</v>
      </c>
      <c r="H1880" s="3">
        <f t="shared" si="223"/>
        <v>4724.0649999999996</v>
      </c>
      <c r="I1880" s="5" t="str">
        <f t="shared" si="224"/>
        <v>018</v>
      </c>
      <c r="J1880" s="5" t="str">
        <f t="shared" si="225"/>
        <v>2100</v>
      </c>
      <c r="K1880" s="5" t="str">
        <f t="shared" si="226"/>
        <v>000</v>
      </c>
      <c r="L1880" s="5">
        <f t="shared" si="227"/>
        <v>4</v>
      </c>
      <c r="M1880" s="5">
        <f t="shared" si="228"/>
        <v>2012</v>
      </c>
    </row>
    <row r="1881" spans="1:13" ht="17.45" customHeight="1" x14ac:dyDescent="0.25">
      <c r="A1881" s="1">
        <f>DATE(2012,4,2)</f>
        <v>41001</v>
      </c>
      <c r="B1881" t="s">
        <v>20</v>
      </c>
      <c r="C1881" t="s">
        <v>8</v>
      </c>
      <c r="D1881" s="3">
        <v>620.86500000000001</v>
      </c>
      <c r="E1881" s="3">
        <v>0</v>
      </c>
      <c r="F1881" t="s">
        <v>45</v>
      </c>
      <c r="G1881" s="3">
        <f t="shared" si="222"/>
        <v>-620.86500000000001</v>
      </c>
      <c r="H1881" s="3">
        <f t="shared" si="223"/>
        <v>620.86500000000001</v>
      </c>
      <c r="I1881" s="5" t="str">
        <f t="shared" si="224"/>
        <v>018</v>
      </c>
      <c r="J1881" s="5" t="str">
        <f t="shared" si="225"/>
        <v>2210</v>
      </c>
      <c r="K1881" s="5" t="str">
        <f t="shared" si="226"/>
        <v>000</v>
      </c>
      <c r="L1881" s="5">
        <f t="shared" si="227"/>
        <v>4</v>
      </c>
      <c r="M1881" s="5">
        <f t="shared" si="228"/>
        <v>2012</v>
      </c>
    </row>
    <row r="1882" spans="1:13" ht="17.45" customHeight="1" x14ac:dyDescent="0.25">
      <c r="A1882" s="1">
        <f>DATE(2012,4,2)</f>
        <v>41001</v>
      </c>
      <c r="B1882" t="s">
        <v>21</v>
      </c>
      <c r="C1882" t="s">
        <v>9</v>
      </c>
      <c r="D1882" s="3">
        <v>145.886</v>
      </c>
      <c r="E1882" s="3">
        <v>0</v>
      </c>
      <c r="F1882" t="s">
        <v>45</v>
      </c>
      <c r="G1882" s="3">
        <f t="shared" si="222"/>
        <v>-145.886</v>
      </c>
      <c r="H1882" s="3">
        <f t="shared" si="223"/>
        <v>145.886</v>
      </c>
      <c r="I1882" s="5" t="str">
        <f t="shared" si="224"/>
        <v>018</v>
      </c>
      <c r="J1882" s="5" t="str">
        <f t="shared" si="225"/>
        <v>2220</v>
      </c>
      <c r="K1882" s="5" t="str">
        <f t="shared" si="226"/>
        <v>000</v>
      </c>
      <c r="L1882" s="5">
        <f t="shared" si="227"/>
        <v>4</v>
      </c>
      <c r="M1882" s="5">
        <f t="shared" si="228"/>
        <v>2012</v>
      </c>
    </row>
    <row r="1883" spans="1:13" ht="17.45" customHeight="1" x14ac:dyDescent="0.25">
      <c r="A1883" s="1">
        <f>DATE(2012,4,2)</f>
        <v>41001</v>
      </c>
      <c r="B1883" t="s">
        <v>22</v>
      </c>
      <c r="C1883" t="s">
        <v>10</v>
      </c>
      <c r="D1883" s="3">
        <v>17.29</v>
      </c>
      <c r="E1883" s="3">
        <v>0</v>
      </c>
      <c r="F1883" t="s">
        <v>45</v>
      </c>
      <c r="G1883" s="3">
        <f t="shared" si="222"/>
        <v>-17.29</v>
      </c>
      <c r="H1883" s="3">
        <f t="shared" si="223"/>
        <v>17.29</v>
      </c>
      <c r="I1883" s="5" t="str">
        <f t="shared" si="224"/>
        <v>018</v>
      </c>
      <c r="J1883" s="5" t="str">
        <f t="shared" si="225"/>
        <v>2230</v>
      </c>
      <c r="K1883" s="5" t="str">
        <f t="shared" si="226"/>
        <v>000</v>
      </c>
      <c r="L1883" s="5">
        <f t="shared" si="227"/>
        <v>4</v>
      </c>
      <c r="M1883" s="5">
        <f t="shared" si="228"/>
        <v>2012</v>
      </c>
    </row>
    <row r="1884" spans="1:13" ht="17.45" customHeight="1" x14ac:dyDescent="0.25">
      <c r="A1884" s="1">
        <f>DATE(2012,4,3)</f>
        <v>41002</v>
      </c>
      <c r="B1884" t="s">
        <v>19</v>
      </c>
      <c r="C1884" t="s">
        <v>6</v>
      </c>
      <c r="D1884" s="3">
        <v>3613.0185000000001</v>
      </c>
      <c r="E1884" s="3">
        <v>0</v>
      </c>
      <c r="F1884" t="s">
        <v>45</v>
      </c>
      <c r="G1884" s="3">
        <f t="shared" si="222"/>
        <v>-3613.0185000000001</v>
      </c>
      <c r="H1884" s="3">
        <f t="shared" si="223"/>
        <v>3613.0185000000001</v>
      </c>
      <c r="I1884" s="5" t="str">
        <f t="shared" si="224"/>
        <v>018</v>
      </c>
      <c r="J1884" s="5" t="str">
        <f t="shared" si="225"/>
        <v>2100</v>
      </c>
      <c r="K1884" s="5" t="str">
        <f t="shared" si="226"/>
        <v>000</v>
      </c>
      <c r="L1884" s="5">
        <f t="shared" si="227"/>
        <v>4</v>
      </c>
      <c r="M1884" s="5">
        <f t="shared" si="228"/>
        <v>2012</v>
      </c>
    </row>
    <row r="1885" spans="1:13" ht="17.45" customHeight="1" x14ac:dyDescent="0.25">
      <c r="A1885" s="1">
        <f>DATE(2012,4,3)</f>
        <v>41002</v>
      </c>
      <c r="B1885" t="s">
        <v>20</v>
      </c>
      <c r="C1885" t="s">
        <v>8</v>
      </c>
      <c r="D1885" s="3">
        <v>1029.6389999999999</v>
      </c>
      <c r="E1885" s="3">
        <v>0</v>
      </c>
      <c r="F1885" t="s">
        <v>45</v>
      </c>
      <c r="G1885" s="3">
        <f t="shared" si="222"/>
        <v>-1029.6389999999999</v>
      </c>
      <c r="H1885" s="3">
        <f t="shared" si="223"/>
        <v>1029.6389999999999</v>
      </c>
      <c r="I1885" s="5" t="str">
        <f t="shared" si="224"/>
        <v>018</v>
      </c>
      <c r="J1885" s="5" t="str">
        <f t="shared" si="225"/>
        <v>2210</v>
      </c>
      <c r="K1885" s="5" t="str">
        <f t="shared" si="226"/>
        <v>000</v>
      </c>
      <c r="L1885" s="5">
        <f t="shared" si="227"/>
        <v>4</v>
      </c>
      <c r="M1885" s="5">
        <f t="shared" si="228"/>
        <v>2012</v>
      </c>
    </row>
    <row r="1886" spans="1:13" ht="17.45" customHeight="1" x14ac:dyDescent="0.25">
      <c r="A1886" s="1">
        <f>DATE(2012,4,3)</f>
        <v>41002</v>
      </c>
      <c r="B1886" t="s">
        <v>21</v>
      </c>
      <c r="C1886" t="s">
        <v>9</v>
      </c>
      <c r="D1886" s="3">
        <v>153.73800000000003</v>
      </c>
      <c r="E1886" s="3">
        <v>0</v>
      </c>
      <c r="F1886" t="s">
        <v>45</v>
      </c>
      <c r="G1886" s="3">
        <f t="shared" si="222"/>
        <v>-153.73800000000003</v>
      </c>
      <c r="H1886" s="3">
        <f t="shared" si="223"/>
        <v>153.73800000000003</v>
      </c>
      <c r="I1886" s="5" t="str">
        <f t="shared" si="224"/>
        <v>018</v>
      </c>
      <c r="J1886" s="5" t="str">
        <f t="shared" si="225"/>
        <v>2220</v>
      </c>
      <c r="K1886" s="5" t="str">
        <f t="shared" si="226"/>
        <v>000</v>
      </c>
      <c r="L1886" s="5">
        <f t="shared" si="227"/>
        <v>4</v>
      </c>
      <c r="M1886" s="5">
        <f t="shared" si="228"/>
        <v>2012</v>
      </c>
    </row>
    <row r="1887" spans="1:13" ht="17.45" customHeight="1" x14ac:dyDescent="0.25">
      <c r="A1887" s="1">
        <f>DATE(2012,4,3)</f>
        <v>41002</v>
      </c>
      <c r="B1887" t="s">
        <v>22</v>
      </c>
      <c r="C1887" t="s">
        <v>10</v>
      </c>
      <c r="D1887" s="3">
        <v>54.768000000000001</v>
      </c>
      <c r="E1887" s="3">
        <v>0</v>
      </c>
      <c r="F1887" t="s">
        <v>45</v>
      </c>
      <c r="G1887" s="3">
        <f t="shared" si="222"/>
        <v>-54.768000000000001</v>
      </c>
      <c r="H1887" s="3">
        <f t="shared" si="223"/>
        <v>54.768000000000001</v>
      </c>
      <c r="I1887" s="5" t="str">
        <f t="shared" si="224"/>
        <v>018</v>
      </c>
      <c r="J1887" s="5" t="str">
        <f t="shared" si="225"/>
        <v>2230</v>
      </c>
      <c r="K1887" s="5" t="str">
        <f t="shared" si="226"/>
        <v>000</v>
      </c>
      <c r="L1887" s="5">
        <f t="shared" si="227"/>
        <v>4</v>
      </c>
      <c r="M1887" s="5">
        <f t="shared" si="228"/>
        <v>2012</v>
      </c>
    </row>
    <row r="1888" spans="1:13" ht="17.45" customHeight="1" x14ac:dyDescent="0.25">
      <c r="A1888" s="1">
        <f>DATE(2012,4,4)</f>
        <v>41003</v>
      </c>
      <c r="B1888" t="s">
        <v>19</v>
      </c>
      <c r="C1888" t="s">
        <v>6</v>
      </c>
      <c r="D1888" s="3">
        <v>5148.5720000000001</v>
      </c>
      <c r="E1888" s="3">
        <v>0</v>
      </c>
      <c r="F1888" t="s">
        <v>45</v>
      </c>
      <c r="G1888" s="3">
        <f t="shared" si="222"/>
        <v>-5148.5720000000001</v>
      </c>
      <c r="H1888" s="3">
        <f t="shared" si="223"/>
        <v>5148.5720000000001</v>
      </c>
      <c r="I1888" s="5" t="str">
        <f t="shared" si="224"/>
        <v>018</v>
      </c>
      <c r="J1888" s="5" t="str">
        <f t="shared" si="225"/>
        <v>2100</v>
      </c>
      <c r="K1888" s="5" t="str">
        <f t="shared" si="226"/>
        <v>000</v>
      </c>
      <c r="L1888" s="5">
        <f t="shared" si="227"/>
        <v>4</v>
      </c>
      <c r="M1888" s="5">
        <f t="shared" si="228"/>
        <v>2012</v>
      </c>
    </row>
    <row r="1889" spans="1:13" ht="17.45" customHeight="1" x14ac:dyDescent="0.25">
      <c r="A1889" s="1">
        <f>DATE(2012,4,4)</f>
        <v>41003</v>
      </c>
      <c r="B1889" t="s">
        <v>20</v>
      </c>
      <c r="C1889" t="s">
        <v>8</v>
      </c>
      <c r="D1889" s="3">
        <v>1436.9780000000001</v>
      </c>
      <c r="E1889" s="3">
        <v>0</v>
      </c>
      <c r="F1889" t="s">
        <v>45</v>
      </c>
      <c r="G1889" s="3">
        <f t="shared" si="222"/>
        <v>-1436.9780000000001</v>
      </c>
      <c r="H1889" s="3">
        <f t="shared" si="223"/>
        <v>1436.9780000000001</v>
      </c>
      <c r="I1889" s="5" t="str">
        <f t="shared" si="224"/>
        <v>018</v>
      </c>
      <c r="J1889" s="5" t="str">
        <f t="shared" si="225"/>
        <v>2210</v>
      </c>
      <c r="K1889" s="5" t="str">
        <f t="shared" si="226"/>
        <v>000</v>
      </c>
      <c r="L1889" s="5">
        <f t="shared" si="227"/>
        <v>4</v>
      </c>
      <c r="M1889" s="5">
        <f t="shared" si="228"/>
        <v>2012</v>
      </c>
    </row>
    <row r="1890" spans="1:13" ht="17.45" customHeight="1" x14ac:dyDescent="0.25">
      <c r="A1890" s="1">
        <f>DATE(2012,4,4)</f>
        <v>41003</v>
      </c>
      <c r="B1890" t="s">
        <v>21</v>
      </c>
      <c r="C1890" t="s">
        <v>9</v>
      </c>
      <c r="D1890" s="3">
        <v>204.68799999999999</v>
      </c>
      <c r="E1890" s="3">
        <v>0</v>
      </c>
      <c r="F1890" t="s">
        <v>45</v>
      </c>
      <c r="G1890" s="3">
        <f t="shared" si="222"/>
        <v>-204.68799999999999</v>
      </c>
      <c r="H1890" s="3">
        <f t="shared" si="223"/>
        <v>204.68799999999999</v>
      </c>
      <c r="I1890" s="5" t="str">
        <f t="shared" si="224"/>
        <v>018</v>
      </c>
      <c r="J1890" s="5" t="str">
        <f t="shared" si="225"/>
        <v>2220</v>
      </c>
      <c r="K1890" s="5" t="str">
        <f t="shared" si="226"/>
        <v>000</v>
      </c>
      <c r="L1890" s="5">
        <f t="shared" si="227"/>
        <v>4</v>
      </c>
      <c r="M1890" s="5">
        <f t="shared" si="228"/>
        <v>2012</v>
      </c>
    </row>
    <row r="1891" spans="1:13" ht="17.45" customHeight="1" x14ac:dyDescent="0.25">
      <c r="A1891" s="1">
        <f>DATE(2012,4,4)</f>
        <v>41003</v>
      </c>
      <c r="B1891" t="s">
        <v>22</v>
      </c>
      <c r="C1891" t="s">
        <v>10</v>
      </c>
      <c r="D1891" s="3">
        <v>91.555999999999997</v>
      </c>
      <c r="E1891" s="3">
        <v>0</v>
      </c>
      <c r="F1891" t="s">
        <v>45</v>
      </c>
      <c r="G1891" s="3">
        <f t="shared" si="222"/>
        <v>-91.555999999999997</v>
      </c>
      <c r="H1891" s="3">
        <f t="shared" si="223"/>
        <v>91.555999999999997</v>
      </c>
      <c r="I1891" s="5" t="str">
        <f t="shared" si="224"/>
        <v>018</v>
      </c>
      <c r="J1891" s="5" t="str">
        <f t="shared" si="225"/>
        <v>2230</v>
      </c>
      <c r="K1891" s="5" t="str">
        <f t="shared" si="226"/>
        <v>000</v>
      </c>
      <c r="L1891" s="5">
        <f t="shared" si="227"/>
        <v>4</v>
      </c>
      <c r="M1891" s="5">
        <f t="shared" si="228"/>
        <v>2012</v>
      </c>
    </row>
    <row r="1892" spans="1:13" ht="17.45" customHeight="1" x14ac:dyDescent="0.25">
      <c r="A1892" s="1">
        <f>DATE(2012,4,5)</f>
        <v>41004</v>
      </c>
      <c r="B1892" t="s">
        <v>19</v>
      </c>
      <c r="C1892" t="s">
        <v>6</v>
      </c>
      <c r="D1892" s="3">
        <v>4403.8142999999991</v>
      </c>
      <c r="E1892" s="3">
        <v>0</v>
      </c>
      <c r="F1892" t="s">
        <v>45</v>
      </c>
      <c r="G1892" s="3">
        <f t="shared" si="222"/>
        <v>-4403.8142999999991</v>
      </c>
      <c r="H1892" s="3">
        <f t="shared" si="223"/>
        <v>4403.8142999999991</v>
      </c>
      <c r="I1892" s="5" t="str">
        <f t="shared" si="224"/>
        <v>018</v>
      </c>
      <c r="J1892" s="5" t="str">
        <f t="shared" si="225"/>
        <v>2100</v>
      </c>
      <c r="K1892" s="5" t="str">
        <f t="shared" si="226"/>
        <v>000</v>
      </c>
      <c r="L1892" s="5">
        <f t="shared" si="227"/>
        <v>4</v>
      </c>
      <c r="M1892" s="5">
        <f t="shared" si="228"/>
        <v>2012</v>
      </c>
    </row>
    <row r="1893" spans="1:13" ht="17.45" customHeight="1" x14ac:dyDescent="0.25">
      <c r="A1893" s="1">
        <f>DATE(2012,4,5)</f>
        <v>41004</v>
      </c>
      <c r="B1893" t="s">
        <v>20</v>
      </c>
      <c r="C1893" t="s">
        <v>8</v>
      </c>
      <c r="D1893" s="3">
        <v>1538.5039999999999</v>
      </c>
      <c r="E1893" s="3">
        <v>0</v>
      </c>
      <c r="F1893" t="s">
        <v>45</v>
      </c>
      <c r="G1893" s="3">
        <f t="shared" si="222"/>
        <v>-1538.5039999999999</v>
      </c>
      <c r="H1893" s="3">
        <f t="shared" si="223"/>
        <v>1538.5039999999999</v>
      </c>
      <c r="I1893" s="5" t="str">
        <f t="shared" si="224"/>
        <v>018</v>
      </c>
      <c r="J1893" s="5" t="str">
        <f t="shared" si="225"/>
        <v>2210</v>
      </c>
      <c r="K1893" s="5" t="str">
        <f t="shared" si="226"/>
        <v>000</v>
      </c>
      <c r="L1893" s="5">
        <f t="shared" si="227"/>
        <v>4</v>
      </c>
      <c r="M1893" s="5">
        <f t="shared" si="228"/>
        <v>2012</v>
      </c>
    </row>
    <row r="1894" spans="1:13" ht="17.45" customHeight="1" x14ac:dyDescent="0.25">
      <c r="A1894" s="1">
        <f>DATE(2012,4,5)</f>
        <v>41004</v>
      </c>
      <c r="B1894" t="s">
        <v>21</v>
      </c>
      <c r="C1894" t="s">
        <v>9</v>
      </c>
      <c r="D1894" s="3">
        <v>286.79499999999996</v>
      </c>
      <c r="E1894" s="3">
        <v>0</v>
      </c>
      <c r="F1894" t="s">
        <v>45</v>
      </c>
      <c r="G1894" s="3">
        <f t="shared" si="222"/>
        <v>-286.79499999999996</v>
      </c>
      <c r="H1894" s="3">
        <f t="shared" si="223"/>
        <v>286.79499999999996</v>
      </c>
      <c r="I1894" s="5" t="str">
        <f t="shared" si="224"/>
        <v>018</v>
      </c>
      <c r="J1894" s="5" t="str">
        <f t="shared" si="225"/>
        <v>2220</v>
      </c>
      <c r="K1894" s="5" t="str">
        <f t="shared" si="226"/>
        <v>000</v>
      </c>
      <c r="L1894" s="5">
        <f t="shared" si="227"/>
        <v>4</v>
      </c>
      <c r="M1894" s="5">
        <f t="shared" si="228"/>
        <v>2012</v>
      </c>
    </row>
    <row r="1895" spans="1:13" ht="17.45" customHeight="1" x14ac:dyDescent="0.25">
      <c r="A1895" s="1">
        <f>DATE(2012,4,5)</f>
        <v>41004</v>
      </c>
      <c r="B1895" t="s">
        <v>22</v>
      </c>
      <c r="C1895" t="s">
        <v>10</v>
      </c>
      <c r="D1895" s="3">
        <v>45.500999999999998</v>
      </c>
      <c r="E1895" s="3">
        <v>0</v>
      </c>
      <c r="F1895" t="s">
        <v>45</v>
      </c>
      <c r="G1895" s="3">
        <f t="shared" si="222"/>
        <v>-45.500999999999998</v>
      </c>
      <c r="H1895" s="3">
        <f t="shared" si="223"/>
        <v>45.500999999999998</v>
      </c>
      <c r="I1895" s="5" t="str">
        <f t="shared" si="224"/>
        <v>018</v>
      </c>
      <c r="J1895" s="5" t="str">
        <f t="shared" si="225"/>
        <v>2230</v>
      </c>
      <c r="K1895" s="5" t="str">
        <f t="shared" si="226"/>
        <v>000</v>
      </c>
      <c r="L1895" s="5">
        <f t="shared" si="227"/>
        <v>4</v>
      </c>
      <c r="M1895" s="5">
        <f t="shared" si="228"/>
        <v>2012</v>
      </c>
    </row>
    <row r="1896" spans="1:13" ht="17.45" customHeight="1" x14ac:dyDescent="0.25">
      <c r="A1896" s="1">
        <f>DATE(2012,4,6)</f>
        <v>41005</v>
      </c>
      <c r="B1896" t="s">
        <v>19</v>
      </c>
      <c r="C1896" t="s">
        <v>6</v>
      </c>
      <c r="D1896" s="3">
        <v>13116.134700000001</v>
      </c>
      <c r="E1896" s="3">
        <v>0</v>
      </c>
      <c r="F1896" t="s">
        <v>45</v>
      </c>
      <c r="G1896" s="3">
        <f t="shared" si="222"/>
        <v>-13116.134700000001</v>
      </c>
      <c r="H1896" s="3">
        <f t="shared" si="223"/>
        <v>13116.134700000001</v>
      </c>
      <c r="I1896" s="5" t="str">
        <f t="shared" si="224"/>
        <v>018</v>
      </c>
      <c r="J1896" s="5" t="str">
        <f t="shared" si="225"/>
        <v>2100</v>
      </c>
      <c r="K1896" s="5" t="str">
        <f t="shared" si="226"/>
        <v>000</v>
      </c>
      <c r="L1896" s="5">
        <f t="shared" si="227"/>
        <v>4</v>
      </c>
      <c r="M1896" s="5">
        <f t="shared" si="228"/>
        <v>2012</v>
      </c>
    </row>
    <row r="1897" spans="1:13" ht="17.45" customHeight="1" x14ac:dyDescent="0.25">
      <c r="A1897" s="1">
        <f>DATE(2012,4,6)</f>
        <v>41005</v>
      </c>
      <c r="B1897" t="s">
        <v>20</v>
      </c>
      <c r="C1897" t="s">
        <v>8</v>
      </c>
      <c r="D1897" s="3">
        <v>3214.9124999999999</v>
      </c>
      <c r="E1897" s="3">
        <v>0</v>
      </c>
      <c r="F1897" t="s">
        <v>45</v>
      </c>
      <c r="G1897" s="3">
        <f t="shared" si="222"/>
        <v>-3214.9124999999999</v>
      </c>
      <c r="H1897" s="3">
        <f t="shared" si="223"/>
        <v>3214.9124999999999</v>
      </c>
      <c r="I1897" s="5" t="str">
        <f t="shared" si="224"/>
        <v>018</v>
      </c>
      <c r="J1897" s="5" t="str">
        <f t="shared" si="225"/>
        <v>2210</v>
      </c>
      <c r="K1897" s="5" t="str">
        <f t="shared" si="226"/>
        <v>000</v>
      </c>
      <c r="L1897" s="5">
        <f t="shared" si="227"/>
        <v>4</v>
      </c>
      <c r="M1897" s="5">
        <f t="shared" si="228"/>
        <v>2012</v>
      </c>
    </row>
    <row r="1898" spans="1:13" ht="17.45" customHeight="1" x14ac:dyDescent="0.25">
      <c r="A1898" s="1">
        <f>DATE(2012,4,6)</f>
        <v>41005</v>
      </c>
      <c r="B1898" t="s">
        <v>21</v>
      </c>
      <c r="C1898" t="s">
        <v>9</v>
      </c>
      <c r="D1898" s="3">
        <v>746.40699999999993</v>
      </c>
      <c r="E1898" s="3">
        <v>0</v>
      </c>
      <c r="F1898" t="s">
        <v>45</v>
      </c>
      <c r="G1898" s="3">
        <f t="shared" si="222"/>
        <v>-746.40699999999993</v>
      </c>
      <c r="H1898" s="3">
        <f t="shared" si="223"/>
        <v>746.40699999999993</v>
      </c>
      <c r="I1898" s="5" t="str">
        <f t="shared" si="224"/>
        <v>018</v>
      </c>
      <c r="J1898" s="5" t="str">
        <f t="shared" si="225"/>
        <v>2220</v>
      </c>
      <c r="K1898" s="5" t="str">
        <f t="shared" si="226"/>
        <v>000</v>
      </c>
      <c r="L1898" s="5">
        <f t="shared" si="227"/>
        <v>4</v>
      </c>
      <c r="M1898" s="5">
        <f t="shared" si="228"/>
        <v>2012</v>
      </c>
    </row>
    <row r="1899" spans="1:13" ht="17.45" customHeight="1" x14ac:dyDescent="0.25">
      <c r="A1899" s="1">
        <f>DATE(2012,4,6)</f>
        <v>41005</v>
      </c>
      <c r="B1899" t="s">
        <v>22</v>
      </c>
      <c r="C1899" t="s">
        <v>10</v>
      </c>
      <c r="D1899" s="3">
        <v>138.16999999999999</v>
      </c>
      <c r="E1899" s="3">
        <v>0</v>
      </c>
      <c r="F1899" t="s">
        <v>45</v>
      </c>
      <c r="G1899" s="3">
        <f t="shared" si="222"/>
        <v>-138.16999999999999</v>
      </c>
      <c r="H1899" s="3">
        <f t="shared" si="223"/>
        <v>138.16999999999999</v>
      </c>
      <c r="I1899" s="5" t="str">
        <f t="shared" si="224"/>
        <v>018</v>
      </c>
      <c r="J1899" s="5" t="str">
        <f t="shared" si="225"/>
        <v>2230</v>
      </c>
      <c r="K1899" s="5" t="str">
        <f t="shared" si="226"/>
        <v>000</v>
      </c>
      <c r="L1899" s="5">
        <f t="shared" si="227"/>
        <v>4</v>
      </c>
      <c r="M1899" s="5">
        <f t="shared" si="228"/>
        <v>2012</v>
      </c>
    </row>
    <row r="1900" spans="1:13" ht="17.45" customHeight="1" x14ac:dyDescent="0.25">
      <c r="A1900" s="1">
        <f>DATE(2012,4,7)</f>
        <v>41006</v>
      </c>
      <c r="B1900" t="s">
        <v>19</v>
      </c>
      <c r="C1900" t="s">
        <v>6</v>
      </c>
      <c r="D1900" s="3">
        <v>9078.5995000000003</v>
      </c>
      <c r="E1900" s="3">
        <v>0</v>
      </c>
      <c r="F1900" t="s">
        <v>45</v>
      </c>
      <c r="G1900" s="3">
        <f t="shared" si="222"/>
        <v>-9078.5995000000003</v>
      </c>
      <c r="H1900" s="3">
        <f t="shared" si="223"/>
        <v>9078.5995000000003</v>
      </c>
      <c r="I1900" s="5" t="str">
        <f t="shared" si="224"/>
        <v>018</v>
      </c>
      <c r="J1900" s="5" t="str">
        <f t="shared" si="225"/>
        <v>2100</v>
      </c>
      <c r="K1900" s="5" t="str">
        <f t="shared" si="226"/>
        <v>000</v>
      </c>
      <c r="L1900" s="5">
        <f t="shared" si="227"/>
        <v>4</v>
      </c>
      <c r="M1900" s="5">
        <f t="shared" si="228"/>
        <v>2012</v>
      </c>
    </row>
    <row r="1901" spans="1:13" ht="17.45" customHeight="1" x14ac:dyDescent="0.25">
      <c r="A1901" s="1">
        <f>DATE(2012,4,7)</f>
        <v>41006</v>
      </c>
      <c r="B1901" t="s">
        <v>20</v>
      </c>
      <c r="C1901" t="s">
        <v>8</v>
      </c>
      <c r="D1901" s="3">
        <v>1767.3419999999999</v>
      </c>
      <c r="E1901" s="3">
        <v>0</v>
      </c>
      <c r="F1901" t="s">
        <v>45</v>
      </c>
      <c r="G1901" s="3">
        <f t="shared" si="222"/>
        <v>-1767.3419999999999</v>
      </c>
      <c r="H1901" s="3">
        <f t="shared" si="223"/>
        <v>1767.3419999999999</v>
      </c>
      <c r="I1901" s="5" t="str">
        <f t="shared" si="224"/>
        <v>018</v>
      </c>
      <c r="J1901" s="5" t="str">
        <f t="shared" si="225"/>
        <v>2210</v>
      </c>
      <c r="K1901" s="5" t="str">
        <f t="shared" si="226"/>
        <v>000</v>
      </c>
      <c r="L1901" s="5">
        <f t="shared" si="227"/>
        <v>4</v>
      </c>
      <c r="M1901" s="5">
        <f t="shared" si="228"/>
        <v>2012</v>
      </c>
    </row>
    <row r="1902" spans="1:13" ht="17.45" customHeight="1" x14ac:dyDescent="0.25">
      <c r="A1902" s="1">
        <f>DATE(2012,4,7)</f>
        <v>41006</v>
      </c>
      <c r="B1902" t="s">
        <v>21</v>
      </c>
      <c r="C1902" t="s">
        <v>9</v>
      </c>
      <c r="D1902" s="3">
        <v>580.76850000000002</v>
      </c>
      <c r="E1902" s="3">
        <v>0</v>
      </c>
      <c r="F1902" t="s">
        <v>45</v>
      </c>
      <c r="G1902" s="3">
        <f t="shared" si="222"/>
        <v>-580.76850000000002</v>
      </c>
      <c r="H1902" s="3">
        <f t="shared" si="223"/>
        <v>580.76850000000002</v>
      </c>
      <c r="I1902" s="5" t="str">
        <f t="shared" si="224"/>
        <v>018</v>
      </c>
      <c r="J1902" s="5" t="str">
        <f t="shared" si="225"/>
        <v>2220</v>
      </c>
      <c r="K1902" s="5" t="str">
        <f t="shared" si="226"/>
        <v>000</v>
      </c>
      <c r="L1902" s="5">
        <f t="shared" si="227"/>
        <v>4</v>
      </c>
      <c r="M1902" s="5">
        <f t="shared" si="228"/>
        <v>2012</v>
      </c>
    </row>
    <row r="1903" spans="1:13" ht="17.45" customHeight="1" x14ac:dyDescent="0.25">
      <c r="A1903" s="1">
        <f>DATE(2012,4,7)</f>
        <v>41006</v>
      </c>
      <c r="B1903" t="s">
        <v>22</v>
      </c>
      <c r="C1903" t="s">
        <v>10</v>
      </c>
      <c r="D1903" s="3">
        <v>38.277499999999996</v>
      </c>
      <c r="E1903" s="3">
        <v>0</v>
      </c>
      <c r="F1903" t="s">
        <v>45</v>
      </c>
      <c r="G1903" s="3">
        <f t="shared" si="222"/>
        <v>-38.277499999999996</v>
      </c>
      <c r="H1903" s="3">
        <f t="shared" si="223"/>
        <v>38.277499999999996</v>
      </c>
      <c r="I1903" s="5" t="str">
        <f t="shared" si="224"/>
        <v>018</v>
      </c>
      <c r="J1903" s="5" t="str">
        <f t="shared" si="225"/>
        <v>2230</v>
      </c>
      <c r="K1903" s="5" t="str">
        <f t="shared" si="226"/>
        <v>000</v>
      </c>
      <c r="L1903" s="5">
        <f t="shared" si="227"/>
        <v>4</v>
      </c>
      <c r="M1903" s="5">
        <f t="shared" si="228"/>
        <v>2012</v>
      </c>
    </row>
    <row r="1904" spans="1:13" ht="17.45" customHeight="1" x14ac:dyDescent="0.25">
      <c r="A1904" s="1">
        <f>DATE(2012,4,8)</f>
        <v>41007</v>
      </c>
      <c r="B1904" t="s">
        <v>19</v>
      </c>
      <c r="C1904" t="s">
        <v>6</v>
      </c>
      <c r="D1904" s="3">
        <v>6449.3414999999995</v>
      </c>
      <c r="E1904" s="3">
        <v>0</v>
      </c>
      <c r="F1904" t="s">
        <v>45</v>
      </c>
      <c r="G1904" s="3">
        <f t="shared" si="222"/>
        <v>-6449.3414999999995</v>
      </c>
      <c r="H1904" s="3">
        <f t="shared" si="223"/>
        <v>6449.3414999999995</v>
      </c>
      <c r="I1904" s="5" t="str">
        <f t="shared" si="224"/>
        <v>018</v>
      </c>
      <c r="J1904" s="5" t="str">
        <f t="shared" si="225"/>
        <v>2100</v>
      </c>
      <c r="K1904" s="5" t="str">
        <f t="shared" si="226"/>
        <v>000</v>
      </c>
      <c r="L1904" s="5">
        <f t="shared" si="227"/>
        <v>4</v>
      </c>
      <c r="M1904" s="5">
        <f t="shared" si="228"/>
        <v>2012</v>
      </c>
    </row>
    <row r="1905" spans="1:13" ht="17.45" customHeight="1" x14ac:dyDescent="0.25">
      <c r="A1905" s="1">
        <f>DATE(2012,4,8)</f>
        <v>41007</v>
      </c>
      <c r="B1905" t="s">
        <v>20</v>
      </c>
      <c r="C1905" t="s">
        <v>8</v>
      </c>
      <c r="D1905" s="3">
        <v>858.40649999999994</v>
      </c>
      <c r="E1905" s="3">
        <v>0</v>
      </c>
      <c r="F1905" t="s">
        <v>45</v>
      </c>
      <c r="G1905" s="3">
        <f t="shared" si="222"/>
        <v>-858.40649999999994</v>
      </c>
      <c r="H1905" s="3">
        <f t="shared" si="223"/>
        <v>858.40649999999994</v>
      </c>
      <c r="I1905" s="5" t="str">
        <f t="shared" si="224"/>
        <v>018</v>
      </c>
      <c r="J1905" s="5" t="str">
        <f t="shared" si="225"/>
        <v>2210</v>
      </c>
      <c r="K1905" s="5" t="str">
        <f t="shared" si="226"/>
        <v>000</v>
      </c>
      <c r="L1905" s="5">
        <f t="shared" si="227"/>
        <v>4</v>
      </c>
      <c r="M1905" s="5">
        <f t="shared" si="228"/>
        <v>2012</v>
      </c>
    </row>
    <row r="1906" spans="1:13" ht="17.45" customHeight="1" x14ac:dyDescent="0.25">
      <c r="A1906" s="1">
        <f>DATE(2012,4,8)</f>
        <v>41007</v>
      </c>
      <c r="B1906" t="s">
        <v>21</v>
      </c>
      <c r="C1906" t="s">
        <v>9</v>
      </c>
      <c r="D1906" s="3">
        <v>321.97500000000002</v>
      </c>
      <c r="E1906" s="3">
        <v>0</v>
      </c>
      <c r="F1906" t="s">
        <v>45</v>
      </c>
      <c r="G1906" s="3">
        <f t="shared" si="222"/>
        <v>-321.97500000000002</v>
      </c>
      <c r="H1906" s="3">
        <f t="shared" si="223"/>
        <v>321.97500000000002</v>
      </c>
      <c r="I1906" s="5" t="str">
        <f t="shared" si="224"/>
        <v>018</v>
      </c>
      <c r="J1906" s="5" t="str">
        <f t="shared" si="225"/>
        <v>2220</v>
      </c>
      <c r="K1906" s="5" t="str">
        <f t="shared" si="226"/>
        <v>000</v>
      </c>
      <c r="L1906" s="5">
        <f t="shared" si="227"/>
        <v>4</v>
      </c>
      <c r="M1906" s="5">
        <f t="shared" si="228"/>
        <v>2012</v>
      </c>
    </row>
    <row r="1907" spans="1:13" ht="17.45" customHeight="1" x14ac:dyDescent="0.25">
      <c r="A1907" s="1">
        <f>DATE(2012,4,8)</f>
        <v>41007</v>
      </c>
      <c r="B1907" t="s">
        <v>22</v>
      </c>
      <c r="C1907" t="s">
        <v>10</v>
      </c>
      <c r="D1907" s="3">
        <v>110.71049999999998</v>
      </c>
      <c r="E1907" s="3">
        <v>0</v>
      </c>
      <c r="F1907" t="s">
        <v>45</v>
      </c>
      <c r="G1907" s="3">
        <f t="shared" si="222"/>
        <v>-110.71049999999998</v>
      </c>
      <c r="H1907" s="3">
        <f t="shared" si="223"/>
        <v>110.71049999999998</v>
      </c>
      <c r="I1907" s="5" t="str">
        <f t="shared" si="224"/>
        <v>018</v>
      </c>
      <c r="J1907" s="5" t="str">
        <f t="shared" si="225"/>
        <v>2230</v>
      </c>
      <c r="K1907" s="5" t="str">
        <f t="shared" si="226"/>
        <v>000</v>
      </c>
      <c r="L1907" s="5">
        <f t="shared" si="227"/>
        <v>4</v>
      </c>
      <c r="M1907" s="5">
        <f t="shared" si="228"/>
        <v>2012</v>
      </c>
    </row>
    <row r="1908" spans="1:13" ht="17.45" customHeight="1" x14ac:dyDescent="0.25">
      <c r="A1908" s="1">
        <f>DATE(2012,4,9)</f>
        <v>41008</v>
      </c>
      <c r="B1908" t="s">
        <v>11</v>
      </c>
      <c r="C1908" t="s">
        <v>6</v>
      </c>
      <c r="D1908" s="3">
        <v>3960.81</v>
      </c>
      <c r="E1908" s="3">
        <v>0</v>
      </c>
      <c r="F1908" t="s">
        <v>45</v>
      </c>
      <c r="G1908" s="3">
        <f t="shared" si="222"/>
        <v>-3960.81</v>
      </c>
      <c r="H1908" s="3">
        <f t="shared" si="223"/>
        <v>3960.81</v>
      </c>
      <c r="I1908" s="5" t="str">
        <f t="shared" si="224"/>
        <v>016</v>
      </c>
      <c r="J1908" s="5" t="str">
        <f t="shared" si="225"/>
        <v>2100</v>
      </c>
      <c r="K1908" s="5" t="str">
        <f t="shared" si="226"/>
        <v>000</v>
      </c>
      <c r="L1908" s="5">
        <f t="shared" si="227"/>
        <v>4</v>
      </c>
      <c r="M1908" s="5">
        <f t="shared" si="228"/>
        <v>2012</v>
      </c>
    </row>
    <row r="1909" spans="1:13" ht="17.45" customHeight="1" x14ac:dyDescent="0.25">
      <c r="A1909" s="1">
        <f>DATE(2012,4,9)</f>
        <v>41008</v>
      </c>
      <c r="B1909" t="s">
        <v>12</v>
      </c>
      <c r="C1909" t="s">
        <v>8</v>
      </c>
      <c r="D1909" s="3">
        <v>691.18600000000004</v>
      </c>
      <c r="E1909" s="3">
        <v>0</v>
      </c>
      <c r="F1909" t="s">
        <v>45</v>
      </c>
      <c r="G1909" s="3">
        <f t="shared" si="222"/>
        <v>-691.18600000000004</v>
      </c>
      <c r="H1909" s="3">
        <f t="shared" si="223"/>
        <v>691.18600000000004</v>
      </c>
      <c r="I1909" s="5" t="str">
        <f t="shared" si="224"/>
        <v>016</v>
      </c>
      <c r="J1909" s="5" t="str">
        <f t="shared" si="225"/>
        <v>2210</v>
      </c>
      <c r="K1909" s="5" t="str">
        <f t="shared" si="226"/>
        <v>000</v>
      </c>
      <c r="L1909" s="5">
        <f t="shared" si="227"/>
        <v>4</v>
      </c>
      <c r="M1909" s="5">
        <f t="shared" si="228"/>
        <v>2012</v>
      </c>
    </row>
    <row r="1910" spans="1:13" ht="17.45" customHeight="1" x14ac:dyDescent="0.25">
      <c r="A1910" s="1">
        <f>DATE(2012,4,9)</f>
        <v>41008</v>
      </c>
      <c r="B1910" t="s">
        <v>13</v>
      </c>
      <c r="C1910" t="s">
        <v>9</v>
      </c>
      <c r="D1910" s="3">
        <v>132.327</v>
      </c>
      <c r="E1910" s="3">
        <v>0</v>
      </c>
      <c r="F1910" t="s">
        <v>45</v>
      </c>
      <c r="G1910" s="3">
        <f t="shared" si="222"/>
        <v>-132.327</v>
      </c>
      <c r="H1910" s="3">
        <f t="shared" si="223"/>
        <v>132.327</v>
      </c>
      <c r="I1910" s="5" t="str">
        <f t="shared" si="224"/>
        <v>016</v>
      </c>
      <c r="J1910" s="5" t="str">
        <f t="shared" si="225"/>
        <v>2220</v>
      </c>
      <c r="K1910" s="5" t="str">
        <f t="shared" si="226"/>
        <v>000</v>
      </c>
      <c r="L1910" s="5">
        <f t="shared" si="227"/>
        <v>4</v>
      </c>
      <c r="M1910" s="5">
        <f t="shared" si="228"/>
        <v>2012</v>
      </c>
    </row>
    <row r="1911" spans="1:13" ht="17.45" customHeight="1" x14ac:dyDescent="0.25">
      <c r="A1911" s="1">
        <f>DATE(2012,4,9)</f>
        <v>41008</v>
      </c>
      <c r="B1911" t="s">
        <v>14</v>
      </c>
      <c r="C1911" t="s">
        <v>10</v>
      </c>
      <c r="D1911" s="3">
        <v>94.909499999999994</v>
      </c>
      <c r="E1911" s="3">
        <v>0</v>
      </c>
      <c r="F1911" t="s">
        <v>45</v>
      </c>
      <c r="G1911" s="3">
        <f t="shared" si="222"/>
        <v>-94.909499999999994</v>
      </c>
      <c r="H1911" s="3">
        <f t="shared" si="223"/>
        <v>94.909499999999994</v>
      </c>
      <c r="I1911" s="5" t="str">
        <f t="shared" si="224"/>
        <v>016</v>
      </c>
      <c r="J1911" s="5" t="str">
        <f t="shared" si="225"/>
        <v>2230</v>
      </c>
      <c r="K1911" s="5" t="str">
        <f t="shared" si="226"/>
        <v>000</v>
      </c>
      <c r="L1911" s="5">
        <f t="shared" si="227"/>
        <v>4</v>
      </c>
      <c r="M1911" s="5">
        <f t="shared" si="228"/>
        <v>2012</v>
      </c>
    </row>
    <row r="1912" spans="1:13" ht="17.45" customHeight="1" x14ac:dyDescent="0.25">
      <c r="A1912" s="1">
        <f>DATE(2012,4,10)</f>
        <v>41009</v>
      </c>
      <c r="B1912" t="s">
        <v>11</v>
      </c>
      <c r="C1912" t="s">
        <v>6</v>
      </c>
      <c r="D1912" s="3">
        <v>5320.9065000000001</v>
      </c>
      <c r="E1912" s="3">
        <v>0</v>
      </c>
      <c r="F1912" t="s">
        <v>45</v>
      </c>
      <c r="G1912" s="3">
        <f t="shared" si="222"/>
        <v>-5320.9065000000001</v>
      </c>
      <c r="H1912" s="3">
        <f t="shared" si="223"/>
        <v>5320.9065000000001</v>
      </c>
      <c r="I1912" s="5" t="str">
        <f t="shared" si="224"/>
        <v>016</v>
      </c>
      <c r="J1912" s="5" t="str">
        <f t="shared" si="225"/>
        <v>2100</v>
      </c>
      <c r="K1912" s="5" t="str">
        <f t="shared" si="226"/>
        <v>000</v>
      </c>
      <c r="L1912" s="5">
        <f t="shared" si="227"/>
        <v>4</v>
      </c>
      <c r="M1912" s="5">
        <f t="shared" si="228"/>
        <v>2012</v>
      </c>
    </row>
    <row r="1913" spans="1:13" ht="17.45" customHeight="1" x14ac:dyDescent="0.25">
      <c r="A1913" s="1">
        <f>DATE(2012,4,10)</f>
        <v>41009</v>
      </c>
      <c r="B1913" t="s">
        <v>12</v>
      </c>
      <c r="C1913" t="s">
        <v>8</v>
      </c>
      <c r="D1913" s="3">
        <v>2005.74</v>
      </c>
      <c r="E1913" s="3">
        <v>0</v>
      </c>
      <c r="F1913" t="s">
        <v>45</v>
      </c>
      <c r="G1913" s="3">
        <f t="shared" si="222"/>
        <v>-2005.74</v>
      </c>
      <c r="H1913" s="3">
        <f t="shared" si="223"/>
        <v>2005.74</v>
      </c>
      <c r="I1913" s="5" t="str">
        <f t="shared" si="224"/>
        <v>016</v>
      </c>
      <c r="J1913" s="5" t="str">
        <f t="shared" si="225"/>
        <v>2210</v>
      </c>
      <c r="K1913" s="5" t="str">
        <f t="shared" si="226"/>
        <v>000</v>
      </c>
      <c r="L1913" s="5">
        <f t="shared" si="227"/>
        <v>4</v>
      </c>
      <c r="M1913" s="5">
        <f t="shared" si="228"/>
        <v>2012</v>
      </c>
    </row>
    <row r="1914" spans="1:13" ht="17.45" customHeight="1" x14ac:dyDescent="0.25">
      <c r="A1914" s="1">
        <f>DATE(2012,4,10)</f>
        <v>41009</v>
      </c>
      <c r="B1914" t="s">
        <v>13</v>
      </c>
      <c r="C1914" t="s">
        <v>9</v>
      </c>
      <c r="D1914" s="3">
        <v>269.46749999999997</v>
      </c>
      <c r="E1914" s="3">
        <v>0</v>
      </c>
      <c r="F1914" t="s">
        <v>45</v>
      </c>
      <c r="G1914" s="3">
        <f t="shared" si="222"/>
        <v>-269.46749999999997</v>
      </c>
      <c r="H1914" s="3">
        <f t="shared" si="223"/>
        <v>269.46749999999997</v>
      </c>
      <c r="I1914" s="5" t="str">
        <f t="shared" si="224"/>
        <v>016</v>
      </c>
      <c r="J1914" s="5" t="str">
        <f t="shared" si="225"/>
        <v>2220</v>
      </c>
      <c r="K1914" s="5" t="str">
        <f t="shared" si="226"/>
        <v>000</v>
      </c>
      <c r="L1914" s="5">
        <f t="shared" si="227"/>
        <v>4</v>
      </c>
      <c r="M1914" s="5">
        <f t="shared" si="228"/>
        <v>2012</v>
      </c>
    </row>
    <row r="1915" spans="1:13" ht="17.45" customHeight="1" x14ac:dyDescent="0.25">
      <c r="A1915" s="1">
        <f>DATE(2012,4,10)</f>
        <v>41009</v>
      </c>
      <c r="B1915" t="s">
        <v>14</v>
      </c>
      <c r="C1915" t="s">
        <v>10</v>
      </c>
      <c r="D1915" s="3">
        <v>121.212</v>
      </c>
      <c r="E1915" s="3">
        <v>0</v>
      </c>
      <c r="F1915" t="s">
        <v>45</v>
      </c>
      <c r="G1915" s="3">
        <f t="shared" si="222"/>
        <v>-121.212</v>
      </c>
      <c r="H1915" s="3">
        <f t="shared" si="223"/>
        <v>121.212</v>
      </c>
      <c r="I1915" s="5" t="str">
        <f t="shared" si="224"/>
        <v>016</v>
      </c>
      <c r="J1915" s="5" t="str">
        <f t="shared" si="225"/>
        <v>2230</v>
      </c>
      <c r="K1915" s="5" t="str">
        <f t="shared" si="226"/>
        <v>000</v>
      </c>
      <c r="L1915" s="5">
        <f t="shared" si="227"/>
        <v>4</v>
      </c>
      <c r="M1915" s="5">
        <f t="shared" si="228"/>
        <v>2012</v>
      </c>
    </row>
    <row r="1916" spans="1:13" ht="17.45" customHeight="1" x14ac:dyDescent="0.25">
      <c r="A1916" s="1">
        <f>DATE(2012,4,11)</f>
        <v>41010</v>
      </c>
      <c r="B1916" t="s">
        <v>11</v>
      </c>
      <c r="C1916" t="s">
        <v>6</v>
      </c>
      <c r="D1916" s="3">
        <v>4146.5971</v>
      </c>
      <c r="E1916" s="3">
        <v>0</v>
      </c>
      <c r="F1916" t="s">
        <v>45</v>
      </c>
      <c r="G1916" s="3">
        <f t="shared" si="222"/>
        <v>-4146.5971</v>
      </c>
      <c r="H1916" s="3">
        <f t="shared" si="223"/>
        <v>4146.5971</v>
      </c>
      <c r="I1916" s="5" t="str">
        <f t="shared" si="224"/>
        <v>016</v>
      </c>
      <c r="J1916" s="5" t="str">
        <f t="shared" si="225"/>
        <v>2100</v>
      </c>
      <c r="K1916" s="5" t="str">
        <f t="shared" si="226"/>
        <v>000</v>
      </c>
      <c r="L1916" s="5">
        <f t="shared" si="227"/>
        <v>4</v>
      </c>
      <c r="M1916" s="5">
        <f t="shared" si="228"/>
        <v>2012</v>
      </c>
    </row>
    <row r="1917" spans="1:13" ht="17.45" customHeight="1" x14ac:dyDescent="0.25">
      <c r="A1917" s="1">
        <f>DATE(2012,4,11)</f>
        <v>41010</v>
      </c>
      <c r="B1917" t="s">
        <v>12</v>
      </c>
      <c r="C1917" t="s">
        <v>8</v>
      </c>
      <c r="D1917" s="3">
        <v>1774.4175</v>
      </c>
      <c r="E1917" s="3">
        <v>0</v>
      </c>
      <c r="F1917" t="s">
        <v>45</v>
      </c>
      <c r="G1917" s="3">
        <f t="shared" si="222"/>
        <v>-1774.4175</v>
      </c>
      <c r="H1917" s="3">
        <f t="shared" si="223"/>
        <v>1774.4175</v>
      </c>
      <c r="I1917" s="5" t="str">
        <f t="shared" si="224"/>
        <v>016</v>
      </c>
      <c r="J1917" s="5" t="str">
        <f t="shared" si="225"/>
        <v>2210</v>
      </c>
      <c r="K1917" s="5" t="str">
        <f t="shared" si="226"/>
        <v>000</v>
      </c>
      <c r="L1917" s="5">
        <f t="shared" si="227"/>
        <v>4</v>
      </c>
      <c r="M1917" s="5">
        <f t="shared" si="228"/>
        <v>2012</v>
      </c>
    </row>
    <row r="1918" spans="1:13" ht="17.45" customHeight="1" x14ac:dyDescent="0.25">
      <c r="A1918" s="1">
        <f>DATE(2012,4,11)</f>
        <v>41010</v>
      </c>
      <c r="B1918" t="s">
        <v>13</v>
      </c>
      <c r="C1918" t="s">
        <v>9</v>
      </c>
      <c r="D1918" s="3">
        <v>188.124</v>
      </c>
      <c r="E1918" s="3">
        <v>0</v>
      </c>
      <c r="F1918" t="s">
        <v>45</v>
      </c>
      <c r="G1918" s="3">
        <f t="shared" si="222"/>
        <v>-188.124</v>
      </c>
      <c r="H1918" s="3">
        <f t="shared" si="223"/>
        <v>188.124</v>
      </c>
      <c r="I1918" s="5" t="str">
        <f t="shared" si="224"/>
        <v>016</v>
      </c>
      <c r="J1918" s="5" t="str">
        <f t="shared" si="225"/>
        <v>2220</v>
      </c>
      <c r="K1918" s="5" t="str">
        <f t="shared" si="226"/>
        <v>000</v>
      </c>
      <c r="L1918" s="5">
        <f t="shared" si="227"/>
        <v>4</v>
      </c>
      <c r="M1918" s="5">
        <f t="shared" si="228"/>
        <v>2012</v>
      </c>
    </row>
    <row r="1919" spans="1:13" ht="17.45" customHeight="1" x14ac:dyDescent="0.25">
      <c r="A1919" s="1">
        <f>DATE(2012,4,11)</f>
        <v>41010</v>
      </c>
      <c r="B1919" t="s">
        <v>14</v>
      </c>
      <c r="C1919" t="s">
        <v>10</v>
      </c>
      <c r="D1919" s="3">
        <v>113.52899999999998</v>
      </c>
      <c r="E1919" s="3">
        <v>0</v>
      </c>
      <c r="F1919" t="s">
        <v>45</v>
      </c>
      <c r="G1919" s="3">
        <f t="shared" si="222"/>
        <v>-113.52899999999998</v>
      </c>
      <c r="H1919" s="3">
        <f t="shared" si="223"/>
        <v>113.52899999999998</v>
      </c>
      <c r="I1919" s="5" t="str">
        <f t="shared" si="224"/>
        <v>016</v>
      </c>
      <c r="J1919" s="5" t="str">
        <f t="shared" si="225"/>
        <v>2230</v>
      </c>
      <c r="K1919" s="5" t="str">
        <f t="shared" si="226"/>
        <v>000</v>
      </c>
      <c r="L1919" s="5">
        <f t="shared" si="227"/>
        <v>4</v>
      </c>
      <c r="M1919" s="5">
        <f t="shared" si="228"/>
        <v>2012</v>
      </c>
    </row>
    <row r="1920" spans="1:13" ht="17.45" customHeight="1" x14ac:dyDescent="0.25">
      <c r="A1920" s="1">
        <f>DATE(2012,4,12)</f>
        <v>41011</v>
      </c>
      <c r="B1920" t="s">
        <v>11</v>
      </c>
      <c r="C1920" t="s">
        <v>6</v>
      </c>
      <c r="D1920" s="3">
        <v>4297.5237999999999</v>
      </c>
      <c r="E1920" s="3">
        <v>0</v>
      </c>
      <c r="F1920" t="s">
        <v>45</v>
      </c>
      <c r="G1920" s="3">
        <f t="shared" si="222"/>
        <v>-4297.5237999999999</v>
      </c>
      <c r="H1920" s="3">
        <f t="shared" si="223"/>
        <v>4297.5237999999999</v>
      </c>
      <c r="I1920" s="5" t="str">
        <f t="shared" si="224"/>
        <v>016</v>
      </c>
      <c r="J1920" s="5" t="str">
        <f t="shared" si="225"/>
        <v>2100</v>
      </c>
      <c r="K1920" s="5" t="str">
        <f t="shared" si="226"/>
        <v>000</v>
      </c>
      <c r="L1920" s="5">
        <f t="shared" si="227"/>
        <v>4</v>
      </c>
      <c r="M1920" s="5">
        <f t="shared" si="228"/>
        <v>2012</v>
      </c>
    </row>
    <row r="1921" spans="1:13" ht="17.45" customHeight="1" x14ac:dyDescent="0.25">
      <c r="A1921" s="1">
        <f>DATE(2012,4,12)</f>
        <v>41011</v>
      </c>
      <c r="B1921" t="s">
        <v>12</v>
      </c>
      <c r="C1921" t="s">
        <v>8</v>
      </c>
      <c r="D1921" s="3">
        <v>1316.88</v>
      </c>
      <c r="E1921" s="3">
        <v>0</v>
      </c>
      <c r="F1921" t="s">
        <v>45</v>
      </c>
      <c r="G1921" s="3">
        <f t="shared" si="222"/>
        <v>-1316.88</v>
      </c>
      <c r="H1921" s="3">
        <f t="shared" si="223"/>
        <v>1316.88</v>
      </c>
      <c r="I1921" s="5" t="str">
        <f t="shared" si="224"/>
        <v>016</v>
      </c>
      <c r="J1921" s="5" t="str">
        <f t="shared" si="225"/>
        <v>2210</v>
      </c>
      <c r="K1921" s="5" t="str">
        <f t="shared" si="226"/>
        <v>000</v>
      </c>
      <c r="L1921" s="5">
        <f t="shared" si="227"/>
        <v>4</v>
      </c>
      <c r="M1921" s="5">
        <f t="shared" si="228"/>
        <v>2012</v>
      </c>
    </row>
    <row r="1922" spans="1:13" ht="17.45" customHeight="1" x14ac:dyDescent="0.25">
      <c r="A1922" s="1">
        <f>DATE(2012,4,12)</f>
        <v>41011</v>
      </c>
      <c r="B1922" t="s">
        <v>13</v>
      </c>
      <c r="C1922" t="s">
        <v>9</v>
      </c>
      <c r="D1922" s="3">
        <v>319.57600000000002</v>
      </c>
      <c r="E1922" s="3">
        <v>0</v>
      </c>
      <c r="F1922" t="s">
        <v>45</v>
      </c>
      <c r="G1922" s="3">
        <f t="shared" ref="G1922:G1985" si="229">E1922-D1922</f>
        <v>-319.57600000000002</v>
      </c>
      <c r="H1922" s="3">
        <f t="shared" ref="H1922:H1985" si="230">ABS(G1922)</f>
        <v>319.57600000000002</v>
      </c>
      <c r="I1922" s="5" t="str">
        <f t="shared" ref="I1922:I1985" si="231">MID(B1922,1,3)</f>
        <v>016</v>
      </c>
      <c r="J1922" s="5" t="str">
        <f t="shared" ref="J1922:J1985" si="232">MID(B1922,5,4)</f>
        <v>2220</v>
      </c>
      <c r="K1922" s="5" t="str">
        <f t="shared" ref="K1922:K1985" si="233">MID(B1922,10,3)</f>
        <v>000</v>
      </c>
      <c r="L1922" s="5">
        <f t="shared" ref="L1922:L1985" si="234">MONTH(A1922)</f>
        <v>4</v>
      </c>
      <c r="M1922" s="5">
        <f t="shared" ref="M1922:M1985" si="235">YEAR(A1922)</f>
        <v>2012</v>
      </c>
    </row>
    <row r="1923" spans="1:13" ht="17.45" customHeight="1" x14ac:dyDescent="0.25">
      <c r="A1923" s="1">
        <f>DATE(2012,4,12)</f>
        <v>41011</v>
      </c>
      <c r="B1923" t="s">
        <v>14</v>
      </c>
      <c r="C1923" t="s">
        <v>10</v>
      </c>
      <c r="D1923" s="3">
        <v>250.64999999999998</v>
      </c>
      <c r="E1923" s="3">
        <v>0</v>
      </c>
      <c r="F1923" t="s">
        <v>45</v>
      </c>
      <c r="G1923" s="3">
        <f t="shared" si="229"/>
        <v>-250.64999999999998</v>
      </c>
      <c r="H1923" s="3">
        <f t="shared" si="230"/>
        <v>250.64999999999998</v>
      </c>
      <c r="I1923" s="5" t="str">
        <f t="shared" si="231"/>
        <v>016</v>
      </c>
      <c r="J1923" s="5" t="str">
        <f t="shared" si="232"/>
        <v>2230</v>
      </c>
      <c r="K1923" s="5" t="str">
        <f t="shared" si="233"/>
        <v>000</v>
      </c>
      <c r="L1923" s="5">
        <f t="shared" si="234"/>
        <v>4</v>
      </c>
      <c r="M1923" s="5">
        <f t="shared" si="235"/>
        <v>2012</v>
      </c>
    </row>
    <row r="1924" spans="1:13" ht="17.45" customHeight="1" x14ac:dyDescent="0.25">
      <c r="A1924" s="1">
        <f>DATE(2012,4,13)</f>
        <v>41012</v>
      </c>
      <c r="B1924" t="s">
        <v>11</v>
      </c>
      <c r="C1924" t="s">
        <v>6</v>
      </c>
      <c r="D1924" s="3">
        <v>7601.9415999999992</v>
      </c>
      <c r="E1924" s="3">
        <v>0</v>
      </c>
      <c r="F1924" t="s">
        <v>45</v>
      </c>
      <c r="G1924" s="3">
        <f t="shared" si="229"/>
        <v>-7601.9415999999992</v>
      </c>
      <c r="H1924" s="3">
        <f t="shared" si="230"/>
        <v>7601.9415999999992</v>
      </c>
      <c r="I1924" s="5" t="str">
        <f t="shared" si="231"/>
        <v>016</v>
      </c>
      <c r="J1924" s="5" t="str">
        <f t="shared" si="232"/>
        <v>2100</v>
      </c>
      <c r="K1924" s="5" t="str">
        <f t="shared" si="233"/>
        <v>000</v>
      </c>
      <c r="L1924" s="5">
        <f t="shared" si="234"/>
        <v>4</v>
      </c>
      <c r="M1924" s="5">
        <f t="shared" si="235"/>
        <v>2012</v>
      </c>
    </row>
    <row r="1925" spans="1:13" ht="17.45" customHeight="1" x14ac:dyDescent="0.25">
      <c r="A1925" s="1">
        <f>DATE(2012,4,13)</f>
        <v>41012</v>
      </c>
      <c r="B1925" t="s">
        <v>12</v>
      </c>
      <c r="C1925" t="s">
        <v>8</v>
      </c>
      <c r="D1925" s="3">
        <v>2463.0375000000004</v>
      </c>
      <c r="E1925" s="3">
        <v>0</v>
      </c>
      <c r="F1925" t="s">
        <v>45</v>
      </c>
      <c r="G1925" s="3">
        <f t="shared" si="229"/>
        <v>-2463.0375000000004</v>
      </c>
      <c r="H1925" s="3">
        <f t="shared" si="230"/>
        <v>2463.0375000000004</v>
      </c>
      <c r="I1925" s="5" t="str">
        <f t="shared" si="231"/>
        <v>016</v>
      </c>
      <c r="J1925" s="5" t="str">
        <f t="shared" si="232"/>
        <v>2210</v>
      </c>
      <c r="K1925" s="5" t="str">
        <f t="shared" si="233"/>
        <v>000</v>
      </c>
      <c r="L1925" s="5">
        <f t="shared" si="234"/>
        <v>4</v>
      </c>
      <c r="M1925" s="5">
        <f t="shared" si="235"/>
        <v>2012</v>
      </c>
    </row>
    <row r="1926" spans="1:13" ht="17.45" customHeight="1" x14ac:dyDescent="0.25">
      <c r="A1926" s="1">
        <f>DATE(2012,4,13)</f>
        <v>41012</v>
      </c>
      <c r="B1926" t="s">
        <v>13</v>
      </c>
      <c r="C1926" t="s">
        <v>9</v>
      </c>
      <c r="D1926" s="3">
        <v>472.10399999999993</v>
      </c>
      <c r="E1926" s="3">
        <v>0</v>
      </c>
      <c r="F1926" t="s">
        <v>45</v>
      </c>
      <c r="G1926" s="3">
        <f t="shared" si="229"/>
        <v>-472.10399999999993</v>
      </c>
      <c r="H1926" s="3">
        <f t="shared" si="230"/>
        <v>472.10399999999993</v>
      </c>
      <c r="I1926" s="5" t="str">
        <f t="shared" si="231"/>
        <v>016</v>
      </c>
      <c r="J1926" s="5" t="str">
        <f t="shared" si="232"/>
        <v>2220</v>
      </c>
      <c r="K1926" s="5" t="str">
        <f t="shared" si="233"/>
        <v>000</v>
      </c>
      <c r="L1926" s="5">
        <f t="shared" si="234"/>
        <v>4</v>
      </c>
      <c r="M1926" s="5">
        <f t="shared" si="235"/>
        <v>2012</v>
      </c>
    </row>
    <row r="1927" spans="1:13" ht="17.45" customHeight="1" x14ac:dyDescent="0.25">
      <c r="A1927" s="1">
        <f>DATE(2012,4,13)</f>
        <v>41012</v>
      </c>
      <c r="B1927" t="s">
        <v>14</v>
      </c>
      <c r="C1927" t="s">
        <v>10</v>
      </c>
      <c r="D1927" s="3">
        <v>203.25200000000001</v>
      </c>
      <c r="E1927" s="3">
        <v>0</v>
      </c>
      <c r="F1927" t="s">
        <v>45</v>
      </c>
      <c r="G1927" s="3">
        <f t="shared" si="229"/>
        <v>-203.25200000000001</v>
      </c>
      <c r="H1927" s="3">
        <f t="shared" si="230"/>
        <v>203.25200000000001</v>
      </c>
      <c r="I1927" s="5" t="str">
        <f t="shared" si="231"/>
        <v>016</v>
      </c>
      <c r="J1927" s="5" t="str">
        <f t="shared" si="232"/>
        <v>2230</v>
      </c>
      <c r="K1927" s="5" t="str">
        <f t="shared" si="233"/>
        <v>000</v>
      </c>
      <c r="L1927" s="5">
        <f t="shared" si="234"/>
        <v>4</v>
      </c>
      <c r="M1927" s="5">
        <f t="shared" si="235"/>
        <v>2012</v>
      </c>
    </row>
    <row r="1928" spans="1:13" ht="17.45" customHeight="1" x14ac:dyDescent="0.25">
      <c r="A1928" s="1">
        <f>DATE(2012,4,14)</f>
        <v>41013</v>
      </c>
      <c r="B1928" t="s">
        <v>11</v>
      </c>
      <c r="C1928" t="s">
        <v>6</v>
      </c>
      <c r="D1928" s="3">
        <v>10679.768</v>
      </c>
      <c r="E1928" s="3">
        <v>0</v>
      </c>
      <c r="F1928" t="s">
        <v>45</v>
      </c>
      <c r="G1928" s="3">
        <f t="shared" si="229"/>
        <v>-10679.768</v>
      </c>
      <c r="H1928" s="3">
        <f t="shared" si="230"/>
        <v>10679.768</v>
      </c>
      <c r="I1928" s="5" t="str">
        <f t="shared" si="231"/>
        <v>016</v>
      </c>
      <c r="J1928" s="5" t="str">
        <f t="shared" si="232"/>
        <v>2100</v>
      </c>
      <c r="K1928" s="5" t="str">
        <f t="shared" si="233"/>
        <v>000</v>
      </c>
      <c r="L1928" s="5">
        <f t="shared" si="234"/>
        <v>4</v>
      </c>
      <c r="M1928" s="5">
        <f t="shared" si="235"/>
        <v>2012</v>
      </c>
    </row>
    <row r="1929" spans="1:13" ht="17.45" customHeight="1" x14ac:dyDescent="0.25">
      <c r="A1929" s="1">
        <f>DATE(2012,4,14)</f>
        <v>41013</v>
      </c>
      <c r="B1929" t="s">
        <v>12</v>
      </c>
      <c r="C1929" t="s">
        <v>8</v>
      </c>
      <c r="D1929" s="3">
        <v>5070.2520000000004</v>
      </c>
      <c r="E1929" s="3">
        <v>0</v>
      </c>
      <c r="F1929" t="s">
        <v>45</v>
      </c>
      <c r="G1929" s="3">
        <f t="shared" si="229"/>
        <v>-5070.2520000000004</v>
      </c>
      <c r="H1929" s="3">
        <f t="shared" si="230"/>
        <v>5070.2520000000004</v>
      </c>
      <c r="I1929" s="5" t="str">
        <f t="shared" si="231"/>
        <v>016</v>
      </c>
      <c r="J1929" s="5" t="str">
        <f t="shared" si="232"/>
        <v>2210</v>
      </c>
      <c r="K1929" s="5" t="str">
        <f t="shared" si="233"/>
        <v>000</v>
      </c>
      <c r="L1929" s="5">
        <f t="shared" si="234"/>
        <v>4</v>
      </c>
      <c r="M1929" s="5">
        <f t="shared" si="235"/>
        <v>2012</v>
      </c>
    </row>
    <row r="1930" spans="1:13" ht="17.45" customHeight="1" x14ac:dyDescent="0.25">
      <c r="A1930" s="1">
        <f>DATE(2012,4,14)</f>
        <v>41013</v>
      </c>
      <c r="B1930" t="s">
        <v>13</v>
      </c>
      <c r="C1930" t="s">
        <v>9</v>
      </c>
      <c r="D1930" s="3">
        <v>1342.692</v>
      </c>
      <c r="E1930" s="3">
        <v>0</v>
      </c>
      <c r="F1930" t="s">
        <v>45</v>
      </c>
      <c r="G1930" s="3">
        <f t="shared" si="229"/>
        <v>-1342.692</v>
      </c>
      <c r="H1930" s="3">
        <f t="shared" si="230"/>
        <v>1342.692</v>
      </c>
      <c r="I1930" s="5" t="str">
        <f t="shared" si="231"/>
        <v>016</v>
      </c>
      <c r="J1930" s="5" t="str">
        <f t="shared" si="232"/>
        <v>2220</v>
      </c>
      <c r="K1930" s="5" t="str">
        <f t="shared" si="233"/>
        <v>000</v>
      </c>
      <c r="L1930" s="5">
        <f t="shared" si="234"/>
        <v>4</v>
      </c>
      <c r="M1930" s="5">
        <f t="shared" si="235"/>
        <v>2012</v>
      </c>
    </row>
    <row r="1931" spans="1:13" ht="17.45" customHeight="1" x14ac:dyDescent="0.25">
      <c r="A1931" s="1">
        <f>DATE(2012,4,14)</f>
        <v>41013</v>
      </c>
      <c r="B1931" t="s">
        <v>14</v>
      </c>
      <c r="C1931" t="s">
        <v>10</v>
      </c>
      <c r="D1931" s="3">
        <v>369.29999999999995</v>
      </c>
      <c r="E1931" s="3">
        <v>0</v>
      </c>
      <c r="F1931" t="s">
        <v>45</v>
      </c>
      <c r="G1931" s="3">
        <f t="shared" si="229"/>
        <v>-369.29999999999995</v>
      </c>
      <c r="H1931" s="3">
        <f t="shared" si="230"/>
        <v>369.29999999999995</v>
      </c>
      <c r="I1931" s="5" t="str">
        <f t="shared" si="231"/>
        <v>016</v>
      </c>
      <c r="J1931" s="5" t="str">
        <f t="shared" si="232"/>
        <v>2230</v>
      </c>
      <c r="K1931" s="5" t="str">
        <f t="shared" si="233"/>
        <v>000</v>
      </c>
      <c r="L1931" s="5">
        <f t="shared" si="234"/>
        <v>4</v>
      </c>
      <c r="M1931" s="5">
        <f t="shared" si="235"/>
        <v>2012</v>
      </c>
    </row>
    <row r="1932" spans="1:13" ht="17.45" customHeight="1" x14ac:dyDescent="0.25">
      <c r="A1932" s="1">
        <f>DATE(2012,4,15)</f>
        <v>41014</v>
      </c>
      <c r="B1932" t="s">
        <v>11</v>
      </c>
      <c r="C1932" t="s">
        <v>6</v>
      </c>
      <c r="D1932" s="3">
        <v>4163.9976000000006</v>
      </c>
      <c r="E1932" s="3">
        <v>0</v>
      </c>
      <c r="F1932" t="s">
        <v>45</v>
      </c>
      <c r="G1932" s="3">
        <f t="shared" si="229"/>
        <v>-4163.9976000000006</v>
      </c>
      <c r="H1932" s="3">
        <f t="shared" si="230"/>
        <v>4163.9976000000006</v>
      </c>
      <c r="I1932" s="5" t="str">
        <f t="shared" si="231"/>
        <v>016</v>
      </c>
      <c r="J1932" s="5" t="str">
        <f t="shared" si="232"/>
        <v>2100</v>
      </c>
      <c r="K1932" s="5" t="str">
        <f t="shared" si="233"/>
        <v>000</v>
      </c>
      <c r="L1932" s="5">
        <f t="shared" si="234"/>
        <v>4</v>
      </c>
      <c r="M1932" s="5">
        <f t="shared" si="235"/>
        <v>2012</v>
      </c>
    </row>
    <row r="1933" spans="1:13" ht="17.45" customHeight="1" x14ac:dyDescent="0.25">
      <c r="A1933" s="1">
        <f>DATE(2012,4,15)</f>
        <v>41014</v>
      </c>
      <c r="B1933" t="s">
        <v>12</v>
      </c>
      <c r="C1933" t="s">
        <v>8</v>
      </c>
      <c r="D1933" s="3">
        <v>1628.2398000000001</v>
      </c>
      <c r="E1933" s="3">
        <v>0</v>
      </c>
      <c r="F1933" t="s">
        <v>45</v>
      </c>
      <c r="G1933" s="3">
        <f t="shared" si="229"/>
        <v>-1628.2398000000001</v>
      </c>
      <c r="H1933" s="3">
        <f t="shared" si="230"/>
        <v>1628.2398000000001</v>
      </c>
      <c r="I1933" s="5" t="str">
        <f t="shared" si="231"/>
        <v>016</v>
      </c>
      <c r="J1933" s="5" t="str">
        <f t="shared" si="232"/>
        <v>2210</v>
      </c>
      <c r="K1933" s="5" t="str">
        <f t="shared" si="233"/>
        <v>000</v>
      </c>
      <c r="L1933" s="5">
        <f t="shared" si="234"/>
        <v>4</v>
      </c>
      <c r="M1933" s="5">
        <f t="shared" si="235"/>
        <v>2012</v>
      </c>
    </row>
    <row r="1934" spans="1:13" ht="17.45" customHeight="1" x14ac:dyDescent="0.25">
      <c r="A1934" s="1">
        <f>DATE(2012,4,15)</f>
        <v>41014</v>
      </c>
      <c r="B1934" t="s">
        <v>13</v>
      </c>
      <c r="C1934" t="s">
        <v>9</v>
      </c>
      <c r="D1934" s="3">
        <v>263.08799999999997</v>
      </c>
      <c r="E1934" s="3">
        <v>0</v>
      </c>
      <c r="F1934" t="s">
        <v>45</v>
      </c>
      <c r="G1934" s="3">
        <f t="shared" si="229"/>
        <v>-263.08799999999997</v>
      </c>
      <c r="H1934" s="3">
        <f t="shared" si="230"/>
        <v>263.08799999999997</v>
      </c>
      <c r="I1934" s="5" t="str">
        <f t="shared" si="231"/>
        <v>016</v>
      </c>
      <c r="J1934" s="5" t="str">
        <f t="shared" si="232"/>
        <v>2220</v>
      </c>
      <c r="K1934" s="5" t="str">
        <f t="shared" si="233"/>
        <v>000</v>
      </c>
      <c r="L1934" s="5">
        <f t="shared" si="234"/>
        <v>4</v>
      </c>
      <c r="M1934" s="5">
        <f t="shared" si="235"/>
        <v>2012</v>
      </c>
    </row>
    <row r="1935" spans="1:13" ht="17.45" customHeight="1" x14ac:dyDescent="0.25">
      <c r="A1935" s="1">
        <f>DATE(2012,4,15)</f>
        <v>41014</v>
      </c>
      <c r="B1935" t="s">
        <v>14</v>
      </c>
      <c r="C1935" t="s">
        <v>10</v>
      </c>
      <c r="D1935" s="3">
        <v>136.864</v>
      </c>
      <c r="E1935" s="3">
        <v>0</v>
      </c>
      <c r="F1935" t="s">
        <v>45</v>
      </c>
      <c r="G1935" s="3">
        <f t="shared" si="229"/>
        <v>-136.864</v>
      </c>
      <c r="H1935" s="3">
        <f t="shared" si="230"/>
        <v>136.864</v>
      </c>
      <c r="I1935" s="5" t="str">
        <f t="shared" si="231"/>
        <v>016</v>
      </c>
      <c r="J1935" s="5" t="str">
        <f t="shared" si="232"/>
        <v>2230</v>
      </c>
      <c r="K1935" s="5" t="str">
        <f t="shared" si="233"/>
        <v>000</v>
      </c>
      <c r="L1935" s="5">
        <f t="shared" si="234"/>
        <v>4</v>
      </c>
      <c r="M1935" s="5">
        <f t="shared" si="235"/>
        <v>2012</v>
      </c>
    </row>
    <row r="1936" spans="1:13" ht="17.45" customHeight="1" x14ac:dyDescent="0.25">
      <c r="A1936" s="1">
        <f>DATE(2012,4,9)</f>
        <v>41008</v>
      </c>
      <c r="B1936" t="s">
        <v>15</v>
      </c>
      <c r="C1936" t="s">
        <v>6</v>
      </c>
      <c r="D1936" s="3">
        <v>6074.9849999999997</v>
      </c>
      <c r="E1936" s="3">
        <v>0</v>
      </c>
      <c r="F1936" t="s">
        <v>45</v>
      </c>
      <c r="G1936" s="3">
        <f t="shared" si="229"/>
        <v>-6074.9849999999997</v>
      </c>
      <c r="H1936" s="3">
        <f t="shared" si="230"/>
        <v>6074.9849999999997</v>
      </c>
      <c r="I1936" s="5" t="str">
        <f t="shared" si="231"/>
        <v>017</v>
      </c>
      <c r="J1936" s="5" t="str">
        <f t="shared" si="232"/>
        <v>2100</v>
      </c>
      <c r="K1936" s="5" t="str">
        <f t="shared" si="233"/>
        <v>000</v>
      </c>
      <c r="L1936" s="5">
        <f t="shared" si="234"/>
        <v>4</v>
      </c>
      <c r="M1936" s="5">
        <f t="shared" si="235"/>
        <v>2012</v>
      </c>
    </row>
    <row r="1937" spans="1:13" ht="17.45" customHeight="1" x14ac:dyDescent="0.25">
      <c r="A1937" s="1">
        <f>DATE(2012,4,9)</f>
        <v>41008</v>
      </c>
      <c r="B1937" t="s">
        <v>16</v>
      </c>
      <c r="C1937" t="s">
        <v>8</v>
      </c>
      <c r="D1937" s="3">
        <v>1782.5775000000001</v>
      </c>
      <c r="E1937" s="3">
        <v>0</v>
      </c>
      <c r="F1937" t="s">
        <v>45</v>
      </c>
      <c r="G1937" s="3">
        <f t="shared" si="229"/>
        <v>-1782.5775000000001</v>
      </c>
      <c r="H1937" s="3">
        <f t="shared" si="230"/>
        <v>1782.5775000000001</v>
      </c>
      <c r="I1937" s="5" t="str">
        <f t="shared" si="231"/>
        <v>017</v>
      </c>
      <c r="J1937" s="5" t="str">
        <f t="shared" si="232"/>
        <v>2210</v>
      </c>
      <c r="K1937" s="5" t="str">
        <f t="shared" si="233"/>
        <v>000</v>
      </c>
      <c r="L1937" s="5">
        <f t="shared" si="234"/>
        <v>4</v>
      </c>
      <c r="M1937" s="5">
        <f t="shared" si="235"/>
        <v>2012</v>
      </c>
    </row>
    <row r="1938" spans="1:13" ht="17.45" customHeight="1" x14ac:dyDescent="0.25">
      <c r="A1938" s="1">
        <f>DATE(2012,4,9)</f>
        <v>41008</v>
      </c>
      <c r="B1938" t="s">
        <v>17</v>
      </c>
      <c r="C1938" t="s">
        <v>9</v>
      </c>
      <c r="D1938" s="3">
        <v>647.42499999999995</v>
      </c>
      <c r="E1938" s="3">
        <v>0</v>
      </c>
      <c r="F1938" t="s">
        <v>45</v>
      </c>
      <c r="G1938" s="3">
        <f t="shared" si="229"/>
        <v>-647.42499999999995</v>
      </c>
      <c r="H1938" s="3">
        <f t="shared" si="230"/>
        <v>647.42499999999995</v>
      </c>
      <c r="I1938" s="5" t="str">
        <f t="shared" si="231"/>
        <v>017</v>
      </c>
      <c r="J1938" s="5" t="str">
        <f t="shared" si="232"/>
        <v>2220</v>
      </c>
      <c r="K1938" s="5" t="str">
        <f t="shared" si="233"/>
        <v>000</v>
      </c>
      <c r="L1938" s="5">
        <f t="shared" si="234"/>
        <v>4</v>
      </c>
      <c r="M1938" s="5">
        <f t="shared" si="235"/>
        <v>2012</v>
      </c>
    </row>
    <row r="1939" spans="1:13" ht="17.45" customHeight="1" x14ac:dyDescent="0.25">
      <c r="A1939" s="1">
        <f>DATE(2012,4,9)</f>
        <v>41008</v>
      </c>
      <c r="B1939" t="s">
        <v>18</v>
      </c>
      <c r="C1939" t="s">
        <v>10</v>
      </c>
      <c r="D1939" s="3">
        <v>223.51499999999999</v>
      </c>
      <c r="E1939" s="3">
        <v>0</v>
      </c>
      <c r="F1939" t="s">
        <v>45</v>
      </c>
      <c r="G1939" s="3">
        <f t="shared" si="229"/>
        <v>-223.51499999999999</v>
      </c>
      <c r="H1939" s="3">
        <f t="shared" si="230"/>
        <v>223.51499999999999</v>
      </c>
      <c r="I1939" s="5" t="str">
        <f t="shared" si="231"/>
        <v>017</v>
      </c>
      <c r="J1939" s="5" t="str">
        <f t="shared" si="232"/>
        <v>2230</v>
      </c>
      <c r="K1939" s="5" t="str">
        <f t="shared" si="233"/>
        <v>000</v>
      </c>
      <c r="L1939" s="5">
        <f t="shared" si="234"/>
        <v>4</v>
      </c>
      <c r="M1939" s="5">
        <f t="shared" si="235"/>
        <v>2012</v>
      </c>
    </row>
    <row r="1940" spans="1:13" ht="17.45" customHeight="1" x14ac:dyDescent="0.25">
      <c r="A1940" s="1">
        <f>DATE(2012,4,10)</f>
        <v>41009</v>
      </c>
      <c r="B1940" t="s">
        <v>15</v>
      </c>
      <c r="C1940" t="s">
        <v>6</v>
      </c>
      <c r="D1940" s="3">
        <v>6647.0549999999994</v>
      </c>
      <c r="E1940" s="3">
        <v>0</v>
      </c>
      <c r="F1940" t="s">
        <v>45</v>
      </c>
      <c r="G1940" s="3">
        <f t="shared" si="229"/>
        <v>-6647.0549999999994</v>
      </c>
      <c r="H1940" s="3">
        <f t="shared" si="230"/>
        <v>6647.0549999999994</v>
      </c>
      <c r="I1940" s="5" t="str">
        <f t="shared" si="231"/>
        <v>017</v>
      </c>
      <c r="J1940" s="5" t="str">
        <f t="shared" si="232"/>
        <v>2100</v>
      </c>
      <c r="K1940" s="5" t="str">
        <f t="shared" si="233"/>
        <v>000</v>
      </c>
      <c r="L1940" s="5">
        <f t="shared" si="234"/>
        <v>4</v>
      </c>
      <c r="M1940" s="5">
        <f t="shared" si="235"/>
        <v>2012</v>
      </c>
    </row>
    <row r="1941" spans="1:13" ht="17.45" customHeight="1" x14ac:dyDescent="0.25">
      <c r="A1941" s="1">
        <f>DATE(2012,4,10)</f>
        <v>41009</v>
      </c>
      <c r="B1941" t="s">
        <v>16</v>
      </c>
      <c r="C1941" t="s">
        <v>8</v>
      </c>
      <c r="D1941" s="3">
        <v>1697.6079999999999</v>
      </c>
      <c r="E1941" s="3">
        <v>0</v>
      </c>
      <c r="F1941" t="s">
        <v>45</v>
      </c>
      <c r="G1941" s="3">
        <f t="shared" si="229"/>
        <v>-1697.6079999999999</v>
      </c>
      <c r="H1941" s="3">
        <f t="shared" si="230"/>
        <v>1697.6079999999999</v>
      </c>
      <c r="I1941" s="5" t="str">
        <f t="shared" si="231"/>
        <v>017</v>
      </c>
      <c r="J1941" s="5" t="str">
        <f t="shared" si="232"/>
        <v>2210</v>
      </c>
      <c r="K1941" s="5" t="str">
        <f t="shared" si="233"/>
        <v>000</v>
      </c>
      <c r="L1941" s="5">
        <f t="shared" si="234"/>
        <v>4</v>
      </c>
      <c r="M1941" s="5">
        <f t="shared" si="235"/>
        <v>2012</v>
      </c>
    </row>
    <row r="1942" spans="1:13" ht="17.45" customHeight="1" x14ac:dyDescent="0.25">
      <c r="A1942" s="1">
        <f>DATE(2012,4,10)</f>
        <v>41009</v>
      </c>
      <c r="B1942" t="s">
        <v>17</v>
      </c>
      <c r="C1942" t="s">
        <v>9</v>
      </c>
      <c r="D1942" s="3">
        <v>571.48500000000001</v>
      </c>
      <c r="E1942" s="3">
        <v>0</v>
      </c>
      <c r="F1942" t="s">
        <v>45</v>
      </c>
      <c r="G1942" s="3">
        <f t="shared" si="229"/>
        <v>-571.48500000000001</v>
      </c>
      <c r="H1942" s="3">
        <f t="shared" si="230"/>
        <v>571.48500000000001</v>
      </c>
      <c r="I1942" s="5" t="str">
        <f t="shared" si="231"/>
        <v>017</v>
      </c>
      <c r="J1942" s="5" t="str">
        <f t="shared" si="232"/>
        <v>2220</v>
      </c>
      <c r="K1942" s="5" t="str">
        <f t="shared" si="233"/>
        <v>000</v>
      </c>
      <c r="L1942" s="5">
        <f t="shared" si="234"/>
        <v>4</v>
      </c>
      <c r="M1942" s="5">
        <f t="shared" si="235"/>
        <v>2012</v>
      </c>
    </row>
    <row r="1943" spans="1:13" ht="17.45" customHeight="1" x14ac:dyDescent="0.25">
      <c r="A1943" s="1">
        <f>DATE(2012,4,10)</f>
        <v>41009</v>
      </c>
      <c r="B1943" t="s">
        <v>18</v>
      </c>
      <c r="C1943" t="s">
        <v>10</v>
      </c>
      <c r="D1943" s="3">
        <v>136.96200000000002</v>
      </c>
      <c r="E1943" s="3">
        <v>0</v>
      </c>
      <c r="F1943" t="s">
        <v>45</v>
      </c>
      <c r="G1943" s="3">
        <f t="shared" si="229"/>
        <v>-136.96200000000002</v>
      </c>
      <c r="H1943" s="3">
        <f t="shared" si="230"/>
        <v>136.96200000000002</v>
      </c>
      <c r="I1943" s="5" t="str">
        <f t="shared" si="231"/>
        <v>017</v>
      </c>
      <c r="J1943" s="5" t="str">
        <f t="shared" si="232"/>
        <v>2230</v>
      </c>
      <c r="K1943" s="5" t="str">
        <f t="shared" si="233"/>
        <v>000</v>
      </c>
      <c r="L1943" s="5">
        <f t="shared" si="234"/>
        <v>4</v>
      </c>
      <c r="M1943" s="5">
        <f t="shared" si="235"/>
        <v>2012</v>
      </c>
    </row>
    <row r="1944" spans="1:13" ht="17.45" customHeight="1" x14ac:dyDescent="0.25">
      <c r="A1944" s="1">
        <f>DATE(2012,4,11)</f>
        <v>41010</v>
      </c>
      <c r="B1944" t="s">
        <v>15</v>
      </c>
      <c r="C1944" t="s">
        <v>6</v>
      </c>
      <c r="D1944" s="3">
        <v>5034.8959999999997</v>
      </c>
      <c r="E1944" s="3">
        <v>0</v>
      </c>
      <c r="F1944" t="s">
        <v>45</v>
      </c>
      <c r="G1944" s="3">
        <f t="shared" si="229"/>
        <v>-5034.8959999999997</v>
      </c>
      <c r="H1944" s="3">
        <f t="shared" si="230"/>
        <v>5034.8959999999997</v>
      </c>
      <c r="I1944" s="5" t="str">
        <f t="shared" si="231"/>
        <v>017</v>
      </c>
      <c r="J1944" s="5" t="str">
        <f t="shared" si="232"/>
        <v>2100</v>
      </c>
      <c r="K1944" s="5" t="str">
        <f t="shared" si="233"/>
        <v>000</v>
      </c>
      <c r="L1944" s="5">
        <f t="shared" si="234"/>
        <v>4</v>
      </c>
      <c r="M1944" s="5">
        <f t="shared" si="235"/>
        <v>2012</v>
      </c>
    </row>
    <row r="1945" spans="1:13" ht="17.45" customHeight="1" x14ac:dyDescent="0.25">
      <c r="A1945" s="1">
        <f>DATE(2012,4,11)</f>
        <v>41010</v>
      </c>
      <c r="B1945" t="s">
        <v>16</v>
      </c>
      <c r="C1945" t="s">
        <v>8</v>
      </c>
      <c r="D1945" s="3">
        <v>1471.7860000000001</v>
      </c>
      <c r="E1945" s="3">
        <v>0</v>
      </c>
      <c r="F1945" t="s">
        <v>45</v>
      </c>
      <c r="G1945" s="3">
        <f t="shared" si="229"/>
        <v>-1471.7860000000001</v>
      </c>
      <c r="H1945" s="3">
        <f t="shared" si="230"/>
        <v>1471.7860000000001</v>
      </c>
      <c r="I1945" s="5" t="str">
        <f t="shared" si="231"/>
        <v>017</v>
      </c>
      <c r="J1945" s="5" t="str">
        <f t="shared" si="232"/>
        <v>2210</v>
      </c>
      <c r="K1945" s="5" t="str">
        <f t="shared" si="233"/>
        <v>000</v>
      </c>
      <c r="L1945" s="5">
        <f t="shared" si="234"/>
        <v>4</v>
      </c>
      <c r="M1945" s="5">
        <f t="shared" si="235"/>
        <v>2012</v>
      </c>
    </row>
    <row r="1946" spans="1:13" ht="17.45" customHeight="1" x14ac:dyDescent="0.25">
      <c r="A1946" s="1">
        <f>DATE(2012,4,11)</f>
        <v>41010</v>
      </c>
      <c r="B1946" t="s">
        <v>17</v>
      </c>
      <c r="C1946" t="s">
        <v>9</v>
      </c>
      <c r="D1946" s="3">
        <v>540.57499999999993</v>
      </c>
      <c r="E1946" s="3">
        <v>0</v>
      </c>
      <c r="F1946" t="s">
        <v>45</v>
      </c>
      <c r="G1946" s="3">
        <f t="shared" si="229"/>
        <v>-540.57499999999993</v>
      </c>
      <c r="H1946" s="3">
        <f t="shared" si="230"/>
        <v>540.57499999999993</v>
      </c>
      <c r="I1946" s="5" t="str">
        <f t="shared" si="231"/>
        <v>017</v>
      </c>
      <c r="J1946" s="5" t="str">
        <f t="shared" si="232"/>
        <v>2220</v>
      </c>
      <c r="K1946" s="5" t="str">
        <f t="shared" si="233"/>
        <v>000</v>
      </c>
      <c r="L1946" s="5">
        <f t="shared" si="234"/>
        <v>4</v>
      </c>
      <c r="M1946" s="5">
        <f t="shared" si="235"/>
        <v>2012</v>
      </c>
    </row>
    <row r="1947" spans="1:13" ht="17.45" customHeight="1" x14ac:dyDescent="0.25">
      <c r="A1947" s="1">
        <f>DATE(2012,4,11)</f>
        <v>41010</v>
      </c>
      <c r="B1947" t="s">
        <v>18</v>
      </c>
      <c r="C1947" t="s">
        <v>10</v>
      </c>
      <c r="D1947" s="3">
        <v>211.15599999999998</v>
      </c>
      <c r="E1947" s="3">
        <v>0</v>
      </c>
      <c r="F1947" t="s">
        <v>45</v>
      </c>
      <c r="G1947" s="3">
        <f t="shared" si="229"/>
        <v>-211.15599999999998</v>
      </c>
      <c r="H1947" s="3">
        <f t="shared" si="230"/>
        <v>211.15599999999998</v>
      </c>
      <c r="I1947" s="5" t="str">
        <f t="shared" si="231"/>
        <v>017</v>
      </c>
      <c r="J1947" s="5" t="str">
        <f t="shared" si="232"/>
        <v>2230</v>
      </c>
      <c r="K1947" s="5" t="str">
        <f t="shared" si="233"/>
        <v>000</v>
      </c>
      <c r="L1947" s="5">
        <f t="shared" si="234"/>
        <v>4</v>
      </c>
      <c r="M1947" s="5">
        <f t="shared" si="235"/>
        <v>2012</v>
      </c>
    </row>
    <row r="1948" spans="1:13" ht="17.45" customHeight="1" x14ac:dyDescent="0.25">
      <c r="A1948" s="1">
        <f>DATE(2012,4,12)</f>
        <v>41011</v>
      </c>
      <c r="B1948" t="s">
        <v>15</v>
      </c>
      <c r="C1948" t="s">
        <v>6</v>
      </c>
      <c r="D1948" s="3">
        <v>5381.2745999999997</v>
      </c>
      <c r="E1948" s="3">
        <v>0</v>
      </c>
      <c r="F1948" t="s">
        <v>45</v>
      </c>
      <c r="G1948" s="3">
        <f t="shared" si="229"/>
        <v>-5381.2745999999997</v>
      </c>
      <c r="H1948" s="3">
        <f t="shared" si="230"/>
        <v>5381.2745999999997</v>
      </c>
      <c r="I1948" s="5" t="str">
        <f t="shared" si="231"/>
        <v>017</v>
      </c>
      <c r="J1948" s="5" t="str">
        <f t="shared" si="232"/>
        <v>2100</v>
      </c>
      <c r="K1948" s="5" t="str">
        <f t="shared" si="233"/>
        <v>000</v>
      </c>
      <c r="L1948" s="5">
        <f t="shared" si="234"/>
        <v>4</v>
      </c>
      <c r="M1948" s="5">
        <f t="shared" si="235"/>
        <v>2012</v>
      </c>
    </row>
    <row r="1949" spans="1:13" ht="17.45" customHeight="1" x14ac:dyDescent="0.25">
      <c r="A1949" s="1">
        <f>DATE(2012,4,12)</f>
        <v>41011</v>
      </c>
      <c r="B1949" t="s">
        <v>16</v>
      </c>
      <c r="C1949" t="s">
        <v>8</v>
      </c>
      <c r="D1949" s="3">
        <v>1248.6285</v>
      </c>
      <c r="E1949" s="3">
        <v>0</v>
      </c>
      <c r="F1949" t="s">
        <v>45</v>
      </c>
      <c r="G1949" s="3">
        <f t="shared" si="229"/>
        <v>-1248.6285</v>
      </c>
      <c r="H1949" s="3">
        <f t="shared" si="230"/>
        <v>1248.6285</v>
      </c>
      <c r="I1949" s="5" t="str">
        <f t="shared" si="231"/>
        <v>017</v>
      </c>
      <c r="J1949" s="5" t="str">
        <f t="shared" si="232"/>
        <v>2210</v>
      </c>
      <c r="K1949" s="5" t="str">
        <f t="shared" si="233"/>
        <v>000</v>
      </c>
      <c r="L1949" s="5">
        <f t="shared" si="234"/>
        <v>4</v>
      </c>
      <c r="M1949" s="5">
        <f t="shared" si="235"/>
        <v>2012</v>
      </c>
    </row>
    <row r="1950" spans="1:13" ht="17.45" customHeight="1" x14ac:dyDescent="0.25">
      <c r="A1950" s="1">
        <f>DATE(2012,4,12)</f>
        <v>41011</v>
      </c>
      <c r="B1950" t="s">
        <v>17</v>
      </c>
      <c r="C1950" t="s">
        <v>9</v>
      </c>
      <c r="D1950" s="3">
        <v>422.98750000000001</v>
      </c>
      <c r="E1950" s="3">
        <v>0</v>
      </c>
      <c r="F1950" t="s">
        <v>45</v>
      </c>
      <c r="G1950" s="3">
        <f t="shared" si="229"/>
        <v>-422.98750000000001</v>
      </c>
      <c r="H1950" s="3">
        <f t="shared" si="230"/>
        <v>422.98750000000001</v>
      </c>
      <c r="I1950" s="5" t="str">
        <f t="shared" si="231"/>
        <v>017</v>
      </c>
      <c r="J1950" s="5" t="str">
        <f t="shared" si="232"/>
        <v>2220</v>
      </c>
      <c r="K1950" s="5" t="str">
        <f t="shared" si="233"/>
        <v>000</v>
      </c>
      <c r="L1950" s="5">
        <f t="shared" si="234"/>
        <v>4</v>
      </c>
      <c r="M1950" s="5">
        <f t="shared" si="235"/>
        <v>2012</v>
      </c>
    </row>
    <row r="1951" spans="1:13" ht="17.45" customHeight="1" x14ac:dyDescent="0.25">
      <c r="A1951" s="1">
        <f>DATE(2012,4,12)</f>
        <v>41011</v>
      </c>
      <c r="B1951" t="s">
        <v>18</v>
      </c>
      <c r="C1951" t="s">
        <v>10</v>
      </c>
      <c r="D1951" s="3">
        <v>231.334</v>
      </c>
      <c r="E1951" s="3">
        <v>0</v>
      </c>
      <c r="F1951" t="s">
        <v>45</v>
      </c>
      <c r="G1951" s="3">
        <f t="shared" si="229"/>
        <v>-231.334</v>
      </c>
      <c r="H1951" s="3">
        <f t="shared" si="230"/>
        <v>231.334</v>
      </c>
      <c r="I1951" s="5" t="str">
        <f t="shared" si="231"/>
        <v>017</v>
      </c>
      <c r="J1951" s="5" t="str">
        <f t="shared" si="232"/>
        <v>2230</v>
      </c>
      <c r="K1951" s="5" t="str">
        <f t="shared" si="233"/>
        <v>000</v>
      </c>
      <c r="L1951" s="5">
        <f t="shared" si="234"/>
        <v>4</v>
      </c>
      <c r="M1951" s="5">
        <f t="shared" si="235"/>
        <v>2012</v>
      </c>
    </row>
    <row r="1952" spans="1:13" ht="17.45" customHeight="1" x14ac:dyDescent="0.25">
      <c r="A1952" s="1">
        <f>DATE(2012,4,13)</f>
        <v>41012</v>
      </c>
      <c r="B1952" t="s">
        <v>15</v>
      </c>
      <c r="C1952" t="s">
        <v>6</v>
      </c>
      <c r="D1952" s="3">
        <v>9606.2671000000009</v>
      </c>
      <c r="E1952" s="3">
        <v>0</v>
      </c>
      <c r="F1952" t="s">
        <v>45</v>
      </c>
      <c r="G1952" s="3">
        <f t="shared" si="229"/>
        <v>-9606.2671000000009</v>
      </c>
      <c r="H1952" s="3">
        <f t="shared" si="230"/>
        <v>9606.2671000000009</v>
      </c>
      <c r="I1952" s="5" t="str">
        <f t="shared" si="231"/>
        <v>017</v>
      </c>
      <c r="J1952" s="5" t="str">
        <f t="shared" si="232"/>
        <v>2100</v>
      </c>
      <c r="K1952" s="5" t="str">
        <f t="shared" si="233"/>
        <v>000</v>
      </c>
      <c r="L1952" s="5">
        <f t="shared" si="234"/>
        <v>4</v>
      </c>
      <c r="M1952" s="5">
        <f t="shared" si="235"/>
        <v>2012</v>
      </c>
    </row>
    <row r="1953" spans="1:13" ht="17.45" customHeight="1" x14ac:dyDescent="0.25">
      <c r="A1953" s="1">
        <f>DATE(2012,4,13)</f>
        <v>41012</v>
      </c>
      <c r="B1953" t="s">
        <v>16</v>
      </c>
      <c r="C1953" t="s">
        <v>8</v>
      </c>
      <c r="D1953" s="3">
        <v>3557.2064999999998</v>
      </c>
      <c r="E1953" s="3">
        <v>0</v>
      </c>
      <c r="F1953" t="s">
        <v>45</v>
      </c>
      <c r="G1953" s="3">
        <f t="shared" si="229"/>
        <v>-3557.2064999999998</v>
      </c>
      <c r="H1953" s="3">
        <f t="shared" si="230"/>
        <v>3557.2064999999998</v>
      </c>
      <c r="I1953" s="5" t="str">
        <f t="shared" si="231"/>
        <v>017</v>
      </c>
      <c r="J1953" s="5" t="str">
        <f t="shared" si="232"/>
        <v>2210</v>
      </c>
      <c r="K1953" s="5" t="str">
        <f t="shared" si="233"/>
        <v>000</v>
      </c>
      <c r="L1953" s="5">
        <f t="shared" si="234"/>
        <v>4</v>
      </c>
      <c r="M1953" s="5">
        <f t="shared" si="235"/>
        <v>2012</v>
      </c>
    </row>
    <row r="1954" spans="1:13" ht="17.45" customHeight="1" x14ac:dyDescent="0.25">
      <c r="A1954" s="1">
        <f>DATE(2012,4,13)</f>
        <v>41012</v>
      </c>
      <c r="B1954" t="s">
        <v>17</v>
      </c>
      <c r="C1954" t="s">
        <v>9</v>
      </c>
      <c r="D1954" s="3">
        <v>907.48749999999995</v>
      </c>
      <c r="E1954" s="3">
        <v>0</v>
      </c>
      <c r="F1954" t="s">
        <v>45</v>
      </c>
      <c r="G1954" s="3">
        <f t="shared" si="229"/>
        <v>-907.48749999999995</v>
      </c>
      <c r="H1954" s="3">
        <f t="shared" si="230"/>
        <v>907.48749999999995</v>
      </c>
      <c r="I1954" s="5" t="str">
        <f t="shared" si="231"/>
        <v>017</v>
      </c>
      <c r="J1954" s="5" t="str">
        <f t="shared" si="232"/>
        <v>2220</v>
      </c>
      <c r="K1954" s="5" t="str">
        <f t="shared" si="233"/>
        <v>000</v>
      </c>
      <c r="L1954" s="5">
        <f t="shared" si="234"/>
        <v>4</v>
      </c>
      <c r="M1954" s="5">
        <f t="shared" si="235"/>
        <v>2012</v>
      </c>
    </row>
    <row r="1955" spans="1:13" ht="17.45" customHeight="1" x14ac:dyDescent="0.25">
      <c r="A1955" s="1">
        <f>DATE(2012,4,13)</f>
        <v>41012</v>
      </c>
      <c r="B1955" t="s">
        <v>18</v>
      </c>
      <c r="C1955" t="s">
        <v>10</v>
      </c>
      <c r="D1955" s="3">
        <v>340.86499999999995</v>
      </c>
      <c r="E1955" s="3">
        <v>0</v>
      </c>
      <c r="F1955" t="s">
        <v>45</v>
      </c>
      <c r="G1955" s="3">
        <f t="shared" si="229"/>
        <v>-340.86499999999995</v>
      </c>
      <c r="H1955" s="3">
        <f t="shared" si="230"/>
        <v>340.86499999999995</v>
      </c>
      <c r="I1955" s="5" t="str">
        <f t="shared" si="231"/>
        <v>017</v>
      </c>
      <c r="J1955" s="5" t="str">
        <f t="shared" si="232"/>
        <v>2230</v>
      </c>
      <c r="K1955" s="5" t="str">
        <f t="shared" si="233"/>
        <v>000</v>
      </c>
      <c r="L1955" s="5">
        <f t="shared" si="234"/>
        <v>4</v>
      </c>
      <c r="M1955" s="5">
        <f t="shared" si="235"/>
        <v>2012</v>
      </c>
    </row>
    <row r="1956" spans="1:13" ht="17.45" customHeight="1" x14ac:dyDescent="0.25">
      <c r="A1956" s="1">
        <f>DATE(2012,4,14)</f>
        <v>41013</v>
      </c>
      <c r="B1956" t="s">
        <v>15</v>
      </c>
      <c r="C1956" t="s">
        <v>6</v>
      </c>
      <c r="D1956" s="3">
        <v>9581.4549999999999</v>
      </c>
      <c r="E1956" s="3">
        <v>0</v>
      </c>
      <c r="F1956" t="s">
        <v>45</v>
      </c>
      <c r="G1956" s="3">
        <f t="shared" si="229"/>
        <v>-9581.4549999999999</v>
      </c>
      <c r="H1956" s="3">
        <f t="shared" si="230"/>
        <v>9581.4549999999999</v>
      </c>
      <c r="I1956" s="5" t="str">
        <f t="shared" si="231"/>
        <v>017</v>
      </c>
      <c r="J1956" s="5" t="str">
        <f t="shared" si="232"/>
        <v>2100</v>
      </c>
      <c r="K1956" s="5" t="str">
        <f t="shared" si="233"/>
        <v>000</v>
      </c>
      <c r="L1956" s="5">
        <f t="shared" si="234"/>
        <v>4</v>
      </c>
      <c r="M1956" s="5">
        <f t="shared" si="235"/>
        <v>2012</v>
      </c>
    </row>
    <row r="1957" spans="1:13" ht="17.45" customHeight="1" x14ac:dyDescent="0.25">
      <c r="A1957" s="1">
        <f>DATE(2012,4,14)</f>
        <v>41013</v>
      </c>
      <c r="B1957" t="s">
        <v>16</v>
      </c>
      <c r="C1957" t="s">
        <v>8</v>
      </c>
      <c r="D1957" s="3">
        <v>2350.9859999999999</v>
      </c>
      <c r="E1957" s="3">
        <v>0</v>
      </c>
      <c r="F1957" t="s">
        <v>45</v>
      </c>
      <c r="G1957" s="3">
        <f t="shared" si="229"/>
        <v>-2350.9859999999999</v>
      </c>
      <c r="H1957" s="3">
        <f t="shared" si="230"/>
        <v>2350.9859999999999</v>
      </c>
      <c r="I1957" s="5" t="str">
        <f t="shared" si="231"/>
        <v>017</v>
      </c>
      <c r="J1957" s="5" t="str">
        <f t="shared" si="232"/>
        <v>2210</v>
      </c>
      <c r="K1957" s="5" t="str">
        <f t="shared" si="233"/>
        <v>000</v>
      </c>
      <c r="L1957" s="5">
        <f t="shared" si="234"/>
        <v>4</v>
      </c>
      <c r="M1957" s="5">
        <f t="shared" si="235"/>
        <v>2012</v>
      </c>
    </row>
    <row r="1958" spans="1:13" ht="17.45" customHeight="1" x14ac:dyDescent="0.25">
      <c r="A1958" s="1">
        <f>DATE(2012,4,14)</f>
        <v>41013</v>
      </c>
      <c r="B1958" t="s">
        <v>17</v>
      </c>
      <c r="C1958" t="s">
        <v>9</v>
      </c>
      <c r="D1958" s="3">
        <v>363.67500000000001</v>
      </c>
      <c r="E1958" s="3">
        <v>0</v>
      </c>
      <c r="F1958" t="s">
        <v>45</v>
      </c>
      <c r="G1958" s="3">
        <f t="shared" si="229"/>
        <v>-363.67500000000001</v>
      </c>
      <c r="H1958" s="3">
        <f t="shared" si="230"/>
        <v>363.67500000000001</v>
      </c>
      <c r="I1958" s="5" t="str">
        <f t="shared" si="231"/>
        <v>017</v>
      </c>
      <c r="J1958" s="5" t="str">
        <f t="shared" si="232"/>
        <v>2220</v>
      </c>
      <c r="K1958" s="5" t="str">
        <f t="shared" si="233"/>
        <v>000</v>
      </c>
      <c r="L1958" s="5">
        <f t="shared" si="234"/>
        <v>4</v>
      </c>
      <c r="M1958" s="5">
        <f t="shared" si="235"/>
        <v>2012</v>
      </c>
    </row>
    <row r="1959" spans="1:13" ht="17.45" customHeight="1" x14ac:dyDescent="0.25">
      <c r="A1959" s="1">
        <f>DATE(2012,4,14)</f>
        <v>41013</v>
      </c>
      <c r="B1959" t="s">
        <v>18</v>
      </c>
      <c r="C1959" t="s">
        <v>10</v>
      </c>
      <c r="D1959" s="3">
        <v>261.95999999999998</v>
      </c>
      <c r="E1959" s="3">
        <v>0</v>
      </c>
      <c r="F1959" t="s">
        <v>45</v>
      </c>
      <c r="G1959" s="3">
        <f t="shared" si="229"/>
        <v>-261.95999999999998</v>
      </c>
      <c r="H1959" s="3">
        <f t="shared" si="230"/>
        <v>261.95999999999998</v>
      </c>
      <c r="I1959" s="5" t="str">
        <f t="shared" si="231"/>
        <v>017</v>
      </c>
      <c r="J1959" s="5" t="str">
        <f t="shared" si="232"/>
        <v>2230</v>
      </c>
      <c r="K1959" s="5" t="str">
        <f t="shared" si="233"/>
        <v>000</v>
      </c>
      <c r="L1959" s="5">
        <f t="shared" si="234"/>
        <v>4</v>
      </c>
      <c r="M1959" s="5">
        <f t="shared" si="235"/>
        <v>2012</v>
      </c>
    </row>
    <row r="1960" spans="1:13" ht="17.45" customHeight="1" x14ac:dyDescent="0.25">
      <c r="A1960" s="1">
        <f>DATE(2012,4,15)</f>
        <v>41014</v>
      </c>
      <c r="B1960" t="s">
        <v>15</v>
      </c>
      <c r="C1960" t="s">
        <v>6</v>
      </c>
      <c r="D1960" s="3">
        <v>5517.5337000000009</v>
      </c>
      <c r="E1960" s="3">
        <v>0</v>
      </c>
      <c r="F1960" t="s">
        <v>45</v>
      </c>
      <c r="G1960" s="3">
        <f t="shared" si="229"/>
        <v>-5517.5337000000009</v>
      </c>
      <c r="H1960" s="3">
        <f t="shared" si="230"/>
        <v>5517.5337000000009</v>
      </c>
      <c r="I1960" s="5" t="str">
        <f t="shared" si="231"/>
        <v>017</v>
      </c>
      <c r="J1960" s="5" t="str">
        <f t="shared" si="232"/>
        <v>2100</v>
      </c>
      <c r="K1960" s="5" t="str">
        <f t="shared" si="233"/>
        <v>000</v>
      </c>
      <c r="L1960" s="5">
        <f t="shared" si="234"/>
        <v>4</v>
      </c>
      <c r="M1960" s="5">
        <f t="shared" si="235"/>
        <v>2012</v>
      </c>
    </row>
    <row r="1961" spans="1:13" ht="17.45" customHeight="1" x14ac:dyDescent="0.25">
      <c r="A1961" s="1">
        <f>DATE(2012,4,15)</f>
        <v>41014</v>
      </c>
      <c r="B1961" t="s">
        <v>16</v>
      </c>
      <c r="C1961" t="s">
        <v>8</v>
      </c>
      <c r="D1961" s="3">
        <v>1102.1189999999999</v>
      </c>
      <c r="E1961" s="3">
        <v>0</v>
      </c>
      <c r="F1961" t="s">
        <v>45</v>
      </c>
      <c r="G1961" s="3">
        <f t="shared" si="229"/>
        <v>-1102.1189999999999</v>
      </c>
      <c r="H1961" s="3">
        <f t="shared" si="230"/>
        <v>1102.1189999999999</v>
      </c>
      <c r="I1961" s="5" t="str">
        <f t="shared" si="231"/>
        <v>017</v>
      </c>
      <c r="J1961" s="5" t="str">
        <f t="shared" si="232"/>
        <v>2210</v>
      </c>
      <c r="K1961" s="5" t="str">
        <f t="shared" si="233"/>
        <v>000</v>
      </c>
      <c r="L1961" s="5">
        <f t="shared" si="234"/>
        <v>4</v>
      </c>
      <c r="M1961" s="5">
        <f t="shared" si="235"/>
        <v>2012</v>
      </c>
    </row>
    <row r="1962" spans="1:13" ht="17.45" customHeight="1" x14ac:dyDescent="0.25">
      <c r="A1962" s="1">
        <f>DATE(2012,4,15)</f>
        <v>41014</v>
      </c>
      <c r="B1962" t="s">
        <v>17</v>
      </c>
      <c r="C1962" t="s">
        <v>9</v>
      </c>
      <c r="D1962" s="3">
        <v>214.3475</v>
      </c>
      <c r="E1962" s="3">
        <v>0</v>
      </c>
      <c r="F1962" t="s">
        <v>45</v>
      </c>
      <c r="G1962" s="3">
        <f t="shared" si="229"/>
        <v>-214.3475</v>
      </c>
      <c r="H1962" s="3">
        <f t="shared" si="230"/>
        <v>214.3475</v>
      </c>
      <c r="I1962" s="5" t="str">
        <f t="shared" si="231"/>
        <v>017</v>
      </c>
      <c r="J1962" s="5" t="str">
        <f t="shared" si="232"/>
        <v>2220</v>
      </c>
      <c r="K1962" s="5" t="str">
        <f t="shared" si="233"/>
        <v>000</v>
      </c>
      <c r="L1962" s="5">
        <f t="shared" si="234"/>
        <v>4</v>
      </c>
      <c r="M1962" s="5">
        <f t="shared" si="235"/>
        <v>2012</v>
      </c>
    </row>
    <row r="1963" spans="1:13" ht="17.45" customHeight="1" x14ac:dyDescent="0.25">
      <c r="A1963" s="1">
        <f>DATE(2012,4,15)</f>
        <v>41014</v>
      </c>
      <c r="B1963" t="s">
        <v>18</v>
      </c>
      <c r="C1963" t="s">
        <v>10</v>
      </c>
      <c r="D1963" s="3">
        <v>119.36250000000001</v>
      </c>
      <c r="E1963" s="3">
        <v>0</v>
      </c>
      <c r="F1963" t="s">
        <v>45</v>
      </c>
      <c r="G1963" s="3">
        <f t="shared" si="229"/>
        <v>-119.36250000000001</v>
      </c>
      <c r="H1963" s="3">
        <f t="shared" si="230"/>
        <v>119.36250000000001</v>
      </c>
      <c r="I1963" s="5" t="str">
        <f t="shared" si="231"/>
        <v>017</v>
      </c>
      <c r="J1963" s="5" t="str">
        <f t="shared" si="232"/>
        <v>2230</v>
      </c>
      <c r="K1963" s="5" t="str">
        <f t="shared" si="233"/>
        <v>000</v>
      </c>
      <c r="L1963" s="5">
        <f t="shared" si="234"/>
        <v>4</v>
      </c>
      <c r="M1963" s="5">
        <f t="shared" si="235"/>
        <v>2012</v>
      </c>
    </row>
    <row r="1964" spans="1:13" ht="17.45" customHeight="1" x14ac:dyDescent="0.25">
      <c r="A1964" s="1">
        <f>DATE(2012,4,9)</f>
        <v>41008</v>
      </c>
      <c r="B1964" t="s">
        <v>19</v>
      </c>
      <c r="C1964" t="s">
        <v>6</v>
      </c>
      <c r="D1964" s="3">
        <v>3959.7950000000001</v>
      </c>
      <c r="E1964" s="3">
        <v>0</v>
      </c>
      <c r="F1964" t="s">
        <v>45</v>
      </c>
      <c r="G1964" s="3">
        <f t="shared" si="229"/>
        <v>-3959.7950000000001</v>
      </c>
      <c r="H1964" s="3">
        <f t="shared" si="230"/>
        <v>3959.7950000000001</v>
      </c>
      <c r="I1964" s="5" t="str">
        <f t="shared" si="231"/>
        <v>018</v>
      </c>
      <c r="J1964" s="5" t="str">
        <f t="shared" si="232"/>
        <v>2100</v>
      </c>
      <c r="K1964" s="5" t="str">
        <f t="shared" si="233"/>
        <v>000</v>
      </c>
      <c r="L1964" s="5">
        <f t="shared" si="234"/>
        <v>4</v>
      </c>
      <c r="M1964" s="5">
        <f t="shared" si="235"/>
        <v>2012</v>
      </c>
    </row>
    <row r="1965" spans="1:13" ht="17.45" customHeight="1" x14ac:dyDescent="0.25">
      <c r="A1965" s="1">
        <f>DATE(2012,4,9)</f>
        <v>41008</v>
      </c>
      <c r="B1965" t="s">
        <v>20</v>
      </c>
      <c r="C1965" t="s">
        <v>8</v>
      </c>
      <c r="D1965" s="3">
        <v>756.11699999999996</v>
      </c>
      <c r="E1965" s="3">
        <v>0</v>
      </c>
      <c r="F1965" t="s">
        <v>45</v>
      </c>
      <c r="G1965" s="3">
        <f t="shared" si="229"/>
        <v>-756.11699999999996</v>
      </c>
      <c r="H1965" s="3">
        <f t="shared" si="230"/>
        <v>756.11699999999996</v>
      </c>
      <c r="I1965" s="5" t="str">
        <f t="shared" si="231"/>
        <v>018</v>
      </c>
      <c r="J1965" s="5" t="str">
        <f t="shared" si="232"/>
        <v>2210</v>
      </c>
      <c r="K1965" s="5" t="str">
        <f t="shared" si="233"/>
        <v>000</v>
      </c>
      <c r="L1965" s="5">
        <f t="shared" si="234"/>
        <v>4</v>
      </c>
      <c r="M1965" s="5">
        <f t="shared" si="235"/>
        <v>2012</v>
      </c>
    </row>
    <row r="1966" spans="1:13" ht="17.45" customHeight="1" x14ac:dyDescent="0.25">
      <c r="A1966" s="1">
        <f>DATE(2012,4,9)</f>
        <v>41008</v>
      </c>
      <c r="B1966" t="s">
        <v>21</v>
      </c>
      <c r="C1966" t="s">
        <v>9</v>
      </c>
      <c r="D1966" s="3">
        <v>187.30799999999999</v>
      </c>
      <c r="E1966" s="3">
        <v>0</v>
      </c>
      <c r="F1966" t="s">
        <v>45</v>
      </c>
      <c r="G1966" s="3">
        <f t="shared" si="229"/>
        <v>-187.30799999999999</v>
      </c>
      <c r="H1966" s="3">
        <f t="shared" si="230"/>
        <v>187.30799999999999</v>
      </c>
      <c r="I1966" s="5" t="str">
        <f t="shared" si="231"/>
        <v>018</v>
      </c>
      <c r="J1966" s="5" t="str">
        <f t="shared" si="232"/>
        <v>2220</v>
      </c>
      <c r="K1966" s="5" t="str">
        <f t="shared" si="233"/>
        <v>000</v>
      </c>
      <c r="L1966" s="5">
        <f t="shared" si="234"/>
        <v>4</v>
      </c>
      <c r="M1966" s="5">
        <f t="shared" si="235"/>
        <v>2012</v>
      </c>
    </row>
    <row r="1967" spans="1:13" ht="17.45" customHeight="1" x14ac:dyDescent="0.25">
      <c r="A1967" s="1">
        <f>DATE(2012,4,9)</f>
        <v>41008</v>
      </c>
      <c r="B1967" t="s">
        <v>22</v>
      </c>
      <c r="C1967" t="s">
        <v>10</v>
      </c>
      <c r="D1967" s="3">
        <v>25.085999999999999</v>
      </c>
      <c r="E1967" s="3">
        <v>0</v>
      </c>
      <c r="F1967" t="s">
        <v>45</v>
      </c>
      <c r="G1967" s="3">
        <f t="shared" si="229"/>
        <v>-25.085999999999999</v>
      </c>
      <c r="H1967" s="3">
        <f t="shared" si="230"/>
        <v>25.085999999999999</v>
      </c>
      <c r="I1967" s="5" t="str">
        <f t="shared" si="231"/>
        <v>018</v>
      </c>
      <c r="J1967" s="5" t="str">
        <f t="shared" si="232"/>
        <v>2230</v>
      </c>
      <c r="K1967" s="5" t="str">
        <f t="shared" si="233"/>
        <v>000</v>
      </c>
      <c r="L1967" s="5">
        <f t="shared" si="234"/>
        <v>4</v>
      </c>
      <c r="M1967" s="5">
        <f t="shared" si="235"/>
        <v>2012</v>
      </c>
    </row>
    <row r="1968" spans="1:13" ht="17.45" customHeight="1" x14ac:dyDescent="0.25">
      <c r="A1968" s="1">
        <f>DATE(2012,4,10)</f>
        <v>41009</v>
      </c>
      <c r="B1968" t="s">
        <v>19</v>
      </c>
      <c r="C1968" t="s">
        <v>6</v>
      </c>
      <c r="D1968" s="3">
        <v>2980.4949999999999</v>
      </c>
      <c r="E1968" s="3">
        <v>0</v>
      </c>
      <c r="F1968" t="s">
        <v>45</v>
      </c>
      <c r="G1968" s="3">
        <f t="shared" si="229"/>
        <v>-2980.4949999999999</v>
      </c>
      <c r="H1968" s="3">
        <f t="shared" si="230"/>
        <v>2980.4949999999999</v>
      </c>
      <c r="I1968" s="5" t="str">
        <f t="shared" si="231"/>
        <v>018</v>
      </c>
      <c r="J1968" s="5" t="str">
        <f t="shared" si="232"/>
        <v>2100</v>
      </c>
      <c r="K1968" s="5" t="str">
        <f t="shared" si="233"/>
        <v>000</v>
      </c>
      <c r="L1968" s="5">
        <f t="shared" si="234"/>
        <v>4</v>
      </c>
      <c r="M1968" s="5">
        <f t="shared" si="235"/>
        <v>2012</v>
      </c>
    </row>
    <row r="1969" spans="1:13" ht="17.45" customHeight="1" x14ac:dyDescent="0.25">
      <c r="A1969" s="1">
        <f>DATE(2012,4,10)</f>
        <v>41009</v>
      </c>
      <c r="B1969" t="s">
        <v>20</v>
      </c>
      <c r="C1969" t="s">
        <v>8</v>
      </c>
      <c r="D1969" s="3">
        <v>928.99799999999993</v>
      </c>
      <c r="E1969" s="3">
        <v>0</v>
      </c>
      <c r="F1969" t="s">
        <v>45</v>
      </c>
      <c r="G1969" s="3">
        <f t="shared" si="229"/>
        <v>-928.99799999999993</v>
      </c>
      <c r="H1969" s="3">
        <f t="shared" si="230"/>
        <v>928.99799999999993</v>
      </c>
      <c r="I1969" s="5" t="str">
        <f t="shared" si="231"/>
        <v>018</v>
      </c>
      <c r="J1969" s="5" t="str">
        <f t="shared" si="232"/>
        <v>2210</v>
      </c>
      <c r="K1969" s="5" t="str">
        <f t="shared" si="233"/>
        <v>000</v>
      </c>
      <c r="L1969" s="5">
        <f t="shared" si="234"/>
        <v>4</v>
      </c>
      <c r="M1969" s="5">
        <f t="shared" si="235"/>
        <v>2012</v>
      </c>
    </row>
    <row r="1970" spans="1:13" ht="17.45" customHeight="1" x14ac:dyDescent="0.25">
      <c r="A1970" s="1">
        <f>DATE(2012,4,10)</f>
        <v>41009</v>
      </c>
      <c r="B1970" t="s">
        <v>21</v>
      </c>
      <c r="C1970" t="s">
        <v>9</v>
      </c>
      <c r="D1970" s="3">
        <v>378.47999999999996</v>
      </c>
      <c r="E1970" s="3">
        <v>0</v>
      </c>
      <c r="F1970" t="s">
        <v>45</v>
      </c>
      <c r="G1970" s="3">
        <f t="shared" si="229"/>
        <v>-378.47999999999996</v>
      </c>
      <c r="H1970" s="3">
        <f t="shared" si="230"/>
        <v>378.47999999999996</v>
      </c>
      <c r="I1970" s="5" t="str">
        <f t="shared" si="231"/>
        <v>018</v>
      </c>
      <c r="J1970" s="5" t="str">
        <f t="shared" si="232"/>
        <v>2220</v>
      </c>
      <c r="K1970" s="5" t="str">
        <f t="shared" si="233"/>
        <v>000</v>
      </c>
      <c r="L1970" s="5">
        <f t="shared" si="234"/>
        <v>4</v>
      </c>
      <c r="M1970" s="5">
        <f t="shared" si="235"/>
        <v>2012</v>
      </c>
    </row>
    <row r="1971" spans="1:13" ht="17.45" customHeight="1" x14ac:dyDescent="0.25">
      <c r="A1971" s="1">
        <f>DATE(2012,4,10)</f>
        <v>41009</v>
      </c>
      <c r="B1971" t="s">
        <v>22</v>
      </c>
      <c r="C1971" t="s">
        <v>10</v>
      </c>
      <c r="D1971" s="3">
        <v>42.741499999999995</v>
      </c>
      <c r="E1971" s="3">
        <v>0</v>
      </c>
      <c r="F1971" t="s">
        <v>45</v>
      </c>
      <c r="G1971" s="3">
        <f t="shared" si="229"/>
        <v>-42.741499999999995</v>
      </c>
      <c r="H1971" s="3">
        <f t="shared" si="230"/>
        <v>42.741499999999995</v>
      </c>
      <c r="I1971" s="5" t="str">
        <f t="shared" si="231"/>
        <v>018</v>
      </c>
      <c r="J1971" s="5" t="str">
        <f t="shared" si="232"/>
        <v>2230</v>
      </c>
      <c r="K1971" s="5" t="str">
        <f t="shared" si="233"/>
        <v>000</v>
      </c>
      <c r="L1971" s="5">
        <f t="shared" si="234"/>
        <v>4</v>
      </c>
      <c r="M1971" s="5">
        <f t="shared" si="235"/>
        <v>2012</v>
      </c>
    </row>
    <row r="1972" spans="1:13" ht="17.45" customHeight="1" x14ac:dyDescent="0.25">
      <c r="A1972" s="1">
        <f>DATE(2012,4,11)</f>
        <v>41010</v>
      </c>
      <c r="B1972" t="s">
        <v>19</v>
      </c>
      <c r="C1972" t="s">
        <v>6</v>
      </c>
      <c r="D1972" s="3">
        <v>3340.0376000000001</v>
      </c>
      <c r="E1972" s="3">
        <v>0</v>
      </c>
      <c r="F1972" t="s">
        <v>45</v>
      </c>
      <c r="G1972" s="3">
        <f t="shared" si="229"/>
        <v>-3340.0376000000001</v>
      </c>
      <c r="H1972" s="3">
        <f t="shared" si="230"/>
        <v>3340.0376000000001</v>
      </c>
      <c r="I1972" s="5" t="str">
        <f t="shared" si="231"/>
        <v>018</v>
      </c>
      <c r="J1972" s="5" t="str">
        <f t="shared" si="232"/>
        <v>2100</v>
      </c>
      <c r="K1972" s="5" t="str">
        <f t="shared" si="233"/>
        <v>000</v>
      </c>
      <c r="L1972" s="5">
        <f t="shared" si="234"/>
        <v>4</v>
      </c>
      <c r="M1972" s="5">
        <f t="shared" si="235"/>
        <v>2012</v>
      </c>
    </row>
    <row r="1973" spans="1:13" ht="17.45" customHeight="1" x14ac:dyDescent="0.25">
      <c r="A1973" s="1">
        <f>DATE(2012,4,11)</f>
        <v>41010</v>
      </c>
      <c r="B1973" t="s">
        <v>20</v>
      </c>
      <c r="C1973" t="s">
        <v>8</v>
      </c>
      <c r="D1973" s="3">
        <v>604.39600000000007</v>
      </c>
      <c r="E1973" s="3">
        <v>0</v>
      </c>
      <c r="F1973" t="s">
        <v>45</v>
      </c>
      <c r="G1973" s="3">
        <f t="shared" si="229"/>
        <v>-604.39600000000007</v>
      </c>
      <c r="H1973" s="3">
        <f t="shared" si="230"/>
        <v>604.39600000000007</v>
      </c>
      <c r="I1973" s="5" t="str">
        <f t="shared" si="231"/>
        <v>018</v>
      </c>
      <c r="J1973" s="5" t="str">
        <f t="shared" si="232"/>
        <v>2210</v>
      </c>
      <c r="K1973" s="5" t="str">
        <f t="shared" si="233"/>
        <v>000</v>
      </c>
      <c r="L1973" s="5">
        <f t="shared" si="234"/>
        <v>4</v>
      </c>
      <c r="M1973" s="5">
        <f t="shared" si="235"/>
        <v>2012</v>
      </c>
    </row>
    <row r="1974" spans="1:13" ht="17.45" customHeight="1" x14ac:dyDescent="0.25">
      <c r="A1974" s="1">
        <f>DATE(2012,4,11)</f>
        <v>41010</v>
      </c>
      <c r="B1974" t="s">
        <v>21</v>
      </c>
      <c r="C1974" t="s">
        <v>9</v>
      </c>
      <c r="D1974" s="3">
        <v>118.2505</v>
      </c>
      <c r="E1974" s="3">
        <v>0</v>
      </c>
      <c r="F1974" t="s">
        <v>45</v>
      </c>
      <c r="G1974" s="3">
        <f t="shared" si="229"/>
        <v>-118.2505</v>
      </c>
      <c r="H1974" s="3">
        <f t="shared" si="230"/>
        <v>118.2505</v>
      </c>
      <c r="I1974" s="5" t="str">
        <f t="shared" si="231"/>
        <v>018</v>
      </c>
      <c r="J1974" s="5" t="str">
        <f t="shared" si="232"/>
        <v>2220</v>
      </c>
      <c r="K1974" s="5" t="str">
        <f t="shared" si="233"/>
        <v>000</v>
      </c>
      <c r="L1974" s="5">
        <f t="shared" si="234"/>
        <v>4</v>
      </c>
      <c r="M1974" s="5">
        <f t="shared" si="235"/>
        <v>2012</v>
      </c>
    </row>
    <row r="1975" spans="1:13" ht="17.45" customHeight="1" x14ac:dyDescent="0.25">
      <c r="A1975" s="1">
        <f>DATE(2012,4,11)</f>
        <v>41010</v>
      </c>
      <c r="B1975" t="s">
        <v>22</v>
      </c>
      <c r="C1975" t="s">
        <v>10</v>
      </c>
      <c r="D1975" s="3">
        <v>52.271999999999998</v>
      </c>
      <c r="E1975" s="3">
        <v>0</v>
      </c>
      <c r="F1975" t="s">
        <v>45</v>
      </c>
      <c r="G1975" s="3">
        <f t="shared" si="229"/>
        <v>-52.271999999999998</v>
      </c>
      <c r="H1975" s="3">
        <f t="shared" si="230"/>
        <v>52.271999999999998</v>
      </c>
      <c r="I1975" s="5" t="str">
        <f t="shared" si="231"/>
        <v>018</v>
      </c>
      <c r="J1975" s="5" t="str">
        <f t="shared" si="232"/>
        <v>2230</v>
      </c>
      <c r="K1975" s="5" t="str">
        <f t="shared" si="233"/>
        <v>000</v>
      </c>
      <c r="L1975" s="5">
        <f t="shared" si="234"/>
        <v>4</v>
      </c>
      <c r="M1975" s="5">
        <f t="shared" si="235"/>
        <v>2012</v>
      </c>
    </row>
    <row r="1976" spans="1:13" ht="17.45" customHeight="1" x14ac:dyDescent="0.25">
      <c r="A1976" s="1">
        <f>DATE(2012,4,12)</f>
        <v>41011</v>
      </c>
      <c r="B1976" t="s">
        <v>19</v>
      </c>
      <c r="C1976" t="s">
        <v>6</v>
      </c>
      <c r="D1976" s="3">
        <v>3720.732</v>
      </c>
      <c r="E1976" s="3">
        <v>0</v>
      </c>
      <c r="F1976" t="s">
        <v>45</v>
      </c>
      <c r="G1976" s="3">
        <f t="shared" si="229"/>
        <v>-3720.732</v>
      </c>
      <c r="H1976" s="3">
        <f t="shared" si="230"/>
        <v>3720.732</v>
      </c>
      <c r="I1976" s="5" t="str">
        <f t="shared" si="231"/>
        <v>018</v>
      </c>
      <c r="J1976" s="5" t="str">
        <f t="shared" si="232"/>
        <v>2100</v>
      </c>
      <c r="K1976" s="5" t="str">
        <f t="shared" si="233"/>
        <v>000</v>
      </c>
      <c r="L1976" s="5">
        <f t="shared" si="234"/>
        <v>4</v>
      </c>
      <c r="M1976" s="5">
        <f t="shared" si="235"/>
        <v>2012</v>
      </c>
    </row>
    <row r="1977" spans="1:13" ht="17.45" customHeight="1" x14ac:dyDescent="0.25">
      <c r="A1977" s="1">
        <f>DATE(2012,4,12)</f>
        <v>41011</v>
      </c>
      <c r="B1977" t="s">
        <v>20</v>
      </c>
      <c r="C1977" t="s">
        <v>8</v>
      </c>
      <c r="D1977" s="3">
        <v>937.16449999999998</v>
      </c>
      <c r="E1977" s="3">
        <v>0</v>
      </c>
      <c r="F1977" t="s">
        <v>45</v>
      </c>
      <c r="G1977" s="3">
        <f t="shared" si="229"/>
        <v>-937.16449999999998</v>
      </c>
      <c r="H1977" s="3">
        <f t="shared" si="230"/>
        <v>937.16449999999998</v>
      </c>
      <c r="I1977" s="5" t="str">
        <f t="shared" si="231"/>
        <v>018</v>
      </c>
      <c r="J1977" s="5" t="str">
        <f t="shared" si="232"/>
        <v>2210</v>
      </c>
      <c r="K1977" s="5" t="str">
        <f t="shared" si="233"/>
        <v>000</v>
      </c>
      <c r="L1977" s="5">
        <f t="shared" si="234"/>
        <v>4</v>
      </c>
      <c r="M1977" s="5">
        <f t="shared" si="235"/>
        <v>2012</v>
      </c>
    </row>
    <row r="1978" spans="1:13" ht="17.45" customHeight="1" x14ac:dyDescent="0.25">
      <c r="A1978" s="1">
        <f>DATE(2012,4,12)</f>
        <v>41011</v>
      </c>
      <c r="B1978" t="s">
        <v>21</v>
      </c>
      <c r="C1978" t="s">
        <v>9</v>
      </c>
      <c r="D1978" s="3">
        <v>243.76799999999997</v>
      </c>
      <c r="E1978" s="3">
        <v>0</v>
      </c>
      <c r="F1978" t="s">
        <v>45</v>
      </c>
      <c r="G1978" s="3">
        <f t="shared" si="229"/>
        <v>-243.76799999999997</v>
      </c>
      <c r="H1978" s="3">
        <f t="shared" si="230"/>
        <v>243.76799999999997</v>
      </c>
      <c r="I1978" s="5" t="str">
        <f t="shared" si="231"/>
        <v>018</v>
      </c>
      <c r="J1978" s="5" t="str">
        <f t="shared" si="232"/>
        <v>2220</v>
      </c>
      <c r="K1978" s="5" t="str">
        <f t="shared" si="233"/>
        <v>000</v>
      </c>
      <c r="L1978" s="5">
        <f t="shared" si="234"/>
        <v>4</v>
      </c>
      <c r="M1978" s="5">
        <f t="shared" si="235"/>
        <v>2012</v>
      </c>
    </row>
    <row r="1979" spans="1:13" ht="17.45" customHeight="1" x14ac:dyDescent="0.25">
      <c r="A1979" s="1">
        <f>DATE(2012,4,12)</f>
        <v>41011</v>
      </c>
      <c r="B1979" t="s">
        <v>22</v>
      </c>
      <c r="C1979" t="s">
        <v>10</v>
      </c>
      <c r="D1979" s="3">
        <v>35.875</v>
      </c>
      <c r="E1979" s="3">
        <v>0</v>
      </c>
      <c r="F1979" t="s">
        <v>45</v>
      </c>
      <c r="G1979" s="3">
        <f t="shared" si="229"/>
        <v>-35.875</v>
      </c>
      <c r="H1979" s="3">
        <f t="shared" si="230"/>
        <v>35.875</v>
      </c>
      <c r="I1979" s="5" t="str">
        <f t="shared" si="231"/>
        <v>018</v>
      </c>
      <c r="J1979" s="5" t="str">
        <f t="shared" si="232"/>
        <v>2230</v>
      </c>
      <c r="K1979" s="5" t="str">
        <f t="shared" si="233"/>
        <v>000</v>
      </c>
      <c r="L1979" s="5">
        <f t="shared" si="234"/>
        <v>4</v>
      </c>
      <c r="M1979" s="5">
        <f t="shared" si="235"/>
        <v>2012</v>
      </c>
    </row>
    <row r="1980" spans="1:13" ht="17.45" customHeight="1" x14ac:dyDescent="0.25">
      <c r="A1980" s="1">
        <f>DATE(2012,4,13)</f>
        <v>41012</v>
      </c>
      <c r="B1980" t="s">
        <v>19</v>
      </c>
      <c r="C1980" t="s">
        <v>6</v>
      </c>
      <c r="D1980" s="3">
        <v>12010.567499999999</v>
      </c>
      <c r="E1980" s="3">
        <v>0</v>
      </c>
      <c r="F1980" t="s">
        <v>45</v>
      </c>
      <c r="G1980" s="3">
        <f t="shared" si="229"/>
        <v>-12010.567499999999</v>
      </c>
      <c r="H1980" s="3">
        <f t="shared" si="230"/>
        <v>12010.567499999999</v>
      </c>
      <c r="I1980" s="5" t="str">
        <f t="shared" si="231"/>
        <v>018</v>
      </c>
      <c r="J1980" s="5" t="str">
        <f t="shared" si="232"/>
        <v>2100</v>
      </c>
      <c r="K1980" s="5" t="str">
        <f t="shared" si="233"/>
        <v>000</v>
      </c>
      <c r="L1980" s="5">
        <f t="shared" si="234"/>
        <v>4</v>
      </c>
      <c r="M1980" s="5">
        <f t="shared" si="235"/>
        <v>2012</v>
      </c>
    </row>
    <row r="1981" spans="1:13" ht="17.45" customHeight="1" x14ac:dyDescent="0.25">
      <c r="A1981" s="1">
        <f>DATE(2012,4,13)</f>
        <v>41012</v>
      </c>
      <c r="B1981" t="s">
        <v>20</v>
      </c>
      <c r="C1981" t="s">
        <v>8</v>
      </c>
      <c r="D1981" s="3">
        <v>2797.681</v>
      </c>
      <c r="E1981" s="3">
        <v>0</v>
      </c>
      <c r="F1981" t="s">
        <v>45</v>
      </c>
      <c r="G1981" s="3">
        <f t="shared" si="229"/>
        <v>-2797.681</v>
      </c>
      <c r="H1981" s="3">
        <f t="shared" si="230"/>
        <v>2797.681</v>
      </c>
      <c r="I1981" s="5" t="str">
        <f t="shared" si="231"/>
        <v>018</v>
      </c>
      <c r="J1981" s="5" t="str">
        <f t="shared" si="232"/>
        <v>2210</v>
      </c>
      <c r="K1981" s="5" t="str">
        <f t="shared" si="233"/>
        <v>000</v>
      </c>
      <c r="L1981" s="5">
        <f t="shared" si="234"/>
        <v>4</v>
      </c>
      <c r="M1981" s="5">
        <f t="shared" si="235"/>
        <v>2012</v>
      </c>
    </row>
    <row r="1982" spans="1:13" ht="17.45" customHeight="1" x14ac:dyDescent="0.25">
      <c r="A1982" s="1">
        <f>DATE(2012,4,13)</f>
        <v>41012</v>
      </c>
      <c r="B1982" t="s">
        <v>21</v>
      </c>
      <c r="C1982" t="s">
        <v>9</v>
      </c>
      <c r="D1982" s="3">
        <v>444.37999999999994</v>
      </c>
      <c r="E1982" s="3">
        <v>0</v>
      </c>
      <c r="F1982" t="s">
        <v>45</v>
      </c>
      <c r="G1982" s="3">
        <f t="shared" si="229"/>
        <v>-444.37999999999994</v>
      </c>
      <c r="H1982" s="3">
        <f t="shared" si="230"/>
        <v>444.37999999999994</v>
      </c>
      <c r="I1982" s="5" t="str">
        <f t="shared" si="231"/>
        <v>018</v>
      </c>
      <c r="J1982" s="5" t="str">
        <f t="shared" si="232"/>
        <v>2220</v>
      </c>
      <c r="K1982" s="5" t="str">
        <f t="shared" si="233"/>
        <v>000</v>
      </c>
      <c r="L1982" s="5">
        <f t="shared" si="234"/>
        <v>4</v>
      </c>
      <c r="M1982" s="5">
        <f t="shared" si="235"/>
        <v>2012</v>
      </c>
    </row>
    <row r="1983" spans="1:13" ht="17.45" customHeight="1" x14ac:dyDescent="0.25">
      <c r="A1983" s="1">
        <f>DATE(2012,4,13)</f>
        <v>41012</v>
      </c>
      <c r="B1983" t="s">
        <v>22</v>
      </c>
      <c r="C1983" t="s">
        <v>10</v>
      </c>
      <c r="D1983" s="3">
        <v>145.595</v>
      </c>
      <c r="E1983" s="3">
        <v>0</v>
      </c>
      <c r="F1983" t="s">
        <v>45</v>
      </c>
      <c r="G1983" s="3">
        <f t="shared" si="229"/>
        <v>-145.595</v>
      </c>
      <c r="H1983" s="3">
        <f t="shared" si="230"/>
        <v>145.595</v>
      </c>
      <c r="I1983" s="5" t="str">
        <f t="shared" si="231"/>
        <v>018</v>
      </c>
      <c r="J1983" s="5" t="str">
        <f t="shared" si="232"/>
        <v>2230</v>
      </c>
      <c r="K1983" s="5" t="str">
        <f t="shared" si="233"/>
        <v>000</v>
      </c>
      <c r="L1983" s="5">
        <f t="shared" si="234"/>
        <v>4</v>
      </c>
      <c r="M1983" s="5">
        <f t="shared" si="235"/>
        <v>2012</v>
      </c>
    </row>
    <row r="1984" spans="1:13" ht="17.45" customHeight="1" x14ac:dyDescent="0.25">
      <c r="A1984" s="1">
        <f>DATE(2012,4,14)</f>
        <v>41013</v>
      </c>
      <c r="B1984" t="s">
        <v>19</v>
      </c>
      <c r="C1984" t="s">
        <v>6</v>
      </c>
      <c r="D1984" s="3">
        <v>16356.238400000002</v>
      </c>
      <c r="E1984" s="3">
        <v>0</v>
      </c>
      <c r="F1984" t="s">
        <v>45</v>
      </c>
      <c r="G1984" s="3">
        <f t="shared" si="229"/>
        <v>-16356.238400000002</v>
      </c>
      <c r="H1984" s="3">
        <f t="shared" si="230"/>
        <v>16356.238400000002</v>
      </c>
      <c r="I1984" s="5" t="str">
        <f t="shared" si="231"/>
        <v>018</v>
      </c>
      <c r="J1984" s="5" t="str">
        <f t="shared" si="232"/>
        <v>2100</v>
      </c>
      <c r="K1984" s="5" t="str">
        <f t="shared" si="233"/>
        <v>000</v>
      </c>
      <c r="L1984" s="5">
        <f t="shared" si="234"/>
        <v>4</v>
      </c>
      <c r="M1984" s="5">
        <f t="shared" si="235"/>
        <v>2012</v>
      </c>
    </row>
    <row r="1985" spans="1:13" ht="17.45" customHeight="1" x14ac:dyDescent="0.25">
      <c r="A1985" s="1">
        <f>DATE(2012,4,14)</f>
        <v>41013</v>
      </c>
      <c r="B1985" t="s">
        <v>20</v>
      </c>
      <c r="C1985" t="s">
        <v>8</v>
      </c>
      <c r="D1985" s="3">
        <v>3610.2404999999999</v>
      </c>
      <c r="E1985" s="3">
        <v>0</v>
      </c>
      <c r="F1985" t="s">
        <v>45</v>
      </c>
      <c r="G1985" s="3">
        <f t="shared" si="229"/>
        <v>-3610.2404999999999</v>
      </c>
      <c r="H1985" s="3">
        <f t="shared" si="230"/>
        <v>3610.2404999999999</v>
      </c>
      <c r="I1985" s="5" t="str">
        <f t="shared" si="231"/>
        <v>018</v>
      </c>
      <c r="J1985" s="5" t="str">
        <f t="shared" si="232"/>
        <v>2210</v>
      </c>
      <c r="K1985" s="5" t="str">
        <f t="shared" si="233"/>
        <v>000</v>
      </c>
      <c r="L1985" s="5">
        <f t="shared" si="234"/>
        <v>4</v>
      </c>
      <c r="M1985" s="5">
        <f t="shared" si="235"/>
        <v>2012</v>
      </c>
    </row>
    <row r="1986" spans="1:13" ht="17.45" customHeight="1" x14ac:dyDescent="0.25">
      <c r="A1986" s="1">
        <f>DATE(2012,4,14)</f>
        <v>41013</v>
      </c>
      <c r="B1986" t="s">
        <v>21</v>
      </c>
      <c r="C1986" t="s">
        <v>9</v>
      </c>
      <c r="D1986" s="3">
        <v>432.67649999999998</v>
      </c>
      <c r="E1986" s="3">
        <v>0</v>
      </c>
      <c r="F1986" t="s">
        <v>45</v>
      </c>
      <c r="G1986" s="3">
        <f t="shared" ref="G1986:G2049" si="236">E1986-D1986</f>
        <v>-432.67649999999998</v>
      </c>
      <c r="H1986" s="3">
        <f t="shared" ref="H1986:H2049" si="237">ABS(G1986)</f>
        <v>432.67649999999998</v>
      </c>
      <c r="I1986" s="5" t="str">
        <f t="shared" ref="I1986:I2049" si="238">MID(B1986,1,3)</f>
        <v>018</v>
      </c>
      <c r="J1986" s="5" t="str">
        <f t="shared" ref="J1986:J2049" si="239">MID(B1986,5,4)</f>
        <v>2220</v>
      </c>
      <c r="K1986" s="5" t="str">
        <f t="shared" ref="K1986:K2049" si="240">MID(B1986,10,3)</f>
        <v>000</v>
      </c>
      <c r="L1986" s="5">
        <f t="shared" ref="L1986:L2049" si="241">MONTH(A1986)</f>
        <v>4</v>
      </c>
      <c r="M1986" s="5">
        <f t="shared" ref="M1986:M2049" si="242">YEAR(A1986)</f>
        <v>2012</v>
      </c>
    </row>
    <row r="1987" spans="1:13" ht="17.45" customHeight="1" x14ac:dyDescent="0.25">
      <c r="A1987" s="1">
        <f>DATE(2012,4,14)</f>
        <v>41013</v>
      </c>
      <c r="B1987" t="s">
        <v>22</v>
      </c>
      <c r="C1987" t="s">
        <v>10</v>
      </c>
      <c r="D1987" s="3">
        <v>139.09700000000001</v>
      </c>
      <c r="E1987" s="3">
        <v>0</v>
      </c>
      <c r="F1987" t="s">
        <v>45</v>
      </c>
      <c r="G1987" s="3">
        <f t="shared" si="236"/>
        <v>-139.09700000000001</v>
      </c>
      <c r="H1987" s="3">
        <f t="shared" si="237"/>
        <v>139.09700000000001</v>
      </c>
      <c r="I1987" s="5" t="str">
        <f t="shared" si="238"/>
        <v>018</v>
      </c>
      <c r="J1987" s="5" t="str">
        <f t="shared" si="239"/>
        <v>2230</v>
      </c>
      <c r="K1987" s="5" t="str">
        <f t="shared" si="240"/>
        <v>000</v>
      </c>
      <c r="L1987" s="5">
        <f t="shared" si="241"/>
        <v>4</v>
      </c>
      <c r="M1987" s="5">
        <f t="shared" si="242"/>
        <v>2012</v>
      </c>
    </row>
    <row r="1988" spans="1:13" ht="17.45" customHeight="1" x14ac:dyDescent="0.25">
      <c r="A1988" s="1">
        <f>DATE(2012,4,15)</f>
        <v>41014</v>
      </c>
      <c r="B1988" t="s">
        <v>19</v>
      </c>
      <c r="C1988" t="s">
        <v>6</v>
      </c>
      <c r="D1988" s="3">
        <v>8349.0740000000005</v>
      </c>
      <c r="E1988" s="3">
        <v>0</v>
      </c>
      <c r="F1988" t="s">
        <v>45</v>
      </c>
      <c r="G1988" s="3">
        <f t="shared" si="236"/>
        <v>-8349.0740000000005</v>
      </c>
      <c r="H1988" s="3">
        <f t="shared" si="237"/>
        <v>8349.0740000000005</v>
      </c>
      <c r="I1988" s="5" t="str">
        <f t="shared" si="238"/>
        <v>018</v>
      </c>
      <c r="J1988" s="5" t="str">
        <f t="shared" si="239"/>
        <v>2100</v>
      </c>
      <c r="K1988" s="5" t="str">
        <f t="shared" si="240"/>
        <v>000</v>
      </c>
      <c r="L1988" s="5">
        <f t="shared" si="241"/>
        <v>4</v>
      </c>
      <c r="M1988" s="5">
        <f t="shared" si="242"/>
        <v>2012</v>
      </c>
    </row>
    <row r="1989" spans="1:13" ht="17.45" customHeight="1" x14ac:dyDescent="0.25">
      <c r="A1989" s="1">
        <f>DATE(2012,4,15)</f>
        <v>41014</v>
      </c>
      <c r="B1989" t="s">
        <v>20</v>
      </c>
      <c r="C1989" t="s">
        <v>8</v>
      </c>
      <c r="D1989" s="3">
        <v>1844.6120000000001</v>
      </c>
      <c r="E1989" s="3">
        <v>0</v>
      </c>
      <c r="F1989" t="s">
        <v>45</v>
      </c>
      <c r="G1989" s="3">
        <f t="shared" si="236"/>
        <v>-1844.6120000000001</v>
      </c>
      <c r="H1989" s="3">
        <f t="shared" si="237"/>
        <v>1844.6120000000001</v>
      </c>
      <c r="I1989" s="5" t="str">
        <f t="shared" si="238"/>
        <v>018</v>
      </c>
      <c r="J1989" s="5" t="str">
        <f t="shared" si="239"/>
        <v>2210</v>
      </c>
      <c r="K1989" s="5" t="str">
        <f t="shared" si="240"/>
        <v>000</v>
      </c>
      <c r="L1989" s="5">
        <f t="shared" si="241"/>
        <v>4</v>
      </c>
      <c r="M1989" s="5">
        <f t="shared" si="242"/>
        <v>2012</v>
      </c>
    </row>
    <row r="1990" spans="1:13" ht="17.45" customHeight="1" x14ac:dyDescent="0.25">
      <c r="A1990" s="1">
        <f>DATE(2012,4,15)</f>
        <v>41014</v>
      </c>
      <c r="B1990" t="s">
        <v>21</v>
      </c>
      <c r="C1990" t="s">
        <v>9</v>
      </c>
      <c r="D1990" s="3">
        <v>375.49799999999999</v>
      </c>
      <c r="E1990" s="3">
        <v>0</v>
      </c>
      <c r="F1990" t="s">
        <v>45</v>
      </c>
      <c r="G1990" s="3">
        <f t="shared" si="236"/>
        <v>-375.49799999999999</v>
      </c>
      <c r="H1990" s="3">
        <f t="shared" si="237"/>
        <v>375.49799999999999</v>
      </c>
      <c r="I1990" s="5" t="str">
        <f t="shared" si="238"/>
        <v>018</v>
      </c>
      <c r="J1990" s="5" t="str">
        <f t="shared" si="239"/>
        <v>2220</v>
      </c>
      <c r="K1990" s="5" t="str">
        <f t="shared" si="240"/>
        <v>000</v>
      </c>
      <c r="L1990" s="5">
        <f t="shared" si="241"/>
        <v>4</v>
      </c>
      <c r="M1990" s="5">
        <f t="shared" si="242"/>
        <v>2012</v>
      </c>
    </row>
    <row r="1991" spans="1:13" ht="17.45" customHeight="1" x14ac:dyDescent="0.25">
      <c r="A1991" s="1">
        <f>DATE(2012,4,15)</f>
        <v>41014</v>
      </c>
      <c r="B1991" t="s">
        <v>22</v>
      </c>
      <c r="C1991" t="s">
        <v>10</v>
      </c>
      <c r="D1991" s="3">
        <v>171.21199999999999</v>
      </c>
      <c r="E1991" s="3">
        <v>0</v>
      </c>
      <c r="F1991" t="s">
        <v>45</v>
      </c>
      <c r="G1991" s="3">
        <f t="shared" si="236"/>
        <v>-171.21199999999999</v>
      </c>
      <c r="H1991" s="3">
        <f t="shared" si="237"/>
        <v>171.21199999999999</v>
      </c>
      <c r="I1991" s="5" t="str">
        <f t="shared" si="238"/>
        <v>018</v>
      </c>
      <c r="J1991" s="5" t="str">
        <f t="shared" si="239"/>
        <v>2230</v>
      </c>
      <c r="K1991" s="5" t="str">
        <f t="shared" si="240"/>
        <v>000</v>
      </c>
      <c r="L1991" s="5">
        <f t="shared" si="241"/>
        <v>4</v>
      </c>
      <c r="M1991" s="5">
        <f t="shared" si="242"/>
        <v>2012</v>
      </c>
    </row>
    <row r="1992" spans="1:13" ht="17.45" customHeight="1" x14ac:dyDescent="0.25">
      <c r="A1992" s="1">
        <f>DATE(2012,4,16)</f>
        <v>41015</v>
      </c>
      <c r="B1992" t="s">
        <v>11</v>
      </c>
      <c r="C1992" t="s">
        <v>6</v>
      </c>
      <c r="D1992" s="3">
        <v>2684.5694000000003</v>
      </c>
      <c r="E1992" s="3">
        <v>0</v>
      </c>
      <c r="F1992" t="s">
        <v>45</v>
      </c>
      <c r="G1992" s="3">
        <f t="shared" si="236"/>
        <v>-2684.5694000000003</v>
      </c>
      <c r="H1992" s="3">
        <f t="shared" si="237"/>
        <v>2684.5694000000003</v>
      </c>
      <c r="I1992" s="5" t="str">
        <f t="shared" si="238"/>
        <v>016</v>
      </c>
      <c r="J1992" s="5" t="str">
        <f t="shared" si="239"/>
        <v>2100</v>
      </c>
      <c r="K1992" s="5" t="str">
        <f t="shared" si="240"/>
        <v>000</v>
      </c>
      <c r="L1992" s="5">
        <f t="shared" si="241"/>
        <v>4</v>
      </c>
      <c r="M1992" s="5">
        <f t="shared" si="242"/>
        <v>2012</v>
      </c>
    </row>
    <row r="1993" spans="1:13" ht="17.45" customHeight="1" x14ac:dyDescent="0.25">
      <c r="A1993" s="1">
        <f>DATE(2012,4,16)</f>
        <v>41015</v>
      </c>
      <c r="B1993" t="s">
        <v>12</v>
      </c>
      <c r="C1993" t="s">
        <v>8</v>
      </c>
      <c r="D1993" s="3">
        <v>826.09899999999993</v>
      </c>
      <c r="E1993" s="3">
        <v>0</v>
      </c>
      <c r="F1993" t="s">
        <v>45</v>
      </c>
      <c r="G1993" s="3">
        <f t="shared" si="236"/>
        <v>-826.09899999999993</v>
      </c>
      <c r="H1993" s="3">
        <f t="shared" si="237"/>
        <v>826.09899999999993</v>
      </c>
      <c r="I1993" s="5" t="str">
        <f t="shared" si="238"/>
        <v>016</v>
      </c>
      <c r="J1993" s="5" t="str">
        <f t="shared" si="239"/>
        <v>2210</v>
      </c>
      <c r="K1993" s="5" t="str">
        <f t="shared" si="240"/>
        <v>000</v>
      </c>
      <c r="L1993" s="5">
        <f t="shared" si="241"/>
        <v>4</v>
      </c>
      <c r="M1993" s="5">
        <f t="shared" si="242"/>
        <v>2012</v>
      </c>
    </row>
    <row r="1994" spans="1:13" ht="17.45" customHeight="1" x14ac:dyDescent="0.25">
      <c r="A1994" s="1">
        <f>DATE(2012,4,16)</f>
        <v>41015</v>
      </c>
      <c r="B1994" t="s">
        <v>13</v>
      </c>
      <c r="C1994" t="s">
        <v>9</v>
      </c>
      <c r="D1994" s="3">
        <v>122.337</v>
      </c>
      <c r="E1994" s="3">
        <v>0</v>
      </c>
      <c r="F1994" t="s">
        <v>45</v>
      </c>
      <c r="G1994" s="3">
        <f t="shared" si="236"/>
        <v>-122.337</v>
      </c>
      <c r="H1994" s="3">
        <f t="shared" si="237"/>
        <v>122.337</v>
      </c>
      <c r="I1994" s="5" t="str">
        <f t="shared" si="238"/>
        <v>016</v>
      </c>
      <c r="J1994" s="5" t="str">
        <f t="shared" si="239"/>
        <v>2220</v>
      </c>
      <c r="K1994" s="5" t="str">
        <f t="shared" si="240"/>
        <v>000</v>
      </c>
      <c r="L1994" s="5">
        <f t="shared" si="241"/>
        <v>4</v>
      </c>
      <c r="M1994" s="5">
        <f t="shared" si="242"/>
        <v>2012</v>
      </c>
    </row>
    <row r="1995" spans="1:13" ht="17.45" customHeight="1" x14ac:dyDescent="0.25">
      <c r="A1995" s="1">
        <f>DATE(2012,4,16)</f>
        <v>41015</v>
      </c>
      <c r="B1995" t="s">
        <v>14</v>
      </c>
      <c r="C1995" t="s">
        <v>10</v>
      </c>
      <c r="D1995" s="3">
        <v>92.547000000000011</v>
      </c>
      <c r="E1995" s="3">
        <v>0</v>
      </c>
      <c r="F1995" t="s">
        <v>45</v>
      </c>
      <c r="G1995" s="3">
        <f t="shared" si="236"/>
        <v>-92.547000000000011</v>
      </c>
      <c r="H1995" s="3">
        <f t="shared" si="237"/>
        <v>92.547000000000011</v>
      </c>
      <c r="I1995" s="5" t="str">
        <f t="shared" si="238"/>
        <v>016</v>
      </c>
      <c r="J1995" s="5" t="str">
        <f t="shared" si="239"/>
        <v>2230</v>
      </c>
      <c r="K1995" s="5" t="str">
        <f t="shared" si="240"/>
        <v>000</v>
      </c>
      <c r="L1995" s="5">
        <f t="shared" si="241"/>
        <v>4</v>
      </c>
      <c r="M1995" s="5">
        <f t="shared" si="242"/>
        <v>2012</v>
      </c>
    </row>
    <row r="1996" spans="1:13" ht="17.45" customHeight="1" x14ac:dyDescent="0.25">
      <c r="A1996" s="1">
        <f>DATE(2012,4,17)</f>
        <v>41016</v>
      </c>
      <c r="B1996" t="s">
        <v>11</v>
      </c>
      <c r="C1996" t="s">
        <v>6</v>
      </c>
      <c r="D1996" s="3">
        <v>3716.6849999999999</v>
      </c>
      <c r="E1996" s="3">
        <v>0</v>
      </c>
      <c r="F1996" t="s">
        <v>45</v>
      </c>
      <c r="G1996" s="3">
        <f t="shared" si="236"/>
        <v>-3716.6849999999999</v>
      </c>
      <c r="H1996" s="3">
        <f t="shared" si="237"/>
        <v>3716.6849999999999</v>
      </c>
      <c r="I1996" s="5" t="str">
        <f t="shared" si="238"/>
        <v>016</v>
      </c>
      <c r="J1996" s="5" t="str">
        <f t="shared" si="239"/>
        <v>2100</v>
      </c>
      <c r="K1996" s="5" t="str">
        <f t="shared" si="240"/>
        <v>000</v>
      </c>
      <c r="L1996" s="5">
        <f t="shared" si="241"/>
        <v>4</v>
      </c>
      <c r="M1996" s="5">
        <f t="shared" si="242"/>
        <v>2012</v>
      </c>
    </row>
    <row r="1997" spans="1:13" ht="17.45" customHeight="1" x14ac:dyDescent="0.25">
      <c r="A1997" s="1">
        <f>DATE(2012,4,17)</f>
        <v>41016</v>
      </c>
      <c r="B1997" t="s">
        <v>12</v>
      </c>
      <c r="C1997" t="s">
        <v>8</v>
      </c>
      <c r="D1997" s="3">
        <v>2070.1149999999998</v>
      </c>
      <c r="E1997" s="3">
        <v>0</v>
      </c>
      <c r="F1997" t="s">
        <v>45</v>
      </c>
      <c r="G1997" s="3">
        <f t="shared" si="236"/>
        <v>-2070.1149999999998</v>
      </c>
      <c r="H1997" s="3">
        <f t="shared" si="237"/>
        <v>2070.1149999999998</v>
      </c>
      <c r="I1997" s="5" t="str">
        <f t="shared" si="238"/>
        <v>016</v>
      </c>
      <c r="J1997" s="5" t="str">
        <f t="shared" si="239"/>
        <v>2210</v>
      </c>
      <c r="K1997" s="5" t="str">
        <f t="shared" si="240"/>
        <v>000</v>
      </c>
      <c r="L1997" s="5">
        <f t="shared" si="241"/>
        <v>4</v>
      </c>
      <c r="M1997" s="5">
        <f t="shared" si="242"/>
        <v>2012</v>
      </c>
    </row>
    <row r="1998" spans="1:13" ht="17.45" customHeight="1" x14ac:dyDescent="0.25">
      <c r="A1998" s="1">
        <f>DATE(2012,4,17)</f>
        <v>41016</v>
      </c>
      <c r="B1998" t="s">
        <v>13</v>
      </c>
      <c r="C1998" t="s">
        <v>9</v>
      </c>
      <c r="D1998" s="3">
        <v>383.4</v>
      </c>
      <c r="E1998" s="3">
        <v>0</v>
      </c>
      <c r="F1998" t="s">
        <v>45</v>
      </c>
      <c r="G1998" s="3">
        <f t="shared" si="236"/>
        <v>-383.4</v>
      </c>
      <c r="H1998" s="3">
        <f t="shared" si="237"/>
        <v>383.4</v>
      </c>
      <c r="I1998" s="5" t="str">
        <f t="shared" si="238"/>
        <v>016</v>
      </c>
      <c r="J1998" s="5" t="str">
        <f t="shared" si="239"/>
        <v>2220</v>
      </c>
      <c r="K1998" s="5" t="str">
        <f t="shared" si="240"/>
        <v>000</v>
      </c>
      <c r="L1998" s="5">
        <f t="shared" si="241"/>
        <v>4</v>
      </c>
      <c r="M1998" s="5">
        <f t="shared" si="242"/>
        <v>2012</v>
      </c>
    </row>
    <row r="1999" spans="1:13" ht="17.45" customHeight="1" x14ac:dyDescent="0.25">
      <c r="A1999" s="1">
        <f>DATE(2012,4,17)</f>
        <v>41016</v>
      </c>
      <c r="B1999" t="s">
        <v>14</v>
      </c>
      <c r="C1999" t="s">
        <v>10</v>
      </c>
      <c r="D1999" s="3">
        <v>106.43600000000001</v>
      </c>
      <c r="E1999" s="3">
        <v>0</v>
      </c>
      <c r="F1999" t="s">
        <v>45</v>
      </c>
      <c r="G1999" s="3">
        <f t="shared" si="236"/>
        <v>-106.43600000000001</v>
      </c>
      <c r="H1999" s="3">
        <f t="shared" si="237"/>
        <v>106.43600000000001</v>
      </c>
      <c r="I1999" s="5" t="str">
        <f t="shared" si="238"/>
        <v>016</v>
      </c>
      <c r="J1999" s="5" t="str">
        <f t="shared" si="239"/>
        <v>2230</v>
      </c>
      <c r="K1999" s="5" t="str">
        <f t="shared" si="240"/>
        <v>000</v>
      </c>
      <c r="L1999" s="5">
        <f t="shared" si="241"/>
        <v>4</v>
      </c>
      <c r="M1999" s="5">
        <f t="shared" si="242"/>
        <v>2012</v>
      </c>
    </row>
    <row r="2000" spans="1:13" ht="17.45" customHeight="1" x14ac:dyDescent="0.25">
      <c r="A2000" s="1">
        <f>DATE(2012,4,18)</f>
        <v>41017</v>
      </c>
      <c r="B2000" t="s">
        <v>11</v>
      </c>
      <c r="C2000" t="s">
        <v>6</v>
      </c>
      <c r="D2000" s="3">
        <v>3646.643</v>
      </c>
      <c r="E2000" s="3">
        <v>0</v>
      </c>
      <c r="F2000" t="s">
        <v>45</v>
      </c>
      <c r="G2000" s="3">
        <f t="shared" si="236"/>
        <v>-3646.643</v>
      </c>
      <c r="H2000" s="3">
        <f t="shared" si="237"/>
        <v>3646.643</v>
      </c>
      <c r="I2000" s="5" t="str">
        <f t="shared" si="238"/>
        <v>016</v>
      </c>
      <c r="J2000" s="5" t="str">
        <f t="shared" si="239"/>
        <v>2100</v>
      </c>
      <c r="K2000" s="5" t="str">
        <f t="shared" si="240"/>
        <v>000</v>
      </c>
      <c r="L2000" s="5">
        <f t="shared" si="241"/>
        <v>4</v>
      </c>
      <c r="M2000" s="5">
        <f t="shared" si="242"/>
        <v>2012</v>
      </c>
    </row>
    <row r="2001" spans="1:13" ht="17.45" customHeight="1" x14ac:dyDescent="0.25">
      <c r="A2001" s="1">
        <f>DATE(2012,4,18)</f>
        <v>41017</v>
      </c>
      <c r="B2001" t="s">
        <v>12</v>
      </c>
      <c r="C2001" t="s">
        <v>8</v>
      </c>
      <c r="D2001" s="3">
        <v>1024.2339999999999</v>
      </c>
      <c r="E2001" s="3">
        <v>0</v>
      </c>
      <c r="F2001" t="s">
        <v>45</v>
      </c>
      <c r="G2001" s="3">
        <f t="shared" si="236"/>
        <v>-1024.2339999999999</v>
      </c>
      <c r="H2001" s="3">
        <f t="shared" si="237"/>
        <v>1024.2339999999999</v>
      </c>
      <c r="I2001" s="5" t="str">
        <f t="shared" si="238"/>
        <v>016</v>
      </c>
      <c r="J2001" s="5" t="str">
        <f t="shared" si="239"/>
        <v>2210</v>
      </c>
      <c r="K2001" s="5" t="str">
        <f t="shared" si="240"/>
        <v>000</v>
      </c>
      <c r="L2001" s="5">
        <f t="shared" si="241"/>
        <v>4</v>
      </c>
      <c r="M2001" s="5">
        <f t="shared" si="242"/>
        <v>2012</v>
      </c>
    </row>
    <row r="2002" spans="1:13" ht="17.45" customHeight="1" x14ac:dyDescent="0.25">
      <c r="A2002" s="1">
        <f>DATE(2012,4,18)</f>
        <v>41017</v>
      </c>
      <c r="B2002" t="s">
        <v>13</v>
      </c>
      <c r="C2002" t="s">
        <v>9</v>
      </c>
      <c r="D2002" s="3">
        <v>185.05800000000002</v>
      </c>
      <c r="E2002" s="3">
        <v>0</v>
      </c>
      <c r="F2002" t="s">
        <v>45</v>
      </c>
      <c r="G2002" s="3">
        <f t="shared" si="236"/>
        <v>-185.05800000000002</v>
      </c>
      <c r="H2002" s="3">
        <f t="shared" si="237"/>
        <v>185.05800000000002</v>
      </c>
      <c r="I2002" s="5" t="str">
        <f t="shared" si="238"/>
        <v>016</v>
      </c>
      <c r="J2002" s="5" t="str">
        <f t="shared" si="239"/>
        <v>2220</v>
      </c>
      <c r="K2002" s="5" t="str">
        <f t="shared" si="240"/>
        <v>000</v>
      </c>
      <c r="L2002" s="5">
        <f t="shared" si="241"/>
        <v>4</v>
      </c>
      <c r="M2002" s="5">
        <f t="shared" si="242"/>
        <v>2012</v>
      </c>
    </row>
    <row r="2003" spans="1:13" ht="17.45" customHeight="1" x14ac:dyDescent="0.25">
      <c r="A2003" s="1">
        <f>DATE(2012,4,18)</f>
        <v>41017</v>
      </c>
      <c r="B2003" t="s">
        <v>14</v>
      </c>
      <c r="C2003" t="s">
        <v>10</v>
      </c>
      <c r="D2003" s="3">
        <v>120.73100000000001</v>
      </c>
      <c r="E2003" s="3">
        <v>0</v>
      </c>
      <c r="F2003" t="s">
        <v>45</v>
      </c>
      <c r="G2003" s="3">
        <f t="shared" si="236"/>
        <v>-120.73100000000001</v>
      </c>
      <c r="H2003" s="3">
        <f t="shared" si="237"/>
        <v>120.73100000000001</v>
      </c>
      <c r="I2003" s="5" t="str">
        <f t="shared" si="238"/>
        <v>016</v>
      </c>
      <c r="J2003" s="5" t="str">
        <f t="shared" si="239"/>
        <v>2230</v>
      </c>
      <c r="K2003" s="5" t="str">
        <f t="shared" si="240"/>
        <v>000</v>
      </c>
      <c r="L2003" s="5">
        <f t="shared" si="241"/>
        <v>4</v>
      </c>
      <c r="M2003" s="5">
        <f t="shared" si="242"/>
        <v>2012</v>
      </c>
    </row>
    <row r="2004" spans="1:13" ht="17.45" customHeight="1" x14ac:dyDescent="0.25">
      <c r="A2004" s="1">
        <f>DATE(2012,4,19)</f>
        <v>41018</v>
      </c>
      <c r="B2004" t="s">
        <v>11</v>
      </c>
      <c r="C2004" t="s">
        <v>6</v>
      </c>
      <c r="D2004" s="3">
        <v>5463.799</v>
      </c>
      <c r="E2004" s="3">
        <v>0</v>
      </c>
      <c r="F2004" t="s">
        <v>45</v>
      </c>
      <c r="G2004" s="3">
        <f t="shared" si="236"/>
        <v>-5463.799</v>
      </c>
      <c r="H2004" s="3">
        <f t="shared" si="237"/>
        <v>5463.799</v>
      </c>
      <c r="I2004" s="5" t="str">
        <f t="shared" si="238"/>
        <v>016</v>
      </c>
      <c r="J2004" s="5" t="str">
        <f t="shared" si="239"/>
        <v>2100</v>
      </c>
      <c r="K2004" s="5" t="str">
        <f t="shared" si="240"/>
        <v>000</v>
      </c>
      <c r="L2004" s="5">
        <f t="shared" si="241"/>
        <v>4</v>
      </c>
      <c r="M2004" s="5">
        <f t="shared" si="242"/>
        <v>2012</v>
      </c>
    </row>
    <row r="2005" spans="1:13" ht="17.45" customHeight="1" x14ac:dyDescent="0.25">
      <c r="A2005" s="1">
        <f>DATE(2012,4,19)</f>
        <v>41018</v>
      </c>
      <c r="B2005" t="s">
        <v>12</v>
      </c>
      <c r="C2005" t="s">
        <v>8</v>
      </c>
      <c r="D2005" s="3">
        <v>2380.3200000000002</v>
      </c>
      <c r="E2005" s="3">
        <v>0</v>
      </c>
      <c r="F2005" t="s">
        <v>45</v>
      </c>
      <c r="G2005" s="3">
        <f t="shared" si="236"/>
        <v>-2380.3200000000002</v>
      </c>
      <c r="H2005" s="3">
        <f t="shared" si="237"/>
        <v>2380.3200000000002</v>
      </c>
      <c r="I2005" s="5" t="str">
        <f t="shared" si="238"/>
        <v>016</v>
      </c>
      <c r="J2005" s="5" t="str">
        <f t="shared" si="239"/>
        <v>2210</v>
      </c>
      <c r="K2005" s="5" t="str">
        <f t="shared" si="240"/>
        <v>000</v>
      </c>
      <c r="L2005" s="5">
        <f t="shared" si="241"/>
        <v>4</v>
      </c>
      <c r="M2005" s="5">
        <f t="shared" si="242"/>
        <v>2012</v>
      </c>
    </row>
    <row r="2006" spans="1:13" ht="17.45" customHeight="1" x14ac:dyDescent="0.25">
      <c r="A2006" s="1">
        <f>DATE(2012,4,19)</f>
        <v>41018</v>
      </c>
      <c r="B2006" t="s">
        <v>13</v>
      </c>
      <c r="C2006" t="s">
        <v>9</v>
      </c>
      <c r="D2006" s="3">
        <v>347.65199999999999</v>
      </c>
      <c r="E2006" s="3">
        <v>0</v>
      </c>
      <c r="F2006" t="s">
        <v>45</v>
      </c>
      <c r="G2006" s="3">
        <f t="shared" si="236"/>
        <v>-347.65199999999999</v>
      </c>
      <c r="H2006" s="3">
        <f t="shared" si="237"/>
        <v>347.65199999999999</v>
      </c>
      <c r="I2006" s="5" t="str">
        <f t="shared" si="238"/>
        <v>016</v>
      </c>
      <c r="J2006" s="5" t="str">
        <f t="shared" si="239"/>
        <v>2220</v>
      </c>
      <c r="K2006" s="5" t="str">
        <f t="shared" si="240"/>
        <v>000</v>
      </c>
      <c r="L2006" s="5">
        <f t="shared" si="241"/>
        <v>4</v>
      </c>
      <c r="M2006" s="5">
        <f t="shared" si="242"/>
        <v>2012</v>
      </c>
    </row>
    <row r="2007" spans="1:13" ht="17.45" customHeight="1" x14ac:dyDescent="0.25">
      <c r="A2007" s="1">
        <f>DATE(2012,4,19)</f>
        <v>41018</v>
      </c>
      <c r="B2007" t="s">
        <v>14</v>
      </c>
      <c r="C2007" t="s">
        <v>10</v>
      </c>
      <c r="D2007" s="3">
        <v>161.56799999999998</v>
      </c>
      <c r="E2007" s="3">
        <v>0</v>
      </c>
      <c r="F2007" t="s">
        <v>45</v>
      </c>
      <c r="G2007" s="3">
        <f t="shared" si="236"/>
        <v>-161.56799999999998</v>
      </c>
      <c r="H2007" s="3">
        <f t="shared" si="237"/>
        <v>161.56799999999998</v>
      </c>
      <c r="I2007" s="5" t="str">
        <f t="shared" si="238"/>
        <v>016</v>
      </c>
      <c r="J2007" s="5" t="str">
        <f t="shared" si="239"/>
        <v>2230</v>
      </c>
      <c r="K2007" s="5" t="str">
        <f t="shared" si="240"/>
        <v>000</v>
      </c>
      <c r="L2007" s="5">
        <f t="shared" si="241"/>
        <v>4</v>
      </c>
      <c r="M2007" s="5">
        <f t="shared" si="242"/>
        <v>2012</v>
      </c>
    </row>
    <row r="2008" spans="1:13" ht="17.45" customHeight="1" x14ac:dyDescent="0.25">
      <c r="A2008" s="1">
        <f t="shared" ref="A2008:A2011" si="243">DATE(2012,4,20)</f>
        <v>41019</v>
      </c>
      <c r="B2008" t="s">
        <v>11</v>
      </c>
      <c r="C2008" t="s">
        <v>6</v>
      </c>
      <c r="D2008" s="3">
        <v>6542.5834999999997</v>
      </c>
      <c r="E2008" s="3">
        <v>0</v>
      </c>
      <c r="F2008" t="s">
        <v>45</v>
      </c>
      <c r="G2008" s="3">
        <f t="shared" si="236"/>
        <v>-6542.5834999999997</v>
      </c>
      <c r="H2008" s="3">
        <f t="shared" si="237"/>
        <v>6542.5834999999997</v>
      </c>
      <c r="I2008" s="5" t="str">
        <f t="shared" si="238"/>
        <v>016</v>
      </c>
      <c r="J2008" s="5" t="str">
        <f t="shared" si="239"/>
        <v>2100</v>
      </c>
      <c r="K2008" s="5" t="str">
        <f t="shared" si="240"/>
        <v>000</v>
      </c>
      <c r="L2008" s="5">
        <f t="shared" si="241"/>
        <v>4</v>
      </c>
      <c r="M2008" s="5">
        <f t="shared" si="242"/>
        <v>2012</v>
      </c>
    </row>
    <row r="2009" spans="1:13" ht="17.45" customHeight="1" x14ac:dyDescent="0.25">
      <c r="A2009" s="1">
        <f t="shared" si="243"/>
        <v>41019</v>
      </c>
      <c r="B2009" t="s">
        <v>12</v>
      </c>
      <c r="C2009" t="s">
        <v>8</v>
      </c>
      <c r="D2009" s="3">
        <v>2512.16</v>
      </c>
      <c r="E2009" s="3">
        <v>0</v>
      </c>
      <c r="F2009" t="s">
        <v>45</v>
      </c>
      <c r="G2009" s="3">
        <f t="shared" si="236"/>
        <v>-2512.16</v>
      </c>
      <c r="H2009" s="3">
        <f t="shared" si="237"/>
        <v>2512.16</v>
      </c>
      <c r="I2009" s="5" t="str">
        <f t="shared" si="238"/>
        <v>016</v>
      </c>
      <c r="J2009" s="5" t="str">
        <f t="shared" si="239"/>
        <v>2210</v>
      </c>
      <c r="K2009" s="5" t="str">
        <f t="shared" si="240"/>
        <v>000</v>
      </c>
      <c r="L2009" s="5">
        <f t="shared" si="241"/>
        <v>4</v>
      </c>
      <c r="M2009" s="5">
        <f t="shared" si="242"/>
        <v>2012</v>
      </c>
    </row>
    <row r="2010" spans="1:13" ht="17.45" customHeight="1" x14ac:dyDescent="0.25">
      <c r="A2010" s="1">
        <f t="shared" si="243"/>
        <v>41019</v>
      </c>
      <c r="B2010" t="s">
        <v>13</v>
      </c>
      <c r="C2010" t="s">
        <v>9</v>
      </c>
      <c r="D2010" s="3">
        <v>399.25200000000007</v>
      </c>
      <c r="E2010" s="3">
        <v>0</v>
      </c>
      <c r="F2010" t="s">
        <v>45</v>
      </c>
      <c r="G2010" s="3">
        <f t="shared" si="236"/>
        <v>-399.25200000000007</v>
      </c>
      <c r="H2010" s="3">
        <f t="shared" si="237"/>
        <v>399.25200000000007</v>
      </c>
      <c r="I2010" s="5" t="str">
        <f t="shared" si="238"/>
        <v>016</v>
      </c>
      <c r="J2010" s="5" t="str">
        <f t="shared" si="239"/>
        <v>2220</v>
      </c>
      <c r="K2010" s="5" t="str">
        <f t="shared" si="240"/>
        <v>000</v>
      </c>
      <c r="L2010" s="5">
        <f t="shared" si="241"/>
        <v>4</v>
      </c>
      <c r="M2010" s="5">
        <f t="shared" si="242"/>
        <v>2012</v>
      </c>
    </row>
    <row r="2011" spans="1:13" ht="17.45" customHeight="1" x14ac:dyDescent="0.25">
      <c r="A2011" s="1">
        <f t="shared" si="243"/>
        <v>41019</v>
      </c>
      <c r="B2011" t="s">
        <v>14</v>
      </c>
      <c r="C2011" t="s">
        <v>10</v>
      </c>
      <c r="D2011" s="3">
        <v>158.68800000000002</v>
      </c>
      <c r="E2011" s="3">
        <v>0</v>
      </c>
      <c r="F2011" t="s">
        <v>45</v>
      </c>
      <c r="G2011" s="3">
        <f t="shared" si="236"/>
        <v>-158.68800000000002</v>
      </c>
      <c r="H2011" s="3">
        <f t="shared" si="237"/>
        <v>158.68800000000002</v>
      </c>
      <c r="I2011" s="5" t="str">
        <f t="shared" si="238"/>
        <v>016</v>
      </c>
      <c r="J2011" s="5" t="str">
        <f t="shared" si="239"/>
        <v>2230</v>
      </c>
      <c r="K2011" s="5" t="str">
        <f t="shared" si="240"/>
        <v>000</v>
      </c>
      <c r="L2011" s="5">
        <f t="shared" si="241"/>
        <v>4</v>
      </c>
      <c r="M2011" s="5">
        <f t="shared" si="242"/>
        <v>2012</v>
      </c>
    </row>
    <row r="2012" spans="1:13" ht="17.45" customHeight="1" x14ac:dyDescent="0.25">
      <c r="A2012" s="1">
        <f>DATE(2012,4,21)</f>
        <v>41020</v>
      </c>
      <c r="B2012" t="s">
        <v>11</v>
      </c>
      <c r="C2012" t="s">
        <v>6</v>
      </c>
      <c r="D2012" s="3">
        <v>7285.9016000000001</v>
      </c>
      <c r="E2012" s="3">
        <v>0</v>
      </c>
      <c r="F2012" t="s">
        <v>45</v>
      </c>
      <c r="G2012" s="3">
        <f t="shared" si="236"/>
        <v>-7285.9016000000001</v>
      </c>
      <c r="H2012" s="3">
        <f t="shared" si="237"/>
        <v>7285.9016000000001</v>
      </c>
      <c r="I2012" s="5" t="str">
        <f t="shared" si="238"/>
        <v>016</v>
      </c>
      <c r="J2012" s="5" t="str">
        <f t="shared" si="239"/>
        <v>2100</v>
      </c>
      <c r="K2012" s="5" t="str">
        <f t="shared" si="240"/>
        <v>000</v>
      </c>
      <c r="L2012" s="5">
        <f t="shared" si="241"/>
        <v>4</v>
      </c>
      <c r="M2012" s="5">
        <f t="shared" si="242"/>
        <v>2012</v>
      </c>
    </row>
    <row r="2013" spans="1:13" ht="17.45" customHeight="1" x14ac:dyDescent="0.25">
      <c r="A2013" s="1">
        <f>DATE(2012,4,21)</f>
        <v>41020</v>
      </c>
      <c r="B2013" t="s">
        <v>12</v>
      </c>
      <c r="C2013" t="s">
        <v>8</v>
      </c>
      <c r="D2013" s="3">
        <v>2677.5765000000001</v>
      </c>
      <c r="E2013" s="3">
        <v>0</v>
      </c>
      <c r="F2013" t="s">
        <v>45</v>
      </c>
      <c r="G2013" s="3">
        <f t="shared" si="236"/>
        <v>-2677.5765000000001</v>
      </c>
      <c r="H2013" s="3">
        <f t="shared" si="237"/>
        <v>2677.5765000000001</v>
      </c>
      <c r="I2013" s="5" t="str">
        <f t="shared" si="238"/>
        <v>016</v>
      </c>
      <c r="J2013" s="5" t="str">
        <f t="shared" si="239"/>
        <v>2210</v>
      </c>
      <c r="K2013" s="5" t="str">
        <f t="shared" si="240"/>
        <v>000</v>
      </c>
      <c r="L2013" s="5">
        <f t="shared" si="241"/>
        <v>4</v>
      </c>
      <c r="M2013" s="5">
        <f t="shared" si="242"/>
        <v>2012</v>
      </c>
    </row>
    <row r="2014" spans="1:13" ht="17.45" customHeight="1" x14ac:dyDescent="0.25">
      <c r="A2014" s="1">
        <f>DATE(2012,4,21)</f>
        <v>41020</v>
      </c>
      <c r="B2014" t="s">
        <v>13</v>
      </c>
      <c r="C2014" t="s">
        <v>9</v>
      </c>
      <c r="D2014" s="3">
        <v>567.66600000000005</v>
      </c>
      <c r="E2014" s="3">
        <v>0</v>
      </c>
      <c r="F2014" t="s">
        <v>45</v>
      </c>
      <c r="G2014" s="3">
        <f t="shared" si="236"/>
        <v>-567.66600000000005</v>
      </c>
      <c r="H2014" s="3">
        <f t="shared" si="237"/>
        <v>567.66600000000005</v>
      </c>
      <c r="I2014" s="5" t="str">
        <f t="shared" si="238"/>
        <v>016</v>
      </c>
      <c r="J2014" s="5" t="str">
        <f t="shared" si="239"/>
        <v>2220</v>
      </c>
      <c r="K2014" s="5" t="str">
        <f t="shared" si="240"/>
        <v>000</v>
      </c>
      <c r="L2014" s="5">
        <f t="shared" si="241"/>
        <v>4</v>
      </c>
      <c r="M2014" s="5">
        <f t="shared" si="242"/>
        <v>2012</v>
      </c>
    </row>
    <row r="2015" spans="1:13" ht="17.45" customHeight="1" x14ac:dyDescent="0.25">
      <c r="A2015" s="1">
        <f>DATE(2012,4,21)</f>
        <v>41020</v>
      </c>
      <c r="B2015" t="s">
        <v>14</v>
      </c>
      <c r="C2015" t="s">
        <v>10</v>
      </c>
      <c r="D2015" s="3">
        <v>174.60000000000002</v>
      </c>
      <c r="E2015" s="3">
        <v>0</v>
      </c>
      <c r="F2015" t="s">
        <v>45</v>
      </c>
      <c r="G2015" s="3">
        <f t="shared" si="236"/>
        <v>-174.60000000000002</v>
      </c>
      <c r="H2015" s="3">
        <f t="shared" si="237"/>
        <v>174.60000000000002</v>
      </c>
      <c r="I2015" s="5" t="str">
        <f t="shared" si="238"/>
        <v>016</v>
      </c>
      <c r="J2015" s="5" t="str">
        <f t="shared" si="239"/>
        <v>2230</v>
      </c>
      <c r="K2015" s="5" t="str">
        <f t="shared" si="240"/>
        <v>000</v>
      </c>
      <c r="L2015" s="5">
        <f t="shared" si="241"/>
        <v>4</v>
      </c>
      <c r="M2015" s="5">
        <f t="shared" si="242"/>
        <v>2012</v>
      </c>
    </row>
    <row r="2016" spans="1:13" ht="17.45" customHeight="1" x14ac:dyDescent="0.25">
      <c r="A2016" s="1">
        <f>DATE(2012,4,22)</f>
        <v>41021</v>
      </c>
      <c r="B2016" t="s">
        <v>11</v>
      </c>
      <c r="C2016" t="s">
        <v>6</v>
      </c>
      <c r="D2016" s="3">
        <v>5090.8032000000003</v>
      </c>
      <c r="E2016" s="3">
        <v>0</v>
      </c>
      <c r="F2016" t="s">
        <v>45</v>
      </c>
      <c r="G2016" s="3">
        <f t="shared" si="236"/>
        <v>-5090.8032000000003</v>
      </c>
      <c r="H2016" s="3">
        <f t="shared" si="237"/>
        <v>5090.8032000000003</v>
      </c>
      <c r="I2016" s="5" t="str">
        <f t="shared" si="238"/>
        <v>016</v>
      </c>
      <c r="J2016" s="5" t="str">
        <f t="shared" si="239"/>
        <v>2100</v>
      </c>
      <c r="K2016" s="5" t="str">
        <f t="shared" si="240"/>
        <v>000</v>
      </c>
      <c r="L2016" s="5">
        <f t="shared" si="241"/>
        <v>4</v>
      </c>
      <c r="M2016" s="5">
        <f t="shared" si="242"/>
        <v>2012</v>
      </c>
    </row>
    <row r="2017" spans="1:13" ht="17.45" customHeight="1" x14ac:dyDescent="0.25">
      <c r="A2017" s="1">
        <f>DATE(2012,4,22)</f>
        <v>41021</v>
      </c>
      <c r="B2017" t="s">
        <v>12</v>
      </c>
      <c r="C2017" t="s">
        <v>8</v>
      </c>
      <c r="D2017" s="3">
        <v>2028.6630000000002</v>
      </c>
      <c r="E2017" s="3">
        <v>0</v>
      </c>
      <c r="F2017" t="s">
        <v>45</v>
      </c>
      <c r="G2017" s="3">
        <f t="shared" si="236"/>
        <v>-2028.6630000000002</v>
      </c>
      <c r="H2017" s="3">
        <f t="shared" si="237"/>
        <v>2028.6630000000002</v>
      </c>
      <c r="I2017" s="5" t="str">
        <f t="shared" si="238"/>
        <v>016</v>
      </c>
      <c r="J2017" s="5" t="str">
        <f t="shared" si="239"/>
        <v>2210</v>
      </c>
      <c r="K2017" s="5" t="str">
        <f t="shared" si="240"/>
        <v>000</v>
      </c>
      <c r="L2017" s="5">
        <f t="shared" si="241"/>
        <v>4</v>
      </c>
      <c r="M2017" s="5">
        <f t="shared" si="242"/>
        <v>2012</v>
      </c>
    </row>
    <row r="2018" spans="1:13" ht="17.45" customHeight="1" x14ac:dyDescent="0.25">
      <c r="A2018" s="1">
        <f>DATE(2012,4,22)</f>
        <v>41021</v>
      </c>
      <c r="B2018" t="s">
        <v>13</v>
      </c>
      <c r="C2018" t="s">
        <v>9</v>
      </c>
      <c r="D2018" s="3">
        <v>262.80450000000002</v>
      </c>
      <c r="E2018" s="3">
        <v>0</v>
      </c>
      <c r="F2018" t="s">
        <v>45</v>
      </c>
      <c r="G2018" s="3">
        <f t="shared" si="236"/>
        <v>-262.80450000000002</v>
      </c>
      <c r="H2018" s="3">
        <f t="shared" si="237"/>
        <v>262.80450000000002</v>
      </c>
      <c r="I2018" s="5" t="str">
        <f t="shared" si="238"/>
        <v>016</v>
      </c>
      <c r="J2018" s="5" t="str">
        <f t="shared" si="239"/>
        <v>2220</v>
      </c>
      <c r="K2018" s="5" t="str">
        <f t="shared" si="240"/>
        <v>000</v>
      </c>
      <c r="L2018" s="5">
        <f t="shared" si="241"/>
        <v>4</v>
      </c>
      <c r="M2018" s="5">
        <f t="shared" si="242"/>
        <v>2012</v>
      </c>
    </row>
    <row r="2019" spans="1:13" ht="17.45" customHeight="1" x14ac:dyDescent="0.25">
      <c r="A2019" s="1">
        <f>DATE(2012,4,22)</f>
        <v>41021</v>
      </c>
      <c r="B2019" t="s">
        <v>14</v>
      </c>
      <c r="C2019" t="s">
        <v>10</v>
      </c>
      <c r="D2019" s="3">
        <v>91.263000000000005</v>
      </c>
      <c r="E2019" s="3">
        <v>0</v>
      </c>
      <c r="F2019" t="s">
        <v>45</v>
      </c>
      <c r="G2019" s="3">
        <f t="shared" si="236"/>
        <v>-91.263000000000005</v>
      </c>
      <c r="H2019" s="3">
        <f t="shared" si="237"/>
        <v>91.263000000000005</v>
      </c>
      <c r="I2019" s="5" t="str">
        <f t="shared" si="238"/>
        <v>016</v>
      </c>
      <c r="J2019" s="5" t="str">
        <f t="shared" si="239"/>
        <v>2230</v>
      </c>
      <c r="K2019" s="5" t="str">
        <f t="shared" si="240"/>
        <v>000</v>
      </c>
      <c r="L2019" s="5">
        <f t="shared" si="241"/>
        <v>4</v>
      </c>
      <c r="M2019" s="5">
        <f t="shared" si="242"/>
        <v>2012</v>
      </c>
    </row>
    <row r="2020" spans="1:13" ht="17.45" customHeight="1" x14ac:dyDescent="0.25">
      <c r="A2020" s="1">
        <f>DATE(2012,4,16)</f>
        <v>41015</v>
      </c>
      <c r="B2020" t="s">
        <v>15</v>
      </c>
      <c r="C2020" t="s">
        <v>6</v>
      </c>
      <c r="D2020" s="3">
        <v>4214.4938999999995</v>
      </c>
      <c r="E2020" s="3">
        <v>0</v>
      </c>
      <c r="F2020" t="s">
        <v>45</v>
      </c>
      <c r="G2020" s="3">
        <f t="shared" si="236"/>
        <v>-4214.4938999999995</v>
      </c>
      <c r="H2020" s="3">
        <f t="shared" si="237"/>
        <v>4214.4938999999995</v>
      </c>
      <c r="I2020" s="5" t="str">
        <f t="shared" si="238"/>
        <v>017</v>
      </c>
      <c r="J2020" s="5" t="str">
        <f t="shared" si="239"/>
        <v>2100</v>
      </c>
      <c r="K2020" s="5" t="str">
        <f t="shared" si="240"/>
        <v>000</v>
      </c>
      <c r="L2020" s="5">
        <f t="shared" si="241"/>
        <v>4</v>
      </c>
      <c r="M2020" s="5">
        <f t="shared" si="242"/>
        <v>2012</v>
      </c>
    </row>
    <row r="2021" spans="1:13" ht="17.45" customHeight="1" x14ac:dyDescent="0.25">
      <c r="A2021" s="1">
        <f>DATE(2012,4,16)</f>
        <v>41015</v>
      </c>
      <c r="B2021" t="s">
        <v>16</v>
      </c>
      <c r="C2021" t="s">
        <v>8</v>
      </c>
      <c r="D2021" s="3">
        <v>1449.2435000000003</v>
      </c>
      <c r="E2021" s="3">
        <v>0</v>
      </c>
      <c r="F2021" t="s">
        <v>45</v>
      </c>
      <c r="G2021" s="3">
        <f t="shared" si="236"/>
        <v>-1449.2435000000003</v>
      </c>
      <c r="H2021" s="3">
        <f t="shared" si="237"/>
        <v>1449.2435000000003</v>
      </c>
      <c r="I2021" s="5" t="str">
        <f t="shared" si="238"/>
        <v>017</v>
      </c>
      <c r="J2021" s="5" t="str">
        <f t="shared" si="239"/>
        <v>2210</v>
      </c>
      <c r="K2021" s="5" t="str">
        <f t="shared" si="240"/>
        <v>000</v>
      </c>
      <c r="L2021" s="5">
        <f t="shared" si="241"/>
        <v>4</v>
      </c>
      <c r="M2021" s="5">
        <f t="shared" si="242"/>
        <v>2012</v>
      </c>
    </row>
    <row r="2022" spans="1:13" ht="17.45" customHeight="1" x14ac:dyDescent="0.25">
      <c r="A2022" s="1">
        <f>DATE(2012,4,16)</f>
        <v>41015</v>
      </c>
      <c r="B2022" t="s">
        <v>17</v>
      </c>
      <c r="C2022" t="s">
        <v>9</v>
      </c>
      <c r="D2022" s="3">
        <v>537.12</v>
      </c>
      <c r="E2022" s="3">
        <v>0</v>
      </c>
      <c r="F2022" t="s">
        <v>45</v>
      </c>
      <c r="G2022" s="3">
        <f t="shared" si="236"/>
        <v>-537.12</v>
      </c>
      <c r="H2022" s="3">
        <f t="shared" si="237"/>
        <v>537.12</v>
      </c>
      <c r="I2022" s="5" t="str">
        <f t="shared" si="238"/>
        <v>017</v>
      </c>
      <c r="J2022" s="5" t="str">
        <f t="shared" si="239"/>
        <v>2220</v>
      </c>
      <c r="K2022" s="5" t="str">
        <f t="shared" si="240"/>
        <v>000</v>
      </c>
      <c r="L2022" s="5">
        <f t="shared" si="241"/>
        <v>4</v>
      </c>
      <c r="M2022" s="5">
        <f t="shared" si="242"/>
        <v>2012</v>
      </c>
    </row>
    <row r="2023" spans="1:13" ht="17.45" customHeight="1" x14ac:dyDescent="0.25">
      <c r="A2023" s="1">
        <f>DATE(2012,4,16)</f>
        <v>41015</v>
      </c>
      <c r="B2023" t="s">
        <v>18</v>
      </c>
      <c r="C2023" t="s">
        <v>10</v>
      </c>
      <c r="D2023" s="3">
        <v>133.72799999999998</v>
      </c>
      <c r="E2023" s="3">
        <v>0</v>
      </c>
      <c r="F2023" t="s">
        <v>45</v>
      </c>
      <c r="G2023" s="3">
        <f t="shared" si="236"/>
        <v>-133.72799999999998</v>
      </c>
      <c r="H2023" s="3">
        <f t="shared" si="237"/>
        <v>133.72799999999998</v>
      </c>
      <c r="I2023" s="5" t="str">
        <f t="shared" si="238"/>
        <v>017</v>
      </c>
      <c r="J2023" s="5" t="str">
        <f t="shared" si="239"/>
        <v>2230</v>
      </c>
      <c r="K2023" s="5" t="str">
        <f t="shared" si="240"/>
        <v>000</v>
      </c>
      <c r="L2023" s="5">
        <f t="shared" si="241"/>
        <v>4</v>
      </c>
      <c r="M2023" s="5">
        <f t="shared" si="242"/>
        <v>2012</v>
      </c>
    </row>
    <row r="2024" spans="1:13" ht="17.45" customHeight="1" x14ac:dyDescent="0.25">
      <c r="A2024" s="1">
        <f>DATE(2012,4,17)</f>
        <v>41016</v>
      </c>
      <c r="B2024" t="s">
        <v>15</v>
      </c>
      <c r="C2024" t="s">
        <v>6</v>
      </c>
      <c r="D2024" s="3">
        <v>7424.8356000000003</v>
      </c>
      <c r="E2024" s="3">
        <v>0</v>
      </c>
      <c r="F2024" t="s">
        <v>45</v>
      </c>
      <c r="G2024" s="3">
        <f t="shared" si="236"/>
        <v>-7424.8356000000003</v>
      </c>
      <c r="H2024" s="3">
        <f t="shared" si="237"/>
        <v>7424.8356000000003</v>
      </c>
      <c r="I2024" s="5" t="str">
        <f t="shared" si="238"/>
        <v>017</v>
      </c>
      <c r="J2024" s="5" t="str">
        <f t="shared" si="239"/>
        <v>2100</v>
      </c>
      <c r="K2024" s="5" t="str">
        <f t="shared" si="240"/>
        <v>000</v>
      </c>
      <c r="L2024" s="5">
        <f t="shared" si="241"/>
        <v>4</v>
      </c>
      <c r="M2024" s="5">
        <f t="shared" si="242"/>
        <v>2012</v>
      </c>
    </row>
    <row r="2025" spans="1:13" ht="17.45" customHeight="1" x14ac:dyDescent="0.25">
      <c r="A2025" s="1">
        <f>DATE(2012,4,17)</f>
        <v>41016</v>
      </c>
      <c r="B2025" t="s">
        <v>16</v>
      </c>
      <c r="C2025" t="s">
        <v>8</v>
      </c>
      <c r="D2025" s="3">
        <v>1438.6995000000002</v>
      </c>
      <c r="E2025" s="3">
        <v>0</v>
      </c>
      <c r="F2025" t="s">
        <v>45</v>
      </c>
      <c r="G2025" s="3">
        <f t="shared" si="236"/>
        <v>-1438.6995000000002</v>
      </c>
      <c r="H2025" s="3">
        <f t="shared" si="237"/>
        <v>1438.6995000000002</v>
      </c>
      <c r="I2025" s="5" t="str">
        <f t="shared" si="238"/>
        <v>017</v>
      </c>
      <c r="J2025" s="5" t="str">
        <f t="shared" si="239"/>
        <v>2210</v>
      </c>
      <c r="K2025" s="5" t="str">
        <f t="shared" si="240"/>
        <v>000</v>
      </c>
      <c r="L2025" s="5">
        <f t="shared" si="241"/>
        <v>4</v>
      </c>
      <c r="M2025" s="5">
        <f t="shared" si="242"/>
        <v>2012</v>
      </c>
    </row>
    <row r="2026" spans="1:13" ht="17.45" customHeight="1" x14ac:dyDescent="0.25">
      <c r="A2026" s="1">
        <f>DATE(2012,4,17)</f>
        <v>41016</v>
      </c>
      <c r="B2026" t="s">
        <v>17</v>
      </c>
      <c r="C2026" t="s">
        <v>9</v>
      </c>
      <c r="D2026" s="3">
        <v>657.12</v>
      </c>
      <c r="E2026" s="3">
        <v>0</v>
      </c>
      <c r="F2026" t="s">
        <v>45</v>
      </c>
      <c r="G2026" s="3">
        <f t="shared" si="236"/>
        <v>-657.12</v>
      </c>
      <c r="H2026" s="3">
        <f t="shared" si="237"/>
        <v>657.12</v>
      </c>
      <c r="I2026" s="5" t="str">
        <f t="shared" si="238"/>
        <v>017</v>
      </c>
      <c r="J2026" s="5" t="str">
        <f t="shared" si="239"/>
        <v>2220</v>
      </c>
      <c r="K2026" s="5" t="str">
        <f t="shared" si="240"/>
        <v>000</v>
      </c>
      <c r="L2026" s="5">
        <f t="shared" si="241"/>
        <v>4</v>
      </c>
      <c r="M2026" s="5">
        <f t="shared" si="242"/>
        <v>2012</v>
      </c>
    </row>
    <row r="2027" spans="1:13" ht="17.45" customHeight="1" x14ac:dyDescent="0.25">
      <c r="A2027" s="1">
        <f>DATE(2012,4,17)</f>
        <v>41016</v>
      </c>
      <c r="B2027" t="s">
        <v>18</v>
      </c>
      <c r="C2027" t="s">
        <v>10</v>
      </c>
      <c r="D2027" s="3">
        <v>138.46950000000001</v>
      </c>
      <c r="E2027" s="3">
        <v>0</v>
      </c>
      <c r="F2027" t="s">
        <v>45</v>
      </c>
      <c r="G2027" s="3">
        <f t="shared" si="236"/>
        <v>-138.46950000000001</v>
      </c>
      <c r="H2027" s="3">
        <f t="shared" si="237"/>
        <v>138.46950000000001</v>
      </c>
      <c r="I2027" s="5" t="str">
        <f t="shared" si="238"/>
        <v>017</v>
      </c>
      <c r="J2027" s="5" t="str">
        <f t="shared" si="239"/>
        <v>2230</v>
      </c>
      <c r="K2027" s="5" t="str">
        <f t="shared" si="240"/>
        <v>000</v>
      </c>
      <c r="L2027" s="5">
        <f t="shared" si="241"/>
        <v>4</v>
      </c>
      <c r="M2027" s="5">
        <f t="shared" si="242"/>
        <v>2012</v>
      </c>
    </row>
    <row r="2028" spans="1:13" ht="17.45" customHeight="1" x14ac:dyDescent="0.25">
      <c r="A2028" s="1">
        <f>DATE(2012,4,18)</f>
        <v>41017</v>
      </c>
      <c r="B2028" t="s">
        <v>15</v>
      </c>
      <c r="C2028" t="s">
        <v>6</v>
      </c>
      <c r="D2028" s="3">
        <v>5415.1152000000002</v>
      </c>
      <c r="E2028" s="3">
        <v>0</v>
      </c>
      <c r="F2028" t="s">
        <v>45</v>
      </c>
      <c r="G2028" s="3">
        <f t="shared" si="236"/>
        <v>-5415.1152000000002</v>
      </c>
      <c r="H2028" s="3">
        <f t="shared" si="237"/>
        <v>5415.1152000000002</v>
      </c>
      <c r="I2028" s="5" t="str">
        <f t="shared" si="238"/>
        <v>017</v>
      </c>
      <c r="J2028" s="5" t="str">
        <f t="shared" si="239"/>
        <v>2100</v>
      </c>
      <c r="K2028" s="5" t="str">
        <f t="shared" si="240"/>
        <v>000</v>
      </c>
      <c r="L2028" s="5">
        <f t="shared" si="241"/>
        <v>4</v>
      </c>
      <c r="M2028" s="5">
        <f t="shared" si="242"/>
        <v>2012</v>
      </c>
    </row>
    <row r="2029" spans="1:13" ht="17.45" customHeight="1" x14ac:dyDescent="0.25">
      <c r="A2029" s="1">
        <f>DATE(2012,4,18)</f>
        <v>41017</v>
      </c>
      <c r="B2029" t="s">
        <v>16</v>
      </c>
      <c r="C2029" t="s">
        <v>8</v>
      </c>
      <c r="D2029" s="3">
        <v>1078.6424999999999</v>
      </c>
      <c r="E2029" s="3">
        <v>0</v>
      </c>
      <c r="F2029" t="s">
        <v>45</v>
      </c>
      <c r="G2029" s="3">
        <f t="shared" si="236"/>
        <v>-1078.6424999999999</v>
      </c>
      <c r="H2029" s="3">
        <f t="shared" si="237"/>
        <v>1078.6424999999999</v>
      </c>
      <c r="I2029" s="5" t="str">
        <f t="shared" si="238"/>
        <v>017</v>
      </c>
      <c r="J2029" s="5" t="str">
        <f t="shared" si="239"/>
        <v>2210</v>
      </c>
      <c r="K2029" s="5" t="str">
        <f t="shared" si="240"/>
        <v>000</v>
      </c>
      <c r="L2029" s="5">
        <f t="shared" si="241"/>
        <v>4</v>
      </c>
      <c r="M2029" s="5">
        <f t="shared" si="242"/>
        <v>2012</v>
      </c>
    </row>
    <row r="2030" spans="1:13" ht="17.45" customHeight="1" x14ac:dyDescent="0.25">
      <c r="A2030" s="1">
        <f>DATE(2012,4,18)</f>
        <v>41017</v>
      </c>
      <c r="B2030" t="s">
        <v>17</v>
      </c>
      <c r="C2030" t="s">
        <v>9</v>
      </c>
      <c r="D2030" s="3">
        <v>383.34999999999997</v>
      </c>
      <c r="E2030" s="3">
        <v>0</v>
      </c>
      <c r="F2030" t="s">
        <v>45</v>
      </c>
      <c r="G2030" s="3">
        <f t="shared" si="236"/>
        <v>-383.34999999999997</v>
      </c>
      <c r="H2030" s="3">
        <f t="shared" si="237"/>
        <v>383.34999999999997</v>
      </c>
      <c r="I2030" s="5" t="str">
        <f t="shared" si="238"/>
        <v>017</v>
      </c>
      <c r="J2030" s="5" t="str">
        <f t="shared" si="239"/>
        <v>2220</v>
      </c>
      <c r="K2030" s="5" t="str">
        <f t="shared" si="240"/>
        <v>000</v>
      </c>
      <c r="L2030" s="5">
        <f t="shared" si="241"/>
        <v>4</v>
      </c>
      <c r="M2030" s="5">
        <f t="shared" si="242"/>
        <v>2012</v>
      </c>
    </row>
    <row r="2031" spans="1:13" ht="17.45" customHeight="1" x14ac:dyDescent="0.25">
      <c r="A2031" s="1">
        <f>DATE(2012,4,18)</f>
        <v>41017</v>
      </c>
      <c r="B2031" t="s">
        <v>18</v>
      </c>
      <c r="C2031" t="s">
        <v>10</v>
      </c>
      <c r="D2031" s="3">
        <v>84.01</v>
      </c>
      <c r="E2031" s="3">
        <v>0</v>
      </c>
      <c r="F2031" t="s">
        <v>45</v>
      </c>
      <c r="G2031" s="3">
        <f t="shared" si="236"/>
        <v>-84.01</v>
      </c>
      <c r="H2031" s="3">
        <f t="shared" si="237"/>
        <v>84.01</v>
      </c>
      <c r="I2031" s="5" t="str">
        <f t="shared" si="238"/>
        <v>017</v>
      </c>
      <c r="J2031" s="5" t="str">
        <f t="shared" si="239"/>
        <v>2230</v>
      </c>
      <c r="K2031" s="5" t="str">
        <f t="shared" si="240"/>
        <v>000</v>
      </c>
      <c r="L2031" s="5">
        <f t="shared" si="241"/>
        <v>4</v>
      </c>
      <c r="M2031" s="5">
        <f t="shared" si="242"/>
        <v>2012</v>
      </c>
    </row>
    <row r="2032" spans="1:13" ht="17.45" customHeight="1" x14ac:dyDescent="0.25">
      <c r="A2032" s="1">
        <f>DATE(2012,4,19)</f>
        <v>41018</v>
      </c>
      <c r="B2032" t="s">
        <v>15</v>
      </c>
      <c r="C2032" t="s">
        <v>6</v>
      </c>
      <c r="D2032" s="3">
        <v>8337.5134999999991</v>
      </c>
      <c r="E2032" s="3">
        <v>0</v>
      </c>
      <c r="F2032" t="s">
        <v>45</v>
      </c>
      <c r="G2032" s="3">
        <f t="shared" si="236"/>
        <v>-8337.5134999999991</v>
      </c>
      <c r="H2032" s="3">
        <f t="shared" si="237"/>
        <v>8337.5134999999991</v>
      </c>
      <c r="I2032" s="5" t="str">
        <f t="shared" si="238"/>
        <v>017</v>
      </c>
      <c r="J2032" s="5" t="str">
        <f t="shared" si="239"/>
        <v>2100</v>
      </c>
      <c r="K2032" s="5" t="str">
        <f t="shared" si="240"/>
        <v>000</v>
      </c>
      <c r="L2032" s="5">
        <f t="shared" si="241"/>
        <v>4</v>
      </c>
      <c r="M2032" s="5">
        <f t="shared" si="242"/>
        <v>2012</v>
      </c>
    </row>
    <row r="2033" spans="1:13" ht="17.45" customHeight="1" x14ac:dyDescent="0.25">
      <c r="A2033" s="1">
        <f>DATE(2012,4,19)</f>
        <v>41018</v>
      </c>
      <c r="B2033" t="s">
        <v>16</v>
      </c>
      <c r="C2033" t="s">
        <v>8</v>
      </c>
      <c r="D2033" s="3">
        <v>2265.069</v>
      </c>
      <c r="E2033" s="3">
        <v>0</v>
      </c>
      <c r="F2033" t="s">
        <v>45</v>
      </c>
      <c r="G2033" s="3">
        <f t="shared" si="236"/>
        <v>-2265.069</v>
      </c>
      <c r="H2033" s="3">
        <f t="shared" si="237"/>
        <v>2265.069</v>
      </c>
      <c r="I2033" s="5" t="str">
        <f t="shared" si="238"/>
        <v>017</v>
      </c>
      <c r="J2033" s="5" t="str">
        <f t="shared" si="239"/>
        <v>2210</v>
      </c>
      <c r="K2033" s="5" t="str">
        <f t="shared" si="240"/>
        <v>000</v>
      </c>
      <c r="L2033" s="5">
        <f t="shared" si="241"/>
        <v>4</v>
      </c>
      <c r="M2033" s="5">
        <f t="shared" si="242"/>
        <v>2012</v>
      </c>
    </row>
    <row r="2034" spans="1:13" ht="17.45" customHeight="1" x14ac:dyDescent="0.25">
      <c r="A2034" s="1">
        <f>DATE(2012,4,19)</f>
        <v>41018</v>
      </c>
      <c r="B2034" t="s">
        <v>17</v>
      </c>
      <c r="C2034" t="s">
        <v>9</v>
      </c>
      <c r="D2034" s="3">
        <v>730.01250000000005</v>
      </c>
      <c r="E2034" s="3">
        <v>0</v>
      </c>
      <c r="F2034" t="s">
        <v>45</v>
      </c>
      <c r="G2034" s="3">
        <f t="shared" si="236"/>
        <v>-730.01250000000005</v>
      </c>
      <c r="H2034" s="3">
        <f t="shared" si="237"/>
        <v>730.01250000000005</v>
      </c>
      <c r="I2034" s="5" t="str">
        <f t="shared" si="238"/>
        <v>017</v>
      </c>
      <c r="J2034" s="5" t="str">
        <f t="shared" si="239"/>
        <v>2220</v>
      </c>
      <c r="K2034" s="5" t="str">
        <f t="shared" si="240"/>
        <v>000</v>
      </c>
      <c r="L2034" s="5">
        <f t="shared" si="241"/>
        <v>4</v>
      </c>
      <c r="M2034" s="5">
        <f t="shared" si="242"/>
        <v>2012</v>
      </c>
    </row>
    <row r="2035" spans="1:13" ht="17.45" customHeight="1" x14ac:dyDescent="0.25">
      <c r="A2035" s="1">
        <f>DATE(2012,4,19)</f>
        <v>41018</v>
      </c>
      <c r="B2035" t="s">
        <v>18</v>
      </c>
      <c r="C2035" t="s">
        <v>10</v>
      </c>
      <c r="D2035" s="3">
        <v>100.2165</v>
      </c>
      <c r="E2035" s="3">
        <v>0</v>
      </c>
      <c r="F2035" t="s">
        <v>45</v>
      </c>
      <c r="G2035" s="3">
        <f t="shared" si="236"/>
        <v>-100.2165</v>
      </c>
      <c r="H2035" s="3">
        <f t="shared" si="237"/>
        <v>100.2165</v>
      </c>
      <c r="I2035" s="5" t="str">
        <f t="shared" si="238"/>
        <v>017</v>
      </c>
      <c r="J2035" s="5" t="str">
        <f t="shared" si="239"/>
        <v>2230</v>
      </c>
      <c r="K2035" s="5" t="str">
        <f t="shared" si="240"/>
        <v>000</v>
      </c>
      <c r="L2035" s="5">
        <f t="shared" si="241"/>
        <v>4</v>
      </c>
      <c r="M2035" s="5">
        <f t="shared" si="242"/>
        <v>2012</v>
      </c>
    </row>
    <row r="2036" spans="1:13" ht="17.45" customHeight="1" x14ac:dyDescent="0.25">
      <c r="A2036" s="1">
        <f>DATE(2012,4,20)</f>
        <v>41019</v>
      </c>
      <c r="B2036" t="s">
        <v>15</v>
      </c>
      <c r="C2036" t="s">
        <v>6</v>
      </c>
      <c r="D2036" s="3">
        <v>6907.6079999999993</v>
      </c>
      <c r="E2036" s="3">
        <v>0</v>
      </c>
      <c r="F2036" t="s">
        <v>45</v>
      </c>
      <c r="G2036" s="3">
        <f t="shared" si="236"/>
        <v>-6907.6079999999993</v>
      </c>
      <c r="H2036" s="3">
        <f t="shared" si="237"/>
        <v>6907.6079999999993</v>
      </c>
      <c r="I2036" s="5" t="str">
        <f t="shared" si="238"/>
        <v>017</v>
      </c>
      <c r="J2036" s="5" t="str">
        <f t="shared" si="239"/>
        <v>2100</v>
      </c>
      <c r="K2036" s="5" t="str">
        <f t="shared" si="240"/>
        <v>000</v>
      </c>
      <c r="L2036" s="5">
        <f t="shared" si="241"/>
        <v>4</v>
      </c>
      <c r="M2036" s="5">
        <f t="shared" si="242"/>
        <v>2012</v>
      </c>
    </row>
    <row r="2037" spans="1:13" ht="17.45" customHeight="1" x14ac:dyDescent="0.25">
      <c r="A2037" s="1">
        <f>DATE(2012,4,20)</f>
        <v>41019</v>
      </c>
      <c r="B2037" t="s">
        <v>16</v>
      </c>
      <c r="C2037" t="s">
        <v>8</v>
      </c>
      <c r="D2037" s="3">
        <v>1991.44</v>
      </c>
      <c r="E2037" s="3">
        <v>0</v>
      </c>
      <c r="F2037" t="s">
        <v>45</v>
      </c>
      <c r="G2037" s="3">
        <f t="shared" si="236"/>
        <v>-1991.44</v>
      </c>
      <c r="H2037" s="3">
        <f t="shared" si="237"/>
        <v>1991.44</v>
      </c>
      <c r="I2037" s="5" t="str">
        <f t="shared" si="238"/>
        <v>017</v>
      </c>
      <c r="J2037" s="5" t="str">
        <f t="shared" si="239"/>
        <v>2210</v>
      </c>
      <c r="K2037" s="5" t="str">
        <f t="shared" si="240"/>
        <v>000</v>
      </c>
      <c r="L2037" s="5">
        <f t="shared" si="241"/>
        <v>4</v>
      </c>
      <c r="M2037" s="5">
        <f t="shared" si="242"/>
        <v>2012</v>
      </c>
    </row>
    <row r="2038" spans="1:13" ht="17.45" customHeight="1" x14ac:dyDescent="0.25">
      <c r="A2038" s="1">
        <f>DATE(2012,4,20)</f>
        <v>41019</v>
      </c>
      <c r="B2038" t="s">
        <v>17</v>
      </c>
      <c r="C2038" t="s">
        <v>9</v>
      </c>
      <c r="D2038" s="3">
        <v>348.70500000000004</v>
      </c>
      <c r="E2038" s="3">
        <v>0</v>
      </c>
      <c r="F2038" t="s">
        <v>45</v>
      </c>
      <c r="G2038" s="3">
        <f t="shared" si="236"/>
        <v>-348.70500000000004</v>
      </c>
      <c r="H2038" s="3">
        <f t="shared" si="237"/>
        <v>348.70500000000004</v>
      </c>
      <c r="I2038" s="5" t="str">
        <f t="shared" si="238"/>
        <v>017</v>
      </c>
      <c r="J2038" s="5" t="str">
        <f t="shared" si="239"/>
        <v>2220</v>
      </c>
      <c r="K2038" s="5" t="str">
        <f t="shared" si="240"/>
        <v>000</v>
      </c>
      <c r="L2038" s="5">
        <f t="shared" si="241"/>
        <v>4</v>
      </c>
      <c r="M2038" s="5">
        <f t="shared" si="242"/>
        <v>2012</v>
      </c>
    </row>
    <row r="2039" spans="1:13" ht="17.45" customHeight="1" x14ac:dyDescent="0.25">
      <c r="A2039" s="1">
        <f>DATE(2012,4,20)</f>
        <v>41019</v>
      </c>
      <c r="B2039" t="s">
        <v>18</v>
      </c>
      <c r="C2039" t="s">
        <v>10</v>
      </c>
      <c r="D2039" s="3">
        <v>119.92599999999999</v>
      </c>
      <c r="E2039" s="3">
        <v>0</v>
      </c>
      <c r="F2039" t="s">
        <v>45</v>
      </c>
      <c r="G2039" s="3">
        <f t="shared" si="236"/>
        <v>-119.92599999999999</v>
      </c>
      <c r="H2039" s="3">
        <f t="shared" si="237"/>
        <v>119.92599999999999</v>
      </c>
      <c r="I2039" s="5" t="str">
        <f t="shared" si="238"/>
        <v>017</v>
      </c>
      <c r="J2039" s="5" t="str">
        <f t="shared" si="239"/>
        <v>2230</v>
      </c>
      <c r="K2039" s="5" t="str">
        <f t="shared" si="240"/>
        <v>000</v>
      </c>
      <c r="L2039" s="5">
        <f t="shared" si="241"/>
        <v>4</v>
      </c>
      <c r="M2039" s="5">
        <f t="shared" si="242"/>
        <v>2012</v>
      </c>
    </row>
    <row r="2040" spans="1:13" ht="17.45" customHeight="1" x14ac:dyDescent="0.25">
      <c r="A2040" s="1">
        <f>DATE(2012,4,21)</f>
        <v>41020</v>
      </c>
      <c r="B2040" t="s">
        <v>15</v>
      </c>
      <c r="C2040" t="s">
        <v>6</v>
      </c>
      <c r="D2040" s="3">
        <v>7211.5751</v>
      </c>
      <c r="E2040" s="3">
        <v>0</v>
      </c>
      <c r="F2040" t="s">
        <v>45</v>
      </c>
      <c r="G2040" s="3">
        <f t="shared" si="236"/>
        <v>-7211.5751</v>
      </c>
      <c r="H2040" s="3">
        <f t="shared" si="237"/>
        <v>7211.5751</v>
      </c>
      <c r="I2040" s="5" t="str">
        <f t="shared" si="238"/>
        <v>017</v>
      </c>
      <c r="J2040" s="5" t="str">
        <f t="shared" si="239"/>
        <v>2100</v>
      </c>
      <c r="K2040" s="5" t="str">
        <f t="shared" si="240"/>
        <v>000</v>
      </c>
      <c r="L2040" s="5">
        <f t="shared" si="241"/>
        <v>4</v>
      </c>
      <c r="M2040" s="5">
        <f t="shared" si="242"/>
        <v>2012</v>
      </c>
    </row>
    <row r="2041" spans="1:13" ht="17.45" customHeight="1" x14ac:dyDescent="0.25">
      <c r="A2041" s="1">
        <f>DATE(2012,4,21)</f>
        <v>41020</v>
      </c>
      <c r="B2041" t="s">
        <v>16</v>
      </c>
      <c r="C2041" t="s">
        <v>8</v>
      </c>
      <c r="D2041" s="3">
        <v>2476.6345000000001</v>
      </c>
      <c r="E2041" s="3">
        <v>0</v>
      </c>
      <c r="F2041" t="s">
        <v>45</v>
      </c>
      <c r="G2041" s="3">
        <f t="shared" si="236"/>
        <v>-2476.6345000000001</v>
      </c>
      <c r="H2041" s="3">
        <f t="shared" si="237"/>
        <v>2476.6345000000001</v>
      </c>
      <c r="I2041" s="5" t="str">
        <f t="shared" si="238"/>
        <v>017</v>
      </c>
      <c r="J2041" s="5" t="str">
        <f t="shared" si="239"/>
        <v>2210</v>
      </c>
      <c r="K2041" s="5" t="str">
        <f t="shared" si="240"/>
        <v>000</v>
      </c>
      <c r="L2041" s="5">
        <f t="shared" si="241"/>
        <v>4</v>
      </c>
      <c r="M2041" s="5">
        <f t="shared" si="242"/>
        <v>2012</v>
      </c>
    </row>
    <row r="2042" spans="1:13" ht="17.45" customHeight="1" x14ac:dyDescent="0.25">
      <c r="A2042" s="1">
        <f>DATE(2012,4,21)</f>
        <v>41020</v>
      </c>
      <c r="B2042" t="s">
        <v>17</v>
      </c>
      <c r="C2042" t="s">
        <v>9</v>
      </c>
      <c r="D2042" s="3">
        <v>539.35</v>
      </c>
      <c r="E2042" s="3">
        <v>0</v>
      </c>
      <c r="F2042" t="s">
        <v>45</v>
      </c>
      <c r="G2042" s="3">
        <f t="shared" si="236"/>
        <v>-539.35</v>
      </c>
      <c r="H2042" s="3">
        <f t="shared" si="237"/>
        <v>539.35</v>
      </c>
      <c r="I2042" s="5" t="str">
        <f t="shared" si="238"/>
        <v>017</v>
      </c>
      <c r="J2042" s="5" t="str">
        <f t="shared" si="239"/>
        <v>2220</v>
      </c>
      <c r="K2042" s="5" t="str">
        <f t="shared" si="240"/>
        <v>000</v>
      </c>
      <c r="L2042" s="5">
        <f t="shared" si="241"/>
        <v>4</v>
      </c>
      <c r="M2042" s="5">
        <f t="shared" si="242"/>
        <v>2012</v>
      </c>
    </row>
    <row r="2043" spans="1:13" ht="17.45" customHeight="1" x14ac:dyDescent="0.25">
      <c r="A2043" s="1">
        <f>DATE(2012,4,21)</f>
        <v>41020</v>
      </c>
      <c r="B2043" t="s">
        <v>18</v>
      </c>
      <c r="C2043" t="s">
        <v>10</v>
      </c>
      <c r="D2043" s="3">
        <v>164.99699999999999</v>
      </c>
      <c r="E2043" s="3">
        <v>0</v>
      </c>
      <c r="F2043" t="s">
        <v>45</v>
      </c>
      <c r="G2043" s="3">
        <f t="shared" si="236"/>
        <v>-164.99699999999999</v>
      </c>
      <c r="H2043" s="3">
        <f t="shared" si="237"/>
        <v>164.99699999999999</v>
      </c>
      <c r="I2043" s="5" t="str">
        <f t="shared" si="238"/>
        <v>017</v>
      </c>
      <c r="J2043" s="5" t="str">
        <f t="shared" si="239"/>
        <v>2230</v>
      </c>
      <c r="K2043" s="5" t="str">
        <f t="shared" si="240"/>
        <v>000</v>
      </c>
      <c r="L2043" s="5">
        <f t="shared" si="241"/>
        <v>4</v>
      </c>
      <c r="M2043" s="5">
        <f t="shared" si="242"/>
        <v>2012</v>
      </c>
    </row>
    <row r="2044" spans="1:13" ht="17.45" customHeight="1" x14ac:dyDescent="0.25">
      <c r="A2044" s="1">
        <f>DATE(2012,4,22)</f>
        <v>41021</v>
      </c>
      <c r="B2044" t="s">
        <v>15</v>
      </c>
      <c r="C2044" t="s">
        <v>6</v>
      </c>
      <c r="D2044" s="3">
        <v>4310.9736999999996</v>
      </c>
      <c r="E2044" s="3">
        <v>0</v>
      </c>
      <c r="F2044" t="s">
        <v>45</v>
      </c>
      <c r="G2044" s="3">
        <f t="shared" si="236"/>
        <v>-4310.9736999999996</v>
      </c>
      <c r="H2044" s="3">
        <f t="shared" si="237"/>
        <v>4310.9736999999996</v>
      </c>
      <c r="I2044" s="5" t="str">
        <f t="shared" si="238"/>
        <v>017</v>
      </c>
      <c r="J2044" s="5" t="str">
        <f t="shared" si="239"/>
        <v>2100</v>
      </c>
      <c r="K2044" s="5" t="str">
        <f t="shared" si="240"/>
        <v>000</v>
      </c>
      <c r="L2044" s="5">
        <f t="shared" si="241"/>
        <v>4</v>
      </c>
      <c r="M2044" s="5">
        <f t="shared" si="242"/>
        <v>2012</v>
      </c>
    </row>
    <row r="2045" spans="1:13" ht="17.45" customHeight="1" x14ac:dyDescent="0.25">
      <c r="A2045" s="1">
        <f>DATE(2012,4,22)</f>
        <v>41021</v>
      </c>
      <c r="B2045" t="s">
        <v>16</v>
      </c>
      <c r="C2045" t="s">
        <v>8</v>
      </c>
      <c r="D2045" s="3">
        <v>951.97900000000004</v>
      </c>
      <c r="E2045" s="3">
        <v>0</v>
      </c>
      <c r="F2045" t="s">
        <v>45</v>
      </c>
      <c r="G2045" s="3">
        <f t="shared" si="236"/>
        <v>-951.97900000000004</v>
      </c>
      <c r="H2045" s="3">
        <f t="shared" si="237"/>
        <v>951.97900000000004</v>
      </c>
      <c r="I2045" s="5" t="str">
        <f t="shared" si="238"/>
        <v>017</v>
      </c>
      <c r="J2045" s="5" t="str">
        <f t="shared" si="239"/>
        <v>2210</v>
      </c>
      <c r="K2045" s="5" t="str">
        <f t="shared" si="240"/>
        <v>000</v>
      </c>
      <c r="L2045" s="5">
        <f t="shared" si="241"/>
        <v>4</v>
      </c>
      <c r="M2045" s="5">
        <f t="shared" si="242"/>
        <v>2012</v>
      </c>
    </row>
    <row r="2046" spans="1:13" ht="17.45" customHeight="1" x14ac:dyDescent="0.25">
      <c r="A2046" s="1">
        <f>DATE(2012,4,22)</f>
        <v>41021</v>
      </c>
      <c r="B2046" t="s">
        <v>17</v>
      </c>
      <c r="C2046" t="s">
        <v>9</v>
      </c>
      <c r="D2046" s="3">
        <v>215.62499999999997</v>
      </c>
      <c r="E2046" s="3">
        <v>0</v>
      </c>
      <c r="F2046" t="s">
        <v>45</v>
      </c>
      <c r="G2046" s="3">
        <f t="shared" si="236"/>
        <v>-215.62499999999997</v>
      </c>
      <c r="H2046" s="3">
        <f t="shared" si="237"/>
        <v>215.62499999999997</v>
      </c>
      <c r="I2046" s="5" t="str">
        <f t="shared" si="238"/>
        <v>017</v>
      </c>
      <c r="J2046" s="5" t="str">
        <f t="shared" si="239"/>
        <v>2220</v>
      </c>
      <c r="K2046" s="5" t="str">
        <f t="shared" si="240"/>
        <v>000</v>
      </c>
      <c r="L2046" s="5">
        <f t="shared" si="241"/>
        <v>4</v>
      </c>
      <c r="M2046" s="5">
        <f t="shared" si="242"/>
        <v>2012</v>
      </c>
    </row>
    <row r="2047" spans="1:13" ht="17.45" customHeight="1" x14ac:dyDescent="0.25">
      <c r="A2047" s="1">
        <f>DATE(2012,4,22)</f>
        <v>41021</v>
      </c>
      <c r="B2047" t="s">
        <v>18</v>
      </c>
      <c r="C2047" t="s">
        <v>10</v>
      </c>
      <c r="D2047" s="3">
        <v>148.76400000000001</v>
      </c>
      <c r="E2047" s="3">
        <v>0</v>
      </c>
      <c r="F2047" t="s">
        <v>45</v>
      </c>
      <c r="G2047" s="3">
        <f t="shared" si="236"/>
        <v>-148.76400000000001</v>
      </c>
      <c r="H2047" s="3">
        <f t="shared" si="237"/>
        <v>148.76400000000001</v>
      </c>
      <c r="I2047" s="5" t="str">
        <f t="shared" si="238"/>
        <v>017</v>
      </c>
      <c r="J2047" s="5" t="str">
        <f t="shared" si="239"/>
        <v>2230</v>
      </c>
      <c r="K2047" s="5" t="str">
        <f t="shared" si="240"/>
        <v>000</v>
      </c>
      <c r="L2047" s="5">
        <f t="shared" si="241"/>
        <v>4</v>
      </c>
      <c r="M2047" s="5">
        <f t="shared" si="242"/>
        <v>2012</v>
      </c>
    </row>
    <row r="2048" spans="1:13" ht="17.45" customHeight="1" x14ac:dyDescent="0.25">
      <c r="A2048" s="1">
        <f>DATE(2012,4,16)</f>
        <v>41015</v>
      </c>
      <c r="B2048" t="s">
        <v>19</v>
      </c>
      <c r="C2048" t="s">
        <v>6</v>
      </c>
      <c r="D2048" s="3">
        <v>5157.5450000000001</v>
      </c>
      <c r="E2048" s="3">
        <v>0</v>
      </c>
      <c r="F2048" t="s">
        <v>45</v>
      </c>
      <c r="G2048" s="3">
        <f t="shared" si="236"/>
        <v>-5157.5450000000001</v>
      </c>
      <c r="H2048" s="3">
        <f t="shared" si="237"/>
        <v>5157.5450000000001</v>
      </c>
      <c r="I2048" s="5" t="str">
        <f t="shared" si="238"/>
        <v>018</v>
      </c>
      <c r="J2048" s="5" t="str">
        <f t="shared" si="239"/>
        <v>2100</v>
      </c>
      <c r="K2048" s="5" t="str">
        <f t="shared" si="240"/>
        <v>000</v>
      </c>
      <c r="L2048" s="5">
        <f t="shared" si="241"/>
        <v>4</v>
      </c>
      <c r="M2048" s="5">
        <f t="shared" si="242"/>
        <v>2012</v>
      </c>
    </row>
    <row r="2049" spans="1:13" ht="17.45" customHeight="1" x14ac:dyDescent="0.25">
      <c r="A2049" s="1">
        <f>DATE(2012,4,16)</f>
        <v>41015</v>
      </c>
      <c r="B2049" t="s">
        <v>20</v>
      </c>
      <c r="C2049" t="s">
        <v>8</v>
      </c>
      <c r="D2049" s="3">
        <v>606.98650000000009</v>
      </c>
      <c r="E2049" s="3">
        <v>0</v>
      </c>
      <c r="F2049" t="s">
        <v>45</v>
      </c>
      <c r="G2049" s="3">
        <f t="shared" si="236"/>
        <v>-606.98650000000009</v>
      </c>
      <c r="H2049" s="3">
        <f t="shared" si="237"/>
        <v>606.98650000000009</v>
      </c>
      <c r="I2049" s="5" t="str">
        <f t="shared" si="238"/>
        <v>018</v>
      </c>
      <c r="J2049" s="5" t="str">
        <f t="shared" si="239"/>
        <v>2210</v>
      </c>
      <c r="K2049" s="5" t="str">
        <f t="shared" si="240"/>
        <v>000</v>
      </c>
      <c r="L2049" s="5">
        <f t="shared" si="241"/>
        <v>4</v>
      </c>
      <c r="M2049" s="5">
        <f t="shared" si="242"/>
        <v>2012</v>
      </c>
    </row>
    <row r="2050" spans="1:13" ht="17.45" customHeight="1" x14ac:dyDescent="0.25">
      <c r="A2050" s="1">
        <f>DATE(2012,4,16)</f>
        <v>41015</v>
      </c>
      <c r="B2050" t="s">
        <v>21</v>
      </c>
      <c r="C2050" t="s">
        <v>9</v>
      </c>
      <c r="D2050" s="3">
        <v>123.06299999999999</v>
      </c>
      <c r="E2050" s="3">
        <v>0</v>
      </c>
      <c r="F2050" t="s">
        <v>45</v>
      </c>
      <c r="G2050" s="3">
        <f t="shared" ref="G2050:G2113" si="244">E2050-D2050</f>
        <v>-123.06299999999999</v>
      </c>
      <c r="H2050" s="3">
        <f t="shared" ref="H2050:H2113" si="245">ABS(G2050)</f>
        <v>123.06299999999999</v>
      </c>
      <c r="I2050" s="5" t="str">
        <f t="shared" ref="I2050:I2113" si="246">MID(B2050,1,3)</f>
        <v>018</v>
      </c>
      <c r="J2050" s="5" t="str">
        <f t="shared" ref="J2050:J2113" si="247">MID(B2050,5,4)</f>
        <v>2220</v>
      </c>
      <c r="K2050" s="5" t="str">
        <f t="shared" ref="K2050:K2113" si="248">MID(B2050,10,3)</f>
        <v>000</v>
      </c>
      <c r="L2050" s="5">
        <f t="shared" ref="L2050:L2113" si="249">MONTH(A2050)</f>
        <v>4</v>
      </c>
      <c r="M2050" s="5">
        <f t="shared" ref="M2050:M2113" si="250">YEAR(A2050)</f>
        <v>2012</v>
      </c>
    </row>
    <row r="2051" spans="1:13" ht="17.45" customHeight="1" x14ac:dyDescent="0.25">
      <c r="A2051" s="1">
        <f>DATE(2012,4,16)</f>
        <v>41015</v>
      </c>
      <c r="B2051" t="s">
        <v>22</v>
      </c>
      <c r="C2051" t="s">
        <v>10</v>
      </c>
      <c r="D2051" s="3">
        <v>31.2075</v>
      </c>
      <c r="E2051" s="3">
        <v>0</v>
      </c>
      <c r="F2051" t="s">
        <v>45</v>
      </c>
      <c r="G2051" s="3">
        <f t="shared" si="244"/>
        <v>-31.2075</v>
      </c>
      <c r="H2051" s="3">
        <f t="shared" si="245"/>
        <v>31.2075</v>
      </c>
      <c r="I2051" s="5" t="str">
        <f t="shared" si="246"/>
        <v>018</v>
      </c>
      <c r="J2051" s="5" t="str">
        <f t="shared" si="247"/>
        <v>2230</v>
      </c>
      <c r="K2051" s="5" t="str">
        <f t="shared" si="248"/>
        <v>000</v>
      </c>
      <c r="L2051" s="5">
        <f t="shared" si="249"/>
        <v>4</v>
      </c>
      <c r="M2051" s="5">
        <f t="shared" si="250"/>
        <v>2012</v>
      </c>
    </row>
    <row r="2052" spans="1:13" ht="17.45" customHeight="1" x14ac:dyDescent="0.25">
      <c r="A2052" s="1">
        <f>DATE(2012,4,17)</f>
        <v>41016</v>
      </c>
      <c r="B2052" t="s">
        <v>19</v>
      </c>
      <c r="C2052" t="s">
        <v>6</v>
      </c>
      <c r="D2052" s="3">
        <v>4170.1044000000002</v>
      </c>
      <c r="E2052" s="3">
        <v>0</v>
      </c>
      <c r="F2052" t="s">
        <v>45</v>
      </c>
      <c r="G2052" s="3">
        <f t="shared" si="244"/>
        <v>-4170.1044000000002</v>
      </c>
      <c r="H2052" s="3">
        <f t="shared" si="245"/>
        <v>4170.1044000000002</v>
      </c>
      <c r="I2052" s="5" t="str">
        <f t="shared" si="246"/>
        <v>018</v>
      </c>
      <c r="J2052" s="5" t="str">
        <f t="shared" si="247"/>
        <v>2100</v>
      </c>
      <c r="K2052" s="5" t="str">
        <f t="shared" si="248"/>
        <v>000</v>
      </c>
      <c r="L2052" s="5">
        <f t="shared" si="249"/>
        <v>4</v>
      </c>
      <c r="M2052" s="5">
        <f t="shared" si="250"/>
        <v>2012</v>
      </c>
    </row>
    <row r="2053" spans="1:13" ht="17.45" customHeight="1" x14ac:dyDescent="0.25">
      <c r="A2053" s="1">
        <f>DATE(2012,4,17)</f>
        <v>41016</v>
      </c>
      <c r="B2053" t="s">
        <v>20</v>
      </c>
      <c r="C2053" t="s">
        <v>8</v>
      </c>
      <c r="D2053" s="3">
        <v>665.55</v>
      </c>
      <c r="E2053" s="3">
        <v>0</v>
      </c>
      <c r="F2053" t="s">
        <v>45</v>
      </c>
      <c r="G2053" s="3">
        <f t="shared" si="244"/>
        <v>-665.55</v>
      </c>
      <c r="H2053" s="3">
        <f t="shared" si="245"/>
        <v>665.55</v>
      </c>
      <c r="I2053" s="5" t="str">
        <f t="shared" si="246"/>
        <v>018</v>
      </c>
      <c r="J2053" s="5" t="str">
        <f t="shared" si="247"/>
        <v>2210</v>
      </c>
      <c r="K2053" s="5" t="str">
        <f t="shared" si="248"/>
        <v>000</v>
      </c>
      <c r="L2053" s="5">
        <f t="shared" si="249"/>
        <v>4</v>
      </c>
      <c r="M2053" s="5">
        <f t="shared" si="250"/>
        <v>2012</v>
      </c>
    </row>
    <row r="2054" spans="1:13" ht="17.45" customHeight="1" x14ac:dyDescent="0.25">
      <c r="A2054" s="1">
        <f>DATE(2012,4,17)</f>
        <v>41016</v>
      </c>
      <c r="B2054" t="s">
        <v>21</v>
      </c>
      <c r="C2054" t="s">
        <v>9</v>
      </c>
      <c r="D2054" s="3">
        <v>253.28299999999999</v>
      </c>
      <c r="E2054" s="3">
        <v>0</v>
      </c>
      <c r="F2054" t="s">
        <v>45</v>
      </c>
      <c r="G2054" s="3">
        <f t="shared" si="244"/>
        <v>-253.28299999999999</v>
      </c>
      <c r="H2054" s="3">
        <f t="shared" si="245"/>
        <v>253.28299999999999</v>
      </c>
      <c r="I2054" s="5" t="str">
        <f t="shared" si="246"/>
        <v>018</v>
      </c>
      <c r="J2054" s="5" t="str">
        <f t="shared" si="247"/>
        <v>2220</v>
      </c>
      <c r="K2054" s="5" t="str">
        <f t="shared" si="248"/>
        <v>000</v>
      </c>
      <c r="L2054" s="5">
        <f t="shared" si="249"/>
        <v>4</v>
      </c>
      <c r="M2054" s="5">
        <f t="shared" si="250"/>
        <v>2012</v>
      </c>
    </row>
    <row r="2055" spans="1:13" ht="17.45" customHeight="1" x14ac:dyDescent="0.25">
      <c r="A2055" s="1">
        <f>DATE(2012,4,17)</f>
        <v>41016</v>
      </c>
      <c r="B2055" t="s">
        <v>22</v>
      </c>
      <c r="C2055" t="s">
        <v>10</v>
      </c>
      <c r="D2055" s="3">
        <v>52.948</v>
      </c>
      <c r="E2055" s="3">
        <v>0</v>
      </c>
      <c r="F2055" t="s">
        <v>45</v>
      </c>
      <c r="G2055" s="3">
        <f t="shared" si="244"/>
        <v>-52.948</v>
      </c>
      <c r="H2055" s="3">
        <f t="shared" si="245"/>
        <v>52.948</v>
      </c>
      <c r="I2055" s="5" t="str">
        <f t="shared" si="246"/>
        <v>018</v>
      </c>
      <c r="J2055" s="5" t="str">
        <f t="shared" si="247"/>
        <v>2230</v>
      </c>
      <c r="K2055" s="5" t="str">
        <f t="shared" si="248"/>
        <v>000</v>
      </c>
      <c r="L2055" s="5">
        <f t="shared" si="249"/>
        <v>4</v>
      </c>
      <c r="M2055" s="5">
        <f t="shared" si="250"/>
        <v>2012</v>
      </c>
    </row>
    <row r="2056" spans="1:13" ht="17.45" customHeight="1" x14ac:dyDescent="0.25">
      <c r="A2056" s="1">
        <f>DATE(2012,4,18)</f>
        <v>41017</v>
      </c>
      <c r="B2056" t="s">
        <v>19</v>
      </c>
      <c r="C2056" t="s">
        <v>6</v>
      </c>
      <c r="D2056" s="3">
        <v>3940.0478000000003</v>
      </c>
      <c r="E2056" s="3">
        <v>0</v>
      </c>
      <c r="F2056" t="s">
        <v>45</v>
      </c>
      <c r="G2056" s="3">
        <f t="shared" si="244"/>
        <v>-3940.0478000000003</v>
      </c>
      <c r="H2056" s="3">
        <f t="shared" si="245"/>
        <v>3940.0478000000003</v>
      </c>
      <c r="I2056" s="5" t="str">
        <f t="shared" si="246"/>
        <v>018</v>
      </c>
      <c r="J2056" s="5" t="str">
        <f t="shared" si="247"/>
        <v>2100</v>
      </c>
      <c r="K2056" s="5" t="str">
        <f t="shared" si="248"/>
        <v>000</v>
      </c>
      <c r="L2056" s="5">
        <f t="shared" si="249"/>
        <v>4</v>
      </c>
      <c r="M2056" s="5">
        <f t="shared" si="250"/>
        <v>2012</v>
      </c>
    </row>
    <row r="2057" spans="1:13" ht="17.45" customHeight="1" x14ac:dyDescent="0.25">
      <c r="A2057" s="1">
        <f>DATE(2012,4,18)</f>
        <v>41017</v>
      </c>
      <c r="B2057" t="s">
        <v>20</v>
      </c>
      <c r="C2057" t="s">
        <v>8</v>
      </c>
      <c r="D2057" s="3">
        <v>657.58950000000004</v>
      </c>
      <c r="E2057" s="3">
        <v>0</v>
      </c>
      <c r="F2057" t="s">
        <v>45</v>
      </c>
      <c r="G2057" s="3">
        <f t="shared" si="244"/>
        <v>-657.58950000000004</v>
      </c>
      <c r="H2057" s="3">
        <f t="shared" si="245"/>
        <v>657.58950000000004</v>
      </c>
      <c r="I2057" s="5" t="str">
        <f t="shared" si="246"/>
        <v>018</v>
      </c>
      <c r="J2057" s="5" t="str">
        <f t="shared" si="247"/>
        <v>2210</v>
      </c>
      <c r="K2057" s="5" t="str">
        <f t="shared" si="248"/>
        <v>000</v>
      </c>
      <c r="L2057" s="5">
        <f t="shared" si="249"/>
        <v>4</v>
      </c>
      <c r="M2057" s="5">
        <f t="shared" si="250"/>
        <v>2012</v>
      </c>
    </row>
    <row r="2058" spans="1:13" ht="17.45" customHeight="1" x14ac:dyDescent="0.25">
      <c r="A2058" s="1">
        <f>DATE(2012,4,18)</f>
        <v>41017</v>
      </c>
      <c r="B2058" t="s">
        <v>21</v>
      </c>
      <c r="C2058" t="s">
        <v>9</v>
      </c>
      <c r="D2058" s="3">
        <v>65.568999999999988</v>
      </c>
      <c r="E2058" s="3">
        <v>0</v>
      </c>
      <c r="F2058" t="s">
        <v>45</v>
      </c>
      <c r="G2058" s="3">
        <f t="shared" si="244"/>
        <v>-65.568999999999988</v>
      </c>
      <c r="H2058" s="3">
        <f t="shared" si="245"/>
        <v>65.568999999999988</v>
      </c>
      <c r="I2058" s="5" t="str">
        <f t="shared" si="246"/>
        <v>018</v>
      </c>
      <c r="J2058" s="5" t="str">
        <f t="shared" si="247"/>
        <v>2220</v>
      </c>
      <c r="K2058" s="5" t="str">
        <f t="shared" si="248"/>
        <v>000</v>
      </c>
      <c r="L2058" s="5">
        <f t="shared" si="249"/>
        <v>4</v>
      </c>
      <c r="M2058" s="5">
        <f t="shared" si="250"/>
        <v>2012</v>
      </c>
    </row>
    <row r="2059" spans="1:13" ht="17.45" customHeight="1" x14ac:dyDescent="0.25">
      <c r="A2059" s="1">
        <f>DATE(2012,4,18)</f>
        <v>41017</v>
      </c>
      <c r="B2059" t="s">
        <v>22</v>
      </c>
      <c r="C2059" t="s">
        <v>10</v>
      </c>
      <c r="D2059" s="3">
        <v>11.111499999999999</v>
      </c>
      <c r="E2059" s="3">
        <v>0</v>
      </c>
      <c r="F2059" t="s">
        <v>45</v>
      </c>
      <c r="G2059" s="3">
        <f t="shared" si="244"/>
        <v>-11.111499999999999</v>
      </c>
      <c r="H2059" s="3">
        <f t="shared" si="245"/>
        <v>11.111499999999999</v>
      </c>
      <c r="I2059" s="5" t="str">
        <f t="shared" si="246"/>
        <v>018</v>
      </c>
      <c r="J2059" s="5" t="str">
        <f t="shared" si="247"/>
        <v>2230</v>
      </c>
      <c r="K2059" s="5" t="str">
        <f t="shared" si="248"/>
        <v>000</v>
      </c>
      <c r="L2059" s="5">
        <f t="shared" si="249"/>
        <v>4</v>
      </c>
      <c r="M2059" s="5">
        <f t="shared" si="250"/>
        <v>2012</v>
      </c>
    </row>
    <row r="2060" spans="1:13" ht="17.45" customHeight="1" x14ac:dyDescent="0.25">
      <c r="A2060" s="1">
        <f>DATE(2012,4,19)</f>
        <v>41018</v>
      </c>
      <c r="B2060" t="s">
        <v>19</v>
      </c>
      <c r="C2060" t="s">
        <v>6</v>
      </c>
      <c r="D2060" s="3">
        <v>4509.7779999999993</v>
      </c>
      <c r="E2060" s="3">
        <v>0</v>
      </c>
      <c r="F2060" t="s">
        <v>45</v>
      </c>
      <c r="G2060" s="3">
        <f t="shared" si="244"/>
        <v>-4509.7779999999993</v>
      </c>
      <c r="H2060" s="3">
        <f t="shared" si="245"/>
        <v>4509.7779999999993</v>
      </c>
      <c r="I2060" s="5" t="str">
        <f t="shared" si="246"/>
        <v>018</v>
      </c>
      <c r="J2060" s="5" t="str">
        <f t="shared" si="247"/>
        <v>2100</v>
      </c>
      <c r="K2060" s="5" t="str">
        <f t="shared" si="248"/>
        <v>000</v>
      </c>
      <c r="L2060" s="5">
        <f t="shared" si="249"/>
        <v>4</v>
      </c>
      <c r="M2060" s="5">
        <f t="shared" si="250"/>
        <v>2012</v>
      </c>
    </row>
    <row r="2061" spans="1:13" ht="17.45" customHeight="1" x14ac:dyDescent="0.25">
      <c r="A2061" s="1">
        <f>DATE(2012,4,19)</f>
        <v>41018</v>
      </c>
      <c r="B2061" t="s">
        <v>20</v>
      </c>
      <c r="C2061" t="s">
        <v>8</v>
      </c>
      <c r="D2061" s="3">
        <v>1238.99</v>
      </c>
      <c r="E2061" s="3">
        <v>0</v>
      </c>
      <c r="F2061" t="s">
        <v>45</v>
      </c>
      <c r="G2061" s="3">
        <f t="shared" si="244"/>
        <v>-1238.99</v>
      </c>
      <c r="H2061" s="3">
        <f t="shared" si="245"/>
        <v>1238.99</v>
      </c>
      <c r="I2061" s="5" t="str">
        <f t="shared" si="246"/>
        <v>018</v>
      </c>
      <c r="J2061" s="5" t="str">
        <f t="shared" si="247"/>
        <v>2210</v>
      </c>
      <c r="K2061" s="5" t="str">
        <f t="shared" si="248"/>
        <v>000</v>
      </c>
      <c r="L2061" s="5">
        <f t="shared" si="249"/>
        <v>4</v>
      </c>
      <c r="M2061" s="5">
        <f t="shared" si="250"/>
        <v>2012</v>
      </c>
    </row>
    <row r="2062" spans="1:13" ht="17.45" customHeight="1" x14ac:dyDescent="0.25">
      <c r="A2062" s="1">
        <f>DATE(2012,4,19)</f>
        <v>41018</v>
      </c>
      <c r="B2062" t="s">
        <v>21</v>
      </c>
      <c r="C2062" t="s">
        <v>9</v>
      </c>
      <c r="D2062" s="3">
        <v>288.37599999999998</v>
      </c>
      <c r="E2062" s="3">
        <v>0</v>
      </c>
      <c r="F2062" t="s">
        <v>45</v>
      </c>
      <c r="G2062" s="3">
        <f t="shared" si="244"/>
        <v>-288.37599999999998</v>
      </c>
      <c r="H2062" s="3">
        <f t="shared" si="245"/>
        <v>288.37599999999998</v>
      </c>
      <c r="I2062" s="5" t="str">
        <f t="shared" si="246"/>
        <v>018</v>
      </c>
      <c r="J2062" s="5" t="str">
        <f t="shared" si="247"/>
        <v>2220</v>
      </c>
      <c r="K2062" s="5" t="str">
        <f t="shared" si="248"/>
        <v>000</v>
      </c>
      <c r="L2062" s="5">
        <f t="shared" si="249"/>
        <v>4</v>
      </c>
      <c r="M2062" s="5">
        <f t="shared" si="250"/>
        <v>2012</v>
      </c>
    </row>
    <row r="2063" spans="1:13" ht="17.45" customHeight="1" x14ac:dyDescent="0.25">
      <c r="A2063" s="1">
        <f>DATE(2012,4,19)</f>
        <v>41018</v>
      </c>
      <c r="B2063" t="s">
        <v>22</v>
      </c>
      <c r="C2063" t="s">
        <v>10</v>
      </c>
      <c r="D2063" s="3">
        <v>52.048999999999999</v>
      </c>
      <c r="E2063" s="3">
        <v>0</v>
      </c>
      <c r="F2063" t="s">
        <v>45</v>
      </c>
      <c r="G2063" s="3">
        <f t="shared" si="244"/>
        <v>-52.048999999999999</v>
      </c>
      <c r="H2063" s="3">
        <f t="shared" si="245"/>
        <v>52.048999999999999</v>
      </c>
      <c r="I2063" s="5" t="str">
        <f t="shared" si="246"/>
        <v>018</v>
      </c>
      <c r="J2063" s="5" t="str">
        <f t="shared" si="247"/>
        <v>2230</v>
      </c>
      <c r="K2063" s="5" t="str">
        <f t="shared" si="248"/>
        <v>000</v>
      </c>
      <c r="L2063" s="5">
        <f t="shared" si="249"/>
        <v>4</v>
      </c>
      <c r="M2063" s="5">
        <f t="shared" si="250"/>
        <v>2012</v>
      </c>
    </row>
    <row r="2064" spans="1:13" ht="17.45" customHeight="1" x14ac:dyDescent="0.25">
      <c r="A2064" s="1">
        <f>DATE(2012,4,20)</f>
        <v>41019</v>
      </c>
      <c r="B2064" t="s">
        <v>19</v>
      </c>
      <c r="C2064" t="s">
        <v>6</v>
      </c>
      <c r="D2064" s="3">
        <v>8413.2479999999996</v>
      </c>
      <c r="E2064" s="3">
        <v>0</v>
      </c>
      <c r="F2064" t="s">
        <v>45</v>
      </c>
      <c r="G2064" s="3">
        <f t="shared" si="244"/>
        <v>-8413.2479999999996</v>
      </c>
      <c r="H2064" s="3">
        <f t="shared" si="245"/>
        <v>8413.2479999999996</v>
      </c>
      <c r="I2064" s="5" t="str">
        <f t="shared" si="246"/>
        <v>018</v>
      </c>
      <c r="J2064" s="5" t="str">
        <f t="shared" si="247"/>
        <v>2100</v>
      </c>
      <c r="K2064" s="5" t="str">
        <f t="shared" si="248"/>
        <v>000</v>
      </c>
      <c r="L2064" s="5">
        <f t="shared" si="249"/>
        <v>4</v>
      </c>
      <c r="M2064" s="5">
        <f t="shared" si="250"/>
        <v>2012</v>
      </c>
    </row>
    <row r="2065" spans="1:13" ht="17.45" customHeight="1" x14ac:dyDescent="0.25">
      <c r="A2065" s="1">
        <f>DATE(2012,4,20)</f>
        <v>41019</v>
      </c>
      <c r="B2065" t="s">
        <v>20</v>
      </c>
      <c r="C2065" t="s">
        <v>8</v>
      </c>
      <c r="D2065" s="3">
        <v>3760.1489999999999</v>
      </c>
      <c r="E2065" s="3">
        <v>0</v>
      </c>
      <c r="F2065" t="s">
        <v>45</v>
      </c>
      <c r="G2065" s="3">
        <f t="shared" si="244"/>
        <v>-3760.1489999999999</v>
      </c>
      <c r="H2065" s="3">
        <f t="shared" si="245"/>
        <v>3760.1489999999999</v>
      </c>
      <c r="I2065" s="5" t="str">
        <f t="shared" si="246"/>
        <v>018</v>
      </c>
      <c r="J2065" s="5" t="str">
        <f t="shared" si="247"/>
        <v>2210</v>
      </c>
      <c r="K2065" s="5" t="str">
        <f t="shared" si="248"/>
        <v>000</v>
      </c>
      <c r="L2065" s="5">
        <f t="shared" si="249"/>
        <v>4</v>
      </c>
      <c r="M2065" s="5">
        <f t="shared" si="250"/>
        <v>2012</v>
      </c>
    </row>
    <row r="2066" spans="1:13" ht="17.45" customHeight="1" x14ac:dyDescent="0.25">
      <c r="A2066" s="1">
        <f>DATE(2012,4,20)</f>
        <v>41019</v>
      </c>
      <c r="B2066" t="s">
        <v>21</v>
      </c>
      <c r="C2066" t="s">
        <v>9</v>
      </c>
      <c r="D2066" s="3">
        <v>504.55999999999995</v>
      </c>
      <c r="E2066" s="3">
        <v>0</v>
      </c>
      <c r="F2066" t="s">
        <v>45</v>
      </c>
      <c r="G2066" s="3">
        <f t="shared" si="244"/>
        <v>-504.55999999999995</v>
      </c>
      <c r="H2066" s="3">
        <f t="shared" si="245"/>
        <v>504.55999999999995</v>
      </c>
      <c r="I2066" s="5" t="str">
        <f t="shared" si="246"/>
        <v>018</v>
      </c>
      <c r="J2066" s="5" t="str">
        <f t="shared" si="247"/>
        <v>2220</v>
      </c>
      <c r="K2066" s="5" t="str">
        <f t="shared" si="248"/>
        <v>000</v>
      </c>
      <c r="L2066" s="5">
        <f t="shared" si="249"/>
        <v>4</v>
      </c>
      <c r="M2066" s="5">
        <f t="shared" si="250"/>
        <v>2012</v>
      </c>
    </row>
    <row r="2067" spans="1:13" ht="17.45" customHeight="1" x14ac:dyDescent="0.25">
      <c r="A2067" s="1">
        <f>DATE(2012,4,20)</f>
        <v>41019</v>
      </c>
      <c r="B2067" t="s">
        <v>22</v>
      </c>
      <c r="C2067" t="s">
        <v>10</v>
      </c>
      <c r="D2067" s="3">
        <v>134.96249999999998</v>
      </c>
      <c r="E2067" s="3">
        <v>0</v>
      </c>
      <c r="F2067" t="s">
        <v>45</v>
      </c>
      <c r="G2067" s="3">
        <f t="shared" si="244"/>
        <v>-134.96249999999998</v>
      </c>
      <c r="H2067" s="3">
        <f t="shared" si="245"/>
        <v>134.96249999999998</v>
      </c>
      <c r="I2067" s="5" t="str">
        <f t="shared" si="246"/>
        <v>018</v>
      </c>
      <c r="J2067" s="5" t="str">
        <f t="shared" si="247"/>
        <v>2230</v>
      </c>
      <c r="K2067" s="5" t="str">
        <f t="shared" si="248"/>
        <v>000</v>
      </c>
      <c r="L2067" s="5">
        <f t="shared" si="249"/>
        <v>4</v>
      </c>
      <c r="M2067" s="5">
        <f t="shared" si="250"/>
        <v>2012</v>
      </c>
    </row>
    <row r="2068" spans="1:13" ht="17.45" customHeight="1" x14ac:dyDescent="0.25">
      <c r="A2068" s="1">
        <f>DATE(2012,4,21)</f>
        <v>41020</v>
      </c>
      <c r="B2068" t="s">
        <v>19</v>
      </c>
      <c r="C2068" t="s">
        <v>6</v>
      </c>
      <c r="D2068" s="3">
        <v>12334.895999999999</v>
      </c>
      <c r="E2068" s="3">
        <v>0</v>
      </c>
      <c r="F2068" t="s">
        <v>45</v>
      </c>
      <c r="G2068" s="3">
        <f t="shared" si="244"/>
        <v>-12334.895999999999</v>
      </c>
      <c r="H2068" s="3">
        <f t="shared" si="245"/>
        <v>12334.895999999999</v>
      </c>
      <c r="I2068" s="5" t="str">
        <f t="shared" si="246"/>
        <v>018</v>
      </c>
      <c r="J2068" s="5" t="str">
        <f t="shared" si="247"/>
        <v>2100</v>
      </c>
      <c r="K2068" s="5" t="str">
        <f t="shared" si="248"/>
        <v>000</v>
      </c>
      <c r="L2068" s="5">
        <f t="shared" si="249"/>
        <v>4</v>
      </c>
      <c r="M2068" s="5">
        <f t="shared" si="250"/>
        <v>2012</v>
      </c>
    </row>
    <row r="2069" spans="1:13" ht="17.45" customHeight="1" x14ac:dyDescent="0.25">
      <c r="A2069" s="1">
        <f>DATE(2012,4,21)</f>
        <v>41020</v>
      </c>
      <c r="B2069" t="s">
        <v>20</v>
      </c>
      <c r="C2069" t="s">
        <v>8</v>
      </c>
      <c r="D2069" s="3">
        <v>2751.3374999999996</v>
      </c>
      <c r="E2069" s="3">
        <v>0</v>
      </c>
      <c r="F2069" t="s">
        <v>45</v>
      </c>
      <c r="G2069" s="3">
        <f t="shared" si="244"/>
        <v>-2751.3374999999996</v>
      </c>
      <c r="H2069" s="3">
        <f t="shared" si="245"/>
        <v>2751.3374999999996</v>
      </c>
      <c r="I2069" s="5" t="str">
        <f t="shared" si="246"/>
        <v>018</v>
      </c>
      <c r="J2069" s="5" t="str">
        <f t="shared" si="247"/>
        <v>2210</v>
      </c>
      <c r="K2069" s="5" t="str">
        <f t="shared" si="248"/>
        <v>000</v>
      </c>
      <c r="L2069" s="5">
        <f t="shared" si="249"/>
        <v>4</v>
      </c>
      <c r="M2069" s="5">
        <f t="shared" si="250"/>
        <v>2012</v>
      </c>
    </row>
    <row r="2070" spans="1:13" ht="17.45" customHeight="1" x14ac:dyDescent="0.25">
      <c r="A2070" s="1">
        <f>DATE(2012,4,21)</f>
        <v>41020</v>
      </c>
      <c r="B2070" t="s">
        <v>21</v>
      </c>
      <c r="C2070" t="s">
        <v>9</v>
      </c>
      <c r="D2070" s="3">
        <v>458.02499999999998</v>
      </c>
      <c r="E2070" s="3">
        <v>0</v>
      </c>
      <c r="F2070" t="s">
        <v>45</v>
      </c>
      <c r="G2070" s="3">
        <f t="shared" si="244"/>
        <v>-458.02499999999998</v>
      </c>
      <c r="H2070" s="3">
        <f t="shared" si="245"/>
        <v>458.02499999999998</v>
      </c>
      <c r="I2070" s="5" t="str">
        <f t="shared" si="246"/>
        <v>018</v>
      </c>
      <c r="J2070" s="5" t="str">
        <f t="shared" si="247"/>
        <v>2220</v>
      </c>
      <c r="K2070" s="5" t="str">
        <f t="shared" si="248"/>
        <v>000</v>
      </c>
      <c r="L2070" s="5">
        <f t="shared" si="249"/>
        <v>4</v>
      </c>
      <c r="M2070" s="5">
        <f t="shared" si="250"/>
        <v>2012</v>
      </c>
    </row>
    <row r="2071" spans="1:13" ht="17.45" customHeight="1" x14ac:dyDescent="0.25">
      <c r="A2071" s="1">
        <f>DATE(2012,4,21)</f>
        <v>41020</v>
      </c>
      <c r="B2071" t="s">
        <v>22</v>
      </c>
      <c r="C2071" t="s">
        <v>10</v>
      </c>
      <c r="D2071" s="3">
        <v>144.89999999999998</v>
      </c>
      <c r="E2071" s="3">
        <v>0</v>
      </c>
      <c r="F2071" t="s">
        <v>45</v>
      </c>
      <c r="G2071" s="3">
        <f t="shared" si="244"/>
        <v>-144.89999999999998</v>
      </c>
      <c r="H2071" s="3">
        <f t="shared" si="245"/>
        <v>144.89999999999998</v>
      </c>
      <c r="I2071" s="5" t="str">
        <f t="shared" si="246"/>
        <v>018</v>
      </c>
      <c r="J2071" s="5" t="str">
        <f t="shared" si="247"/>
        <v>2230</v>
      </c>
      <c r="K2071" s="5" t="str">
        <f t="shared" si="248"/>
        <v>000</v>
      </c>
      <c r="L2071" s="5">
        <f t="shared" si="249"/>
        <v>4</v>
      </c>
      <c r="M2071" s="5">
        <f t="shared" si="250"/>
        <v>2012</v>
      </c>
    </row>
    <row r="2072" spans="1:13" ht="17.45" customHeight="1" x14ac:dyDescent="0.25">
      <c r="A2072" s="1">
        <f>DATE(2012,4,22)</f>
        <v>41021</v>
      </c>
      <c r="B2072" t="s">
        <v>19</v>
      </c>
      <c r="C2072" t="s">
        <v>6</v>
      </c>
      <c r="D2072" s="3">
        <v>5796.8625000000002</v>
      </c>
      <c r="E2072" s="3">
        <v>0</v>
      </c>
      <c r="F2072" t="s">
        <v>45</v>
      </c>
      <c r="G2072" s="3">
        <f t="shared" si="244"/>
        <v>-5796.8625000000002</v>
      </c>
      <c r="H2072" s="3">
        <f t="shared" si="245"/>
        <v>5796.8625000000002</v>
      </c>
      <c r="I2072" s="5" t="str">
        <f t="shared" si="246"/>
        <v>018</v>
      </c>
      <c r="J2072" s="5" t="str">
        <f t="shared" si="247"/>
        <v>2100</v>
      </c>
      <c r="K2072" s="5" t="str">
        <f t="shared" si="248"/>
        <v>000</v>
      </c>
      <c r="L2072" s="5">
        <f t="shared" si="249"/>
        <v>4</v>
      </c>
      <c r="M2072" s="5">
        <f t="shared" si="250"/>
        <v>2012</v>
      </c>
    </row>
    <row r="2073" spans="1:13" ht="17.45" customHeight="1" x14ac:dyDescent="0.25">
      <c r="A2073" s="1">
        <f>DATE(2012,4,22)</f>
        <v>41021</v>
      </c>
      <c r="B2073" t="s">
        <v>20</v>
      </c>
      <c r="C2073" t="s">
        <v>8</v>
      </c>
      <c r="D2073" s="3">
        <v>1369.9140000000002</v>
      </c>
      <c r="E2073" s="3">
        <v>0</v>
      </c>
      <c r="F2073" t="s">
        <v>45</v>
      </c>
      <c r="G2073" s="3">
        <f t="shared" si="244"/>
        <v>-1369.9140000000002</v>
      </c>
      <c r="H2073" s="3">
        <f t="shared" si="245"/>
        <v>1369.9140000000002</v>
      </c>
      <c r="I2073" s="5" t="str">
        <f t="shared" si="246"/>
        <v>018</v>
      </c>
      <c r="J2073" s="5" t="str">
        <f t="shared" si="247"/>
        <v>2210</v>
      </c>
      <c r="K2073" s="5" t="str">
        <f t="shared" si="248"/>
        <v>000</v>
      </c>
      <c r="L2073" s="5">
        <f t="shared" si="249"/>
        <v>4</v>
      </c>
      <c r="M2073" s="5">
        <f t="shared" si="250"/>
        <v>2012</v>
      </c>
    </row>
    <row r="2074" spans="1:13" ht="17.45" customHeight="1" x14ac:dyDescent="0.25">
      <c r="A2074" s="1">
        <f>DATE(2012,4,22)</f>
        <v>41021</v>
      </c>
      <c r="B2074" t="s">
        <v>21</v>
      </c>
      <c r="C2074" t="s">
        <v>9</v>
      </c>
      <c r="D2074" s="3">
        <v>194.0625</v>
      </c>
      <c r="E2074" s="3">
        <v>0</v>
      </c>
      <c r="F2074" t="s">
        <v>45</v>
      </c>
      <c r="G2074" s="3">
        <f t="shared" si="244"/>
        <v>-194.0625</v>
      </c>
      <c r="H2074" s="3">
        <f t="shared" si="245"/>
        <v>194.0625</v>
      </c>
      <c r="I2074" s="5" t="str">
        <f t="shared" si="246"/>
        <v>018</v>
      </c>
      <c r="J2074" s="5" t="str">
        <f t="shared" si="247"/>
        <v>2220</v>
      </c>
      <c r="K2074" s="5" t="str">
        <f t="shared" si="248"/>
        <v>000</v>
      </c>
      <c r="L2074" s="5">
        <f t="shared" si="249"/>
        <v>4</v>
      </c>
      <c r="M2074" s="5">
        <f t="shared" si="250"/>
        <v>2012</v>
      </c>
    </row>
    <row r="2075" spans="1:13" ht="17.45" customHeight="1" x14ac:dyDescent="0.25">
      <c r="A2075" s="1">
        <f>DATE(2012,4,22)</f>
        <v>41021</v>
      </c>
      <c r="B2075" t="s">
        <v>22</v>
      </c>
      <c r="C2075" t="s">
        <v>10</v>
      </c>
      <c r="D2075" s="3">
        <v>53.67</v>
      </c>
      <c r="E2075" s="3">
        <v>0</v>
      </c>
      <c r="F2075" t="s">
        <v>45</v>
      </c>
      <c r="G2075" s="3">
        <f t="shared" si="244"/>
        <v>-53.67</v>
      </c>
      <c r="H2075" s="3">
        <f t="shared" si="245"/>
        <v>53.67</v>
      </c>
      <c r="I2075" s="5" t="str">
        <f t="shared" si="246"/>
        <v>018</v>
      </c>
      <c r="J2075" s="5" t="str">
        <f t="shared" si="247"/>
        <v>2230</v>
      </c>
      <c r="K2075" s="5" t="str">
        <f t="shared" si="248"/>
        <v>000</v>
      </c>
      <c r="L2075" s="5">
        <f t="shared" si="249"/>
        <v>4</v>
      </c>
      <c r="M2075" s="5">
        <f t="shared" si="250"/>
        <v>2012</v>
      </c>
    </row>
    <row r="2076" spans="1:13" ht="17.45" customHeight="1" x14ac:dyDescent="0.25">
      <c r="A2076" s="1">
        <f>DATE(2012,4,23)</f>
        <v>41022</v>
      </c>
      <c r="B2076" t="s">
        <v>11</v>
      </c>
      <c r="C2076" t="s">
        <v>6</v>
      </c>
      <c r="D2076" s="3">
        <v>1861.28</v>
      </c>
      <c r="E2076" s="3">
        <v>0</v>
      </c>
      <c r="F2076" t="s">
        <v>45</v>
      </c>
      <c r="G2076" s="3">
        <f t="shared" si="244"/>
        <v>-1861.28</v>
      </c>
      <c r="H2076" s="3">
        <f t="shared" si="245"/>
        <v>1861.28</v>
      </c>
      <c r="I2076" s="5" t="str">
        <f t="shared" si="246"/>
        <v>016</v>
      </c>
      <c r="J2076" s="5" t="str">
        <f t="shared" si="247"/>
        <v>2100</v>
      </c>
      <c r="K2076" s="5" t="str">
        <f t="shared" si="248"/>
        <v>000</v>
      </c>
      <c r="L2076" s="5">
        <f t="shared" si="249"/>
        <v>4</v>
      </c>
      <c r="M2076" s="5">
        <f t="shared" si="250"/>
        <v>2012</v>
      </c>
    </row>
    <row r="2077" spans="1:13" ht="17.45" customHeight="1" x14ac:dyDescent="0.25">
      <c r="A2077" s="1">
        <f>DATE(2012,4,23)</f>
        <v>41022</v>
      </c>
      <c r="B2077" t="s">
        <v>12</v>
      </c>
      <c r="C2077" t="s">
        <v>8</v>
      </c>
      <c r="D2077" s="3">
        <v>526.07450000000006</v>
      </c>
      <c r="E2077" s="3">
        <v>0</v>
      </c>
      <c r="F2077" t="s">
        <v>45</v>
      </c>
      <c r="G2077" s="3">
        <f t="shared" si="244"/>
        <v>-526.07450000000006</v>
      </c>
      <c r="H2077" s="3">
        <f t="shared" si="245"/>
        <v>526.07450000000006</v>
      </c>
      <c r="I2077" s="5" t="str">
        <f t="shared" si="246"/>
        <v>016</v>
      </c>
      <c r="J2077" s="5" t="str">
        <f t="shared" si="247"/>
        <v>2210</v>
      </c>
      <c r="K2077" s="5" t="str">
        <f t="shared" si="248"/>
        <v>000</v>
      </c>
      <c r="L2077" s="5">
        <f t="shared" si="249"/>
        <v>4</v>
      </c>
      <c r="M2077" s="5">
        <f t="shared" si="250"/>
        <v>2012</v>
      </c>
    </row>
    <row r="2078" spans="1:13" ht="17.45" customHeight="1" x14ac:dyDescent="0.25">
      <c r="A2078" s="1">
        <f>DATE(2012,4,23)</f>
        <v>41022</v>
      </c>
      <c r="B2078" t="s">
        <v>13</v>
      </c>
      <c r="C2078" t="s">
        <v>9</v>
      </c>
      <c r="D2078" s="3">
        <v>86.940000000000012</v>
      </c>
      <c r="E2078" s="3">
        <v>0</v>
      </c>
      <c r="F2078" t="s">
        <v>45</v>
      </c>
      <c r="G2078" s="3">
        <f t="shared" si="244"/>
        <v>-86.940000000000012</v>
      </c>
      <c r="H2078" s="3">
        <f t="shared" si="245"/>
        <v>86.940000000000012</v>
      </c>
      <c r="I2078" s="5" t="str">
        <f t="shared" si="246"/>
        <v>016</v>
      </c>
      <c r="J2078" s="5" t="str">
        <f t="shared" si="247"/>
        <v>2220</v>
      </c>
      <c r="K2078" s="5" t="str">
        <f t="shared" si="248"/>
        <v>000</v>
      </c>
      <c r="L2078" s="5">
        <f t="shared" si="249"/>
        <v>4</v>
      </c>
      <c r="M2078" s="5">
        <f t="shared" si="250"/>
        <v>2012</v>
      </c>
    </row>
    <row r="2079" spans="1:13" ht="17.45" customHeight="1" x14ac:dyDescent="0.25">
      <c r="A2079" s="1">
        <f>DATE(2012,4,23)</f>
        <v>41022</v>
      </c>
      <c r="B2079" t="s">
        <v>14</v>
      </c>
      <c r="C2079" t="s">
        <v>10</v>
      </c>
      <c r="D2079" s="3">
        <v>14.31</v>
      </c>
      <c r="E2079" s="3">
        <v>0</v>
      </c>
      <c r="F2079" t="s">
        <v>45</v>
      </c>
      <c r="G2079" s="3">
        <f t="shared" si="244"/>
        <v>-14.31</v>
      </c>
      <c r="H2079" s="3">
        <f t="shared" si="245"/>
        <v>14.31</v>
      </c>
      <c r="I2079" s="5" t="str">
        <f t="shared" si="246"/>
        <v>016</v>
      </c>
      <c r="J2079" s="5" t="str">
        <f t="shared" si="247"/>
        <v>2230</v>
      </c>
      <c r="K2079" s="5" t="str">
        <f t="shared" si="248"/>
        <v>000</v>
      </c>
      <c r="L2079" s="5">
        <f t="shared" si="249"/>
        <v>4</v>
      </c>
      <c r="M2079" s="5">
        <f t="shared" si="250"/>
        <v>2012</v>
      </c>
    </row>
    <row r="2080" spans="1:13" ht="17.45" customHeight="1" x14ac:dyDescent="0.25">
      <c r="A2080" s="1">
        <f>DATE(2012,4,24)</f>
        <v>41023</v>
      </c>
      <c r="B2080" t="s">
        <v>11</v>
      </c>
      <c r="C2080" t="s">
        <v>6</v>
      </c>
      <c r="D2080" s="3">
        <v>4913.0135999999993</v>
      </c>
      <c r="E2080" s="3">
        <v>0</v>
      </c>
      <c r="F2080" t="s">
        <v>45</v>
      </c>
      <c r="G2080" s="3">
        <f t="shared" si="244"/>
        <v>-4913.0135999999993</v>
      </c>
      <c r="H2080" s="3">
        <f t="shared" si="245"/>
        <v>4913.0135999999993</v>
      </c>
      <c r="I2080" s="5" t="str">
        <f t="shared" si="246"/>
        <v>016</v>
      </c>
      <c r="J2080" s="5" t="str">
        <f t="shared" si="247"/>
        <v>2100</v>
      </c>
      <c r="K2080" s="5" t="str">
        <f t="shared" si="248"/>
        <v>000</v>
      </c>
      <c r="L2080" s="5">
        <f t="shared" si="249"/>
        <v>4</v>
      </c>
      <c r="M2080" s="5">
        <f t="shared" si="250"/>
        <v>2012</v>
      </c>
    </row>
    <row r="2081" spans="1:13" ht="17.45" customHeight="1" x14ac:dyDescent="0.25">
      <c r="A2081" s="1">
        <f>DATE(2012,4,24)</f>
        <v>41023</v>
      </c>
      <c r="B2081" t="s">
        <v>12</v>
      </c>
      <c r="C2081" t="s">
        <v>8</v>
      </c>
      <c r="D2081" s="3">
        <v>1598.19</v>
      </c>
      <c r="E2081" s="3">
        <v>0</v>
      </c>
      <c r="F2081" t="s">
        <v>45</v>
      </c>
      <c r="G2081" s="3">
        <f t="shared" si="244"/>
        <v>-1598.19</v>
      </c>
      <c r="H2081" s="3">
        <f t="shared" si="245"/>
        <v>1598.19</v>
      </c>
      <c r="I2081" s="5" t="str">
        <f t="shared" si="246"/>
        <v>016</v>
      </c>
      <c r="J2081" s="5" t="str">
        <f t="shared" si="247"/>
        <v>2210</v>
      </c>
      <c r="K2081" s="5" t="str">
        <f t="shared" si="248"/>
        <v>000</v>
      </c>
      <c r="L2081" s="5">
        <f t="shared" si="249"/>
        <v>4</v>
      </c>
      <c r="M2081" s="5">
        <f t="shared" si="250"/>
        <v>2012</v>
      </c>
    </row>
    <row r="2082" spans="1:13" ht="17.45" customHeight="1" x14ac:dyDescent="0.25">
      <c r="A2082" s="1">
        <f>DATE(2012,4,24)</f>
        <v>41023</v>
      </c>
      <c r="B2082" t="s">
        <v>13</v>
      </c>
      <c r="C2082" t="s">
        <v>9</v>
      </c>
      <c r="D2082" s="3">
        <v>543.36299999999994</v>
      </c>
      <c r="E2082" s="3">
        <v>0</v>
      </c>
      <c r="F2082" t="s">
        <v>45</v>
      </c>
      <c r="G2082" s="3">
        <f t="shared" si="244"/>
        <v>-543.36299999999994</v>
      </c>
      <c r="H2082" s="3">
        <f t="shared" si="245"/>
        <v>543.36299999999994</v>
      </c>
      <c r="I2082" s="5" t="str">
        <f t="shared" si="246"/>
        <v>016</v>
      </c>
      <c r="J2082" s="5" t="str">
        <f t="shared" si="247"/>
        <v>2220</v>
      </c>
      <c r="K2082" s="5" t="str">
        <f t="shared" si="248"/>
        <v>000</v>
      </c>
      <c r="L2082" s="5">
        <f t="shared" si="249"/>
        <v>4</v>
      </c>
      <c r="M2082" s="5">
        <f t="shared" si="250"/>
        <v>2012</v>
      </c>
    </row>
    <row r="2083" spans="1:13" ht="17.45" customHeight="1" x14ac:dyDescent="0.25">
      <c r="A2083" s="1">
        <f>DATE(2012,4,24)</f>
        <v>41023</v>
      </c>
      <c r="B2083" t="s">
        <v>14</v>
      </c>
      <c r="C2083" t="s">
        <v>10</v>
      </c>
      <c r="D2083" s="3">
        <v>213.72400000000002</v>
      </c>
      <c r="E2083" s="3">
        <v>0</v>
      </c>
      <c r="F2083" t="s">
        <v>45</v>
      </c>
      <c r="G2083" s="3">
        <f t="shared" si="244"/>
        <v>-213.72400000000002</v>
      </c>
      <c r="H2083" s="3">
        <f t="shared" si="245"/>
        <v>213.72400000000002</v>
      </c>
      <c r="I2083" s="5" t="str">
        <f t="shared" si="246"/>
        <v>016</v>
      </c>
      <c r="J2083" s="5" t="str">
        <f t="shared" si="247"/>
        <v>2230</v>
      </c>
      <c r="K2083" s="5" t="str">
        <f t="shared" si="248"/>
        <v>000</v>
      </c>
      <c r="L2083" s="5">
        <f t="shared" si="249"/>
        <v>4</v>
      </c>
      <c r="M2083" s="5">
        <f t="shared" si="250"/>
        <v>2012</v>
      </c>
    </row>
    <row r="2084" spans="1:13" ht="17.45" customHeight="1" x14ac:dyDescent="0.25">
      <c r="A2084" s="1">
        <f>DATE(2012,4,25)</f>
        <v>41024</v>
      </c>
      <c r="B2084" t="s">
        <v>11</v>
      </c>
      <c r="C2084" t="s">
        <v>6</v>
      </c>
      <c r="D2084" s="3">
        <v>3569.3658</v>
      </c>
      <c r="E2084" s="3">
        <v>0</v>
      </c>
      <c r="F2084" t="s">
        <v>45</v>
      </c>
      <c r="G2084" s="3">
        <f t="shared" si="244"/>
        <v>-3569.3658</v>
      </c>
      <c r="H2084" s="3">
        <f t="shared" si="245"/>
        <v>3569.3658</v>
      </c>
      <c r="I2084" s="5" t="str">
        <f t="shared" si="246"/>
        <v>016</v>
      </c>
      <c r="J2084" s="5" t="str">
        <f t="shared" si="247"/>
        <v>2100</v>
      </c>
      <c r="K2084" s="5" t="str">
        <f t="shared" si="248"/>
        <v>000</v>
      </c>
      <c r="L2084" s="5">
        <f t="shared" si="249"/>
        <v>4</v>
      </c>
      <c r="M2084" s="5">
        <f t="shared" si="250"/>
        <v>2012</v>
      </c>
    </row>
    <row r="2085" spans="1:13" ht="17.45" customHeight="1" x14ac:dyDescent="0.25">
      <c r="A2085" s="1">
        <f>DATE(2012,4,25)</f>
        <v>41024</v>
      </c>
      <c r="B2085" t="s">
        <v>12</v>
      </c>
      <c r="C2085" t="s">
        <v>8</v>
      </c>
      <c r="D2085" s="3">
        <v>1037.3050000000001</v>
      </c>
      <c r="E2085" s="3">
        <v>0</v>
      </c>
      <c r="F2085" t="s">
        <v>45</v>
      </c>
      <c r="G2085" s="3">
        <f t="shared" si="244"/>
        <v>-1037.3050000000001</v>
      </c>
      <c r="H2085" s="3">
        <f t="shared" si="245"/>
        <v>1037.3050000000001</v>
      </c>
      <c r="I2085" s="5" t="str">
        <f t="shared" si="246"/>
        <v>016</v>
      </c>
      <c r="J2085" s="5" t="str">
        <f t="shared" si="247"/>
        <v>2210</v>
      </c>
      <c r="K2085" s="5" t="str">
        <f t="shared" si="248"/>
        <v>000</v>
      </c>
      <c r="L2085" s="5">
        <f t="shared" si="249"/>
        <v>4</v>
      </c>
      <c r="M2085" s="5">
        <f t="shared" si="250"/>
        <v>2012</v>
      </c>
    </row>
    <row r="2086" spans="1:13" ht="17.45" customHeight="1" x14ac:dyDescent="0.25">
      <c r="A2086" s="1">
        <f>DATE(2012,4,25)</f>
        <v>41024</v>
      </c>
      <c r="B2086" t="s">
        <v>13</v>
      </c>
      <c r="C2086" t="s">
        <v>9</v>
      </c>
      <c r="D2086" s="3">
        <v>132.87</v>
      </c>
      <c r="E2086" s="3">
        <v>0</v>
      </c>
      <c r="F2086" t="s">
        <v>45</v>
      </c>
      <c r="G2086" s="3">
        <f t="shared" si="244"/>
        <v>-132.87</v>
      </c>
      <c r="H2086" s="3">
        <f t="shared" si="245"/>
        <v>132.87</v>
      </c>
      <c r="I2086" s="5" t="str">
        <f t="shared" si="246"/>
        <v>016</v>
      </c>
      <c r="J2086" s="5" t="str">
        <f t="shared" si="247"/>
        <v>2220</v>
      </c>
      <c r="K2086" s="5" t="str">
        <f t="shared" si="248"/>
        <v>000</v>
      </c>
      <c r="L2086" s="5">
        <f t="shared" si="249"/>
        <v>4</v>
      </c>
      <c r="M2086" s="5">
        <f t="shared" si="250"/>
        <v>2012</v>
      </c>
    </row>
    <row r="2087" spans="1:13" ht="17.45" customHeight="1" x14ac:dyDescent="0.25">
      <c r="A2087" s="1">
        <f>DATE(2012,4,25)</f>
        <v>41024</v>
      </c>
      <c r="B2087" t="s">
        <v>14</v>
      </c>
      <c r="C2087" t="s">
        <v>10</v>
      </c>
      <c r="D2087" s="3">
        <v>129.80250000000001</v>
      </c>
      <c r="E2087" s="3">
        <v>0</v>
      </c>
      <c r="F2087" t="s">
        <v>45</v>
      </c>
      <c r="G2087" s="3">
        <f t="shared" si="244"/>
        <v>-129.80250000000001</v>
      </c>
      <c r="H2087" s="3">
        <f t="shared" si="245"/>
        <v>129.80250000000001</v>
      </c>
      <c r="I2087" s="5" t="str">
        <f t="shared" si="246"/>
        <v>016</v>
      </c>
      <c r="J2087" s="5" t="str">
        <f t="shared" si="247"/>
        <v>2230</v>
      </c>
      <c r="K2087" s="5" t="str">
        <f t="shared" si="248"/>
        <v>000</v>
      </c>
      <c r="L2087" s="5">
        <f t="shared" si="249"/>
        <v>4</v>
      </c>
      <c r="M2087" s="5">
        <f t="shared" si="250"/>
        <v>2012</v>
      </c>
    </row>
    <row r="2088" spans="1:13" ht="17.45" customHeight="1" x14ac:dyDescent="0.25">
      <c r="A2088" s="1">
        <f>DATE(2012,4,26)</f>
        <v>41025</v>
      </c>
      <c r="B2088" t="s">
        <v>11</v>
      </c>
      <c r="C2088" t="s">
        <v>6</v>
      </c>
      <c r="D2088" s="3">
        <v>4329.1368000000002</v>
      </c>
      <c r="E2088" s="3">
        <v>0</v>
      </c>
      <c r="F2088" t="s">
        <v>45</v>
      </c>
      <c r="G2088" s="3">
        <f t="shared" si="244"/>
        <v>-4329.1368000000002</v>
      </c>
      <c r="H2088" s="3">
        <f t="shared" si="245"/>
        <v>4329.1368000000002</v>
      </c>
      <c r="I2088" s="5" t="str">
        <f t="shared" si="246"/>
        <v>016</v>
      </c>
      <c r="J2088" s="5" t="str">
        <f t="shared" si="247"/>
        <v>2100</v>
      </c>
      <c r="K2088" s="5" t="str">
        <f t="shared" si="248"/>
        <v>000</v>
      </c>
      <c r="L2088" s="5">
        <f t="shared" si="249"/>
        <v>4</v>
      </c>
      <c r="M2088" s="5">
        <f t="shared" si="250"/>
        <v>2012</v>
      </c>
    </row>
    <row r="2089" spans="1:13" ht="17.45" customHeight="1" x14ac:dyDescent="0.25">
      <c r="A2089" s="1">
        <f>DATE(2012,4,26)</f>
        <v>41025</v>
      </c>
      <c r="B2089" t="s">
        <v>12</v>
      </c>
      <c r="C2089" t="s">
        <v>8</v>
      </c>
      <c r="D2089" s="3">
        <v>681.51639999999998</v>
      </c>
      <c r="E2089" s="3">
        <v>0</v>
      </c>
      <c r="F2089" t="s">
        <v>45</v>
      </c>
      <c r="G2089" s="3">
        <f t="shared" si="244"/>
        <v>-681.51639999999998</v>
      </c>
      <c r="H2089" s="3">
        <f t="shared" si="245"/>
        <v>681.51639999999998</v>
      </c>
      <c r="I2089" s="5" t="str">
        <f t="shared" si="246"/>
        <v>016</v>
      </c>
      <c r="J2089" s="5" t="str">
        <f t="shared" si="247"/>
        <v>2210</v>
      </c>
      <c r="K2089" s="5" t="str">
        <f t="shared" si="248"/>
        <v>000</v>
      </c>
      <c r="L2089" s="5">
        <f t="shared" si="249"/>
        <v>4</v>
      </c>
      <c r="M2089" s="5">
        <f t="shared" si="250"/>
        <v>2012</v>
      </c>
    </row>
    <row r="2090" spans="1:13" ht="17.45" customHeight="1" x14ac:dyDescent="0.25">
      <c r="A2090" s="1">
        <f>DATE(2012,4,26)</f>
        <v>41025</v>
      </c>
      <c r="B2090" t="s">
        <v>13</v>
      </c>
      <c r="C2090" t="s">
        <v>9</v>
      </c>
      <c r="D2090" s="3">
        <v>178.96950000000001</v>
      </c>
      <c r="E2090" s="3">
        <v>0</v>
      </c>
      <c r="F2090" t="s">
        <v>45</v>
      </c>
      <c r="G2090" s="3">
        <f t="shared" si="244"/>
        <v>-178.96950000000001</v>
      </c>
      <c r="H2090" s="3">
        <f t="shared" si="245"/>
        <v>178.96950000000001</v>
      </c>
      <c r="I2090" s="5" t="str">
        <f t="shared" si="246"/>
        <v>016</v>
      </c>
      <c r="J2090" s="5" t="str">
        <f t="shared" si="247"/>
        <v>2220</v>
      </c>
      <c r="K2090" s="5" t="str">
        <f t="shared" si="248"/>
        <v>000</v>
      </c>
      <c r="L2090" s="5">
        <f t="shared" si="249"/>
        <v>4</v>
      </c>
      <c r="M2090" s="5">
        <f t="shared" si="250"/>
        <v>2012</v>
      </c>
    </row>
    <row r="2091" spans="1:13" ht="17.45" customHeight="1" x14ac:dyDescent="0.25">
      <c r="A2091" s="1">
        <f>DATE(2012,4,26)</f>
        <v>41025</v>
      </c>
      <c r="B2091" t="s">
        <v>14</v>
      </c>
      <c r="C2091" t="s">
        <v>10</v>
      </c>
      <c r="D2091" s="3">
        <v>189.286</v>
      </c>
      <c r="E2091" s="3">
        <v>0</v>
      </c>
      <c r="F2091" t="s">
        <v>45</v>
      </c>
      <c r="G2091" s="3">
        <f t="shared" si="244"/>
        <v>-189.286</v>
      </c>
      <c r="H2091" s="3">
        <f t="shared" si="245"/>
        <v>189.286</v>
      </c>
      <c r="I2091" s="5" t="str">
        <f t="shared" si="246"/>
        <v>016</v>
      </c>
      <c r="J2091" s="5" t="str">
        <f t="shared" si="247"/>
        <v>2230</v>
      </c>
      <c r="K2091" s="5" t="str">
        <f t="shared" si="248"/>
        <v>000</v>
      </c>
      <c r="L2091" s="5">
        <f t="shared" si="249"/>
        <v>4</v>
      </c>
      <c r="M2091" s="5">
        <f t="shared" si="250"/>
        <v>2012</v>
      </c>
    </row>
    <row r="2092" spans="1:13" ht="17.45" customHeight="1" x14ac:dyDescent="0.25">
      <c r="A2092" s="1">
        <f>DATE(2012,4,27)</f>
        <v>41026</v>
      </c>
      <c r="B2092" t="s">
        <v>11</v>
      </c>
      <c r="C2092" t="s">
        <v>6</v>
      </c>
      <c r="D2092" s="3">
        <v>7023.1919999999991</v>
      </c>
      <c r="E2092" s="3">
        <v>0</v>
      </c>
      <c r="F2092" t="s">
        <v>45</v>
      </c>
      <c r="G2092" s="3">
        <f t="shared" si="244"/>
        <v>-7023.1919999999991</v>
      </c>
      <c r="H2092" s="3">
        <f t="shared" si="245"/>
        <v>7023.1919999999991</v>
      </c>
      <c r="I2092" s="5" t="str">
        <f t="shared" si="246"/>
        <v>016</v>
      </c>
      <c r="J2092" s="5" t="str">
        <f t="shared" si="247"/>
        <v>2100</v>
      </c>
      <c r="K2092" s="5" t="str">
        <f t="shared" si="248"/>
        <v>000</v>
      </c>
      <c r="L2092" s="5">
        <f t="shared" si="249"/>
        <v>4</v>
      </c>
      <c r="M2092" s="5">
        <f t="shared" si="250"/>
        <v>2012</v>
      </c>
    </row>
    <row r="2093" spans="1:13" ht="17.45" customHeight="1" x14ac:dyDescent="0.25">
      <c r="A2093" s="1">
        <f>DATE(2012,4,27)</f>
        <v>41026</v>
      </c>
      <c r="B2093" t="s">
        <v>12</v>
      </c>
      <c r="C2093" t="s">
        <v>8</v>
      </c>
      <c r="D2093" s="3">
        <v>2060.6529999999998</v>
      </c>
      <c r="E2093" s="3">
        <v>0</v>
      </c>
      <c r="F2093" t="s">
        <v>45</v>
      </c>
      <c r="G2093" s="3">
        <f t="shared" si="244"/>
        <v>-2060.6529999999998</v>
      </c>
      <c r="H2093" s="3">
        <f t="shared" si="245"/>
        <v>2060.6529999999998</v>
      </c>
      <c r="I2093" s="5" t="str">
        <f t="shared" si="246"/>
        <v>016</v>
      </c>
      <c r="J2093" s="5" t="str">
        <f t="shared" si="247"/>
        <v>2210</v>
      </c>
      <c r="K2093" s="5" t="str">
        <f t="shared" si="248"/>
        <v>000</v>
      </c>
      <c r="L2093" s="5">
        <f t="shared" si="249"/>
        <v>4</v>
      </c>
      <c r="M2093" s="5">
        <f t="shared" si="250"/>
        <v>2012</v>
      </c>
    </row>
    <row r="2094" spans="1:13" ht="17.45" customHeight="1" x14ac:dyDescent="0.25">
      <c r="A2094" s="1">
        <f>DATE(2012,4,27)</f>
        <v>41026</v>
      </c>
      <c r="B2094" t="s">
        <v>13</v>
      </c>
      <c r="C2094" t="s">
        <v>9</v>
      </c>
      <c r="D2094" s="3">
        <v>307.65960000000001</v>
      </c>
      <c r="E2094" s="3">
        <v>0</v>
      </c>
      <c r="F2094" t="s">
        <v>45</v>
      </c>
      <c r="G2094" s="3">
        <f t="shared" si="244"/>
        <v>-307.65960000000001</v>
      </c>
      <c r="H2094" s="3">
        <f t="shared" si="245"/>
        <v>307.65960000000001</v>
      </c>
      <c r="I2094" s="5" t="str">
        <f t="shared" si="246"/>
        <v>016</v>
      </c>
      <c r="J2094" s="5" t="str">
        <f t="shared" si="247"/>
        <v>2220</v>
      </c>
      <c r="K2094" s="5" t="str">
        <f t="shared" si="248"/>
        <v>000</v>
      </c>
      <c r="L2094" s="5">
        <f t="shared" si="249"/>
        <v>4</v>
      </c>
      <c r="M2094" s="5">
        <f t="shared" si="250"/>
        <v>2012</v>
      </c>
    </row>
    <row r="2095" spans="1:13" ht="17.45" customHeight="1" x14ac:dyDescent="0.25">
      <c r="A2095" s="1">
        <f>DATE(2012,4,27)</f>
        <v>41026</v>
      </c>
      <c r="B2095" t="s">
        <v>14</v>
      </c>
      <c r="C2095" t="s">
        <v>10</v>
      </c>
      <c r="D2095" s="3">
        <v>204.86699999999999</v>
      </c>
      <c r="E2095" s="3">
        <v>0</v>
      </c>
      <c r="F2095" t="s">
        <v>45</v>
      </c>
      <c r="G2095" s="3">
        <f t="shared" si="244"/>
        <v>-204.86699999999999</v>
      </c>
      <c r="H2095" s="3">
        <f t="shared" si="245"/>
        <v>204.86699999999999</v>
      </c>
      <c r="I2095" s="5" t="str">
        <f t="shared" si="246"/>
        <v>016</v>
      </c>
      <c r="J2095" s="5" t="str">
        <f t="shared" si="247"/>
        <v>2230</v>
      </c>
      <c r="K2095" s="5" t="str">
        <f t="shared" si="248"/>
        <v>000</v>
      </c>
      <c r="L2095" s="5">
        <f t="shared" si="249"/>
        <v>4</v>
      </c>
      <c r="M2095" s="5">
        <f t="shared" si="250"/>
        <v>2012</v>
      </c>
    </row>
    <row r="2096" spans="1:13" ht="17.45" customHeight="1" x14ac:dyDescent="0.25">
      <c r="A2096" s="1">
        <f>DATE(2012,4,28)</f>
        <v>41027</v>
      </c>
      <c r="B2096" t="s">
        <v>11</v>
      </c>
      <c r="C2096" t="s">
        <v>6</v>
      </c>
      <c r="D2096" s="3">
        <v>9339.4119999999984</v>
      </c>
      <c r="E2096" s="3">
        <v>0</v>
      </c>
      <c r="F2096" t="s">
        <v>45</v>
      </c>
      <c r="G2096" s="3">
        <f t="shared" si="244"/>
        <v>-9339.4119999999984</v>
      </c>
      <c r="H2096" s="3">
        <f t="shared" si="245"/>
        <v>9339.4119999999984</v>
      </c>
      <c r="I2096" s="5" t="str">
        <f t="shared" si="246"/>
        <v>016</v>
      </c>
      <c r="J2096" s="5" t="str">
        <f t="shared" si="247"/>
        <v>2100</v>
      </c>
      <c r="K2096" s="5" t="str">
        <f t="shared" si="248"/>
        <v>000</v>
      </c>
      <c r="L2096" s="5">
        <f t="shared" si="249"/>
        <v>4</v>
      </c>
      <c r="M2096" s="5">
        <f t="shared" si="250"/>
        <v>2012</v>
      </c>
    </row>
    <row r="2097" spans="1:13" ht="17.45" customHeight="1" x14ac:dyDescent="0.25">
      <c r="A2097" s="1">
        <f>DATE(2012,4,28)</f>
        <v>41027</v>
      </c>
      <c r="B2097" t="s">
        <v>12</v>
      </c>
      <c r="C2097" t="s">
        <v>8</v>
      </c>
      <c r="D2097" s="3">
        <v>2959.4565000000002</v>
      </c>
      <c r="E2097" s="3">
        <v>0</v>
      </c>
      <c r="F2097" t="s">
        <v>45</v>
      </c>
      <c r="G2097" s="3">
        <f t="shared" si="244"/>
        <v>-2959.4565000000002</v>
      </c>
      <c r="H2097" s="3">
        <f t="shared" si="245"/>
        <v>2959.4565000000002</v>
      </c>
      <c r="I2097" s="5" t="str">
        <f t="shared" si="246"/>
        <v>016</v>
      </c>
      <c r="J2097" s="5" t="str">
        <f t="shared" si="247"/>
        <v>2210</v>
      </c>
      <c r="K2097" s="5" t="str">
        <f t="shared" si="248"/>
        <v>000</v>
      </c>
      <c r="L2097" s="5">
        <f t="shared" si="249"/>
        <v>4</v>
      </c>
      <c r="M2097" s="5">
        <f t="shared" si="250"/>
        <v>2012</v>
      </c>
    </row>
    <row r="2098" spans="1:13" ht="17.45" customHeight="1" x14ac:dyDescent="0.25">
      <c r="A2098" s="1">
        <f>DATE(2012,4,28)</f>
        <v>41027</v>
      </c>
      <c r="B2098" t="s">
        <v>13</v>
      </c>
      <c r="C2098" t="s">
        <v>9</v>
      </c>
      <c r="D2098" s="3">
        <v>563.625</v>
      </c>
      <c r="E2098" s="3">
        <v>0</v>
      </c>
      <c r="F2098" t="s">
        <v>45</v>
      </c>
      <c r="G2098" s="3">
        <f t="shared" si="244"/>
        <v>-563.625</v>
      </c>
      <c r="H2098" s="3">
        <f t="shared" si="245"/>
        <v>563.625</v>
      </c>
      <c r="I2098" s="5" t="str">
        <f t="shared" si="246"/>
        <v>016</v>
      </c>
      <c r="J2098" s="5" t="str">
        <f t="shared" si="247"/>
        <v>2220</v>
      </c>
      <c r="K2098" s="5" t="str">
        <f t="shared" si="248"/>
        <v>000</v>
      </c>
      <c r="L2098" s="5">
        <f t="shared" si="249"/>
        <v>4</v>
      </c>
      <c r="M2098" s="5">
        <f t="shared" si="250"/>
        <v>2012</v>
      </c>
    </row>
    <row r="2099" spans="1:13" ht="17.45" customHeight="1" x14ac:dyDescent="0.25">
      <c r="A2099" s="1">
        <f>DATE(2012,4,28)</f>
        <v>41027</v>
      </c>
      <c r="B2099" t="s">
        <v>14</v>
      </c>
      <c r="C2099" t="s">
        <v>10</v>
      </c>
      <c r="D2099" s="3">
        <v>230.04800000000003</v>
      </c>
      <c r="E2099" s="3">
        <v>0</v>
      </c>
      <c r="F2099" t="s">
        <v>45</v>
      </c>
      <c r="G2099" s="3">
        <f t="shared" si="244"/>
        <v>-230.04800000000003</v>
      </c>
      <c r="H2099" s="3">
        <f t="shared" si="245"/>
        <v>230.04800000000003</v>
      </c>
      <c r="I2099" s="5" t="str">
        <f t="shared" si="246"/>
        <v>016</v>
      </c>
      <c r="J2099" s="5" t="str">
        <f t="shared" si="247"/>
        <v>2230</v>
      </c>
      <c r="K2099" s="5" t="str">
        <f t="shared" si="248"/>
        <v>000</v>
      </c>
      <c r="L2099" s="5">
        <f t="shared" si="249"/>
        <v>4</v>
      </c>
      <c r="M2099" s="5">
        <f t="shared" si="250"/>
        <v>2012</v>
      </c>
    </row>
    <row r="2100" spans="1:13" ht="17.45" customHeight="1" x14ac:dyDescent="0.25">
      <c r="A2100" s="1">
        <f>DATE(2012,4,29)</f>
        <v>41028</v>
      </c>
      <c r="B2100" t="s">
        <v>11</v>
      </c>
      <c r="C2100" t="s">
        <v>6</v>
      </c>
      <c r="D2100" s="3">
        <v>4011.8385000000003</v>
      </c>
      <c r="E2100" s="3">
        <v>0</v>
      </c>
      <c r="F2100" t="s">
        <v>45</v>
      </c>
      <c r="G2100" s="3">
        <f t="shared" si="244"/>
        <v>-4011.8385000000003</v>
      </c>
      <c r="H2100" s="3">
        <f t="shared" si="245"/>
        <v>4011.8385000000003</v>
      </c>
      <c r="I2100" s="5" t="str">
        <f t="shared" si="246"/>
        <v>016</v>
      </c>
      <c r="J2100" s="5" t="str">
        <f t="shared" si="247"/>
        <v>2100</v>
      </c>
      <c r="K2100" s="5" t="str">
        <f t="shared" si="248"/>
        <v>000</v>
      </c>
      <c r="L2100" s="5">
        <f t="shared" si="249"/>
        <v>4</v>
      </c>
      <c r="M2100" s="5">
        <f t="shared" si="250"/>
        <v>2012</v>
      </c>
    </row>
    <row r="2101" spans="1:13" ht="17.45" customHeight="1" x14ac:dyDescent="0.25">
      <c r="A2101" s="1">
        <f>DATE(2012,4,29)</f>
        <v>41028</v>
      </c>
      <c r="B2101" t="s">
        <v>12</v>
      </c>
      <c r="C2101" t="s">
        <v>8</v>
      </c>
      <c r="D2101" s="3">
        <v>669.3</v>
      </c>
      <c r="E2101" s="3">
        <v>0</v>
      </c>
      <c r="F2101" t="s">
        <v>45</v>
      </c>
      <c r="G2101" s="3">
        <f t="shared" si="244"/>
        <v>-669.3</v>
      </c>
      <c r="H2101" s="3">
        <f t="shared" si="245"/>
        <v>669.3</v>
      </c>
      <c r="I2101" s="5" t="str">
        <f t="shared" si="246"/>
        <v>016</v>
      </c>
      <c r="J2101" s="5" t="str">
        <f t="shared" si="247"/>
        <v>2210</v>
      </c>
      <c r="K2101" s="5" t="str">
        <f t="shared" si="248"/>
        <v>000</v>
      </c>
      <c r="L2101" s="5">
        <f t="shared" si="249"/>
        <v>4</v>
      </c>
      <c r="M2101" s="5">
        <f t="shared" si="250"/>
        <v>2012</v>
      </c>
    </row>
    <row r="2102" spans="1:13" ht="17.45" customHeight="1" x14ac:dyDescent="0.25">
      <c r="A2102" s="1">
        <f>DATE(2012,4,29)</f>
        <v>41028</v>
      </c>
      <c r="B2102" t="s">
        <v>13</v>
      </c>
      <c r="C2102" t="s">
        <v>9</v>
      </c>
      <c r="D2102" s="3">
        <v>241.10099999999997</v>
      </c>
      <c r="E2102" s="3">
        <v>0</v>
      </c>
      <c r="F2102" t="s">
        <v>45</v>
      </c>
      <c r="G2102" s="3">
        <f t="shared" si="244"/>
        <v>-241.10099999999997</v>
      </c>
      <c r="H2102" s="3">
        <f t="shared" si="245"/>
        <v>241.10099999999997</v>
      </c>
      <c r="I2102" s="5" t="str">
        <f t="shared" si="246"/>
        <v>016</v>
      </c>
      <c r="J2102" s="5" t="str">
        <f t="shared" si="247"/>
        <v>2220</v>
      </c>
      <c r="K2102" s="5" t="str">
        <f t="shared" si="248"/>
        <v>000</v>
      </c>
      <c r="L2102" s="5">
        <f t="shared" si="249"/>
        <v>4</v>
      </c>
      <c r="M2102" s="5">
        <f t="shared" si="250"/>
        <v>2012</v>
      </c>
    </row>
    <row r="2103" spans="1:13" ht="17.45" customHeight="1" x14ac:dyDescent="0.25">
      <c r="A2103" s="1">
        <f>DATE(2012,4,29)</f>
        <v>41028</v>
      </c>
      <c r="B2103" t="s">
        <v>14</v>
      </c>
      <c r="C2103" t="s">
        <v>10</v>
      </c>
      <c r="D2103" s="3">
        <v>62.379000000000005</v>
      </c>
      <c r="E2103" s="3">
        <v>0</v>
      </c>
      <c r="F2103" t="s">
        <v>45</v>
      </c>
      <c r="G2103" s="3">
        <f t="shared" si="244"/>
        <v>-62.379000000000005</v>
      </c>
      <c r="H2103" s="3">
        <f t="shared" si="245"/>
        <v>62.379000000000005</v>
      </c>
      <c r="I2103" s="5" t="str">
        <f t="shared" si="246"/>
        <v>016</v>
      </c>
      <c r="J2103" s="5" t="str">
        <f t="shared" si="247"/>
        <v>2230</v>
      </c>
      <c r="K2103" s="5" t="str">
        <f t="shared" si="248"/>
        <v>000</v>
      </c>
      <c r="L2103" s="5">
        <f t="shared" si="249"/>
        <v>4</v>
      </c>
      <c r="M2103" s="5">
        <f t="shared" si="250"/>
        <v>2012</v>
      </c>
    </row>
    <row r="2104" spans="1:13" ht="17.45" customHeight="1" x14ac:dyDescent="0.25">
      <c r="A2104" s="1">
        <f>DATE(2012,4,23)</f>
        <v>41022</v>
      </c>
      <c r="B2104" t="s">
        <v>15</v>
      </c>
      <c r="C2104" t="s">
        <v>6</v>
      </c>
      <c r="D2104" s="3">
        <v>5326.5471000000007</v>
      </c>
      <c r="E2104" s="3">
        <v>0</v>
      </c>
      <c r="F2104" t="s">
        <v>45</v>
      </c>
      <c r="G2104" s="3">
        <f t="shared" si="244"/>
        <v>-5326.5471000000007</v>
      </c>
      <c r="H2104" s="3">
        <f t="shared" si="245"/>
        <v>5326.5471000000007</v>
      </c>
      <c r="I2104" s="5" t="str">
        <f t="shared" si="246"/>
        <v>017</v>
      </c>
      <c r="J2104" s="5" t="str">
        <f t="shared" si="247"/>
        <v>2100</v>
      </c>
      <c r="K2104" s="5" t="str">
        <f t="shared" si="248"/>
        <v>000</v>
      </c>
      <c r="L2104" s="5">
        <f t="shared" si="249"/>
        <v>4</v>
      </c>
      <c r="M2104" s="5">
        <f t="shared" si="250"/>
        <v>2012</v>
      </c>
    </row>
    <row r="2105" spans="1:13" ht="17.45" customHeight="1" x14ac:dyDescent="0.25">
      <c r="A2105" s="1">
        <f>DATE(2012,4,23)</f>
        <v>41022</v>
      </c>
      <c r="B2105" t="s">
        <v>16</v>
      </c>
      <c r="C2105" t="s">
        <v>8</v>
      </c>
      <c r="D2105" s="3">
        <v>1166.9850000000001</v>
      </c>
      <c r="E2105" s="3">
        <v>0</v>
      </c>
      <c r="F2105" t="s">
        <v>45</v>
      </c>
      <c r="G2105" s="3">
        <f t="shared" si="244"/>
        <v>-1166.9850000000001</v>
      </c>
      <c r="H2105" s="3">
        <f t="shared" si="245"/>
        <v>1166.9850000000001</v>
      </c>
      <c r="I2105" s="5" t="str">
        <f t="shared" si="246"/>
        <v>017</v>
      </c>
      <c r="J2105" s="5" t="str">
        <f t="shared" si="247"/>
        <v>2210</v>
      </c>
      <c r="K2105" s="5" t="str">
        <f t="shared" si="248"/>
        <v>000</v>
      </c>
      <c r="L2105" s="5">
        <f t="shared" si="249"/>
        <v>4</v>
      </c>
      <c r="M2105" s="5">
        <f t="shared" si="250"/>
        <v>2012</v>
      </c>
    </row>
    <row r="2106" spans="1:13" ht="17.45" customHeight="1" x14ac:dyDescent="0.25">
      <c r="A2106" s="1">
        <f>DATE(2012,4,23)</f>
        <v>41022</v>
      </c>
      <c r="B2106" t="s">
        <v>17</v>
      </c>
      <c r="C2106" t="s">
        <v>9</v>
      </c>
      <c r="D2106" s="3">
        <v>349.3125</v>
      </c>
      <c r="E2106" s="3">
        <v>0</v>
      </c>
      <c r="F2106" t="s">
        <v>45</v>
      </c>
      <c r="G2106" s="3">
        <f t="shared" si="244"/>
        <v>-349.3125</v>
      </c>
      <c r="H2106" s="3">
        <f t="shared" si="245"/>
        <v>349.3125</v>
      </c>
      <c r="I2106" s="5" t="str">
        <f t="shared" si="246"/>
        <v>017</v>
      </c>
      <c r="J2106" s="5" t="str">
        <f t="shared" si="247"/>
        <v>2220</v>
      </c>
      <c r="K2106" s="5" t="str">
        <f t="shared" si="248"/>
        <v>000</v>
      </c>
      <c r="L2106" s="5">
        <f t="shared" si="249"/>
        <v>4</v>
      </c>
      <c r="M2106" s="5">
        <f t="shared" si="250"/>
        <v>2012</v>
      </c>
    </row>
    <row r="2107" spans="1:13" ht="17.45" customHeight="1" x14ac:dyDescent="0.25">
      <c r="A2107" s="1">
        <f>DATE(2012,4,23)</f>
        <v>41022</v>
      </c>
      <c r="B2107" t="s">
        <v>18</v>
      </c>
      <c r="C2107" t="s">
        <v>10</v>
      </c>
      <c r="D2107" s="3">
        <v>35.44</v>
      </c>
      <c r="E2107" s="3">
        <v>0</v>
      </c>
      <c r="F2107" t="s">
        <v>45</v>
      </c>
      <c r="G2107" s="3">
        <f t="shared" si="244"/>
        <v>-35.44</v>
      </c>
      <c r="H2107" s="3">
        <f t="shared" si="245"/>
        <v>35.44</v>
      </c>
      <c r="I2107" s="5" t="str">
        <f t="shared" si="246"/>
        <v>017</v>
      </c>
      <c r="J2107" s="5" t="str">
        <f t="shared" si="247"/>
        <v>2230</v>
      </c>
      <c r="K2107" s="5" t="str">
        <f t="shared" si="248"/>
        <v>000</v>
      </c>
      <c r="L2107" s="5">
        <f t="shared" si="249"/>
        <v>4</v>
      </c>
      <c r="M2107" s="5">
        <f t="shared" si="250"/>
        <v>2012</v>
      </c>
    </row>
    <row r="2108" spans="1:13" ht="17.45" customHeight="1" x14ac:dyDescent="0.25">
      <c r="A2108" s="1">
        <f>DATE(2012,4,24)</f>
        <v>41023</v>
      </c>
      <c r="B2108" t="s">
        <v>15</v>
      </c>
      <c r="C2108" t="s">
        <v>6</v>
      </c>
      <c r="D2108" s="3">
        <v>6759.4400000000005</v>
      </c>
      <c r="E2108" s="3">
        <v>0</v>
      </c>
      <c r="F2108" t="s">
        <v>45</v>
      </c>
      <c r="G2108" s="3">
        <f t="shared" si="244"/>
        <v>-6759.4400000000005</v>
      </c>
      <c r="H2108" s="3">
        <f t="shared" si="245"/>
        <v>6759.4400000000005</v>
      </c>
      <c r="I2108" s="5" t="str">
        <f t="shared" si="246"/>
        <v>017</v>
      </c>
      <c r="J2108" s="5" t="str">
        <f t="shared" si="247"/>
        <v>2100</v>
      </c>
      <c r="K2108" s="5" t="str">
        <f t="shared" si="248"/>
        <v>000</v>
      </c>
      <c r="L2108" s="5">
        <f t="shared" si="249"/>
        <v>4</v>
      </c>
      <c r="M2108" s="5">
        <f t="shared" si="250"/>
        <v>2012</v>
      </c>
    </row>
    <row r="2109" spans="1:13" ht="17.45" customHeight="1" x14ac:dyDescent="0.25">
      <c r="A2109" s="1">
        <f>DATE(2012,4,24)</f>
        <v>41023</v>
      </c>
      <c r="B2109" t="s">
        <v>16</v>
      </c>
      <c r="C2109" t="s">
        <v>8</v>
      </c>
      <c r="D2109" s="3">
        <v>2665.51</v>
      </c>
      <c r="E2109" s="3">
        <v>0</v>
      </c>
      <c r="F2109" t="s">
        <v>45</v>
      </c>
      <c r="G2109" s="3">
        <f t="shared" si="244"/>
        <v>-2665.51</v>
      </c>
      <c r="H2109" s="3">
        <f t="shared" si="245"/>
        <v>2665.51</v>
      </c>
      <c r="I2109" s="5" t="str">
        <f t="shared" si="246"/>
        <v>017</v>
      </c>
      <c r="J2109" s="5" t="str">
        <f t="shared" si="247"/>
        <v>2210</v>
      </c>
      <c r="K2109" s="5" t="str">
        <f t="shared" si="248"/>
        <v>000</v>
      </c>
      <c r="L2109" s="5">
        <f t="shared" si="249"/>
        <v>4</v>
      </c>
      <c r="M2109" s="5">
        <f t="shared" si="250"/>
        <v>2012</v>
      </c>
    </row>
    <row r="2110" spans="1:13" ht="17.45" customHeight="1" x14ac:dyDescent="0.25">
      <c r="A2110" s="1">
        <f>DATE(2012,4,24)</f>
        <v>41023</v>
      </c>
      <c r="B2110" t="s">
        <v>17</v>
      </c>
      <c r="C2110" t="s">
        <v>9</v>
      </c>
      <c r="D2110" s="3">
        <v>540.15499999999997</v>
      </c>
      <c r="E2110" s="3">
        <v>0</v>
      </c>
      <c r="F2110" t="s">
        <v>45</v>
      </c>
      <c r="G2110" s="3">
        <f t="shared" si="244"/>
        <v>-540.15499999999997</v>
      </c>
      <c r="H2110" s="3">
        <f t="shared" si="245"/>
        <v>540.15499999999997</v>
      </c>
      <c r="I2110" s="5" t="str">
        <f t="shared" si="246"/>
        <v>017</v>
      </c>
      <c r="J2110" s="5" t="str">
        <f t="shared" si="247"/>
        <v>2220</v>
      </c>
      <c r="K2110" s="5" t="str">
        <f t="shared" si="248"/>
        <v>000</v>
      </c>
      <c r="L2110" s="5">
        <f t="shared" si="249"/>
        <v>4</v>
      </c>
      <c r="M2110" s="5">
        <f t="shared" si="250"/>
        <v>2012</v>
      </c>
    </row>
    <row r="2111" spans="1:13" ht="17.45" customHeight="1" x14ac:dyDescent="0.25">
      <c r="A2111" s="1">
        <f>DATE(2012,4,24)</f>
        <v>41023</v>
      </c>
      <c r="B2111" t="s">
        <v>18</v>
      </c>
      <c r="C2111" t="s">
        <v>10</v>
      </c>
      <c r="D2111" s="3">
        <v>69.367999999999995</v>
      </c>
      <c r="E2111" s="3">
        <v>0</v>
      </c>
      <c r="F2111" t="s">
        <v>45</v>
      </c>
      <c r="G2111" s="3">
        <f t="shared" si="244"/>
        <v>-69.367999999999995</v>
      </c>
      <c r="H2111" s="3">
        <f t="shared" si="245"/>
        <v>69.367999999999995</v>
      </c>
      <c r="I2111" s="5" t="str">
        <f t="shared" si="246"/>
        <v>017</v>
      </c>
      <c r="J2111" s="5" t="str">
        <f t="shared" si="247"/>
        <v>2230</v>
      </c>
      <c r="K2111" s="5" t="str">
        <f t="shared" si="248"/>
        <v>000</v>
      </c>
      <c r="L2111" s="5">
        <f t="shared" si="249"/>
        <v>4</v>
      </c>
      <c r="M2111" s="5">
        <f t="shared" si="250"/>
        <v>2012</v>
      </c>
    </row>
    <row r="2112" spans="1:13" ht="17.45" customHeight="1" x14ac:dyDescent="0.25">
      <c r="A2112" s="1">
        <f>DATE(2012,4,25)</f>
        <v>41024</v>
      </c>
      <c r="B2112" t="s">
        <v>15</v>
      </c>
      <c r="C2112" t="s">
        <v>6</v>
      </c>
      <c r="D2112" s="3">
        <v>5978.7959999999994</v>
      </c>
      <c r="E2112" s="3">
        <v>0</v>
      </c>
      <c r="F2112" t="s">
        <v>45</v>
      </c>
      <c r="G2112" s="3">
        <f t="shared" si="244"/>
        <v>-5978.7959999999994</v>
      </c>
      <c r="H2112" s="3">
        <f t="shared" si="245"/>
        <v>5978.7959999999994</v>
      </c>
      <c r="I2112" s="5" t="str">
        <f t="shared" si="246"/>
        <v>017</v>
      </c>
      <c r="J2112" s="5" t="str">
        <f t="shared" si="247"/>
        <v>2100</v>
      </c>
      <c r="K2112" s="5" t="str">
        <f t="shared" si="248"/>
        <v>000</v>
      </c>
      <c r="L2112" s="5">
        <f t="shared" si="249"/>
        <v>4</v>
      </c>
      <c r="M2112" s="5">
        <f t="shared" si="250"/>
        <v>2012</v>
      </c>
    </row>
    <row r="2113" spans="1:13" ht="17.45" customHeight="1" x14ac:dyDescent="0.25">
      <c r="A2113" s="1">
        <f>DATE(2012,4,25)</f>
        <v>41024</v>
      </c>
      <c r="B2113" t="s">
        <v>16</v>
      </c>
      <c r="C2113" t="s">
        <v>8</v>
      </c>
      <c r="D2113" s="3">
        <v>2151.0659999999998</v>
      </c>
      <c r="E2113" s="3">
        <v>0</v>
      </c>
      <c r="F2113" t="s">
        <v>45</v>
      </c>
      <c r="G2113" s="3">
        <f t="shared" si="244"/>
        <v>-2151.0659999999998</v>
      </c>
      <c r="H2113" s="3">
        <f t="shared" si="245"/>
        <v>2151.0659999999998</v>
      </c>
      <c r="I2113" s="5" t="str">
        <f t="shared" si="246"/>
        <v>017</v>
      </c>
      <c r="J2113" s="5" t="str">
        <f t="shared" si="247"/>
        <v>2210</v>
      </c>
      <c r="K2113" s="5" t="str">
        <f t="shared" si="248"/>
        <v>000</v>
      </c>
      <c r="L2113" s="5">
        <f t="shared" si="249"/>
        <v>4</v>
      </c>
      <c r="M2113" s="5">
        <f t="shared" si="250"/>
        <v>2012</v>
      </c>
    </row>
    <row r="2114" spans="1:13" ht="17.45" customHeight="1" x14ac:dyDescent="0.25">
      <c r="A2114" s="1">
        <f>DATE(2012,4,25)</f>
        <v>41024</v>
      </c>
      <c r="B2114" t="s">
        <v>17</v>
      </c>
      <c r="C2114" t="s">
        <v>9</v>
      </c>
      <c r="D2114" s="3">
        <v>501.6</v>
      </c>
      <c r="E2114" s="3">
        <v>0</v>
      </c>
      <c r="F2114" t="s">
        <v>45</v>
      </c>
      <c r="G2114" s="3">
        <f t="shared" ref="G2114:G2177" si="251">E2114-D2114</f>
        <v>-501.6</v>
      </c>
      <c r="H2114" s="3">
        <f t="shared" ref="H2114:H2177" si="252">ABS(G2114)</f>
        <v>501.6</v>
      </c>
      <c r="I2114" s="5" t="str">
        <f t="shared" ref="I2114:I2177" si="253">MID(B2114,1,3)</f>
        <v>017</v>
      </c>
      <c r="J2114" s="5" t="str">
        <f t="shared" ref="J2114:J2177" si="254">MID(B2114,5,4)</f>
        <v>2220</v>
      </c>
      <c r="K2114" s="5" t="str">
        <f t="shared" ref="K2114:K2177" si="255">MID(B2114,10,3)</f>
        <v>000</v>
      </c>
      <c r="L2114" s="5">
        <f t="shared" ref="L2114:L2177" si="256">MONTH(A2114)</f>
        <v>4</v>
      </c>
      <c r="M2114" s="5">
        <f t="shared" ref="M2114:M2177" si="257">YEAR(A2114)</f>
        <v>2012</v>
      </c>
    </row>
    <row r="2115" spans="1:13" ht="17.45" customHeight="1" x14ac:dyDescent="0.25">
      <c r="A2115" s="1">
        <f>DATE(2012,4,25)</f>
        <v>41024</v>
      </c>
      <c r="B2115" t="s">
        <v>18</v>
      </c>
      <c r="C2115" t="s">
        <v>10</v>
      </c>
      <c r="D2115" s="3">
        <v>35.741999999999997</v>
      </c>
      <c r="E2115" s="3">
        <v>0</v>
      </c>
      <c r="F2115" t="s">
        <v>45</v>
      </c>
      <c r="G2115" s="3">
        <f t="shared" si="251"/>
        <v>-35.741999999999997</v>
      </c>
      <c r="H2115" s="3">
        <f t="shared" si="252"/>
        <v>35.741999999999997</v>
      </c>
      <c r="I2115" s="5" t="str">
        <f t="shared" si="253"/>
        <v>017</v>
      </c>
      <c r="J2115" s="5" t="str">
        <f t="shared" si="254"/>
        <v>2230</v>
      </c>
      <c r="K2115" s="5" t="str">
        <f t="shared" si="255"/>
        <v>000</v>
      </c>
      <c r="L2115" s="5">
        <f t="shared" si="256"/>
        <v>4</v>
      </c>
      <c r="M2115" s="5">
        <f t="shared" si="257"/>
        <v>2012</v>
      </c>
    </row>
    <row r="2116" spans="1:13" ht="17.45" customHeight="1" x14ac:dyDescent="0.25">
      <c r="A2116" s="1">
        <f>DATE(2012,4,26)</f>
        <v>41025</v>
      </c>
      <c r="B2116" t="s">
        <v>15</v>
      </c>
      <c r="C2116" t="s">
        <v>6</v>
      </c>
      <c r="D2116" s="3">
        <v>4780.2309999999998</v>
      </c>
      <c r="E2116" s="3">
        <v>0</v>
      </c>
      <c r="F2116" t="s">
        <v>45</v>
      </c>
      <c r="G2116" s="3">
        <f t="shared" si="251"/>
        <v>-4780.2309999999998</v>
      </c>
      <c r="H2116" s="3">
        <f t="shared" si="252"/>
        <v>4780.2309999999998</v>
      </c>
      <c r="I2116" s="5" t="str">
        <f t="shared" si="253"/>
        <v>017</v>
      </c>
      <c r="J2116" s="5" t="str">
        <f t="shared" si="254"/>
        <v>2100</v>
      </c>
      <c r="K2116" s="5" t="str">
        <f t="shared" si="255"/>
        <v>000</v>
      </c>
      <c r="L2116" s="5">
        <f t="shared" si="256"/>
        <v>4</v>
      </c>
      <c r="M2116" s="5">
        <f t="shared" si="257"/>
        <v>2012</v>
      </c>
    </row>
    <row r="2117" spans="1:13" ht="17.45" customHeight="1" x14ac:dyDescent="0.25">
      <c r="A2117" s="1">
        <f>DATE(2012,4,26)</f>
        <v>41025</v>
      </c>
      <c r="B2117" t="s">
        <v>16</v>
      </c>
      <c r="C2117" t="s">
        <v>8</v>
      </c>
      <c r="D2117" s="3">
        <v>1844.08</v>
      </c>
      <c r="E2117" s="3">
        <v>0</v>
      </c>
      <c r="F2117" t="s">
        <v>45</v>
      </c>
      <c r="G2117" s="3">
        <f t="shared" si="251"/>
        <v>-1844.08</v>
      </c>
      <c r="H2117" s="3">
        <f t="shared" si="252"/>
        <v>1844.08</v>
      </c>
      <c r="I2117" s="5" t="str">
        <f t="shared" si="253"/>
        <v>017</v>
      </c>
      <c r="J2117" s="5" t="str">
        <f t="shared" si="254"/>
        <v>2210</v>
      </c>
      <c r="K2117" s="5" t="str">
        <f t="shared" si="255"/>
        <v>000</v>
      </c>
      <c r="L2117" s="5">
        <f t="shared" si="256"/>
        <v>4</v>
      </c>
      <c r="M2117" s="5">
        <f t="shared" si="257"/>
        <v>2012</v>
      </c>
    </row>
    <row r="2118" spans="1:13" ht="17.45" customHeight="1" x14ac:dyDescent="0.25">
      <c r="A2118" s="1">
        <f>DATE(2012,4,26)</f>
        <v>41025</v>
      </c>
      <c r="B2118" t="s">
        <v>17</v>
      </c>
      <c r="C2118" t="s">
        <v>9</v>
      </c>
      <c r="D2118" s="3">
        <v>342.0625</v>
      </c>
      <c r="E2118" s="3">
        <v>0</v>
      </c>
      <c r="F2118" t="s">
        <v>45</v>
      </c>
      <c r="G2118" s="3">
        <f t="shared" si="251"/>
        <v>-342.0625</v>
      </c>
      <c r="H2118" s="3">
        <f t="shared" si="252"/>
        <v>342.0625</v>
      </c>
      <c r="I2118" s="5" t="str">
        <f t="shared" si="253"/>
        <v>017</v>
      </c>
      <c r="J2118" s="5" t="str">
        <f t="shared" si="254"/>
        <v>2220</v>
      </c>
      <c r="K2118" s="5" t="str">
        <f t="shared" si="255"/>
        <v>000</v>
      </c>
      <c r="L2118" s="5">
        <f t="shared" si="256"/>
        <v>4</v>
      </c>
      <c r="M2118" s="5">
        <f t="shared" si="257"/>
        <v>2012</v>
      </c>
    </row>
    <row r="2119" spans="1:13" ht="17.45" customHeight="1" x14ac:dyDescent="0.25">
      <c r="A2119" s="1">
        <f>DATE(2012,4,26)</f>
        <v>41025</v>
      </c>
      <c r="B2119" t="s">
        <v>18</v>
      </c>
      <c r="C2119" t="s">
        <v>10</v>
      </c>
      <c r="D2119" s="3">
        <v>61.787999999999997</v>
      </c>
      <c r="E2119" s="3">
        <v>0</v>
      </c>
      <c r="F2119" t="s">
        <v>45</v>
      </c>
      <c r="G2119" s="3">
        <f t="shared" si="251"/>
        <v>-61.787999999999997</v>
      </c>
      <c r="H2119" s="3">
        <f t="shared" si="252"/>
        <v>61.787999999999997</v>
      </c>
      <c r="I2119" s="5" t="str">
        <f t="shared" si="253"/>
        <v>017</v>
      </c>
      <c r="J2119" s="5" t="str">
        <f t="shared" si="254"/>
        <v>2230</v>
      </c>
      <c r="K2119" s="5" t="str">
        <f t="shared" si="255"/>
        <v>000</v>
      </c>
      <c r="L2119" s="5">
        <f t="shared" si="256"/>
        <v>4</v>
      </c>
      <c r="M2119" s="5">
        <f t="shared" si="257"/>
        <v>2012</v>
      </c>
    </row>
    <row r="2120" spans="1:13" ht="17.45" customHeight="1" x14ac:dyDescent="0.25">
      <c r="A2120" s="1">
        <f>DATE(2012,4,27)</f>
        <v>41026</v>
      </c>
      <c r="B2120" t="s">
        <v>15</v>
      </c>
      <c r="C2120" t="s">
        <v>6</v>
      </c>
      <c r="D2120" s="3">
        <v>11041.824900000001</v>
      </c>
      <c r="E2120" s="3">
        <v>0</v>
      </c>
      <c r="F2120" t="s">
        <v>45</v>
      </c>
      <c r="G2120" s="3">
        <f t="shared" si="251"/>
        <v>-11041.824900000001</v>
      </c>
      <c r="H2120" s="3">
        <f t="shared" si="252"/>
        <v>11041.824900000001</v>
      </c>
      <c r="I2120" s="5" t="str">
        <f t="shared" si="253"/>
        <v>017</v>
      </c>
      <c r="J2120" s="5" t="str">
        <f t="shared" si="254"/>
        <v>2100</v>
      </c>
      <c r="K2120" s="5" t="str">
        <f t="shared" si="255"/>
        <v>000</v>
      </c>
      <c r="L2120" s="5">
        <f t="shared" si="256"/>
        <v>4</v>
      </c>
      <c r="M2120" s="5">
        <f t="shared" si="257"/>
        <v>2012</v>
      </c>
    </row>
    <row r="2121" spans="1:13" ht="17.45" customHeight="1" x14ac:dyDescent="0.25">
      <c r="A2121" s="1">
        <f>DATE(2012,4,27)</f>
        <v>41026</v>
      </c>
      <c r="B2121" t="s">
        <v>16</v>
      </c>
      <c r="C2121" t="s">
        <v>8</v>
      </c>
      <c r="D2121" s="3">
        <v>2710.6624999999999</v>
      </c>
      <c r="E2121" s="3">
        <v>0</v>
      </c>
      <c r="F2121" t="s">
        <v>45</v>
      </c>
      <c r="G2121" s="3">
        <f t="shared" si="251"/>
        <v>-2710.6624999999999</v>
      </c>
      <c r="H2121" s="3">
        <f t="shared" si="252"/>
        <v>2710.6624999999999</v>
      </c>
      <c r="I2121" s="5" t="str">
        <f t="shared" si="253"/>
        <v>017</v>
      </c>
      <c r="J2121" s="5" t="str">
        <f t="shared" si="254"/>
        <v>2210</v>
      </c>
      <c r="K2121" s="5" t="str">
        <f t="shared" si="255"/>
        <v>000</v>
      </c>
      <c r="L2121" s="5">
        <f t="shared" si="256"/>
        <v>4</v>
      </c>
      <c r="M2121" s="5">
        <f t="shared" si="257"/>
        <v>2012</v>
      </c>
    </row>
    <row r="2122" spans="1:13" ht="17.45" customHeight="1" x14ac:dyDescent="0.25">
      <c r="A2122" s="1">
        <f>DATE(2012,4,27)</f>
        <v>41026</v>
      </c>
      <c r="B2122" t="s">
        <v>17</v>
      </c>
      <c r="C2122" t="s">
        <v>9</v>
      </c>
      <c r="D2122" s="3">
        <v>507.29999999999995</v>
      </c>
      <c r="E2122" s="3">
        <v>0</v>
      </c>
      <c r="F2122" t="s">
        <v>45</v>
      </c>
      <c r="G2122" s="3">
        <f t="shared" si="251"/>
        <v>-507.29999999999995</v>
      </c>
      <c r="H2122" s="3">
        <f t="shared" si="252"/>
        <v>507.29999999999995</v>
      </c>
      <c r="I2122" s="5" t="str">
        <f t="shared" si="253"/>
        <v>017</v>
      </c>
      <c r="J2122" s="5" t="str">
        <f t="shared" si="254"/>
        <v>2220</v>
      </c>
      <c r="K2122" s="5" t="str">
        <f t="shared" si="255"/>
        <v>000</v>
      </c>
      <c r="L2122" s="5">
        <f t="shared" si="256"/>
        <v>4</v>
      </c>
      <c r="M2122" s="5">
        <f t="shared" si="257"/>
        <v>2012</v>
      </c>
    </row>
    <row r="2123" spans="1:13" ht="17.45" customHeight="1" x14ac:dyDescent="0.25">
      <c r="A2123" s="1">
        <f>DATE(2012,4,27)</f>
        <v>41026</v>
      </c>
      <c r="B2123" t="s">
        <v>18</v>
      </c>
      <c r="C2123" t="s">
        <v>10</v>
      </c>
      <c r="D2123" s="3">
        <v>49.707499999999996</v>
      </c>
      <c r="E2123" s="3">
        <v>0</v>
      </c>
      <c r="F2123" t="s">
        <v>45</v>
      </c>
      <c r="G2123" s="3">
        <f t="shared" si="251"/>
        <v>-49.707499999999996</v>
      </c>
      <c r="H2123" s="3">
        <f t="shared" si="252"/>
        <v>49.707499999999996</v>
      </c>
      <c r="I2123" s="5" t="str">
        <f t="shared" si="253"/>
        <v>017</v>
      </c>
      <c r="J2123" s="5" t="str">
        <f t="shared" si="254"/>
        <v>2230</v>
      </c>
      <c r="K2123" s="5" t="str">
        <f t="shared" si="255"/>
        <v>000</v>
      </c>
      <c r="L2123" s="5">
        <f t="shared" si="256"/>
        <v>4</v>
      </c>
      <c r="M2123" s="5">
        <f t="shared" si="257"/>
        <v>2012</v>
      </c>
    </row>
    <row r="2124" spans="1:13" ht="17.45" customHeight="1" x14ac:dyDescent="0.25">
      <c r="A2124" s="1">
        <f t="shared" ref="A2124:A2127" si="258">DATE(2012,4,28)</f>
        <v>41027</v>
      </c>
      <c r="B2124" t="s">
        <v>15</v>
      </c>
      <c r="C2124" t="s">
        <v>6</v>
      </c>
      <c r="D2124" s="3">
        <v>5808.1688999999997</v>
      </c>
      <c r="E2124" s="3">
        <v>0</v>
      </c>
      <c r="F2124" t="s">
        <v>45</v>
      </c>
      <c r="G2124" s="3">
        <f t="shared" si="251"/>
        <v>-5808.1688999999997</v>
      </c>
      <c r="H2124" s="3">
        <f t="shared" si="252"/>
        <v>5808.1688999999997</v>
      </c>
      <c r="I2124" s="5" t="str">
        <f t="shared" si="253"/>
        <v>017</v>
      </c>
      <c r="J2124" s="5" t="str">
        <f t="shared" si="254"/>
        <v>2100</v>
      </c>
      <c r="K2124" s="5" t="str">
        <f t="shared" si="255"/>
        <v>000</v>
      </c>
      <c r="L2124" s="5">
        <f t="shared" si="256"/>
        <v>4</v>
      </c>
      <c r="M2124" s="5">
        <f t="shared" si="257"/>
        <v>2012</v>
      </c>
    </row>
    <row r="2125" spans="1:13" ht="17.45" customHeight="1" x14ac:dyDescent="0.25">
      <c r="A2125" s="1">
        <f t="shared" si="258"/>
        <v>41027</v>
      </c>
      <c r="B2125" t="s">
        <v>16</v>
      </c>
      <c r="C2125" t="s">
        <v>8</v>
      </c>
      <c r="D2125" s="3">
        <v>2232.9829999999997</v>
      </c>
      <c r="E2125" s="3">
        <v>0</v>
      </c>
      <c r="F2125" t="s">
        <v>45</v>
      </c>
      <c r="G2125" s="3">
        <f t="shared" si="251"/>
        <v>-2232.9829999999997</v>
      </c>
      <c r="H2125" s="3">
        <f t="shared" si="252"/>
        <v>2232.9829999999997</v>
      </c>
      <c r="I2125" s="5" t="str">
        <f t="shared" si="253"/>
        <v>017</v>
      </c>
      <c r="J2125" s="5" t="str">
        <f t="shared" si="254"/>
        <v>2210</v>
      </c>
      <c r="K2125" s="5" t="str">
        <f t="shared" si="255"/>
        <v>000</v>
      </c>
      <c r="L2125" s="5">
        <f t="shared" si="256"/>
        <v>4</v>
      </c>
      <c r="M2125" s="5">
        <f t="shared" si="257"/>
        <v>2012</v>
      </c>
    </row>
    <row r="2126" spans="1:13" ht="17.45" customHeight="1" x14ac:dyDescent="0.25">
      <c r="A2126" s="1">
        <f t="shared" si="258"/>
        <v>41027</v>
      </c>
      <c r="B2126" t="s">
        <v>17</v>
      </c>
      <c r="C2126" t="s">
        <v>9</v>
      </c>
      <c r="D2126" s="3">
        <v>437.34250000000003</v>
      </c>
      <c r="E2126" s="3">
        <v>0</v>
      </c>
      <c r="F2126" t="s">
        <v>45</v>
      </c>
      <c r="G2126" s="3">
        <f t="shared" si="251"/>
        <v>-437.34250000000003</v>
      </c>
      <c r="H2126" s="3">
        <f t="shared" si="252"/>
        <v>437.34250000000003</v>
      </c>
      <c r="I2126" s="5" t="str">
        <f t="shared" si="253"/>
        <v>017</v>
      </c>
      <c r="J2126" s="5" t="str">
        <f t="shared" si="254"/>
        <v>2220</v>
      </c>
      <c r="K2126" s="5" t="str">
        <f t="shared" si="255"/>
        <v>000</v>
      </c>
      <c r="L2126" s="5">
        <f t="shared" si="256"/>
        <v>4</v>
      </c>
      <c r="M2126" s="5">
        <f t="shared" si="257"/>
        <v>2012</v>
      </c>
    </row>
    <row r="2127" spans="1:13" ht="17.45" customHeight="1" x14ac:dyDescent="0.25">
      <c r="A2127" s="1">
        <f t="shared" si="258"/>
        <v>41027</v>
      </c>
      <c r="B2127" t="s">
        <v>18</v>
      </c>
      <c r="C2127" t="s">
        <v>10</v>
      </c>
      <c r="D2127" s="3">
        <v>166.86750000000001</v>
      </c>
      <c r="E2127" s="3">
        <v>0</v>
      </c>
      <c r="F2127" t="s">
        <v>45</v>
      </c>
      <c r="G2127" s="3">
        <f t="shared" si="251"/>
        <v>-166.86750000000001</v>
      </c>
      <c r="H2127" s="3">
        <f t="shared" si="252"/>
        <v>166.86750000000001</v>
      </c>
      <c r="I2127" s="5" t="str">
        <f t="shared" si="253"/>
        <v>017</v>
      </c>
      <c r="J2127" s="5" t="str">
        <f t="shared" si="254"/>
        <v>2230</v>
      </c>
      <c r="K2127" s="5" t="str">
        <f t="shared" si="255"/>
        <v>000</v>
      </c>
      <c r="L2127" s="5">
        <f t="shared" si="256"/>
        <v>4</v>
      </c>
      <c r="M2127" s="5">
        <f t="shared" si="257"/>
        <v>2012</v>
      </c>
    </row>
    <row r="2128" spans="1:13" ht="17.45" customHeight="1" x14ac:dyDescent="0.25">
      <c r="A2128" s="1">
        <f>DATE(2012,4,29)</f>
        <v>41028</v>
      </c>
      <c r="B2128" t="s">
        <v>15</v>
      </c>
      <c r="C2128" t="s">
        <v>6</v>
      </c>
      <c r="D2128" s="3">
        <v>5243.2716</v>
      </c>
      <c r="E2128" s="3">
        <v>0</v>
      </c>
      <c r="F2128" t="s">
        <v>45</v>
      </c>
      <c r="G2128" s="3">
        <f t="shared" si="251"/>
        <v>-5243.2716</v>
      </c>
      <c r="H2128" s="3">
        <f t="shared" si="252"/>
        <v>5243.2716</v>
      </c>
      <c r="I2128" s="5" t="str">
        <f t="shared" si="253"/>
        <v>017</v>
      </c>
      <c r="J2128" s="5" t="str">
        <f t="shared" si="254"/>
        <v>2100</v>
      </c>
      <c r="K2128" s="5" t="str">
        <f t="shared" si="255"/>
        <v>000</v>
      </c>
      <c r="L2128" s="5">
        <f t="shared" si="256"/>
        <v>4</v>
      </c>
      <c r="M2128" s="5">
        <f t="shared" si="257"/>
        <v>2012</v>
      </c>
    </row>
    <row r="2129" spans="1:13" ht="17.45" customHeight="1" x14ac:dyDescent="0.25">
      <c r="A2129" s="1">
        <f>DATE(2012,4,29)</f>
        <v>41028</v>
      </c>
      <c r="B2129" t="s">
        <v>16</v>
      </c>
      <c r="C2129" t="s">
        <v>8</v>
      </c>
      <c r="D2129" s="3">
        <v>872.45950000000005</v>
      </c>
      <c r="E2129" s="3">
        <v>0</v>
      </c>
      <c r="F2129" t="s">
        <v>45</v>
      </c>
      <c r="G2129" s="3">
        <f t="shared" si="251"/>
        <v>-872.45950000000005</v>
      </c>
      <c r="H2129" s="3">
        <f t="shared" si="252"/>
        <v>872.45950000000005</v>
      </c>
      <c r="I2129" s="5" t="str">
        <f t="shared" si="253"/>
        <v>017</v>
      </c>
      <c r="J2129" s="5" t="str">
        <f t="shared" si="254"/>
        <v>2210</v>
      </c>
      <c r="K2129" s="5" t="str">
        <f t="shared" si="255"/>
        <v>000</v>
      </c>
      <c r="L2129" s="5">
        <f t="shared" si="256"/>
        <v>4</v>
      </c>
      <c r="M2129" s="5">
        <f t="shared" si="257"/>
        <v>2012</v>
      </c>
    </row>
    <row r="2130" spans="1:13" ht="17.45" customHeight="1" x14ac:dyDescent="0.25">
      <c r="A2130" s="1">
        <f>DATE(2012,4,29)</f>
        <v>41028</v>
      </c>
      <c r="B2130" t="s">
        <v>17</v>
      </c>
      <c r="C2130" t="s">
        <v>9</v>
      </c>
      <c r="D2130" s="3">
        <v>232.715</v>
      </c>
      <c r="E2130" s="3">
        <v>0</v>
      </c>
      <c r="F2130" t="s">
        <v>45</v>
      </c>
      <c r="G2130" s="3">
        <f t="shared" si="251"/>
        <v>-232.715</v>
      </c>
      <c r="H2130" s="3">
        <f t="shared" si="252"/>
        <v>232.715</v>
      </c>
      <c r="I2130" s="5" t="str">
        <f t="shared" si="253"/>
        <v>017</v>
      </c>
      <c r="J2130" s="5" t="str">
        <f t="shared" si="254"/>
        <v>2220</v>
      </c>
      <c r="K2130" s="5" t="str">
        <f t="shared" si="255"/>
        <v>000</v>
      </c>
      <c r="L2130" s="5">
        <f t="shared" si="256"/>
        <v>4</v>
      </c>
      <c r="M2130" s="5">
        <f t="shared" si="257"/>
        <v>2012</v>
      </c>
    </row>
    <row r="2131" spans="1:13" ht="17.45" customHeight="1" x14ac:dyDescent="0.25">
      <c r="A2131" s="1">
        <f>DATE(2012,4,29)</f>
        <v>41028</v>
      </c>
      <c r="B2131" t="s">
        <v>18</v>
      </c>
      <c r="C2131" t="s">
        <v>10</v>
      </c>
      <c r="D2131" s="3">
        <v>50.372999999999998</v>
      </c>
      <c r="E2131" s="3">
        <v>0</v>
      </c>
      <c r="F2131" t="s">
        <v>45</v>
      </c>
      <c r="G2131" s="3">
        <f t="shared" si="251"/>
        <v>-50.372999999999998</v>
      </c>
      <c r="H2131" s="3">
        <f t="shared" si="252"/>
        <v>50.372999999999998</v>
      </c>
      <c r="I2131" s="5" t="str">
        <f t="shared" si="253"/>
        <v>017</v>
      </c>
      <c r="J2131" s="5" t="str">
        <f t="shared" si="254"/>
        <v>2230</v>
      </c>
      <c r="K2131" s="5" t="str">
        <f t="shared" si="255"/>
        <v>000</v>
      </c>
      <c r="L2131" s="5">
        <f t="shared" si="256"/>
        <v>4</v>
      </c>
      <c r="M2131" s="5">
        <f t="shared" si="257"/>
        <v>2012</v>
      </c>
    </row>
    <row r="2132" spans="1:13" ht="17.45" customHeight="1" x14ac:dyDescent="0.25">
      <c r="A2132" s="1">
        <f>DATE(2012,4,23)</f>
        <v>41022</v>
      </c>
      <c r="B2132" t="s">
        <v>19</v>
      </c>
      <c r="C2132" t="s">
        <v>6</v>
      </c>
      <c r="D2132" s="3">
        <v>3263.3579999999997</v>
      </c>
      <c r="E2132" s="3">
        <v>0</v>
      </c>
      <c r="F2132" t="s">
        <v>45</v>
      </c>
      <c r="G2132" s="3">
        <f t="shared" si="251"/>
        <v>-3263.3579999999997</v>
      </c>
      <c r="H2132" s="3">
        <f t="shared" si="252"/>
        <v>3263.3579999999997</v>
      </c>
      <c r="I2132" s="5" t="str">
        <f t="shared" si="253"/>
        <v>018</v>
      </c>
      <c r="J2132" s="5" t="str">
        <f t="shared" si="254"/>
        <v>2100</v>
      </c>
      <c r="K2132" s="5" t="str">
        <f t="shared" si="255"/>
        <v>000</v>
      </c>
      <c r="L2132" s="5">
        <f t="shared" si="256"/>
        <v>4</v>
      </c>
      <c r="M2132" s="5">
        <f t="shared" si="257"/>
        <v>2012</v>
      </c>
    </row>
    <row r="2133" spans="1:13" ht="17.45" customHeight="1" x14ac:dyDescent="0.25">
      <c r="A2133" s="1">
        <f>DATE(2012,4,23)</f>
        <v>41022</v>
      </c>
      <c r="B2133" t="s">
        <v>20</v>
      </c>
      <c r="C2133" t="s">
        <v>8</v>
      </c>
      <c r="D2133" s="3">
        <v>873.40150000000006</v>
      </c>
      <c r="E2133" s="3">
        <v>0</v>
      </c>
      <c r="F2133" t="s">
        <v>45</v>
      </c>
      <c r="G2133" s="3">
        <f t="shared" si="251"/>
        <v>-873.40150000000006</v>
      </c>
      <c r="H2133" s="3">
        <f t="shared" si="252"/>
        <v>873.40150000000006</v>
      </c>
      <c r="I2133" s="5" t="str">
        <f t="shared" si="253"/>
        <v>018</v>
      </c>
      <c r="J2133" s="5" t="str">
        <f t="shared" si="254"/>
        <v>2210</v>
      </c>
      <c r="K2133" s="5" t="str">
        <f t="shared" si="255"/>
        <v>000</v>
      </c>
      <c r="L2133" s="5">
        <f t="shared" si="256"/>
        <v>4</v>
      </c>
      <c r="M2133" s="5">
        <f t="shared" si="257"/>
        <v>2012</v>
      </c>
    </row>
    <row r="2134" spans="1:13" ht="17.45" customHeight="1" x14ac:dyDescent="0.25">
      <c r="A2134" s="1">
        <f>DATE(2012,4,23)</f>
        <v>41022</v>
      </c>
      <c r="B2134" t="s">
        <v>21</v>
      </c>
      <c r="C2134" t="s">
        <v>9</v>
      </c>
      <c r="D2134" s="3">
        <v>116.71050000000001</v>
      </c>
      <c r="E2134" s="3">
        <v>0</v>
      </c>
      <c r="F2134" t="s">
        <v>45</v>
      </c>
      <c r="G2134" s="3">
        <f t="shared" si="251"/>
        <v>-116.71050000000001</v>
      </c>
      <c r="H2134" s="3">
        <f t="shared" si="252"/>
        <v>116.71050000000001</v>
      </c>
      <c r="I2134" s="5" t="str">
        <f t="shared" si="253"/>
        <v>018</v>
      </c>
      <c r="J2134" s="5" t="str">
        <f t="shared" si="254"/>
        <v>2220</v>
      </c>
      <c r="K2134" s="5" t="str">
        <f t="shared" si="255"/>
        <v>000</v>
      </c>
      <c r="L2134" s="5">
        <f t="shared" si="256"/>
        <v>4</v>
      </c>
      <c r="M2134" s="5">
        <f t="shared" si="257"/>
        <v>2012</v>
      </c>
    </row>
    <row r="2135" spans="1:13" ht="17.45" customHeight="1" x14ac:dyDescent="0.25">
      <c r="A2135" s="1">
        <f>DATE(2012,4,23)</f>
        <v>41022</v>
      </c>
      <c r="B2135" t="s">
        <v>22</v>
      </c>
      <c r="C2135" t="s">
        <v>10</v>
      </c>
      <c r="D2135" s="3">
        <v>9.6480000000000015</v>
      </c>
      <c r="E2135" s="3">
        <v>0</v>
      </c>
      <c r="F2135" t="s">
        <v>45</v>
      </c>
      <c r="G2135" s="3">
        <f t="shared" si="251"/>
        <v>-9.6480000000000015</v>
      </c>
      <c r="H2135" s="3">
        <f t="shared" si="252"/>
        <v>9.6480000000000015</v>
      </c>
      <c r="I2135" s="5" t="str">
        <f t="shared" si="253"/>
        <v>018</v>
      </c>
      <c r="J2135" s="5" t="str">
        <f t="shared" si="254"/>
        <v>2230</v>
      </c>
      <c r="K2135" s="5" t="str">
        <f t="shared" si="255"/>
        <v>000</v>
      </c>
      <c r="L2135" s="5">
        <f t="shared" si="256"/>
        <v>4</v>
      </c>
      <c r="M2135" s="5">
        <f t="shared" si="257"/>
        <v>2012</v>
      </c>
    </row>
    <row r="2136" spans="1:13" ht="17.45" customHeight="1" x14ac:dyDescent="0.25">
      <c r="A2136" s="1">
        <f>DATE(2012,4,24)</f>
        <v>41023</v>
      </c>
      <c r="B2136" t="s">
        <v>19</v>
      </c>
      <c r="C2136" t="s">
        <v>6</v>
      </c>
      <c r="D2136" s="3">
        <v>3032.82</v>
      </c>
      <c r="E2136" s="3">
        <v>0</v>
      </c>
      <c r="F2136" t="s">
        <v>45</v>
      </c>
      <c r="G2136" s="3">
        <f t="shared" si="251"/>
        <v>-3032.82</v>
      </c>
      <c r="H2136" s="3">
        <f t="shared" si="252"/>
        <v>3032.82</v>
      </c>
      <c r="I2136" s="5" t="str">
        <f t="shared" si="253"/>
        <v>018</v>
      </c>
      <c r="J2136" s="5" t="str">
        <f t="shared" si="254"/>
        <v>2100</v>
      </c>
      <c r="K2136" s="5" t="str">
        <f t="shared" si="255"/>
        <v>000</v>
      </c>
      <c r="L2136" s="5">
        <f t="shared" si="256"/>
        <v>4</v>
      </c>
      <c r="M2136" s="5">
        <f t="shared" si="257"/>
        <v>2012</v>
      </c>
    </row>
    <row r="2137" spans="1:13" ht="17.45" customHeight="1" x14ac:dyDescent="0.25">
      <c r="A2137" s="1">
        <f>DATE(2012,4,24)</f>
        <v>41023</v>
      </c>
      <c r="B2137" t="s">
        <v>20</v>
      </c>
      <c r="C2137" t="s">
        <v>8</v>
      </c>
      <c r="D2137" s="3">
        <v>1028.1479999999999</v>
      </c>
      <c r="E2137" s="3">
        <v>0</v>
      </c>
      <c r="F2137" t="s">
        <v>45</v>
      </c>
      <c r="G2137" s="3">
        <f t="shared" si="251"/>
        <v>-1028.1479999999999</v>
      </c>
      <c r="H2137" s="3">
        <f t="shared" si="252"/>
        <v>1028.1479999999999</v>
      </c>
      <c r="I2137" s="5" t="str">
        <f t="shared" si="253"/>
        <v>018</v>
      </c>
      <c r="J2137" s="5" t="str">
        <f t="shared" si="254"/>
        <v>2210</v>
      </c>
      <c r="K2137" s="5" t="str">
        <f t="shared" si="255"/>
        <v>000</v>
      </c>
      <c r="L2137" s="5">
        <f t="shared" si="256"/>
        <v>4</v>
      </c>
      <c r="M2137" s="5">
        <f t="shared" si="257"/>
        <v>2012</v>
      </c>
    </row>
    <row r="2138" spans="1:13" ht="17.45" customHeight="1" x14ac:dyDescent="0.25">
      <c r="A2138" s="1">
        <f>DATE(2012,4,24)</f>
        <v>41023</v>
      </c>
      <c r="B2138" t="s">
        <v>21</v>
      </c>
      <c r="C2138" t="s">
        <v>9</v>
      </c>
      <c r="D2138" s="3">
        <v>170.51000000000002</v>
      </c>
      <c r="E2138" s="3">
        <v>0</v>
      </c>
      <c r="F2138" t="s">
        <v>45</v>
      </c>
      <c r="G2138" s="3">
        <f t="shared" si="251"/>
        <v>-170.51000000000002</v>
      </c>
      <c r="H2138" s="3">
        <f t="shared" si="252"/>
        <v>170.51000000000002</v>
      </c>
      <c r="I2138" s="5" t="str">
        <f t="shared" si="253"/>
        <v>018</v>
      </c>
      <c r="J2138" s="5" t="str">
        <f t="shared" si="254"/>
        <v>2220</v>
      </c>
      <c r="K2138" s="5" t="str">
        <f t="shared" si="255"/>
        <v>000</v>
      </c>
      <c r="L2138" s="5">
        <f t="shared" si="256"/>
        <v>4</v>
      </c>
      <c r="M2138" s="5">
        <f t="shared" si="257"/>
        <v>2012</v>
      </c>
    </row>
    <row r="2139" spans="1:13" ht="17.45" customHeight="1" x14ac:dyDescent="0.25">
      <c r="A2139" s="1">
        <f>DATE(2012,4,24)</f>
        <v>41023</v>
      </c>
      <c r="B2139" t="s">
        <v>22</v>
      </c>
      <c r="C2139" t="s">
        <v>10</v>
      </c>
      <c r="D2139" s="3">
        <v>38.376000000000005</v>
      </c>
      <c r="E2139" s="3">
        <v>0</v>
      </c>
      <c r="F2139" t="s">
        <v>45</v>
      </c>
      <c r="G2139" s="3">
        <f t="shared" si="251"/>
        <v>-38.376000000000005</v>
      </c>
      <c r="H2139" s="3">
        <f t="shared" si="252"/>
        <v>38.376000000000005</v>
      </c>
      <c r="I2139" s="5" t="str">
        <f t="shared" si="253"/>
        <v>018</v>
      </c>
      <c r="J2139" s="5" t="str">
        <f t="shared" si="254"/>
        <v>2230</v>
      </c>
      <c r="K2139" s="5" t="str">
        <f t="shared" si="255"/>
        <v>000</v>
      </c>
      <c r="L2139" s="5">
        <f t="shared" si="256"/>
        <v>4</v>
      </c>
      <c r="M2139" s="5">
        <f t="shared" si="257"/>
        <v>2012</v>
      </c>
    </row>
    <row r="2140" spans="1:13" ht="17.45" customHeight="1" x14ac:dyDescent="0.25">
      <c r="A2140" s="1">
        <f>DATE(2012,4,25)</f>
        <v>41024</v>
      </c>
      <c r="B2140" t="s">
        <v>19</v>
      </c>
      <c r="C2140" t="s">
        <v>6</v>
      </c>
      <c r="D2140" s="3">
        <v>3505.0070000000001</v>
      </c>
      <c r="E2140" s="3">
        <v>0</v>
      </c>
      <c r="F2140" t="s">
        <v>45</v>
      </c>
      <c r="G2140" s="3">
        <f t="shared" si="251"/>
        <v>-3505.0070000000001</v>
      </c>
      <c r="H2140" s="3">
        <f t="shared" si="252"/>
        <v>3505.0070000000001</v>
      </c>
      <c r="I2140" s="5" t="str">
        <f t="shared" si="253"/>
        <v>018</v>
      </c>
      <c r="J2140" s="5" t="str">
        <f t="shared" si="254"/>
        <v>2100</v>
      </c>
      <c r="K2140" s="5" t="str">
        <f t="shared" si="255"/>
        <v>000</v>
      </c>
      <c r="L2140" s="5">
        <f t="shared" si="256"/>
        <v>4</v>
      </c>
      <c r="M2140" s="5">
        <f t="shared" si="257"/>
        <v>2012</v>
      </c>
    </row>
    <row r="2141" spans="1:13" ht="17.45" customHeight="1" x14ac:dyDescent="0.25">
      <c r="A2141" s="1">
        <f>DATE(2012,4,25)</f>
        <v>41024</v>
      </c>
      <c r="B2141" t="s">
        <v>20</v>
      </c>
      <c r="C2141" t="s">
        <v>8</v>
      </c>
      <c r="D2141" s="3">
        <v>871.33050000000003</v>
      </c>
      <c r="E2141" s="3">
        <v>0</v>
      </c>
      <c r="F2141" t="s">
        <v>45</v>
      </c>
      <c r="G2141" s="3">
        <f t="shared" si="251"/>
        <v>-871.33050000000003</v>
      </c>
      <c r="H2141" s="3">
        <f t="shared" si="252"/>
        <v>871.33050000000003</v>
      </c>
      <c r="I2141" s="5" t="str">
        <f t="shared" si="253"/>
        <v>018</v>
      </c>
      <c r="J2141" s="5" t="str">
        <f t="shared" si="254"/>
        <v>2210</v>
      </c>
      <c r="K2141" s="5" t="str">
        <f t="shared" si="255"/>
        <v>000</v>
      </c>
      <c r="L2141" s="5">
        <f t="shared" si="256"/>
        <v>4</v>
      </c>
      <c r="M2141" s="5">
        <f t="shared" si="257"/>
        <v>2012</v>
      </c>
    </row>
    <row r="2142" spans="1:13" ht="17.45" customHeight="1" x14ac:dyDescent="0.25">
      <c r="A2142" s="1">
        <f>DATE(2012,4,25)</f>
        <v>41024</v>
      </c>
      <c r="B2142" t="s">
        <v>21</v>
      </c>
      <c r="C2142" t="s">
        <v>9</v>
      </c>
      <c r="D2142" s="3">
        <v>260.60000000000002</v>
      </c>
      <c r="E2142" s="3">
        <v>0</v>
      </c>
      <c r="F2142" t="s">
        <v>45</v>
      </c>
      <c r="G2142" s="3">
        <f t="shared" si="251"/>
        <v>-260.60000000000002</v>
      </c>
      <c r="H2142" s="3">
        <f t="shared" si="252"/>
        <v>260.60000000000002</v>
      </c>
      <c r="I2142" s="5" t="str">
        <f t="shared" si="253"/>
        <v>018</v>
      </c>
      <c r="J2142" s="5" t="str">
        <f t="shared" si="254"/>
        <v>2220</v>
      </c>
      <c r="K2142" s="5" t="str">
        <f t="shared" si="255"/>
        <v>000</v>
      </c>
      <c r="L2142" s="5">
        <f t="shared" si="256"/>
        <v>4</v>
      </c>
      <c r="M2142" s="5">
        <f t="shared" si="257"/>
        <v>2012</v>
      </c>
    </row>
    <row r="2143" spans="1:13" ht="17.45" customHeight="1" x14ac:dyDescent="0.25">
      <c r="A2143" s="1">
        <f>DATE(2012,4,25)</f>
        <v>41024</v>
      </c>
      <c r="B2143" t="s">
        <v>22</v>
      </c>
      <c r="C2143" t="s">
        <v>10</v>
      </c>
      <c r="D2143" s="3">
        <v>49.848000000000006</v>
      </c>
      <c r="E2143" s="3">
        <v>0</v>
      </c>
      <c r="F2143" t="s">
        <v>45</v>
      </c>
      <c r="G2143" s="3">
        <f t="shared" si="251"/>
        <v>-49.848000000000006</v>
      </c>
      <c r="H2143" s="3">
        <f t="shared" si="252"/>
        <v>49.848000000000006</v>
      </c>
      <c r="I2143" s="5" t="str">
        <f t="shared" si="253"/>
        <v>018</v>
      </c>
      <c r="J2143" s="5" t="str">
        <f t="shared" si="254"/>
        <v>2230</v>
      </c>
      <c r="K2143" s="5" t="str">
        <f t="shared" si="255"/>
        <v>000</v>
      </c>
      <c r="L2143" s="5">
        <f t="shared" si="256"/>
        <v>4</v>
      </c>
      <c r="M2143" s="5">
        <f t="shared" si="257"/>
        <v>2012</v>
      </c>
    </row>
    <row r="2144" spans="1:13" ht="17.45" customHeight="1" x14ac:dyDescent="0.25">
      <c r="A2144" s="1">
        <f>DATE(2012,4,26)</f>
        <v>41025</v>
      </c>
      <c r="B2144" t="s">
        <v>19</v>
      </c>
      <c r="C2144" t="s">
        <v>6</v>
      </c>
      <c r="D2144" s="3">
        <v>3215.1587999999997</v>
      </c>
      <c r="E2144" s="3">
        <v>0</v>
      </c>
      <c r="F2144" t="s">
        <v>45</v>
      </c>
      <c r="G2144" s="3">
        <f t="shared" si="251"/>
        <v>-3215.1587999999997</v>
      </c>
      <c r="H2144" s="3">
        <f t="shared" si="252"/>
        <v>3215.1587999999997</v>
      </c>
      <c r="I2144" s="5" t="str">
        <f t="shared" si="253"/>
        <v>018</v>
      </c>
      <c r="J2144" s="5" t="str">
        <f t="shared" si="254"/>
        <v>2100</v>
      </c>
      <c r="K2144" s="5" t="str">
        <f t="shared" si="255"/>
        <v>000</v>
      </c>
      <c r="L2144" s="5">
        <f t="shared" si="256"/>
        <v>4</v>
      </c>
      <c r="M2144" s="5">
        <f t="shared" si="257"/>
        <v>2012</v>
      </c>
    </row>
    <row r="2145" spans="1:13" ht="17.45" customHeight="1" x14ac:dyDescent="0.25">
      <c r="A2145" s="1">
        <f>DATE(2012,4,26)</f>
        <v>41025</v>
      </c>
      <c r="B2145" t="s">
        <v>20</v>
      </c>
      <c r="C2145" t="s">
        <v>8</v>
      </c>
      <c r="D2145" s="3">
        <v>653.50799999999992</v>
      </c>
      <c r="E2145" s="3">
        <v>0</v>
      </c>
      <c r="F2145" t="s">
        <v>45</v>
      </c>
      <c r="G2145" s="3">
        <f t="shared" si="251"/>
        <v>-653.50799999999992</v>
      </c>
      <c r="H2145" s="3">
        <f t="shared" si="252"/>
        <v>653.50799999999992</v>
      </c>
      <c r="I2145" s="5" t="str">
        <f t="shared" si="253"/>
        <v>018</v>
      </c>
      <c r="J2145" s="5" t="str">
        <f t="shared" si="254"/>
        <v>2210</v>
      </c>
      <c r="K2145" s="5" t="str">
        <f t="shared" si="255"/>
        <v>000</v>
      </c>
      <c r="L2145" s="5">
        <f t="shared" si="256"/>
        <v>4</v>
      </c>
      <c r="M2145" s="5">
        <f t="shared" si="257"/>
        <v>2012</v>
      </c>
    </row>
    <row r="2146" spans="1:13" ht="17.45" customHeight="1" x14ac:dyDescent="0.25">
      <c r="A2146" s="1">
        <f>DATE(2012,4,26)</f>
        <v>41025</v>
      </c>
      <c r="B2146" t="s">
        <v>21</v>
      </c>
      <c r="C2146" t="s">
        <v>9</v>
      </c>
      <c r="D2146" s="3">
        <v>178.97750000000002</v>
      </c>
      <c r="E2146" s="3">
        <v>0</v>
      </c>
      <c r="F2146" t="s">
        <v>45</v>
      </c>
      <c r="G2146" s="3">
        <f t="shared" si="251"/>
        <v>-178.97750000000002</v>
      </c>
      <c r="H2146" s="3">
        <f t="shared" si="252"/>
        <v>178.97750000000002</v>
      </c>
      <c r="I2146" s="5" t="str">
        <f t="shared" si="253"/>
        <v>018</v>
      </c>
      <c r="J2146" s="5" t="str">
        <f t="shared" si="254"/>
        <v>2220</v>
      </c>
      <c r="K2146" s="5" t="str">
        <f t="shared" si="255"/>
        <v>000</v>
      </c>
      <c r="L2146" s="5">
        <f t="shared" si="256"/>
        <v>4</v>
      </c>
      <c r="M2146" s="5">
        <f t="shared" si="257"/>
        <v>2012</v>
      </c>
    </row>
    <row r="2147" spans="1:13" ht="17.45" customHeight="1" x14ac:dyDescent="0.25">
      <c r="A2147" s="1">
        <f>DATE(2012,4,26)</f>
        <v>41025</v>
      </c>
      <c r="B2147" t="s">
        <v>22</v>
      </c>
      <c r="C2147" t="s">
        <v>10</v>
      </c>
      <c r="D2147" s="3">
        <v>81.330500000000001</v>
      </c>
      <c r="E2147" s="3">
        <v>0</v>
      </c>
      <c r="F2147" t="s">
        <v>45</v>
      </c>
      <c r="G2147" s="3">
        <f t="shared" si="251"/>
        <v>-81.330500000000001</v>
      </c>
      <c r="H2147" s="3">
        <f t="shared" si="252"/>
        <v>81.330500000000001</v>
      </c>
      <c r="I2147" s="5" t="str">
        <f t="shared" si="253"/>
        <v>018</v>
      </c>
      <c r="J2147" s="5" t="str">
        <f t="shared" si="254"/>
        <v>2230</v>
      </c>
      <c r="K2147" s="5" t="str">
        <f t="shared" si="255"/>
        <v>000</v>
      </c>
      <c r="L2147" s="5">
        <f t="shared" si="256"/>
        <v>4</v>
      </c>
      <c r="M2147" s="5">
        <f t="shared" si="257"/>
        <v>2012</v>
      </c>
    </row>
    <row r="2148" spans="1:13" ht="17.45" customHeight="1" x14ac:dyDescent="0.25">
      <c r="A2148" s="1">
        <f>DATE(2012,4,27)</f>
        <v>41026</v>
      </c>
      <c r="B2148" t="s">
        <v>19</v>
      </c>
      <c r="C2148" t="s">
        <v>6</v>
      </c>
      <c r="D2148" s="3">
        <v>11297</v>
      </c>
      <c r="E2148" s="3">
        <v>0</v>
      </c>
      <c r="F2148" t="s">
        <v>45</v>
      </c>
      <c r="G2148" s="3">
        <f t="shared" si="251"/>
        <v>-11297</v>
      </c>
      <c r="H2148" s="3">
        <f t="shared" si="252"/>
        <v>11297</v>
      </c>
      <c r="I2148" s="5" t="str">
        <f t="shared" si="253"/>
        <v>018</v>
      </c>
      <c r="J2148" s="5" t="str">
        <f t="shared" si="254"/>
        <v>2100</v>
      </c>
      <c r="K2148" s="5" t="str">
        <f t="shared" si="255"/>
        <v>000</v>
      </c>
      <c r="L2148" s="5">
        <f t="shared" si="256"/>
        <v>4</v>
      </c>
      <c r="M2148" s="5">
        <f t="shared" si="257"/>
        <v>2012</v>
      </c>
    </row>
    <row r="2149" spans="1:13" ht="17.45" customHeight="1" x14ac:dyDescent="0.25">
      <c r="A2149" s="1">
        <f>DATE(2012,4,27)</f>
        <v>41026</v>
      </c>
      <c r="B2149" t="s">
        <v>20</v>
      </c>
      <c r="C2149" t="s">
        <v>8</v>
      </c>
      <c r="D2149" s="3">
        <v>3083.6079999999997</v>
      </c>
      <c r="E2149" s="3">
        <v>0</v>
      </c>
      <c r="F2149" t="s">
        <v>45</v>
      </c>
      <c r="G2149" s="3">
        <f t="shared" si="251"/>
        <v>-3083.6079999999997</v>
      </c>
      <c r="H2149" s="3">
        <f t="shared" si="252"/>
        <v>3083.6079999999997</v>
      </c>
      <c r="I2149" s="5" t="str">
        <f t="shared" si="253"/>
        <v>018</v>
      </c>
      <c r="J2149" s="5" t="str">
        <f t="shared" si="254"/>
        <v>2210</v>
      </c>
      <c r="K2149" s="5" t="str">
        <f t="shared" si="255"/>
        <v>000</v>
      </c>
      <c r="L2149" s="5">
        <f t="shared" si="256"/>
        <v>4</v>
      </c>
      <c r="M2149" s="5">
        <f t="shared" si="257"/>
        <v>2012</v>
      </c>
    </row>
    <row r="2150" spans="1:13" ht="17.45" customHeight="1" x14ac:dyDescent="0.25">
      <c r="A2150" s="1">
        <f>DATE(2012,4,27)</f>
        <v>41026</v>
      </c>
      <c r="B2150" t="s">
        <v>21</v>
      </c>
      <c r="C2150" t="s">
        <v>9</v>
      </c>
      <c r="D2150" s="3">
        <v>873.78249999999991</v>
      </c>
      <c r="E2150" s="3">
        <v>0</v>
      </c>
      <c r="F2150" t="s">
        <v>45</v>
      </c>
      <c r="G2150" s="3">
        <f t="shared" si="251"/>
        <v>-873.78249999999991</v>
      </c>
      <c r="H2150" s="3">
        <f t="shared" si="252"/>
        <v>873.78249999999991</v>
      </c>
      <c r="I2150" s="5" t="str">
        <f t="shared" si="253"/>
        <v>018</v>
      </c>
      <c r="J2150" s="5" t="str">
        <f t="shared" si="254"/>
        <v>2220</v>
      </c>
      <c r="K2150" s="5" t="str">
        <f t="shared" si="255"/>
        <v>000</v>
      </c>
      <c r="L2150" s="5">
        <f t="shared" si="256"/>
        <v>4</v>
      </c>
      <c r="M2150" s="5">
        <f t="shared" si="257"/>
        <v>2012</v>
      </c>
    </row>
    <row r="2151" spans="1:13" ht="17.45" customHeight="1" x14ac:dyDescent="0.25">
      <c r="A2151" s="1">
        <f>DATE(2012,4,27)</f>
        <v>41026</v>
      </c>
      <c r="B2151" t="s">
        <v>22</v>
      </c>
      <c r="C2151" t="s">
        <v>10</v>
      </c>
      <c r="D2151" s="3">
        <v>59.83</v>
      </c>
      <c r="E2151" s="3">
        <v>0</v>
      </c>
      <c r="F2151" t="s">
        <v>45</v>
      </c>
      <c r="G2151" s="3">
        <f t="shared" si="251"/>
        <v>-59.83</v>
      </c>
      <c r="H2151" s="3">
        <f t="shared" si="252"/>
        <v>59.83</v>
      </c>
      <c r="I2151" s="5" t="str">
        <f t="shared" si="253"/>
        <v>018</v>
      </c>
      <c r="J2151" s="5" t="str">
        <f t="shared" si="254"/>
        <v>2230</v>
      </c>
      <c r="K2151" s="5" t="str">
        <f t="shared" si="255"/>
        <v>000</v>
      </c>
      <c r="L2151" s="5">
        <f t="shared" si="256"/>
        <v>4</v>
      </c>
      <c r="M2151" s="5">
        <f t="shared" si="257"/>
        <v>2012</v>
      </c>
    </row>
    <row r="2152" spans="1:13" ht="17.45" customHeight="1" x14ac:dyDescent="0.25">
      <c r="A2152" s="1">
        <f>DATE(2012,4,28)</f>
        <v>41027</v>
      </c>
      <c r="B2152" t="s">
        <v>19</v>
      </c>
      <c r="C2152" t="s">
        <v>6</v>
      </c>
      <c r="D2152" s="3">
        <v>12021.764999999999</v>
      </c>
      <c r="E2152" s="3">
        <v>0</v>
      </c>
      <c r="F2152" t="s">
        <v>45</v>
      </c>
      <c r="G2152" s="3">
        <f t="shared" si="251"/>
        <v>-12021.764999999999</v>
      </c>
      <c r="H2152" s="3">
        <f t="shared" si="252"/>
        <v>12021.764999999999</v>
      </c>
      <c r="I2152" s="5" t="str">
        <f t="shared" si="253"/>
        <v>018</v>
      </c>
      <c r="J2152" s="5" t="str">
        <f t="shared" si="254"/>
        <v>2100</v>
      </c>
      <c r="K2152" s="5" t="str">
        <f t="shared" si="255"/>
        <v>000</v>
      </c>
      <c r="L2152" s="5">
        <f t="shared" si="256"/>
        <v>4</v>
      </c>
      <c r="M2152" s="5">
        <f t="shared" si="257"/>
        <v>2012</v>
      </c>
    </row>
    <row r="2153" spans="1:13" ht="17.45" customHeight="1" x14ac:dyDescent="0.25">
      <c r="A2153" s="1">
        <f>DATE(2012,4,28)</f>
        <v>41027</v>
      </c>
      <c r="B2153" t="s">
        <v>20</v>
      </c>
      <c r="C2153" t="s">
        <v>8</v>
      </c>
      <c r="D2153" s="3">
        <v>3232.047</v>
      </c>
      <c r="E2153" s="3">
        <v>0</v>
      </c>
      <c r="F2153" t="s">
        <v>45</v>
      </c>
      <c r="G2153" s="3">
        <f t="shared" si="251"/>
        <v>-3232.047</v>
      </c>
      <c r="H2153" s="3">
        <f t="shared" si="252"/>
        <v>3232.047</v>
      </c>
      <c r="I2153" s="5" t="str">
        <f t="shared" si="253"/>
        <v>018</v>
      </c>
      <c r="J2153" s="5" t="str">
        <f t="shared" si="254"/>
        <v>2210</v>
      </c>
      <c r="K2153" s="5" t="str">
        <f t="shared" si="255"/>
        <v>000</v>
      </c>
      <c r="L2153" s="5">
        <f t="shared" si="256"/>
        <v>4</v>
      </c>
      <c r="M2153" s="5">
        <f t="shared" si="257"/>
        <v>2012</v>
      </c>
    </row>
    <row r="2154" spans="1:13" ht="17.45" customHeight="1" x14ac:dyDescent="0.25">
      <c r="A2154" s="1">
        <f>DATE(2012,4,28)</f>
        <v>41027</v>
      </c>
      <c r="B2154" t="s">
        <v>21</v>
      </c>
      <c r="C2154" t="s">
        <v>9</v>
      </c>
      <c r="D2154" s="3">
        <v>579.82500000000005</v>
      </c>
      <c r="E2154" s="3">
        <v>0</v>
      </c>
      <c r="F2154" t="s">
        <v>45</v>
      </c>
      <c r="G2154" s="3">
        <f t="shared" si="251"/>
        <v>-579.82500000000005</v>
      </c>
      <c r="H2154" s="3">
        <f t="shared" si="252"/>
        <v>579.82500000000005</v>
      </c>
      <c r="I2154" s="5" t="str">
        <f t="shared" si="253"/>
        <v>018</v>
      </c>
      <c r="J2154" s="5" t="str">
        <f t="shared" si="254"/>
        <v>2220</v>
      </c>
      <c r="K2154" s="5" t="str">
        <f t="shared" si="255"/>
        <v>000</v>
      </c>
      <c r="L2154" s="5">
        <f t="shared" si="256"/>
        <v>4</v>
      </c>
      <c r="M2154" s="5">
        <f t="shared" si="257"/>
        <v>2012</v>
      </c>
    </row>
    <row r="2155" spans="1:13" ht="17.45" customHeight="1" x14ac:dyDescent="0.25">
      <c r="A2155" s="1">
        <f>DATE(2012,4,28)</f>
        <v>41027</v>
      </c>
      <c r="B2155" t="s">
        <v>22</v>
      </c>
      <c r="C2155" t="s">
        <v>10</v>
      </c>
      <c r="D2155" s="3">
        <v>174.53800000000001</v>
      </c>
      <c r="E2155" s="3">
        <v>0</v>
      </c>
      <c r="F2155" t="s">
        <v>45</v>
      </c>
      <c r="G2155" s="3">
        <f t="shared" si="251"/>
        <v>-174.53800000000001</v>
      </c>
      <c r="H2155" s="3">
        <f t="shared" si="252"/>
        <v>174.53800000000001</v>
      </c>
      <c r="I2155" s="5" t="str">
        <f t="shared" si="253"/>
        <v>018</v>
      </c>
      <c r="J2155" s="5" t="str">
        <f t="shared" si="254"/>
        <v>2230</v>
      </c>
      <c r="K2155" s="5" t="str">
        <f t="shared" si="255"/>
        <v>000</v>
      </c>
      <c r="L2155" s="5">
        <f t="shared" si="256"/>
        <v>4</v>
      </c>
      <c r="M2155" s="5">
        <f t="shared" si="257"/>
        <v>2012</v>
      </c>
    </row>
    <row r="2156" spans="1:13" ht="17.45" customHeight="1" x14ac:dyDescent="0.25">
      <c r="A2156" s="1">
        <f>DATE(2012,4,29)</f>
        <v>41028</v>
      </c>
      <c r="B2156" t="s">
        <v>19</v>
      </c>
      <c r="C2156" t="s">
        <v>6</v>
      </c>
      <c r="D2156" s="3">
        <v>11162.043</v>
      </c>
      <c r="E2156" s="3">
        <v>0</v>
      </c>
      <c r="F2156" t="s">
        <v>45</v>
      </c>
      <c r="G2156" s="3">
        <f t="shared" si="251"/>
        <v>-11162.043</v>
      </c>
      <c r="H2156" s="3">
        <f t="shared" si="252"/>
        <v>11162.043</v>
      </c>
      <c r="I2156" s="5" t="str">
        <f t="shared" si="253"/>
        <v>018</v>
      </c>
      <c r="J2156" s="5" t="str">
        <f t="shared" si="254"/>
        <v>2100</v>
      </c>
      <c r="K2156" s="5" t="str">
        <f t="shared" si="255"/>
        <v>000</v>
      </c>
      <c r="L2156" s="5">
        <f t="shared" si="256"/>
        <v>4</v>
      </c>
      <c r="M2156" s="5">
        <f t="shared" si="257"/>
        <v>2012</v>
      </c>
    </row>
    <row r="2157" spans="1:13" ht="17.45" customHeight="1" x14ac:dyDescent="0.25">
      <c r="A2157" s="1">
        <f>DATE(2012,4,29)</f>
        <v>41028</v>
      </c>
      <c r="B2157" t="s">
        <v>20</v>
      </c>
      <c r="C2157" t="s">
        <v>8</v>
      </c>
      <c r="D2157" s="3">
        <v>1728.6399999999999</v>
      </c>
      <c r="E2157" s="3">
        <v>0</v>
      </c>
      <c r="F2157" t="s">
        <v>45</v>
      </c>
      <c r="G2157" s="3">
        <f t="shared" si="251"/>
        <v>-1728.6399999999999</v>
      </c>
      <c r="H2157" s="3">
        <f t="shared" si="252"/>
        <v>1728.6399999999999</v>
      </c>
      <c r="I2157" s="5" t="str">
        <f t="shared" si="253"/>
        <v>018</v>
      </c>
      <c r="J2157" s="5" t="str">
        <f t="shared" si="254"/>
        <v>2210</v>
      </c>
      <c r="K2157" s="5" t="str">
        <f t="shared" si="255"/>
        <v>000</v>
      </c>
      <c r="L2157" s="5">
        <f t="shared" si="256"/>
        <v>4</v>
      </c>
      <c r="M2157" s="5">
        <f t="shared" si="257"/>
        <v>2012</v>
      </c>
    </row>
    <row r="2158" spans="1:13" ht="17.45" customHeight="1" x14ac:dyDescent="0.25">
      <c r="A2158" s="1">
        <f>DATE(2012,4,29)</f>
        <v>41028</v>
      </c>
      <c r="B2158" t="s">
        <v>21</v>
      </c>
      <c r="C2158" t="s">
        <v>9</v>
      </c>
      <c r="D2158" s="3">
        <v>410.09100000000001</v>
      </c>
      <c r="E2158" s="3">
        <v>0</v>
      </c>
      <c r="F2158" t="s">
        <v>45</v>
      </c>
      <c r="G2158" s="3">
        <f t="shared" si="251"/>
        <v>-410.09100000000001</v>
      </c>
      <c r="H2158" s="3">
        <f t="shared" si="252"/>
        <v>410.09100000000001</v>
      </c>
      <c r="I2158" s="5" t="str">
        <f t="shared" si="253"/>
        <v>018</v>
      </c>
      <c r="J2158" s="5" t="str">
        <f t="shared" si="254"/>
        <v>2220</v>
      </c>
      <c r="K2158" s="5" t="str">
        <f t="shared" si="255"/>
        <v>000</v>
      </c>
      <c r="L2158" s="5">
        <f t="shared" si="256"/>
        <v>4</v>
      </c>
      <c r="M2158" s="5">
        <f t="shared" si="257"/>
        <v>2012</v>
      </c>
    </row>
    <row r="2159" spans="1:13" ht="17.45" customHeight="1" x14ac:dyDescent="0.25">
      <c r="A2159" s="1">
        <f>DATE(2012,4,29)</f>
        <v>41028</v>
      </c>
      <c r="B2159" t="s">
        <v>22</v>
      </c>
      <c r="C2159" t="s">
        <v>10</v>
      </c>
      <c r="D2159" s="3">
        <v>78.124500000000012</v>
      </c>
      <c r="E2159" s="3">
        <v>0</v>
      </c>
      <c r="F2159" t="s">
        <v>45</v>
      </c>
      <c r="G2159" s="3">
        <f t="shared" si="251"/>
        <v>-78.124500000000012</v>
      </c>
      <c r="H2159" s="3">
        <f t="shared" si="252"/>
        <v>78.124500000000012</v>
      </c>
      <c r="I2159" s="5" t="str">
        <f t="shared" si="253"/>
        <v>018</v>
      </c>
      <c r="J2159" s="5" t="str">
        <f t="shared" si="254"/>
        <v>2230</v>
      </c>
      <c r="K2159" s="5" t="str">
        <f t="shared" si="255"/>
        <v>000</v>
      </c>
      <c r="L2159" s="5">
        <f t="shared" si="256"/>
        <v>4</v>
      </c>
      <c r="M2159" s="5">
        <f t="shared" si="257"/>
        <v>2012</v>
      </c>
    </row>
    <row r="2160" spans="1:13" ht="17.45" customHeight="1" x14ac:dyDescent="0.25">
      <c r="A2160" s="1">
        <f t="shared" ref="A2160:A2163" si="259">DATE(2012,4,30)</f>
        <v>41029</v>
      </c>
      <c r="B2160" t="s">
        <v>11</v>
      </c>
      <c r="C2160" t="s">
        <v>6</v>
      </c>
      <c r="D2160" s="3">
        <v>2515.3044</v>
      </c>
      <c r="E2160" s="3">
        <v>0</v>
      </c>
      <c r="F2160" t="s">
        <v>45</v>
      </c>
      <c r="G2160" s="3">
        <f t="shared" si="251"/>
        <v>-2515.3044</v>
      </c>
      <c r="H2160" s="3">
        <f t="shared" si="252"/>
        <v>2515.3044</v>
      </c>
      <c r="I2160" s="5" t="str">
        <f t="shared" si="253"/>
        <v>016</v>
      </c>
      <c r="J2160" s="5" t="str">
        <f t="shared" si="254"/>
        <v>2100</v>
      </c>
      <c r="K2160" s="5" t="str">
        <f t="shared" si="255"/>
        <v>000</v>
      </c>
      <c r="L2160" s="5">
        <f t="shared" si="256"/>
        <v>4</v>
      </c>
      <c r="M2160" s="5">
        <f t="shared" si="257"/>
        <v>2012</v>
      </c>
    </row>
    <row r="2161" spans="1:13" ht="17.45" customHeight="1" x14ac:dyDescent="0.25">
      <c r="A2161" s="1">
        <f t="shared" si="259"/>
        <v>41029</v>
      </c>
      <c r="B2161" t="s">
        <v>12</v>
      </c>
      <c r="C2161" t="s">
        <v>8</v>
      </c>
      <c r="D2161" s="3">
        <v>840.35599999999999</v>
      </c>
      <c r="E2161" s="3">
        <v>0</v>
      </c>
      <c r="F2161" t="s">
        <v>45</v>
      </c>
      <c r="G2161" s="3">
        <f t="shared" si="251"/>
        <v>-840.35599999999999</v>
      </c>
      <c r="H2161" s="3">
        <f t="shared" si="252"/>
        <v>840.35599999999999</v>
      </c>
      <c r="I2161" s="5" t="str">
        <f t="shared" si="253"/>
        <v>016</v>
      </c>
      <c r="J2161" s="5" t="str">
        <f t="shared" si="254"/>
        <v>2210</v>
      </c>
      <c r="K2161" s="5" t="str">
        <f t="shared" si="255"/>
        <v>000</v>
      </c>
      <c r="L2161" s="5">
        <f t="shared" si="256"/>
        <v>4</v>
      </c>
      <c r="M2161" s="5">
        <f t="shared" si="257"/>
        <v>2012</v>
      </c>
    </row>
    <row r="2162" spans="1:13" ht="17.45" customHeight="1" x14ac:dyDescent="0.25">
      <c r="A2162" s="1">
        <f t="shared" si="259"/>
        <v>41029</v>
      </c>
      <c r="B2162" t="s">
        <v>13</v>
      </c>
      <c r="C2162" t="s">
        <v>9</v>
      </c>
      <c r="D2162" s="3">
        <v>141.21</v>
      </c>
      <c r="E2162" s="3">
        <v>0</v>
      </c>
      <c r="F2162" t="s">
        <v>45</v>
      </c>
      <c r="G2162" s="3">
        <f t="shared" si="251"/>
        <v>-141.21</v>
      </c>
      <c r="H2162" s="3">
        <f t="shared" si="252"/>
        <v>141.21</v>
      </c>
      <c r="I2162" s="5" t="str">
        <f t="shared" si="253"/>
        <v>016</v>
      </c>
      <c r="J2162" s="5" t="str">
        <f t="shared" si="254"/>
        <v>2220</v>
      </c>
      <c r="K2162" s="5" t="str">
        <f t="shared" si="255"/>
        <v>000</v>
      </c>
      <c r="L2162" s="5">
        <f t="shared" si="256"/>
        <v>4</v>
      </c>
      <c r="M2162" s="5">
        <f t="shared" si="257"/>
        <v>2012</v>
      </c>
    </row>
    <row r="2163" spans="1:13" ht="17.45" customHeight="1" x14ac:dyDescent="0.25">
      <c r="A2163" s="1">
        <f t="shared" si="259"/>
        <v>41029</v>
      </c>
      <c r="B2163" t="s">
        <v>14</v>
      </c>
      <c r="C2163" t="s">
        <v>10</v>
      </c>
      <c r="D2163" s="3">
        <v>69.927499999999995</v>
      </c>
      <c r="E2163" s="3">
        <v>0</v>
      </c>
      <c r="F2163" t="s">
        <v>45</v>
      </c>
      <c r="G2163" s="3">
        <f t="shared" si="251"/>
        <v>-69.927499999999995</v>
      </c>
      <c r="H2163" s="3">
        <f t="shared" si="252"/>
        <v>69.927499999999995</v>
      </c>
      <c r="I2163" s="5" t="str">
        <f t="shared" si="253"/>
        <v>016</v>
      </c>
      <c r="J2163" s="5" t="str">
        <f t="shared" si="254"/>
        <v>2230</v>
      </c>
      <c r="K2163" s="5" t="str">
        <f t="shared" si="255"/>
        <v>000</v>
      </c>
      <c r="L2163" s="5">
        <f t="shared" si="256"/>
        <v>4</v>
      </c>
      <c r="M2163" s="5">
        <f t="shared" si="257"/>
        <v>2012</v>
      </c>
    </row>
    <row r="2164" spans="1:13" ht="17.45" customHeight="1" x14ac:dyDescent="0.25">
      <c r="A2164" s="1">
        <f>DATE(2012,5,1)</f>
        <v>41030</v>
      </c>
      <c r="B2164" t="s">
        <v>11</v>
      </c>
      <c r="C2164" t="s">
        <v>6</v>
      </c>
      <c r="D2164" s="3">
        <v>3888.5616</v>
      </c>
      <c r="E2164" s="3">
        <v>0</v>
      </c>
      <c r="F2164" t="s">
        <v>45</v>
      </c>
      <c r="G2164" s="3">
        <f t="shared" si="251"/>
        <v>-3888.5616</v>
      </c>
      <c r="H2164" s="3">
        <f t="shared" si="252"/>
        <v>3888.5616</v>
      </c>
      <c r="I2164" s="5" t="str">
        <f t="shared" si="253"/>
        <v>016</v>
      </c>
      <c r="J2164" s="5" t="str">
        <f t="shared" si="254"/>
        <v>2100</v>
      </c>
      <c r="K2164" s="5" t="str">
        <f t="shared" si="255"/>
        <v>000</v>
      </c>
      <c r="L2164" s="5">
        <f t="shared" si="256"/>
        <v>5</v>
      </c>
      <c r="M2164" s="5">
        <f t="shared" si="257"/>
        <v>2012</v>
      </c>
    </row>
    <row r="2165" spans="1:13" ht="17.45" customHeight="1" x14ac:dyDescent="0.25">
      <c r="A2165" s="1">
        <f>DATE(2012,5,1)</f>
        <v>41030</v>
      </c>
      <c r="B2165" t="s">
        <v>12</v>
      </c>
      <c r="C2165" t="s">
        <v>8</v>
      </c>
      <c r="D2165" s="3">
        <v>1402.4320000000002</v>
      </c>
      <c r="E2165" s="3">
        <v>0</v>
      </c>
      <c r="F2165" t="s">
        <v>45</v>
      </c>
      <c r="G2165" s="3">
        <f t="shared" si="251"/>
        <v>-1402.4320000000002</v>
      </c>
      <c r="H2165" s="3">
        <f t="shared" si="252"/>
        <v>1402.4320000000002</v>
      </c>
      <c r="I2165" s="5" t="str">
        <f t="shared" si="253"/>
        <v>016</v>
      </c>
      <c r="J2165" s="5" t="str">
        <f t="shared" si="254"/>
        <v>2210</v>
      </c>
      <c r="K2165" s="5" t="str">
        <f t="shared" si="255"/>
        <v>000</v>
      </c>
      <c r="L2165" s="5">
        <f t="shared" si="256"/>
        <v>5</v>
      </c>
      <c r="M2165" s="5">
        <f t="shared" si="257"/>
        <v>2012</v>
      </c>
    </row>
    <row r="2166" spans="1:13" ht="17.45" customHeight="1" x14ac:dyDescent="0.25">
      <c r="A2166" s="1">
        <f>DATE(2012,5,1)</f>
        <v>41030</v>
      </c>
      <c r="B2166" t="s">
        <v>13</v>
      </c>
      <c r="C2166" t="s">
        <v>9</v>
      </c>
      <c r="D2166" s="3">
        <v>479.18400000000008</v>
      </c>
      <c r="E2166" s="3">
        <v>0</v>
      </c>
      <c r="F2166" t="s">
        <v>45</v>
      </c>
      <c r="G2166" s="3">
        <f t="shared" si="251"/>
        <v>-479.18400000000008</v>
      </c>
      <c r="H2166" s="3">
        <f t="shared" si="252"/>
        <v>479.18400000000008</v>
      </c>
      <c r="I2166" s="5" t="str">
        <f t="shared" si="253"/>
        <v>016</v>
      </c>
      <c r="J2166" s="5" t="str">
        <f t="shared" si="254"/>
        <v>2220</v>
      </c>
      <c r="K2166" s="5" t="str">
        <f t="shared" si="255"/>
        <v>000</v>
      </c>
      <c r="L2166" s="5">
        <f t="shared" si="256"/>
        <v>5</v>
      </c>
      <c r="M2166" s="5">
        <f t="shared" si="257"/>
        <v>2012</v>
      </c>
    </row>
    <row r="2167" spans="1:13" ht="17.45" customHeight="1" x14ac:dyDescent="0.25">
      <c r="A2167" s="1">
        <f>DATE(2012,5,1)</f>
        <v>41030</v>
      </c>
      <c r="B2167" t="s">
        <v>14</v>
      </c>
      <c r="C2167" t="s">
        <v>10</v>
      </c>
      <c r="D2167" s="3">
        <v>129.5445</v>
      </c>
      <c r="E2167" s="3">
        <v>0</v>
      </c>
      <c r="F2167" t="s">
        <v>45</v>
      </c>
      <c r="G2167" s="3">
        <f t="shared" si="251"/>
        <v>-129.5445</v>
      </c>
      <c r="H2167" s="3">
        <f t="shared" si="252"/>
        <v>129.5445</v>
      </c>
      <c r="I2167" s="5" t="str">
        <f t="shared" si="253"/>
        <v>016</v>
      </c>
      <c r="J2167" s="5" t="str">
        <f t="shared" si="254"/>
        <v>2230</v>
      </c>
      <c r="K2167" s="5" t="str">
        <f t="shared" si="255"/>
        <v>000</v>
      </c>
      <c r="L2167" s="5">
        <f t="shared" si="256"/>
        <v>5</v>
      </c>
      <c r="M2167" s="5">
        <f t="shared" si="257"/>
        <v>2012</v>
      </c>
    </row>
    <row r="2168" spans="1:13" ht="17.45" customHeight="1" x14ac:dyDescent="0.25">
      <c r="A2168" s="1">
        <f>DATE(2012,5,2)</f>
        <v>41031</v>
      </c>
      <c r="B2168" t="s">
        <v>11</v>
      </c>
      <c r="C2168" t="s">
        <v>6</v>
      </c>
      <c r="D2168" s="3">
        <v>4215.7551000000003</v>
      </c>
      <c r="E2168" s="3">
        <v>0</v>
      </c>
      <c r="F2168" t="s">
        <v>45</v>
      </c>
      <c r="G2168" s="3">
        <f t="shared" si="251"/>
        <v>-4215.7551000000003</v>
      </c>
      <c r="H2168" s="3">
        <f t="shared" si="252"/>
        <v>4215.7551000000003</v>
      </c>
      <c r="I2168" s="5" t="str">
        <f t="shared" si="253"/>
        <v>016</v>
      </c>
      <c r="J2168" s="5" t="str">
        <f t="shared" si="254"/>
        <v>2100</v>
      </c>
      <c r="K2168" s="5" t="str">
        <f t="shared" si="255"/>
        <v>000</v>
      </c>
      <c r="L2168" s="5">
        <f t="shared" si="256"/>
        <v>5</v>
      </c>
      <c r="M2168" s="5">
        <f t="shared" si="257"/>
        <v>2012</v>
      </c>
    </row>
    <row r="2169" spans="1:13" ht="17.45" customHeight="1" x14ac:dyDescent="0.25">
      <c r="A2169" s="1">
        <f>DATE(2012,5,2)</f>
        <v>41031</v>
      </c>
      <c r="B2169" t="s">
        <v>12</v>
      </c>
      <c r="C2169" t="s">
        <v>8</v>
      </c>
      <c r="D2169" s="3">
        <v>874.6</v>
      </c>
      <c r="E2169" s="3">
        <v>0</v>
      </c>
      <c r="F2169" t="s">
        <v>45</v>
      </c>
      <c r="G2169" s="3">
        <f t="shared" si="251"/>
        <v>-874.6</v>
      </c>
      <c r="H2169" s="3">
        <f t="shared" si="252"/>
        <v>874.6</v>
      </c>
      <c r="I2169" s="5" t="str">
        <f t="shared" si="253"/>
        <v>016</v>
      </c>
      <c r="J2169" s="5" t="str">
        <f t="shared" si="254"/>
        <v>2210</v>
      </c>
      <c r="K2169" s="5" t="str">
        <f t="shared" si="255"/>
        <v>000</v>
      </c>
      <c r="L2169" s="5">
        <f t="shared" si="256"/>
        <v>5</v>
      </c>
      <c r="M2169" s="5">
        <f t="shared" si="257"/>
        <v>2012</v>
      </c>
    </row>
    <row r="2170" spans="1:13" ht="17.45" customHeight="1" x14ac:dyDescent="0.25">
      <c r="A2170" s="1">
        <f>DATE(2012,5,2)</f>
        <v>41031</v>
      </c>
      <c r="B2170" t="s">
        <v>13</v>
      </c>
      <c r="C2170" t="s">
        <v>9</v>
      </c>
      <c r="D2170" s="3">
        <v>224.03700000000001</v>
      </c>
      <c r="E2170" s="3">
        <v>0</v>
      </c>
      <c r="F2170" t="s">
        <v>45</v>
      </c>
      <c r="G2170" s="3">
        <f t="shared" si="251"/>
        <v>-224.03700000000001</v>
      </c>
      <c r="H2170" s="3">
        <f t="shared" si="252"/>
        <v>224.03700000000001</v>
      </c>
      <c r="I2170" s="5" t="str">
        <f t="shared" si="253"/>
        <v>016</v>
      </c>
      <c r="J2170" s="5" t="str">
        <f t="shared" si="254"/>
        <v>2220</v>
      </c>
      <c r="K2170" s="5" t="str">
        <f t="shared" si="255"/>
        <v>000</v>
      </c>
      <c r="L2170" s="5">
        <f t="shared" si="256"/>
        <v>5</v>
      </c>
      <c r="M2170" s="5">
        <f t="shared" si="257"/>
        <v>2012</v>
      </c>
    </row>
    <row r="2171" spans="1:13" ht="17.45" customHeight="1" x14ac:dyDescent="0.25">
      <c r="A2171" s="1">
        <f>DATE(2012,5,2)</f>
        <v>41031</v>
      </c>
      <c r="B2171" t="s">
        <v>14</v>
      </c>
      <c r="C2171" t="s">
        <v>10</v>
      </c>
      <c r="D2171" s="3">
        <v>175.21200000000002</v>
      </c>
      <c r="E2171" s="3">
        <v>0</v>
      </c>
      <c r="F2171" t="s">
        <v>45</v>
      </c>
      <c r="G2171" s="3">
        <f t="shared" si="251"/>
        <v>-175.21200000000002</v>
      </c>
      <c r="H2171" s="3">
        <f t="shared" si="252"/>
        <v>175.21200000000002</v>
      </c>
      <c r="I2171" s="5" t="str">
        <f t="shared" si="253"/>
        <v>016</v>
      </c>
      <c r="J2171" s="5" t="str">
        <f t="shared" si="254"/>
        <v>2230</v>
      </c>
      <c r="K2171" s="5" t="str">
        <f t="shared" si="255"/>
        <v>000</v>
      </c>
      <c r="L2171" s="5">
        <f t="shared" si="256"/>
        <v>5</v>
      </c>
      <c r="M2171" s="5">
        <f t="shared" si="257"/>
        <v>2012</v>
      </c>
    </row>
    <row r="2172" spans="1:13" ht="17.45" customHeight="1" x14ac:dyDescent="0.25">
      <c r="A2172" s="1">
        <f>DATE(2012,5,3)</f>
        <v>41032</v>
      </c>
      <c r="B2172" t="s">
        <v>11</v>
      </c>
      <c r="C2172" t="s">
        <v>6</v>
      </c>
      <c r="D2172" s="3">
        <v>3744.3218000000002</v>
      </c>
      <c r="E2172" s="3">
        <v>0</v>
      </c>
      <c r="F2172" t="s">
        <v>45</v>
      </c>
      <c r="G2172" s="3">
        <f t="shared" si="251"/>
        <v>-3744.3218000000002</v>
      </c>
      <c r="H2172" s="3">
        <f t="shared" si="252"/>
        <v>3744.3218000000002</v>
      </c>
      <c r="I2172" s="5" t="str">
        <f t="shared" si="253"/>
        <v>016</v>
      </c>
      <c r="J2172" s="5" t="str">
        <f t="shared" si="254"/>
        <v>2100</v>
      </c>
      <c r="K2172" s="5" t="str">
        <f t="shared" si="255"/>
        <v>000</v>
      </c>
      <c r="L2172" s="5">
        <f t="shared" si="256"/>
        <v>5</v>
      </c>
      <c r="M2172" s="5">
        <f t="shared" si="257"/>
        <v>2012</v>
      </c>
    </row>
    <row r="2173" spans="1:13" ht="17.45" customHeight="1" x14ac:dyDescent="0.25">
      <c r="A2173" s="1">
        <f>DATE(2012,5,3)</f>
        <v>41032</v>
      </c>
      <c r="B2173" t="s">
        <v>12</v>
      </c>
      <c r="C2173" t="s">
        <v>8</v>
      </c>
      <c r="D2173" s="3">
        <v>1399.2159999999999</v>
      </c>
      <c r="E2173" s="3">
        <v>0</v>
      </c>
      <c r="F2173" t="s">
        <v>45</v>
      </c>
      <c r="G2173" s="3">
        <f t="shared" si="251"/>
        <v>-1399.2159999999999</v>
      </c>
      <c r="H2173" s="3">
        <f t="shared" si="252"/>
        <v>1399.2159999999999</v>
      </c>
      <c r="I2173" s="5" t="str">
        <f t="shared" si="253"/>
        <v>016</v>
      </c>
      <c r="J2173" s="5" t="str">
        <f t="shared" si="254"/>
        <v>2210</v>
      </c>
      <c r="K2173" s="5" t="str">
        <f t="shared" si="255"/>
        <v>000</v>
      </c>
      <c r="L2173" s="5">
        <f t="shared" si="256"/>
        <v>5</v>
      </c>
      <c r="M2173" s="5">
        <f t="shared" si="257"/>
        <v>2012</v>
      </c>
    </row>
    <row r="2174" spans="1:13" ht="17.45" customHeight="1" x14ac:dyDescent="0.25">
      <c r="A2174" s="1">
        <f>DATE(2012,5,3)</f>
        <v>41032</v>
      </c>
      <c r="B2174" t="s">
        <v>13</v>
      </c>
      <c r="C2174" t="s">
        <v>9</v>
      </c>
      <c r="D2174" s="3">
        <v>269.32500000000005</v>
      </c>
      <c r="E2174" s="3">
        <v>0</v>
      </c>
      <c r="F2174" t="s">
        <v>45</v>
      </c>
      <c r="G2174" s="3">
        <f t="shared" si="251"/>
        <v>-269.32500000000005</v>
      </c>
      <c r="H2174" s="3">
        <f t="shared" si="252"/>
        <v>269.32500000000005</v>
      </c>
      <c r="I2174" s="5" t="str">
        <f t="shared" si="253"/>
        <v>016</v>
      </c>
      <c r="J2174" s="5" t="str">
        <f t="shared" si="254"/>
        <v>2220</v>
      </c>
      <c r="K2174" s="5" t="str">
        <f t="shared" si="255"/>
        <v>000</v>
      </c>
      <c r="L2174" s="5">
        <f t="shared" si="256"/>
        <v>5</v>
      </c>
      <c r="M2174" s="5">
        <f t="shared" si="257"/>
        <v>2012</v>
      </c>
    </row>
    <row r="2175" spans="1:13" ht="17.45" customHeight="1" x14ac:dyDescent="0.25">
      <c r="A2175" s="1">
        <f>DATE(2012,5,3)</f>
        <v>41032</v>
      </c>
      <c r="B2175" t="s">
        <v>14</v>
      </c>
      <c r="C2175" t="s">
        <v>10</v>
      </c>
      <c r="D2175" s="3">
        <v>77.083500000000001</v>
      </c>
      <c r="E2175" s="3">
        <v>0</v>
      </c>
      <c r="F2175" t="s">
        <v>45</v>
      </c>
      <c r="G2175" s="3">
        <f t="shared" si="251"/>
        <v>-77.083500000000001</v>
      </c>
      <c r="H2175" s="3">
        <f t="shared" si="252"/>
        <v>77.083500000000001</v>
      </c>
      <c r="I2175" s="5" t="str">
        <f t="shared" si="253"/>
        <v>016</v>
      </c>
      <c r="J2175" s="5" t="str">
        <f t="shared" si="254"/>
        <v>2230</v>
      </c>
      <c r="K2175" s="5" t="str">
        <f t="shared" si="255"/>
        <v>000</v>
      </c>
      <c r="L2175" s="5">
        <f t="shared" si="256"/>
        <v>5</v>
      </c>
      <c r="M2175" s="5">
        <f t="shared" si="257"/>
        <v>2012</v>
      </c>
    </row>
    <row r="2176" spans="1:13" ht="17.45" customHeight="1" x14ac:dyDescent="0.25">
      <c r="A2176" s="1">
        <f>DATE(2012,5,4)</f>
        <v>41033</v>
      </c>
      <c r="B2176" t="s">
        <v>11</v>
      </c>
      <c r="C2176" t="s">
        <v>6</v>
      </c>
      <c r="D2176" s="3">
        <v>8079.5419999999995</v>
      </c>
      <c r="E2176" s="3">
        <v>0</v>
      </c>
      <c r="F2176" t="s">
        <v>45</v>
      </c>
      <c r="G2176" s="3">
        <f t="shared" si="251"/>
        <v>-8079.5419999999995</v>
      </c>
      <c r="H2176" s="3">
        <f t="shared" si="252"/>
        <v>8079.5419999999995</v>
      </c>
      <c r="I2176" s="5" t="str">
        <f t="shared" si="253"/>
        <v>016</v>
      </c>
      <c r="J2176" s="5" t="str">
        <f t="shared" si="254"/>
        <v>2100</v>
      </c>
      <c r="K2176" s="5" t="str">
        <f t="shared" si="255"/>
        <v>000</v>
      </c>
      <c r="L2176" s="5">
        <f t="shared" si="256"/>
        <v>5</v>
      </c>
      <c r="M2176" s="5">
        <f t="shared" si="257"/>
        <v>2012</v>
      </c>
    </row>
    <row r="2177" spans="1:13" ht="17.45" customHeight="1" x14ac:dyDescent="0.25">
      <c r="A2177" s="1">
        <f>DATE(2012,5,4)</f>
        <v>41033</v>
      </c>
      <c r="B2177" t="s">
        <v>12</v>
      </c>
      <c r="C2177" t="s">
        <v>8</v>
      </c>
      <c r="D2177" s="3">
        <v>2441.4</v>
      </c>
      <c r="E2177" s="3">
        <v>0</v>
      </c>
      <c r="F2177" t="s">
        <v>45</v>
      </c>
      <c r="G2177" s="3">
        <f t="shared" si="251"/>
        <v>-2441.4</v>
      </c>
      <c r="H2177" s="3">
        <f t="shared" si="252"/>
        <v>2441.4</v>
      </c>
      <c r="I2177" s="5" t="str">
        <f t="shared" si="253"/>
        <v>016</v>
      </c>
      <c r="J2177" s="5" t="str">
        <f t="shared" si="254"/>
        <v>2210</v>
      </c>
      <c r="K2177" s="5" t="str">
        <f t="shared" si="255"/>
        <v>000</v>
      </c>
      <c r="L2177" s="5">
        <f t="shared" si="256"/>
        <v>5</v>
      </c>
      <c r="M2177" s="5">
        <f t="shared" si="257"/>
        <v>2012</v>
      </c>
    </row>
    <row r="2178" spans="1:13" ht="17.45" customHeight="1" x14ac:dyDescent="0.25">
      <c r="A2178" s="1">
        <f>DATE(2012,5,4)</f>
        <v>41033</v>
      </c>
      <c r="B2178" t="s">
        <v>13</v>
      </c>
      <c r="C2178" t="s">
        <v>9</v>
      </c>
      <c r="D2178" s="3">
        <v>711.83499999999992</v>
      </c>
      <c r="E2178" s="3">
        <v>0</v>
      </c>
      <c r="F2178" t="s">
        <v>45</v>
      </c>
      <c r="G2178" s="3">
        <f t="shared" ref="G2178:G2241" si="260">E2178-D2178</f>
        <v>-711.83499999999992</v>
      </c>
      <c r="H2178" s="3">
        <f t="shared" ref="H2178:H2241" si="261">ABS(G2178)</f>
        <v>711.83499999999992</v>
      </c>
      <c r="I2178" s="5" t="str">
        <f t="shared" ref="I2178:I2241" si="262">MID(B2178,1,3)</f>
        <v>016</v>
      </c>
      <c r="J2178" s="5" t="str">
        <f t="shared" ref="J2178:J2241" si="263">MID(B2178,5,4)</f>
        <v>2220</v>
      </c>
      <c r="K2178" s="5" t="str">
        <f t="shared" ref="K2178:K2241" si="264">MID(B2178,10,3)</f>
        <v>000</v>
      </c>
      <c r="L2178" s="5">
        <f t="shared" ref="L2178:L2241" si="265">MONTH(A2178)</f>
        <v>5</v>
      </c>
      <c r="M2178" s="5">
        <f t="shared" ref="M2178:M2241" si="266">YEAR(A2178)</f>
        <v>2012</v>
      </c>
    </row>
    <row r="2179" spans="1:13" ht="17.45" customHeight="1" x14ac:dyDescent="0.25">
      <c r="A2179" s="1">
        <f>DATE(2012,5,4)</f>
        <v>41033</v>
      </c>
      <c r="B2179" t="s">
        <v>14</v>
      </c>
      <c r="C2179" t="s">
        <v>10</v>
      </c>
      <c r="D2179" s="3">
        <v>203.74300000000002</v>
      </c>
      <c r="E2179" s="3">
        <v>0</v>
      </c>
      <c r="F2179" t="s">
        <v>45</v>
      </c>
      <c r="G2179" s="3">
        <f t="shared" si="260"/>
        <v>-203.74300000000002</v>
      </c>
      <c r="H2179" s="3">
        <f t="shared" si="261"/>
        <v>203.74300000000002</v>
      </c>
      <c r="I2179" s="5" t="str">
        <f t="shared" si="262"/>
        <v>016</v>
      </c>
      <c r="J2179" s="5" t="str">
        <f t="shared" si="263"/>
        <v>2230</v>
      </c>
      <c r="K2179" s="5" t="str">
        <f t="shared" si="264"/>
        <v>000</v>
      </c>
      <c r="L2179" s="5">
        <f t="shared" si="265"/>
        <v>5</v>
      </c>
      <c r="M2179" s="5">
        <f t="shared" si="266"/>
        <v>2012</v>
      </c>
    </row>
    <row r="2180" spans="1:13" ht="17.45" customHeight="1" x14ac:dyDescent="0.25">
      <c r="A2180" s="1">
        <f>DATE(2012,5,5)</f>
        <v>41034</v>
      </c>
      <c r="B2180" t="s">
        <v>11</v>
      </c>
      <c r="C2180" t="s">
        <v>6</v>
      </c>
      <c r="D2180" s="3">
        <v>13771.338</v>
      </c>
      <c r="E2180" s="3">
        <v>0</v>
      </c>
      <c r="F2180" t="s">
        <v>45</v>
      </c>
      <c r="G2180" s="3">
        <f t="shared" si="260"/>
        <v>-13771.338</v>
      </c>
      <c r="H2180" s="3">
        <f t="shared" si="261"/>
        <v>13771.338</v>
      </c>
      <c r="I2180" s="5" t="str">
        <f t="shared" si="262"/>
        <v>016</v>
      </c>
      <c r="J2180" s="5" t="str">
        <f t="shared" si="263"/>
        <v>2100</v>
      </c>
      <c r="K2180" s="5" t="str">
        <f t="shared" si="264"/>
        <v>000</v>
      </c>
      <c r="L2180" s="5">
        <f t="shared" si="265"/>
        <v>5</v>
      </c>
      <c r="M2180" s="5">
        <f t="shared" si="266"/>
        <v>2012</v>
      </c>
    </row>
    <row r="2181" spans="1:13" ht="17.45" customHeight="1" x14ac:dyDescent="0.25">
      <c r="A2181" s="1">
        <f>DATE(2012,5,5)</f>
        <v>41034</v>
      </c>
      <c r="B2181" t="s">
        <v>12</v>
      </c>
      <c r="C2181" t="s">
        <v>8</v>
      </c>
      <c r="D2181" s="3">
        <v>21099.6414</v>
      </c>
      <c r="E2181" s="3">
        <v>0</v>
      </c>
      <c r="F2181" t="s">
        <v>45</v>
      </c>
      <c r="G2181" s="3">
        <f t="shared" si="260"/>
        <v>-21099.6414</v>
      </c>
      <c r="H2181" s="3">
        <f t="shared" si="261"/>
        <v>21099.6414</v>
      </c>
      <c r="I2181" s="5" t="str">
        <f t="shared" si="262"/>
        <v>016</v>
      </c>
      <c r="J2181" s="5" t="str">
        <f t="shared" si="263"/>
        <v>2210</v>
      </c>
      <c r="K2181" s="5" t="str">
        <f t="shared" si="264"/>
        <v>000</v>
      </c>
      <c r="L2181" s="5">
        <f t="shared" si="265"/>
        <v>5</v>
      </c>
      <c r="M2181" s="5">
        <f t="shared" si="266"/>
        <v>2012</v>
      </c>
    </row>
    <row r="2182" spans="1:13" ht="17.45" customHeight="1" x14ac:dyDescent="0.25">
      <c r="A2182" s="1">
        <f>DATE(2012,5,5)</f>
        <v>41034</v>
      </c>
      <c r="B2182" t="s">
        <v>13</v>
      </c>
      <c r="C2182" t="s">
        <v>9</v>
      </c>
      <c r="D2182" s="3">
        <v>8819.0607999999993</v>
      </c>
      <c r="E2182" s="3">
        <v>0</v>
      </c>
      <c r="F2182" t="s">
        <v>45</v>
      </c>
      <c r="G2182" s="3">
        <f t="shared" si="260"/>
        <v>-8819.0607999999993</v>
      </c>
      <c r="H2182" s="3">
        <f t="shared" si="261"/>
        <v>8819.0607999999993</v>
      </c>
      <c r="I2182" s="5" t="str">
        <f t="shared" si="262"/>
        <v>016</v>
      </c>
      <c r="J2182" s="5" t="str">
        <f t="shared" si="263"/>
        <v>2220</v>
      </c>
      <c r="K2182" s="5" t="str">
        <f t="shared" si="264"/>
        <v>000</v>
      </c>
      <c r="L2182" s="5">
        <f t="shared" si="265"/>
        <v>5</v>
      </c>
      <c r="M2182" s="5">
        <f t="shared" si="266"/>
        <v>2012</v>
      </c>
    </row>
    <row r="2183" spans="1:13" ht="17.45" customHeight="1" x14ac:dyDescent="0.25">
      <c r="A2183" s="1">
        <f>DATE(2012,5,5)</f>
        <v>41034</v>
      </c>
      <c r="B2183" t="s">
        <v>14</v>
      </c>
      <c r="C2183" t="s">
        <v>10</v>
      </c>
      <c r="D2183" s="3">
        <v>523.21799999999996</v>
      </c>
      <c r="E2183" s="3">
        <v>0</v>
      </c>
      <c r="F2183" t="s">
        <v>45</v>
      </c>
      <c r="G2183" s="3">
        <f t="shared" si="260"/>
        <v>-523.21799999999996</v>
      </c>
      <c r="H2183" s="3">
        <f t="shared" si="261"/>
        <v>523.21799999999996</v>
      </c>
      <c r="I2183" s="5" t="str">
        <f t="shared" si="262"/>
        <v>016</v>
      </c>
      <c r="J2183" s="5" t="str">
        <f t="shared" si="263"/>
        <v>2230</v>
      </c>
      <c r="K2183" s="5" t="str">
        <f t="shared" si="264"/>
        <v>000</v>
      </c>
      <c r="L2183" s="5">
        <f t="shared" si="265"/>
        <v>5</v>
      </c>
      <c r="M2183" s="5">
        <f t="shared" si="266"/>
        <v>2012</v>
      </c>
    </row>
    <row r="2184" spans="1:13" ht="17.45" customHeight="1" x14ac:dyDescent="0.25">
      <c r="A2184" s="1">
        <f>DATE(2012,5,6)</f>
        <v>41035</v>
      </c>
      <c r="B2184" t="s">
        <v>11</v>
      </c>
      <c r="C2184" t="s">
        <v>6</v>
      </c>
      <c r="D2184" s="3">
        <v>5151.4650000000001</v>
      </c>
      <c r="E2184" s="3">
        <v>0</v>
      </c>
      <c r="F2184" t="s">
        <v>45</v>
      </c>
      <c r="G2184" s="3">
        <f t="shared" si="260"/>
        <v>-5151.4650000000001</v>
      </c>
      <c r="H2184" s="3">
        <f t="shared" si="261"/>
        <v>5151.4650000000001</v>
      </c>
      <c r="I2184" s="5" t="str">
        <f t="shared" si="262"/>
        <v>016</v>
      </c>
      <c r="J2184" s="5" t="str">
        <f t="shared" si="263"/>
        <v>2100</v>
      </c>
      <c r="K2184" s="5" t="str">
        <f t="shared" si="264"/>
        <v>000</v>
      </c>
      <c r="L2184" s="5">
        <f t="shared" si="265"/>
        <v>5</v>
      </c>
      <c r="M2184" s="5">
        <f t="shared" si="266"/>
        <v>2012</v>
      </c>
    </row>
    <row r="2185" spans="1:13" ht="17.45" customHeight="1" x14ac:dyDescent="0.25">
      <c r="A2185" s="1">
        <f>DATE(2012,5,6)</f>
        <v>41035</v>
      </c>
      <c r="B2185" t="s">
        <v>12</v>
      </c>
      <c r="C2185" t="s">
        <v>8</v>
      </c>
      <c r="D2185" s="3">
        <v>1136.3264999999999</v>
      </c>
      <c r="E2185" s="3">
        <v>0</v>
      </c>
      <c r="F2185" t="s">
        <v>45</v>
      </c>
      <c r="G2185" s="3">
        <f t="shared" si="260"/>
        <v>-1136.3264999999999</v>
      </c>
      <c r="H2185" s="3">
        <f t="shared" si="261"/>
        <v>1136.3264999999999</v>
      </c>
      <c r="I2185" s="5" t="str">
        <f t="shared" si="262"/>
        <v>016</v>
      </c>
      <c r="J2185" s="5" t="str">
        <f t="shared" si="263"/>
        <v>2210</v>
      </c>
      <c r="K2185" s="5" t="str">
        <f t="shared" si="264"/>
        <v>000</v>
      </c>
      <c r="L2185" s="5">
        <f t="shared" si="265"/>
        <v>5</v>
      </c>
      <c r="M2185" s="5">
        <f t="shared" si="266"/>
        <v>2012</v>
      </c>
    </row>
    <row r="2186" spans="1:13" ht="17.45" customHeight="1" x14ac:dyDescent="0.25">
      <c r="A2186" s="1">
        <f>DATE(2012,5,6)</f>
        <v>41035</v>
      </c>
      <c r="B2186" t="s">
        <v>13</v>
      </c>
      <c r="C2186" t="s">
        <v>9</v>
      </c>
      <c r="D2186" s="3">
        <v>318.24</v>
      </c>
      <c r="E2186" s="3">
        <v>0</v>
      </c>
      <c r="F2186" t="s">
        <v>45</v>
      </c>
      <c r="G2186" s="3">
        <f t="shared" si="260"/>
        <v>-318.24</v>
      </c>
      <c r="H2186" s="3">
        <f t="shared" si="261"/>
        <v>318.24</v>
      </c>
      <c r="I2186" s="5" t="str">
        <f t="shared" si="262"/>
        <v>016</v>
      </c>
      <c r="J2186" s="5" t="str">
        <f t="shared" si="263"/>
        <v>2220</v>
      </c>
      <c r="K2186" s="5" t="str">
        <f t="shared" si="264"/>
        <v>000</v>
      </c>
      <c r="L2186" s="5">
        <f t="shared" si="265"/>
        <v>5</v>
      </c>
      <c r="M2186" s="5">
        <f t="shared" si="266"/>
        <v>2012</v>
      </c>
    </row>
    <row r="2187" spans="1:13" ht="17.45" customHeight="1" x14ac:dyDescent="0.25">
      <c r="A2187" s="1">
        <f>DATE(2012,5,6)</f>
        <v>41035</v>
      </c>
      <c r="B2187" t="s">
        <v>14</v>
      </c>
      <c r="C2187" t="s">
        <v>10</v>
      </c>
      <c r="D2187" s="3">
        <v>55.024000000000008</v>
      </c>
      <c r="E2187" s="3">
        <v>0</v>
      </c>
      <c r="F2187" t="s">
        <v>45</v>
      </c>
      <c r="G2187" s="3">
        <f t="shared" si="260"/>
        <v>-55.024000000000008</v>
      </c>
      <c r="H2187" s="3">
        <f t="shared" si="261"/>
        <v>55.024000000000008</v>
      </c>
      <c r="I2187" s="5" t="str">
        <f t="shared" si="262"/>
        <v>016</v>
      </c>
      <c r="J2187" s="5" t="str">
        <f t="shared" si="263"/>
        <v>2230</v>
      </c>
      <c r="K2187" s="5" t="str">
        <f t="shared" si="264"/>
        <v>000</v>
      </c>
      <c r="L2187" s="5">
        <f t="shared" si="265"/>
        <v>5</v>
      </c>
      <c r="M2187" s="5">
        <f t="shared" si="266"/>
        <v>2012</v>
      </c>
    </row>
    <row r="2188" spans="1:13" ht="17.45" customHeight="1" x14ac:dyDescent="0.25">
      <c r="A2188" s="1">
        <f>DATE(2012,4,30)</f>
        <v>41029</v>
      </c>
      <c r="B2188" t="s">
        <v>15</v>
      </c>
      <c r="C2188" t="s">
        <v>6</v>
      </c>
      <c r="D2188" s="3">
        <v>3788.8312000000005</v>
      </c>
      <c r="E2188" s="3">
        <v>0</v>
      </c>
      <c r="F2188" t="s">
        <v>45</v>
      </c>
      <c r="G2188" s="3">
        <f t="shared" si="260"/>
        <v>-3788.8312000000005</v>
      </c>
      <c r="H2188" s="3">
        <f t="shared" si="261"/>
        <v>3788.8312000000005</v>
      </c>
      <c r="I2188" s="5" t="str">
        <f t="shared" si="262"/>
        <v>017</v>
      </c>
      <c r="J2188" s="5" t="str">
        <f t="shared" si="263"/>
        <v>2100</v>
      </c>
      <c r="K2188" s="5" t="str">
        <f t="shared" si="264"/>
        <v>000</v>
      </c>
      <c r="L2188" s="5">
        <f t="shared" si="265"/>
        <v>4</v>
      </c>
      <c r="M2188" s="5">
        <f t="shared" si="266"/>
        <v>2012</v>
      </c>
    </row>
    <row r="2189" spans="1:13" ht="17.45" customHeight="1" x14ac:dyDescent="0.25">
      <c r="A2189" s="1">
        <f>DATE(2012,4,30)</f>
        <v>41029</v>
      </c>
      <c r="B2189" t="s">
        <v>16</v>
      </c>
      <c r="C2189" t="s">
        <v>8</v>
      </c>
      <c r="D2189" s="3">
        <v>1000.3435000000001</v>
      </c>
      <c r="E2189" s="3">
        <v>0</v>
      </c>
      <c r="F2189" t="s">
        <v>45</v>
      </c>
      <c r="G2189" s="3">
        <f t="shared" si="260"/>
        <v>-1000.3435000000001</v>
      </c>
      <c r="H2189" s="3">
        <f t="shared" si="261"/>
        <v>1000.3435000000001</v>
      </c>
      <c r="I2189" s="5" t="str">
        <f t="shared" si="262"/>
        <v>017</v>
      </c>
      <c r="J2189" s="5" t="str">
        <f t="shared" si="263"/>
        <v>2210</v>
      </c>
      <c r="K2189" s="5" t="str">
        <f t="shared" si="264"/>
        <v>000</v>
      </c>
      <c r="L2189" s="5">
        <f t="shared" si="265"/>
        <v>4</v>
      </c>
      <c r="M2189" s="5">
        <f t="shared" si="266"/>
        <v>2012</v>
      </c>
    </row>
    <row r="2190" spans="1:13" ht="17.45" customHeight="1" x14ac:dyDescent="0.25">
      <c r="A2190" s="1">
        <f>DATE(2012,4,30)</f>
        <v>41029</v>
      </c>
      <c r="B2190" t="s">
        <v>17</v>
      </c>
      <c r="C2190" t="s">
        <v>9</v>
      </c>
      <c r="D2190" s="3">
        <v>426.88</v>
      </c>
      <c r="E2190" s="3">
        <v>0</v>
      </c>
      <c r="F2190" t="s">
        <v>45</v>
      </c>
      <c r="G2190" s="3">
        <f t="shared" si="260"/>
        <v>-426.88</v>
      </c>
      <c r="H2190" s="3">
        <f t="shared" si="261"/>
        <v>426.88</v>
      </c>
      <c r="I2190" s="5" t="str">
        <f t="shared" si="262"/>
        <v>017</v>
      </c>
      <c r="J2190" s="5" t="str">
        <f t="shared" si="263"/>
        <v>2220</v>
      </c>
      <c r="K2190" s="5" t="str">
        <f t="shared" si="264"/>
        <v>000</v>
      </c>
      <c r="L2190" s="5">
        <f t="shared" si="265"/>
        <v>4</v>
      </c>
      <c r="M2190" s="5">
        <f t="shared" si="266"/>
        <v>2012</v>
      </c>
    </row>
    <row r="2191" spans="1:13" ht="17.45" customHeight="1" x14ac:dyDescent="0.25">
      <c r="A2191" s="1">
        <f>DATE(2012,4,30)</f>
        <v>41029</v>
      </c>
      <c r="B2191" t="s">
        <v>18</v>
      </c>
      <c r="C2191" t="s">
        <v>10</v>
      </c>
      <c r="D2191" s="3">
        <v>59.774000000000008</v>
      </c>
      <c r="E2191" s="3">
        <v>0</v>
      </c>
      <c r="F2191" t="s">
        <v>45</v>
      </c>
      <c r="G2191" s="3">
        <f t="shared" si="260"/>
        <v>-59.774000000000008</v>
      </c>
      <c r="H2191" s="3">
        <f t="shared" si="261"/>
        <v>59.774000000000008</v>
      </c>
      <c r="I2191" s="5" t="str">
        <f t="shared" si="262"/>
        <v>017</v>
      </c>
      <c r="J2191" s="5" t="str">
        <f t="shared" si="263"/>
        <v>2230</v>
      </c>
      <c r="K2191" s="5" t="str">
        <f t="shared" si="264"/>
        <v>000</v>
      </c>
      <c r="L2191" s="5">
        <f t="shared" si="265"/>
        <v>4</v>
      </c>
      <c r="M2191" s="5">
        <f t="shared" si="266"/>
        <v>2012</v>
      </c>
    </row>
    <row r="2192" spans="1:13" ht="17.45" customHeight="1" x14ac:dyDescent="0.25">
      <c r="A2192" s="1">
        <f>DATE(2012,5,1)</f>
        <v>41030</v>
      </c>
      <c r="B2192" t="s">
        <v>15</v>
      </c>
      <c r="C2192" t="s">
        <v>6</v>
      </c>
      <c r="D2192" s="3">
        <v>5320.4416000000001</v>
      </c>
      <c r="E2192" s="3">
        <v>0</v>
      </c>
      <c r="F2192" t="s">
        <v>45</v>
      </c>
      <c r="G2192" s="3">
        <f t="shared" si="260"/>
        <v>-5320.4416000000001</v>
      </c>
      <c r="H2192" s="3">
        <f t="shared" si="261"/>
        <v>5320.4416000000001</v>
      </c>
      <c r="I2192" s="5" t="str">
        <f t="shared" si="262"/>
        <v>017</v>
      </c>
      <c r="J2192" s="5" t="str">
        <f t="shared" si="263"/>
        <v>2100</v>
      </c>
      <c r="K2192" s="5" t="str">
        <f t="shared" si="264"/>
        <v>000</v>
      </c>
      <c r="L2192" s="5">
        <f t="shared" si="265"/>
        <v>5</v>
      </c>
      <c r="M2192" s="5">
        <f t="shared" si="266"/>
        <v>2012</v>
      </c>
    </row>
    <row r="2193" spans="1:13" ht="17.45" customHeight="1" x14ac:dyDescent="0.25">
      <c r="A2193" s="1">
        <f>DATE(2012,5,1)</f>
        <v>41030</v>
      </c>
      <c r="B2193" t="s">
        <v>16</v>
      </c>
      <c r="C2193" t="s">
        <v>8</v>
      </c>
      <c r="D2193" s="3">
        <v>2249.3539999999998</v>
      </c>
      <c r="E2193" s="3">
        <v>0</v>
      </c>
      <c r="F2193" t="s">
        <v>45</v>
      </c>
      <c r="G2193" s="3">
        <f t="shared" si="260"/>
        <v>-2249.3539999999998</v>
      </c>
      <c r="H2193" s="3">
        <f t="shared" si="261"/>
        <v>2249.3539999999998</v>
      </c>
      <c r="I2193" s="5" t="str">
        <f t="shared" si="262"/>
        <v>017</v>
      </c>
      <c r="J2193" s="5" t="str">
        <f t="shared" si="263"/>
        <v>2210</v>
      </c>
      <c r="K2193" s="5" t="str">
        <f t="shared" si="264"/>
        <v>000</v>
      </c>
      <c r="L2193" s="5">
        <f t="shared" si="265"/>
        <v>5</v>
      </c>
      <c r="M2193" s="5">
        <f t="shared" si="266"/>
        <v>2012</v>
      </c>
    </row>
    <row r="2194" spans="1:13" ht="17.45" customHeight="1" x14ac:dyDescent="0.25">
      <c r="A2194" s="1">
        <f>DATE(2012,5,1)</f>
        <v>41030</v>
      </c>
      <c r="B2194" t="s">
        <v>17</v>
      </c>
      <c r="C2194" t="s">
        <v>9</v>
      </c>
      <c r="D2194" s="3">
        <v>781.42</v>
      </c>
      <c r="E2194" s="3">
        <v>0</v>
      </c>
      <c r="F2194" t="s">
        <v>45</v>
      </c>
      <c r="G2194" s="3">
        <f t="shared" si="260"/>
        <v>-781.42</v>
      </c>
      <c r="H2194" s="3">
        <f t="shared" si="261"/>
        <v>781.42</v>
      </c>
      <c r="I2194" s="5" t="str">
        <f t="shared" si="262"/>
        <v>017</v>
      </c>
      <c r="J2194" s="5" t="str">
        <f t="shared" si="263"/>
        <v>2220</v>
      </c>
      <c r="K2194" s="5" t="str">
        <f t="shared" si="264"/>
        <v>000</v>
      </c>
      <c r="L2194" s="5">
        <f t="shared" si="265"/>
        <v>5</v>
      </c>
      <c r="M2194" s="5">
        <f t="shared" si="266"/>
        <v>2012</v>
      </c>
    </row>
    <row r="2195" spans="1:13" ht="17.45" customHeight="1" x14ac:dyDescent="0.25">
      <c r="A2195" s="1">
        <f>DATE(2012,5,1)</f>
        <v>41030</v>
      </c>
      <c r="B2195" t="s">
        <v>18</v>
      </c>
      <c r="C2195" t="s">
        <v>10</v>
      </c>
      <c r="D2195" s="3">
        <v>79.805000000000007</v>
      </c>
      <c r="E2195" s="3">
        <v>0</v>
      </c>
      <c r="F2195" t="s">
        <v>45</v>
      </c>
      <c r="G2195" s="3">
        <f t="shared" si="260"/>
        <v>-79.805000000000007</v>
      </c>
      <c r="H2195" s="3">
        <f t="shared" si="261"/>
        <v>79.805000000000007</v>
      </c>
      <c r="I2195" s="5" t="str">
        <f t="shared" si="262"/>
        <v>017</v>
      </c>
      <c r="J2195" s="5" t="str">
        <f t="shared" si="263"/>
        <v>2230</v>
      </c>
      <c r="K2195" s="5" t="str">
        <f t="shared" si="264"/>
        <v>000</v>
      </c>
      <c r="L2195" s="5">
        <f t="shared" si="265"/>
        <v>5</v>
      </c>
      <c r="M2195" s="5">
        <f t="shared" si="266"/>
        <v>2012</v>
      </c>
    </row>
    <row r="2196" spans="1:13" ht="17.45" customHeight="1" x14ac:dyDescent="0.25">
      <c r="A2196" s="1">
        <f>DATE(2012,5,2)</f>
        <v>41031</v>
      </c>
      <c r="B2196" t="s">
        <v>15</v>
      </c>
      <c r="C2196" t="s">
        <v>6</v>
      </c>
      <c r="D2196" s="3">
        <v>8850.2831999999999</v>
      </c>
      <c r="E2196" s="3">
        <v>0</v>
      </c>
      <c r="F2196" t="s">
        <v>45</v>
      </c>
      <c r="G2196" s="3">
        <f t="shared" si="260"/>
        <v>-8850.2831999999999</v>
      </c>
      <c r="H2196" s="3">
        <f t="shared" si="261"/>
        <v>8850.2831999999999</v>
      </c>
      <c r="I2196" s="5" t="str">
        <f t="shared" si="262"/>
        <v>017</v>
      </c>
      <c r="J2196" s="5" t="str">
        <f t="shared" si="263"/>
        <v>2100</v>
      </c>
      <c r="K2196" s="5" t="str">
        <f t="shared" si="264"/>
        <v>000</v>
      </c>
      <c r="L2196" s="5">
        <f t="shared" si="265"/>
        <v>5</v>
      </c>
      <c r="M2196" s="5">
        <f t="shared" si="266"/>
        <v>2012</v>
      </c>
    </row>
    <row r="2197" spans="1:13" ht="17.45" customHeight="1" x14ac:dyDescent="0.25">
      <c r="A2197" s="1">
        <f>DATE(2012,5,2)</f>
        <v>41031</v>
      </c>
      <c r="B2197" t="s">
        <v>16</v>
      </c>
      <c r="C2197" t="s">
        <v>8</v>
      </c>
      <c r="D2197" s="3">
        <v>1784.37</v>
      </c>
      <c r="E2197" s="3">
        <v>0</v>
      </c>
      <c r="F2197" t="s">
        <v>45</v>
      </c>
      <c r="G2197" s="3">
        <f t="shared" si="260"/>
        <v>-1784.37</v>
      </c>
      <c r="H2197" s="3">
        <f t="shared" si="261"/>
        <v>1784.37</v>
      </c>
      <c r="I2197" s="5" t="str">
        <f t="shared" si="262"/>
        <v>017</v>
      </c>
      <c r="J2197" s="5" t="str">
        <f t="shared" si="263"/>
        <v>2210</v>
      </c>
      <c r="K2197" s="5" t="str">
        <f t="shared" si="264"/>
        <v>000</v>
      </c>
      <c r="L2197" s="5">
        <f t="shared" si="265"/>
        <v>5</v>
      </c>
      <c r="M2197" s="5">
        <f t="shared" si="266"/>
        <v>2012</v>
      </c>
    </row>
    <row r="2198" spans="1:13" ht="17.45" customHeight="1" x14ac:dyDescent="0.25">
      <c r="A2198" s="1">
        <f>DATE(2012,5,2)</f>
        <v>41031</v>
      </c>
      <c r="B2198" t="s">
        <v>17</v>
      </c>
      <c r="C2198" t="s">
        <v>9</v>
      </c>
      <c r="D2198" s="3">
        <v>477.7525</v>
      </c>
      <c r="E2198" s="3">
        <v>0</v>
      </c>
      <c r="F2198" t="s">
        <v>45</v>
      </c>
      <c r="G2198" s="3">
        <f t="shared" si="260"/>
        <v>-477.7525</v>
      </c>
      <c r="H2198" s="3">
        <f t="shared" si="261"/>
        <v>477.7525</v>
      </c>
      <c r="I2198" s="5" t="str">
        <f t="shared" si="262"/>
        <v>017</v>
      </c>
      <c r="J2198" s="5" t="str">
        <f t="shared" si="263"/>
        <v>2220</v>
      </c>
      <c r="K2198" s="5" t="str">
        <f t="shared" si="264"/>
        <v>000</v>
      </c>
      <c r="L2198" s="5">
        <f t="shared" si="265"/>
        <v>5</v>
      </c>
      <c r="M2198" s="5">
        <f t="shared" si="266"/>
        <v>2012</v>
      </c>
    </row>
    <row r="2199" spans="1:13" ht="17.45" customHeight="1" x14ac:dyDescent="0.25">
      <c r="A2199" s="1">
        <f>DATE(2012,5,2)</f>
        <v>41031</v>
      </c>
      <c r="B2199" t="s">
        <v>18</v>
      </c>
      <c r="C2199" t="s">
        <v>10</v>
      </c>
      <c r="D2199" s="3">
        <v>90.785000000000011</v>
      </c>
      <c r="E2199" s="3">
        <v>0</v>
      </c>
      <c r="F2199" t="s">
        <v>45</v>
      </c>
      <c r="G2199" s="3">
        <f t="shared" si="260"/>
        <v>-90.785000000000011</v>
      </c>
      <c r="H2199" s="3">
        <f t="shared" si="261"/>
        <v>90.785000000000011</v>
      </c>
      <c r="I2199" s="5" t="str">
        <f t="shared" si="262"/>
        <v>017</v>
      </c>
      <c r="J2199" s="5" t="str">
        <f t="shared" si="263"/>
        <v>2230</v>
      </c>
      <c r="K2199" s="5" t="str">
        <f t="shared" si="264"/>
        <v>000</v>
      </c>
      <c r="L2199" s="5">
        <f t="shared" si="265"/>
        <v>5</v>
      </c>
      <c r="M2199" s="5">
        <f t="shared" si="266"/>
        <v>2012</v>
      </c>
    </row>
    <row r="2200" spans="1:13" ht="17.45" customHeight="1" x14ac:dyDescent="0.25">
      <c r="A2200" s="1">
        <f>DATE(2012,5,3)</f>
        <v>41032</v>
      </c>
      <c r="B2200" t="s">
        <v>15</v>
      </c>
      <c r="C2200" t="s">
        <v>6</v>
      </c>
      <c r="D2200" s="3">
        <v>4252.0716000000002</v>
      </c>
      <c r="E2200" s="3">
        <v>0</v>
      </c>
      <c r="F2200" t="s">
        <v>45</v>
      </c>
      <c r="G2200" s="3">
        <f t="shared" si="260"/>
        <v>-4252.0716000000002</v>
      </c>
      <c r="H2200" s="3">
        <f t="shared" si="261"/>
        <v>4252.0716000000002</v>
      </c>
      <c r="I2200" s="5" t="str">
        <f t="shared" si="262"/>
        <v>017</v>
      </c>
      <c r="J2200" s="5" t="str">
        <f t="shared" si="263"/>
        <v>2100</v>
      </c>
      <c r="K2200" s="5" t="str">
        <f t="shared" si="264"/>
        <v>000</v>
      </c>
      <c r="L2200" s="5">
        <f t="shared" si="265"/>
        <v>5</v>
      </c>
      <c r="M2200" s="5">
        <f t="shared" si="266"/>
        <v>2012</v>
      </c>
    </row>
    <row r="2201" spans="1:13" ht="17.45" customHeight="1" x14ac:dyDescent="0.25">
      <c r="A2201" s="1">
        <f>DATE(2012,5,3)</f>
        <v>41032</v>
      </c>
      <c r="B2201" t="s">
        <v>16</v>
      </c>
      <c r="C2201" t="s">
        <v>8</v>
      </c>
      <c r="D2201" s="3">
        <v>1567.9940000000001</v>
      </c>
      <c r="E2201" s="3">
        <v>0</v>
      </c>
      <c r="F2201" t="s">
        <v>45</v>
      </c>
      <c r="G2201" s="3">
        <f t="shared" si="260"/>
        <v>-1567.9940000000001</v>
      </c>
      <c r="H2201" s="3">
        <f t="shared" si="261"/>
        <v>1567.9940000000001</v>
      </c>
      <c r="I2201" s="5" t="str">
        <f t="shared" si="262"/>
        <v>017</v>
      </c>
      <c r="J2201" s="5" t="str">
        <f t="shared" si="263"/>
        <v>2210</v>
      </c>
      <c r="K2201" s="5" t="str">
        <f t="shared" si="264"/>
        <v>000</v>
      </c>
      <c r="L2201" s="5">
        <f t="shared" si="265"/>
        <v>5</v>
      </c>
      <c r="M2201" s="5">
        <f t="shared" si="266"/>
        <v>2012</v>
      </c>
    </row>
    <row r="2202" spans="1:13" ht="17.45" customHeight="1" x14ac:dyDescent="0.25">
      <c r="A2202" s="1">
        <f>DATE(2012,5,3)</f>
        <v>41032</v>
      </c>
      <c r="B2202" t="s">
        <v>17</v>
      </c>
      <c r="C2202" t="s">
        <v>9</v>
      </c>
      <c r="D2202" s="3">
        <v>617.8125</v>
      </c>
      <c r="E2202" s="3">
        <v>0</v>
      </c>
      <c r="F2202" t="s">
        <v>45</v>
      </c>
      <c r="G2202" s="3">
        <f t="shared" si="260"/>
        <v>-617.8125</v>
      </c>
      <c r="H2202" s="3">
        <f t="shared" si="261"/>
        <v>617.8125</v>
      </c>
      <c r="I2202" s="5" t="str">
        <f t="shared" si="262"/>
        <v>017</v>
      </c>
      <c r="J2202" s="5" t="str">
        <f t="shared" si="263"/>
        <v>2220</v>
      </c>
      <c r="K2202" s="5" t="str">
        <f t="shared" si="264"/>
        <v>000</v>
      </c>
      <c r="L2202" s="5">
        <f t="shared" si="265"/>
        <v>5</v>
      </c>
      <c r="M2202" s="5">
        <f t="shared" si="266"/>
        <v>2012</v>
      </c>
    </row>
    <row r="2203" spans="1:13" ht="17.45" customHeight="1" x14ac:dyDescent="0.25">
      <c r="A2203" s="1">
        <f>DATE(2012,5,3)</f>
        <v>41032</v>
      </c>
      <c r="B2203" t="s">
        <v>18</v>
      </c>
      <c r="C2203" t="s">
        <v>10</v>
      </c>
      <c r="D2203" s="3">
        <v>144.816</v>
      </c>
      <c r="E2203" s="3">
        <v>0</v>
      </c>
      <c r="F2203" t="s">
        <v>45</v>
      </c>
      <c r="G2203" s="3">
        <f t="shared" si="260"/>
        <v>-144.816</v>
      </c>
      <c r="H2203" s="3">
        <f t="shared" si="261"/>
        <v>144.816</v>
      </c>
      <c r="I2203" s="5" t="str">
        <f t="shared" si="262"/>
        <v>017</v>
      </c>
      <c r="J2203" s="5" t="str">
        <f t="shared" si="263"/>
        <v>2230</v>
      </c>
      <c r="K2203" s="5" t="str">
        <f t="shared" si="264"/>
        <v>000</v>
      </c>
      <c r="L2203" s="5">
        <f t="shared" si="265"/>
        <v>5</v>
      </c>
      <c r="M2203" s="5">
        <f t="shared" si="266"/>
        <v>2012</v>
      </c>
    </row>
    <row r="2204" spans="1:13" ht="17.45" customHeight="1" x14ac:dyDescent="0.25">
      <c r="A2204" s="1">
        <f>DATE(2012,5,4)</f>
        <v>41033</v>
      </c>
      <c r="B2204" t="s">
        <v>15</v>
      </c>
      <c r="C2204" t="s">
        <v>6</v>
      </c>
      <c r="D2204" s="3">
        <v>7984.1926999999996</v>
      </c>
      <c r="E2204" s="3">
        <v>0</v>
      </c>
      <c r="F2204" t="s">
        <v>45</v>
      </c>
      <c r="G2204" s="3">
        <f t="shared" si="260"/>
        <v>-7984.1926999999996</v>
      </c>
      <c r="H2204" s="3">
        <f t="shared" si="261"/>
        <v>7984.1926999999996</v>
      </c>
      <c r="I2204" s="5" t="str">
        <f t="shared" si="262"/>
        <v>017</v>
      </c>
      <c r="J2204" s="5" t="str">
        <f t="shared" si="263"/>
        <v>2100</v>
      </c>
      <c r="K2204" s="5" t="str">
        <f t="shared" si="264"/>
        <v>000</v>
      </c>
      <c r="L2204" s="5">
        <f t="shared" si="265"/>
        <v>5</v>
      </c>
      <c r="M2204" s="5">
        <f t="shared" si="266"/>
        <v>2012</v>
      </c>
    </row>
    <row r="2205" spans="1:13" ht="17.45" customHeight="1" x14ac:dyDescent="0.25">
      <c r="A2205" s="1">
        <f>DATE(2012,5,4)</f>
        <v>41033</v>
      </c>
      <c r="B2205" t="s">
        <v>16</v>
      </c>
      <c r="C2205" t="s">
        <v>8</v>
      </c>
      <c r="D2205" s="3">
        <v>2780.7359999999999</v>
      </c>
      <c r="E2205" s="3">
        <v>0</v>
      </c>
      <c r="F2205" t="s">
        <v>45</v>
      </c>
      <c r="G2205" s="3">
        <f t="shared" si="260"/>
        <v>-2780.7359999999999</v>
      </c>
      <c r="H2205" s="3">
        <f t="shared" si="261"/>
        <v>2780.7359999999999</v>
      </c>
      <c r="I2205" s="5" t="str">
        <f t="shared" si="262"/>
        <v>017</v>
      </c>
      <c r="J2205" s="5" t="str">
        <f t="shared" si="263"/>
        <v>2210</v>
      </c>
      <c r="K2205" s="5" t="str">
        <f t="shared" si="264"/>
        <v>000</v>
      </c>
      <c r="L2205" s="5">
        <f t="shared" si="265"/>
        <v>5</v>
      </c>
      <c r="M2205" s="5">
        <f t="shared" si="266"/>
        <v>2012</v>
      </c>
    </row>
    <row r="2206" spans="1:13" ht="17.45" customHeight="1" x14ac:dyDescent="0.25">
      <c r="A2206" s="1">
        <f>DATE(2012,5,4)</f>
        <v>41033</v>
      </c>
      <c r="B2206" t="s">
        <v>17</v>
      </c>
      <c r="C2206" t="s">
        <v>9</v>
      </c>
      <c r="D2206" s="3">
        <v>518.33249999999998</v>
      </c>
      <c r="E2206" s="3">
        <v>0</v>
      </c>
      <c r="F2206" t="s">
        <v>45</v>
      </c>
      <c r="G2206" s="3">
        <f t="shared" si="260"/>
        <v>-518.33249999999998</v>
      </c>
      <c r="H2206" s="3">
        <f t="shared" si="261"/>
        <v>518.33249999999998</v>
      </c>
      <c r="I2206" s="5" t="str">
        <f t="shared" si="262"/>
        <v>017</v>
      </c>
      <c r="J2206" s="5" t="str">
        <f t="shared" si="263"/>
        <v>2220</v>
      </c>
      <c r="K2206" s="5" t="str">
        <f t="shared" si="264"/>
        <v>000</v>
      </c>
      <c r="L2206" s="5">
        <f t="shared" si="265"/>
        <v>5</v>
      </c>
      <c r="M2206" s="5">
        <f t="shared" si="266"/>
        <v>2012</v>
      </c>
    </row>
    <row r="2207" spans="1:13" ht="17.45" customHeight="1" x14ac:dyDescent="0.25">
      <c r="A2207" s="1">
        <f>DATE(2012,5,4)</f>
        <v>41033</v>
      </c>
      <c r="B2207" t="s">
        <v>18</v>
      </c>
      <c r="C2207" t="s">
        <v>10</v>
      </c>
      <c r="D2207" s="3">
        <v>286.358</v>
      </c>
      <c r="E2207" s="3">
        <v>0</v>
      </c>
      <c r="F2207" t="s">
        <v>45</v>
      </c>
      <c r="G2207" s="3">
        <f t="shared" si="260"/>
        <v>-286.358</v>
      </c>
      <c r="H2207" s="3">
        <f t="shared" si="261"/>
        <v>286.358</v>
      </c>
      <c r="I2207" s="5" t="str">
        <f t="shared" si="262"/>
        <v>017</v>
      </c>
      <c r="J2207" s="5" t="str">
        <f t="shared" si="263"/>
        <v>2230</v>
      </c>
      <c r="K2207" s="5" t="str">
        <f t="shared" si="264"/>
        <v>000</v>
      </c>
      <c r="L2207" s="5">
        <f t="shared" si="265"/>
        <v>5</v>
      </c>
      <c r="M2207" s="5">
        <f t="shared" si="266"/>
        <v>2012</v>
      </c>
    </row>
    <row r="2208" spans="1:13" ht="17.45" customHeight="1" x14ac:dyDescent="0.25">
      <c r="A2208" s="1">
        <f>DATE(2012,5,5)</f>
        <v>41034</v>
      </c>
      <c r="B2208" t="s">
        <v>15</v>
      </c>
      <c r="C2208" t="s">
        <v>6</v>
      </c>
      <c r="D2208" s="3">
        <v>14785.620999999999</v>
      </c>
      <c r="E2208" s="3">
        <v>0</v>
      </c>
      <c r="F2208" t="s">
        <v>45</v>
      </c>
      <c r="G2208" s="3">
        <f t="shared" si="260"/>
        <v>-14785.620999999999</v>
      </c>
      <c r="H2208" s="3">
        <f t="shared" si="261"/>
        <v>14785.620999999999</v>
      </c>
      <c r="I2208" s="5" t="str">
        <f t="shared" si="262"/>
        <v>017</v>
      </c>
      <c r="J2208" s="5" t="str">
        <f t="shared" si="263"/>
        <v>2100</v>
      </c>
      <c r="K2208" s="5" t="str">
        <f t="shared" si="264"/>
        <v>000</v>
      </c>
      <c r="L2208" s="5">
        <f t="shared" si="265"/>
        <v>5</v>
      </c>
      <c r="M2208" s="5">
        <f t="shared" si="266"/>
        <v>2012</v>
      </c>
    </row>
    <row r="2209" spans="1:13" ht="17.45" customHeight="1" x14ac:dyDescent="0.25">
      <c r="A2209" s="1">
        <f>DATE(2012,5,5)</f>
        <v>41034</v>
      </c>
      <c r="B2209" t="s">
        <v>16</v>
      </c>
      <c r="C2209" t="s">
        <v>8</v>
      </c>
      <c r="D2209" s="3">
        <v>10819.5965</v>
      </c>
      <c r="E2209" s="3">
        <v>0</v>
      </c>
      <c r="F2209" t="s">
        <v>45</v>
      </c>
      <c r="G2209" s="3">
        <f t="shared" si="260"/>
        <v>-10819.5965</v>
      </c>
      <c r="H2209" s="3">
        <f t="shared" si="261"/>
        <v>10819.5965</v>
      </c>
      <c r="I2209" s="5" t="str">
        <f t="shared" si="262"/>
        <v>017</v>
      </c>
      <c r="J2209" s="5" t="str">
        <f t="shared" si="263"/>
        <v>2210</v>
      </c>
      <c r="K2209" s="5" t="str">
        <f t="shared" si="264"/>
        <v>000</v>
      </c>
      <c r="L2209" s="5">
        <f t="shared" si="265"/>
        <v>5</v>
      </c>
      <c r="M2209" s="5">
        <f t="shared" si="266"/>
        <v>2012</v>
      </c>
    </row>
    <row r="2210" spans="1:13" ht="17.45" customHeight="1" x14ac:dyDescent="0.25">
      <c r="A2210" s="1">
        <f>DATE(2012,5,5)</f>
        <v>41034</v>
      </c>
      <c r="B2210" t="s">
        <v>17</v>
      </c>
      <c r="C2210" t="s">
        <v>9</v>
      </c>
      <c r="D2210" s="3">
        <v>1296.8799999999999</v>
      </c>
      <c r="E2210" s="3">
        <v>0</v>
      </c>
      <c r="F2210" t="s">
        <v>45</v>
      </c>
      <c r="G2210" s="3">
        <f t="shared" si="260"/>
        <v>-1296.8799999999999</v>
      </c>
      <c r="H2210" s="3">
        <f t="shared" si="261"/>
        <v>1296.8799999999999</v>
      </c>
      <c r="I2210" s="5" t="str">
        <f t="shared" si="262"/>
        <v>017</v>
      </c>
      <c r="J2210" s="5" t="str">
        <f t="shared" si="263"/>
        <v>2220</v>
      </c>
      <c r="K2210" s="5" t="str">
        <f t="shared" si="264"/>
        <v>000</v>
      </c>
      <c r="L2210" s="5">
        <f t="shared" si="265"/>
        <v>5</v>
      </c>
      <c r="M2210" s="5">
        <f t="shared" si="266"/>
        <v>2012</v>
      </c>
    </row>
    <row r="2211" spans="1:13" ht="17.45" customHeight="1" x14ac:dyDescent="0.25">
      <c r="A2211" s="1">
        <f>DATE(2012,5,5)</f>
        <v>41034</v>
      </c>
      <c r="B2211" t="s">
        <v>18</v>
      </c>
      <c r="C2211" t="s">
        <v>10</v>
      </c>
      <c r="D2211" s="3">
        <v>236.13</v>
      </c>
      <c r="E2211" s="3">
        <v>0</v>
      </c>
      <c r="F2211" t="s">
        <v>45</v>
      </c>
      <c r="G2211" s="3">
        <f t="shared" si="260"/>
        <v>-236.13</v>
      </c>
      <c r="H2211" s="3">
        <f t="shared" si="261"/>
        <v>236.13</v>
      </c>
      <c r="I2211" s="5" t="str">
        <f t="shared" si="262"/>
        <v>017</v>
      </c>
      <c r="J2211" s="5" t="str">
        <f t="shared" si="263"/>
        <v>2230</v>
      </c>
      <c r="K2211" s="5" t="str">
        <f t="shared" si="264"/>
        <v>000</v>
      </c>
      <c r="L2211" s="5">
        <f t="shared" si="265"/>
        <v>5</v>
      </c>
      <c r="M2211" s="5">
        <f t="shared" si="266"/>
        <v>2012</v>
      </c>
    </row>
    <row r="2212" spans="1:13" ht="17.45" customHeight="1" x14ac:dyDescent="0.25">
      <c r="A2212" s="1">
        <f>DATE(2012,5,6)</f>
        <v>41035</v>
      </c>
      <c r="B2212" t="s">
        <v>15</v>
      </c>
      <c r="C2212" t="s">
        <v>6</v>
      </c>
      <c r="D2212" s="3">
        <v>5783.87</v>
      </c>
      <c r="E2212" s="3">
        <v>0</v>
      </c>
      <c r="F2212" t="s">
        <v>45</v>
      </c>
      <c r="G2212" s="3">
        <f t="shared" si="260"/>
        <v>-5783.87</v>
      </c>
      <c r="H2212" s="3">
        <f t="shared" si="261"/>
        <v>5783.87</v>
      </c>
      <c r="I2212" s="5" t="str">
        <f t="shared" si="262"/>
        <v>017</v>
      </c>
      <c r="J2212" s="5" t="str">
        <f t="shared" si="263"/>
        <v>2100</v>
      </c>
      <c r="K2212" s="5" t="str">
        <f t="shared" si="264"/>
        <v>000</v>
      </c>
      <c r="L2212" s="5">
        <f t="shared" si="265"/>
        <v>5</v>
      </c>
      <c r="M2212" s="5">
        <f t="shared" si="266"/>
        <v>2012</v>
      </c>
    </row>
    <row r="2213" spans="1:13" ht="17.45" customHeight="1" x14ac:dyDescent="0.25">
      <c r="A2213" s="1">
        <f>DATE(2012,5,6)</f>
        <v>41035</v>
      </c>
      <c r="B2213" t="s">
        <v>16</v>
      </c>
      <c r="C2213" t="s">
        <v>8</v>
      </c>
      <c r="D2213" s="3">
        <v>1592.3925000000002</v>
      </c>
      <c r="E2213" s="3">
        <v>0</v>
      </c>
      <c r="F2213" t="s">
        <v>45</v>
      </c>
      <c r="G2213" s="3">
        <f t="shared" si="260"/>
        <v>-1592.3925000000002</v>
      </c>
      <c r="H2213" s="3">
        <f t="shared" si="261"/>
        <v>1592.3925000000002</v>
      </c>
      <c r="I2213" s="5" t="str">
        <f t="shared" si="262"/>
        <v>017</v>
      </c>
      <c r="J2213" s="5" t="str">
        <f t="shared" si="263"/>
        <v>2210</v>
      </c>
      <c r="K2213" s="5" t="str">
        <f t="shared" si="264"/>
        <v>000</v>
      </c>
      <c r="L2213" s="5">
        <f t="shared" si="265"/>
        <v>5</v>
      </c>
      <c r="M2213" s="5">
        <f t="shared" si="266"/>
        <v>2012</v>
      </c>
    </row>
    <row r="2214" spans="1:13" ht="17.45" customHeight="1" x14ac:dyDescent="0.25">
      <c r="A2214" s="1">
        <f>DATE(2012,5,6)</f>
        <v>41035</v>
      </c>
      <c r="B2214" t="s">
        <v>17</v>
      </c>
      <c r="C2214" t="s">
        <v>9</v>
      </c>
      <c r="D2214" s="3">
        <v>234.69749999999999</v>
      </c>
      <c r="E2214" s="3">
        <v>0</v>
      </c>
      <c r="F2214" t="s">
        <v>45</v>
      </c>
      <c r="G2214" s="3">
        <f t="shared" si="260"/>
        <v>-234.69749999999999</v>
      </c>
      <c r="H2214" s="3">
        <f t="shared" si="261"/>
        <v>234.69749999999999</v>
      </c>
      <c r="I2214" s="5" t="str">
        <f t="shared" si="262"/>
        <v>017</v>
      </c>
      <c r="J2214" s="5" t="str">
        <f t="shared" si="263"/>
        <v>2220</v>
      </c>
      <c r="K2214" s="5" t="str">
        <f t="shared" si="264"/>
        <v>000</v>
      </c>
      <c r="L2214" s="5">
        <f t="shared" si="265"/>
        <v>5</v>
      </c>
      <c r="M2214" s="5">
        <f t="shared" si="266"/>
        <v>2012</v>
      </c>
    </row>
    <row r="2215" spans="1:13" ht="17.45" customHeight="1" x14ac:dyDescent="0.25">
      <c r="A2215" s="1">
        <f>DATE(2012,5,6)</f>
        <v>41035</v>
      </c>
      <c r="B2215" t="s">
        <v>18</v>
      </c>
      <c r="C2215" t="s">
        <v>10</v>
      </c>
      <c r="D2215" s="3">
        <v>155.88300000000001</v>
      </c>
      <c r="E2215" s="3">
        <v>0</v>
      </c>
      <c r="F2215" t="s">
        <v>45</v>
      </c>
      <c r="G2215" s="3">
        <f t="shared" si="260"/>
        <v>-155.88300000000001</v>
      </c>
      <c r="H2215" s="3">
        <f t="shared" si="261"/>
        <v>155.88300000000001</v>
      </c>
      <c r="I2215" s="5" t="str">
        <f t="shared" si="262"/>
        <v>017</v>
      </c>
      <c r="J2215" s="5" t="str">
        <f t="shared" si="263"/>
        <v>2230</v>
      </c>
      <c r="K2215" s="5" t="str">
        <f t="shared" si="264"/>
        <v>000</v>
      </c>
      <c r="L2215" s="5">
        <f t="shared" si="265"/>
        <v>5</v>
      </c>
      <c r="M2215" s="5">
        <f t="shared" si="266"/>
        <v>2012</v>
      </c>
    </row>
    <row r="2216" spans="1:13" ht="17.45" customHeight="1" x14ac:dyDescent="0.25">
      <c r="A2216" s="1">
        <f>DATE(2012,4,30)</f>
        <v>41029</v>
      </c>
      <c r="B2216" t="s">
        <v>19</v>
      </c>
      <c r="C2216" t="s">
        <v>6</v>
      </c>
      <c r="D2216" s="3">
        <v>3858.1151</v>
      </c>
      <c r="E2216" s="3">
        <v>0</v>
      </c>
      <c r="F2216" t="s">
        <v>45</v>
      </c>
      <c r="G2216" s="3">
        <f t="shared" si="260"/>
        <v>-3858.1151</v>
      </c>
      <c r="H2216" s="3">
        <f t="shared" si="261"/>
        <v>3858.1151</v>
      </c>
      <c r="I2216" s="5" t="str">
        <f t="shared" si="262"/>
        <v>018</v>
      </c>
      <c r="J2216" s="5" t="str">
        <f t="shared" si="263"/>
        <v>2100</v>
      </c>
      <c r="K2216" s="5" t="str">
        <f t="shared" si="264"/>
        <v>000</v>
      </c>
      <c r="L2216" s="5">
        <f t="shared" si="265"/>
        <v>4</v>
      </c>
      <c r="M2216" s="5">
        <f t="shared" si="266"/>
        <v>2012</v>
      </c>
    </row>
    <row r="2217" spans="1:13" ht="17.45" customHeight="1" x14ac:dyDescent="0.25">
      <c r="A2217" s="1">
        <f>DATE(2012,4,30)</f>
        <v>41029</v>
      </c>
      <c r="B2217" t="s">
        <v>20</v>
      </c>
      <c r="C2217" t="s">
        <v>8</v>
      </c>
      <c r="D2217" s="3">
        <v>924.11249999999995</v>
      </c>
      <c r="E2217" s="3">
        <v>0</v>
      </c>
      <c r="F2217" t="s">
        <v>45</v>
      </c>
      <c r="G2217" s="3">
        <f t="shared" si="260"/>
        <v>-924.11249999999995</v>
      </c>
      <c r="H2217" s="3">
        <f t="shared" si="261"/>
        <v>924.11249999999995</v>
      </c>
      <c r="I2217" s="5" t="str">
        <f t="shared" si="262"/>
        <v>018</v>
      </c>
      <c r="J2217" s="5" t="str">
        <f t="shared" si="263"/>
        <v>2210</v>
      </c>
      <c r="K2217" s="5" t="str">
        <f t="shared" si="264"/>
        <v>000</v>
      </c>
      <c r="L2217" s="5">
        <f t="shared" si="265"/>
        <v>4</v>
      </c>
      <c r="M2217" s="5">
        <f t="shared" si="266"/>
        <v>2012</v>
      </c>
    </row>
    <row r="2218" spans="1:13" ht="17.45" customHeight="1" x14ac:dyDescent="0.25">
      <c r="A2218" s="1">
        <f>DATE(2012,4,30)</f>
        <v>41029</v>
      </c>
      <c r="B2218" t="s">
        <v>21</v>
      </c>
      <c r="C2218" t="s">
        <v>9</v>
      </c>
      <c r="D2218" s="3">
        <v>188.92999999999998</v>
      </c>
      <c r="E2218" s="3">
        <v>0</v>
      </c>
      <c r="F2218" t="s">
        <v>45</v>
      </c>
      <c r="G2218" s="3">
        <f t="shared" si="260"/>
        <v>-188.92999999999998</v>
      </c>
      <c r="H2218" s="3">
        <f t="shared" si="261"/>
        <v>188.92999999999998</v>
      </c>
      <c r="I2218" s="5" t="str">
        <f t="shared" si="262"/>
        <v>018</v>
      </c>
      <c r="J2218" s="5" t="str">
        <f t="shared" si="263"/>
        <v>2220</v>
      </c>
      <c r="K2218" s="5" t="str">
        <f t="shared" si="264"/>
        <v>000</v>
      </c>
      <c r="L2218" s="5">
        <f t="shared" si="265"/>
        <v>4</v>
      </c>
      <c r="M2218" s="5">
        <f t="shared" si="266"/>
        <v>2012</v>
      </c>
    </row>
    <row r="2219" spans="1:13" ht="17.45" customHeight="1" x14ac:dyDescent="0.25">
      <c r="A2219" s="1">
        <f>DATE(2012,4,30)</f>
        <v>41029</v>
      </c>
      <c r="B2219" t="s">
        <v>22</v>
      </c>
      <c r="C2219" t="s">
        <v>10</v>
      </c>
      <c r="D2219" s="3">
        <v>47.058</v>
      </c>
      <c r="E2219" s="3">
        <v>0</v>
      </c>
      <c r="F2219" t="s">
        <v>45</v>
      </c>
      <c r="G2219" s="3">
        <f t="shared" si="260"/>
        <v>-47.058</v>
      </c>
      <c r="H2219" s="3">
        <f t="shared" si="261"/>
        <v>47.058</v>
      </c>
      <c r="I2219" s="5" t="str">
        <f t="shared" si="262"/>
        <v>018</v>
      </c>
      <c r="J2219" s="5" t="str">
        <f t="shared" si="263"/>
        <v>2230</v>
      </c>
      <c r="K2219" s="5" t="str">
        <f t="shared" si="264"/>
        <v>000</v>
      </c>
      <c r="L2219" s="5">
        <f t="shared" si="265"/>
        <v>4</v>
      </c>
      <c r="M2219" s="5">
        <f t="shared" si="266"/>
        <v>2012</v>
      </c>
    </row>
    <row r="2220" spans="1:13" ht="17.45" customHeight="1" x14ac:dyDescent="0.25">
      <c r="A2220" s="1">
        <f>DATE(2012,5,1)</f>
        <v>41030</v>
      </c>
      <c r="B2220" t="s">
        <v>19</v>
      </c>
      <c r="C2220" t="s">
        <v>6</v>
      </c>
      <c r="D2220" s="3">
        <v>3808.3925000000004</v>
      </c>
      <c r="E2220" s="3">
        <v>0</v>
      </c>
      <c r="F2220" t="s">
        <v>45</v>
      </c>
      <c r="G2220" s="3">
        <f t="shared" si="260"/>
        <v>-3808.3925000000004</v>
      </c>
      <c r="H2220" s="3">
        <f t="shared" si="261"/>
        <v>3808.3925000000004</v>
      </c>
      <c r="I2220" s="5" t="str">
        <f t="shared" si="262"/>
        <v>018</v>
      </c>
      <c r="J2220" s="5" t="str">
        <f t="shared" si="263"/>
        <v>2100</v>
      </c>
      <c r="K2220" s="5" t="str">
        <f t="shared" si="264"/>
        <v>000</v>
      </c>
      <c r="L2220" s="5">
        <f t="shared" si="265"/>
        <v>5</v>
      </c>
      <c r="M2220" s="5">
        <f t="shared" si="266"/>
        <v>2012</v>
      </c>
    </row>
    <row r="2221" spans="1:13" ht="17.45" customHeight="1" x14ac:dyDescent="0.25">
      <c r="A2221" s="1">
        <f>DATE(2012,5,1)</f>
        <v>41030</v>
      </c>
      <c r="B2221" t="s">
        <v>20</v>
      </c>
      <c r="C2221" t="s">
        <v>8</v>
      </c>
      <c r="D2221" s="3">
        <v>523.88</v>
      </c>
      <c r="E2221" s="3">
        <v>0</v>
      </c>
      <c r="F2221" t="s">
        <v>45</v>
      </c>
      <c r="G2221" s="3">
        <f t="shared" si="260"/>
        <v>-523.88</v>
      </c>
      <c r="H2221" s="3">
        <f t="shared" si="261"/>
        <v>523.88</v>
      </c>
      <c r="I2221" s="5" t="str">
        <f t="shared" si="262"/>
        <v>018</v>
      </c>
      <c r="J2221" s="5" t="str">
        <f t="shared" si="263"/>
        <v>2210</v>
      </c>
      <c r="K2221" s="5" t="str">
        <f t="shared" si="264"/>
        <v>000</v>
      </c>
      <c r="L2221" s="5">
        <f t="shared" si="265"/>
        <v>5</v>
      </c>
      <c r="M2221" s="5">
        <f t="shared" si="266"/>
        <v>2012</v>
      </c>
    </row>
    <row r="2222" spans="1:13" ht="17.45" customHeight="1" x14ac:dyDescent="0.25">
      <c r="A2222" s="1">
        <f>DATE(2012,5,1)</f>
        <v>41030</v>
      </c>
      <c r="B2222" t="s">
        <v>21</v>
      </c>
      <c r="C2222" t="s">
        <v>9</v>
      </c>
      <c r="D2222" s="3">
        <v>139.10399999999998</v>
      </c>
      <c r="E2222" s="3">
        <v>0</v>
      </c>
      <c r="F2222" t="s">
        <v>45</v>
      </c>
      <c r="G2222" s="3">
        <f t="shared" si="260"/>
        <v>-139.10399999999998</v>
      </c>
      <c r="H2222" s="3">
        <f t="shared" si="261"/>
        <v>139.10399999999998</v>
      </c>
      <c r="I2222" s="5" t="str">
        <f t="shared" si="262"/>
        <v>018</v>
      </c>
      <c r="J2222" s="5" t="str">
        <f t="shared" si="263"/>
        <v>2220</v>
      </c>
      <c r="K2222" s="5" t="str">
        <f t="shared" si="264"/>
        <v>000</v>
      </c>
      <c r="L2222" s="5">
        <f t="shared" si="265"/>
        <v>5</v>
      </c>
      <c r="M2222" s="5">
        <f t="shared" si="266"/>
        <v>2012</v>
      </c>
    </row>
    <row r="2223" spans="1:13" ht="17.45" customHeight="1" x14ac:dyDescent="0.25">
      <c r="A2223" s="1">
        <f>DATE(2012,5,1)</f>
        <v>41030</v>
      </c>
      <c r="B2223" t="s">
        <v>22</v>
      </c>
      <c r="C2223" t="s">
        <v>10</v>
      </c>
      <c r="D2223" s="3">
        <v>12.167999999999999</v>
      </c>
      <c r="E2223" s="3">
        <v>0</v>
      </c>
      <c r="F2223" t="s">
        <v>45</v>
      </c>
      <c r="G2223" s="3">
        <f t="shared" si="260"/>
        <v>-12.167999999999999</v>
      </c>
      <c r="H2223" s="3">
        <f t="shared" si="261"/>
        <v>12.167999999999999</v>
      </c>
      <c r="I2223" s="5" t="str">
        <f t="shared" si="262"/>
        <v>018</v>
      </c>
      <c r="J2223" s="5" t="str">
        <f t="shared" si="263"/>
        <v>2230</v>
      </c>
      <c r="K2223" s="5" t="str">
        <f t="shared" si="264"/>
        <v>000</v>
      </c>
      <c r="L2223" s="5">
        <f t="shared" si="265"/>
        <v>5</v>
      </c>
      <c r="M2223" s="5">
        <f t="shared" si="266"/>
        <v>2012</v>
      </c>
    </row>
    <row r="2224" spans="1:13" ht="17.45" customHeight="1" x14ac:dyDescent="0.25">
      <c r="A2224" s="1">
        <f>DATE(2012,5,2)</f>
        <v>41031</v>
      </c>
      <c r="B2224" t="s">
        <v>19</v>
      </c>
      <c r="C2224" t="s">
        <v>6</v>
      </c>
      <c r="D2224" s="3">
        <v>4966.3680000000004</v>
      </c>
      <c r="E2224" s="3">
        <v>0</v>
      </c>
      <c r="F2224" t="s">
        <v>45</v>
      </c>
      <c r="G2224" s="3">
        <f t="shared" si="260"/>
        <v>-4966.3680000000004</v>
      </c>
      <c r="H2224" s="3">
        <f t="shared" si="261"/>
        <v>4966.3680000000004</v>
      </c>
      <c r="I2224" s="5" t="str">
        <f t="shared" si="262"/>
        <v>018</v>
      </c>
      <c r="J2224" s="5" t="str">
        <f t="shared" si="263"/>
        <v>2100</v>
      </c>
      <c r="K2224" s="5" t="str">
        <f t="shared" si="264"/>
        <v>000</v>
      </c>
      <c r="L2224" s="5">
        <f t="shared" si="265"/>
        <v>5</v>
      </c>
      <c r="M2224" s="5">
        <f t="shared" si="266"/>
        <v>2012</v>
      </c>
    </row>
    <row r="2225" spans="1:13" ht="17.45" customHeight="1" x14ac:dyDescent="0.25">
      <c r="A2225" s="1">
        <f>DATE(2012,5,2)</f>
        <v>41031</v>
      </c>
      <c r="B2225" t="s">
        <v>20</v>
      </c>
      <c r="C2225" t="s">
        <v>8</v>
      </c>
      <c r="D2225" s="3">
        <v>742.46399999999994</v>
      </c>
      <c r="E2225" s="3">
        <v>0</v>
      </c>
      <c r="F2225" t="s">
        <v>45</v>
      </c>
      <c r="G2225" s="3">
        <f t="shared" si="260"/>
        <v>-742.46399999999994</v>
      </c>
      <c r="H2225" s="3">
        <f t="shared" si="261"/>
        <v>742.46399999999994</v>
      </c>
      <c r="I2225" s="5" t="str">
        <f t="shared" si="262"/>
        <v>018</v>
      </c>
      <c r="J2225" s="5" t="str">
        <f t="shared" si="263"/>
        <v>2210</v>
      </c>
      <c r="K2225" s="5" t="str">
        <f t="shared" si="264"/>
        <v>000</v>
      </c>
      <c r="L2225" s="5">
        <f t="shared" si="265"/>
        <v>5</v>
      </c>
      <c r="M2225" s="5">
        <f t="shared" si="266"/>
        <v>2012</v>
      </c>
    </row>
    <row r="2226" spans="1:13" ht="17.45" customHeight="1" x14ac:dyDescent="0.25">
      <c r="A2226" s="1">
        <f>DATE(2012,5,2)</f>
        <v>41031</v>
      </c>
      <c r="B2226" t="s">
        <v>21</v>
      </c>
      <c r="C2226" t="s">
        <v>9</v>
      </c>
      <c r="D2226" s="3">
        <v>189.40299999999999</v>
      </c>
      <c r="E2226" s="3">
        <v>0</v>
      </c>
      <c r="F2226" t="s">
        <v>45</v>
      </c>
      <c r="G2226" s="3">
        <f t="shared" si="260"/>
        <v>-189.40299999999999</v>
      </c>
      <c r="H2226" s="3">
        <f t="shared" si="261"/>
        <v>189.40299999999999</v>
      </c>
      <c r="I2226" s="5" t="str">
        <f t="shared" si="262"/>
        <v>018</v>
      </c>
      <c r="J2226" s="5" t="str">
        <f t="shared" si="263"/>
        <v>2220</v>
      </c>
      <c r="K2226" s="5" t="str">
        <f t="shared" si="264"/>
        <v>000</v>
      </c>
      <c r="L2226" s="5">
        <f t="shared" si="265"/>
        <v>5</v>
      </c>
      <c r="M2226" s="5">
        <f t="shared" si="266"/>
        <v>2012</v>
      </c>
    </row>
    <row r="2227" spans="1:13" ht="17.45" customHeight="1" x14ac:dyDescent="0.25">
      <c r="A2227" s="1">
        <f>DATE(2012,5,2)</f>
        <v>41031</v>
      </c>
      <c r="B2227" t="s">
        <v>22</v>
      </c>
      <c r="C2227" t="s">
        <v>10</v>
      </c>
      <c r="D2227" s="3">
        <v>56.415999999999997</v>
      </c>
      <c r="E2227" s="3">
        <v>0</v>
      </c>
      <c r="F2227" t="s">
        <v>45</v>
      </c>
      <c r="G2227" s="3">
        <f t="shared" si="260"/>
        <v>-56.415999999999997</v>
      </c>
      <c r="H2227" s="3">
        <f t="shared" si="261"/>
        <v>56.415999999999997</v>
      </c>
      <c r="I2227" s="5" t="str">
        <f t="shared" si="262"/>
        <v>018</v>
      </c>
      <c r="J2227" s="5" t="str">
        <f t="shared" si="263"/>
        <v>2230</v>
      </c>
      <c r="K2227" s="5" t="str">
        <f t="shared" si="264"/>
        <v>000</v>
      </c>
      <c r="L2227" s="5">
        <f t="shared" si="265"/>
        <v>5</v>
      </c>
      <c r="M2227" s="5">
        <f t="shared" si="266"/>
        <v>2012</v>
      </c>
    </row>
    <row r="2228" spans="1:13" ht="17.45" customHeight="1" x14ac:dyDescent="0.25">
      <c r="A2228" s="1">
        <f>DATE(2012,5,3)</f>
        <v>41032</v>
      </c>
      <c r="B2228" t="s">
        <v>19</v>
      </c>
      <c r="C2228" t="s">
        <v>6</v>
      </c>
      <c r="D2228" s="3">
        <v>5730.8160000000007</v>
      </c>
      <c r="E2228" s="3">
        <v>0</v>
      </c>
      <c r="F2228" t="s">
        <v>45</v>
      </c>
      <c r="G2228" s="3">
        <f t="shared" si="260"/>
        <v>-5730.8160000000007</v>
      </c>
      <c r="H2228" s="3">
        <f t="shared" si="261"/>
        <v>5730.8160000000007</v>
      </c>
      <c r="I2228" s="5" t="str">
        <f t="shared" si="262"/>
        <v>018</v>
      </c>
      <c r="J2228" s="5" t="str">
        <f t="shared" si="263"/>
        <v>2100</v>
      </c>
      <c r="K2228" s="5" t="str">
        <f t="shared" si="264"/>
        <v>000</v>
      </c>
      <c r="L2228" s="5">
        <f t="shared" si="265"/>
        <v>5</v>
      </c>
      <c r="M2228" s="5">
        <f t="shared" si="266"/>
        <v>2012</v>
      </c>
    </row>
    <row r="2229" spans="1:13" ht="17.45" customHeight="1" x14ac:dyDescent="0.25">
      <c r="A2229" s="1">
        <f>DATE(2012,5,3)</f>
        <v>41032</v>
      </c>
      <c r="B2229" t="s">
        <v>20</v>
      </c>
      <c r="C2229" t="s">
        <v>8</v>
      </c>
      <c r="D2229" s="3">
        <v>965.94</v>
      </c>
      <c r="E2229" s="3">
        <v>0</v>
      </c>
      <c r="F2229" t="s">
        <v>45</v>
      </c>
      <c r="G2229" s="3">
        <f t="shared" si="260"/>
        <v>-965.94</v>
      </c>
      <c r="H2229" s="3">
        <f t="shared" si="261"/>
        <v>965.94</v>
      </c>
      <c r="I2229" s="5" t="str">
        <f t="shared" si="262"/>
        <v>018</v>
      </c>
      <c r="J2229" s="5" t="str">
        <f t="shared" si="263"/>
        <v>2210</v>
      </c>
      <c r="K2229" s="5" t="str">
        <f t="shared" si="264"/>
        <v>000</v>
      </c>
      <c r="L2229" s="5">
        <f t="shared" si="265"/>
        <v>5</v>
      </c>
      <c r="M2229" s="5">
        <f t="shared" si="266"/>
        <v>2012</v>
      </c>
    </row>
    <row r="2230" spans="1:13" ht="17.45" customHeight="1" x14ac:dyDescent="0.25">
      <c r="A2230" s="1">
        <f>DATE(2012,5,3)</f>
        <v>41032</v>
      </c>
      <c r="B2230" t="s">
        <v>21</v>
      </c>
      <c r="C2230" t="s">
        <v>9</v>
      </c>
      <c r="D2230" s="3">
        <v>289.03400000000005</v>
      </c>
      <c r="E2230" s="3">
        <v>0</v>
      </c>
      <c r="F2230" t="s">
        <v>45</v>
      </c>
      <c r="G2230" s="3">
        <f t="shared" si="260"/>
        <v>-289.03400000000005</v>
      </c>
      <c r="H2230" s="3">
        <f t="shared" si="261"/>
        <v>289.03400000000005</v>
      </c>
      <c r="I2230" s="5" t="str">
        <f t="shared" si="262"/>
        <v>018</v>
      </c>
      <c r="J2230" s="5" t="str">
        <f t="shared" si="263"/>
        <v>2220</v>
      </c>
      <c r="K2230" s="5" t="str">
        <f t="shared" si="264"/>
        <v>000</v>
      </c>
      <c r="L2230" s="5">
        <f t="shared" si="265"/>
        <v>5</v>
      </c>
      <c r="M2230" s="5">
        <f t="shared" si="266"/>
        <v>2012</v>
      </c>
    </row>
    <row r="2231" spans="1:13" ht="17.45" customHeight="1" x14ac:dyDescent="0.25">
      <c r="A2231" s="1">
        <f>DATE(2012,5,3)</f>
        <v>41032</v>
      </c>
      <c r="B2231" t="s">
        <v>22</v>
      </c>
      <c r="C2231" t="s">
        <v>10</v>
      </c>
      <c r="D2231" s="3">
        <v>38.870000000000005</v>
      </c>
      <c r="E2231" s="3">
        <v>0</v>
      </c>
      <c r="F2231" t="s">
        <v>45</v>
      </c>
      <c r="G2231" s="3">
        <f t="shared" si="260"/>
        <v>-38.870000000000005</v>
      </c>
      <c r="H2231" s="3">
        <f t="shared" si="261"/>
        <v>38.870000000000005</v>
      </c>
      <c r="I2231" s="5" t="str">
        <f t="shared" si="262"/>
        <v>018</v>
      </c>
      <c r="J2231" s="5" t="str">
        <f t="shared" si="263"/>
        <v>2230</v>
      </c>
      <c r="K2231" s="5" t="str">
        <f t="shared" si="264"/>
        <v>000</v>
      </c>
      <c r="L2231" s="5">
        <f t="shared" si="265"/>
        <v>5</v>
      </c>
      <c r="M2231" s="5">
        <f t="shared" si="266"/>
        <v>2012</v>
      </c>
    </row>
    <row r="2232" spans="1:13" ht="17.45" customHeight="1" x14ac:dyDescent="0.25">
      <c r="A2232" s="1">
        <f>DATE(2012,5,4)</f>
        <v>41033</v>
      </c>
      <c r="B2232" t="s">
        <v>19</v>
      </c>
      <c r="C2232" t="s">
        <v>6</v>
      </c>
      <c r="D2232" s="3">
        <v>8977.8431999999993</v>
      </c>
      <c r="E2232" s="3">
        <v>0</v>
      </c>
      <c r="F2232" t="s">
        <v>45</v>
      </c>
      <c r="G2232" s="3">
        <f t="shared" si="260"/>
        <v>-8977.8431999999993</v>
      </c>
      <c r="H2232" s="3">
        <f t="shared" si="261"/>
        <v>8977.8431999999993</v>
      </c>
      <c r="I2232" s="5" t="str">
        <f t="shared" si="262"/>
        <v>018</v>
      </c>
      <c r="J2232" s="5" t="str">
        <f t="shared" si="263"/>
        <v>2100</v>
      </c>
      <c r="K2232" s="5" t="str">
        <f t="shared" si="264"/>
        <v>000</v>
      </c>
      <c r="L2232" s="5">
        <f t="shared" si="265"/>
        <v>5</v>
      </c>
      <c r="M2232" s="5">
        <f t="shared" si="266"/>
        <v>2012</v>
      </c>
    </row>
    <row r="2233" spans="1:13" ht="17.45" customHeight="1" x14ac:dyDescent="0.25">
      <c r="A2233" s="1">
        <f>DATE(2012,5,4)</f>
        <v>41033</v>
      </c>
      <c r="B2233" t="s">
        <v>20</v>
      </c>
      <c r="C2233" t="s">
        <v>8</v>
      </c>
      <c r="D2233" s="3">
        <v>2776.9169999999999</v>
      </c>
      <c r="E2233" s="3">
        <v>0</v>
      </c>
      <c r="F2233" t="s">
        <v>45</v>
      </c>
      <c r="G2233" s="3">
        <f t="shared" si="260"/>
        <v>-2776.9169999999999</v>
      </c>
      <c r="H2233" s="3">
        <f t="shared" si="261"/>
        <v>2776.9169999999999</v>
      </c>
      <c r="I2233" s="5" t="str">
        <f t="shared" si="262"/>
        <v>018</v>
      </c>
      <c r="J2233" s="5" t="str">
        <f t="shared" si="263"/>
        <v>2210</v>
      </c>
      <c r="K2233" s="5" t="str">
        <f t="shared" si="264"/>
        <v>000</v>
      </c>
      <c r="L2233" s="5">
        <f t="shared" si="265"/>
        <v>5</v>
      </c>
      <c r="M2233" s="5">
        <f t="shared" si="266"/>
        <v>2012</v>
      </c>
    </row>
    <row r="2234" spans="1:13" ht="17.45" customHeight="1" x14ac:dyDescent="0.25">
      <c r="A2234" s="1">
        <f>DATE(2012,5,4)</f>
        <v>41033</v>
      </c>
      <c r="B2234" t="s">
        <v>21</v>
      </c>
      <c r="C2234" t="s">
        <v>9</v>
      </c>
      <c r="D2234" s="3">
        <v>723.35</v>
      </c>
      <c r="E2234" s="3">
        <v>0</v>
      </c>
      <c r="F2234" t="s">
        <v>45</v>
      </c>
      <c r="G2234" s="3">
        <f t="shared" si="260"/>
        <v>-723.35</v>
      </c>
      <c r="H2234" s="3">
        <f t="shared" si="261"/>
        <v>723.35</v>
      </c>
      <c r="I2234" s="5" t="str">
        <f t="shared" si="262"/>
        <v>018</v>
      </c>
      <c r="J2234" s="5" t="str">
        <f t="shared" si="263"/>
        <v>2220</v>
      </c>
      <c r="K2234" s="5" t="str">
        <f t="shared" si="264"/>
        <v>000</v>
      </c>
      <c r="L2234" s="5">
        <f t="shared" si="265"/>
        <v>5</v>
      </c>
      <c r="M2234" s="5">
        <f t="shared" si="266"/>
        <v>2012</v>
      </c>
    </row>
    <row r="2235" spans="1:13" ht="17.45" customHeight="1" x14ac:dyDescent="0.25">
      <c r="A2235" s="1">
        <f>DATE(2012,5,4)</f>
        <v>41033</v>
      </c>
      <c r="B2235" t="s">
        <v>22</v>
      </c>
      <c r="C2235" t="s">
        <v>10</v>
      </c>
      <c r="D2235" s="3">
        <v>57.238999999999997</v>
      </c>
      <c r="E2235" s="3">
        <v>0</v>
      </c>
      <c r="F2235" t="s">
        <v>45</v>
      </c>
      <c r="G2235" s="3">
        <f t="shared" si="260"/>
        <v>-57.238999999999997</v>
      </c>
      <c r="H2235" s="3">
        <f t="shared" si="261"/>
        <v>57.238999999999997</v>
      </c>
      <c r="I2235" s="5" t="str">
        <f t="shared" si="262"/>
        <v>018</v>
      </c>
      <c r="J2235" s="5" t="str">
        <f t="shared" si="263"/>
        <v>2230</v>
      </c>
      <c r="K2235" s="5" t="str">
        <f t="shared" si="264"/>
        <v>000</v>
      </c>
      <c r="L2235" s="5">
        <f t="shared" si="265"/>
        <v>5</v>
      </c>
      <c r="M2235" s="5">
        <f t="shared" si="266"/>
        <v>2012</v>
      </c>
    </row>
    <row r="2236" spans="1:13" ht="17.45" customHeight="1" x14ac:dyDescent="0.25">
      <c r="A2236" s="1">
        <f>DATE(2012,5,5)</f>
        <v>41034</v>
      </c>
      <c r="B2236" t="s">
        <v>19</v>
      </c>
      <c r="C2236" t="s">
        <v>6</v>
      </c>
      <c r="D2236" s="3">
        <v>17787.863499999999</v>
      </c>
      <c r="E2236" s="3">
        <v>0</v>
      </c>
      <c r="F2236" t="s">
        <v>45</v>
      </c>
      <c r="G2236" s="3">
        <f t="shared" si="260"/>
        <v>-17787.863499999999</v>
      </c>
      <c r="H2236" s="3">
        <f t="shared" si="261"/>
        <v>17787.863499999999</v>
      </c>
      <c r="I2236" s="5" t="str">
        <f t="shared" si="262"/>
        <v>018</v>
      </c>
      <c r="J2236" s="5" t="str">
        <f t="shared" si="263"/>
        <v>2100</v>
      </c>
      <c r="K2236" s="5" t="str">
        <f t="shared" si="264"/>
        <v>000</v>
      </c>
      <c r="L2236" s="5">
        <f t="shared" si="265"/>
        <v>5</v>
      </c>
      <c r="M2236" s="5">
        <f t="shared" si="266"/>
        <v>2012</v>
      </c>
    </row>
    <row r="2237" spans="1:13" ht="17.45" customHeight="1" x14ac:dyDescent="0.25">
      <c r="A2237" s="1">
        <f>DATE(2012,5,5)</f>
        <v>41034</v>
      </c>
      <c r="B2237" t="s">
        <v>20</v>
      </c>
      <c r="C2237" t="s">
        <v>8</v>
      </c>
      <c r="D2237" s="3">
        <v>9979.42</v>
      </c>
      <c r="E2237" s="3">
        <v>0</v>
      </c>
      <c r="F2237" t="s">
        <v>45</v>
      </c>
      <c r="G2237" s="3">
        <f t="shared" si="260"/>
        <v>-9979.42</v>
      </c>
      <c r="H2237" s="3">
        <f t="shared" si="261"/>
        <v>9979.42</v>
      </c>
      <c r="I2237" s="5" t="str">
        <f t="shared" si="262"/>
        <v>018</v>
      </c>
      <c r="J2237" s="5" t="str">
        <f t="shared" si="263"/>
        <v>2210</v>
      </c>
      <c r="K2237" s="5" t="str">
        <f t="shared" si="264"/>
        <v>000</v>
      </c>
      <c r="L2237" s="5">
        <f t="shared" si="265"/>
        <v>5</v>
      </c>
      <c r="M2237" s="5">
        <f t="shared" si="266"/>
        <v>2012</v>
      </c>
    </row>
    <row r="2238" spans="1:13" ht="17.45" customHeight="1" x14ac:dyDescent="0.25">
      <c r="A2238" s="1">
        <f>DATE(2012,5,5)</f>
        <v>41034</v>
      </c>
      <c r="B2238" t="s">
        <v>21</v>
      </c>
      <c r="C2238" t="s">
        <v>9</v>
      </c>
      <c r="D2238" s="3">
        <v>2729.4</v>
      </c>
      <c r="E2238" s="3">
        <v>0</v>
      </c>
      <c r="F2238" t="s">
        <v>45</v>
      </c>
      <c r="G2238" s="3">
        <f t="shared" si="260"/>
        <v>-2729.4</v>
      </c>
      <c r="H2238" s="3">
        <f t="shared" si="261"/>
        <v>2729.4</v>
      </c>
      <c r="I2238" s="5" t="str">
        <f t="shared" si="262"/>
        <v>018</v>
      </c>
      <c r="J2238" s="5" t="str">
        <f t="shared" si="263"/>
        <v>2220</v>
      </c>
      <c r="K2238" s="5" t="str">
        <f t="shared" si="264"/>
        <v>000</v>
      </c>
      <c r="L2238" s="5">
        <f t="shared" si="265"/>
        <v>5</v>
      </c>
      <c r="M2238" s="5">
        <f t="shared" si="266"/>
        <v>2012</v>
      </c>
    </row>
    <row r="2239" spans="1:13" ht="17.45" customHeight="1" x14ac:dyDescent="0.25">
      <c r="A2239" s="1">
        <f>DATE(2012,5,5)</f>
        <v>41034</v>
      </c>
      <c r="B2239" t="s">
        <v>22</v>
      </c>
      <c r="C2239" t="s">
        <v>10</v>
      </c>
      <c r="D2239" s="3">
        <v>103.4</v>
      </c>
      <c r="E2239" s="3">
        <v>0</v>
      </c>
      <c r="F2239" t="s">
        <v>45</v>
      </c>
      <c r="G2239" s="3">
        <f t="shared" si="260"/>
        <v>-103.4</v>
      </c>
      <c r="H2239" s="3">
        <f t="shared" si="261"/>
        <v>103.4</v>
      </c>
      <c r="I2239" s="5" t="str">
        <f t="shared" si="262"/>
        <v>018</v>
      </c>
      <c r="J2239" s="5" t="str">
        <f t="shared" si="263"/>
        <v>2230</v>
      </c>
      <c r="K2239" s="5" t="str">
        <f t="shared" si="264"/>
        <v>000</v>
      </c>
      <c r="L2239" s="5">
        <f t="shared" si="265"/>
        <v>5</v>
      </c>
      <c r="M2239" s="5">
        <f t="shared" si="266"/>
        <v>2012</v>
      </c>
    </row>
    <row r="2240" spans="1:13" ht="17.45" customHeight="1" x14ac:dyDescent="0.25">
      <c r="A2240" s="1">
        <f t="shared" ref="A2240:A2243" si="267">DATE(2012,5,6)</f>
        <v>41035</v>
      </c>
      <c r="B2240" t="s">
        <v>19</v>
      </c>
      <c r="C2240" t="s">
        <v>6</v>
      </c>
      <c r="D2240" s="3">
        <v>9620.6594999999998</v>
      </c>
      <c r="E2240" s="3">
        <v>0</v>
      </c>
      <c r="F2240" t="s">
        <v>45</v>
      </c>
      <c r="G2240" s="3">
        <f t="shared" si="260"/>
        <v>-9620.6594999999998</v>
      </c>
      <c r="H2240" s="3">
        <f t="shared" si="261"/>
        <v>9620.6594999999998</v>
      </c>
      <c r="I2240" s="5" t="str">
        <f t="shared" si="262"/>
        <v>018</v>
      </c>
      <c r="J2240" s="5" t="str">
        <f t="shared" si="263"/>
        <v>2100</v>
      </c>
      <c r="K2240" s="5" t="str">
        <f t="shared" si="264"/>
        <v>000</v>
      </c>
      <c r="L2240" s="5">
        <f t="shared" si="265"/>
        <v>5</v>
      </c>
      <c r="M2240" s="5">
        <f t="shared" si="266"/>
        <v>2012</v>
      </c>
    </row>
    <row r="2241" spans="1:13" ht="17.45" customHeight="1" x14ac:dyDescent="0.25">
      <c r="A2241" s="1">
        <f t="shared" si="267"/>
        <v>41035</v>
      </c>
      <c r="B2241" t="s">
        <v>20</v>
      </c>
      <c r="C2241" t="s">
        <v>8</v>
      </c>
      <c r="D2241" s="3">
        <v>1860.3374999999999</v>
      </c>
      <c r="E2241" s="3">
        <v>0</v>
      </c>
      <c r="F2241" t="s">
        <v>45</v>
      </c>
      <c r="G2241" s="3">
        <f t="shared" si="260"/>
        <v>-1860.3374999999999</v>
      </c>
      <c r="H2241" s="3">
        <f t="shared" si="261"/>
        <v>1860.3374999999999</v>
      </c>
      <c r="I2241" s="5" t="str">
        <f t="shared" si="262"/>
        <v>018</v>
      </c>
      <c r="J2241" s="5" t="str">
        <f t="shared" si="263"/>
        <v>2210</v>
      </c>
      <c r="K2241" s="5" t="str">
        <f t="shared" si="264"/>
        <v>000</v>
      </c>
      <c r="L2241" s="5">
        <f t="shared" si="265"/>
        <v>5</v>
      </c>
      <c r="M2241" s="5">
        <f t="shared" si="266"/>
        <v>2012</v>
      </c>
    </row>
    <row r="2242" spans="1:13" ht="17.45" customHeight="1" x14ac:dyDescent="0.25">
      <c r="A2242" s="1">
        <f t="shared" si="267"/>
        <v>41035</v>
      </c>
      <c r="B2242" t="s">
        <v>21</v>
      </c>
      <c r="C2242" t="s">
        <v>9</v>
      </c>
      <c r="D2242" s="3">
        <v>372.74400000000003</v>
      </c>
      <c r="E2242" s="3">
        <v>0</v>
      </c>
      <c r="F2242" t="s">
        <v>45</v>
      </c>
      <c r="G2242" s="3">
        <f t="shared" ref="G2242:G2305" si="268">E2242-D2242</f>
        <v>-372.74400000000003</v>
      </c>
      <c r="H2242" s="3">
        <f t="shared" ref="H2242:H2305" si="269">ABS(G2242)</f>
        <v>372.74400000000003</v>
      </c>
      <c r="I2242" s="5" t="str">
        <f t="shared" ref="I2242:I2305" si="270">MID(B2242,1,3)</f>
        <v>018</v>
      </c>
      <c r="J2242" s="5" t="str">
        <f t="shared" ref="J2242:J2305" si="271">MID(B2242,5,4)</f>
        <v>2220</v>
      </c>
      <c r="K2242" s="5" t="str">
        <f t="shared" ref="K2242:K2305" si="272">MID(B2242,10,3)</f>
        <v>000</v>
      </c>
      <c r="L2242" s="5">
        <f t="shared" ref="L2242:L2305" si="273">MONTH(A2242)</f>
        <v>5</v>
      </c>
      <c r="M2242" s="5">
        <f t="shared" ref="M2242:M2305" si="274">YEAR(A2242)</f>
        <v>2012</v>
      </c>
    </row>
    <row r="2243" spans="1:13" ht="17.45" customHeight="1" x14ac:dyDescent="0.25">
      <c r="A2243" s="1">
        <f t="shared" si="267"/>
        <v>41035</v>
      </c>
      <c r="B2243" t="s">
        <v>22</v>
      </c>
      <c r="C2243" t="s">
        <v>10</v>
      </c>
      <c r="D2243" s="3">
        <v>56.703000000000003</v>
      </c>
      <c r="E2243" s="3">
        <v>0</v>
      </c>
      <c r="F2243" t="s">
        <v>45</v>
      </c>
      <c r="G2243" s="3">
        <f t="shared" si="268"/>
        <v>-56.703000000000003</v>
      </c>
      <c r="H2243" s="3">
        <f t="shared" si="269"/>
        <v>56.703000000000003</v>
      </c>
      <c r="I2243" s="5" t="str">
        <f t="shared" si="270"/>
        <v>018</v>
      </c>
      <c r="J2243" s="5" t="str">
        <f t="shared" si="271"/>
        <v>2230</v>
      </c>
      <c r="K2243" s="5" t="str">
        <f t="shared" si="272"/>
        <v>000</v>
      </c>
      <c r="L2243" s="5">
        <f t="shared" si="273"/>
        <v>5</v>
      </c>
      <c r="M2243" s="5">
        <f t="shared" si="274"/>
        <v>2012</v>
      </c>
    </row>
    <row r="2244" spans="1:13" ht="17.45" customHeight="1" x14ac:dyDescent="0.25">
      <c r="A2244" s="1">
        <f>DATE(2012,5,7)</f>
        <v>41036</v>
      </c>
      <c r="B2244" t="s">
        <v>11</v>
      </c>
      <c r="C2244" t="s">
        <v>6</v>
      </c>
      <c r="D2244" s="3">
        <v>2081.431</v>
      </c>
      <c r="E2244" s="3">
        <v>0</v>
      </c>
      <c r="F2244" t="s">
        <v>45</v>
      </c>
      <c r="G2244" s="3">
        <f t="shared" si="268"/>
        <v>-2081.431</v>
      </c>
      <c r="H2244" s="3">
        <f t="shared" si="269"/>
        <v>2081.431</v>
      </c>
      <c r="I2244" s="5" t="str">
        <f t="shared" si="270"/>
        <v>016</v>
      </c>
      <c r="J2244" s="5" t="str">
        <f t="shared" si="271"/>
        <v>2100</v>
      </c>
      <c r="K2244" s="5" t="str">
        <f t="shared" si="272"/>
        <v>000</v>
      </c>
      <c r="L2244" s="5">
        <f t="shared" si="273"/>
        <v>5</v>
      </c>
      <c r="M2244" s="5">
        <f t="shared" si="274"/>
        <v>2012</v>
      </c>
    </row>
    <row r="2245" spans="1:13" ht="17.45" customHeight="1" x14ac:dyDescent="0.25">
      <c r="A2245" s="1">
        <f>DATE(2012,5,7)</f>
        <v>41036</v>
      </c>
      <c r="B2245" t="s">
        <v>12</v>
      </c>
      <c r="C2245" t="s">
        <v>8</v>
      </c>
      <c r="D2245" s="3">
        <v>425.28250000000003</v>
      </c>
      <c r="E2245" s="3">
        <v>0</v>
      </c>
      <c r="F2245" t="s">
        <v>45</v>
      </c>
      <c r="G2245" s="3">
        <f t="shared" si="268"/>
        <v>-425.28250000000003</v>
      </c>
      <c r="H2245" s="3">
        <f t="shared" si="269"/>
        <v>425.28250000000003</v>
      </c>
      <c r="I2245" s="5" t="str">
        <f t="shared" si="270"/>
        <v>016</v>
      </c>
      <c r="J2245" s="5" t="str">
        <f t="shared" si="271"/>
        <v>2210</v>
      </c>
      <c r="K2245" s="5" t="str">
        <f t="shared" si="272"/>
        <v>000</v>
      </c>
      <c r="L2245" s="5">
        <f t="shared" si="273"/>
        <v>5</v>
      </c>
      <c r="M2245" s="5">
        <f t="shared" si="274"/>
        <v>2012</v>
      </c>
    </row>
    <row r="2246" spans="1:13" ht="17.45" customHeight="1" x14ac:dyDescent="0.25">
      <c r="A2246" s="1">
        <f>DATE(2012,5,7)</f>
        <v>41036</v>
      </c>
      <c r="B2246" t="s">
        <v>13</v>
      </c>
      <c r="C2246" t="s">
        <v>9</v>
      </c>
      <c r="D2246" s="3">
        <v>133.756</v>
      </c>
      <c r="E2246" s="3">
        <v>0</v>
      </c>
      <c r="F2246" t="s">
        <v>45</v>
      </c>
      <c r="G2246" s="3">
        <f t="shared" si="268"/>
        <v>-133.756</v>
      </c>
      <c r="H2246" s="3">
        <f t="shared" si="269"/>
        <v>133.756</v>
      </c>
      <c r="I2246" s="5" t="str">
        <f t="shared" si="270"/>
        <v>016</v>
      </c>
      <c r="J2246" s="5" t="str">
        <f t="shared" si="271"/>
        <v>2220</v>
      </c>
      <c r="K2246" s="5" t="str">
        <f t="shared" si="272"/>
        <v>000</v>
      </c>
      <c r="L2246" s="5">
        <f t="shared" si="273"/>
        <v>5</v>
      </c>
      <c r="M2246" s="5">
        <f t="shared" si="274"/>
        <v>2012</v>
      </c>
    </row>
    <row r="2247" spans="1:13" ht="17.45" customHeight="1" x14ac:dyDescent="0.25">
      <c r="A2247" s="1">
        <f>DATE(2012,5,7)</f>
        <v>41036</v>
      </c>
      <c r="B2247" t="s">
        <v>14</v>
      </c>
      <c r="C2247" t="s">
        <v>10</v>
      </c>
      <c r="D2247" s="3">
        <v>48.795999999999999</v>
      </c>
      <c r="E2247" s="3">
        <v>0</v>
      </c>
      <c r="F2247" t="s">
        <v>45</v>
      </c>
      <c r="G2247" s="3">
        <f t="shared" si="268"/>
        <v>-48.795999999999999</v>
      </c>
      <c r="H2247" s="3">
        <f t="shared" si="269"/>
        <v>48.795999999999999</v>
      </c>
      <c r="I2247" s="5" t="str">
        <f t="shared" si="270"/>
        <v>016</v>
      </c>
      <c r="J2247" s="5" t="str">
        <f t="shared" si="271"/>
        <v>2230</v>
      </c>
      <c r="K2247" s="5" t="str">
        <f t="shared" si="272"/>
        <v>000</v>
      </c>
      <c r="L2247" s="5">
        <f t="shared" si="273"/>
        <v>5</v>
      </c>
      <c r="M2247" s="5">
        <f t="shared" si="274"/>
        <v>2012</v>
      </c>
    </row>
    <row r="2248" spans="1:13" ht="17.45" customHeight="1" x14ac:dyDescent="0.25">
      <c r="A2248" s="1">
        <f>DATE(2012,5,8)</f>
        <v>41037</v>
      </c>
      <c r="B2248" t="s">
        <v>11</v>
      </c>
      <c r="C2248" t="s">
        <v>6</v>
      </c>
      <c r="D2248" s="3">
        <v>3759.4692</v>
      </c>
      <c r="E2248" s="3">
        <v>0</v>
      </c>
      <c r="F2248" t="s">
        <v>45</v>
      </c>
      <c r="G2248" s="3">
        <f t="shared" si="268"/>
        <v>-3759.4692</v>
      </c>
      <c r="H2248" s="3">
        <f t="shared" si="269"/>
        <v>3759.4692</v>
      </c>
      <c r="I2248" s="5" t="str">
        <f t="shared" si="270"/>
        <v>016</v>
      </c>
      <c r="J2248" s="5" t="str">
        <f t="shared" si="271"/>
        <v>2100</v>
      </c>
      <c r="K2248" s="5" t="str">
        <f t="shared" si="272"/>
        <v>000</v>
      </c>
      <c r="L2248" s="5">
        <f t="shared" si="273"/>
        <v>5</v>
      </c>
      <c r="M2248" s="5">
        <f t="shared" si="274"/>
        <v>2012</v>
      </c>
    </row>
    <row r="2249" spans="1:13" ht="17.45" customHeight="1" x14ac:dyDescent="0.25">
      <c r="A2249" s="1">
        <f>DATE(2012,5,8)</f>
        <v>41037</v>
      </c>
      <c r="B2249" t="s">
        <v>12</v>
      </c>
      <c r="C2249" t="s">
        <v>8</v>
      </c>
      <c r="D2249" s="3">
        <v>1706.2780000000002</v>
      </c>
      <c r="E2249" s="3">
        <v>0</v>
      </c>
      <c r="F2249" t="s">
        <v>45</v>
      </c>
      <c r="G2249" s="3">
        <f t="shared" si="268"/>
        <v>-1706.2780000000002</v>
      </c>
      <c r="H2249" s="3">
        <f t="shared" si="269"/>
        <v>1706.2780000000002</v>
      </c>
      <c r="I2249" s="5" t="str">
        <f t="shared" si="270"/>
        <v>016</v>
      </c>
      <c r="J2249" s="5" t="str">
        <f t="shared" si="271"/>
        <v>2210</v>
      </c>
      <c r="K2249" s="5" t="str">
        <f t="shared" si="272"/>
        <v>000</v>
      </c>
      <c r="L2249" s="5">
        <f t="shared" si="273"/>
        <v>5</v>
      </c>
      <c r="M2249" s="5">
        <f t="shared" si="274"/>
        <v>2012</v>
      </c>
    </row>
    <row r="2250" spans="1:13" ht="17.45" customHeight="1" x14ac:dyDescent="0.25">
      <c r="A2250" s="1">
        <f>DATE(2012,5,8)</f>
        <v>41037</v>
      </c>
      <c r="B2250" t="s">
        <v>13</v>
      </c>
      <c r="C2250" t="s">
        <v>9</v>
      </c>
      <c r="D2250" s="3">
        <v>582.69200000000001</v>
      </c>
      <c r="E2250" s="3">
        <v>0</v>
      </c>
      <c r="F2250" t="s">
        <v>45</v>
      </c>
      <c r="G2250" s="3">
        <f t="shared" si="268"/>
        <v>-582.69200000000001</v>
      </c>
      <c r="H2250" s="3">
        <f t="shared" si="269"/>
        <v>582.69200000000001</v>
      </c>
      <c r="I2250" s="5" t="str">
        <f t="shared" si="270"/>
        <v>016</v>
      </c>
      <c r="J2250" s="5" t="str">
        <f t="shared" si="271"/>
        <v>2220</v>
      </c>
      <c r="K2250" s="5" t="str">
        <f t="shared" si="272"/>
        <v>000</v>
      </c>
      <c r="L2250" s="5">
        <f t="shared" si="273"/>
        <v>5</v>
      </c>
      <c r="M2250" s="5">
        <f t="shared" si="274"/>
        <v>2012</v>
      </c>
    </row>
    <row r="2251" spans="1:13" ht="17.45" customHeight="1" x14ac:dyDescent="0.25">
      <c r="A2251" s="1">
        <f>DATE(2012,5,8)</f>
        <v>41037</v>
      </c>
      <c r="B2251" t="s">
        <v>14</v>
      </c>
      <c r="C2251" t="s">
        <v>10</v>
      </c>
      <c r="D2251" s="3">
        <v>224.29499999999999</v>
      </c>
      <c r="E2251" s="3">
        <v>0</v>
      </c>
      <c r="F2251" t="s">
        <v>45</v>
      </c>
      <c r="G2251" s="3">
        <f t="shared" si="268"/>
        <v>-224.29499999999999</v>
      </c>
      <c r="H2251" s="3">
        <f t="shared" si="269"/>
        <v>224.29499999999999</v>
      </c>
      <c r="I2251" s="5" t="str">
        <f t="shared" si="270"/>
        <v>016</v>
      </c>
      <c r="J2251" s="5" t="str">
        <f t="shared" si="271"/>
        <v>2230</v>
      </c>
      <c r="K2251" s="5" t="str">
        <f t="shared" si="272"/>
        <v>000</v>
      </c>
      <c r="L2251" s="5">
        <f t="shared" si="273"/>
        <v>5</v>
      </c>
      <c r="M2251" s="5">
        <f t="shared" si="274"/>
        <v>2012</v>
      </c>
    </row>
    <row r="2252" spans="1:13" ht="17.45" customHeight="1" x14ac:dyDescent="0.25">
      <c r="A2252" s="1">
        <f>DATE(2012,5,9)</f>
        <v>41038</v>
      </c>
      <c r="B2252" t="s">
        <v>11</v>
      </c>
      <c r="C2252" t="s">
        <v>6</v>
      </c>
      <c r="D2252" s="3">
        <v>3668.1236000000004</v>
      </c>
      <c r="E2252" s="3">
        <v>0</v>
      </c>
      <c r="F2252" t="s">
        <v>45</v>
      </c>
      <c r="G2252" s="3">
        <f t="shared" si="268"/>
        <v>-3668.1236000000004</v>
      </c>
      <c r="H2252" s="3">
        <f t="shared" si="269"/>
        <v>3668.1236000000004</v>
      </c>
      <c r="I2252" s="5" t="str">
        <f t="shared" si="270"/>
        <v>016</v>
      </c>
      <c r="J2252" s="5" t="str">
        <f t="shared" si="271"/>
        <v>2100</v>
      </c>
      <c r="K2252" s="5" t="str">
        <f t="shared" si="272"/>
        <v>000</v>
      </c>
      <c r="L2252" s="5">
        <f t="shared" si="273"/>
        <v>5</v>
      </c>
      <c r="M2252" s="5">
        <f t="shared" si="274"/>
        <v>2012</v>
      </c>
    </row>
    <row r="2253" spans="1:13" ht="17.45" customHeight="1" x14ac:dyDescent="0.25">
      <c r="A2253" s="1">
        <f>DATE(2012,5,9)</f>
        <v>41038</v>
      </c>
      <c r="B2253" t="s">
        <v>12</v>
      </c>
      <c r="C2253" t="s">
        <v>8</v>
      </c>
      <c r="D2253" s="3">
        <v>1014.5555000000001</v>
      </c>
      <c r="E2253" s="3">
        <v>0</v>
      </c>
      <c r="F2253" t="s">
        <v>45</v>
      </c>
      <c r="G2253" s="3">
        <f t="shared" si="268"/>
        <v>-1014.5555000000001</v>
      </c>
      <c r="H2253" s="3">
        <f t="shared" si="269"/>
        <v>1014.5555000000001</v>
      </c>
      <c r="I2253" s="5" t="str">
        <f t="shared" si="270"/>
        <v>016</v>
      </c>
      <c r="J2253" s="5" t="str">
        <f t="shared" si="271"/>
        <v>2210</v>
      </c>
      <c r="K2253" s="5" t="str">
        <f t="shared" si="272"/>
        <v>000</v>
      </c>
      <c r="L2253" s="5">
        <f t="shared" si="273"/>
        <v>5</v>
      </c>
      <c r="M2253" s="5">
        <f t="shared" si="274"/>
        <v>2012</v>
      </c>
    </row>
    <row r="2254" spans="1:13" ht="17.45" customHeight="1" x14ac:dyDescent="0.25">
      <c r="A2254" s="1">
        <f>DATE(2012,5,9)</f>
        <v>41038</v>
      </c>
      <c r="B2254" t="s">
        <v>13</v>
      </c>
      <c r="C2254" t="s">
        <v>9</v>
      </c>
      <c r="D2254" s="3">
        <v>149.32500000000002</v>
      </c>
      <c r="E2254" s="3">
        <v>0</v>
      </c>
      <c r="F2254" t="s">
        <v>45</v>
      </c>
      <c r="G2254" s="3">
        <f t="shared" si="268"/>
        <v>-149.32500000000002</v>
      </c>
      <c r="H2254" s="3">
        <f t="shared" si="269"/>
        <v>149.32500000000002</v>
      </c>
      <c r="I2254" s="5" t="str">
        <f t="shared" si="270"/>
        <v>016</v>
      </c>
      <c r="J2254" s="5" t="str">
        <f t="shared" si="271"/>
        <v>2220</v>
      </c>
      <c r="K2254" s="5" t="str">
        <f t="shared" si="272"/>
        <v>000</v>
      </c>
      <c r="L2254" s="5">
        <f t="shared" si="273"/>
        <v>5</v>
      </c>
      <c r="M2254" s="5">
        <f t="shared" si="274"/>
        <v>2012</v>
      </c>
    </row>
    <row r="2255" spans="1:13" ht="17.45" customHeight="1" x14ac:dyDescent="0.25">
      <c r="A2255" s="1">
        <f>DATE(2012,5,9)</f>
        <v>41038</v>
      </c>
      <c r="B2255" t="s">
        <v>14</v>
      </c>
      <c r="C2255" t="s">
        <v>10</v>
      </c>
      <c r="D2255" s="3">
        <v>48.776000000000003</v>
      </c>
      <c r="E2255" s="3">
        <v>0</v>
      </c>
      <c r="F2255" t="s">
        <v>45</v>
      </c>
      <c r="G2255" s="3">
        <f t="shared" si="268"/>
        <v>-48.776000000000003</v>
      </c>
      <c r="H2255" s="3">
        <f t="shared" si="269"/>
        <v>48.776000000000003</v>
      </c>
      <c r="I2255" s="5" t="str">
        <f t="shared" si="270"/>
        <v>016</v>
      </c>
      <c r="J2255" s="5" t="str">
        <f t="shared" si="271"/>
        <v>2230</v>
      </c>
      <c r="K2255" s="5" t="str">
        <f t="shared" si="272"/>
        <v>000</v>
      </c>
      <c r="L2255" s="5">
        <f t="shared" si="273"/>
        <v>5</v>
      </c>
      <c r="M2255" s="5">
        <f t="shared" si="274"/>
        <v>2012</v>
      </c>
    </row>
    <row r="2256" spans="1:13" ht="17.45" customHeight="1" x14ac:dyDescent="0.25">
      <c r="A2256" s="1">
        <f>DATE(2012,5,10)</f>
        <v>41039</v>
      </c>
      <c r="B2256" t="s">
        <v>11</v>
      </c>
      <c r="C2256" t="s">
        <v>6</v>
      </c>
      <c r="D2256" s="3">
        <v>1955.7505000000001</v>
      </c>
      <c r="E2256" s="3">
        <v>0</v>
      </c>
      <c r="F2256" t="s">
        <v>45</v>
      </c>
      <c r="G2256" s="3">
        <f t="shared" si="268"/>
        <v>-1955.7505000000001</v>
      </c>
      <c r="H2256" s="3">
        <f t="shared" si="269"/>
        <v>1955.7505000000001</v>
      </c>
      <c r="I2256" s="5" t="str">
        <f t="shared" si="270"/>
        <v>016</v>
      </c>
      <c r="J2256" s="5" t="str">
        <f t="shared" si="271"/>
        <v>2100</v>
      </c>
      <c r="K2256" s="5" t="str">
        <f t="shared" si="272"/>
        <v>000</v>
      </c>
      <c r="L2256" s="5">
        <f t="shared" si="273"/>
        <v>5</v>
      </c>
      <c r="M2256" s="5">
        <f t="shared" si="274"/>
        <v>2012</v>
      </c>
    </row>
    <row r="2257" spans="1:13" ht="17.45" customHeight="1" x14ac:dyDescent="0.25">
      <c r="A2257" s="1">
        <f>DATE(2012,5,10)</f>
        <v>41039</v>
      </c>
      <c r="B2257" t="s">
        <v>12</v>
      </c>
      <c r="C2257" t="s">
        <v>8</v>
      </c>
      <c r="D2257" s="3">
        <v>684.45400000000006</v>
      </c>
      <c r="E2257" s="3">
        <v>0</v>
      </c>
      <c r="F2257" t="s">
        <v>45</v>
      </c>
      <c r="G2257" s="3">
        <f t="shared" si="268"/>
        <v>-684.45400000000006</v>
      </c>
      <c r="H2257" s="3">
        <f t="shared" si="269"/>
        <v>684.45400000000006</v>
      </c>
      <c r="I2257" s="5" t="str">
        <f t="shared" si="270"/>
        <v>016</v>
      </c>
      <c r="J2257" s="5" t="str">
        <f t="shared" si="271"/>
        <v>2210</v>
      </c>
      <c r="K2257" s="5" t="str">
        <f t="shared" si="272"/>
        <v>000</v>
      </c>
      <c r="L2257" s="5">
        <f t="shared" si="273"/>
        <v>5</v>
      </c>
      <c r="M2257" s="5">
        <f t="shared" si="274"/>
        <v>2012</v>
      </c>
    </row>
    <row r="2258" spans="1:13" ht="17.45" customHeight="1" x14ac:dyDescent="0.25">
      <c r="A2258" s="1">
        <f>DATE(2012,5,10)</f>
        <v>41039</v>
      </c>
      <c r="B2258" t="s">
        <v>13</v>
      </c>
      <c r="C2258" t="s">
        <v>9</v>
      </c>
      <c r="D2258" s="3">
        <v>125.03999999999999</v>
      </c>
      <c r="E2258" s="3">
        <v>0</v>
      </c>
      <c r="F2258" t="s">
        <v>45</v>
      </c>
      <c r="G2258" s="3">
        <f t="shared" si="268"/>
        <v>-125.03999999999999</v>
      </c>
      <c r="H2258" s="3">
        <f t="shared" si="269"/>
        <v>125.03999999999999</v>
      </c>
      <c r="I2258" s="5" t="str">
        <f t="shared" si="270"/>
        <v>016</v>
      </c>
      <c r="J2258" s="5" t="str">
        <f t="shared" si="271"/>
        <v>2220</v>
      </c>
      <c r="K2258" s="5" t="str">
        <f t="shared" si="272"/>
        <v>000</v>
      </c>
      <c r="L2258" s="5">
        <f t="shared" si="273"/>
        <v>5</v>
      </c>
      <c r="M2258" s="5">
        <f t="shared" si="274"/>
        <v>2012</v>
      </c>
    </row>
    <row r="2259" spans="1:13" ht="17.45" customHeight="1" x14ac:dyDescent="0.25">
      <c r="A2259" s="1">
        <f>DATE(2012,5,10)</f>
        <v>41039</v>
      </c>
      <c r="B2259" t="s">
        <v>14</v>
      </c>
      <c r="C2259" t="s">
        <v>10</v>
      </c>
      <c r="D2259" s="3">
        <v>117.53400000000001</v>
      </c>
      <c r="E2259" s="3">
        <v>0</v>
      </c>
      <c r="F2259" t="s">
        <v>45</v>
      </c>
      <c r="G2259" s="3">
        <f t="shared" si="268"/>
        <v>-117.53400000000001</v>
      </c>
      <c r="H2259" s="3">
        <f t="shared" si="269"/>
        <v>117.53400000000001</v>
      </c>
      <c r="I2259" s="5" t="str">
        <f t="shared" si="270"/>
        <v>016</v>
      </c>
      <c r="J2259" s="5" t="str">
        <f t="shared" si="271"/>
        <v>2230</v>
      </c>
      <c r="K2259" s="5" t="str">
        <f t="shared" si="272"/>
        <v>000</v>
      </c>
      <c r="L2259" s="5">
        <f t="shared" si="273"/>
        <v>5</v>
      </c>
      <c r="M2259" s="5">
        <f t="shared" si="274"/>
        <v>2012</v>
      </c>
    </row>
    <row r="2260" spans="1:13" ht="17.45" customHeight="1" x14ac:dyDescent="0.25">
      <c r="A2260" s="1">
        <f>DATE(2012,5,11)</f>
        <v>41040</v>
      </c>
      <c r="B2260" t="s">
        <v>11</v>
      </c>
      <c r="C2260" t="s">
        <v>6</v>
      </c>
      <c r="D2260" s="3">
        <v>6892.8696</v>
      </c>
      <c r="E2260" s="3">
        <v>0</v>
      </c>
      <c r="F2260" t="s">
        <v>45</v>
      </c>
      <c r="G2260" s="3">
        <f t="shared" si="268"/>
        <v>-6892.8696</v>
      </c>
      <c r="H2260" s="3">
        <f t="shared" si="269"/>
        <v>6892.8696</v>
      </c>
      <c r="I2260" s="5" t="str">
        <f t="shared" si="270"/>
        <v>016</v>
      </c>
      <c r="J2260" s="5" t="str">
        <f t="shared" si="271"/>
        <v>2100</v>
      </c>
      <c r="K2260" s="5" t="str">
        <f t="shared" si="272"/>
        <v>000</v>
      </c>
      <c r="L2260" s="5">
        <f t="shared" si="273"/>
        <v>5</v>
      </c>
      <c r="M2260" s="5">
        <f t="shared" si="274"/>
        <v>2012</v>
      </c>
    </row>
    <row r="2261" spans="1:13" ht="17.45" customHeight="1" x14ac:dyDescent="0.25">
      <c r="A2261" s="1">
        <f>DATE(2012,5,11)</f>
        <v>41040</v>
      </c>
      <c r="B2261" t="s">
        <v>12</v>
      </c>
      <c r="C2261" t="s">
        <v>8</v>
      </c>
      <c r="D2261" s="3">
        <v>1896.2684999999999</v>
      </c>
      <c r="E2261" s="3">
        <v>0</v>
      </c>
      <c r="F2261" t="s">
        <v>45</v>
      </c>
      <c r="G2261" s="3">
        <f t="shared" si="268"/>
        <v>-1896.2684999999999</v>
      </c>
      <c r="H2261" s="3">
        <f t="shared" si="269"/>
        <v>1896.2684999999999</v>
      </c>
      <c r="I2261" s="5" t="str">
        <f t="shared" si="270"/>
        <v>016</v>
      </c>
      <c r="J2261" s="5" t="str">
        <f t="shared" si="271"/>
        <v>2210</v>
      </c>
      <c r="K2261" s="5" t="str">
        <f t="shared" si="272"/>
        <v>000</v>
      </c>
      <c r="L2261" s="5">
        <f t="shared" si="273"/>
        <v>5</v>
      </c>
      <c r="M2261" s="5">
        <f t="shared" si="274"/>
        <v>2012</v>
      </c>
    </row>
    <row r="2262" spans="1:13" ht="17.45" customHeight="1" x14ac:dyDescent="0.25">
      <c r="A2262" s="1">
        <f>DATE(2012,5,11)</f>
        <v>41040</v>
      </c>
      <c r="B2262" t="s">
        <v>13</v>
      </c>
      <c r="C2262" t="s">
        <v>9</v>
      </c>
      <c r="D2262" s="3">
        <v>467.52850000000001</v>
      </c>
      <c r="E2262" s="3">
        <v>0</v>
      </c>
      <c r="F2262" t="s">
        <v>45</v>
      </c>
      <c r="G2262" s="3">
        <f t="shared" si="268"/>
        <v>-467.52850000000001</v>
      </c>
      <c r="H2262" s="3">
        <f t="shared" si="269"/>
        <v>467.52850000000001</v>
      </c>
      <c r="I2262" s="5" t="str">
        <f t="shared" si="270"/>
        <v>016</v>
      </c>
      <c r="J2262" s="5" t="str">
        <f t="shared" si="271"/>
        <v>2220</v>
      </c>
      <c r="K2262" s="5" t="str">
        <f t="shared" si="272"/>
        <v>000</v>
      </c>
      <c r="L2262" s="5">
        <f t="shared" si="273"/>
        <v>5</v>
      </c>
      <c r="M2262" s="5">
        <f t="shared" si="274"/>
        <v>2012</v>
      </c>
    </row>
    <row r="2263" spans="1:13" ht="17.45" customHeight="1" x14ac:dyDescent="0.25">
      <c r="A2263" s="1">
        <f>DATE(2012,5,11)</f>
        <v>41040</v>
      </c>
      <c r="B2263" t="s">
        <v>14</v>
      </c>
      <c r="C2263" t="s">
        <v>10</v>
      </c>
      <c r="D2263" s="3">
        <v>192.83000000000004</v>
      </c>
      <c r="E2263" s="3">
        <v>0</v>
      </c>
      <c r="F2263" t="s">
        <v>45</v>
      </c>
      <c r="G2263" s="3">
        <f t="shared" si="268"/>
        <v>-192.83000000000004</v>
      </c>
      <c r="H2263" s="3">
        <f t="shared" si="269"/>
        <v>192.83000000000004</v>
      </c>
      <c r="I2263" s="5" t="str">
        <f t="shared" si="270"/>
        <v>016</v>
      </c>
      <c r="J2263" s="5" t="str">
        <f t="shared" si="271"/>
        <v>2230</v>
      </c>
      <c r="K2263" s="5" t="str">
        <f t="shared" si="272"/>
        <v>000</v>
      </c>
      <c r="L2263" s="5">
        <f t="shared" si="273"/>
        <v>5</v>
      </c>
      <c r="M2263" s="5">
        <f t="shared" si="274"/>
        <v>2012</v>
      </c>
    </row>
    <row r="2264" spans="1:13" ht="17.45" customHeight="1" x14ac:dyDescent="0.25">
      <c r="A2264" s="1">
        <f>DATE(2012,5,12)</f>
        <v>41041</v>
      </c>
      <c r="B2264" t="s">
        <v>11</v>
      </c>
      <c r="C2264" t="s">
        <v>6</v>
      </c>
      <c r="D2264" s="3">
        <v>7691.8336000000008</v>
      </c>
      <c r="E2264" s="3">
        <v>0</v>
      </c>
      <c r="F2264" t="s">
        <v>45</v>
      </c>
      <c r="G2264" s="3">
        <f t="shared" si="268"/>
        <v>-7691.8336000000008</v>
      </c>
      <c r="H2264" s="3">
        <f t="shared" si="269"/>
        <v>7691.8336000000008</v>
      </c>
      <c r="I2264" s="5" t="str">
        <f t="shared" si="270"/>
        <v>016</v>
      </c>
      <c r="J2264" s="5" t="str">
        <f t="shared" si="271"/>
        <v>2100</v>
      </c>
      <c r="K2264" s="5" t="str">
        <f t="shared" si="272"/>
        <v>000</v>
      </c>
      <c r="L2264" s="5">
        <f t="shared" si="273"/>
        <v>5</v>
      </c>
      <c r="M2264" s="5">
        <f t="shared" si="274"/>
        <v>2012</v>
      </c>
    </row>
    <row r="2265" spans="1:13" ht="17.45" customHeight="1" x14ac:dyDescent="0.25">
      <c r="A2265" s="1">
        <f>DATE(2012,5,12)</f>
        <v>41041</v>
      </c>
      <c r="B2265" t="s">
        <v>12</v>
      </c>
      <c r="C2265" t="s">
        <v>8</v>
      </c>
      <c r="D2265" s="3">
        <v>1800.2024999999999</v>
      </c>
      <c r="E2265" s="3">
        <v>0</v>
      </c>
      <c r="F2265" t="s">
        <v>45</v>
      </c>
      <c r="G2265" s="3">
        <f t="shared" si="268"/>
        <v>-1800.2024999999999</v>
      </c>
      <c r="H2265" s="3">
        <f t="shared" si="269"/>
        <v>1800.2024999999999</v>
      </c>
      <c r="I2265" s="5" t="str">
        <f t="shared" si="270"/>
        <v>016</v>
      </c>
      <c r="J2265" s="5" t="str">
        <f t="shared" si="271"/>
        <v>2210</v>
      </c>
      <c r="K2265" s="5" t="str">
        <f t="shared" si="272"/>
        <v>000</v>
      </c>
      <c r="L2265" s="5">
        <f t="shared" si="273"/>
        <v>5</v>
      </c>
      <c r="M2265" s="5">
        <f t="shared" si="274"/>
        <v>2012</v>
      </c>
    </row>
    <row r="2266" spans="1:13" ht="17.45" customHeight="1" x14ac:dyDescent="0.25">
      <c r="A2266" s="1">
        <f>DATE(2012,5,12)</f>
        <v>41041</v>
      </c>
      <c r="B2266" t="s">
        <v>13</v>
      </c>
      <c r="C2266" t="s">
        <v>9</v>
      </c>
      <c r="D2266" s="3">
        <v>462.70399999999995</v>
      </c>
      <c r="E2266" s="3">
        <v>0</v>
      </c>
      <c r="F2266" t="s">
        <v>45</v>
      </c>
      <c r="G2266" s="3">
        <f t="shared" si="268"/>
        <v>-462.70399999999995</v>
      </c>
      <c r="H2266" s="3">
        <f t="shared" si="269"/>
        <v>462.70399999999995</v>
      </c>
      <c r="I2266" s="5" t="str">
        <f t="shared" si="270"/>
        <v>016</v>
      </c>
      <c r="J2266" s="5" t="str">
        <f t="shared" si="271"/>
        <v>2220</v>
      </c>
      <c r="K2266" s="5" t="str">
        <f t="shared" si="272"/>
        <v>000</v>
      </c>
      <c r="L2266" s="5">
        <f t="shared" si="273"/>
        <v>5</v>
      </c>
      <c r="M2266" s="5">
        <f t="shared" si="274"/>
        <v>2012</v>
      </c>
    </row>
    <row r="2267" spans="1:13" ht="17.45" customHeight="1" x14ac:dyDescent="0.25">
      <c r="A2267" s="1">
        <f>DATE(2012,5,12)</f>
        <v>41041</v>
      </c>
      <c r="B2267" t="s">
        <v>14</v>
      </c>
      <c r="C2267" t="s">
        <v>10</v>
      </c>
      <c r="D2267" s="3">
        <v>195.48</v>
      </c>
      <c r="E2267" s="3">
        <v>0</v>
      </c>
      <c r="F2267" t="s">
        <v>45</v>
      </c>
      <c r="G2267" s="3">
        <f t="shared" si="268"/>
        <v>-195.48</v>
      </c>
      <c r="H2267" s="3">
        <f t="shared" si="269"/>
        <v>195.48</v>
      </c>
      <c r="I2267" s="5" t="str">
        <f t="shared" si="270"/>
        <v>016</v>
      </c>
      <c r="J2267" s="5" t="str">
        <f t="shared" si="271"/>
        <v>2230</v>
      </c>
      <c r="K2267" s="5" t="str">
        <f t="shared" si="272"/>
        <v>000</v>
      </c>
      <c r="L2267" s="5">
        <f t="shared" si="273"/>
        <v>5</v>
      </c>
      <c r="M2267" s="5">
        <f t="shared" si="274"/>
        <v>2012</v>
      </c>
    </row>
    <row r="2268" spans="1:13" ht="17.45" customHeight="1" x14ac:dyDescent="0.25">
      <c r="A2268" s="1">
        <f>DATE(2012,5,13)</f>
        <v>41042</v>
      </c>
      <c r="B2268" t="s">
        <v>11</v>
      </c>
      <c r="C2268" t="s">
        <v>6</v>
      </c>
      <c r="D2268" s="3">
        <v>9024.6607999999997</v>
      </c>
      <c r="E2268" s="3">
        <v>0</v>
      </c>
      <c r="F2268" t="s">
        <v>45</v>
      </c>
      <c r="G2268" s="3">
        <f t="shared" si="268"/>
        <v>-9024.6607999999997</v>
      </c>
      <c r="H2268" s="3">
        <f t="shared" si="269"/>
        <v>9024.6607999999997</v>
      </c>
      <c r="I2268" s="5" t="str">
        <f t="shared" si="270"/>
        <v>016</v>
      </c>
      <c r="J2268" s="5" t="str">
        <f t="shared" si="271"/>
        <v>2100</v>
      </c>
      <c r="K2268" s="5" t="str">
        <f t="shared" si="272"/>
        <v>000</v>
      </c>
      <c r="L2268" s="5">
        <f t="shared" si="273"/>
        <v>5</v>
      </c>
      <c r="M2268" s="5">
        <f t="shared" si="274"/>
        <v>2012</v>
      </c>
    </row>
    <row r="2269" spans="1:13" ht="17.45" customHeight="1" x14ac:dyDescent="0.25">
      <c r="A2269" s="1">
        <f>DATE(2012,5,13)</f>
        <v>41042</v>
      </c>
      <c r="B2269" t="s">
        <v>12</v>
      </c>
      <c r="C2269" t="s">
        <v>8</v>
      </c>
      <c r="D2269" s="3">
        <v>1738.3740000000003</v>
      </c>
      <c r="E2269" s="3">
        <v>0</v>
      </c>
      <c r="F2269" t="s">
        <v>45</v>
      </c>
      <c r="G2269" s="3">
        <f t="shared" si="268"/>
        <v>-1738.3740000000003</v>
      </c>
      <c r="H2269" s="3">
        <f t="shared" si="269"/>
        <v>1738.3740000000003</v>
      </c>
      <c r="I2269" s="5" t="str">
        <f t="shared" si="270"/>
        <v>016</v>
      </c>
      <c r="J2269" s="5" t="str">
        <f t="shared" si="271"/>
        <v>2210</v>
      </c>
      <c r="K2269" s="5" t="str">
        <f t="shared" si="272"/>
        <v>000</v>
      </c>
      <c r="L2269" s="5">
        <f t="shared" si="273"/>
        <v>5</v>
      </c>
      <c r="M2269" s="5">
        <f t="shared" si="274"/>
        <v>2012</v>
      </c>
    </row>
    <row r="2270" spans="1:13" ht="17.45" customHeight="1" x14ac:dyDescent="0.25">
      <c r="A2270" s="1">
        <f>DATE(2012,5,13)</f>
        <v>41042</v>
      </c>
      <c r="B2270" t="s">
        <v>13</v>
      </c>
      <c r="C2270" t="s">
        <v>9</v>
      </c>
      <c r="D2270" s="3">
        <v>232.8</v>
      </c>
      <c r="E2270" s="3">
        <v>0</v>
      </c>
      <c r="F2270" t="s">
        <v>45</v>
      </c>
      <c r="G2270" s="3">
        <f t="shared" si="268"/>
        <v>-232.8</v>
      </c>
      <c r="H2270" s="3">
        <f t="shared" si="269"/>
        <v>232.8</v>
      </c>
      <c r="I2270" s="5" t="str">
        <f t="shared" si="270"/>
        <v>016</v>
      </c>
      <c r="J2270" s="5" t="str">
        <f t="shared" si="271"/>
        <v>2220</v>
      </c>
      <c r="K2270" s="5" t="str">
        <f t="shared" si="272"/>
        <v>000</v>
      </c>
      <c r="L2270" s="5">
        <f t="shared" si="273"/>
        <v>5</v>
      </c>
      <c r="M2270" s="5">
        <f t="shared" si="274"/>
        <v>2012</v>
      </c>
    </row>
    <row r="2271" spans="1:13" ht="17.45" customHeight="1" x14ac:dyDescent="0.25">
      <c r="A2271" s="1">
        <f>DATE(2012,5,13)</f>
        <v>41042</v>
      </c>
      <c r="B2271" t="s">
        <v>14</v>
      </c>
      <c r="C2271" t="s">
        <v>10</v>
      </c>
      <c r="D2271" s="3">
        <v>198.74349999999998</v>
      </c>
      <c r="E2271" s="3">
        <v>0</v>
      </c>
      <c r="F2271" t="s">
        <v>45</v>
      </c>
      <c r="G2271" s="3">
        <f t="shared" si="268"/>
        <v>-198.74349999999998</v>
      </c>
      <c r="H2271" s="3">
        <f t="shared" si="269"/>
        <v>198.74349999999998</v>
      </c>
      <c r="I2271" s="5" t="str">
        <f t="shared" si="270"/>
        <v>016</v>
      </c>
      <c r="J2271" s="5" t="str">
        <f t="shared" si="271"/>
        <v>2230</v>
      </c>
      <c r="K2271" s="5" t="str">
        <f t="shared" si="272"/>
        <v>000</v>
      </c>
      <c r="L2271" s="5">
        <f t="shared" si="273"/>
        <v>5</v>
      </c>
      <c r="M2271" s="5">
        <f t="shared" si="274"/>
        <v>2012</v>
      </c>
    </row>
    <row r="2272" spans="1:13" ht="17.45" customHeight="1" x14ac:dyDescent="0.25">
      <c r="A2272" s="1">
        <f>DATE(2012,5,7)</f>
        <v>41036</v>
      </c>
      <c r="B2272" t="s">
        <v>15</v>
      </c>
      <c r="C2272" t="s">
        <v>6</v>
      </c>
      <c r="D2272" s="3">
        <v>4125.8564999999999</v>
      </c>
      <c r="E2272" s="3">
        <v>0</v>
      </c>
      <c r="F2272" t="s">
        <v>45</v>
      </c>
      <c r="G2272" s="3">
        <f t="shared" si="268"/>
        <v>-4125.8564999999999</v>
      </c>
      <c r="H2272" s="3">
        <f t="shared" si="269"/>
        <v>4125.8564999999999</v>
      </c>
      <c r="I2272" s="5" t="str">
        <f t="shared" si="270"/>
        <v>017</v>
      </c>
      <c r="J2272" s="5" t="str">
        <f t="shared" si="271"/>
        <v>2100</v>
      </c>
      <c r="K2272" s="5" t="str">
        <f t="shared" si="272"/>
        <v>000</v>
      </c>
      <c r="L2272" s="5">
        <f t="shared" si="273"/>
        <v>5</v>
      </c>
      <c r="M2272" s="5">
        <f t="shared" si="274"/>
        <v>2012</v>
      </c>
    </row>
    <row r="2273" spans="1:13" ht="17.45" customHeight="1" x14ac:dyDescent="0.25">
      <c r="A2273" s="1">
        <f>DATE(2012,5,7)</f>
        <v>41036</v>
      </c>
      <c r="B2273" t="s">
        <v>16</v>
      </c>
      <c r="C2273" t="s">
        <v>8</v>
      </c>
      <c r="D2273" s="3">
        <v>938.44799999999998</v>
      </c>
      <c r="E2273" s="3">
        <v>0</v>
      </c>
      <c r="F2273" t="s">
        <v>45</v>
      </c>
      <c r="G2273" s="3">
        <f t="shared" si="268"/>
        <v>-938.44799999999998</v>
      </c>
      <c r="H2273" s="3">
        <f t="shared" si="269"/>
        <v>938.44799999999998</v>
      </c>
      <c r="I2273" s="5" t="str">
        <f t="shared" si="270"/>
        <v>017</v>
      </c>
      <c r="J2273" s="5" t="str">
        <f t="shared" si="271"/>
        <v>2210</v>
      </c>
      <c r="K2273" s="5" t="str">
        <f t="shared" si="272"/>
        <v>000</v>
      </c>
      <c r="L2273" s="5">
        <f t="shared" si="273"/>
        <v>5</v>
      </c>
      <c r="M2273" s="5">
        <f t="shared" si="274"/>
        <v>2012</v>
      </c>
    </row>
    <row r="2274" spans="1:13" ht="17.45" customHeight="1" x14ac:dyDescent="0.25">
      <c r="A2274" s="1">
        <f>DATE(2012,5,7)</f>
        <v>41036</v>
      </c>
      <c r="B2274" t="s">
        <v>17</v>
      </c>
      <c r="C2274" t="s">
        <v>9</v>
      </c>
      <c r="D2274" s="3">
        <v>242.74250000000001</v>
      </c>
      <c r="E2274" s="3">
        <v>0</v>
      </c>
      <c r="F2274" t="s">
        <v>45</v>
      </c>
      <c r="G2274" s="3">
        <f t="shared" si="268"/>
        <v>-242.74250000000001</v>
      </c>
      <c r="H2274" s="3">
        <f t="shared" si="269"/>
        <v>242.74250000000001</v>
      </c>
      <c r="I2274" s="5" t="str">
        <f t="shared" si="270"/>
        <v>017</v>
      </c>
      <c r="J2274" s="5" t="str">
        <f t="shared" si="271"/>
        <v>2220</v>
      </c>
      <c r="K2274" s="5" t="str">
        <f t="shared" si="272"/>
        <v>000</v>
      </c>
      <c r="L2274" s="5">
        <f t="shared" si="273"/>
        <v>5</v>
      </c>
      <c r="M2274" s="5">
        <f t="shared" si="274"/>
        <v>2012</v>
      </c>
    </row>
    <row r="2275" spans="1:13" ht="17.45" customHeight="1" x14ac:dyDescent="0.25">
      <c r="A2275" s="1">
        <f>DATE(2012,5,7)</f>
        <v>41036</v>
      </c>
      <c r="B2275" t="s">
        <v>18</v>
      </c>
      <c r="C2275" t="s">
        <v>10</v>
      </c>
      <c r="D2275" s="3">
        <v>60.23899999999999</v>
      </c>
      <c r="E2275" s="3">
        <v>0</v>
      </c>
      <c r="F2275" t="s">
        <v>45</v>
      </c>
      <c r="G2275" s="3">
        <f t="shared" si="268"/>
        <v>-60.23899999999999</v>
      </c>
      <c r="H2275" s="3">
        <f t="shared" si="269"/>
        <v>60.23899999999999</v>
      </c>
      <c r="I2275" s="5" t="str">
        <f t="shared" si="270"/>
        <v>017</v>
      </c>
      <c r="J2275" s="5" t="str">
        <f t="shared" si="271"/>
        <v>2230</v>
      </c>
      <c r="K2275" s="5" t="str">
        <f t="shared" si="272"/>
        <v>000</v>
      </c>
      <c r="L2275" s="5">
        <f t="shared" si="273"/>
        <v>5</v>
      </c>
      <c r="M2275" s="5">
        <f t="shared" si="274"/>
        <v>2012</v>
      </c>
    </row>
    <row r="2276" spans="1:13" ht="17.45" customHeight="1" x14ac:dyDescent="0.25">
      <c r="A2276" s="1">
        <f>DATE(2012,5,8)</f>
        <v>41037</v>
      </c>
      <c r="B2276" t="s">
        <v>15</v>
      </c>
      <c r="C2276" t="s">
        <v>6</v>
      </c>
      <c r="D2276" s="3">
        <v>4784.2860000000001</v>
      </c>
      <c r="E2276" s="3">
        <v>0</v>
      </c>
      <c r="F2276" t="s">
        <v>45</v>
      </c>
      <c r="G2276" s="3">
        <f t="shared" si="268"/>
        <v>-4784.2860000000001</v>
      </c>
      <c r="H2276" s="3">
        <f t="shared" si="269"/>
        <v>4784.2860000000001</v>
      </c>
      <c r="I2276" s="5" t="str">
        <f t="shared" si="270"/>
        <v>017</v>
      </c>
      <c r="J2276" s="5" t="str">
        <f t="shared" si="271"/>
        <v>2100</v>
      </c>
      <c r="K2276" s="5" t="str">
        <f t="shared" si="272"/>
        <v>000</v>
      </c>
      <c r="L2276" s="5">
        <f t="shared" si="273"/>
        <v>5</v>
      </c>
      <c r="M2276" s="5">
        <f t="shared" si="274"/>
        <v>2012</v>
      </c>
    </row>
    <row r="2277" spans="1:13" ht="17.45" customHeight="1" x14ac:dyDescent="0.25">
      <c r="A2277" s="1">
        <f>DATE(2012,5,8)</f>
        <v>41037</v>
      </c>
      <c r="B2277" t="s">
        <v>16</v>
      </c>
      <c r="C2277" t="s">
        <v>8</v>
      </c>
      <c r="D2277" s="3">
        <v>1044.7996000000001</v>
      </c>
      <c r="E2277" s="3">
        <v>0</v>
      </c>
      <c r="F2277" t="s">
        <v>45</v>
      </c>
      <c r="G2277" s="3">
        <f t="shared" si="268"/>
        <v>-1044.7996000000001</v>
      </c>
      <c r="H2277" s="3">
        <f t="shared" si="269"/>
        <v>1044.7996000000001</v>
      </c>
      <c r="I2277" s="5" t="str">
        <f t="shared" si="270"/>
        <v>017</v>
      </c>
      <c r="J2277" s="5" t="str">
        <f t="shared" si="271"/>
        <v>2210</v>
      </c>
      <c r="K2277" s="5" t="str">
        <f t="shared" si="272"/>
        <v>000</v>
      </c>
      <c r="L2277" s="5">
        <f t="shared" si="273"/>
        <v>5</v>
      </c>
      <c r="M2277" s="5">
        <f t="shared" si="274"/>
        <v>2012</v>
      </c>
    </row>
    <row r="2278" spans="1:13" ht="17.45" customHeight="1" x14ac:dyDescent="0.25">
      <c r="A2278" s="1">
        <f>DATE(2012,5,8)</f>
        <v>41037</v>
      </c>
      <c r="B2278" t="s">
        <v>17</v>
      </c>
      <c r="C2278" t="s">
        <v>9</v>
      </c>
      <c r="D2278" s="3">
        <v>415.6</v>
      </c>
      <c r="E2278" s="3">
        <v>0</v>
      </c>
      <c r="F2278" t="s">
        <v>45</v>
      </c>
      <c r="G2278" s="3">
        <f t="shared" si="268"/>
        <v>-415.6</v>
      </c>
      <c r="H2278" s="3">
        <f t="shared" si="269"/>
        <v>415.6</v>
      </c>
      <c r="I2278" s="5" t="str">
        <f t="shared" si="270"/>
        <v>017</v>
      </c>
      <c r="J2278" s="5" t="str">
        <f t="shared" si="271"/>
        <v>2220</v>
      </c>
      <c r="K2278" s="5" t="str">
        <f t="shared" si="272"/>
        <v>000</v>
      </c>
      <c r="L2278" s="5">
        <f t="shared" si="273"/>
        <v>5</v>
      </c>
      <c r="M2278" s="5">
        <f t="shared" si="274"/>
        <v>2012</v>
      </c>
    </row>
    <row r="2279" spans="1:13" ht="17.45" customHeight="1" x14ac:dyDescent="0.25">
      <c r="A2279" s="1">
        <f>DATE(2012,5,8)</f>
        <v>41037</v>
      </c>
      <c r="B2279" t="s">
        <v>18</v>
      </c>
      <c r="C2279" t="s">
        <v>10</v>
      </c>
      <c r="D2279" s="3">
        <v>58.326500000000003</v>
      </c>
      <c r="E2279" s="3">
        <v>0</v>
      </c>
      <c r="F2279" t="s">
        <v>45</v>
      </c>
      <c r="G2279" s="3">
        <f t="shared" si="268"/>
        <v>-58.326500000000003</v>
      </c>
      <c r="H2279" s="3">
        <f t="shared" si="269"/>
        <v>58.326500000000003</v>
      </c>
      <c r="I2279" s="5" t="str">
        <f t="shared" si="270"/>
        <v>017</v>
      </c>
      <c r="J2279" s="5" t="str">
        <f t="shared" si="271"/>
        <v>2230</v>
      </c>
      <c r="K2279" s="5" t="str">
        <f t="shared" si="272"/>
        <v>000</v>
      </c>
      <c r="L2279" s="5">
        <f t="shared" si="273"/>
        <v>5</v>
      </c>
      <c r="M2279" s="5">
        <f t="shared" si="274"/>
        <v>2012</v>
      </c>
    </row>
    <row r="2280" spans="1:13" ht="17.45" customHeight="1" x14ac:dyDescent="0.25">
      <c r="A2280" s="1">
        <f>DATE(2012,5,9)</f>
        <v>41038</v>
      </c>
      <c r="B2280" t="s">
        <v>15</v>
      </c>
      <c r="C2280" t="s">
        <v>6</v>
      </c>
      <c r="D2280" s="3">
        <v>4959.9279999999999</v>
      </c>
      <c r="E2280" s="3">
        <v>0</v>
      </c>
      <c r="F2280" t="s">
        <v>45</v>
      </c>
      <c r="G2280" s="3">
        <f t="shared" si="268"/>
        <v>-4959.9279999999999</v>
      </c>
      <c r="H2280" s="3">
        <f t="shared" si="269"/>
        <v>4959.9279999999999</v>
      </c>
      <c r="I2280" s="5" t="str">
        <f t="shared" si="270"/>
        <v>017</v>
      </c>
      <c r="J2280" s="5" t="str">
        <f t="shared" si="271"/>
        <v>2100</v>
      </c>
      <c r="K2280" s="5" t="str">
        <f t="shared" si="272"/>
        <v>000</v>
      </c>
      <c r="L2280" s="5">
        <f t="shared" si="273"/>
        <v>5</v>
      </c>
      <c r="M2280" s="5">
        <f t="shared" si="274"/>
        <v>2012</v>
      </c>
    </row>
    <row r="2281" spans="1:13" ht="17.45" customHeight="1" x14ac:dyDescent="0.25">
      <c r="A2281" s="1">
        <f>DATE(2012,5,9)</f>
        <v>41038</v>
      </c>
      <c r="B2281" t="s">
        <v>16</v>
      </c>
      <c r="C2281" t="s">
        <v>8</v>
      </c>
      <c r="D2281" s="3">
        <v>1985.5069999999998</v>
      </c>
      <c r="E2281" s="3">
        <v>0</v>
      </c>
      <c r="F2281" t="s">
        <v>45</v>
      </c>
      <c r="G2281" s="3">
        <f t="shared" si="268"/>
        <v>-1985.5069999999998</v>
      </c>
      <c r="H2281" s="3">
        <f t="shared" si="269"/>
        <v>1985.5069999999998</v>
      </c>
      <c r="I2281" s="5" t="str">
        <f t="shared" si="270"/>
        <v>017</v>
      </c>
      <c r="J2281" s="5" t="str">
        <f t="shared" si="271"/>
        <v>2210</v>
      </c>
      <c r="K2281" s="5" t="str">
        <f t="shared" si="272"/>
        <v>000</v>
      </c>
      <c r="L2281" s="5">
        <f t="shared" si="273"/>
        <v>5</v>
      </c>
      <c r="M2281" s="5">
        <f t="shared" si="274"/>
        <v>2012</v>
      </c>
    </row>
    <row r="2282" spans="1:13" ht="17.45" customHeight="1" x14ac:dyDescent="0.25">
      <c r="A2282" s="1">
        <f>DATE(2012,5,9)</f>
        <v>41038</v>
      </c>
      <c r="B2282" t="s">
        <v>17</v>
      </c>
      <c r="C2282" t="s">
        <v>9</v>
      </c>
      <c r="D2282" s="3">
        <v>341.44749999999999</v>
      </c>
      <c r="E2282" s="3">
        <v>0</v>
      </c>
      <c r="F2282" t="s">
        <v>45</v>
      </c>
      <c r="G2282" s="3">
        <f t="shared" si="268"/>
        <v>-341.44749999999999</v>
      </c>
      <c r="H2282" s="3">
        <f t="shared" si="269"/>
        <v>341.44749999999999</v>
      </c>
      <c r="I2282" s="5" t="str">
        <f t="shared" si="270"/>
        <v>017</v>
      </c>
      <c r="J2282" s="5" t="str">
        <f t="shared" si="271"/>
        <v>2220</v>
      </c>
      <c r="K2282" s="5" t="str">
        <f t="shared" si="272"/>
        <v>000</v>
      </c>
      <c r="L2282" s="5">
        <f t="shared" si="273"/>
        <v>5</v>
      </c>
      <c r="M2282" s="5">
        <f t="shared" si="274"/>
        <v>2012</v>
      </c>
    </row>
    <row r="2283" spans="1:13" ht="17.45" customHeight="1" x14ac:dyDescent="0.25">
      <c r="A2283" s="1">
        <f>DATE(2012,5,9)</f>
        <v>41038</v>
      </c>
      <c r="B2283" t="s">
        <v>18</v>
      </c>
      <c r="C2283" t="s">
        <v>10</v>
      </c>
      <c r="D2283" s="3">
        <v>79.53</v>
      </c>
      <c r="E2283" s="3">
        <v>0</v>
      </c>
      <c r="F2283" t="s">
        <v>45</v>
      </c>
      <c r="G2283" s="3">
        <f t="shared" si="268"/>
        <v>-79.53</v>
      </c>
      <c r="H2283" s="3">
        <f t="shared" si="269"/>
        <v>79.53</v>
      </c>
      <c r="I2283" s="5" t="str">
        <f t="shared" si="270"/>
        <v>017</v>
      </c>
      <c r="J2283" s="5" t="str">
        <f t="shared" si="271"/>
        <v>2230</v>
      </c>
      <c r="K2283" s="5" t="str">
        <f t="shared" si="272"/>
        <v>000</v>
      </c>
      <c r="L2283" s="5">
        <f t="shared" si="273"/>
        <v>5</v>
      </c>
      <c r="M2283" s="5">
        <f t="shared" si="274"/>
        <v>2012</v>
      </c>
    </row>
    <row r="2284" spans="1:13" ht="17.45" customHeight="1" x14ac:dyDescent="0.25">
      <c r="A2284" s="1">
        <f>DATE(2012,5,10)</f>
        <v>41039</v>
      </c>
      <c r="B2284" t="s">
        <v>15</v>
      </c>
      <c r="C2284" t="s">
        <v>6</v>
      </c>
      <c r="D2284" s="3">
        <v>5002.1887999999999</v>
      </c>
      <c r="E2284" s="3">
        <v>0</v>
      </c>
      <c r="F2284" t="s">
        <v>45</v>
      </c>
      <c r="G2284" s="3">
        <f t="shared" si="268"/>
        <v>-5002.1887999999999</v>
      </c>
      <c r="H2284" s="3">
        <f t="shared" si="269"/>
        <v>5002.1887999999999</v>
      </c>
      <c r="I2284" s="5" t="str">
        <f t="shared" si="270"/>
        <v>017</v>
      </c>
      <c r="J2284" s="5" t="str">
        <f t="shared" si="271"/>
        <v>2100</v>
      </c>
      <c r="K2284" s="5" t="str">
        <f t="shared" si="272"/>
        <v>000</v>
      </c>
      <c r="L2284" s="5">
        <f t="shared" si="273"/>
        <v>5</v>
      </c>
      <c r="M2284" s="5">
        <f t="shared" si="274"/>
        <v>2012</v>
      </c>
    </row>
    <row r="2285" spans="1:13" ht="17.45" customHeight="1" x14ac:dyDescent="0.25">
      <c r="A2285" s="1">
        <f>DATE(2012,5,10)</f>
        <v>41039</v>
      </c>
      <c r="B2285" t="s">
        <v>16</v>
      </c>
      <c r="C2285" t="s">
        <v>8</v>
      </c>
      <c r="D2285" s="3">
        <v>1870.8479999999997</v>
      </c>
      <c r="E2285" s="3">
        <v>0</v>
      </c>
      <c r="F2285" t="s">
        <v>45</v>
      </c>
      <c r="G2285" s="3">
        <f t="shared" si="268"/>
        <v>-1870.8479999999997</v>
      </c>
      <c r="H2285" s="3">
        <f t="shared" si="269"/>
        <v>1870.8479999999997</v>
      </c>
      <c r="I2285" s="5" t="str">
        <f t="shared" si="270"/>
        <v>017</v>
      </c>
      <c r="J2285" s="5" t="str">
        <f t="shared" si="271"/>
        <v>2210</v>
      </c>
      <c r="K2285" s="5" t="str">
        <f t="shared" si="272"/>
        <v>000</v>
      </c>
      <c r="L2285" s="5">
        <f t="shared" si="273"/>
        <v>5</v>
      </c>
      <c r="M2285" s="5">
        <f t="shared" si="274"/>
        <v>2012</v>
      </c>
    </row>
    <row r="2286" spans="1:13" ht="17.45" customHeight="1" x14ac:dyDescent="0.25">
      <c r="A2286" s="1">
        <f>DATE(2012,5,10)</f>
        <v>41039</v>
      </c>
      <c r="B2286" t="s">
        <v>17</v>
      </c>
      <c r="C2286" t="s">
        <v>9</v>
      </c>
      <c r="D2286" s="3">
        <v>740.92500000000007</v>
      </c>
      <c r="E2286" s="3">
        <v>0</v>
      </c>
      <c r="F2286" t="s">
        <v>45</v>
      </c>
      <c r="G2286" s="3">
        <f t="shared" si="268"/>
        <v>-740.92500000000007</v>
      </c>
      <c r="H2286" s="3">
        <f t="shared" si="269"/>
        <v>740.92500000000007</v>
      </c>
      <c r="I2286" s="5" t="str">
        <f t="shared" si="270"/>
        <v>017</v>
      </c>
      <c r="J2286" s="5" t="str">
        <f t="shared" si="271"/>
        <v>2220</v>
      </c>
      <c r="K2286" s="5" t="str">
        <f t="shared" si="272"/>
        <v>000</v>
      </c>
      <c r="L2286" s="5">
        <f t="shared" si="273"/>
        <v>5</v>
      </c>
      <c r="M2286" s="5">
        <f t="shared" si="274"/>
        <v>2012</v>
      </c>
    </row>
    <row r="2287" spans="1:13" ht="17.45" customHeight="1" x14ac:dyDescent="0.25">
      <c r="A2287" s="1">
        <f>DATE(2012,5,10)</f>
        <v>41039</v>
      </c>
      <c r="B2287" t="s">
        <v>18</v>
      </c>
      <c r="C2287" t="s">
        <v>10</v>
      </c>
      <c r="D2287" s="3">
        <v>92.63</v>
      </c>
      <c r="E2287" s="3">
        <v>0</v>
      </c>
      <c r="F2287" t="s">
        <v>45</v>
      </c>
      <c r="G2287" s="3">
        <f t="shared" si="268"/>
        <v>-92.63</v>
      </c>
      <c r="H2287" s="3">
        <f t="shared" si="269"/>
        <v>92.63</v>
      </c>
      <c r="I2287" s="5" t="str">
        <f t="shared" si="270"/>
        <v>017</v>
      </c>
      <c r="J2287" s="5" t="str">
        <f t="shared" si="271"/>
        <v>2230</v>
      </c>
      <c r="K2287" s="5" t="str">
        <f t="shared" si="272"/>
        <v>000</v>
      </c>
      <c r="L2287" s="5">
        <f t="shared" si="273"/>
        <v>5</v>
      </c>
      <c r="M2287" s="5">
        <f t="shared" si="274"/>
        <v>2012</v>
      </c>
    </row>
    <row r="2288" spans="1:13" ht="17.45" customHeight="1" x14ac:dyDescent="0.25">
      <c r="A2288" s="1">
        <f>DATE(2012,5,11)</f>
        <v>41040</v>
      </c>
      <c r="B2288" t="s">
        <v>15</v>
      </c>
      <c r="C2288" t="s">
        <v>6</v>
      </c>
      <c r="D2288" s="3">
        <v>8098.375</v>
      </c>
      <c r="E2288" s="3">
        <v>0</v>
      </c>
      <c r="F2288" t="s">
        <v>45</v>
      </c>
      <c r="G2288" s="3">
        <f t="shared" si="268"/>
        <v>-8098.375</v>
      </c>
      <c r="H2288" s="3">
        <f t="shared" si="269"/>
        <v>8098.375</v>
      </c>
      <c r="I2288" s="5" t="str">
        <f t="shared" si="270"/>
        <v>017</v>
      </c>
      <c r="J2288" s="5" t="str">
        <f t="shared" si="271"/>
        <v>2100</v>
      </c>
      <c r="K2288" s="5" t="str">
        <f t="shared" si="272"/>
        <v>000</v>
      </c>
      <c r="L2288" s="5">
        <f t="shared" si="273"/>
        <v>5</v>
      </c>
      <c r="M2288" s="5">
        <f t="shared" si="274"/>
        <v>2012</v>
      </c>
    </row>
    <row r="2289" spans="1:13" ht="17.45" customHeight="1" x14ac:dyDescent="0.25">
      <c r="A2289" s="1">
        <f>DATE(2012,5,11)</f>
        <v>41040</v>
      </c>
      <c r="B2289" t="s">
        <v>16</v>
      </c>
      <c r="C2289" t="s">
        <v>8</v>
      </c>
      <c r="D2289" s="3">
        <v>2091.0484999999999</v>
      </c>
      <c r="E2289" s="3">
        <v>0</v>
      </c>
      <c r="F2289" t="s">
        <v>45</v>
      </c>
      <c r="G2289" s="3">
        <f t="shared" si="268"/>
        <v>-2091.0484999999999</v>
      </c>
      <c r="H2289" s="3">
        <f t="shared" si="269"/>
        <v>2091.0484999999999</v>
      </c>
      <c r="I2289" s="5" t="str">
        <f t="shared" si="270"/>
        <v>017</v>
      </c>
      <c r="J2289" s="5" t="str">
        <f t="shared" si="271"/>
        <v>2210</v>
      </c>
      <c r="K2289" s="5" t="str">
        <f t="shared" si="272"/>
        <v>000</v>
      </c>
      <c r="L2289" s="5">
        <f t="shared" si="273"/>
        <v>5</v>
      </c>
      <c r="M2289" s="5">
        <f t="shared" si="274"/>
        <v>2012</v>
      </c>
    </row>
    <row r="2290" spans="1:13" ht="17.45" customHeight="1" x14ac:dyDescent="0.25">
      <c r="A2290" s="1">
        <f>DATE(2012,5,11)</f>
        <v>41040</v>
      </c>
      <c r="B2290" t="s">
        <v>17</v>
      </c>
      <c r="C2290" t="s">
        <v>9</v>
      </c>
      <c r="D2290" s="3">
        <v>340.62</v>
      </c>
      <c r="E2290" s="3">
        <v>0</v>
      </c>
      <c r="F2290" t="s">
        <v>45</v>
      </c>
      <c r="G2290" s="3">
        <f t="shared" si="268"/>
        <v>-340.62</v>
      </c>
      <c r="H2290" s="3">
        <f t="shared" si="269"/>
        <v>340.62</v>
      </c>
      <c r="I2290" s="5" t="str">
        <f t="shared" si="270"/>
        <v>017</v>
      </c>
      <c r="J2290" s="5" t="str">
        <f t="shared" si="271"/>
        <v>2220</v>
      </c>
      <c r="K2290" s="5" t="str">
        <f t="shared" si="272"/>
        <v>000</v>
      </c>
      <c r="L2290" s="5">
        <f t="shared" si="273"/>
        <v>5</v>
      </c>
      <c r="M2290" s="5">
        <f t="shared" si="274"/>
        <v>2012</v>
      </c>
    </row>
    <row r="2291" spans="1:13" ht="17.45" customHeight="1" x14ac:dyDescent="0.25">
      <c r="A2291" s="1">
        <f>DATE(2012,5,11)</f>
        <v>41040</v>
      </c>
      <c r="B2291" t="s">
        <v>18</v>
      </c>
      <c r="C2291" t="s">
        <v>10</v>
      </c>
      <c r="D2291" s="3">
        <v>148.03700000000001</v>
      </c>
      <c r="E2291" s="3">
        <v>0</v>
      </c>
      <c r="F2291" t="s">
        <v>45</v>
      </c>
      <c r="G2291" s="3">
        <f t="shared" si="268"/>
        <v>-148.03700000000001</v>
      </c>
      <c r="H2291" s="3">
        <f t="shared" si="269"/>
        <v>148.03700000000001</v>
      </c>
      <c r="I2291" s="5" t="str">
        <f t="shared" si="270"/>
        <v>017</v>
      </c>
      <c r="J2291" s="5" t="str">
        <f t="shared" si="271"/>
        <v>2230</v>
      </c>
      <c r="K2291" s="5" t="str">
        <f t="shared" si="272"/>
        <v>000</v>
      </c>
      <c r="L2291" s="5">
        <f t="shared" si="273"/>
        <v>5</v>
      </c>
      <c r="M2291" s="5">
        <f t="shared" si="274"/>
        <v>2012</v>
      </c>
    </row>
    <row r="2292" spans="1:13" ht="17.45" customHeight="1" x14ac:dyDescent="0.25">
      <c r="A2292" s="1">
        <f>DATE(2012,5,12)</f>
        <v>41041</v>
      </c>
      <c r="B2292" t="s">
        <v>15</v>
      </c>
      <c r="C2292" t="s">
        <v>6</v>
      </c>
      <c r="D2292" s="3">
        <v>9025.6264999999985</v>
      </c>
      <c r="E2292" s="3">
        <v>0</v>
      </c>
      <c r="F2292" t="s">
        <v>45</v>
      </c>
      <c r="G2292" s="3">
        <f t="shared" si="268"/>
        <v>-9025.6264999999985</v>
      </c>
      <c r="H2292" s="3">
        <f t="shared" si="269"/>
        <v>9025.6264999999985</v>
      </c>
      <c r="I2292" s="5" t="str">
        <f t="shared" si="270"/>
        <v>017</v>
      </c>
      <c r="J2292" s="5" t="str">
        <f t="shared" si="271"/>
        <v>2100</v>
      </c>
      <c r="K2292" s="5" t="str">
        <f t="shared" si="272"/>
        <v>000</v>
      </c>
      <c r="L2292" s="5">
        <f t="shared" si="273"/>
        <v>5</v>
      </c>
      <c r="M2292" s="5">
        <f t="shared" si="274"/>
        <v>2012</v>
      </c>
    </row>
    <row r="2293" spans="1:13" ht="17.45" customHeight="1" x14ac:dyDescent="0.25">
      <c r="A2293" s="1">
        <f>DATE(2012,5,12)</f>
        <v>41041</v>
      </c>
      <c r="B2293" t="s">
        <v>16</v>
      </c>
      <c r="C2293" t="s">
        <v>8</v>
      </c>
      <c r="D2293" s="3">
        <v>2880.2649999999999</v>
      </c>
      <c r="E2293" s="3">
        <v>0</v>
      </c>
      <c r="F2293" t="s">
        <v>45</v>
      </c>
      <c r="G2293" s="3">
        <f t="shared" si="268"/>
        <v>-2880.2649999999999</v>
      </c>
      <c r="H2293" s="3">
        <f t="shared" si="269"/>
        <v>2880.2649999999999</v>
      </c>
      <c r="I2293" s="5" t="str">
        <f t="shared" si="270"/>
        <v>017</v>
      </c>
      <c r="J2293" s="5" t="str">
        <f t="shared" si="271"/>
        <v>2210</v>
      </c>
      <c r="K2293" s="5" t="str">
        <f t="shared" si="272"/>
        <v>000</v>
      </c>
      <c r="L2293" s="5">
        <f t="shared" si="273"/>
        <v>5</v>
      </c>
      <c r="M2293" s="5">
        <f t="shared" si="274"/>
        <v>2012</v>
      </c>
    </row>
    <row r="2294" spans="1:13" ht="17.45" customHeight="1" x14ac:dyDescent="0.25">
      <c r="A2294" s="1">
        <f>DATE(2012,5,12)</f>
        <v>41041</v>
      </c>
      <c r="B2294" t="s">
        <v>17</v>
      </c>
      <c r="C2294" t="s">
        <v>9</v>
      </c>
      <c r="D2294" s="3">
        <v>421.05</v>
      </c>
      <c r="E2294" s="3">
        <v>0</v>
      </c>
      <c r="F2294" t="s">
        <v>45</v>
      </c>
      <c r="G2294" s="3">
        <f t="shared" si="268"/>
        <v>-421.05</v>
      </c>
      <c r="H2294" s="3">
        <f t="shared" si="269"/>
        <v>421.05</v>
      </c>
      <c r="I2294" s="5" t="str">
        <f t="shared" si="270"/>
        <v>017</v>
      </c>
      <c r="J2294" s="5" t="str">
        <f t="shared" si="271"/>
        <v>2220</v>
      </c>
      <c r="K2294" s="5" t="str">
        <f t="shared" si="272"/>
        <v>000</v>
      </c>
      <c r="L2294" s="5">
        <f t="shared" si="273"/>
        <v>5</v>
      </c>
      <c r="M2294" s="5">
        <f t="shared" si="274"/>
        <v>2012</v>
      </c>
    </row>
    <row r="2295" spans="1:13" ht="17.45" customHeight="1" x14ac:dyDescent="0.25">
      <c r="A2295" s="1">
        <f>DATE(2012,5,12)</f>
        <v>41041</v>
      </c>
      <c r="B2295" t="s">
        <v>18</v>
      </c>
      <c r="C2295" t="s">
        <v>10</v>
      </c>
      <c r="D2295" s="3">
        <v>56.912999999999997</v>
      </c>
      <c r="E2295" s="3">
        <v>0</v>
      </c>
      <c r="F2295" t="s">
        <v>45</v>
      </c>
      <c r="G2295" s="3">
        <f t="shared" si="268"/>
        <v>-56.912999999999997</v>
      </c>
      <c r="H2295" s="3">
        <f t="shared" si="269"/>
        <v>56.912999999999997</v>
      </c>
      <c r="I2295" s="5" t="str">
        <f t="shared" si="270"/>
        <v>017</v>
      </c>
      <c r="J2295" s="5" t="str">
        <f t="shared" si="271"/>
        <v>2230</v>
      </c>
      <c r="K2295" s="5" t="str">
        <f t="shared" si="272"/>
        <v>000</v>
      </c>
      <c r="L2295" s="5">
        <f t="shared" si="273"/>
        <v>5</v>
      </c>
      <c r="M2295" s="5">
        <f t="shared" si="274"/>
        <v>2012</v>
      </c>
    </row>
    <row r="2296" spans="1:13" ht="17.45" customHeight="1" x14ac:dyDescent="0.25">
      <c r="A2296" s="1">
        <f>DATE(2012,5,13)</f>
        <v>41042</v>
      </c>
      <c r="B2296" t="s">
        <v>15</v>
      </c>
      <c r="C2296" t="s">
        <v>6</v>
      </c>
      <c r="D2296" s="3">
        <v>8567.6960999999992</v>
      </c>
      <c r="E2296" s="3">
        <v>0</v>
      </c>
      <c r="F2296" t="s">
        <v>45</v>
      </c>
      <c r="G2296" s="3">
        <f t="shared" si="268"/>
        <v>-8567.6960999999992</v>
      </c>
      <c r="H2296" s="3">
        <f t="shared" si="269"/>
        <v>8567.6960999999992</v>
      </c>
      <c r="I2296" s="5" t="str">
        <f t="shared" si="270"/>
        <v>017</v>
      </c>
      <c r="J2296" s="5" t="str">
        <f t="shared" si="271"/>
        <v>2100</v>
      </c>
      <c r="K2296" s="5" t="str">
        <f t="shared" si="272"/>
        <v>000</v>
      </c>
      <c r="L2296" s="5">
        <f t="shared" si="273"/>
        <v>5</v>
      </c>
      <c r="M2296" s="5">
        <f t="shared" si="274"/>
        <v>2012</v>
      </c>
    </row>
    <row r="2297" spans="1:13" ht="17.45" customHeight="1" x14ac:dyDescent="0.25">
      <c r="A2297" s="1">
        <f>DATE(2012,5,13)</f>
        <v>41042</v>
      </c>
      <c r="B2297" t="s">
        <v>16</v>
      </c>
      <c r="C2297" t="s">
        <v>8</v>
      </c>
      <c r="D2297" s="3">
        <v>1091.231</v>
      </c>
      <c r="E2297" s="3">
        <v>0</v>
      </c>
      <c r="F2297" t="s">
        <v>45</v>
      </c>
      <c r="G2297" s="3">
        <f t="shared" si="268"/>
        <v>-1091.231</v>
      </c>
      <c r="H2297" s="3">
        <f t="shared" si="269"/>
        <v>1091.231</v>
      </c>
      <c r="I2297" s="5" t="str">
        <f t="shared" si="270"/>
        <v>017</v>
      </c>
      <c r="J2297" s="5" t="str">
        <f t="shared" si="271"/>
        <v>2210</v>
      </c>
      <c r="K2297" s="5" t="str">
        <f t="shared" si="272"/>
        <v>000</v>
      </c>
      <c r="L2297" s="5">
        <f t="shared" si="273"/>
        <v>5</v>
      </c>
      <c r="M2297" s="5">
        <f t="shared" si="274"/>
        <v>2012</v>
      </c>
    </row>
    <row r="2298" spans="1:13" ht="17.45" customHeight="1" x14ac:dyDescent="0.25">
      <c r="A2298" s="1">
        <f>DATE(2012,5,13)</f>
        <v>41042</v>
      </c>
      <c r="B2298" t="s">
        <v>17</v>
      </c>
      <c r="C2298" t="s">
        <v>9</v>
      </c>
      <c r="D2298" s="3">
        <v>289.52499999999998</v>
      </c>
      <c r="E2298" s="3">
        <v>0</v>
      </c>
      <c r="F2298" t="s">
        <v>45</v>
      </c>
      <c r="G2298" s="3">
        <f t="shared" si="268"/>
        <v>-289.52499999999998</v>
      </c>
      <c r="H2298" s="3">
        <f t="shared" si="269"/>
        <v>289.52499999999998</v>
      </c>
      <c r="I2298" s="5" t="str">
        <f t="shared" si="270"/>
        <v>017</v>
      </c>
      <c r="J2298" s="5" t="str">
        <f t="shared" si="271"/>
        <v>2220</v>
      </c>
      <c r="K2298" s="5" t="str">
        <f t="shared" si="272"/>
        <v>000</v>
      </c>
      <c r="L2298" s="5">
        <f t="shared" si="273"/>
        <v>5</v>
      </c>
      <c r="M2298" s="5">
        <f t="shared" si="274"/>
        <v>2012</v>
      </c>
    </row>
    <row r="2299" spans="1:13" ht="17.45" customHeight="1" x14ac:dyDescent="0.25">
      <c r="A2299" s="1">
        <f>DATE(2012,5,13)</f>
        <v>41042</v>
      </c>
      <c r="B2299" t="s">
        <v>18</v>
      </c>
      <c r="C2299" t="s">
        <v>10</v>
      </c>
      <c r="D2299" s="3">
        <v>110.05800000000001</v>
      </c>
      <c r="E2299" s="3">
        <v>0</v>
      </c>
      <c r="F2299" t="s">
        <v>45</v>
      </c>
      <c r="G2299" s="3">
        <f t="shared" si="268"/>
        <v>-110.05800000000001</v>
      </c>
      <c r="H2299" s="3">
        <f t="shared" si="269"/>
        <v>110.05800000000001</v>
      </c>
      <c r="I2299" s="5" t="str">
        <f t="shared" si="270"/>
        <v>017</v>
      </c>
      <c r="J2299" s="5" t="str">
        <f t="shared" si="271"/>
        <v>2230</v>
      </c>
      <c r="K2299" s="5" t="str">
        <f t="shared" si="272"/>
        <v>000</v>
      </c>
      <c r="L2299" s="5">
        <f t="shared" si="273"/>
        <v>5</v>
      </c>
      <c r="M2299" s="5">
        <f t="shared" si="274"/>
        <v>2012</v>
      </c>
    </row>
    <row r="2300" spans="1:13" ht="17.45" customHeight="1" x14ac:dyDescent="0.25">
      <c r="A2300" s="1">
        <f>DATE(2012,5,7)</f>
        <v>41036</v>
      </c>
      <c r="B2300" t="s">
        <v>19</v>
      </c>
      <c r="C2300" t="s">
        <v>6</v>
      </c>
      <c r="D2300" s="3">
        <v>2580.3354999999997</v>
      </c>
      <c r="E2300" s="3">
        <v>0</v>
      </c>
      <c r="F2300" t="s">
        <v>45</v>
      </c>
      <c r="G2300" s="3">
        <f t="shared" si="268"/>
        <v>-2580.3354999999997</v>
      </c>
      <c r="H2300" s="3">
        <f t="shared" si="269"/>
        <v>2580.3354999999997</v>
      </c>
      <c r="I2300" s="5" t="str">
        <f t="shared" si="270"/>
        <v>018</v>
      </c>
      <c r="J2300" s="5" t="str">
        <f t="shared" si="271"/>
        <v>2100</v>
      </c>
      <c r="K2300" s="5" t="str">
        <f t="shared" si="272"/>
        <v>000</v>
      </c>
      <c r="L2300" s="5">
        <f t="shared" si="273"/>
        <v>5</v>
      </c>
      <c r="M2300" s="5">
        <f t="shared" si="274"/>
        <v>2012</v>
      </c>
    </row>
    <row r="2301" spans="1:13" ht="17.45" customHeight="1" x14ac:dyDescent="0.25">
      <c r="A2301" s="1">
        <f>DATE(2012,5,7)</f>
        <v>41036</v>
      </c>
      <c r="B2301" t="s">
        <v>20</v>
      </c>
      <c r="C2301" t="s">
        <v>8</v>
      </c>
      <c r="D2301" s="3">
        <v>556.928</v>
      </c>
      <c r="E2301" s="3">
        <v>0</v>
      </c>
      <c r="F2301" t="s">
        <v>45</v>
      </c>
      <c r="G2301" s="3">
        <f t="shared" si="268"/>
        <v>-556.928</v>
      </c>
      <c r="H2301" s="3">
        <f t="shared" si="269"/>
        <v>556.928</v>
      </c>
      <c r="I2301" s="5" t="str">
        <f t="shared" si="270"/>
        <v>018</v>
      </c>
      <c r="J2301" s="5" t="str">
        <f t="shared" si="271"/>
        <v>2210</v>
      </c>
      <c r="K2301" s="5" t="str">
        <f t="shared" si="272"/>
        <v>000</v>
      </c>
      <c r="L2301" s="5">
        <f t="shared" si="273"/>
        <v>5</v>
      </c>
      <c r="M2301" s="5">
        <f t="shared" si="274"/>
        <v>2012</v>
      </c>
    </row>
    <row r="2302" spans="1:13" ht="17.45" customHeight="1" x14ac:dyDescent="0.25">
      <c r="A2302" s="1">
        <f>DATE(2012,5,7)</f>
        <v>41036</v>
      </c>
      <c r="B2302" t="s">
        <v>21</v>
      </c>
      <c r="C2302" t="s">
        <v>9</v>
      </c>
      <c r="D2302" s="3">
        <v>76.554999999999993</v>
      </c>
      <c r="E2302" s="3">
        <v>0</v>
      </c>
      <c r="F2302" t="s">
        <v>45</v>
      </c>
      <c r="G2302" s="3">
        <f t="shared" si="268"/>
        <v>-76.554999999999993</v>
      </c>
      <c r="H2302" s="3">
        <f t="shared" si="269"/>
        <v>76.554999999999993</v>
      </c>
      <c r="I2302" s="5" t="str">
        <f t="shared" si="270"/>
        <v>018</v>
      </c>
      <c r="J2302" s="5" t="str">
        <f t="shared" si="271"/>
        <v>2220</v>
      </c>
      <c r="K2302" s="5" t="str">
        <f t="shared" si="272"/>
        <v>000</v>
      </c>
      <c r="L2302" s="5">
        <f t="shared" si="273"/>
        <v>5</v>
      </c>
      <c r="M2302" s="5">
        <f t="shared" si="274"/>
        <v>2012</v>
      </c>
    </row>
    <row r="2303" spans="1:13" ht="17.45" customHeight="1" x14ac:dyDescent="0.25">
      <c r="A2303" s="1">
        <f>DATE(2012,5,7)</f>
        <v>41036</v>
      </c>
      <c r="B2303" t="s">
        <v>22</v>
      </c>
      <c r="C2303" t="s">
        <v>10</v>
      </c>
      <c r="D2303" s="3">
        <v>32.912999999999997</v>
      </c>
      <c r="E2303" s="3">
        <v>0</v>
      </c>
      <c r="F2303" t="s">
        <v>45</v>
      </c>
      <c r="G2303" s="3">
        <f t="shared" si="268"/>
        <v>-32.912999999999997</v>
      </c>
      <c r="H2303" s="3">
        <f t="shared" si="269"/>
        <v>32.912999999999997</v>
      </c>
      <c r="I2303" s="5" t="str">
        <f t="shared" si="270"/>
        <v>018</v>
      </c>
      <c r="J2303" s="5" t="str">
        <f t="shared" si="271"/>
        <v>2230</v>
      </c>
      <c r="K2303" s="5" t="str">
        <f t="shared" si="272"/>
        <v>000</v>
      </c>
      <c r="L2303" s="5">
        <f t="shared" si="273"/>
        <v>5</v>
      </c>
      <c r="M2303" s="5">
        <f t="shared" si="274"/>
        <v>2012</v>
      </c>
    </row>
    <row r="2304" spans="1:13" ht="17.45" customHeight="1" x14ac:dyDescent="0.25">
      <c r="A2304" s="1">
        <f>DATE(2012,5,8)</f>
        <v>41037</v>
      </c>
      <c r="B2304" t="s">
        <v>19</v>
      </c>
      <c r="C2304" t="s">
        <v>6</v>
      </c>
      <c r="D2304" s="3">
        <v>3319.9740000000002</v>
      </c>
      <c r="E2304" s="3">
        <v>0</v>
      </c>
      <c r="F2304" t="s">
        <v>45</v>
      </c>
      <c r="G2304" s="3">
        <f t="shared" si="268"/>
        <v>-3319.9740000000002</v>
      </c>
      <c r="H2304" s="3">
        <f t="shared" si="269"/>
        <v>3319.9740000000002</v>
      </c>
      <c r="I2304" s="5" t="str">
        <f t="shared" si="270"/>
        <v>018</v>
      </c>
      <c r="J2304" s="5" t="str">
        <f t="shared" si="271"/>
        <v>2100</v>
      </c>
      <c r="K2304" s="5" t="str">
        <f t="shared" si="272"/>
        <v>000</v>
      </c>
      <c r="L2304" s="5">
        <f t="shared" si="273"/>
        <v>5</v>
      </c>
      <c r="M2304" s="5">
        <f t="shared" si="274"/>
        <v>2012</v>
      </c>
    </row>
    <row r="2305" spans="1:13" ht="17.45" customHeight="1" x14ac:dyDescent="0.25">
      <c r="A2305" s="1">
        <f>DATE(2012,5,8)</f>
        <v>41037</v>
      </c>
      <c r="B2305" t="s">
        <v>20</v>
      </c>
      <c r="C2305" t="s">
        <v>8</v>
      </c>
      <c r="D2305" s="3">
        <v>780.22800000000007</v>
      </c>
      <c r="E2305" s="3">
        <v>0</v>
      </c>
      <c r="F2305" t="s">
        <v>45</v>
      </c>
      <c r="G2305" s="3">
        <f t="shared" si="268"/>
        <v>-780.22800000000007</v>
      </c>
      <c r="H2305" s="3">
        <f t="shared" si="269"/>
        <v>780.22800000000007</v>
      </c>
      <c r="I2305" s="5" t="str">
        <f t="shared" si="270"/>
        <v>018</v>
      </c>
      <c r="J2305" s="5" t="str">
        <f t="shared" si="271"/>
        <v>2210</v>
      </c>
      <c r="K2305" s="5" t="str">
        <f t="shared" si="272"/>
        <v>000</v>
      </c>
      <c r="L2305" s="5">
        <f t="shared" si="273"/>
        <v>5</v>
      </c>
      <c r="M2305" s="5">
        <f t="shared" si="274"/>
        <v>2012</v>
      </c>
    </row>
    <row r="2306" spans="1:13" ht="17.45" customHeight="1" x14ac:dyDescent="0.25">
      <c r="A2306" s="1">
        <f>DATE(2012,5,8)</f>
        <v>41037</v>
      </c>
      <c r="B2306" t="s">
        <v>21</v>
      </c>
      <c r="C2306" t="s">
        <v>9</v>
      </c>
      <c r="D2306" s="3">
        <v>67.283000000000001</v>
      </c>
      <c r="E2306" s="3">
        <v>0</v>
      </c>
      <c r="F2306" t="s">
        <v>45</v>
      </c>
      <c r="G2306" s="3">
        <f t="shared" ref="G2306:G2369" si="275">E2306-D2306</f>
        <v>-67.283000000000001</v>
      </c>
      <c r="H2306" s="3">
        <f t="shared" ref="H2306:H2369" si="276">ABS(G2306)</f>
        <v>67.283000000000001</v>
      </c>
      <c r="I2306" s="5" t="str">
        <f t="shared" ref="I2306:I2369" si="277">MID(B2306,1,3)</f>
        <v>018</v>
      </c>
      <c r="J2306" s="5" t="str">
        <f t="shared" ref="J2306:J2369" si="278">MID(B2306,5,4)</f>
        <v>2220</v>
      </c>
      <c r="K2306" s="5" t="str">
        <f t="shared" ref="K2306:K2369" si="279">MID(B2306,10,3)</f>
        <v>000</v>
      </c>
      <c r="L2306" s="5">
        <f t="shared" ref="L2306:L2369" si="280">MONTH(A2306)</f>
        <v>5</v>
      </c>
      <c r="M2306" s="5">
        <f t="shared" ref="M2306:M2369" si="281">YEAR(A2306)</f>
        <v>2012</v>
      </c>
    </row>
    <row r="2307" spans="1:13" ht="17.45" customHeight="1" x14ac:dyDescent="0.25">
      <c r="A2307" s="1">
        <f>DATE(2012,5,8)</f>
        <v>41037</v>
      </c>
      <c r="B2307" t="s">
        <v>22</v>
      </c>
      <c r="C2307" t="s">
        <v>10</v>
      </c>
      <c r="D2307" s="3">
        <v>29.470500000000001</v>
      </c>
      <c r="E2307" s="3">
        <v>0</v>
      </c>
      <c r="F2307" t="s">
        <v>45</v>
      </c>
      <c r="G2307" s="3">
        <f t="shared" si="275"/>
        <v>-29.470500000000001</v>
      </c>
      <c r="H2307" s="3">
        <f t="shared" si="276"/>
        <v>29.470500000000001</v>
      </c>
      <c r="I2307" s="5" t="str">
        <f t="shared" si="277"/>
        <v>018</v>
      </c>
      <c r="J2307" s="5" t="str">
        <f t="shared" si="278"/>
        <v>2230</v>
      </c>
      <c r="K2307" s="5" t="str">
        <f t="shared" si="279"/>
        <v>000</v>
      </c>
      <c r="L2307" s="5">
        <f t="shared" si="280"/>
        <v>5</v>
      </c>
      <c r="M2307" s="5">
        <f t="shared" si="281"/>
        <v>2012</v>
      </c>
    </row>
    <row r="2308" spans="1:13" ht="17.45" customHeight="1" x14ac:dyDescent="0.25">
      <c r="A2308" s="1">
        <f>DATE(2012,5,9)</f>
        <v>41038</v>
      </c>
      <c r="B2308" t="s">
        <v>19</v>
      </c>
      <c r="C2308" t="s">
        <v>6</v>
      </c>
      <c r="D2308" s="3">
        <v>2885.2389999999996</v>
      </c>
      <c r="E2308" s="3">
        <v>0</v>
      </c>
      <c r="F2308" t="s">
        <v>45</v>
      </c>
      <c r="G2308" s="3">
        <f t="shared" si="275"/>
        <v>-2885.2389999999996</v>
      </c>
      <c r="H2308" s="3">
        <f t="shared" si="276"/>
        <v>2885.2389999999996</v>
      </c>
      <c r="I2308" s="5" t="str">
        <f t="shared" si="277"/>
        <v>018</v>
      </c>
      <c r="J2308" s="5" t="str">
        <f t="shared" si="278"/>
        <v>2100</v>
      </c>
      <c r="K2308" s="5" t="str">
        <f t="shared" si="279"/>
        <v>000</v>
      </c>
      <c r="L2308" s="5">
        <f t="shared" si="280"/>
        <v>5</v>
      </c>
      <c r="M2308" s="5">
        <f t="shared" si="281"/>
        <v>2012</v>
      </c>
    </row>
    <row r="2309" spans="1:13" ht="17.45" customHeight="1" x14ac:dyDescent="0.25">
      <c r="A2309" s="1">
        <f>DATE(2012,5,9)</f>
        <v>41038</v>
      </c>
      <c r="B2309" t="s">
        <v>20</v>
      </c>
      <c r="C2309" t="s">
        <v>8</v>
      </c>
      <c r="D2309" s="3">
        <v>638.15700000000004</v>
      </c>
      <c r="E2309" s="3">
        <v>0</v>
      </c>
      <c r="F2309" t="s">
        <v>45</v>
      </c>
      <c r="G2309" s="3">
        <f t="shared" si="275"/>
        <v>-638.15700000000004</v>
      </c>
      <c r="H2309" s="3">
        <f t="shared" si="276"/>
        <v>638.15700000000004</v>
      </c>
      <c r="I2309" s="5" t="str">
        <f t="shared" si="277"/>
        <v>018</v>
      </c>
      <c r="J2309" s="5" t="str">
        <f t="shared" si="278"/>
        <v>2210</v>
      </c>
      <c r="K2309" s="5" t="str">
        <f t="shared" si="279"/>
        <v>000</v>
      </c>
      <c r="L2309" s="5">
        <f t="shared" si="280"/>
        <v>5</v>
      </c>
      <c r="M2309" s="5">
        <f t="shared" si="281"/>
        <v>2012</v>
      </c>
    </row>
    <row r="2310" spans="1:13" ht="17.45" customHeight="1" x14ac:dyDescent="0.25">
      <c r="A2310" s="1">
        <f>DATE(2012,5,9)</f>
        <v>41038</v>
      </c>
      <c r="B2310" t="s">
        <v>21</v>
      </c>
      <c r="C2310" t="s">
        <v>9</v>
      </c>
      <c r="D2310" s="3">
        <v>163.21200000000002</v>
      </c>
      <c r="E2310" s="3">
        <v>0</v>
      </c>
      <c r="F2310" t="s">
        <v>45</v>
      </c>
      <c r="G2310" s="3">
        <f t="shared" si="275"/>
        <v>-163.21200000000002</v>
      </c>
      <c r="H2310" s="3">
        <f t="shared" si="276"/>
        <v>163.21200000000002</v>
      </c>
      <c r="I2310" s="5" t="str">
        <f t="shared" si="277"/>
        <v>018</v>
      </c>
      <c r="J2310" s="5" t="str">
        <f t="shared" si="278"/>
        <v>2220</v>
      </c>
      <c r="K2310" s="5" t="str">
        <f t="shared" si="279"/>
        <v>000</v>
      </c>
      <c r="L2310" s="5">
        <f t="shared" si="280"/>
        <v>5</v>
      </c>
      <c r="M2310" s="5">
        <f t="shared" si="281"/>
        <v>2012</v>
      </c>
    </row>
    <row r="2311" spans="1:13" ht="17.45" customHeight="1" x14ac:dyDescent="0.25">
      <c r="A2311" s="1">
        <f>DATE(2012,5,9)</f>
        <v>41038</v>
      </c>
      <c r="B2311" t="s">
        <v>22</v>
      </c>
      <c r="C2311" t="s">
        <v>10</v>
      </c>
      <c r="D2311" s="3">
        <v>33.336999999999996</v>
      </c>
      <c r="E2311" s="3">
        <v>0</v>
      </c>
      <c r="F2311" t="s">
        <v>45</v>
      </c>
      <c r="G2311" s="3">
        <f t="shared" si="275"/>
        <v>-33.336999999999996</v>
      </c>
      <c r="H2311" s="3">
        <f t="shared" si="276"/>
        <v>33.336999999999996</v>
      </c>
      <c r="I2311" s="5" t="str">
        <f t="shared" si="277"/>
        <v>018</v>
      </c>
      <c r="J2311" s="5" t="str">
        <f t="shared" si="278"/>
        <v>2230</v>
      </c>
      <c r="K2311" s="5" t="str">
        <f t="shared" si="279"/>
        <v>000</v>
      </c>
      <c r="L2311" s="5">
        <f t="shared" si="280"/>
        <v>5</v>
      </c>
      <c r="M2311" s="5">
        <f t="shared" si="281"/>
        <v>2012</v>
      </c>
    </row>
    <row r="2312" spans="1:13" ht="17.45" customHeight="1" x14ac:dyDescent="0.25">
      <c r="A2312" s="1">
        <f>DATE(2012,5,10)</f>
        <v>41039</v>
      </c>
      <c r="B2312" t="s">
        <v>19</v>
      </c>
      <c r="C2312" t="s">
        <v>6</v>
      </c>
      <c r="D2312" s="3">
        <v>4645.8959999999997</v>
      </c>
      <c r="E2312" s="3">
        <v>0</v>
      </c>
      <c r="F2312" t="s">
        <v>45</v>
      </c>
      <c r="G2312" s="3">
        <f t="shared" si="275"/>
        <v>-4645.8959999999997</v>
      </c>
      <c r="H2312" s="3">
        <f t="shared" si="276"/>
        <v>4645.8959999999997</v>
      </c>
      <c r="I2312" s="5" t="str">
        <f t="shared" si="277"/>
        <v>018</v>
      </c>
      <c r="J2312" s="5" t="str">
        <f t="shared" si="278"/>
        <v>2100</v>
      </c>
      <c r="K2312" s="5" t="str">
        <f t="shared" si="279"/>
        <v>000</v>
      </c>
      <c r="L2312" s="5">
        <f t="shared" si="280"/>
        <v>5</v>
      </c>
      <c r="M2312" s="5">
        <f t="shared" si="281"/>
        <v>2012</v>
      </c>
    </row>
    <row r="2313" spans="1:13" ht="17.45" customHeight="1" x14ac:dyDescent="0.25">
      <c r="A2313" s="1">
        <f>DATE(2012,5,10)</f>
        <v>41039</v>
      </c>
      <c r="B2313" t="s">
        <v>20</v>
      </c>
      <c r="C2313" t="s">
        <v>8</v>
      </c>
      <c r="D2313" s="3">
        <v>1388.4359999999999</v>
      </c>
      <c r="E2313" s="3">
        <v>0</v>
      </c>
      <c r="F2313" t="s">
        <v>45</v>
      </c>
      <c r="G2313" s="3">
        <f t="shared" si="275"/>
        <v>-1388.4359999999999</v>
      </c>
      <c r="H2313" s="3">
        <f t="shared" si="276"/>
        <v>1388.4359999999999</v>
      </c>
      <c r="I2313" s="5" t="str">
        <f t="shared" si="277"/>
        <v>018</v>
      </c>
      <c r="J2313" s="5" t="str">
        <f t="shared" si="278"/>
        <v>2210</v>
      </c>
      <c r="K2313" s="5" t="str">
        <f t="shared" si="279"/>
        <v>000</v>
      </c>
      <c r="L2313" s="5">
        <f t="shared" si="280"/>
        <v>5</v>
      </c>
      <c r="M2313" s="5">
        <f t="shared" si="281"/>
        <v>2012</v>
      </c>
    </row>
    <row r="2314" spans="1:13" ht="17.45" customHeight="1" x14ac:dyDescent="0.25">
      <c r="A2314" s="1">
        <f>DATE(2012,5,10)</f>
        <v>41039</v>
      </c>
      <c r="B2314" t="s">
        <v>21</v>
      </c>
      <c r="C2314" t="s">
        <v>9</v>
      </c>
      <c r="D2314" s="3">
        <v>441.61799999999999</v>
      </c>
      <c r="E2314" s="3">
        <v>0</v>
      </c>
      <c r="F2314" t="s">
        <v>45</v>
      </c>
      <c r="G2314" s="3">
        <f t="shared" si="275"/>
        <v>-441.61799999999999</v>
      </c>
      <c r="H2314" s="3">
        <f t="shared" si="276"/>
        <v>441.61799999999999</v>
      </c>
      <c r="I2314" s="5" t="str">
        <f t="shared" si="277"/>
        <v>018</v>
      </c>
      <c r="J2314" s="5" t="str">
        <f t="shared" si="278"/>
        <v>2220</v>
      </c>
      <c r="K2314" s="5" t="str">
        <f t="shared" si="279"/>
        <v>000</v>
      </c>
      <c r="L2314" s="5">
        <f t="shared" si="280"/>
        <v>5</v>
      </c>
      <c r="M2314" s="5">
        <f t="shared" si="281"/>
        <v>2012</v>
      </c>
    </row>
    <row r="2315" spans="1:13" ht="17.45" customHeight="1" x14ac:dyDescent="0.25">
      <c r="A2315" s="1">
        <f>DATE(2012,5,10)</f>
        <v>41039</v>
      </c>
      <c r="B2315" t="s">
        <v>22</v>
      </c>
      <c r="C2315" t="s">
        <v>10</v>
      </c>
      <c r="D2315" s="3">
        <v>39.83</v>
      </c>
      <c r="E2315" s="3">
        <v>0</v>
      </c>
      <c r="F2315" t="s">
        <v>45</v>
      </c>
      <c r="G2315" s="3">
        <f t="shared" si="275"/>
        <v>-39.83</v>
      </c>
      <c r="H2315" s="3">
        <f t="shared" si="276"/>
        <v>39.83</v>
      </c>
      <c r="I2315" s="5" t="str">
        <f t="shared" si="277"/>
        <v>018</v>
      </c>
      <c r="J2315" s="5" t="str">
        <f t="shared" si="278"/>
        <v>2230</v>
      </c>
      <c r="K2315" s="5" t="str">
        <f t="shared" si="279"/>
        <v>000</v>
      </c>
      <c r="L2315" s="5">
        <f t="shared" si="280"/>
        <v>5</v>
      </c>
      <c r="M2315" s="5">
        <f t="shared" si="281"/>
        <v>2012</v>
      </c>
    </row>
    <row r="2316" spans="1:13" ht="17.45" customHeight="1" x14ac:dyDescent="0.25">
      <c r="A2316" s="1">
        <f>DATE(2012,5,11)</f>
        <v>41040</v>
      </c>
      <c r="B2316" t="s">
        <v>19</v>
      </c>
      <c r="C2316" t="s">
        <v>6</v>
      </c>
      <c r="D2316" s="3">
        <v>11812.018</v>
      </c>
      <c r="E2316" s="3">
        <v>0</v>
      </c>
      <c r="F2316" t="s">
        <v>45</v>
      </c>
      <c r="G2316" s="3">
        <f t="shared" si="275"/>
        <v>-11812.018</v>
      </c>
      <c r="H2316" s="3">
        <f t="shared" si="276"/>
        <v>11812.018</v>
      </c>
      <c r="I2316" s="5" t="str">
        <f t="shared" si="277"/>
        <v>018</v>
      </c>
      <c r="J2316" s="5" t="str">
        <f t="shared" si="278"/>
        <v>2100</v>
      </c>
      <c r="K2316" s="5" t="str">
        <f t="shared" si="279"/>
        <v>000</v>
      </c>
      <c r="L2316" s="5">
        <f t="shared" si="280"/>
        <v>5</v>
      </c>
      <c r="M2316" s="5">
        <f t="shared" si="281"/>
        <v>2012</v>
      </c>
    </row>
    <row r="2317" spans="1:13" ht="17.45" customHeight="1" x14ac:dyDescent="0.25">
      <c r="A2317" s="1">
        <f>DATE(2012,5,11)</f>
        <v>41040</v>
      </c>
      <c r="B2317" t="s">
        <v>20</v>
      </c>
      <c r="C2317" t="s">
        <v>8</v>
      </c>
      <c r="D2317" s="3">
        <v>1811.5800000000002</v>
      </c>
      <c r="E2317" s="3">
        <v>0</v>
      </c>
      <c r="F2317" t="s">
        <v>45</v>
      </c>
      <c r="G2317" s="3">
        <f t="shared" si="275"/>
        <v>-1811.5800000000002</v>
      </c>
      <c r="H2317" s="3">
        <f t="shared" si="276"/>
        <v>1811.5800000000002</v>
      </c>
      <c r="I2317" s="5" t="str">
        <f t="shared" si="277"/>
        <v>018</v>
      </c>
      <c r="J2317" s="5" t="str">
        <f t="shared" si="278"/>
        <v>2210</v>
      </c>
      <c r="K2317" s="5" t="str">
        <f t="shared" si="279"/>
        <v>000</v>
      </c>
      <c r="L2317" s="5">
        <f t="shared" si="280"/>
        <v>5</v>
      </c>
      <c r="M2317" s="5">
        <f t="shared" si="281"/>
        <v>2012</v>
      </c>
    </row>
    <row r="2318" spans="1:13" ht="17.45" customHeight="1" x14ac:dyDescent="0.25">
      <c r="A2318" s="1">
        <f>DATE(2012,5,11)</f>
        <v>41040</v>
      </c>
      <c r="B2318" t="s">
        <v>21</v>
      </c>
      <c r="C2318" t="s">
        <v>9</v>
      </c>
      <c r="D2318" s="3">
        <v>434.72399999999999</v>
      </c>
      <c r="E2318" s="3">
        <v>0</v>
      </c>
      <c r="F2318" t="s">
        <v>45</v>
      </c>
      <c r="G2318" s="3">
        <f t="shared" si="275"/>
        <v>-434.72399999999999</v>
      </c>
      <c r="H2318" s="3">
        <f t="shared" si="276"/>
        <v>434.72399999999999</v>
      </c>
      <c r="I2318" s="5" t="str">
        <f t="shared" si="277"/>
        <v>018</v>
      </c>
      <c r="J2318" s="5" t="str">
        <f t="shared" si="278"/>
        <v>2220</v>
      </c>
      <c r="K2318" s="5" t="str">
        <f t="shared" si="279"/>
        <v>000</v>
      </c>
      <c r="L2318" s="5">
        <f t="shared" si="280"/>
        <v>5</v>
      </c>
      <c r="M2318" s="5">
        <f t="shared" si="281"/>
        <v>2012</v>
      </c>
    </row>
    <row r="2319" spans="1:13" ht="17.45" customHeight="1" x14ac:dyDescent="0.25">
      <c r="A2319" s="1">
        <f>DATE(2012,5,11)</f>
        <v>41040</v>
      </c>
      <c r="B2319" t="s">
        <v>22</v>
      </c>
      <c r="C2319" t="s">
        <v>10</v>
      </c>
      <c r="D2319" s="3">
        <v>62.329500000000003</v>
      </c>
      <c r="E2319" s="3">
        <v>0</v>
      </c>
      <c r="F2319" t="s">
        <v>45</v>
      </c>
      <c r="G2319" s="3">
        <f t="shared" si="275"/>
        <v>-62.329500000000003</v>
      </c>
      <c r="H2319" s="3">
        <f t="shared" si="276"/>
        <v>62.329500000000003</v>
      </c>
      <c r="I2319" s="5" t="str">
        <f t="shared" si="277"/>
        <v>018</v>
      </c>
      <c r="J2319" s="5" t="str">
        <f t="shared" si="278"/>
        <v>2230</v>
      </c>
      <c r="K2319" s="5" t="str">
        <f t="shared" si="279"/>
        <v>000</v>
      </c>
      <c r="L2319" s="5">
        <f t="shared" si="280"/>
        <v>5</v>
      </c>
      <c r="M2319" s="5">
        <f t="shared" si="281"/>
        <v>2012</v>
      </c>
    </row>
    <row r="2320" spans="1:13" ht="17.45" customHeight="1" x14ac:dyDescent="0.25">
      <c r="A2320" s="1">
        <f>DATE(2012,5,12)</f>
        <v>41041</v>
      </c>
      <c r="B2320" t="s">
        <v>19</v>
      </c>
      <c r="C2320" t="s">
        <v>6</v>
      </c>
      <c r="D2320" s="3">
        <v>15495.269999999999</v>
      </c>
      <c r="E2320" s="3">
        <v>0</v>
      </c>
      <c r="F2320" t="s">
        <v>45</v>
      </c>
      <c r="G2320" s="3">
        <f t="shared" si="275"/>
        <v>-15495.269999999999</v>
      </c>
      <c r="H2320" s="3">
        <f t="shared" si="276"/>
        <v>15495.269999999999</v>
      </c>
      <c r="I2320" s="5" t="str">
        <f t="shared" si="277"/>
        <v>018</v>
      </c>
      <c r="J2320" s="5" t="str">
        <f t="shared" si="278"/>
        <v>2100</v>
      </c>
      <c r="K2320" s="5" t="str">
        <f t="shared" si="279"/>
        <v>000</v>
      </c>
      <c r="L2320" s="5">
        <f t="shared" si="280"/>
        <v>5</v>
      </c>
      <c r="M2320" s="5">
        <f t="shared" si="281"/>
        <v>2012</v>
      </c>
    </row>
    <row r="2321" spans="1:13" ht="17.45" customHeight="1" x14ac:dyDescent="0.25">
      <c r="A2321" s="1">
        <f>DATE(2012,5,12)</f>
        <v>41041</v>
      </c>
      <c r="B2321" t="s">
        <v>20</v>
      </c>
      <c r="C2321" t="s">
        <v>8</v>
      </c>
      <c r="D2321" s="3">
        <v>3034.71</v>
      </c>
      <c r="E2321" s="3">
        <v>0</v>
      </c>
      <c r="F2321" t="s">
        <v>45</v>
      </c>
      <c r="G2321" s="3">
        <f t="shared" si="275"/>
        <v>-3034.71</v>
      </c>
      <c r="H2321" s="3">
        <f t="shared" si="276"/>
        <v>3034.71</v>
      </c>
      <c r="I2321" s="5" t="str">
        <f t="shared" si="277"/>
        <v>018</v>
      </c>
      <c r="J2321" s="5" t="str">
        <f t="shared" si="278"/>
        <v>2210</v>
      </c>
      <c r="K2321" s="5" t="str">
        <f t="shared" si="279"/>
        <v>000</v>
      </c>
      <c r="L2321" s="5">
        <f t="shared" si="280"/>
        <v>5</v>
      </c>
      <c r="M2321" s="5">
        <f t="shared" si="281"/>
        <v>2012</v>
      </c>
    </row>
    <row r="2322" spans="1:13" ht="17.45" customHeight="1" x14ac:dyDescent="0.25">
      <c r="A2322" s="1">
        <f>DATE(2012,5,12)</f>
        <v>41041</v>
      </c>
      <c r="B2322" t="s">
        <v>21</v>
      </c>
      <c r="C2322" t="s">
        <v>9</v>
      </c>
      <c r="D2322" s="3">
        <v>817.59149999999988</v>
      </c>
      <c r="E2322" s="3">
        <v>0</v>
      </c>
      <c r="F2322" t="s">
        <v>45</v>
      </c>
      <c r="G2322" s="3">
        <f t="shared" si="275"/>
        <v>-817.59149999999988</v>
      </c>
      <c r="H2322" s="3">
        <f t="shared" si="276"/>
        <v>817.59149999999988</v>
      </c>
      <c r="I2322" s="5" t="str">
        <f t="shared" si="277"/>
        <v>018</v>
      </c>
      <c r="J2322" s="5" t="str">
        <f t="shared" si="278"/>
        <v>2220</v>
      </c>
      <c r="K2322" s="5" t="str">
        <f t="shared" si="279"/>
        <v>000</v>
      </c>
      <c r="L2322" s="5">
        <f t="shared" si="280"/>
        <v>5</v>
      </c>
      <c r="M2322" s="5">
        <f t="shared" si="281"/>
        <v>2012</v>
      </c>
    </row>
    <row r="2323" spans="1:13" ht="17.45" customHeight="1" x14ac:dyDescent="0.25">
      <c r="A2323" s="1">
        <f>DATE(2012,5,12)</f>
        <v>41041</v>
      </c>
      <c r="B2323" t="s">
        <v>22</v>
      </c>
      <c r="C2323" t="s">
        <v>10</v>
      </c>
      <c r="D2323" s="3">
        <v>165.79400000000001</v>
      </c>
      <c r="E2323" s="3">
        <v>0</v>
      </c>
      <c r="F2323" t="s">
        <v>45</v>
      </c>
      <c r="G2323" s="3">
        <f t="shared" si="275"/>
        <v>-165.79400000000001</v>
      </c>
      <c r="H2323" s="3">
        <f t="shared" si="276"/>
        <v>165.79400000000001</v>
      </c>
      <c r="I2323" s="5" t="str">
        <f t="shared" si="277"/>
        <v>018</v>
      </c>
      <c r="J2323" s="5" t="str">
        <f t="shared" si="278"/>
        <v>2230</v>
      </c>
      <c r="K2323" s="5" t="str">
        <f t="shared" si="279"/>
        <v>000</v>
      </c>
      <c r="L2323" s="5">
        <f t="shared" si="280"/>
        <v>5</v>
      </c>
      <c r="M2323" s="5">
        <f t="shared" si="281"/>
        <v>2012</v>
      </c>
    </row>
    <row r="2324" spans="1:13" ht="17.45" customHeight="1" x14ac:dyDescent="0.25">
      <c r="A2324" s="1">
        <f>DATE(2012,5,13)</f>
        <v>41042</v>
      </c>
      <c r="B2324" t="s">
        <v>19</v>
      </c>
      <c r="C2324" t="s">
        <v>6</v>
      </c>
      <c r="D2324" s="3">
        <v>18630.076000000001</v>
      </c>
      <c r="E2324" s="3">
        <v>0</v>
      </c>
      <c r="F2324" t="s">
        <v>45</v>
      </c>
      <c r="G2324" s="3">
        <f t="shared" si="275"/>
        <v>-18630.076000000001</v>
      </c>
      <c r="H2324" s="3">
        <f t="shared" si="276"/>
        <v>18630.076000000001</v>
      </c>
      <c r="I2324" s="5" t="str">
        <f t="shared" si="277"/>
        <v>018</v>
      </c>
      <c r="J2324" s="5" t="str">
        <f t="shared" si="278"/>
        <v>2100</v>
      </c>
      <c r="K2324" s="5" t="str">
        <f t="shared" si="279"/>
        <v>000</v>
      </c>
      <c r="L2324" s="5">
        <f t="shared" si="280"/>
        <v>5</v>
      </c>
      <c r="M2324" s="5">
        <f t="shared" si="281"/>
        <v>2012</v>
      </c>
    </row>
    <row r="2325" spans="1:13" ht="17.45" customHeight="1" x14ac:dyDescent="0.25">
      <c r="A2325" s="1">
        <f>DATE(2012,5,13)</f>
        <v>41042</v>
      </c>
      <c r="B2325" t="s">
        <v>20</v>
      </c>
      <c r="C2325" t="s">
        <v>8</v>
      </c>
      <c r="D2325" s="3">
        <v>3509.0429999999997</v>
      </c>
      <c r="E2325" s="3">
        <v>0</v>
      </c>
      <c r="F2325" t="s">
        <v>45</v>
      </c>
      <c r="G2325" s="3">
        <f t="shared" si="275"/>
        <v>-3509.0429999999997</v>
      </c>
      <c r="H2325" s="3">
        <f t="shared" si="276"/>
        <v>3509.0429999999997</v>
      </c>
      <c r="I2325" s="5" t="str">
        <f t="shared" si="277"/>
        <v>018</v>
      </c>
      <c r="J2325" s="5" t="str">
        <f t="shared" si="278"/>
        <v>2210</v>
      </c>
      <c r="K2325" s="5" t="str">
        <f t="shared" si="279"/>
        <v>000</v>
      </c>
      <c r="L2325" s="5">
        <f t="shared" si="280"/>
        <v>5</v>
      </c>
      <c r="M2325" s="5">
        <f t="shared" si="281"/>
        <v>2012</v>
      </c>
    </row>
    <row r="2326" spans="1:13" ht="17.45" customHeight="1" x14ac:dyDescent="0.25">
      <c r="A2326" s="1">
        <f>DATE(2012,5,13)</f>
        <v>41042</v>
      </c>
      <c r="B2326" t="s">
        <v>21</v>
      </c>
      <c r="C2326" t="s">
        <v>9</v>
      </c>
      <c r="D2326" s="3">
        <v>925.53749999999991</v>
      </c>
      <c r="E2326" s="3">
        <v>0</v>
      </c>
      <c r="F2326" t="s">
        <v>45</v>
      </c>
      <c r="G2326" s="3">
        <f t="shared" si="275"/>
        <v>-925.53749999999991</v>
      </c>
      <c r="H2326" s="3">
        <f t="shared" si="276"/>
        <v>925.53749999999991</v>
      </c>
      <c r="I2326" s="5" t="str">
        <f t="shared" si="277"/>
        <v>018</v>
      </c>
      <c r="J2326" s="5" t="str">
        <f t="shared" si="278"/>
        <v>2220</v>
      </c>
      <c r="K2326" s="5" t="str">
        <f t="shared" si="279"/>
        <v>000</v>
      </c>
      <c r="L2326" s="5">
        <f t="shared" si="280"/>
        <v>5</v>
      </c>
      <c r="M2326" s="5">
        <f t="shared" si="281"/>
        <v>2012</v>
      </c>
    </row>
    <row r="2327" spans="1:13" ht="17.45" customHeight="1" x14ac:dyDescent="0.25">
      <c r="A2327" s="1">
        <f>DATE(2012,5,13)</f>
        <v>41042</v>
      </c>
      <c r="B2327" t="s">
        <v>22</v>
      </c>
      <c r="C2327" t="s">
        <v>10</v>
      </c>
      <c r="D2327" s="3">
        <v>237.58749999999998</v>
      </c>
      <c r="E2327" s="3">
        <v>0</v>
      </c>
      <c r="F2327" t="s">
        <v>45</v>
      </c>
      <c r="G2327" s="3">
        <f t="shared" si="275"/>
        <v>-237.58749999999998</v>
      </c>
      <c r="H2327" s="3">
        <f t="shared" si="276"/>
        <v>237.58749999999998</v>
      </c>
      <c r="I2327" s="5" t="str">
        <f t="shared" si="277"/>
        <v>018</v>
      </c>
      <c r="J2327" s="5" t="str">
        <f t="shared" si="278"/>
        <v>2230</v>
      </c>
      <c r="K2327" s="5" t="str">
        <f t="shared" si="279"/>
        <v>000</v>
      </c>
      <c r="L2327" s="5">
        <f t="shared" si="280"/>
        <v>5</v>
      </c>
      <c r="M2327" s="5">
        <f t="shared" si="281"/>
        <v>2012</v>
      </c>
    </row>
    <row r="2328" spans="1:13" ht="17.45" customHeight="1" x14ac:dyDescent="0.25">
      <c r="A2328" s="1">
        <f>DATE(2012,5,14)</f>
        <v>41043</v>
      </c>
      <c r="B2328" t="s">
        <v>11</v>
      </c>
      <c r="C2328" t="s">
        <v>6</v>
      </c>
      <c r="D2328" s="3">
        <v>1576.2740000000001</v>
      </c>
      <c r="E2328" s="3">
        <v>0</v>
      </c>
      <c r="F2328" t="s">
        <v>45</v>
      </c>
      <c r="G2328" s="3">
        <f t="shared" si="275"/>
        <v>-1576.2740000000001</v>
      </c>
      <c r="H2328" s="3">
        <f t="shared" si="276"/>
        <v>1576.2740000000001</v>
      </c>
      <c r="I2328" s="5" t="str">
        <f t="shared" si="277"/>
        <v>016</v>
      </c>
      <c r="J2328" s="5" t="str">
        <f t="shared" si="278"/>
        <v>2100</v>
      </c>
      <c r="K2328" s="5" t="str">
        <f t="shared" si="279"/>
        <v>000</v>
      </c>
      <c r="L2328" s="5">
        <f t="shared" si="280"/>
        <v>5</v>
      </c>
      <c r="M2328" s="5">
        <f t="shared" si="281"/>
        <v>2012</v>
      </c>
    </row>
    <row r="2329" spans="1:13" ht="17.45" customHeight="1" x14ac:dyDescent="0.25">
      <c r="A2329" s="1">
        <f>DATE(2012,5,14)</f>
        <v>41043</v>
      </c>
      <c r="B2329" t="s">
        <v>12</v>
      </c>
      <c r="C2329" t="s">
        <v>8</v>
      </c>
      <c r="D2329" s="3">
        <v>260.01689999999996</v>
      </c>
      <c r="E2329" s="3">
        <v>0</v>
      </c>
      <c r="F2329" t="s">
        <v>45</v>
      </c>
      <c r="G2329" s="3">
        <f t="shared" si="275"/>
        <v>-260.01689999999996</v>
      </c>
      <c r="H2329" s="3">
        <f t="shared" si="276"/>
        <v>260.01689999999996</v>
      </c>
      <c r="I2329" s="5" t="str">
        <f t="shared" si="277"/>
        <v>016</v>
      </c>
      <c r="J2329" s="5" t="str">
        <f t="shared" si="278"/>
        <v>2210</v>
      </c>
      <c r="K2329" s="5" t="str">
        <f t="shared" si="279"/>
        <v>000</v>
      </c>
      <c r="L2329" s="5">
        <f t="shared" si="280"/>
        <v>5</v>
      </c>
      <c r="M2329" s="5">
        <f t="shared" si="281"/>
        <v>2012</v>
      </c>
    </row>
    <row r="2330" spans="1:13" ht="17.45" customHeight="1" x14ac:dyDescent="0.25">
      <c r="A2330" s="1">
        <f>DATE(2012,5,14)</f>
        <v>41043</v>
      </c>
      <c r="B2330" t="s">
        <v>13</v>
      </c>
      <c r="C2330" t="s">
        <v>9</v>
      </c>
      <c r="D2330" s="3">
        <v>21.456</v>
      </c>
      <c r="E2330" s="3">
        <v>0</v>
      </c>
      <c r="F2330" t="s">
        <v>45</v>
      </c>
      <c r="G2330" s="3">
        <f t="shared" si="275"/>
        <v>-21.456</v>
      </c>
      <c r="H2330" s="3">
        <f t="shared" si="276"/>
        <v>21.456</v>
      </c>
      <c r="I2330" s="5" t="str">
        <f t="shared" si="277"/>
        <v>016</v>
      </c>
      <c r="J2330" s="5" t="str">
        <f t="shared" si="278"/>
        <v>2220</v>
      </c>
      <c r="K2330" s="5" t="str">
        <f t="shared" si="279"/>
        <v>000</v>
      </c>
      <c r="L2330" s="5">
        <f t="shared" si="280"/>
        <v>5</v>
      </c>
      <c r="M2330" s="5">
        <f t="shared" si="281"/>
        <v>2012</v>
      </c>
    </row>
    <row r="2331" spans="1:13" ht="17.45" customHeight="1" x14ac:dyDescent="0.25">
      <c r="A2331" s="1">
        <f>DATE(2012,5,14)</f>
        <v>41043</v>
      </c>
      <c r="B2331" t="s">
        <v>14</v>
      </c>
      <c r="C2331" t="s">
        <v>10</v>
      </c>
      <c r="D2331" s="3">
        <v>22.503999999999998</v>
      </c>
      <c r="E2331" s="3">
        <v>0</v>
      </c>
      <c r="F2331" t="s">
        <v>45</v>
      </c>
      <c r="G2331" s="3">
        <f t="shared" si="275"/>
        <v>-22.503999999999998</v>
      </c>
      <c r="H2331" s="3">
        <f t="shared" si="276"/>
        <v>22.503999999999998</v>
      </c>
      <c r="I2331" s="5" t="str">
        <f t="shared" si="277"/>
        <v>016</v>
      </c>
      <c r="J2331" s="5" t="str">
        <f t="shared" si="278"/>
        <v>2230</v>
      </c>
      <c r="K2331" s="5" t="str">
        <f t="shared" si="279"/>
        <v>000</v>
      </c>
      <c r="L2331" s="5">
        <f t="shared" si="280"/>
        <v>5</v>
      </c>
      <c r="M2331" s="5">
        <f t="shared" si="281"/>
        <v>2012</v>
      </c>
    </row>
    <row r="2332" spans="1:13" ht="17.45" customHeight="1" x14ac:dyDescent="0.25">
      <c r="A2332" s="1">
        <f>DATE(2012,5,15)</f>
        <v>41044</v>
      </c>
      <c r="B2332" t="s">
        <v>11</v>
      </c>
      <c r="C2332" t="s">
        <v>6</v>
      </c>
      <c r="D2332" s="3">
        <v>3437.5744</v>
      </c>
      <c r="E2332" s="3">
        <v>0</v>
      </c>
      <c r="F2332" t="s">
        <v>45</v>
      </c>
      <c r="G2332" s="3">
        <f t="shared" si="275"/>
        <v>-3437.5744</v>
      </c>
      <c r="H2332" s="3">
        <f t="shared" si="276"/>
        <v>3437.5744</v>
      </c>
      <c r="I2332" s="5" t="str">
        <f t="shared" si="277"/>
        <v>016</v>
      </c>
      <c r="J2332" s="5" t="str">
        <f t="shared" si="278"/>
        <v>2100</v>
      </c>
      <c r="K2332" s="5" t="str">
        <f t="shared" si="279"/>
        <v>000</v>
      </c>
      <c r="L2332" s="5">
        <f t="shared" si="280"/>
        <v>5</v>
      </c>
      <c r="M2332" s="5">
        <f t="shared" si="281"/>
        <v>2012</v>
      </c>
    </row>
    <row r="2333" spans="1:13" ht="17.45" customHeight="1" x14ac:dyDescent="0.25">
      <c r="A2333" s="1">
        <f>DATE(2012,5,15)</f>
        <v>41044</v>
      </c>
      <c r="B2333" t="s">
        <v>12</v>
      </c>
      <c r="C2333" t="s">
        <v>8</v>
      </c>
      <c r="D2333" s="3">
        <v>1323.8185000000001</v>
      </c>
      <c r="E2333" s="3">
        <v>0</v>
      </c>
      <c r="F2333" t="s">
        <v>45</v>
      </c>
      <c r="G2333" s="3">
        <f t="shared" si="275"/>
        <v>-1323.8185000000001</v>
      </c>
      <c r="H2333" s="3">
        <f t="shared" si="276"/>
        <v>1323.8185000000001</v>
      </c>
      <c r="I2333" s="5" t="str">
        <f t="shared" si="277"/>
        <v>016</v>
      </c>
      <c r="J2333" s="5" t="str">
        <f t="shared" si="278"/>
        <v>2210</v>
      </c>
      <c r="K2333" s="5" t="str">
        <f t="shared" si="279"/>
        <v>000</v>
      </c>
      <c r="L2333" s="5">
        <f t="shared" si="280"/>
        <v>5</v>
      </c>
      <c r="M2333" s="5">
        <f t="shared" si="281"/>
        <v>2012</v>
      </c>
    </row>
    <row r="2334" spans="1:13" ht="17.45" customHeight="1" x14ac:dyDescent="0.25">
      <c r="A2334" s="1">
        <f>DATE(2012,5,15)</f>
        <v>41044</v>
      </c>
      <c r="B2334" t="s">
        <v>13</v>
      </c>
      <c r="C2334" t="s">
        <v>9</v>
      </c>
      <c r="D2334" s="3">
        <v>327.06</v>
      </c>
      <c r="E2334" s="3">
        <v>0</v>
      </c>
      <c r="F2334" t="s">
        <v>45</v>
      </c>
      <c r="G2334" s="3">
        <f t="shared" si="275"/>
        <v>-327.06</v>
      </c>
      <c r="H2334" s="3">
        <f t="shared" si="276"/>
        <v>327.06</v>
      </c>
      <c r="I2334" s="5" t="str">
        <f t="shared" si="277"/>
        <v>016</v>
      </c>
      <c r="J2334" s="5" t="str">
        <f t="shared" si="278"/>
        <v>2220</v>
      </c>
      <c r="K2334" s="5" t="str">
        <f t="shared" si="279"/>
        <v>000</v>
      </c>
      <c r="L2334" s="5">
        <f t="shared" si="280"/>
        <v>5</v>
      </c>
      <c r="M2334" s="5">
        <f t="shared" si="281"/>
        <v>2012</v>
      </c>
    </row>
    <row r="2335" spans="1:13" ht="17.45" customHeight="1" x14ac:dyDescent="0.25">
      <c r="A2335" s="1">
        <f>DATE(2012,5,15)</f>
        <v>41044</v>
      </c>
      <c r="B2335" t="s">
        <v>14</v>
      </c>
      <c r="C2335" t="s">
        <v>10</v>
      </c>
      <c r="D2335" s="3">
        <v>115.995</v>
      </c>
      <c r="E2335" s="3">
        <v>0</v>
      </c>
      <c r="F2335" t="s">
        <v>45</v>
      </c>
      <c r="G2335" s="3">
        <f t="shared" si="275"/>
        <v>-115.995</v>
      </c>
      <c r="H2335" s="3">
        <f t="shared" si="276"/>
        <v>115.995</v>
      </c>
      <c r="I2335" s="5" t="str">
        <f t="shared" si="277"/>
        <v>016</v>
      </c>
      <c r="J2335" s="5" t="str">
        <f t="shared" si="278"/>
        <v>2230</v>
      </c>
      <c r="K2335" s="5" t="str">
        <f t="shared" si="279"/>
        <v>000</v>
      </c>
      <c r="L2335" s="5">
        <f t="shared" si="280"/>
        <v>5</v>
      </c>
      <c r="M2335" s="5">
        <f t="shared" si="281"/>
        <v>2012</v>
      </c>
    </row>
    <row r="2336" spans="1:13" ht="17.45" customHeight="1" x14ac:dyDescent="0.25">
      <c r="A2336" s="1">
        <f>DATE(2012,5,16)</f>
        <v>41045</v>
      </c>
      <c r="B2336" t="s">
        <v>11</v>
      </c>
      <c r="C2336" t="s">
        <v>6</v>
      </c>
      <c r="D2336" s="3">
        <v>2499.5108</v>
      </c>
      <c r="E2336" s="3">
        <v>0</v>
      </c>
      <c r="F2336" t="s">
        <v>45</v>
      </c>
      <c r="G2336" s="3">
        <f t="shared" si="275"/>
        <v>-2499.5108</v>
      </c>
      <c r="H2336" s="3">
        <f t="shared" si="276"/>
        <v>2499.5108</v>
      </c>
      <c r="I2336" s="5" t="str">
        <f t="shared" si="277"/>
        <v>016</v>
      </c>
      <c r="J2336" s="5" t="str">
        <f t="shared" si="278"/>
        <v>2100</v>
      </c>
      <c r="K2336" s="5" t="str">
        <f t="shared" si="279"/>
        <v>000</v>
      </c>
      <c r="L2336" s="5">
        <f t="shared" si="280"/>
        <v>5</v>
      </c>
      <c r="M2336" s="5">
        <f t="shared" si="281"/>
        <v>2012</v>
      </c>
    </row>
    <row r="2337" spans="1:13" ht="17.45" customHeight="1" x14ac:dyDescent="0.25">
      <c r="A2337" s="1">
        <f>DATE(2012,5,16)</f>
        <v>41045</v>
      </c>
      <c r="B2337" t="s">
        <v>12</v>
      </c>
      <c r="C2337" t="s">
        <v>8</v>
      </c>
      <c r="D2337" s="3">
        <v>783.59400000000005</v>
      </c>
      <c r="E2337" s="3">
        <v>0</v>
      </c>
      <c r="F2337" t="s">
        <v>45</v>
      </c>
      <c r="G2337" s="3">
        <f t="shared" si="275"/>
        <v>-783.59400000000005</v>
      </c>
      <c r="H2337" s="3">
        <f t="shared" si="276"/>
        <v>783.59400000000005</v>
      </c>
      <c r="I2337" s="5" t="str">
        <f t="shared" si="277"/>
        <v>016</v>
      </c>
      <c r="J2337" s="5" t="str">
        <f t="shared" si="278"/>
        <v>2210</v>
      </c>
      <c r="K2337" s="5" t="str">
        <f t="shared" si="279"/>
        <v>000</v>
      </c>
      <c r="L2337" s="5">
        <f t="shared" si="280"/>
        <v>5</v>
      </c>
      <c r="M2337" s="5">
        <f t="shared" si="281"/>
        <v>2012</v>
      </c>
    </row>
    <row r="2338" spans="1:13" ht="17.45" customHeight="1" x14ac:dyDescent="0.25">
      <c r="A2338" s="1">
        <f>DATE(2012,5,16)</f>
        <v>41045</v>
      </c>
      <c r="B2338" t="s">
        <v>13</v>
      </c>
      <c r="C2338" t="s">
        <v>9</v>
      </c>
      <c r="D2338" s="3">
        <v>91.327500000000001</v>
      </c>
      <c r="E2338" s="3">
        <v>0</v>
      </c>
      <c r="F2338" t="s">
        <v>45</v>
      </c>
      <c r="G2338" s="3">
        <f t="shared" si="275"/>
        <v>-91.327500000000001</v>
      </c>
      <c r="H2338" s="3">
        <f t="shared" si="276"/>
        <v>91.327500000000001</v>
      </c>
      <c r="I2338" s="5" t="str">
        <f t="shared" si="277"/>
        <v>016</v>
      </c>
      <c r="J2338" s="5" t="str">
        <f t="shared" si="278"/>
        <v>2220</v>
      </c>
      <c r="K2338" s="5" t="str">
        <f t="shared" si="279"/>
        <v>000</v>
      </c>
      <c r="L2338" s="5">
        <f t="shared" si="280"/>
        <v>5</v>
      </c>
      <c r="M2338" s="5">
        <f t="shared" si="281"/>
        <v>2012</v>
      </c>
    </row>
    <row r="2339" spans="1:13" ht="17.45" customHeight="1" x14ac:dyDescent="0.25">
      <c r="A2339" s="1">
        <f>DATE(2012,5,16)</f>
        <v>41045</v>
      </c>
      <c r="B2339" t="s">
        <v>14</v>
      </c>
      <c r="C2339" t="s">
        <v>10</v>
      </c>
      <c r="D2339" s="3">
        <v>34.448</v>
      </c>
      <c r="E2339" s="3">
        <v>0</v>
      </c>
      <c r="F2339" t="s">
        <v>45</v>
      </c>
      <c r="G2339" s="3">
        <f t="shared" si="275"/>
        <v>-34.448</v>
      </c>
      <c r="H2339" s="3">
        <f t="shared" si="276"/>
        <v>34.448</v>
      </c>
      <c r="I2339" s="5" t="str">
        <f t="shared" si="277"/>
        <v>016</v>
      </c>
      <c r="J2339" s="5" t="str">
        <f t="shared" si="278"/>
        <v>2230</v>
      </c>
      <c r="K2339" s="5" t="str">
        <f t="shared" si="279"/>
        <v>000</v>
      </c>
      <c r="L2339" s="5">
        <f t="shared" si="280"/>
        <v>5</v>
      </c>
      <c r="M2339" s="5">
        <f t="shared" si="281"/>
        <v>2012</v>
      </c>
    </row>
    <row r="2340" spans="1:13" ht="17.45" customHeight="1" x14ac:dyDescent="0.25">
      <c r="A2340" s="1">
        <f>DATE(2012,5,17)</f>
        <v>41046</v>
      </c>
      <c r="B2340" t="s">
        <v>11</v>
      </c>
      <c r="C2340" t="s">
        <v>6</v>
      </c>
      <c r="D2340" s="3">
        <v>4031.7164000000002</v>
      </c>
      <c r="E2340" s="3">
        <v>0</v>
      </c>
      <c r="F2340" t="s">
        <v>45</v>
      </c>
      <c r="G2340" s="3">
        <f t="shared" si="275"/>
        <v>-4031.7164000000002</v>
      </c>
      <c r="H2340" s="3">
        <f t="shared" si="276"/>
        <v>4031.7164000000002</v>
      </c>
      <c r="I2340" s="5" t="str">
        <f t="shared" si="277"/>
        <v>016</v>
      </c>
      <c r="J2340" s="5" t="str">
        <f t="shared" si="278"/>
        <v>2100</v>
      </c>
      <c r="K2340" s="5" t="str">
        <f t="shared" si="279"/>
        <v>000</v>
      </c>
      <c r="L2340" s="5">
        <f t="shared" si="280"/>
        <v>5</v>
      </c>
      <c r="M2340" s="5">
        <f t="shared" si="281"/>
        <v>2012</v>
      </c>
    </row>
    <row r="2341" spans="1:13" ht="17.45" customHeight="1" x14ac:dyDescent="0.25">
      <c r="A2341" s="1">
        <f>DATE(2012,5,17)</f>
        <v>41046</v>
      </c>
      <c r="B2341" t="s">
        <v>12</v>
      </c>
      <c r="C2341" t="s">
        <v>8</v>
      </c>
      <c r="D2341" s="3">
        <v>721.56900000000007</v>
      </c>
      <c r="E2341" s="3">
        <v>0</v>
      </c>
      <c r="F2341" t="s">
        <v>45</v>
      </c>
      <c r="G2341" s="3">
        <f t="shared" si="275"/>
        <v>-721.56900000000007</v>
      </c>
      <c r="H2341" s="3">
        <f t="shared" si="276"/>
        <v>721.56900000000007</v>
      </c>
      <c r="I2341" s="5" t="str">
        <f t="shared" si="277"/>
        <v>016</v>
      </c>
      <c r="J2341" s="5" t="str">
        <f t="shared" si="278"/>
        <v>2210</v>
      </c>
      <c r="K2341" s="5" t="str">
        <f t="shared" si="279"/>
        <v>000</v>
      </c>
      <c r="L2341" s="5">
        <f t="shared" si="280"/>
        <v>5</v>
      </c>
      <c r="M2341" s="5">
        <f t="shared" si="281"/>
        <v>2012</v>
      </c>
    </row>
    <row r="2342" spans="1:13" ht="17.45" customHeight="1" x14ac:dyDescent="0.25">
      <c r="A2342" s="1">
        <f>DATE(2012,5,17)</f>
        <v>41046</v>
      </c>
      <c r="B2342" t="s">
        <v>13</v>
      </c>
      <c r="C2342" t="s">
        <v>9</v>
      </c>
      <c r="D2342" s="3">
        <v>212.49350000000001</v>
      </c>
      <c r="E2342" s="3">
        <v>0</v>
      </c>
      <c r="F2342" t="s">
        <v>45</v>
      </c>
      <c r="G2342" s="3">
        <f t="shared" si="275"/>
        <v>-212.49350000000001</v>
      </c>
      <c r="H2342" s="3">
        <f t="shared" si="276"/>
        <v>212.49350000000001</v>
      </c>
      <c r="I2342" s="5" t="str">
        <f t="shared" si="277"/>
        <v>016</v>
      </c>
      <c r="J2342" s="5" t="str">
        <f t="shared" si="278"/>
        <v>2220</v>
      </c>
      <c r="K2342" s="5" t="str">
        <f t="shared" si="279"/>
        <v>000</v>
      </c>
      <c r="L2342" s="5">
        <f t="shared" si="280"/>
        <v>5</v>
      </c>
      <c r="M2342" s="5">
        <f t="shared" si="281"/>
        <v>2012</v>
      </c>
    </row>
    <row r="2343" spans="1:13" ht="17.45" customHeight="1" x14ac:dyDescent="0.25">
      <c r="A2343" s="1">
        <f>DATE(2012,5,17)</f>
        <v>41046</v>
      </c>
      <c r="B2343" t="s">
        <v>14</v>
      </c>
      <c r="C2343" t="s">
        <v>10</v>
      </c>
      <c r="D2343" s="3">
        <v>28.784000000000002</v>
      </c>
      <c r="E2343" s="3">
        <v>0</v>
      </c>
      <c r="F2343" t="s">
        <v>45</v>
      </c>
      <c r="G2343" s="3">
        <f t="shared" si="275"/>
        <v>-28.784000000000002</v>
      </c>
      <c r="H2343" s="3">
        <f t="shared" si="276"/>
        <v>28.784000000000002</v>
      </c>
      <c r="I2343" s="5" t="str">
        <f t="shared" si="277"/>
        <v>016</v>
      </c>
      <c r="J2343" s="5" t="str">
        <f t="shared" si="278"/>
        <v>2230</v>
      </c>
      <c r="K2343" s="5" t="str">
        <f t="shared" si="279"/>
        <v>000</v>
      </c>
      <c r="L2343" s="5">
        <f t="shared" si="280"/>
        <v>5</v>
      </c>
      <c r="M2343" s="5">
        <f t="shared" si="281"/>
        <v>2012</v>
      </c>
    </row>
    <row r="2344" spans="1:13" ht="17.45" customHeight="1" x14ac:dyDescent="0.25">
      <c r="A2344" s="1">
        <f>DATE(2012,5,18)</f>
        <v>41047</v>
      </c>
      <c r="B2344" t="s">
        <v>11</v>
      </c>
      <c r="C2344" t="s">
        <v>6</v>
      </c>
      <c r="D2344" s="3">
        <v>9340.2574999999997</v>
      </c>
      <c r="E2344" s="3">
        <v>0</v>
      </c>
      <c r="F2344" t="s">
        <v>45</v>
      </c>
      <c r="G2344" s="3">
        <f t="shared" si="275"/>
        <v>-9340.2574999999997</v>
      </c>
      <c r="H2344" s="3">
        <f t="shared" si="276"/>
        <v>9340.2574999999997</v>
      </c>
      <c r="I2344" s="5" t="str">
        <f t="shared" si="277"/>
        <v>016</v>
      </c>
      <c r="J2344" s="5" t="str">
        <f t="shared" si="278"/>
        <v>2100</v>
      </c>
      <c r="K2344" s="5" t="str">
        <f t="shared" si="279"/>
        <v>000</v>
      </c>
      <c r="L2344" s="5">
        <f t="shared" si="280"/>
        <v>5</v>
      </c>
      <c r="M2344" s="5">
        <f t="shared" si="281"/>
        <v>2012</v>
      </c>
    </row>
    <row r="2345" spans="1:13" ht="17.45" customHeight="1" x14ac:dyDescent="0.25">
      <c r="A2345" s="1">
        <f>DATE(2012,5,18)</f>
        <v>41047</v>
      </c>
      <c r="B2345" t="s">
        <v>12</v>
      </c>
      <c r="C2345" t="s">
        <v>8</v>
      </c>
      <c r="D2345" s="3">
        <v>1583.501</v>
      </c>
      <c r="E2345" s="3">
        <v>0</v>
      </c>
      <c r="F2345" t="s">
        <v>45</v>
      </c>
      <c r="G2345" s="3">
        <f t="shared" si="275"/>
        <v>-1583.501</v>
      </c>
      <c r="H2345" s="3">
        <f t="shared" si="276"/>
        <v>1583.501</v>
      </c>
      <c r="I2345" s="5" t="str">
        <f t="shared" si="277"/>
        <v>016</v>
      </c>
      <c r="J2345" s="5" t="str">
        <f t="shared" si="278"/>
        <v>2210</v>
      </c>
      <c r="K2345" s="5" t="str">
        <f t="shared" si="279"/>
        <v>000</v>
      </c>
      <c r="L2345" s="5">
        <f t="shared" si="280"/>
        <v>5</v>
      </c>
      <c r="M2345" s="5">
        <f t="shared" si="281"/>
        <v>2012</v>
      </c>
    </row>
    <row r="2346" spans="1:13" ht="17.45" customHeight="1" x14ac:dyDescent="0.25">
      <c r="A2346" s="1">
        <f>DATE(2012,5,18)</f>
        <v>41047</v>
      </c>
      <c r="B2346" t="s">
        <v>13</v>
      </c>
      <c r="C2346" t="s">
        <v>9</v>
      </c>
      <c r="D2346" s="3">
        <v>439.65100000000001</v>
      </c>
      <c r="E2346" s="3">
        <v>0</v>
      </c>
      <c r="F2346" t="s">
        <v>45</v>
      </c>
      <c r="G2346" s="3">
        <f t="shared" si="275"/>
        <v>-439.65100000000001</v>
      </c>
      <c r="H2346" s="3">
        <f t="shared" si="276"/>
        <v>439.65100000000001</v>
      </c>
      <c r="I2346" s="5" t="str">
        <f t="shared" si="277"/>
        <v>016</v>
      </c>
      <c r="J2346" s="5" t="str">
        <f t="shared" si="278"/>
        <v>2220</v>
      </c>
      <c r="K2346" s="5" t="str">
        <f t="shared" si="279"/>
        <v>000</v>
      </c>
      <c r="L2346" s="5">
        <f t="shared" si="280"/>
        <v>5</v>
      </c>
      <c r="M2346" s="5">
        <f t="shared" si="281"/>
        <v>2012</v>
      </c>
    </row>
    <row r="2347" spans="1:13" ht="17.45" customHeight="1" x14ac:dyDescent="0.25">
      <c r="A2347" s="1">
        <f>DATE(2012,5,18)</f>
        <v>41047</v>
      </c>
      <c r="B2347" t="s">
        <v>14</v>
      </c>
      <c r="C2347" t="s">
        <v>10</v>
      </c>
      <c r="D2347" s="3">
        <v>253.20600000000005</v>
      </c>
      <c r="E2347" s="3">
        <v>0</v>
      </c>
      <c r="F2347" t="s">
        <v>45</v>
      </c>
      <c r="G2347" s="3">
        <f t="shared" si="275"/>
        <v>-253.20600000000005</v>
      </c>
      <c r="H2347" s="3">
        <f t="shared" si="276"/>
        <v>253.20600000000005</v>
      </c>
      <c r="I2347" s="5" t="str">
        <f t="shared" si="277"/>
        <v>016</v>
      </c>
      <c r="J2347" s="5" t="str">
        <f t="shared" si="278"/>
        <v>2230</v>
      </c>
      <c r="K2347" s="5" t="str">
        <f t="shared" si="279"/>
        <v>000</v>
      </c>
      <c r="L2347" s="5">
        <f t="shared" si="280"/>
        <v>5</v>
      </c>
      <c r="M2347" s="5">
        <f t="shared" si="281"/>
        <v>2012</v>
      </c>
    </row>
    <row r="2348" spans="1:13" ht="17.45" customHeight="1" x14ac:dyDescent="0.25">
      <c r="A2348" s="1">
        <f>DATE(2012,5,19)</f>
        <v>41048</v>
      </c>
      <c r="B2348" t="s">
        <v>11</v>
      </c>
      <c r="C2348" t="s">
        <v>6</v>
      </c>
      <c r="D2348" s="3">
        <v>6479.5059000000001</v>
      </c>
      <c r="E2348" s="3">
        <v>0</v>
      </c>
      <c r="F2348" t="s">
        <v>45</v>
      </c>
      <c r="G2348" s="3">
        <f t="shared" si="275"/>
        <v>-6479.5059000000001</v>
      </c>
      <c r="H2348" s="3">
        <f t="shared" si="276"/>
        <v>6479.5059000000001</v>
      </c>
      <c r="I2348" s="5" t="str">
        <f t="shared" si="277"/>
        <v>016</v>
      </c>
      <c r="J2348" s="5" t="str">
        <f t="shared" si="278"/>
        <v>2100</v>
      </c>
      <c r="K2348" s="5" t="str">
        <f t="shared" si="279"/>
        <v>000</v>
      </c>
      <c r="L2348" s="5">
        <f t="shared" si="280"/>
        <v>5</v>
      </c>
      <c r="M2348" s="5">
        <f t="shared" si="281"/>
        <v>2012</v>
      </c>
    </row>
    <row r="2349" spans="1:13" ht="17.45" customHeight="1" x14ac:dyDescent="0.25">
      <c r="A2349" s="1">
        <f>DATE(2012,5,19)</f>
        <v>41048</v>
      </c>
      <c r="B2349" t="s">
        <v>12</v>
      </c>
      <c r="C2349" t="s">
        <v>8</v>
      </c>
      <c r="D2349" s="3">
        <v>1852.3176000000001</v>
      </c>
      <c r="E2349" s="3">
        <v>0</v>
      </c>
      <c r="F2349" t="s">
        <v>45</v>
      </c>
      <c r="G2349" s="3">
        <f t="shared" si="275"/>
        <v>-1852.3176000000001</v>
      </c>
      <c r="H2349" s="3">
        <f t="shared" si="276"/>
        <v>1852.3176000000001</v>
      </c>
      <c r="I2349" s="5" t="str">
        <f t="shared" si="277"/>
        <v>016</v>
      </c>
      <c r="J2349" s="5" t="str">
        <f t="shared" si="278"/>
        <v>2210</v>
      </c>
      <c r="K2349" s="5" t="str">
        <f t="shared" si="279"/>
        <v>000</v>
      </c>
      <c r="L2349" s="5">
        <f t="shared" si="280"/>
        <v>5</v>
      </c>
      <c r="M2349" s="5">
        <f t="shared" si="281"/>
        <v>2012</v>
      </c>
    </row>
    <row r="2350" spans="1:13" ht="17.45" customHeight="1" x14ac:dyDescent="0.25">
      <c r="A2350" s="1">
        <f>DATE(2012,5,19)</f>
        <v>41048</v>
      </c>
      <c r="B2350" t="s">
        <v>13</v>
      </c>
      <c r="C2350" t="s">
        <v>9</v>
      </c>
      <c r="D2350" s="3">
        <v>617.42399999999998</v>
      </c>
      <c r="E2350" s="3">
        <v>0</v>
      </c>
      <c r="F2350" t="s">
        <v>45</v>
      </c>
      <c r="G2350" s="3">
        <f t="shared" si="275"/>
        <v>-617.42399999999998</v>
      </c>
      <c r="H2350" s="3">
        <f t="shared" si="276"/>
        <v>617.42399999999998</v>
      </c>
      <c r="I2350" s="5" t="str">
        <f t="shared" si="277"/>
        <v>016</v>
      </c>
      <c r="J2350" s="5" t="str">
        <f t="shared" si="278"/>
        <v>2220</v>
      </c>
      <c r="K2350" s="5" t="str">
        <f t="shared" si="279"/>
        <v>000</v>
      </c>
      <c r="L2350" s="5">
        <f t="shared" si="280"/>
        <v>5</v>
      </c>
      <c r="M2350" s="5">
        <f t="shared" si="281"/>
        <v>2012</v>
      </c>
    </row>
    <row r="2351" spans="1:13" ht="17.45" customHeight="1" x14ac:dyDescent="0.25">
      <c r="A2351" s="1">
        <f>DATE(2012,5,19)</f>
        <v>41048</v>
      </c>
      <c r="B2351" t="s">
        <v>14</v>
      </c>
      <c r="C2351" t="s">
        <v>10</v>
      </c>
      <c r="D2351" s="3">
        <v>186.58799999999999</v>
      </c>
      <c r="E2351" s="3">
        <v>0</v>
      </c>
      <c r="F2351" t="s">
        <v>45</v>
      </c>
      <c r="G2351" s="3">
        <f t="shared" si="275"/>
        <v>-186.58799999999999</v>
      </c>
      <c r="H2351" s="3">
        <f t="shared" si="276"/>
        <v>186.58799999999999</v>
      </c>
      <c r="I2351" s="5" t="str">
        <f t="shared" si="277"/>
        <v>016</v>
      </c>
      <c r="J2351" s="5" t="str">
        <f t="shared" si="278"/>
        <v>2230</v>
      </c>
      <c r="K2351" s="5" t="str">
        <f t="shared" si="279"/>
        <v>000</v>
      </c>
      <c r="L2351" s="5">
        <f t="shared" si="280"/>
        <v>5</v>
      </c>
      <c r="M2351" s="5">
        <f t="shared" si="281"/>
        <v>2012</v>
      </c>
    </row>
    <row r="2352" spans="1:13" ht="17.45" customHeight="1" x14ac:dyDescent="0.25">
      <c r="A2352" s="1">
        <f>DATE(2012,5,20)</f>
        <v>41049</v>
      </c>
      <c r="B2352" t="s">
        <v>11</v>
      </c>
      <c r="C2352" t="s">
        <v>6</v>
      </c>
      <c r="D2352" s="3">
        <v>4419.6779999999999</v>
      </c>
      <c r="E2352" s="3">
        <v>0</v>
      </c>
      <c r="F2352" t="s">
        <v>45</v>
      </c>
      <c r="G2352" s="3">
        <f t="shared" si="275"/>
        <v>-4419.6779999999999</v>
      </c>
      <c r="H2352" s="3">
        <f t="shared" si="276"/>
        <v>4419.6779999999999</v>
      </c>
      <c r="I2352" s="5" t="str">
        <f t="shared" si="277"/>
        <v>016</v>
      </c>
      <c r="J2352" s="5" t="str">
        <f t="shared" si="278"/>
        <v>2100</v>
      </c>
      <c r="K2352" s="5" t="str">
        <f t="shared" si="279"/>
        <v>000</v>
      </c>
      <c r="L2352" s="5">
        <f t="shared" si="280"/>
        <v>5</v>
      </c>
      <c r="M2352" s="5">
        <f t="shared" si="281"/>
        <v>2012</v>
      </c>
    </row>
    <row r="2353" spans="1:13" ht="17.45" customHeight="1" x14ac:dyDescent="0.25">
      <c r="A2353" s="1">
        <f>DATE(2012,5,20)</f>
        <v>41049</v>
      </c>
      <c r="B2353" t="s">
        <v>12</v>
      </c>
      <c r="C2353" t="s">
        <v>8</v>
      </c>
      <c r="D2353" s="3">
        <v>1509.8951999999999</v>
      </c>
      <c r="E2353" s="3">
        <v>0</v>
      </c>
      <c r="F2353" t="s">
        <v>45</v>
      </c>
      <c r="G2353" s="3">
        <f t="shared" si="275"/>
        <v>-1509.8951999999999</v>
      </c>
      <c r="H2353" s="3">
        <f t="shared" si="276"/>
        <v>1509.8951999999999</v>
      </c>
      <c r="I2353" s="5" t="str">
        <f t="shared" si="277"/>
        <v>016</v>
      </c>
      <c r="J2353" s="5" t="str">
        <f t="shared" si="278"/>
        <v>2210</v>
      </c>
      <c r="K2353" s="5" t="str">
        <f t="shared" si="279"/>
        <v>000</v>
      </c>
      <c r="L2353" s="5">
        <f t="shared" si="280"/>
        <v>5</v>
      </c>
      <c r="M2353" s="5">
        <f t="shared" si="281"/>
        <v>2012</v>
      </c>
    </row>
    <row r="2354" spans="1:13" ht="17.45" customHeight="1" x14ac:dyDescent="0.25">
      <c r="A2354" s="1">
        <f>DATE(2012,5,20)</f>
        <v>41049</v>
      </c>
      <c r="B2354" t="s">
        <v>13</v>
      </c>
      <c r="C2354" t="s">
        <v>9</v>
      </c>
      <c r="D2354" s="3">
        <v>160.358</v>
      </c>
      <c r="E2354" s="3">
        <v>0</v>
      </c>
      <c r="F2354" t="s">
        <v>45</v>
      </c>
      <c r="G2354" s="3">
        <f t="shared" si="275"/>
        <v>-160.358</v>
      </c>
      <c r="H2354" s="3">
        <f t="shared" si="276"/>
        <v>160.358</v>
      </c>
      <c r="I2354" s="5" t="str">
        <f t="shared" si="277"/>
        <v>016</v>
      </c>
      <c r="J2354" s="5" t="str">
        <f t="shared" si="278"/>
        <v>2220</v>
      </c>
      <c r="K2354" s="5" t="str">
        <f t="shared" si="279"/>
        <v>000</v>
      </c>
      <c r="L2354" s="5">
        <f t="shared" si="280"/>
        <v>5</v>
      </c>
      <c r="M2354" s="5">
        <f t="shared" si="281"/>
        <v>2012</v>
      </c>
    </row>
    <row r="2355" spans="1:13" ht="17.45" customHeight="1" x14ac:dyDescent="0.25">
      <c r="A2355" s="1">
        <f>DATE(2012,5,20)</f>
        <v>41049</v>
      </c>
      <c r="B2355" t="s">
        <v>14</v>
      </c>
      <c r="C2355" t="s">
        <v>10</v>
      </c>
      <c r="D2355" s="3">
        <v>181.6755</v>
      </c>
      <c r="E2355" s="3">
        <v>0</v>
      </c>
      <c r="F2355" t="s">
        <v>45</v>
      </c>
      <c r="G2355" s="3">
        <f t="shared" si="275"/>
        <v>-181.6755</v>
      </c>
      <c r="H2355" s="3">
        <f t="shared" si="276"/>
        <v>181.6755</v>
      </c>
      <c r="I2355" s="5" t="str">
        <f t="shared" si="277"/>
        <v>016</v>
      </c>
      <c r="J2355" s="5" t="str">
        <f t="shared" si="278"/>
        <v>2230</v>
      </c>
      <c r="K2355" s="5" t="str">
        <f t="shared" si="279"/>
        <v>000</v>
      </c>
      <c r="L2355" s="5">
        <f t="shared" si="280"/>
        <v>5</v>
      </c>
      <c r="M2355" s="5">
        <f t="shared" si="281"/>
        <v>2012</v>
      </c>
    </row>
    <row r="2356" spans="1:13" ht="17.45" customHeight="1" x14ac:dyDescent="0.25">
      <c r="A2356" s="1">
        <f>DATE(2012,5,14)</f>
        <v>41043</v>
      </c>
      <c r="B2356" t="s">
        <v>15</v>
      </c>
      <c r="C2356" t="s">
        <v>6</v>
      </c>
      <c r="D2356" s="3">
        <v>5543.4708000000001</v>
      </c>
      <c r="E2356" s="3">
        <v>0</v>
      </c>
      <c r="F2356" t="s">
        <v>45</v>
      </c>
      <c r="G2356" s="3">
        <f t="shared" si="275"/>
        <v>-5543.4708000000001</v>
      </c>
      <c r="H2356" s="3">
        <f t="shared" si="276"/>
        <v>5543.4708000000001</v>
      </c>
      <c r="I2356" s="5" t="str">
        <f t="shared" si="277"/>
        <v>017</v>
      </c>
      <c r="J2356" s="5" t="str">
        <f t="shared" si="278"/>
        <v>2100</v>
      </c>
      <c r="K2356" s="5" t="str">
        <f t="shared" si="279"/>
        <v>000</v>
      </c>
      <c r="L2356" s="5">
        <f t="shared" si="280"/>
        <v>5</v>
      </c>
      <c r="M2356" s="5">
        <f t="shared" si="281"/>
        <v>2012</v>
      </c>
    </row>
    <row r="2357" spans="1:13" ht="17.45" customHeight="1" x14ac:dyDescent="0.25">
      <c r="A2357" s="1">
        <f>DATE(2012,5,14)</f>
        <v>41043</v>
      </c>
      <c r="B2357" t="s">
        <v>16</v>
      </c>
      <c r="C2357" t="s">
        <v>8</v>
      </c>
      <c r="D2357" s="3">
        <v>1610.3815000000002</v>
      </c>
      <c r="E2357" s="3">
        <v>0</v>
      </c>
      <c r="F2357" t="s">
        <v>45</v>
      </c>
      <c r="G2357" s="3">
        <f t="shared" si="275"/>
        <v>-1610.3815000000002</v>
      </c>
      <c r="H2357" s="3">
        <f t="shared" si="276"/>
        <v>1610.3815000000002</v>
      </c>
      <c r="I2357" s="5" t="str">
        <f t="shared" si="277"/>
        <v>017</v>
      </c>
      <c r="J2357" s="5" t="str">
        <f t="shared" si="278"/>
        <v>2210</v>
      </c>
      <c r="K2357" s="5" t="str">
        <f t="shared" si="279"/>
        <v>000</v>
      </c>
      <c r="L2357" s="5">
        <f t="shared" si="280"/>
        <v>5</v>
      </c>
      <c r="M2357" s="5">
        <f t="shared" si="281"/>
        <v>2012</v>
      </c>
    </row>
    <row r="2358" spans="1:13" ht="17.45" customHeight="1" x14ac:dyDescent="0.25">
      <c r="A2358" s="1">
        <f>DATE(2012,5,14)</f>
        <v>41043</v>
      </c>
      <c r="B2358" t="s">
        <v>17</v>
      </c>
      <c r="C2358" t="s">
        <v>9</v>
      </c>
      <c r="D2358" s="3">
        <v>500.76</v>
      </c>
      <c r="E2358" s="3">
        <v>0</v>
      </c>
      <c r="F2358" t="s">
        <v>45</v>
      </c>
      <c r="G2358" s="3">
        <f t="shared" si="275"/>
        <v>-500.76</v>
      </c>
      <c r="H2358" s="3">
        <f t="shared" si="276"/>
        <v>500.76</v>
      </c>
      <c r="I2358" s="5" t="str">
        <f t="shared" si="277"/>
        <v>017</v>
      </c>
      <c r="J2358" s="5" t="str">
        <f t="shared" si="278"/>
        <v>2220</v>
      </c>
      <c r="K2358" s="5" t="str">
        <f t="shared" si="279"/>
        <v>000</v>
      </c>
      <c r="L2358" s="5">
        <f t="shared" si="280"/>
        <v>5</v>
      </c>
      <c r="M2358" s="5">
        <f t="shared" si="281"/>
        <v>2012</v>
      </c>
    </row>
    <row r="2359" spans="1:13" ht="17.45" customHeight="1" x14ac:dyDescent="0.25">
      <c r="A2359" s="1">
        <f>DATE(2012,5,14)</f>
        <v>41043</v>
      </c>
      <c r="B2359" t="s">
        <v>18</v>
      </c>
      <c r="C2359" t="s">
        <v>10</v>
      </c>
      <c r="D2359" s="3">
        <v>66.412500000000009</v>
      </c>
      <c r="E2359" s="3">
        <v>0</v>
      </c>
      <c r="F2359" t="s">
        <v>45</v>
      </c>
      <c r="G2359" s="3">
        <f t="shared" si="275"/>
        <v>-66.412500000000009</v>
      </c>
      <c r="H2359" s="3">
        <f t="shared" si="276"/>
        <v>66.412500000000009</v>
      </c>
      <c r="I2359" s="5" t="str">
        <f t="shared" si="277"/>
        <v>017</v>
      </c>
      <c r="J2359" s="5" t="str">
        <f t="shared" si="278"/>
        <v>2230</v>
      </c>
      <c r="K2359" s="5" t="str">
        <f t="shared" si="279"/>
        <v>000</v>
      </c>
      <c r="L2359" s="5">
        <f t="shared" si="280"/>
        <v>5</v>
      </c>
      <c r="M2359" s="5">
        <f t="shared" si="281"/>
        <v>2012</v>
      </c>
    </row>
    <row r="2360" spans="1:13" ht="17.45" customHeight="1" x14ac:dyDescent="0.25">
      <c r="A2360" s="1">
        <f>DATE(2012,5,15)</f>
        <v>41044</v>
      </c>
      <c r="B2360" t="s">
        <v>15</v>
      </c>
      <c r="C2360" t="s">
        <v>6</v>
      </c>
      <c r="D2360" s="3">
        <v>5552.4314999999997</v>
      </c>
      <c r="E2360" s="3">
        <v>0</v>
      </c>
      <c r="F2360" t="s">
        <v>45</v>
      </c>
      <c r="G2360" s="3">
        <f t="shared" si="275"/>
        <v>-5552.4314999999997</v>
      </c>
      <c r="H2360" s="3">
        <f t="shared" si="276"/>
        <v>5552.4314999999997</v>
      </c>
      <c r="I2360" s="5" t="str">
        <f t="shared" si="277"/>
        <v>017</v>
      </c>
      <c r="J2360" s="5" t="str">
        <f t="shared" si="278"/>
        <v>2100</v>
      </c>
      <c r="K2360" s="5" t="str">
        <f t="shared" si="279"/>
        <v>000</v>
      </c>
      <c r="L2360" s="5">
        <f t="shared" si="280"/>
        <v>5</v>
      </c>
      <c r="M2360" s="5">
        <f t="shared" si="281"/>
        <v>2012</v>
      </c>
    </row>
    <row r="2361" spans="1:13" ht="17.45" customHeight="1" x14ac:dyDescent="0.25">
      <c r="A2361" s="1">
        <f>DATE(2012,5,15)</f>
        <v>41044</v>
      </c>
      <c r="B2361" t="s">
        <v>16</v>
      </c>
      <c r="C2361" t="s">
        <v>8</v>
      </c>
      <c r="D2361" s="3">
        <v>1531.7655</v>
      </c>
      <c r="E2361" s="3">
        <v>0</v>
      </c>
      <c r="F2361" t="s">
        <v>45</v>
      </c>
      <c r="G2361" s="3">
        <f t="shared" si="275"/>
        <v>-1531.7655</v>
      </c>
      <c r="H2361" s="3">
        <f t="shared" si="276"/>
        <v>1531.7655</v>
      </c>
      <c r="I2361" s="5" t="str">
        <f t="shared" si="277"/>
        <v>017</v>
      </c>
      <c r="J2361" s="5" t="str">
        <f t="shared" si="278"/>
        <v>2210</v>
      </c>
      <c r="K2361" s="5" t="str">
        <f t="shared" si="279"/>
        <v>000</v>
      </c>
      <c r="L2361" s="5">
        <f t="shared" si="280"/>
        <v>5</v>
      </c>
      <c r="M2361" s="5">
        <f t="shared" si="281"/>
        <v>2012</v>
      </c>
    </row>
    <row r="2362" spans="1:13" ht="17.45" customHeight="1" x14ac:dyDescent="0.25">
      <c r="A2362" s="1">
        <f>DATE(2012,5,15)</f>
        <v>41044</v>
      </c>
      <c r="B2362" t="s">
        <v>17</v>
      </c>
      <c r="C2362" t="s">
        <v>9</v>
      </c>
      <c r="D2362" s="3">
        <v>320.42499999999995</v>
      </c>
      <c r="E2362" s="3">
        <v>0</v>
      </c>
      <c r="F2362" t="s">
        <v>45</v>
      </c>
      <c r="G2362" s="3">
        <f t="shared" si="275"/>
        <v>-320.42499999999995</v>
      </c>
      <c r="H2362" s="3">
        <f t="shared" si="276"/>
        <v>320.42499999999995</v>
      </c>
      <c r="I2362" s="5" t="str">
        <f t="shared" si="277"/>
        <v>017</v>
      </c>
      <c r="J2362" s="5" t="str">
        <f t="shared" si="278"/>
        <v>2220</v>
      </c>
      <c r="K2362" s="5" t="str">
        <f t="shared" si="279"/>
        <v>000</v>
      </c>
      <c r="L2362" s="5">
        <f t="shared" si="280"/>
        <v>5</v>
      </c>
      <c r="M2362" s="5">
        <f t="shared" si="281"/>
        <v>2012</v>
      </c>
    </row>
    <row r="2363" spans="1:13" ht="17.45" customHeight="1" x14ac:dyDescent="0.25">
      <c r="A2363" s="1">
        <f>DATE(2012,5,15)</f>
        <v>41044</v>
      </c>
      <c r="B2363" t="s">
        <v>18</v>
      </c>
      <c r="C2363" t="s">
        <v>10</v>
      </c>
      <c r="D2363" s="3">
        <v>60.119</v>
      </c>
      <c r="E2363" s="3">
        <v>0</v>
      </c>
      <c r="F2363" t="s">
        <v>45</v>
      </c>
      <c r="G2363" s="3">
        <f t="shared" si="275"/>
        <v>-60.119</v>
      </c>
      <c r="H2363" s="3">
        <f t="shared" si="276"/>
        <v>60.119</v>
      </c>
      <c r="I2363" s="5" t="str">
        <f t="shared" si="277"/>
        <v>017</v>
      </c>
      <c r="J2363" s="5" t="str">
        <f t="shared" si="278"/>
        <v>2230</v>
      </c>
      <c r="K2363" s="5" t="str">
        <f t="shared" si="279"/>
        <v>000</v>
      </c>
      <c r="L2363" s="5">
        <f t="shared" si="280"/>
        <v>5</v>
      </c>
      <c r="M2363" s="5">
        <f t="shared" si="281"/>
        <v>2012</v>
      </c>
    </row>
    <row r="2364" spans="1:13" ht="17.45" customHeight="1" x14ac:dyDescent="0.25">
      <c r="A2364" s="1">
        <f>DATE(2012,5,16)</f>
        <v>41045</v>
      </c>
      <c r="B2364" t="s">
        <v>15</v>
      </c>
      <c r="C2364" t="s">
        <v>6</v>
      </c>
      <c r="D2364" s="3">
        <v>6342.2983999999997</v>
      </c>
      <c r="E2364" s="3">
        <v>0</v>
      </c>
      <c r="F2364" t="s">
        <v>45</v>
      </c>
      <c r="G2364" s="3">
        <f t="shared" si="275"/>
        <v>-6342.2983999999997</v>
      </c>
      <c r="H2364" s="3">
        <f t="shared" si="276"/>
        <v>6342.2983999999997</v>
      </c>
      <c r="I2364" s="5" t="str">
        <f t="shared" si="277"/>
        <v>017</v>
      </c>
      <c r="J2364" s="5" t="str">
        <f t="shared" si="278"/>
        <v>2100</v>
      </c>
      <c r="K2364" s="5" t="str">
        <f t="shared" si="279"/>
        <v>000</v>
      </c>
      <c r="L2364" s="5">
        <f t="shared" si="280"/>
        <v>5</v>
      </c>
      <c r="M2364" s="5">
        <f t="shared" si="281"/>
        <v>2012</v>
      </c>
    </row>
    <row r="2365" spans="1:13" ht="17.45" customHeight="1" x14ac:dyDescent="0.25">
      <c r="A2365" s="1">
        <f>DATE(2012,5,16)</f>
        <v>41045</v>
      </c>
      <c r="B2365" t="s">
        <v>16</v>
      </c>
      <c r="C2365" t="s">
        <v>8</v>
      </c>
      <c r="D2365" s="3">
        <v>2086.7175000000002</v>
      </c>
      <c r="E2365" s="3">
        <v>0</v>
      </c>
      <c r="F2365" t="s">
        <v>45</v>
      </c>
      <c r="G2365" s="3">
        <f t="shared" si="275"/>
        <v>-2086.7175000000002</v>
      </c>
      <c r="H2365" s="3">
        <f t="shared" si="276"/>
        <v>2086.7175000000002</v>
      </c>
      <c r="I2365" s="5" t="str">
        <f t="shared" si="277"/>
        <v>017</v>
      </c>
      <c r="J2365" s="5" t="str">
        <f t="shared" si="278"/>
        <v>2210</v>
      </c>
      <c r="K2365" s="5" t="str">
        <f t="shared" si="279"/>
        <v>000</v>
      </c>
      <c r="L2365" s="5">
        <f t="shared" si="280"/>
        <v>5</v>
      </c>
      <c r="M2365" s="5">
        <f t="shared" si="281"/>
        <v>2012</v>
      </c>
    </row>
    <row r="2366" spans="1:13" ht="17.45" customHeight="1" x14ac:dyDescent="0.25">
      <c r="A2366" s="1">
        <f>DATE(2012,5,16)</f>
        <v>41045</v>
      </c>
      <c r="B2366" t="s">
        <v>17</v>
      </c>
      <c r="C2366" t="s">
        <v>9</v>
      </c>
      <c r="D2366" s="3">
        <v>626.88749999999993</v>
      </c>
      <c r="E2366" s="3">
        <v>0</v>
      </c>
      <c r="F2366" t="s">
        <v>45</v>
      </c>
      <c r="G2366" s="3">
        <f t="shared" si="275"/>
        <v>-626.88749999999993</v>
      </c>
      <c r="H2366" s="3">
        <f t="shared" si="276"/>
        <v>626.88749999999993</v>
      </c>
      <c r="I2366" s="5" t="str">
        <f t="shared" si="277"/>
        <v>017</v>
      </c>
      <c r="J2366" s="5" t="str">
        <f t="shared" si="278"/>
        <v>2220</v>
      </c>
      <c r="K2366" s="5" t="str">
        <f t="shared" si="279"/>
        <v>000</v>
      </c>
      <c r="L2366" s="5">
        <f t="shared" si="280"/>
        <v>5</v>
      </c>
      <c r="M2366" s="5">
        <f t="shared" si="281"/>
        <v>2012</v>
      </c>
    </row>
    <row r="2367" spans="1:13" ht="17.45" customHeight="1" x14ac:dyDescent="0.25">
      <c r="A2367" s="1">
        <f>DATE(2012,5,16)</f>
        <v>41045</v>
      </c>
      <c r="B2367" t="s">
        <v>18</v>
      </c>
      <c r="C2367" t="s">
        <v>10</v>
      </c>
      <c r="D2367" s="3">
        <v>189.83700000000002</v>
      </c>
      <c r="E2367" s="3">
        <v>0</v>
      </c>
      <c r="F2367" t="s">
        <v>45</v>
      </c>
      <c r="G2367" s="3">
        <f t="shared" si="275"/>
        <v>-189.83700000000002</v>
      </c>
      <c r="H2367" s="3">
        <f t="shared" si="276"/>
        <v>189.83700000000002</v>
      </c>
      <c r="I2367" s="5" t="str">
        <f t="shared" si="277"/>
        <v>017</v>
      </c>
      <c r="J2367" s="5" t="str">
        <f t="shared" si="278"/>
        <v>2230</v>
      </c>
      <c r="K2367" s="5" t="str">
        <f t="shared" si="279"/>
        <v>000</v>
      </c>
      <c r="L2367" s="5">
        <f t="shared" si="280"/>
        <v>5</v>
      </c>
      <c r="M2367" s="5">
        <f t="shared" si="281"/>
        <v>2012</v>
      </c>
    </row>
    <row r="2368" spans="1:13" ht="17.45" customHeight="1" x14ac:dyDescent="0.25">
      <c r="A2368" s="1">
        <f>DATE(2012,5,17)</f>
        <v>41046</v>
      </c>
      <c r="B2368" t="s">
        <v>15</v>
      </c>
      <c r="C2368" t="s">
        <v>6</v>
      </c>
      <c r="D2368" s="3">
        <v>7150.4706000000006</v>
      </c>
      <c r="E2368" s="3">
        <v>0</v>
      </c>
      <c r="F2368" t="s">
        <v>45</v>
      </c>
      <c r="G2368" s="3">
        <f t="shared" si="275"/>
        <v>-7150.4706000000006</v>
      </c>
      <c r="H2368" s="3">
        <f t="shared" si="276"/>
        <v>7150.4706000000006</v>
      </c>
      <c r="I2368" s="5" t="str">
        <f t="shared" si="277"/>
        <v>017</v>
      </c>
      <c r="J2368" s="5" t="str">
        <f t="shared" si="278"/>
        <v>2100</v>
      </c>
      <c r="K2368" s="5" t="str">
        <f t="shared" si="279"/>
        <v>000</v>
      </c>
      <c r="L2368" s="5">
        <f t="shared" si="280"/>
        <v>5</v>
      </c>
      <c r="M2368" s="5">
        <f t="shared" si="281"/>
        <v>2012</v>
      </c>
    </row>
    <row r="2369" spans="1:13" ht="17.45" customHeight="1" x14ac:dyDescent="0.25">
      <c r="A2369" s="1">
        <f>DATE(2012,5,17)</f>
        <v>41046</v>
      </c>
      <c r="B2369" t="s">
        <v>16</v>
      </c>
      <c r="C2369" t="s">
        <v>8</v>
      </c>
      <c r="D2369" s="3">
        <v>2545.2220000000002</v>
      </c>
      <c r="E2369" s="3">
        <v>0</v>
      </c>
      <c r="F2369" t="s">
        <v>45</v>
      </c>
      <c r="G2369" s="3">
        <f t="shared" si="275"/>
        <v>-2545.2220000000002</v>
      </c>
      <c r="H2369" s="3">
        <f t="shared" si="276"/>
        <v>2545.2220000000002</v>
      </c>
      <c r="I2369" s="5" t="str">
        <f t="shared" si="277"/>
        <v>017</v>
      </c>
      <c r="J2369" s="5" t="str">
        <f t="shared" si="278"/>
        <v>2210</v>
      </c>
      <c r="K2369" s="5" t="str">
        <f t="shared" si="279"/>
        <v>000</v>
      </c>
      <c r="L2369" s="5">
        <f t="shared" si="280"/>
        <v>5</v>
      </c>
      <c r="M2369" s="5">
        <f t="shared" si="281"/>
        <v>2012</v>
      </c>
    </row>
    <row r="2370" spans="1:13" ht="17.45" customHeight="1" x14ac:dyDescent="0.25">
      <c r="A2370" s="1">
        <f>DATE(2012,5,17)</f>
        <v>41046</v>
      </c>
      <c r="B2370" t="s">
        <v>17</v>
      </c>
      <c r="C2370" t="s">
        <v>9</v>
      </c>
      <c r="D2370" s="3">
        <v>854.20500000000004</v>
      </c>
      <c r="E2370" s="3">
        <v>0</v>
      </c>
      <c r="F2370" t="s">
        <v>45</v>
      </c>
      <c r="G2370" s="3">
        <f t="shared" ref="G2370:G2433" si="282">E2370-D2370</f>
        <v>-854.20500000000004</v>
      </c>
      <c r="H2370" s="3">
        <f t="shared" ref="H2370:H2433" si="283">ABS(G2370)</f>
        <v>854.20500000000004</v>
      </c>
      <c r="I2370" s="5" t="str">
        <f t="shared" ref="I2370:I2433" si="284">MID(B2370,1,3)</f>
        <v>017</v>
      </c>
      <c r="J2370" s="5" t="str">
        <f t="shared" ref="J2370:J2433" si="285">MID(B2370,5,4)</f>
        <v>2220</v>
      </c>
      <c r="K2370" s="5" t="str">
        <f t="shared" ref="K2370:K2433" si="286">MID(B2370,10,3)</f>
        <v>000</v>
      </c>
      <c r="L2370" s="5">
        <f t="shared" ref="L2370:L2433" si="287">MONTH(A2370)</f>
        <v>5</v>
      </c>
      <c r="M2370" s="5">
        <f t="shared" ref="M2370:M2433" si="288">YEAR(A2370)</f>
        <v>2012</v>
      </c>
    </row>
    <row r="2371" spans="1:13" ht="17.45" customHeight="1" x14ac:dyDescent="0.25">
      <c r="A2371" s="1">
        <f>DATE(2012,5,17)</f>
        <v>41046</v>
      </c>
      <c r="B2371" t="s">
        <v>18</v>
      </c>
      <c r="C2371" t="s">
        <v>10</v>
      </c>
      <c r="D2371" s="3">
        <v>99.791999999999987</v>
      </c>
      <c r="E2371" s="3">
        <v>0</v>
      </c>
      <c r="F2371" t="s">
        <v>45</v>
      </c>
      <c r="G2371" s="3">
        <f t="shared" si="282"/>
        <v>-99.791999999999987</v>
      </c>
      <c r="H2371" s="3">
        <f t="shared" si="283"/>
        <v>99.791999999999987</v>
      </c>
      <c r="I2371" s="5" t="str">
        <f t="shared" si="284"/>
        <v>017</v>
      </c>
      <c r="J2371" s="5" t="str">
        <f t="shared" si="285"/>
        <v>2230</v>
      </c>
      <c r="K2371" s="5" t="str">
        <f t="shared" si="286"/>
        <v>000</v>
      </c>
      <c r="L2371" s="5">
        <f t="shared" si="287"/>
        <v>5</v>
      </c>
      <c r="M2371" s="5">
        <f t="shared" si="288"/>
        <v>2012</v>
      </c>
    </row>
    <row r="2372" spans="1:13" ht="17.45" customHeight="1" x14ac:dyDescent="0.25">
      <c r="A2372" s="1">
        <f>DATE(2012,5,18)</f>
        <v>41047</v>
      </c>
      <c r="B2372" t="s">
        <v>15</v>
      </c>
      <c r="C2372" t="s">
        <v>6</v>
      </c>
      <c r="D2372" s="3">
        <v>10343.715200000001</v>
      </c>
      <c r="E2372" s="3">
        <v>0</v>
      </c>
      <c r="F2372" t="s">
        <v>45</v>
      </c>
      <c r="G2372" s="3">
        <f t="shared" si="282"/>
        <v>-10343.715200000001</v>
      </c>
      <c r="H2372" s="3">
        <f t="shared" si="283"/>
        <v>10343.715200000001</v>
      </c>
      <c r="I2372" s="5" t="str">
        <f t="shared" si="284"/>
        <v>017</v>
      </c>
      <c r="J2372" s="5" t="str">
        <f t="shared" si="285"/>
        <v>2100</v>
      </c>
      <c r="K2372" s="5" t="str">
        <f t="shared" si="286"/>
        <v>000</v>
      </c>
      <c r="L2372" s="5">
        <f t="shared" si="287"/>
        <v>5</v>
      </c>
      <c r="M2372" s="5">
        <f t="shared" si="288"/>
        <v>2012</v>
      </c>
    </row>
    <row r="2373" spans="1:13" ht="17.45" customHeight="1" x14ac:dyDescent="0.25">
      <c r="A2373" s="1">
        <f>DATE(2012,5,18)</f>
        <v>41047</v>
      </c>
      <c r="B2373" t="s">
        <v>16</v>
      </c>
      <c r="C2373" t="s">
        <v>8</v>
      </c>
      <c r="D2373" s="3">
        <v>2829.7750000000001</v>
      </c>
      <c r="E2373" s="3">
        <v>0</v>
      </c>
      <c r="F2373" t="s">
        <v>45</v>
      </c>
      <c r="G2373" s="3">
        <f t="shared" si="282"/>
        <v>-2829.7750000000001</v>
      </c>
      <c r="H2373" s="3">
        <f t="shared" si="283"/>
        <v>2829.7750000000001</v>
      </c>
      <c r="I2373" s="5" t="str">
        <f t="shared" si="284"/>
        <v>017</v>
      </c>
      <c r="J2373" s="5" t="str">
        <f t="shared" si="285"/>
        <v>2210</v>
      </c>
      <c r="K2373" s="5" t="str">
        <f t="shared" si="286"/>
        <v>000</v>
      </c>
      <c r="L2373" s="5">
        <f t="shared" si="287"/>
        <v>5</v>
      </c>
      <c r="M2373" s="5">
        <f t="shared" si="288"/>
        <v>2012</v>
      </c>
    </row>
    <row r="2374" spans="1:13" ht="17.45" customHeight="1" x14ac:dyDescent="0.25">
      <c r="A2374" s="1">
        <f>DATE(2012,5,18)</f>
        <v>41047</v>
      </c>
      <c r="B2374" t="s">
        <v>17</v>
      </c>
      <c r="C2374" t="s">
        <v>9</v>
      </c>
      <c r="D2374" s="3">
        <v>615.30999999999995</v>
      </c>
      <c r="E2374" s="3">
        <v>0</v>
      </c>
      <c r="F2374" t="s">
        <v>45</v>
      </c>
      <c r="G2374" s="3">
        <f t="shared" si="282"/>
        <v>-615.30999999999995</v>
      </c>
      <c r="H2374" s="3">
        <f t="shared" si="283"/>
        <v>615.30999999999995</v>
      </c>
      <c r="I2374" s="5" t="str">
        <f t="shared" si="284"/>
        <v>017</v>
      </c>
      <c r="J2374" s="5" t="str">
        <f t="shared" si="285"/>
        <v>2220</v>
      </c>
      <c r="K2374" s="5" t="str">
        <f t="shared" si="286"/>
        <v>000</v>
      </c>
      <c r="L2374" s="5">
        <f t="shared" si="287"/>
        <v>5</v>
      </c>
      <c r="M2374" s="5">
        <f t="shared" si="288"/>
        <v>2012</v>
      </c>
    </row>
    <row r="2375" spans="1:13" ht="17.45" customHeight="1" x14ac:dyDescent="0.25">
      <c r="A2375" s="1">
        <f>DATE(2012,5,18)</f>
        <v>41047</v>
      </c>
      <c r="B2375" t="s">
        <v>18</v>
      </c>
      <c r="C2375" t="s">
        <v>10</v>
      </c>
      <c r="D2375" s="3">
        <v>114.11399999999999</v>
      </c>
      <c r="E2375" s="3">
        <v>0</v>
      </c>
      <c r="F2375" t="s">
        <v>45</v>
      </c>
      <c r="G2375" s="3">
        <f t="shared" si="282"/>
        <v>-114.11399999999999</v>
      </c>
      <c r="H2375" s="3">
        <f t="shared" si="283"/>
        <v>114.11399999999999</v>
      </c>
      <c r="I2375" s="5" t="str">
        <f t="shared" si="284"/>
        <v>017</v>
      </c>
      <c r="J2375" s="5" t="str">
        <f t="shared" si="285"/>
        <v>2230</v>
      </c>
      <c r="K2375" s="5" t="str">
        <f t="shared" si="286"/>
        <v>000</v>
      </c>
      <c r="L2375" s="5">
        <f t="shared" si="287"/>
        <v>5</v>
      </c>
      <c r="M2375" s="5">
        <f t="shared" si="288"/>
        <v>2012</v>
      </c>
    </row>
    <row r="2376" spans="1:13" ht="17.45" customHeight="1" x14ac:dyDescent="0.25">
      <c r="A2376" s="1">
        <f>DATE(2012,5,19)</f>
        <v>41048</v>
      </c>
      <c r="B2376" t="s">
        <v>15</v>
      </c>
      <c r="C2376" t="s">
        <v>6</v>
      </c>
      <c r="D2376" s="3">
        <v>10722.375</v>
      </c>
      <c r="E2376" s="3">
        <v>0</v>
      </c>
      <c r="F2376" t="s">
        <v>45</v>
      </c>
      <c r="G2376" s="3">
        <f t="shared" si="282"/>
        <v>-10722.375</v>
      </c>
      <c r="H2376" s="3">
        <f t="shared" si="283"/>
        <v>10722.375</v>
      </c>
      <c r="I2376" s="5" t="str">
        <f t="shared" si="284"/>
        <v>017</v>
      </c>
      <c r="J2376" s="5" t="str">
        <f t="shared" si="285"/>
        <v>2100</v>
      </c>
      <c r="K2376" s="5" t="str">
        <f t="shared" si="286"/>
        <v>000</v>
      </c>
      <c r="L2376" s="5">
        <f t="shared" si="287"/>
        <v>5</v>
      </c>
      <c r="M2376" s="5">
        <f t="shared" si="288"/>
        <v>2012</v>
      </c>
    </row>
    <row r="2377" spans="1:13" ht="17.45" customHeight="1" x14ac:dyDescent="0.25">
      <c r="A2377" s="1">
        <f>DATE(2012,5,19)</f>
        <v>41048</v>
      </c>
      <c r="B2377" t="s">
        <v>16</v>
      </c>
      <c r="C2377" t="s">
        <v>8</v>
      </c>
      <c r="D2377" s="3">
        <v>1531.5575000000001</v>
      </c>
      <c r="E2377" s="3">
        <v>0</v>
      </c>
      <c r="F2377" t="s">
        <v>45</v>
      </c>
      <c r="G2377" s="3">
        <f t="shared" si="282"/>
        <v>-1531.5575000000001</v>
      </c>
      <c r="H2377" s="3">
        <f t="shared" si="283"/>
        <v>1531.5575000000001</v>
      </c>
      <c r="I2377" s="5" t="str">
        <f t="shared" si="284"/>
        <v>017</v>
      </c>
      <c r="J2377" s="5" t="str">
        <f t="shared" si="285"/>
        <v>2210</v>
      </c>
      <c r="K2377" s="5" t="str">
        <f t="shared" si="286"/>
        <v>000</v>
      </c>
      <c r="L2377" s="5">
        <f t="shared" si="287"/>
        <v>5</v>
      </c>
      <c r="M2377" s="5">
        <f t="shared" si="288"/>
        <v>2012</v>
      </c>
    </row>
    <row r="2378" spans="1:13" ht="17.45" customHeight="1" x14ac:dyDescent="0.25">
      <c r="A2378" s="1">
        <f>DATE(2012,5,19)</f>
        <v>41048</v>
      </c>
      <c r="B2378" t="s">
        <v>17</v>
      </c>
      <c r="C2378" t="s">
        <v>9</v>
      </c>
      <c r="D2378" s="3">
        <v>329.27</v>
      </c>
      <c r="E2378" s="3">
        <v>0</v>
      </c>
      <c r="F2378" t="s">
        <v>45</v>
      </c>
      <c r="G2378" s="3">
        <f t="shared" si="282"/>
        <v>-329.27</v>
      </c>
      <c r="H2378" s="3">
        <f t="shared" si="283"/>
        <v>329.27</v>
      </c>
      <c r="I2378" s="5" t="str">
        <f t="shared" si="284"/>
        <v>017</v>
      </c>
      <c r="J2378" s="5" t="str">
        <f t="shared" si="285"/>
        <v>2220</v>
      </c>
      <c r="K2378" s="5" t="str">
        <f t="shared" si="286"/>
        <v>000</v>
      </c>
      <c r="L2378" s="5">
        <f t="shared" si="287"/>
        <v>5</v>
      </c>
      <c r="M2378" s="5">
        <f t="shared" si="288"/>
        <v>2012</v>
      </c>
    </row>
    <row r="2379" spans="1:13" ht="17.45" customHeight="1" x14ac:dyDescent="0.25">
      <c r="A2379" s="1">
        <f>DATE(2012,5,19)</f>
        <v>41048</v>
      </c>
      <c r="B2379" t="s">
        <v>18</v>
      </c>
      <c r="C2379" t="s">
        <v>10</v>
      </c>
      <c r="D2379" s="3">
        <v>79.981999999999999</v>
      </c>
      <c r="E2379" s="3">
        <v>0</v>
      </c>
      <c r="F2379" t="s">
        <v>45</v>
      </c>
      <c r="G2379" s="3">
        <f t="shared" si="282"/>
        <v>-79.981999999999999</v>
      </c>
      <c r="H2379" s="3">
        <f t="shared" si="283"/>
        <v>79.981999999999999</v>
      </c>
      <c r="I2379" s="5" t="str">
        <f t="shared" si="284"/>
        <v>017</v>
      </c>
      <c r="J2379" s="5" t="str">
        <f t="shared" si="285"/>
        <v>2230</v>
      </c>
      <c r="K2379" s="5" t="str">
        <f t="shared" si="286"/>
        <v>000</v>
      </c>
      <c r="L2379" s="5">
        <f t="shared" si="287"/>
        <v>5</v>
      </c>
      <c r="M2379" s="5">
        <f t="shared" si="288"/>
        <v>2012</v>
      </c>
    </row>
    <row r="2380" spans="1:13" ht="17.45" customHeight="1" x14ac:dyDescent="0.25">
      <c r="A2380" s="1">
        <f>DATE(2012,5,20)</f>
        <v>41049</v>
      </c>
      <c r="B2380" t="s">
        <v>15</v>
      </c>
      <c r="C2380" t="s">
        <v>6</v>
      </c>
      <c r="D2380" s="3">
        <v>6057.6470999999992</v>
      </c>
      <c r="E2380" s="3">
        <v>0</v>
      </c>
      <c r="F2380" t="s">
        <v>45</v>
      </c>
      <c r="G2380" s="3">
        <f t="shared" si="282"/>
        <v>-6057.6470999999992</v>
      </c>
      <c r="H2380" s="3">
        <f t="shared" si="283"/>
        <v>6057.6470999999992</v>
      </c>
      <c r="I2380" s="5" t="str">
        <f t="shared" si="284"/>
        <v>017</v>
      </c>
      <c r="J2380" s="5" t="str">
        <f t="shared" si="285"/>
        <v>2100</v>
      </c>
      <c r="K2380" s="5" t="str">
        <f t="shared" si="286"/>
        <v>000</v>
      </c>
      <c r="L2380" s="5">
        <f t="shared" si="287"/>
        <v>5</v>
      </c>
      <c r="M2380" s="5">
        <f t="shared" si="288"/>
        <v>2012</v>
      </c>
    </row>
    <row r="2381" spans="1:13" ht="17.45" customHeight="1" x14ac:dyDescent="0.25">
      <c r="A2381" s="1">
        <f>DATE(2012,5,20)</f>
        <v>41049</v>
      </c>
      <c r="B2381" t="s">
        <v>16</v>
      </c>
      <c r="C2381" t="s">
        <v>8</v>
      </c>
      <c r="D2381" s="3">
        <v>1366.442</v>
      </c>
      <c r="E2381" s="3">
        <v>0</v>
      </c>
      <c r="F2381" t="s">
        <v>45</v>
      </c>
      <c r="G2381" s="3">
        <f t="shared" si="282"/>
        <v>-1366.442</v>
      </c>
      <c r="H2381" s="3">
        <f t="shared" si="283"/>
        <v>1366.442</v>
      </c>
      <c r="I2381" s="5" t="str">
        <f t="shared" si="284"/>
        <v>017</v>
      </c>
      <c r="J2381" s="5" t="str">
        <f t="shared" si="285"/>
        <v>2210</v>
      </c>
      <c r="K2381" s="5" t="str">
        <f t="shared" si="286"/>
        <v>000</v>
      </c>
      <c r="L2381" s="5">
        <f t="shared" si="287"/>
        <v>5</v>
      </c>
      <c r="M2381" s="5">
        <f t="shared" si="288"/>
        <v>2012</v>
      </c>
    </row>
    <row r="2382" spans="1:13" ht="17.45" customHeight="1" x14ac:dyDescent="0.25">
      <c r="A2382" s="1">
        <f>DATE(2012,5,20)</f>
        <v>41049</v>
      </c>
      <c r="B2382" t="s">
        <v>17</v>
      </c>
      <c r="C2382" t="s">
        <v>9</v>
      </c>
      <c r="D2382" s="3">
        <v>245.245</v>
      </c>
      <c r="E2382" s="3">
        <v>0</v>
      </c>
      <c r="F2382" t="s">
        <v>45</v>
      </c>
      <c r="G2382" s="3">
        <f t="shared" si="282"/>
        <v>-245.245</v>
      </c>
      <c r="H2382" s="3">
        <f t="shared" si="283"/>
        <v>245.245</v>
      </c>
      <c r="I2382" s="5" t="str">
        <f t="shared" si="284"/>
        <v>017</v>
      </c>
      <c r="J2382" s="5" t="str">
        <f t="shared" si="285"/>
        <v>2220</v>
      </c>
      <c r="K2382" s="5" t="str">
        <f t="shared" si="286"/>
        <v>000</v>
      </c>
      <c r="L2382" s="5">
        <f t="shared" si="287"/>
        <v>5</v>
      </c>
      <c r="M2382" s="5">
        <f t="shared" si="288"/>
        <v>2012</v>
      </c>
    </row>
    <row r="2383" spans="1:13" ht="17.45" customHeight="1" x14ac:dyDescent="0.25">
      <c r="A2383" s="1">
        <f>DATE(2012,5,20)</f>
        <v>41049</v>
      </c>
      <c r="B2383" t="s">
        <v>18</v>
      </c>
      <c r="C2383" t="s">
        <v>10</v>
      </c>
      <c r="D2383" s="3">
        <v>53.13</v>
      </c>
      <c r="E2383" s="3">
        <v>0</v>
      </c>
      <c r="F2383" t="s">
        <v>45</v>
      </c>
      <c r="G2383" s="3">
        <f t="shared" si="282"/>
        <v>-53.13</v>
      </c>
      <c r="H2383" s="3">
        <f t="shared" si="283"/>
        <v>53.13</v>
      </c>
      <c r="I2383" s="5" t="str">
        <f t="shared" si="284"/>
        <v>017</v>
      </c>
      <c r="J2383" s="5" t="str">
        <f t="shared" si="285"/>
        <v>2230</v>
      </c>
      <c r="K2383" s="5" t="str">
        <f t="shared" si="286"/>
        <v>000</v>
      </c>
      <c r="L2383" s="5">
        <f t="shared" si="287"/>
        <v>5</v>
      </c>
      <c r="M2383" s="5">
        <f t="shared" si="288"/>
        <v>2012</v>
      </c>
    </row>
    <row r="2384" spans="1:13" ht="17.45" customHeight="1" x14ac:dyDescent="0.25">
      <c r="A2384" s="1">
        <f>DATE(2012,5,14)</f>
        <v>41043</v>
      </c>
      <c r="B2384" t="s">
        <v>19</v>
      </c>
      <c r="C2384" t="s">
        <v>6</v>
      </c>
      <c r="D2384" s="3">
        <v>4993.4250000000002</v>
      </c>
      <c r="E2384" s="3">
        <v>0</v>
      </c>
      <c r="F2384" t="s">
        <v>45</v>
      </c>
      <c r="G2384" s="3">
        <f t="shared" si="282"/>
        <v>-4993.4250000000002</v>
      </c>
      <c r="H2384" s="3">
        <f t="shared" si="283"/>
        <v>4993.4250000000002</v>
      </c>
      <c r="I2384" s="5" t="str">
        <f t="shared" si="284"/>
        <v>018</v>
      </c>
      <c r="J2384" s="5" t="str">
        <f t="shared" si="285"/>
        <v>2100</v>
      </c>
      <c r="K2384" s="5" t="str">
        <f t="shared" si="286"/>
        <v>000</v>
      </c>
      <c r="L2384" s="5">
        <f t="shared" si="287"/>
        <v>5</v>
      </c>
      <c r="M2384" s="5">
        <f t="shared" si="288"/>
        <v>2012</v>
      </c>
    </row>
    <row r="2385" spans="1:13" ht="17.45" customHeight="1" x14ac:dyDescent="0.25">
      <c r="A2385" s="1">
        <f>DATE(2012,5,14)</f>
        <v>41043</v>
      </c>
      <c r="B2385" t="s">
        <v>20</v>
      </c>
      <c r="C2385" t="s">
        <v>8</v>
      </c>
      <c r="D2385" s="3">
        <v>292.75799999999998</v>
      </c>
      <c r="E2385" s="3">
        <v>0</v>
      </c>
      <c r="F2385" t="s">
        <v>45</v>
      </c>
      <c r="G2385" s="3">
        <f t="shared" si="282"/>
        <v>-292.75799999999998</v>
      </c>
      <c r="H2385" s="3">
        <f t="shared" si="283"/>
        <v>292.75799999999998</v>
      </c>
      <c r="I2385" s="5" t="str">
        <f t="shared" si="284"/>
        <v>018</v>
      </c>
      <c r="J2385" s="5" t="str">
        <f t="shared" si="285"/>
        <v>2210</v>
      </c>
      <c r="K2385" s="5" t="str">
        <f t="shared" si="286"/>
        <v>000</v>
      </c>
      <c r="L2385" s="5">
        <f t="shared" si="287"/>
        <v>5</v>
      </c>
      <c r="M2385" s="5">
        <f t="shared" si="288"/>
        <v>2012</v>
      </c>
    </row>
    <row r="2386" spans="1:13" ht="17.45" customHeight="1" x14ac:dyDescent="0.25">
      <c r="A2386" s="1">
        <f>DATE(2012,5,14)</f>
        <v>41043</v>
      </c>
      <c r="B2386" t="s">
        <v>21</v>
      </c>
      <c r="C2386" t="s">
        <v>9</v>
      </c>
      <c r="D2386" s="3">
        <v>242.26800000000003</v>
      </c>
      <c r="E2386" s="3">
        <v>0</v>
      </c>
      <c r="F2386" t="s">
        <v>45</v>
      </c>
      <c r="G2386" s="3">
        <f t="shared" si="282"/>
        <v>-242.26800000000003</v>
      </c>
      <c r="H2386" s="3">
        <f t="shared" si="283"/>
        <v>242.26800000000003</v>
      </c>
      <c r="I2386" s="5" t="str">
        <f t="shared" si="284"/>
        <v>018</v>
      </c>
      <c r="J2386" s="5" t="str">
        <f t="shared" si="285"/>
        <v>2220</v>
      </c>
      <c r="K2386" s="5" t="str">
        <f t="shared" si="286"/>
        <v>000</v>
      </c>
      <c r="L2386" s="5">
        <f t="shared" si="287"/>
        <v>5</v>
      </c>
      <c r="M2386" s="5">
        <f t="shared" si="288"/>
        <v>2012</v>
      </c>
    </row>
    <row r="2387" spans="1:13" ht="17.45" customHeight="1" x14ac:dyDescent="0.25">
      <c r="A2387" s="1">
        <f>DATE(2012,5,14)</f>
        <v>41043</v>
      </c>
      <c r="B2387" t="s">
        <v>22</v>
      </c>
      <c r="C2387" t="s">
        <v>10</v>
      </c>
      <c r="D2387" s="3">
        <v>21.141999999999999</v>
      </c>
      <c r="E2387" s="3">
        <v>0</v>
      </c>
      <c r="F2387" t="s">
        <v>45</v>
      </c>
      <c r="G2387" s="3">
        <f t="shared" si="282"/>
        <v>-21.141999999999999</v>
      </c>
      <c r="H2387" s="3">
        <f t="shared" si="283"/>
        <v>21.141999999999999</v>
      </c>
      <c r="I2387" s="5" t="str">
        <f t="shared" si="284"/>
        <v>018</v>
      </c>
      <c r="J2387" s="5" t="str">
        <f t="shared" si="285"/>
        <v>2230</v>
      </c>
      <c r="K2387" s="5" t="str">
        <f t="shared" si="286"/>
        <v>000</v>
      </c>
      <c r="L2387" s="5">
        <f t="shared" si="287"/>
        <v>5</v>
      </c>
      <c r="M2387" s="5">
        <f t="shared" si="288"/>
        <v>2012</v>
      </c>
    </row>
    <row r="2388" spans="1:13" ht="17.45" customHeight="1" x14ac:dyDescent="0.25">
      <c r="A2388" s="1">
        <f>DATE(2012,5,15)</f>
        <v>41044</v>
      </c>
      <c r="B2388" t="s">
        <v>19</v>
      </c>
      <c r="C2388" t="s">
        <v>6</v>
      </c>
      <c r="D2388" s="3">
        <v>4410.7739999999994</v>
      </c>
      <c r="E2388" s="3">
        <v>0</v>
      </c>
      <c r="F2388" t="s">
        <v>45</v>
      </c>
      <c r="G2388" s="3">
        <f t="shared" si="282"/>
        <v>-4410.7739999999994</v>
      </c>
      <c r="H2388" s="3">
        <f t="shared" si="283"/>
        <v>4410.7739999999994</v>
      </c>
      <c r="I2388" s="5" t="str">
        <f t="shared" si="284"/>
        <v>018</v>
      </c>
      <c r="J2388" s="5" t="str">
        <f t="shared" si="285"/>
        <v>2100</v>
      </c>
      <c r="K2388" s="5" t="str">
        <f t="shared" si="286"/>
        <v>000</v>
      </c>
      <c r="L2388" s="5">
        <f t="shared" si="287"/>
        <v>5</v>
      </c>
      <c r="M2388" s="5">
        <f t="shared" si="288"/>
        <v>2012</v>
      </c>
    </row>
    <row r="2389" spans="1:13" ht="17.45" customHeight="1" x14ac:dyDescent="0.25">
      <c r="A2389" s="1">
        <f>DATE(2012,5,15)</f>
        <v>41044</v>
      </c>
      <c r="B2389" t="s">
        <v>20</v>
      </c>
      <c r="C2389" t="s">
        <v>8</v>
      </c>
      <c r="D2389" s="3">
        <v>697.40300000000013</v>
      </c>
      <c r="E2389" s="3">
        <v>0</v>
      </c>
      <c r="F2389" t="s">
        <v>45</v>
      </c>
      <c r="G2389" s="3">
        <f t="shared" si="282"/>
        <v>-697.40300000000013</v>
      </c>
      <c r="H2389" s="3">
        <f t="shared" si="283"/>
        <v>697.40300000000013</v>
      </c>
      <c r="I2389" s="5" t="str">
        <f t="shared" si="284"/>
        <v>018</v>
      </c>
      <c r="J2389" s="5" t="str">
        <f t="shared" si="285"/>
        <v>2210</v>
      </c>
      <c r="K2389" s="5" t="str">
        <f t="shared" si="286"/>
        <v>000</v>
      </c>
      <c r="L2389" s="5">
        <f t="shared" si="287"/>
        <v>5</v>
      </c>
      <c r="M2389" s="5">
        <f t="shared" si="288"/>
        <v>2012</v>
      </c>
    </row>
    <row r="2390" spans="1:13" ht="17.45" customHeight="1" x14ac:dyDescent="0.25">
      <c r="A2390" s="1">
        <f>DATE(2012,5,15)</f>
        <v>41044</v>
      </c>
      <c r="B2390" t="s">
        <v>21</v>
      </c>
      <c r="C2390" t="s">
        <v>9</v>
      </c>
      <c r="D2390" s="3">
        <v>145.52549999999999</v>
      </c>
      <c r="E2390" s="3">
        <v>0</v>
      </c>
      <c r="F2390" t="s">
        <v>45</v>
      </c>
      <c r="G2390" s="3">
        <f t="shared" si="282"/>
        <v>-145.52549999999999</v>
      </c>
      <c r="H2390" s="3">
        <f t="shared" si="283"/>
        <v>145.52549999999999</v>
      </c>
      <c r="I2390" s="5" t="str">
        <f t="shared" si="284"/>
        <v>018</v>
      </c>
      <c r="J2390" s="5" t="str">
        <f t="shared" si="285"/>
        <v>2220</v>
      </c>
      <c r="K2390" s="5" t="str">
        <f t="shared" si="286"/>
        <v>000</v>
      </c>
      <c r="L2390" s="5">
        <f t="shared" si="287"/>
        <v>5</v>
      </c>
      <c r="M2390" s="5">
        <f t="shared" si="288"/>
        <v>2012</v>
      </c>
    </row>
    <row r="2391" spans="1:13" ht="17.45" customHeight="1" x14ac:dyDescent="0.25">
      <c r="A2391" s="1">
        <f>DATE(2012,5,15)</f>
        <v>41044</v>
      </c>
      <c r="B2391" t="s">
        <v>22</v>
      </c>
      <c r="C2391" t="s">
        <v>10</v>
      </c>
      <c r="D2391" s="3">
        <v>49.802500000000002</v>
      </c>
      <c r="E2391" s="3">
        <v>0</v>
      </c>
      <c r="F2391" t="s">
        <v>45</v>
      </c>
      <c r="G2391" s="3">
        <f t="shared" si="282"/>
        <v>-49.802500000000002</v>
      </c>
      <c r="H2391" s="3">
        <f t="shared" si="283"/>
        <v>49.802500000000002</v>
      </c>
      <c r="I2391" s="5" t="str">
        <f t="shared" si="284"/>
        <v>018</v>
      </c>
      <c r="J2391" s="5" t="str">
        <f t="shared" si="285"/>
        <v>2230</v>
      </c>
      <c r="K2391" s="5" t="str">
        <f t="shared" si="286"/>
        <v>000</v>
      </c>
      <c r="L2391" s="5">
        <f t="shared" si="287"/>
        <v>5</v>
      </c>
      <c r="M2391" s="5">
        <f t="shared" si="288"/>
        <v>2012</v>
      </c>
    </row>
    <row r="2392" spans="1:13" ht="17.45" customHeight="1" x14ac:dyDescent="0.25">
      <c r="A2392" s="1">
        <f>DATE(2012,5,16)</f>
        <v>41045</v>
      </c>
      <c r="B2392" t="s">
        <v>19</v>
      </c>
      <c r="C2392" t="s">
        <v>6</v>
      </c>
      <c r="D2392" s="3">
        <v>4388.4592000000002</v>
      </c>
      <c r="E2392" s="3">
        <v>0</v>
      </c>
      <c r="F2392" t="s">
        <v>45</v>
      </c>
      <c r="G2392" s="3">
        <f t="shared" si="282"/>
        <v>-4388.4592000000002</v>
      </c>
      <c r="H2392" s="3">
        <f t="shared" si="283"/>
        <v>4388.4592000000002</v>
      </c>
      <c r="I2392" s="5" t="str">
        <f t="shared" si="284"/>
        <v>018</v>
      </c>
      <c r="J2392" s="5" t="str">
        <f t="shared" si="285"/>
        <v>2100</v>
      </c>
      <c r="K2392" s="5" t="str">
        <f t="shared" si="286"/>
        <v>000</v>
      </c>
      <c r="L2392" s="5">
        <f t="shared" si="287"/>
        <v>5</v>
      </c>
      <c r="M2392" s="5">
        <f t="shared" si="288"/>
        <v>2012</v>
      </c>
    </row>
    <row r="2393" spans="1:13" ht="17.45" customHeight="1" x14ac:dyDescent="0.25">
      <c r="A2393" s="1">
        <f>DATE(2012,5,16)</f>
        <v>41045</v>
      </c>
      <c r="B2393" t="s">
        <v>20</v>
      </c>
      <c r="C2393" t="s">
        <v>8</v>
      </c>
      <c r="D2393" s="3">
        <v>899.26049999999998</v>
      </c>
      <c r="E2393" s="3">
        <v>0</v>
      </c>
      <c r="F2393" t="s">
        <v>45</v>
      </c>
      <c r="G2393" s="3">
        <f t="shared" si="282"/>
        <v>-899.26049999999998</v>
      </c>
      <c r="H2393" s="3">
        <f t="shared" si="283"/>
        <v>899.26049999999998</v>
      </c>
      <c r="I2393" s="5" t="str">
        <f t="shared" si="284"/>
        <v>018</v>
      </c>
      <c r="J2393" s="5" t="str">
        <f t="shared" si="285"/>
        <v>2210</v>
      </c>
      <c r="K2393" s="5" t="str">
        <f t="shared" si="286"/>
        <v>000</v>
      </c>
      <c r="L2393" s="5">
        <f t="shared" si="287"/>
        <v>5</v>
      </c>
      <c r="M2393" s="5">
        <f t="shared" si="288"/>
        <v>2012</v>
      </c>
    </row>
    <row r="2394" spans="1:13" ht="17.45" customHeight="1" x14ac:dyDescent="0.25">
      <c r="A2394" s="1">
        <f>DATE(2012,5,16)</f>
        <v>41045</v>
      </c>
      <c r="B2394" t="s">
        <v>21</v>
      </c>
      <c r="C2394" t="s">
        <v>9</v>
      </c>
      <c r="D2394" s="3">
        <v>268.07599999999996</v>
      </c>
      <c r="E2394" s="3">
        <v>0</v>
      </c>
      <c r="F2394" t="s">
        <v>45</v>
      </c>
      <c r="G2394" s="3">
        <f t="shared" si="282"/>
        <v>-268.07599999999996</v>
      </c>
      <c r="H2394" s="3">
        <f t="shared" si="283"/>
        <v>268.07599999999996</v>
      </c>
      <c r="I2394" s="5" t="str">
        <f t="shared" si="284"/>
        <v>018</v>
      </c>
      <c r="J2394" s="5" t="str">
        <f t="shared" si="285"/>
        <v>2220</v>
      </c>
      <c r="K2394" s="5" t="str">
        <f t="shared" si="286"/>
        <v>000</v>
      </c>
      <c r="L2394" s="5">
        <f t="shared" si="287"/>
        <v>5</v>
      </c>
      <c r="M2394" s="5">
        <f t="shared" si="288"/>
        <v>2012</v>
      </c>
    </row>
    <row r="2395" spans="1:13" ht="17.45" customHeight="1" x14ac:dyDescent="0.25">
      <c r="A2395" s="1">
        <f>DATE(2012,5,16)</f>
        <v>41045</v>
      </c>
      <c r="B2395" t="s">
        <v>22</v>
      </c>
      <c r="C2395" t="s">
        <v>10</v>
      </c>
      <c r="D2395" s="3">
        <v>8.7779999999999987</v>
      </c>
      <c r="E2395" s="3">
        <v>0</v>
      </c>
      <c r="F2395" t="s">
        <v>45</v>
      </c>
      <c r="G2395" s="3">
        <f t="shared" si="282"/>
        <v>-8.7779999999999987</v>
      </c>
      <c r="H2395" s="3">
        <f t="shared" si="283"/>
        <v>8.7779999999999987</v>
      </c>
      <c r="I2395" s="5" t="str">
        <f t="shared" si="284"/>
        <v>018</v>
      </c>
      <c r="J2395" s="5" t="str">
        <f t="shared" si="285"/>
        <v>2230</v>
      </c>
      <c r="K2395" s="5" t="str">
        <f t="shared" si="286"/>
        <v>000</v>
      </c>
      <c r="L2395" s="5">
        <f t="shared" si="287"/>
        <v>5</v>
      </c>
      <c r="M2395" s="5">
        <f t="shared" si="288"/>
        <v>2012</v>
      </c>
    </row>
    <row r="2396" spans="1:13" ht="17.45" customHeight="1" x14ac:dyDescent="0.25">
      <c r="A2396" s="1">
        <f>DATE(2012,5,17)</f>
        <v>41046</v>
      </c>
      <c r="B2396" t="s">
        <v>19</v>
      </c>
      <c r="C2396" t="s">
        <v>6</v>
      </c>
      <c r="D2396" s="3">
        <v>5130.7709999999997</v>
      </c>
      <c r="E2396" s="3">
        <v>0</v>
      </c>
      <c r="F2396" t="s">
        <v>45</v>
      </c>
      <c r="G2396" s="3">
        <f t="shared" si="282"/>
        <v>-5130.7709999999997</v>
      </c>
      <c r="H2396" s="3">
        <f t="shared" si="283"/>
        <v>5130.7709999999997</v>
      </c>
      <c r="I2396" s="5" t="str">
        <f t="shared" si="284"/>
        <v>018</v>
      </c>
      <c r="J2396" s="5" t="str">
        <f t="shared" si="285"/>
        <v>2100</v>
      </c>
      <c r="K2396" s="5" t="str">
        <f t="shared" si="286"/>
        <v>000</v>
      </c>
      <c r="L2396" s="5">
        <f t="shared" si="287"/>
        <v>5</v>
      </c>
      <c r="M2396" s="5">
        <f t="shared" si="288"/>
        <v>2012</v>
      </c>
    </row>
    <row r="2397" spans="1:13" ht="17.45" customHeight="1" x14ac:dyDescent="0.25">
      <c r="A2397" s="1">
        <f>DATE(2012,5,17)</f>
        <v>41046</v>
      </c>
      <c r="B2397" t="s">
        <v>20</v>
      </c>
      <c r="C2397" t="s">
        <v>8</v>
      </c>
      <c r="D2397" s="3">
        <v>893.34</v>
      </c>
      <c r="E2397" s="3">
        <v>0</v>
      </c>
      <c r="F2397" t="s">
        <v>45</v>
      </c>
      <c r="G2397" s="3">
        <f t="shared" si="282"/>
        <v>-893.34</v>
      </c>
      <c r="H2397" s="3">
        <f t="shared" si="283"/>
        <v>893.34</v>
      </c>
      <c r="I2397" s="5" t="str">
        <f t="shared" si="284"/>
        <v>018</v>
      </c>
      <c r="J2397" s="5" t="str">
        <f t="shared" si="285"/>
        <v>2210</v>
      </c>
      <c r="K2397" s="5" t="str">
        <f t="shared" si="286"/>
        <v>000</v>
      </c>
      <c r="L2397" s="5">
        <f t="shared" si="287"/>
        <v>5</v>
      </c>
      <c r="M2397" s="5">
        <f t="shared" si="288"/>
        <v>2012</v>
      </c>
    </row>
    <row r="2398" spans="1:13" ht="17.45" customHeight="1" x14ac:dyDescent="0.25">
      <c r="A2398" s="1">
        <f>DATE(2012,5,17)</f>
        <v>41046</v>
      </c>
      <c r="B2398" t="s">
        <v>21</v>
      </c>
      <c r="C2398" t="s">
        <v>9</v>
      </c>
      <c r="D2398" s="3">
        <v>293.92999999999995</v>
      </c>
      <c r="E2398" s="3">
        <v>0</v>
      </c>
      <c r="F2398" t="s">
        <v>45</v>
      </c>
      <c r="G2398" s="3">
        <f t="shared" si="282"/>
        <v>-293.92999999999995</v>
      </c>
      <c r="H2398" s="3">
        <f t="shared" si="283"/>
        <v>293.92999999999995</v>
      </c>
      <c r="I2398" s="5" t="str">
        <f t="shared" si="284"/>
        <v>018</v>
      </c>
      <c r="J2398" s="5" t="str">
        <f t="shared" si="285"/>
        <v>2220</v>
      </c>
      <c r="K2398" s="5" t="str">
        <f t="shared" si="286"/>
        <v>000</v>
      </c>
      <c r="L2398" s="5">
        <f t="shared" si="287"/>
        <v>5</v>
      </c>
      <c r="M2398" s="5">
        <f t="shared" si="288"/>
        <v>2012</v>
      </c>
    </row>
    <row r="2399" spans="1:13" ht="17.45" customHeight="1" x14ac:dyDescent="0.25">
      <c r="A2399" s="1">
        <f>DATE(2012,5,17)</f>
        <v>41046</v>
      </c>
      <c r="B2399" t="s">
        <v>22</v>
      </c>
      <c r="C2399" t="s">
        <v>10</v>
      </c>
      <c r="D2399" s="3">
        <v>77.263999999999996</v>
      </c>
      <c r="E2399" s="3">
        <v>0</v>
      </c>
      <c r="F2399" t="s">
        <v>45</v>
      </c>
      <c r="G2399" s="3">
        <f t="shared" si="282"/>
        <v>-77.263999999999996</v>
      </c>
      <c r="H2399" s="3">
        <f t="shared" si="283"/>
        <v>77.263999999999996</v>
      </c>
      <c r="I2399" s="5" t="str">
        <f t="shared" si="284"/>
        <v>018</v>
      </c>
      <c r="J2399" s="5" t="str">
        <f t="shared" si="285"/>
        <v>2230</v>
      </c>
      <c r="K2399" s="5" t="str">
        <f t="shared" si="286"/>
        <v>000</v>
      </c>
      <c r="L2399" s="5">
        <f t="shared" si="287"/>
        <v>5</v>
      </c>
      <c r="M2399" s="5">
        <f t="shared" si="288"/>
        <v>2012</v>
      </c>
    </row>
    <row r="2400" spans="1:13" ht="17.45" customHeight="1" x14ac:dyDescent="0.25">
      <c r="A2400" s="1">
        <f>DATE(2012,5,18)</f>
        <v>41047</v>
      </c>
      <c r="B2400" t="s">
        <v>19</v>
      </c>
      <c r="C2400" t="s">
        <v>6</v>
      </c>
      <c r="D2400" s="3">
        <v>14000.9056</v>
      </c>
      <c r="E2400" s="3">
        <v>0</v>
      </c>
      <c r="F2400" t="s">
        <v>45</v>
      </c>
      <c r="G2400" s="3">
        <f t="shared" si="282"/>
        <v>-14000.9056</v>
      </c>
      <c r="H2400" s="3">
        <f t="shared" si="283"/>
        <v>14000.9056</v>
      </c>
      <c r="I2400" s="5" t="str">
        <f t="shared" si="284"/>
        <v>018</v>
      </c>
      <c r="J2400" s="5" t="str">
        <f t="shared" si="285"/>
        <v>2100</v>
      </c>
      <c r="K2400" s="5" t="str">
        <f t="shared" si="286"/>
        <v>000</v>
      </c>
      <c r="L2400" s="5">
        <f t="shared" si="287"/>
        <v>5</v>
      </c>
      <c r="M2400" s="5">
        <f t="shared" si="288"/>
        <v>2012</v>
      </c>
    </row>
    <row r="2401" spans="1:13" ht="17.45" customHeight="1" x14ac:dyDescent="0.25">
      <c r="A2401" s="1">
        <f>DATE(2012,5,18)</f>
        <v>41047</v>
      </c>
      <c r="B2401" t="s">
        <v>20</v>
      </c>
      <c r="C2401" t="s">
        <v>8</v>
      </c>
      <c r="D2401" s="3">
        <v>2161.8389999999995</v>
      </c>
      <c r="E2401" s="3">
        <v>0</v>
      </c>
      <c r="F2401" t="s">
        <v>45</v>
      </c>
      <c r="G2401" s="3">
        <f t="shared" si="282"/>
        <v>-2161.8389999999995</v>
      </c>
      <c r="H2401" s="3">
        <f t="shared" si="283"/>
        <v>2161.8389999999995</v>
      </c>
      <c r="I2401" s="5" t="str">
        <f t="shared" si="284"/>
        <v>018</v>
      </c>
      <c r="J2401" s="5" t="str">
        <f t="shared" si="285"/>
        <v>2210</v>
      </c>
      <c r="K2401" s="5" t="str">
        <f t="shared" si="286"/>
        <v>000</v>
      </c>
      <c r="L2401" s="5">
        <f t="shared" si="287"/>
        <v>5</v>
      </c>
      <c r="M2401" s="5">
        <f t="shared" si="288"/>
        <v>2012</v>
      </c>
    </row>
    <row r="2402" spans="1:13" ht="17.45" customHeight="1" x14ac:dyDescent="0.25">
      <c r="A2402" s="1">
        <f>DATE(2012,5,18)</f>
        <v>41047</v>
      </c>
      <c r="B2402" t="s">
        <v>21</v>
      </c>
      <c r="C2402" t="s">
        <v>9</v>
      </c>
      <c r="D2402" s="3">
        <v>747.48750000000007</v>
      </c>
      <c r="E2402" s="3">
        <v>0</v>
      </c>
      <c r="F2402" t="s">
        <v>45</v>
      </c>
      <c r="G2402" s="3">
        <f t="shared" si="282"/>
        <v>-747.48750000000007</v>
      </c>
      <c r="H2402" s="3">
        <f t="shared" si="283"/>
        <v>747.48750000000007</v>
      </c>
      <c r="I2402" s="5" t="str">
        <f t="shared" si="284"/>
        <v>018</v>
      </c>
      <c r="J2402" s="5" t="str">
        <f t="shared" si="285"/>
        <v>2220</v>
      </c>
      <c r="K2402" s="5" t="str">
        <f t="shared" si="286"/>
        <v>000</v>
      </c>
      <c r="L2402" s="5">
        <f t="shared" si="287"/>
        <v>5</v>
      </c>
      <c r="M2402" s="5">
        <f t="shared" si="288"/>
        <v>2012</v>
      </c>
    </row>
    <row r="2403" spans="1:13" ht="17.45" customHeight="1" x14ac:dyDescent="0.25">
      <c r="A2403" s="1">
        <f>DATE(2012,5,18)</f>
        <v>41047</v>
      </c>
      <c r="B2403" t="s">
        <v>22</v>
      </c>
      <c r="C2403" t="s">
        <v>10</v>
      </c>
      <c r="D2403" s="3">
        <v>79.915499999999994</v>
      </c>
      <c r="E2403" s="3">
        <v>0</v>
      </c>
      <c r="F2403" t="s">
        <v>45</v>
      </c>
      <c r="G2403" s="3">
        <f t="shared" si="282"/>
        <v>-79.915499999999994</v>
      </c>
      <c r="H2403" s="3">
        <f t="shared" si="283"/>
        <v>79.915499999999994</v>
      </c>
      <c r="I2403" s="5" t="str">
        <f t="shared" si="284"/>
        <v>018</v>
      </c>
      <c r="J2403" s="5" t="str">
        <f t="shared" si="285"/>
        <v>2230</v>
      </c>
      <c r="K2403" s="5" t="str">
        <f t="shared" si="286"/>
        <v>000</v>
      </c>
      <c r="L2403" s="5">
        <f t="shared" si="287"/>
        <v>5</v>
      </c>
      <c r="M2403" s="5">
        <f t="shared" si="288"/>
        <v>2012</v>
      </c>
    </row>
    <row r="2404" spans="1:13" ht="17.45" customHeight="1" x14ac:dyDescent="0.25">
      <c r="A2404" s="1">
        <f>DATE(2012,5,19)</f>
        <v>41048</v>
      </c>
      <c r="B2404" t="s">
        <v>19</v>
      </c>
      <c r="C2404" t="s">
        <v>6</v>
      </c>
      <c r="D2404" s="3">
        <v>14182.411500000002</v>
      </c>
      <c r="E2404" s="3">
        <v>0</v>
      </c>
      <c r="F2404" t="s">
        <v>45</v>
      </c>
      <c r="G2404" s="3">
        <f t="shared" si="282"/>
        <v>-14182.411500000002</v>
      </c>
      <c r="H2404" s="3">
        <f t="shared" si="283"/>
        <v>14182.411500000002</v>
      </c>
      <c r="I2404" s="5" t="str">
        <f t="shared" si="284"/>
        <v>018</v>
      </c>
      <c r="J2404" s="5" t="str">
        <f t="shared" si="285"/>
        <v>2100</v>
      </c>
      <c r="K2404" s="5" t="str">
        <f t="shared" si="286"/>
        <v>000</v>
      </c>
      <c r="L2404" s="5">
        <f t="shared" si="287"/>
        <v>5</v>
      </c>
      <c r="M2404" s="5">
        <f t="shared" si="288"/>
        <v>2012</v>
      </c>
    </row>
    <row r="2405" spans="1:13" ht="17.45" customHeight="1" x14ac:dyDescent="0.25">
      <c r="A2405" s="1">
        <f>DATE(2012,5,19)</f>
        <v>41048</v>
      </c>
      <c r="B2405" t="s">
        <v>20</v>
      </c>
      <c r="C2405" t="s">
        <v>8</v>
      </c>
      <c r="D2405" s="3">
        <v>3102.9300000000003</v>
      </c>
      <c r="E2405" s="3">
        <v>0</v>
      </c>
      <c r="F2405" t="s">
        <v>45</v>
      </c>
      <c r="G2405" s="3">
        <f t="shared" si="282"/>
        <v>-3102.9300000000003</v>
      </c>
      <c r="H2405" s="3">
        <f t="shared" si="283"/>
        <v>3102.9300000000003</v>
      </c>
      <c r="I2405" s="5" t="str">
        <f t="shared" si="284"/>
        <v>018</v>
      </c>
      <c r="J2405" s="5" t="str">
        <f t="shared" si="285"/>
        <v>2210</v>
      </c>
      <c r="K2405" s="5" t="str">
        <f t="shared" si="286"/>
        <v>000</v>
      </c>
      <c r="L2405" s="5">
        <f t="shared" si="287"/>
        <v>5</v>
      </c>
      <c r="M2405" s="5">
        <f t="shared" si="288"/>
        <v>2012</v>
      </c>
    </row>
    <row r="2406" spans="1:13" ht="17.45" customHeight="1" x14ac:dyDescent="0.25">
      <c r="A2406" s="1">
        <f>DATE(2012,5,19)</f>
        <v>41048</v>
      </c>
      <c r="B2406" t="s">
        <v>21</v>
      </c>
      <c r="C2406" t="s">
        <v>9</v>
      </c>
      <c r="D2406" s="3">
        <v>472.23000000000008</v>
      </c>
      <c r="E2406" s="3">
        <v>0</v>
      </c>
      <c r="F2406" t="s">
        <v>45</v>
      </c>
      <c r="G2406" s="3">
        <f t="shared" si="282"/>
        <v>-472.23000000000008</v>
      </c>
      <c r="H2406" s="3">
        <f t="shared" si="283"/>
        <v>472.23000000000008</v>
      </c>
      <c r="I2406" s="5" t="str">
        <f t="shared" si="284"/>
        <v>018</v>
      </c>
      <c r="J2406" s="5" t="str">
        <f t="shared" si="285"/>
        <v>2220</v>
      </c>
      <c r="K2406" s="5" t="str">
        <f t="shared" si="286"/>
        <v>000</v>
      </c>
      <c r="L2406" s="5">
        <f t="shared" si="287"/>
        <v>5</v>
      </c>
      <c r="M2406" s="5">
        <f t="shared" si="288"/>
        <v>2012</v>
      </c>
    </row>
    <row r="2407" spans="1:13" ht="17.45" customHeight="1" x14ac:dyDescent="0.25">
      <c r="A2407" s="1">
        <f>DATE(2012,5,19)</f>
        <v>41048</v>
      </c>
      <c r="B2407" t="s">
        <v>22</v>
      </c>
      <c r="C2407" t="s">
        <v>10</v>
      </c>
      <c r="D2407" s="3">
        <v>91.868000000000009</v>
      </c>
      <c r="E2407" s="3">
        <v>0</v>
      </c>
      <c r="F2407" t="s">
        <v>45</v>
      </c>
      <c r="G2407" s="3">
        <f t="shared" si="282"/>
        <v>-91.868000000000009</v>
      </c>
      <c r="H2407" s="3">
        <f t="shared" si="283"/>
        <v>91.868000000000009</v>
      </c>
      <c r="I2407" s="5" t="str">
        <f t="shared" si="284"/>
        <v>018</v>
      </c>
      <c r="J2407" s="5" t="str">
        <f t="shared" si="285"/>
        <v>2230</v>
      </c>
      <c r="K2407" s="5" t="str">
        <f t="shared" si="286"/>
        <v>000</v>
      </c>
      <c r="L2407" s="5">
        <f t="shared" si="287"/>
        <v>5</v>
      </c>
      <c r="M2407" s="5">
        <f t="shared" si="288"/>
        <v>2012</v>
      </c>
    </row>
    <row r="2408" spans="1:13" ht="17.45" customHeight="1" x14ac:dyDescent="0.25">
      <c r="A2408" s="1">
        <f>DATE(2012,5,20)</f>
        <v>41049</v>
      </c>
      <c r="B2408" t="s">
        <v>19</v>
      </c>
      <c r="C2408" t="s">
        <v>6</v>
      </c>
      <c r="D2408" s="3">
        <v>12089.404</v>
      </c>
      <c r="E2408" s="3">
        <v>0</v>
      </c>
      <c r="F2408" t="s">
        <v>45</v>
      </c>
      <c r="G2408" s="3">
        <f t="shared" si="282"/>
        <v>-12089.404</v>
      </c>
      <c r="H2408" s="3">
        <f t="shared" si="283"/>
        <v>12089.404</v>
      </c>
      <c r="I2408" s="5" t="str">
        <f t="shared" si="284"/>
        <v>018</v>
      </c>
      <c r="J2408" s="5" t="str">
        <f t="shared" si="285"/>
        <v>2100</v>
      </c>
      <c r="K2408" s="5" t="str">
        <f t="shared" si="286"/>
        <v>000</v>
      </c>
      <c r="L2408" s="5">
        <f t="shared" si="287"/>
        <v>5</v>
      </c>
      <c r="M2408" s="5">
        <f t="shared" si="288"/>
        <v>2012</v>
      </c>
    </row>
    <row r="2409" spans="1:13" ht="17.45" customHeight="1" x14ac:dyDescent="0.25">
      <c r="A2409" s="1">
        <f>DATE(2012,5,20)</f>
        <v>41049</v>
      </c>
      <c r="B2409" t="s">
        <v>20</v>
      </c>
      <c r="C2409" t="s">
        <v>8</v>
      </c>
      <c r="D2409" s="3">
        <v>1376.076</v>
      </c>
      <c r="E2409" s="3">
        <v>0</v>
      </c>
      <c r="F2409" t="s">
        <v>45</v>
      </c>
      <c r="G2409" s="3">
        <f t="shared" si="282"/>
        <v>-1376.076</v>
      </c>
      <c r="H2409" s="3">
        <f t="shared" si="283"/>
        <v>1376.076</v>
      </c>
      <c r="I2409" s="5" t="str">
        <f t="shared" si="284"/>
        <v>018</v>
      </c>
      <c r="J2409" s="5" t="str">
        <f t="shared" si="285"/>
        <v>2210</v>
      </c>
      <c r="K2409" s="5" t="str">
        <f t="shared" si="286"/>
        <v>000</v>
      </c>
      <c r="L2409" s="5">
        <f t="shared" si="287"/>
        <v>5</v>
      </c>
      <c r="M2409" s="5">
        <f t="shared" si="288"/>
        <v>2012</v>
      </c>
    </row>
    <row r="2410" spans="1:13" ht="17.45" customHeight="1" x14ac:dyDescent="0.25">
      <c r="A2410" s="1">
        <f>DATE(2012,5,20)</f>
        <v>41049</v>
      </c>
      <c r="B2410" t="s">
        <v>21</v>
      </c>
      <c r="C2410" t="s">
        <v>9</v>
      </c>
      <c r="D2410" s="3">
        <v>388.31400000000002</v>
      </c>
      <c r="E2410" s="3">
        <v>0</v>
      </c>
      <c r="F2410" t="s">
        <v>45</v>
      </c>
      <c r="G2410" s="3">
        <f t="shared" si="282"/>
        <v>-388.31400000000002</v>
      </c>
      <c r="H2410" s="3">
        <f t="shared" si="283"/>
        <v>388.31400000000002</v>
      </c>
      <c r="I2410" s="5" t="str">
        <f t="shared" si="284"/>
        <v>018</v>
      </c>
      <c r="J2410" s="5" t="str">
        <f t="shared" si="285"/>
        <v>2220</v>
      </c>
      <c r="K2410" s="5" t="str">
        <f t="shared" si="286"/>
        <v>000</v>
      </c>
      <c r="L2410" s="5">
        <f t="shared" si="287"/>
        <v>5</v>
      </c>
      <c r="M2410" s="5">
        <f t="shared" si="288"/>
        <v>2012</v>
      </c>
    </row>
    <row r="2411" spans="1:13" ht="17.45" customHeight="1" x14ac:dyDescent="0.25">
      <c r="A2411" s="1">
        <f>DATE(2012,5,20)</f>
        <v>41049</v>
      </c>
      <c r="B2411" t="s">
        <v>22</v>
      </c>
      <c r="C2411" t="s">
        <v>10</v>
      </c>
      <c r="D2411" s="3">
        <v>66.924000000000007</v>
      </c>
      <c r="E2411" s="3">
        <v>0</v>
      </c>
      <c r="F2411" t="s">
        <v>45</v>
      </c>
      <c r="G2411" s="3">
        <f t="shared" si="282"/>
        <v>-66.924000000000007</v>
      </c>
      <c r="H2411" s="3">
        <f t="shared" si="283"/>
        <v>66.924000000000007</v>
      </c>
      <c r="I2411" s="5" t="str">
        <f t="shared" si="284"/>
        <v>018</v>
      </c>
      <c r="J2411" s="5" t="str">
        <f t="shared" si="285"/>
        <v>2230</v>
      </c>
      <c r="K2411" s="5" t="str">
        <f t="shared" si="286"/>
        <v>000</v>
      </c>
      <c r="L2411" s="5">
        <f t="shared" si="287"/>
        <v>5</v>
      </c>
      <c r="M2411" s="5">
        <f t="shared" si="288"/>
        <v>2012</v>
      </c>
    </row>
    <row r="2412" spans="1:13" ht="17.45" customHeight="1" x14ac:dyDescent="0.25">
      <c r="A2412" s="1">
        <f>DATE(2012,5,21)</f>
        <v>41050</v>
      </c>
      <c r="B2412" t="s">
        <v>11</v>
      </c>
      <c r="C2412" t="s">
        <v>6</v>
      </c>
      <c r="D2412" s="3">
        <v>1548.1958000000002</v>
      </c>
      <c r="E2412" s="3">
        <v>0</v>
      </c>
      <c r="F2412" t="s">
        <v>45</v>
      </c>
      <c r="G2412" s="3">
        <f t="shared" si="282"/>
        <v>-1548.1958000000002</v>
      </c>
      <c r="H2412" s="3">
        <f t="shared" si="283"/>
        <v>1548.1958000000002</v>
      </c>
      <c r="I2412" s="5" t="str">
        <f t="shared" si="284"/>
        <v>016</v>
      </c>
      <c r="J2412" s="5" t="str">
        <f t="shared" si="285"/>
        <v>2100</v>
      </c>
      <c r="K2412" s="5" t="str">
        <f t="shared" si="286"/>
        <v>000</v>
      </c>
      <c r="L2412" s="5">
        <f t="shared" si="287"/>
        <v>5</v>
      </c>
      <c r="M2412" s="5">
        <f t="shared" si="288"/>
        <v>2012</v>
      </c>
    </row>
    <row r="2413" spans="1:13" ht="17.45" customHeight="1" x14ac:dyDescent="0.25">
      <c r="A2413" s="1">
        <f>DATE(2012,5,21)</f>
        <v>41050</v>
      </c>
      <c r="B2413" t="s">
        <v>12</v>
      </c>
      <c r="C2413" t="s">
        <v>8</v>
      </c>
      <c r="D2413" s="3">
        <v>651.16800000000001</v>
      </c>
      <c r="E2413" s="3">
        <v>0</v>
      </c>
      <c r="F2413" t="s">
        <v>45</v>
      </c>
      <c r="G2413" s="3">
        <f t="shared" si="282"/>
        <v>-651.16800000000001</v>
      </c>
      <c r="H2413" s="3">
        <f t="shared" si="283"/>
        <v>651.16800000000001</v>
      </c>
      <c r="I2413" s="5" t="str">
        <f t="shared" si="284"/>
        <v>016</v>
      </c>
      <c r="J2413" s="5" t="str">
        <f t="shared" si="285"/>
        <v>2210</v>
      </c>
      <c r="K2413" s="5" t="str">
        <f t="shared" si="286"/>
        <v>000</v>
      </c>
      <c r="L2413" s="5">
        <f t="shared" si="287"/>
        <v>5</v>
      </c>
      <c r="M2413" s="5">
        <f t="shared" si="288"/>
        <v>2012</v>
      </c>
    </row>
    <row r="2414" spans="1:13" ht="17.45" customHeight="1" x14ac:dyDescent="0.25">
      <c r="A2414" s="1">
        <f>DATE(2012,5,21)</f>
        <v>41050</v>
      </c>
      <c r="B2414" t="s">
        <v>13</v>
      </c>
      <c r="C2414" t="s">
        <v>9</v>
      </c>
      <c r="D2414" s="3">
        <v>119.28750000000001</v>
      </c>
      <c r="E2414" s="3">
        <v>0</v>
      </c>
      <c r="F2414" t="s">
        <v>45</v>
      </c>
      <c r="G2414" s="3">
        <f t="shared" si="282"/>
        <v>-119.28750000000001</v>
      </c>
      <c r="H2414" s="3">
        <f t="shared" si="283"/>
        <v>119.28750000000001</v>
      </c>
      <c r="I2414" s="5" t="str">
        <f t="shared" si="284"/>
        <v>016</v>
      </c>
      <c r="J2414" s="5" t="str">
        <f t="shared" si="285"/>
        <v>2220</v>
      </c>
      <c r="K2414" s="5" t="str">
        <f t="shared" si="286"/>
        <v>000</v>
      </c>
      <c r="L2414" s="5">
        <f t="shared" si="287"/>
        <v>5</v>
      </c>
      <c r="M2414" s="5">
        <f t="shared" si="288"/>
        <v>2012</v>
      </c>
    </row>
    <row r="2415" spans="1:13" ht="17.45" customHeight="1" x14ac:dyDescent="0.25">
      <c r="A2415" s="1">
        <f>DATE(2012,5,21)</f>
        <v>41050</v>
      </c>
      <c r="B2415" t="s">
        <v>14</v>
      </c>
      <c r="C2415" t="s">
        <v>10</v>
      </c>
      <c r="D2415" s="3">
        <v>85.618000000000009</v>
      </c>
      <c r="E2415" s="3">
        <v>0</v>
      </c>
      <c r="F2415" t="s">
        <v>45</v>
      </c>
      <c r="G2415" s="3">
        <f t="shared" si="282"/>
        <v>-85.618000000000009</v>
      </c>
      <c r="H2415" s="3">
        <f t="shared" si="283"/>
        <v>85.618000000000009</v>
      </c>
      <c r="I2415" s="5" t="str">
        <f t="shared" si="284"/>
        <v>016</v>
      </c>
      <c r="J2415" s="5" t="str">
        <f t="shared" si="285"/>
        <v>2230</v>
      </c>
      <c r="K2415" s="5" t="str">
        <f t="shared" si="286"/>
        <v>000</v>
      </c>
      <c r="L2415" s="5">
        <f t="shared" si="287"/>
        <v>5</v>
      </c>
      <c r="M2415" s="5">
        <f t="shared" si="288"/>
        <v>2012</v>
      </c>
    </row>
    <row r="2416" spans="1:13" ht="17.45" customHeight="1" x14ac:dyDescent="0.25">
      <c r="A2416" s="1">
        <f>DATE(2012,5,22)</f>
        <v>41051</v>
      </c>
      <c r="B2416" t="s">
        <v>11</v>
      </c>
      <c r="C2416" t="s">
        <v>6</v>
      </c>
      <c r="D2416" s="3">
        <v>3246.8669</v>
      </c>
      <c r="E2416" s="3">
        <v>0</v>
      </c>
      <c r="F2416" t="s">
        <v>45</v>
      </c>
      <c r="G2416" s="3">
        <f t="shared" si="282"/>
        <v>-3246.8669</v>
      </c>
      <c r="H2416" s="3">
        <f t="shared" si="283"/>
        <v>3246.8669</v>
      </c>
      <c r="I2416" s="5" t="str">
        <f t="shared" si="284"/>
        <v>016</v>
      </c>
      <c r="J2416" s="5" t="str">
        <f t="shared" si="285"/>
        <v>2100</v>
      </c>
      <c r="K2416" s="5" t="str">
        <f t="shared" si="286"/>
        <v>000</v>
      </c>
      <c r="L2416" s="5">
        <f t="shared" si="287"/>
        <v>5</v>
      </c>
      <c r="M2416" s="5">
        <f t="shared" si="288"/>
        <v>2012</v>
      </c>
    </row>
    <row r="2417" spans="1:13" ht="17.45" customHeight="1" x14ac:dyDescent="0.25">
      <c r="A2417" s="1">
        <f>DATE(2012,5,22)</f>
        <v>41051</v>
      </c>
      <c r="B2417" t="s">
        <v>12</v>
      </c>
      <c r="C2417" t="s">
        <v>8</v>
      </c>
      <c r="D2417" s="3">
        <v>1145.7207000000001</v>
      </c>
      <c r="E2417" s="3">
        <v>0</v>
      </c>
      <c r="F2417" t="s">
        <v>45</v>
      </c>
      <c r="G2417" s="3">
        <f t="shared" si="282"/>
        <v>-1145.7207000000001</v>
      </c>
      <c r="H2417" s="3">
        <f t="shared" si="283"/>
        <v>1145.7207000000001</v>
      </c>
      <c r="I2417" s="5" t="str">
        <f t="shared" si="284"/>
        <v>016</v>
      </c>
      <c r="J2417" s="5" t="str">
        <f t="shared" si="285"/>
        <v>2210</v>
      </c>
      <c r="K2417" s="5" t="str">
        <f t="shared" si="286"/>
        <v>000</v>
      </c>
      <c r="L2417" s="5">
        <f t="shared" si="287"/>
        <v>5</v>
      </c>
      <c r="M2417" s="5">
        <f t="shared" si="288"/>
        <v>2012</v>
      </c>
    </row>
    <row r="2418" spans="1:13" ht="17.45" customHeight="1" x14ac:dyDescent="0.25">
      <c r="A2418" s="1">
        <f>DATE(2012,5,22)</f>
        <v>41051</v>
      </c>
      <c r="B2418" t="s">
        <v>13</v>
      </c>
      <c r="C2418" t="s">
        <v>9</v>
      </c>
      <c r="D2418" s="3">
        <v>316.92949999999996</v>
      </c>
      <c r="E2418" s="3">
        <v>0</v>
      </c>
      <c r="F2418" t="s">
        <v>45</v>
      </c>
      <c r="G2418" s="3">
        <f t="shared" si="282"/>
        <v>-316.92949999999996</v>
      </c>
      <c r="H2418" s="3">
        <f t="shared" si="283"/>
        <v>316.92949999999996</v>
      </c>
      <c r="I2418" s="5" t="str">
        <f t="shared" si="284"/>
        <v>016</v>
      </c>
      <c r="J2418" s="5" t="str">
        <f t="shared" si="285"/>
        <v>2220</v>
      </c>
      <c r="K2418" s="5" t="str">
        <f t="shared" si="286"/>
        <v>000</v>
      </c>
      <c r="L2418" s="5">
        <f t="shared" si="287"/>
        <v>5</v>
      </c>
      <c r="M2418" s="5">
        <f t="shared" si="288"/>
        <v>2012</v>
      </c>
    </row>
    <row r="2419" spans="1:13" ht="17.45" customHeight="1" x14ac:dyDescent="0.25">
      <c r="A2419" s="1">
        <f>DATE(2012,5,22)</f>
        <v>41051</v>
      </c>
      <c r="B2419" t="s">
        <v>14</v>
      </c>
      <c r="C2419" t="s">
        <v>10</v>
      </c>
      <c r="D2419" s="3">
        <v>113.98799999999999</v>
      </c>
      <c r="E2419" s="3">
        <v>0</v>
      </c>
      <c r="F2419" t="s">
        <v>45</v>
      </c>
      <c r="G2419" s="3">
        <f t="shared" si="282"/>
        <v>-113.98799999999999</v>
      </c>
      <c r="H2419" s="3">
        <f t="shared" si="283"/>
        <v>113.98799999999999</v>
      </c>
      <c r="I2419" s="5" t="str">
        <f t="shared" si="284"/>
        <v>016</v>
      </c>
      <c r="J2419" s="5" t="str">
        <f t="shared" si="285"/>
        <v>2230</v>
      </c>
      <c r="K2419" s="5" t="str">
        <f t="shared" si="286"/>
        <v>000</v>
      </c>
      <c r="L2419" s="5">
        <f t="shared" si="287"/>
        <v>5</v>
      </c>
      <c r="M2419" s="5">
        <f t="shared" si="288"/>
        <v>2012</v>
      </c>
    </row>
    <row r="2420" spans="1:13" ht="17.45" customHeight="1" x14ac:dyDescent="0.25">
      <c r="A2420" s="1">
        <f>DATE(2012,5,23)</f>
        <v>41052</v>
      </c>
      <c r="B2420" t="s">
        <v>11</v>
      </c>
      <c r="C2420" t="s">
        <v>6</v>
      </c>
      <c r="D2420" s="3">
        <v>1890.5699999999997</v>
      </c>
      <c r="E2420" s="3">
        <v>0</v>
      </c>
      <c r="F2420" t="s">
        <v>45</v>
      </c>
      <c r="G2420" s="3">
        <f t="shared" si="282"/>
        <v>-1890.5699999999997</v>
      </c>
      <c r="H2420" s="3">
        <f t="shared" si="283"/>
        <v>1890.5699999999997</v>
      </c>
      <c r="I2420" s="5" t="str">
        <f t="shared" si="284"/>
        <v>016</v>
      </c>
      <c r="J2420" s="5" t="str">
        <f t="shared" si="285"/>
        <v>2100</v>
      </c>
      <c r="K2420" s="5" t="str">
        <f t="shared" si="286"/>
        <v>000</v>
      </c>
      <c r="L2420" s="5">
        <f t="shared" si="287"/>
        <v>5</v>
      </c>
      <c r="M2420" s="5">
        <f t="shared" si="288"/>
        <v>2012</v>
      </c>
    </row>
    <row r="2421" spans="1:13" ht="17.45" customHeight="1" x14ac:dyDescent="0.25">
      <c r="A2421" s="1">
        <f>DATE(2012,5,23)</f>
        <v>41052</v>
      </c>
      <c r="B2421" t="s">
        <v>12</v>
      </c>
      <c r="C2421" t="s">
        <v>8</v>
      </c>
      <c r="D2421" s="3">
        <v>443.70299999999997</v>
      </c>
      <c r="E2421" s="3">
        <v>0</v>
      </c>
      <c r="F2421" t="s">
        <v>45</v>
      </c>
      <c r="G2421" s="3">
        <f t="shared" si="282"/>
        <v>-443.70299999999997</v>
      </c>
      <c r="H2421" s="3">
        <f t="shared" si="283"/>
        <v>443.70299999999997</v>
      </c>
      <c r="I2421" s="5" t="str">
        <f t="shared" si="284"/>
        <v>016</v>
      </c>
      <c r="J2421" s="5" t="str">
        <f t="shared" si="285"/>
        <v>2210</v>
      </c>
      <c r="K2421" s="5" t="str">
        <f t="shared" si="286"/>
        <v>000</v>
      </c>
      <c r="L2421" s="5">
        <f t="shared" si="287"/>
        <v>5</v>
      </c>
      <c r="M2421" s="5">
        <f t="shared" si="288"/>
        <v>2012</v>
      </c>
    </row>
    <row r="2422" spans="1:13" ht="17.45" customHeight="1" x14ac:dyDescent="0.25">
      <c r="A2422" s="1">
        <f>DATE(2012,5,23)</f>
        <v>41052</v>
      </c>
      <c r="B2422" t="s">
        <v>13</v>
      </c>
      <c r="C2422" t="s">
        <v>9</v>
      </c>
      <c r="D2422" s="3">
        <v>188.44200000000001</v>
      </c>
      <c r="E2422" s="3">
        <v>0</v>
      </c>
      <c r="F2422" t="s">
        <v>45</v>
      </c>
      <c r="G2422" s="3">
        <f t="shared" si="282"/>
        <v>-188.44200000000001</v>
      </c>
      <c r="H2422" s="3">
        <f t="shared" si="283"/>
        <v>188.44200000000001</v>
      </c>
      <c r="I2422" s="5" t="str">
        <f t="shared" si="284"/>
        <v>016</v>
      </c>
      <c r="J2422" s="5" t="str">
        <f t="shared" si="285"/>
        <v>2220</v>
      </c>
      <c r="K2422" s="5" t="str">
        <f t="shared" si="286"/>
        <v>000</v>
      </c>
      <c r="L2422" s="5">
        <f t="shared" si="287"/>
        <v>5</v>
      </c>
      <c r="M2422" s="5">
        <f t="shared" si="288"/>
        <v>2012</v>
      </c>
    </row>
    <row r="2423" spans="1:13" ht="17.45" customHeight="1" x14ac:dyDescent="0.25">
      <c r="A2423" s="1">
        <f>DATE(2012,5,23)</f>
        <v>41052</v>
      </c>
      <c r="B2423" t="s">
        <v>14</v>
      </c>
      <c r="C2423" t="s">
        <v>10</v>
      </c>
      <c r="D2423" s="3">
        <v>94.481999999999999</v>
      </c>
      <c r="E2423" s="3">
        <v>0</v>
      </c>
      <c r="F2423" t="s">
        <v>45</v>
      </c>
      <c r="G2423" s="3">
        <f t="shared" si="282"/>
        <v>-94.481999999999999</v>
      </c>
      <c r="H2423" s="3">
        <f t="shared" si="283"/>
        <v>94.481999999999999</v>
      </c>
      <c r="I2423" s="5" t="str">
        <f t="shared" si="284"/>
        <v>016</v>
      </c>
      <c r="J2423" s="5" t="str">
        <f t="shared" si="285"/>
        <v>2230</v>
      </c>
      <c r="K2423" s="5" t="str">
        <f t="shared" si="286"/>
        <v>000</v>
      </c>
      <c r="L2423" s="5">
        <f t="shared" si="287"/>
        <v>5</v>
      </c>
      <c r="M2423" s="5">
        <f t="shared" si="288"/>
        <v>2012</v>
      </c>
    </row>
    <row r="2424" spans="1:13" ht="17.45" customHeight="1" x14ac:dyDescent="0.25">
      <c r="A2424" s="1">
        <f>DATE(2012,5,24)</f>
        <v>41053</v>
      </c>
      <c r="B2424" t="s">
        <v>11</v>
      </c>
      <c r="C2424" t="s">
        <v>6</v>
      </c>
      <c r="D2424" s="3">
        <v>3925.1523999999999</v>
      </c>
      <c r="E2424" s="3">
        <v>0</v>
      </c>
      <c r="F2424" t="s">
        <v>45</v>
      </c>
      <c r="G2424" s="3">
        <f t="shared" si="282"/>
        <v>-3925.1523999999999</v>
      </c>
      <c r="H2424" s="3">
        <f t="shared" si="283"/>
        <v>3925.1523999999999</v>
      </c>
      <c r="I2424" s="5" t="str">
        <f t="shared" si="284"/>
        <v>016</v>
      </c>
      <c r="J2424" s="5" t="str">
        <f t="shared" si="285"/>
        <v>2100</v>
      </c>
      <c r="K2424" s="5" t="str">
        <f t="shared" si="286"/>
        <v>000</v>
      </c>
      <c r="L2424" s="5">
        <f t="shared" si="287"/>
        <v>5</v>
      </c>
      <c r="M2424" s="5">
        <f t="shared" si="288"/>
        <v>2012</v>
      </c>
    </row>
    <row r="2425" spans="1:13" ht="17.45" customHeight="1" x14ac:dyDescent="0.25">
      <c r="A2425" s="1">
        <f>DATE(2012,5,24)</f>
        <v>41053</v>
      </c>
      <c r="B2425" t="s">
        <v>12</v>
      </c>
      <c r="C2425" t="s">
        <v>8</v>
      </c>
      <c r="D2425" s="3">
        <v>1032.548</v>
      </c>
      <c r="E2425" s="3">
        <v>0</v>
      </c>
      <c r="F2425" t="s">
        <v>45</v>
      </c>
      <c r="G2425" s="3">
        <f t="shared" si="282"/>
        <v>-1032.548</v>
      </c>
      <c r="H2425" s="3">
        <f t="shared" si="283"/>
        <v>1032.548</v>
      </c>
      <c r="I2425" s="5" t="str">
        <f t="shared" si="284"/>
        <v>016</v>
      </c>
      <c r="J2425" s="5" t="str">
        <f t="shared" si="285"/>
        <v>2210</v>
      </c>
      <c r="K2425" s="5" t="str">
        <f t="shared" si="286"/>
        <v>000</v>
      </c>
      <c r="L2425" s="5">
        <f t="shared" si="287"/>
        <v>5</v>
      </c>
      <c r="M2425" s="5">
        <f t="shared" si="288"/>
        <v>2012</v>
      </c>
    </row>
    <row r="2426" spans="1:13" ht="17.45" customHeight="1" x14ac:dyDescent="0.25">
      <c r="A2426" s="1">
        <f>DATE(2012,5,24)</f>
        <v>41053</v>
      </c>
      <c r="B2426" t="s">
        <v>13</v>
      </c>
      <c r="C2426" t="s">
        <v>9</v>
      </c>
      <c r="D2426" s="3">
        <v>282.42399999999998</v>
      </c>
      <c r="E2426" s="3">
        <v>0</v>
      </c>
      <c r="F2426" t="s">
        <v>45</v>
      </c>
      <c r="G2426" s="3">
        <f t="shared" si="282"/>
        <v>-282.42399999999998</v>
      </c>
      <c r="H2426" s="3">
        <f t="shared" si="283"/>
        <v>282.42399999999998</v>
      </c>
      <c r="I2426" s="5" t="str">
        <f t="shared" si="284"/>
        <v>016</v>
      </c>
      <c r="J2426" s="5" t="str">
        <f t="shared" si="285"/>
        <v>2220</v>
      </c>
      <c r="K2426" s="5" t="str">
        <f t="shared" si="286"/>
        <v>000</v>
      </c>
      <c r="L2426" s="5">
        <f t="shared" si="287"/>
        <v>5</v>
      </c>
      <c r="M2426" s="5">
        <f t="shared" si="288"/>
        <v>2012</v>
      </c>
    </row>
    <row r="2427" spans="1:13" ht="17.45" customHeight="1" x14ac:dyDescent="0.25">
      <c r="A2427" s="1">
        <f>DATE(2012,5,24)</f>
        <v>41053</v>
      </c>
      <c r="B2427" t="s">
        <v>14</v>
      </c>
      <c r="C2427" t="s">
        <v>10</v>
      </c>
      <c r="D2427" s="3">
        <v>143.685</v>
      </c>
      <c r="E2427" s="3">
        <v>0</v>
      </c>
      <c r="F2427" t="s">
        <v>45</v>
      </c>
      <c r="G2427" s="3">
        <f t="shared" si="282"/>
        <v>-143.685</v>
      </c>
      <c r="H2427" s="3">
        <f t="shared" si="283"/>
        <v>143.685</v>
      </c>
      <c r="I2427" s="5" t="str">
        <f t="shared" si="284"/>
        <v>016</v>
      </c>
      <c r="J2427" s="5" t="str">
        <f t="shared" si="285"/>
        <v>2230</v>
      </c>
      <c r="K2427" s="5" t="str">
        <f t="shared" si="286"/>
        <v>000</v>
      </c>
      <c r="L2427" s="5">
        <f t="shared" si="287"/>
        <v>5</v>
      </c>
      <c r="M2427" s="5">
        <f t="shared" si="288"/>
        <v>2012</v>
      </c>
    </row>
    <row r="2428" spans="1:13" ht="17.45" customHeight="1" x14ac:dyDescent="0.25">
      <c r="A2428" s="1">
        <f>DATE(2012,5,25)</f>
        <v>41054</v>
      </c>
      <c r="B2428" t="s">
        <v>11</v>
      </c>
      <c r="C2428" t="s">
        <v>6</v>
      </c>
      <c r="D2428" s="3">
        <v>5968.6859999999997</v>
      </c>
      <c r="E2428" s="3">
        <v>0</v>
      </c>
      <c r="F2428" t="s">
        <v>45</v>
      </c>
      <c r="G2428" s="3">
        <f t="shared" si="282"/>
        <v>-5968.6859999999997</v>
      </c>
      <c r="H2428" s="3">
        <f t="shared" si="283"/>
        <v>5968.6859999999997</v>
      </c>
      <c r="I2428" s="5" t="str">
        <f t="shared" si="284"/>
        <v>016</v>
      </c>
      <c r="J2428" s="5" t="str">
        <f t="shared" si="285"/>
        <v>2100</v>
      </c>
      <c r="K2428" s="5" t="str">
        <f t="shared" si="286"/>
        <v>000</v>
      </c>
      <c r="L2428" s="5">
        <f t="shared" si="287"/>
        <v>5</v>
      </c>
      <c r="M2428" s="5">
        <f t="shared" si="288"/>
        <v>2012</v>
      </c>
    </row>
    <row r="2429" spans="1:13" ht="17.45" customHeight="1" x14ac:dyDescent="0.25">
      <c r="A2429" s="1">
        <f>DATE(2012,5,25)</f>
        <v>41054</v>
      </c>
      <c r="B2429" t="s">
        <v>12</v>
      </c>
      <c r="C2429" t="s">
        <v>8</v>
      </c>
      <c r="D2429" s="3">
        <v>1891.2995000000003</v>
      </c>
      <c r="E2429" s="3">
        <v>0</v>
      </c>
      <c r="F2429" t="s">
        <v>45</v>
      </c>
      <c r="G2429" s="3">
        <f t="shared" si="282"/>
        <v>-1891.2995000000003</v>
      </c>
      <c r="H2429" s="3">
        <f t="shared" si="283"/>
        <v>1891.2995000000003</v>
      </c>
      <c r="I2429" s="5" t="str">
        <f t="shared" si="284"/>
        <v>016</v>
      </c>
      <c r="J2429" s="5" t="str">
        <f t="shared" si="285"/>
        <v>2210</v>
      </c>
      <c r="K2429" s="5" t="str">
        <f t="shared" si="286"/>
        <v>000</v>
      </c>
      <c r="L2429" s="5">
        <f t="shared" si="287"/>
        <v>5</v>
      </c>
      <c r="M2429" s="5">
        <f t="shared" si="288"/>
        <v>2012</v>
      </c>
    </row>
    <row r="2430" spans="1:13" ht="17.45" customHeight="1" x14ac:dyDescent="0.25">
      <c r="A2430" s="1">
        <f>DATE(2012,5,25)</f>
        <v>41054</v>
      </c>
      <c r="B2430" t="s">
        <v>13</v>
      </c>
      <c r="C2430" t="s">
        <v>9</v>
      </c>
      <c r="D2430" s="3">
        <v>474.12400000000002</v>
      </c>
      <c r="E2430" s="3">
        <v>0</v>
      </c>
      <c r="F2430" t="s">
        <v>45</v>
      </c>
      <c r="G2430" s="3">
        <f t="shared" si="282"/>
        <v>-474.12400000000002</v>
      </c>
      <c r="H2430" s="3">
        <f t="shared" si="283"/>
        <v>474.12400000000002</v>
      </c>
      <c r="I2430" s="5" t="str">
        <f t="shared" si="284"/>
        <v>016</v>
      </c>
      <c r="J2430" s="5" t="str">
        <f t="shared" si="285"/>
        <v>2220</v>
      </c>
      <c r="K2430" s="5" t="str">
        <f t="shared" si="286"/>
        <v>000</v>
      </c>
      <c r="L2430" s="5">
        <f t="shared" si="287"/>
        <v>5</v>
      </c>
      <c r="M2430" s="5">
        <f t="shared" si="288"/>
        <v>2012</v>
      </c>
    </row>
    <row r="2431" spans="1:13" ht="17.45" customHeight="1" x14ac:dyDescent="0.25">
      <c r="A2431" s="1">
        <f>DATE(2012,5,25)</f>
        <v>41054</v>
      </c>
      <c r="B2431" t="s">
        <v>14</v>
      </c>
      <c r="C2431" t="s">
        <v>10</v>
      </c>
      <c r="D2431" s="3">
        <v>122.93100000000001</v>
      </c>
      <c r="E2431" s="3">
        <v>0</v>
      </c>
      <c r="F2431" t="s">
        <v>45</v>
      </c>
      <c r="G2431" s="3">
        <f t="shared" si="282"/>
        <v>-122.93100000000001</v>
      </c>
      <c r="H2431" s="3">
        <f t="shared" si="283"/>
        <v>122.93100000000001</v>
      </c>
      <c r="I2431" s="5" t="str">
        <f t="shared" si="284"/>
        <v>016</v>
      </c>
      <c r="J2431" s="5" t="str">
        <f t="shared" si="285"/>
        <v>2230</v>
      </c>
      <c r="K2431" s="5" t="str">
        <f t="shared" si="286"/>
        <v>000</v>
      </c>
      <c r="L2431" s="5">
        <f t="shared" si="287"/>
        <v>5</v>
      </c>
      <c r="M2431" s="5">
        <f t="shared" si="288"/>
        <v>2012</v>
      </c>
    </row>
    <row r="2432" spans="1:13" ht="17.45" customHeight="1" x14ac:dyDescent="0.25">
      <c r="A2432" s="1">
        <f>DATE(2012,5,26)</f>
        <v>41055</v>
      </c>
      <c r="B2432" t="s">
        <v>11</v>
      </c>
      <c r="C2432" t="s">
        <v>6</v>
      </c>
      <c r="D2432" s="3">
        <v>6325.5940000000001</v>
      </c>
      <c r="E2432" s="3">
        <v>0</v>
      </c>
      <c r="F2432" t="s">
        <v>45</v>
      </c>
      <c r="G2432" s="3">
        <f t="shared" si="282"/>
        <v>-6325.5940000000001</v>
      </c>
      <c r="H2432" s="3">
        <f t="shared" si="283"/>
        <v>6325.5940000000001</v>
      </c>
      <c r="I2432" s="5" t="str">
        <f t="shared" si="284"/>
        <v>016</v>
      </c>
      <c r="J2432" s="5" t="str">
        <f t="shared" si="285"/>
        <v>2100</v>
      </c>
      <c r="K2432" s="5" t="str">
        <f t="shared" si="286"/>
        <v>000</v>
      </c>
      <c r="L2432" s="5">
        <f t="shared" si="287"/>
        <v>5</v>
      </c>
      <c r="M2432" s="5">
        <f t="shared" si="288"/>
        <v>2012</v>
      </c>
    </row>
    <row r="2433" spans="1:13" ht="17.45" customHeight="1" x14ac:dyDescent="0.25">
      <c r="A2433" s="1">
        <f>DATE(2012,5,26)</f>
        <v>41055</v>
      </c>
      <c r="B2433" t="s">
        <v>12</v>
      </c>
      <c r="C2433" t="s">
        <v>8</v>
      </c>
      <c r="D2433" s="3">
        <v>2732.3865000000005</v>
      </c>
      <c r="E2433" s="3">
        <v>0</v>
      </c>
      <c r="F2433" t="s">
        <v>45</v>
      </c>
      <c r="G2433" s="3">
        <f t="shared" si="282"/>
        <v>-2732.3865000000005</v>
      </c>
      <c r="H2433" s="3">
        <f t="shared" si="283"/>
        <v>2732.3865000000005</v>
      </c>
      <c r="I2433" s="5" t="str">
        <f t="shared" si="284"/>
        <v>016</v>
      </c>
      <c r="J2433" s="5" t="str">
        <f t="shared" si="285"/>
        <v>2210</v>
      </c>
      <c r="K2433" s="5" t="str">
        <f t="shared" si="286"/>
        <v>000</v>
      </c>
      <c r="L2433" s="5">
        <f t="shared" si="287"/>
        <v>5</v>
      </c>
      <c r="M2433" s="5">
        <f t="shared" si="288"/>
        <v>2012</v>
      </c>
    </row>
    <row r="2434" spans="1:13" ht="17.45" customHeight="1" x14ac:dyDescent="0.25">
      <c r="A2434" s="1">
        <f>DATE(2012,5,26)</f>
        <v>41055</v>
      </c>
      <c r="B2434" t="s">
        <v>13</v>
      </c>
      <c r="C2434" t="s">
        <v>9</v>
      </c>
      <c r="D2434" s="3">
        <v>298.67099999999999</v>
      </c>
      <c r="E2434" s="3">
        <v>0</v>
      </c>
      <c r="F2434" t="s">
        <v>45</v>
      </c>
      <c r="G2434" s="3">
        <f t="shared" ref="G2434:G2497" si="289">E2434-D2434</f>
        <v>-298.67099999999999</v>
      </c>
      <c r="H2434" s="3">
        <f t="shared" ref="H2434:H2497" si="290">ABS(G2434)</f>
        <v>298.67099999999999</v>
      </c>
      <c r="I2434" s="5" t="str">
        <f t="shared" ref="I2434:I2497" si="291">MID(B2434,1,3)</f>
        <v>016</v>
      </c>
      <c r="J2434" s="5" t="str">
        <f t="shared" ref="J2434:J2497" si="292">MID(B2434,5,4)</f>
        <v>2220</v>
      </c>
      <c r="K2434" s="5" t="str">
        <f t="shared" ref="K2434:K2497" si="293">MID(B2434,10,3)</f>
        <v>000</v>
      </c>
      <c r="L2434" s="5">
        <f t="shared" ref="L2434:L2497" si="294">MONTH(A2434)</f>
        <v>5</v>
      </c>
      <c r="M2434" s="5">
        <f t="shared" ref="M2434:M2497" si="295">YEAR(A2434)</f>
        <v>2012</v>
      </c>
    </row>
    <row r="2435" spans="1:13" ht="17.45" customHeight="1" x14ac:dyDescent="0.25">
      <c r="A2435" s="1">
        <f>DATE(2012,5,26)</f>
        <v>41055</v>
      </c>
      <c r="B2435" t="s">
        <v>14</v>
      </c>
      <c r="C2435" t="s">
        <v>10</v>
      </c>
      <c r="D2435" s="3">
        <v>191.8545</v>
      </c>
      <c r="E2435" s="3">
        <v>0</v>
      </c>
      <c r="F2435" t="s">
        <v>45</v>
      </c>
      <c r="G2435" s="3">
        <f t="shared" si="289"/>
        <v>-191.8545</v>
      </c>
      <c r="H2435" s="3">
        <f t="shared" si="290"/>
        <v>191.8545</v>
      </c>
      <c r="I2435" s="5" t="str">
        <f t="shared" si="291"/>
        <v>016</v>
      </c>
      <c r="J2435" s="5" t="str">
        <f t="shared" si="292"/>
        <v>2230</v>
      </c>
      <c r="K2435" s="5" t="str">
        <f t="shared" si="293"/>
        <v>000</v>
      </c>
      <c r="L2435" s="5">
        <f t="shared" si="294"/>
        <v>5</v>
      </c>
      <c r="M2435" s="5">
        <f t="shared" si="295"/>
        <v>2012</v>
      </c>
    </row>
    <row r="2436" spans="1:13" ht="17.45" customHeight="1" x14ac:dyDescent="0.25">
      <c r="A2436" s="1">
        <f>DATE(2012,5,27)</f>
        <v>41056</v>
      </c>
      <c r="B2436" t="s">
        <v>11</v>
      </c>
      <c r="C2436" t="s">
        <v>6</v>
      </c>
      <c r="D2436" s="3">
        <v>8295.3639999999996</v>
      </c>
      <c r="E2436" s="3">
        <v>0</v>
      </c>
      <c r="F2436" t="s">
        <v>45</v>
      </c>
      <c r="G2436" s="3">
        <f t="shared" si="289"/>
        <v>-8295.3639999999996</v>
      </c>
      <c r="H2436" s="3">
        <f t="shared" si="290"/>
        <v>8295.3639999999996</v>
      </c>
      <c r="I2436" s="5" t="str">
        <f t="shared" si="291"/>
        <v>016</v>
      </c>
      <c r="J2436" s="5" t="str">
        <f t="shared" si="292"/>
        <v>2100</v>
      </c>
      <c r="K2436" s="5" t="str">
        <f t="shared" si="293"/>
        <v>000</v>
      </c>
      <c r="L2436" s="5">
        <f t="shared" si="294"/>
        <v>5</v>
      </c>
      <c r="M2436" s="5">
        <f t="shared" si="295"/>
        <v>2012</v>
      </c>
    </row>
    <row r="2437" spans="1:13" ht="17.45" customHeight="1" x14ac:dyDescent="0.25">
      <c r="A2437" s="1">
        <f>DATE(2012,5,27)</f>
        <v>41056</v>
      </c>
      <c r="B2437" t="s">
        <v>12</v>
      </c>
      <c r="C2437" t="s">
        <v>8</v>
      </c>
      <c r="D2437" s="3">
        <v>2132.5576000000001</v>
      </c>
      <c r="E2437" s="3">
        <v>0</v>
      </c>
      <c r="F2437" t="s">
        <v>45</v>
      </c>
      <c r="G2437" s="3">
        <f t="shared" si="289"/>
        <v>-2132.5576000000001</v>
      </c>
      <c r="H2437" s="3">
        <f t="shared" si="290"/>
        <v>2132.5576000000001</v>
      </c>
      <c r="I2437" s="5" t="str">
        <f t="shared" si="291"/>
        <v>016</v>
      </c>
      <c r="J2437" s="5" t="str">
        <f t="shared" si="292"/>
        <v>2210</v>
      </c>
      <c r="K2437" s="5" t="str">
        <f t="shared" si="293"/>
        <v>000</v>
      </c>
      <c r="L2437" s="5">
        <f t="shared" si="294"/>
        <v>5</v>
      </c>
      <c r="M2437" s="5">
        <f t="shared" si="295"/>
        <v>2012</v>
      </c>
    </row>
    <row r="2438" spans="1:13" ht="17.45" customHeight="1" x14ac:dyDescent="0.25">
      <c r="A2438" s="1">
        <f>DATE(2012,5,27)</f>
        <v>41056</v>
      </c>
      <c r="B2438" t="s">
        <v>13</v>
      </c>
      <c r="C2438" t="s">
        <v>9</v>
      </c>
      <c r="D2438" s="3">
        <v>426.834</v>
      </c>
      <c r="E2438" s="3">
        <v>0</v>
      </c>
      <c r="F2438" t="s">
        <v>45</v>
      </c>
      <c r="G2438" s="3">
        <f t="shared" si="289"/>
        <v>-426.834</v>
      </c>
      <c r="H2438" s="3">
        <f t="shared" si="290"/>
        <v>426.834</v>
      </c>
      <c r="I2438" s="5" t="str">
        <f t="shared" si="291"/>
        <v>016</v>
      </c>
      <c r="J2438" s="5" t="str">
        <f t="shared" si="292"/>
        <v>2220</v>
      </c>
      <c r="K2438" s="5" t="str">
        <f t="shared" si="293"/>
        <v>000</v>
      </c>
      <c r="L2438" s="5">
        <f t="shared" si="294"/>
        <v>5</v>
      </c>
      <c r="M2438" s="5">
        <f t="shared" si="295"/>
        <v>2012</v>
      </c>
    </row>
    <row r="2439" spans="1:13" ht="17.45" customHeight="1" x14ac:dyDescent="0.25">
      <c r="A2439" s="1">
        <f>DATE(2012,5,27)</f>
        <v>41056</v>
      </c>
      <c r="B2439" t="s">
        <v>14</v>
      </c>
      <c r="C2439" t="s">
        <v>10</v>
      </c>
      <c r="D2439" s="3">
        <v>139.98600000000002</v>
      </c>
      <c r="E2439" s="3">
        <v>0</v>
      </c>
      <c r="F2439" t="s">
        <v>45</v>
      </c>
      <c r="G2439" s="3">
        <f t="shared" si="289"/>
        <v>-139.98600000000002</v>
      </c>
      <c r="H2439" s="3">
        <f t="shared" si="290"/>
        <v>139.98600000000002</v>
      </c>
      <c r="I2439" s="5" t="str">
        <f t="shared" si="291"/>
        <v>016</v>
      </c>
      <c r="J2439" s="5" t="str">
        <f t="shared" si="292"/>
        <v>2230</v>
      </c>
      <c r="K2439" s="5" t="str">
        <f t="shared" si="293"/>
        <v>000</v>
      </c>
      <c r="L2439" s="5">
        <f t="shared" si="294"/>
        <v>5</v>
      </c>
      <c r="M2439" s="5">
        <f t="shared" si="295"/>
        <v>2012</v>
      </c>
    </row>
    <row r="2440" spans="1:13" ht="17.45" customHeight="1" x14ac:dyDescent="0.25">
      <c r="A2440" s="1">
        <f>DATE(2012,5,21)</f>
        <v>41050</v>
      </c>
      <c r="B2440" t="s">
        <v>15</v>
      </c>
      <c r="C2440" t="s">
        <v>6</v>
      </c>
      <c r="D2440" s="3">
        <v>4609.201</v>
      </c>
      <c r="E2440" s="3">
        <v>0</v>
      </c>
      <c r="F2440" t="s">
        <v>45</v>
      </c>
      <c r="G2440" s="3">
        <f t="shared" si="289"/>
        <v>-4609.201</v>
      </c>
      <c r="H2440" s="3">
        <f t="shared" si="290"/>
        <v>4609.201</v>
      </c>
      <c r="I2440" s="5" t="str">
        <f t="shared" si="291"/>
        <v>017</v>
      </c>
      <c r="J2440" s="5" t="str">
        <f t="shared" si="292"/>
        <v>2100</v>
      </c>
      <c r="K2440" s="5" t="str">
        <f t="shared" si="293"/>
        <v>000</v>
      </c>
      <c r="L2440" s="5">
        <f t="shared" si="294"/>
        <v>5</v>
      </c>
      <c r="M2440" s="5">
        <f t="shared" si="295"/>
        <v>2012</v>
      </c>
    </row>
    <row r="2441" spans="1:13" ht="17.45" customHeight="1" x14ac:dyDescent="0.25">
      <c r="A2441" s="1">
        <f>DATE(2012,5,21)</f>
        <v>41050</v>
      </c>
      <c r="B2441" t="s">
        <v>16</v>
      </c>
      <c r="C2441" t="s">
        <v>8</v>
      </c>
      <c r="D2441" s="3">
        <v>1148.6299999999999</v>
      </c>
      <c r="E2441" s="3">
        <v>0</v>
      </c>
      <c r="F2441" t="s">
        <v>45</v>
      </c>
      <c r="G2441" s="3">
        <f t="shared" si="289"/>
        <v>-1148.6299999999999</v>
      </c>
      <c r="H2441" s="3">
        <f t="shared" si="290"/>
        <v>1148.6299999999999</v>
      </c>
      <c r="I2441" s="5" t="str">
        <f t="shared" si="291"/>
        <v>017</v>
      </c>
      <c r="J2441" s="5" t="str">
        <f t="shared" si="292"/>
        <v>2210</v>
      </c>
      <c r="K2441" s="5" t="str">
        <f t="shared" si="293"/>
        <v>000</v>
      </c>
      <c r="L2441" s="5">
        <f t="shared" si="294"/>
        <v>5</v>
      </c>
      <c r="M2441" s="5">
        <f t="shared" si="295"/>
        <v>2012</v>
      </c>
    </row>
    <row r="2442" spans="1:13" ht="17.45" customHeight="1" x14ac:dyDescent="0.25">
      <c r="A2442" s="1">
        <f>DATE(2012,5,21)</f>
        <v>41050</v>
      </c>
      <c r="B2442" t="s">
        <v>17</v>
      </c>
      <c r="C2442" t="s">
        <v>9</v>
      </c>
      <c r="D2442" s="3">
        <v>497.7</v>
      </c>
      <c r="E2442" s="3">
        <v>0</v>
      </c>
      <c r="F2442" t="s">
        <v>45</v>
      </c>
      <c r="G2442" s="3">
        <f t="shared" si="289"/>
        <v>-497.7</v>
      </c>
      <c r="H2442" s="3">
        <f t="shared" si="290"/>
        <v>497.7</v>
      </c>
      <c r="I2442" s="5" t="str">
        <f t="shared" si="291"/>
        <v>017</v>
      </c>
      <c r="J2442" s="5" t="str">
        <f t="shared" si="292"/>
        <v>2220</v>
      </c>
      <c r="K2442" s="5" t="str">
        <f t="shared" si="293"/>
        <v>000</v>
      </c>
      <c r="L2442" s="5">
        <f t="shared" si="294"/>
        <v>5</v>
      </c>
      <c r="M2442" s="5">
        <f t="shared" si="295"/>
        <v>2012</v>
      </c>
    </row>
    <row r="2443" spans="1:13" ht="17.45" customHeight="1" x14ac:dyDescent="0.25">
      <c r="A2443" s="1">
        <f>DATE(2012,5,21)</f>
        <v>41050</v>
      </c>
      <c r="B2443" t="s">
        <v>18</v>
      </c>
      <c r="C2443" t="s">
        <v>10</v>
      </c>
      <c r="D2443" s="3">
        <v>91.165500000000009</v>
      </c>
      <c r="E2443" s="3">
        <v>0</v>
      </c>
      <c r="F2443" t="s">
        <v>45</v>
      </c>
      <c r="G2443" s="3">
        <f t="shared" si="289"/>
        <v>-91.165500000000009</v>
      </c>
      <c r="H2443" s="3">
        <f t="shared" si="290"/>
        <v>91.165500000000009</v>
      </c>
      <c r="I2443" s="5" t="str">
        <f t="shared" si="291"/>
        <v>017</v>
      </c>
      <c r="J2443" s="5" t="str">
        <f t="shared" si="292"/>
        <v>2230</v>
      </c>
      <c r="K2443" s="5" t="str">
        <f t="shared" si="293"/>
        <v>000</v>
      </c>
      <c r="L2443" s="5">
        <f t="shared" si="294"/>
        <v>5</v>
      </c>
      <c r="M2443" s="5">
        <f t="shared" si="295"/>
        <v>2012</v>
      </c>
    </row>
    <row r="2444" spans="1:13" ht="17.45" customHeight="1" x14ac:dyDescent="0.25">
      <c r="A2444" s="1">
        <f>DATE(2012,5,22)</f>
        <v>41051</v>
      </c>
      <c r="B2444" t="s">
        <v>15</v>
      </c>
      <c r="C2444" t="s">
        <v>6</v>
      </c>
      <c r="D2444" s="3">
        <v>7853.9663999999993</v>
      </c>
      <c r="E2444" s="3">
        <v>0</v>
      </c>
      <c r="F2444" t="s">
        <v>45</v>
      </c>
      <c r="G2444" s="3">
        <f t="shared" si="289"/>
        <v>-7853.9663999999993</v>
      </c>
      <c r="H2444" s="3">
        <f t="shared" si="290"/>
        <v>7853.9663999999993</v>
      </c>
      <c r="I2444" s="5" t="str">
        <f t="shared" si="291"/>
        <v>017</v>
      </c>
      <c r="J2444" s="5" t="str">
        <f t="shared" si="292"/>
        <v>2100</v>
      </c>
      <c r="K2444" s="5" t="str">
        <f t="shared" si="293"/>
        <v>000</v>
      </c>
      <c r="L2444" s="5">
        <f t="shared" si="294"/>
        <v>5</v>
      </c>
      <c r="M2444" s="5">
        <f t="shared" si="295"/>
        <v>2012</v>
      </c>
    </row>
    <row r="2445" spans="1:13" ht="17.45" customHeight="1" x14ac:dyDescent="0.25">
      <c r="A2445" s="1">
        <f>DATE(2012,5,22)</f>
        <v>41051</v>
      </c>
      <c r="B2445" t="s">
        <v>16</v>
      </c>
      <c r="C2445" t="s">
        <v>8</v>
      </c>
      <c r="D2445" s="3">
        <v>2625.9995000000004</v>
      </c>
      <c r="E2445" s="3">
        <v>0</v>
      </c>
      <c r="F2445" t="s">
        <v>45</v>
      </c>
      <c r="G2445" s="3">
        <f t="shared" si="289"/>
        <v>-2625.9995000000004</v>
      </c>
      <c r="H2445" s="3">
        <f t="shared" si="290"/>
        <v>2625.9995000000004</v>
      </c>
      <c r="I2445" s="5" t="str">
        <f t="shared" si="291"/>
        <v>017</v>
      </c>
      <c r="J2445" s="5" t="str">
        <f t="shared" si="292"/>
        <v>2210</v>
      </c>
      <c r="K2445" s="5" t="str">
        <f t="shared" si="293"/>
        <v>000</v>
      </c>
      <c r="L2445" s="5">
        <f t="shared" si="294"/>
        <v>5</v>
      </c>
      <c r="M2445" s="5">
        <f t="shared" si="295"/>
        <v>2012</v>
      </c>
    </row>
    <row r="2446" spans="1:13" ht="17.45" customHeight="1" x14ac:dyDescent="0.25">
      <c r="A2446" s="1">
        <f>DATE(2012,5,22)</f>
        <v>41051</v>
      </c>
      <c r="B2446" t="s">
        <v>17</v>
      </c>
      <c r="C2446" t="s">
        <v>9</v>
      </c>
      <c r="D2446" s="3">
        <v>571.95000000000005</v>
      </c>
      <c r="E2446" s="3">
        <v>0</v>
      </c>
      <c r="F2446" t="s">
        <v>45</v>
      </c>
      <c r="G2446" s="3">
        <f t="shared" si="289"/>
        <v>-571.95000000000005</v>
      </c>
      <c r="H2446" s="3">
        <f t="shared" si="290"/>
        <v>571.95000000000005</v>
      </c>
      <c r="I2446" s="5" t="str">
        <f t="shared" si="291"/>
        <v>017</v>
      </c>
      <c r="J2446" s="5" t="str">
        <f t="shared" si="292"/>
        <v>2220</v>
      </c>
      <c r="K2446" s="5" t="str">
        <f t="shared" si="293"/>
        <v>000</v>
      </c>
      <c r="L2446" s="5">
        <f t="shared" si="294"/>
        <v>5</v>
      </c>
      <c r="M2446" s="5">
        <f t="shared" si="295"/>
        <v>2012</v>
      </c>
    </row>
    <row r="2447" spans="1:13" ht="17.45" customHeight="1" x14ac:dyDescent="0.25">
      <c r="A2447" s="1">
        <f>DATE(2012,5,22)</f>
        <v>41051</v>
      </c>
      <c r="B2447" t="s">
        <v>18</v>
      </c>
      <c r="C2447" t="s">
        <v>10</v>
      </c>
      <c r="D2447" s="3">
        <v>154.24499999999998</v>
      </c>
      <c r="E2447" s="3">
        <v>0</v>
      </c>
      <c r="F2447" t="s">
        <v>45</v>
      </c>
      <c r="G2447" s="3">
        <f t="shared" si="289"/>
        <v>-154.24499999999998</v>
      </c>
      <c r="H2447" s="3">
        <f t="shared" si="290"/>
        <v>154.24499999999998</v>
      </c>
      <c r="I2447" s="5" t="str">
        <f t="shared" si="291"/>
        <v>017</v>
      </c>
      <c r="J2447" s="5" t="str">
        <f t="shared" si="292"/>
        <v>2230</v>
      </c>
      <c r="K2447" s="5" t="str">
        <f t="shared" si="293"/>
        <v>000</v>
      </c>
      <c r="L2447" s="5">
        <f t="shared" si="294"/>
        <v>5</v>
      </c>
      <c r="M2447" s="5">
        <f t="shared" si="295"/>
        <v>2012</v>
      </c>
    </row>
    <row r="2448" spans="1:13" ht="17.45" customHeight="1" x14ac:dyDescent="0.25">
      <c r="A2448" s="1">
        <f>DATE(2012,5,23)</f>
        <v>41052</v>
      </c>
      <c r="B2448" t="s">
        <v>15</v>
      </c>
      <c r="C2448" t="s">
        <v>6</v>
      </c>
      <c r="D2448" s="3">
        <v>4178.4985000000006</v>
      </c>
      <c r="E2448" s="3">
        <v>0</v>
      </c>
      <c r="F2448" t="s">
        <v>45</v>
      </c>
      <c r="G2448" s="3">
        <f t="shared" si="289"/>
        <v>-4178.4985000000006</v>
      </c>
      <c r="H2448" s="3">
        <f t="shared" si="290"/>
        <v>4178.4985000000006</v>
      </c>
      <c r="I2448" s="5" t="str">
        <f t="shared" si="291"/>
        <v>017</v>
      </c>
      <c r="J2448" s="5" t="str">
        <f t="shared" si="292"/>
        <v>2100</v>
      </c>
      <c r="K2448" s="5" t="str">
        <f t="shared" si="293"/>
        <v>000</v>
      </c>
      <c r="L2448" s="5">
        <f t="shared" si="294"/>
        <v>5</v>
      </c>
      <c r="M2448" s="5">
        <f t="shared" si="295"/>
        <v>2012</v>
      </c>
    </row>
    <row r="2449" spans="1:13" ht="17.45" customHeight="1" x14ac:dyDescent="0.25">
      <c r="A2449" s="1">
        <f>DATE(2012,5,23)</f>
        <v>41052</v>
      </c>
      <c r="B2449" t="s">
        <v>16</v>
      </c>
      <c r="C2449" t="s">
        <v>8</v>
      </c>
      <c r="D2449" s="3">
        <v>1485.9375</v>
      </c>
      <c r="E2449" s="3">
        <v>0</v>
      </c>
      <c r="F2449" t="s">
        <v>45</v>
      </c>
      <c r="G2449" s="3">
        <f t="shared" si="289"/>
        <v>-1485.9375</v>
      </c>
      <c r="H2449" s="3">
        <f t="shared" si="290"/>
        <v>1485.9375</v>
      </c>
      <c r="I2449" s="5" t="str">
        <f t="shared" si="291"/>
        <v>017</v>
      </c>
      <c r="J2449" s="5" t="str">
        <f t="shared" si="292"/>
        <v>2210</v>
      </c>
      <c r="K2449" s="5" t="str">
        <f t="shared" si="293"/>
        <v>000</v>
      </c>
      <c r="L2449" s="5">
        <f t="shared" si="294"/>
        <v>5</v>
      </c>
      <c r="M2449" s="5">
        <f t="shared" si="295"/>
        <v>2012</v>
      </c>
    </row>
    <row r="2450" spans="1:13" ht="17.45" customHeight="1" x14ac:dyDescent="0.25">
      <c r="A2450" s="1">
        <f>DATE(2012,5,23)</f>
        <v>41052</v>
      </c>
      <c r="B2450" t="s">
        <v>17</v>
      </c>
      <c r="C2450" t="s">
        <v>9</v>
      </c>
      <c r="D2450" s="3">
        <v>501.97500000000002</v>
      </c>
      <c r="E2450" s="3">
        <v>0</v>
      </c>
      <c r="F2450" t="s">
        <v>45</v>
      </c>
      <c r="G2450" s="3">
        <f t="shared" si="289"/>
        <v>-501.97500000000002</v>
      </c>
      <c r="H2450" s="3">
        <f t="shared" si="290"/>
        <v>501.97500000000002</v>
      </c>
      <c r="I2450" s="5" t="str">
        <f t="shared" si="291"/>
        <v>017</v>
      </c>
      <c r="J2450" s="5" t="str">
        <f t="shared" si="292"/>
        <v>2220</v>
      </c>
      <c r="K2450" s="5" t="str">
        <f t="shared" si="293"/>
        <v>000</v>
      </c>
      <c r="L2450" s="5">
        <f t="shared" si="294"/>
        <v>5</v>
      </c>
      <c r="M2450" s="5">
        <f t="shared" si="295"/>
        <v>2012</v>
      </c>
    </row>
    <row r="2451" spans="1:13" ht="17.45" customHeight="1" x14ac:dyDescent="0.25">
      <c r="A2451" s="1">
        <f>DATE(2012,5,23)</f>
        <v>41052</v>
      </c>
      <c r="B2451" t="s">
        <v>18</v>
      </c>
      <c r="C2451" t="s">
        <v>10</v>
      </c>
      <c r="D2451" s="3">
        <v>76.2</v>
      </c>
      <c r="E2451" s="3">
        <v>0</v>
      </c>
      <c r="F2451" t="s">
        <v>45</v>
      </c>
      <c r="G2451" s="3">
        <f t="shared" si="289"/>
        <v>-76.2</v>
      </c>
      <c r="H2451" s="3">
        <f t="shared" si="290"/>
        <v>76.2</v>
      </c>
      <c r="I2451" s="5" t="str">
        <f t="shared" si="291"/>
        <v>017</v>
      </c>
      <c r="J2451" s="5" t="str">
        <f t="shared" si="292"/>
        <v>2230</v>
      </c>
      <c r="K2451" s="5" t="str">
        <f t="shared" si="293"/>
        <v>000</v>
      </c>
      <c r="L2451" s="5">
        <f t="shared" si="294"/>
        <v>5</v>
      </c>
      <c r="M2451" s="5">
        <f t="shared" si="295"/>
        <v>2012</v>
      </c>
    </row>
    <row r="2452" spans="1:13" ht="17.45" customHeight="1" x14ac:dyDescent="0.25">
      <c r="A2452" s="1">
        <f>DATE(2012,5,24)</f>
        <v>41053</v>
      </c>
      <c r="B2452" t="s">
        <v>15</v>
      </c>
      <c r="C2452" t="s">
        <v>6</v>
      </c>
      <c r="D2452" s="3">
        <v>7434.7484999999997</v>
      </c>
      <c r="E2452" s="3">
        <v>0</v>
      </c>
      <c r="F2452" t="s">
        <v>45</v>
      </c>
      <c r="G2452" s="3">
        <f t="shared" si="289"/>
        <v>-7434.7484999999997</v>
      </c>
      <c r="H2452" s="3">
        <f t="shared" si="290"/>
        <v>7434.7484999999997</v>
      </c>
      <c r="I2452" s="5" t="str">
        <f t="shared" si="291"/>
        <v>017</v>
      </c>
      <c r="J2452" s="5" t="str">
        <f t="shared" si="292"/>
        <v>2100</v>
      </c>
      <c r="K2452" s="5" t="str">
        <f t="shared" si="293"/>
        <v>000</v>
      </c>
      <c r="L2452" s="5">
        <f t="shared" si="294"/>
        <v>5</v>
      </c>
      <c r="M2452" s="5">
        <f t="shared" si="295"/>
        <v>2012</v>
      </c>
    </row>
    <row r="2453" spans="1:13" ht="17.45" customHeight="1" x14ac:dyDescent="0.25">
      <c r="A2453" s="1">
        <f>DATE(2012,5,24)</f>
        <v>41053</v>
      </c>
      <c r="B2453" t="s">
        <v>16</v>
      </c>
      <c r="C2453" t="s">
        <v>8</v>
      </c>
      <c r="D2453" s="3">
        <v>2499.0309999999999</v>
      </c>
      <c r="E2453" s="3">
        <v>0</v>
      </c>
      <c r="F2453" t="s">
        <v>45</v>
      </c>
      <c r="G2453" s="3">
        <f t="shared" si="289"/>
        <v>-2499.0309999999999</v>
      </c>
      <c r="H2453" s="3">
        <f t="shared" si="290"/>
        <v>2499.0309999999999</v>
      </c>
      <c r="I2453" s="5" t="str">
        <f t="shared" si="291"/>
        <v>017</v>
      </c>
      <c r="J2453" s="5" t="str">
        <f t="shared" si="292"/>
        <v>2210</v>
      </c>
      <c r="K2453" s="5" t="str">
        <f t="shared" si="293"/>
        <v>000</v>
      </c>
      <c r="L2453" s="5">
        <f t="shared" si="294"/>
        <v>5</v>
      </c>
      <c r="M2453" s="5">
        <f t="shared" si="295"/>
        <v>2012</v>
      </c>
    </row>
    <row r="2454" spans="1:13" ht="17.45" customHeight="1" x14ac:dyDescent="0.25">
      <c r="A2454" s="1">
        <f>DATE(2012,5,24)</f>
        <v>41053</v>
      </c>
      <c r="B2454" t="s">
        <v>17</v>
      </c>
      <c r="C2454" t="s">
        <v>9</v>
      </c>
      <c r="D2454" s="3">
        <v>336.46250000000003</v>
      </c>
      <c r="E2454" s="3">
        <v>0</v>
      </c>
      <c r="F2454" t="s">
        <v>45</v>
      </c>
      <c r="G2454" s="3">
        <f t="shared" si="289"/>
        <v>-336.46250000000003</v>
      </c>
      <c r="H2454" s="3">
        <f t="shared" si="290"/>
        <v>336.46250000000003</v>
      </c>
      <c r="I2454" s="5" t="str">
        <f t="shared" si="291"/>
        <v>017</v>
      </c>
      <c r="J2454" s="5" t="str">
        <f t="shared" si="292"/>
        <v>2220</v>
      </c>
      <c r="K2454" s="5" t="str">
        <f t="shared" si="293"/>
        <v>000</v>
      </c>
      <c r="L2454" s="5">
        <f t="shared" si="294"/>
        <v>5</v>
      </c>
      <c r="M2454" s="5">
        <f t="shared" si="295"/>
        <v>2012</v>
      </c>
    </row>
    <row r="2455" spans="1:13" ht="17.45" customHeight="1" x14ac:dyDescent="0.25">
      <c r="A2455" s="1">
        <f>DATE(2012,5,24)</f>
        <v>41053</v>
      </c>
      <c r="B2455" t="s">
        <v>18</v>
      </c>
      <c r="C2455" t="s">
        <v>10</v>
      </c>
      <c r="D2455" s="3">
        <v>60.8536</v>
      </c>
      <c r="E2455" s="3">
        <v>0</v>
      </c>
      <c r="F2455" t="s">
        <v>45</v>
      </c>
      <c r="G2455" s="3">
        <f t="shared" si="289"/>
        <v>-60.8536</v>
      </c>
      <c r="H2455" s="3">
        <f t="shared" si="290"/>
        <v>60.8536</v>
      </c>
      <c r="I2455" s="5" t="str">
        <f t="shared" si="291"/>
        <v>017</v>
      </c>
      <c r="J2455" s="5" t="str">
        <f t="shared" si="292"/>
        <v>2230</v>
      </c>
      <c r="K2455" s="5" t="str">
        <f t="shared" si="293"/>
        <v>000</v>
      </c>
      <c r="L2455" s="5">
        <f t="shared" si="294"/>
        <v>5</v>
      </c>
      <c r="M2455" s="5">
        <f t="shared" si="295"/>
        <v>2012</v>
      </c>
    </row>
    <row r="2456" spans="1:13" ht="17.45" customHeight="1" x14ac:dyDescent="0.25">
      <c r="A2456" s="1">
        <f>DATE(2012,5,25)</f>
        <v>41054</v>
      </c>
      <c r="B2456" t="s">
        <v>15</v>
      </c>
      <c r="C2456" t="s">
        <v>6</v>
      </c>
      <c r="D2456" s="3">
        <v>7461.6465000000007</v>
      </c>
      <c r="E2456" s="3">
        <v>0</v>
      </c>
      <c r="F2456" t="s">
        <v>45</v>
      </c>
      <c r="G2456" s="3">
        <f t="shared" si="289"/>
        <v>-7461.6465000000007</v>
      </c>
      <c r="H2456" s="3">
        <f t="shared" si="290"/>
        <v>7461.6465000000007</v>
      </c>
      <c r="I2456" s="5" t="str">
        <f t="shared" si="291"/>
        <v>017</v>
      </c>
      <c r="J2456" s="5" t="str">
        <f t="shared" si="292"/>
        <v>2100</v>
      </c>
      <c r="K2456" s="5" t="str">
        <f t="shared" si="293"/>
        <v>000</v>
      </c>
      <c r="L2456" s="5">
        <f t="shared" si="294"/>
        <v>5</v>
      </c>
      <c r="M2456" s="5">
        <f t="shared" si="295"/>
        <v>2012</v>
      </c>
    </row>
    <row r="2457" spans="1:13" ht="17.45" customHeight="1" x14ac:dyDescent="0.25">
      <c r="A2457" s="1">
        <f>DATE(2012,5,25)</f>
        <v>41054</v>
      </c>
      <c r="B2457" t="s">
        <v>16</v>
      </c>
      <c r="C2457" t="s">
        <v>8</v>
      </c>
      <c r="D2457" s="3">
        <v>2307.3920000000003</v>
      </c>
      <c r="E2457" s="3">
        <v>0</v>
      </c>
      <c r="F2457" t="s">
        <v>45</v>
      </c>
      <c r="G2457" s="3">
        <f t="shared" si="289"/>
        <v>-2307.3920000000003</v>
      </c>
      <c r="H2457" s="3">
        <f t="shared" si="290"/>
        <v>2307.3920000000003</v>
      </c>
      <c r="I2457" s="5" t="str">
        <f t="shared" si="291"/>
        <v>017</v>
      </c>
      <c r="J2457" s="5" t="str">
        <f t="shared" si="292"/>
        <v>2210</v>
      </c>
      <c r="K2457" s="5" t="str">
        <f t="shared" si="293"/>
        <v>000</v>
      </c>
      <c r="L2457" s="5">
        <f t="shared" si="294"/>
        <v>5</v>
      </c>
      <c r="M2457" s="5">
        <f t="shared" si="295"/>
        <v>2012</v>
      </c>
    </row>
    <row r="2458" spans="1:13" ht="17.45" customHeight="1" x14ac:dyDescent="0.25">
      <c r="A2458" s="1">
        <f>DATE(2012,5,25)</f>
        <v>41054</v>
      </c>
      <c r="B2458" t="s">
        <v>17</v>
      </c>
      <c r="C2458" t="s">
        <v>9</v>
      </c>
      <c r="D2458" s="3">
        <v>482.25</v>
      </c>
      <c r="E2458" s="3">
        <v>0</v>
      </c>
      <c r="F2458" t="s">
        <v>45</v>
      </c>
      <c r="G2458" s="3">
        <f t="shared" si="289"/>
        <v>-482.25</v>
      </c>
      <c r="H2458" s="3">
        <f t="shared" si="290"/>
        <v>482.25</v>
      </c>
      <c r="I2458" s="5" t="str">
        <f t="shared" si="291"/>
        <v>017</v>
      </c>
      <c r="J2458" s="5" t="str">
        <f t="shared" si="292"/>
        <v>2220</v>
      </c>
      <c r="K2458" s="5" t="str">
        <f t="shared" si="293"/>
        <v>000</v>
      </c>
      <c r="L2458" s="5">
        <f t="shared" si="294"/>
        <v>5</v>
      </c>
      <c r="M2458" s="5">
        <f t="shared" si="295"/>
        <v>2012</v>
      </c>
    </row>
    <row r="2459" spans="1:13" ht="17.45" customHeight="1" x14ac:dyDescent="0.25">
      <c r="A2459" s="1">
        <f>DATE(2012,5,25)</f>
        <v>41054</v>
      </c>
      <c r="B2459" t="s">
        <v>18</v>
      </c>
      <c r="C2459" t="s">
        <v>10</v>
      </c>
      <c r="D2459" s="3">
        <v>74.715499999999992</v>
      </c>
      <c r="E2459" s="3">
        <v>0</v>
      </c>
      <c r="F2459" t="s">
        <v>45</v>
      </c>
      <c r="G2459" s="3">
        <f t="shared" si="289"/>
        <v>-74.715499999999992</v>
      </c>
      <c r="H2459" s="3">
        <f t="shared" si="290"/>
        <v>74.715499999999992</v>
      </c>
      <c r="I2459" s="5" t="str">
        <f t="shared" si="291"/>
        <v>017</v>
      </c>
      <c r="J2459" s="5" t="str">
        <f t="shared" si="292"/>
        <v>2230</v>
      </c>
      <c r="K2459" s="5" t="str">
        <f t="shared" si="293"/>
        <v>000</v>
      </c>
      <c r="L2459" s="5">
        <f t="shared" si="294"/>
        <v>5</v>
      </c>
      <c r="M2459" s="5">
        <f t="shared" si="295"/>
        <v>2012</v>
      </c>
    </row>
    <row r="2460" spans="1:13" ht="17.45" customHeight="1" x14ac:dyDescent="0.25">
      <c r="A2460" s="1">
        <f>DATE(2012,5,26)</f>
        <v>41055</v>
      </c>
      <c r="B2460" t="s">
        <v>15</v>
      </c>
      <c r="C2460" t="s">
        <v>6</v>
      </c>
      <c r="D2460" s="3">
        <v>6616.1540999999997</v>
      </c>
      <c r="E2460" s="3">
        <v>0</v>
      </c>
      <c r="F2460" t="s">
        <v>45</v>
      </c>
      <c r="G2460" s="3">
        <f t="shared" si="289"/>
        <v>-6616.1540999999997</v>
      </c>
      <c r="H2460" s="3">
        <f t="shared" si="290"/>
        <v>6616.1540999999997</v>
      </c>
      <c r="I2460" s="5" t="str">
        <f t="shared" si="291"/>
        <v>017</v>
      </c>
      <c r="J2460" s="5" t="str">
        <f t="shared" si="292"/>
        <v>2100</v>
      </c>
      <c r="K2460" s="5" t="str">
        <f t="shared" si="293"/>
        <v>000</v>
      </c>
      <c r="L2460" s="5">
        <f t="shared" si="294"/>
        <v>5</v>
      </c>
      <c r="M2460" s="5">
        <f t="shared" si="295"/>
        <v>2012</v>
      </c>
    </row>
    <row r="2461" spans="1:13" ht="17.45" customHeight="1" x14ac:dyDescent="0.25">
      <c r="A2461" s="1">
        <f>DATE(2012,5,26)</f>
        <v>41055</v>
      </c>
      <c r="B2461" t="s">
        <v>16</v>
      </c>
      <c r="C2461" t="s">
        <v>8</v>
      </c>
      <c r="D2461" s="3">
        <v>1466.7940000000003</v>
      </c>
      <c r="E2461" s="3">
        <v>0</v>
      </c>
      <c r="F2461" t="s">
        <v>45</v>
      </c>
      <c r="G2461" s="3">
        <f t="shared" si="289"/>
        <v>-1466.7940000000003</v>
      </c>
      <c r="H2461" s="3">
        <f t="shared" si="290"/>
        <v>1466.7940000000003</v>
      </c>
      <c r="I2461" s="5" t="str">
        <f t="shared" si="291"/>
        <v>017</v>
      </c>
      <c r="J2461" s="5" t="str">
        <f t="shared" si="292"/>
        <v>2210</v>
      </c>
      <c r="K2461" s="5" t="str">
        <f t="shared" si="293"/>
        <v>000</v>
      </c>
      <c r="L2461" s="5">
        <f t="shared" si="294"/>
        <v>5</v>
      </c>
      <c r="M2461" s="5">
        <f t="shared" si="295"/>
        <v>2012</v>
      </c>
    </row>
    <row r="2462" spans="1:13" ht="17.45" customHeight="1" x14ac:dyDescent="0.25">
      <c r="A2462" s="1">
        <f>DATE(2012,5,26)</f>
        <v>41055</v>
      </c>
      <c r="B2462" t="s">
        <v>17</v>
      </c>
      <c r="C2462" t="s">
        <v>9</v>
      </c>
      <c r="D2462" s="3">
        <v>308.91500000000002</v>
      </c>
      <c r="E2462" s="3">
        <v>0</v>
      </c>
      <c r="F2462" t="s">
        <v>45</v>
      </c>
      <c r="G2462" s="3">
        <f t="shared" si="289"/>
        <v>-308.91500000000002</v>
      </c>
      <c r="H2462" s="3">
        <f t="shared" si="290"/>
        <v>308.91500000000002</v>
      </c>
      <c r="I2462" s="5" t="str">
        <f t="shared" si="291"/>
        <v>017</v>
      </c>
      <c r="J2462" s="5" t="str">
        <f t="shared" si="292"/>
        <v>2220</v>
      </c>
      <c r="K2462" s="5" t="str">
        <f t="shared" si="293"/>
        <v>000</v>
      </c>
      <c r="L2462" s="5">
        <f t="shared" si="294"/>
        <v>5</v>
      </c>
      <c r="M2462" s="5">
        <f t="shared" si="295"/>
        <v>2012</v>
      </c>
    </row>
    <row r="2463" spans="1:13" ht="17.45" customHeight="1" x14ac:dyDescent="0.25">
      <c r="A2463" s="1">
        <f>DATE(2012,5,26)</f>
        <v>41055</v>
      </c>
      <c r="B2463" t="s">
        <v>18</v>
      </c>
      <c r="C2463" t="s">
        <v>10</v>
      </c>
      <c r="D2463" s="3">
        <v>21.868000000000002</v>
      </c>
      <c r="E2463" s="3">
        <v>0</v>
      </c>
      <c r="F2463" t="s">
        <v>45</v>
      </c>
      <c r="G2463" s="3">
        <f t="shared" si="289"/>
        <v>-21.868000000000002</v>
      </c>
      <c r="H2463" s="3">
        <f t="shared" si="290"/>
        <v>21.868000000000002</v>
      </c>
      <c r="I2463" s="5" t="str">
        <f t="shared" si="291"/>
        <v>017</v>
      </c>
      <c r="J2463" s="5" t="str">
        <f t="shared" si="292"/>
        <v>2230</v>
      </c>
      <c r="K2463" s="5" t="str">
        <f t="shared" si="293"/>
        <v>000</v>
      </c>
      <c r="L2463" s="5">
        <f t="shared" si="294"/>
        <v>5</v>
      </c>
      <c r="M2463" s="5">
        <f t="shared" si="295"/>
        <v>2012</v>
      </c>
    </row>
    <row r="2464" spans="1:13" ht="17.45" customHeight="1" x14ac:dyDescent="0.25">
      <c r="A2464" s="1">
        <f>DATE(2012,5,27)</f>
        <v>41056</v>
      </c>
      <c r="B2464" t="s">
        <v>15</v>
      </c>
      <c r="C2464" t="s">
        <v>6</v>
      </c>
      <c r="D2464" s="3">
        <v>4947.8130000000001</v>
      </c>
      <c r="E2464" s="3">
        <v>0</v>
      </c>
      <c r="F2464" t="s">
        <v>45</v>
      </c>
      <c r="G2464" s="3">
        <f t="shared" si="289"/>
        <v>-4947.8130000000001</v>
      </c>
      <c r="H2464" s="3">
        <f t="shared" si="290"/>
        <v>4947.8130000000001</v>
      </c>
      <c r="I2464" s="5" t="str">
        <f t="shared" si="291"/>
        <v>017</v>
      </c>
      <c r="J2464" s="5" t="str">
        <f t="shared" si="292"/>
        <v>2100</v>
      </c>
      <c r="K2464" s="5" t="str">
        <f t="shared" si="293"/>
        <v>000</v>
      </c>
      <c r="L2464" s="5">
        <f t="shared" si="294"/>
        <v>5</v>
      </c>
      <c r="M2464" s="5">
        <f t="shared" si="295"/>
        <v>2012</v>
      </c>
    </row>
    <row r="2465" spans="1:13" ht="17.45" customHeight="1" x14ac:dyDescent="0.25">
      <c r="A2465" s="1">
        <f>DATE(2012,5,27)</f>
        <v>41056</v>
      </c>
      <c r="B2465" t="s">
        <v>16</v>
      </c>
      <c r="C2465" t="s">
        <v>8</v>
      </c>
      <c r="D2465" s="3">
        <v>1208.1469999999999</v>
      </c>
      <c r="E2465" s="3">
        <v>0</v>
      </c>
      <c r="F2465" t="s">
        <v>45</v>
      </c>
      <c r="G2465" s="3">
        <f t="shared" si="289"/>
        <v>-1208.1469999999999</v>
      </c>
      <c r="H2465" s="3">
        <f t="shared" si="290"/>
        <v>1208.1469999999999</v>
      </c>
      <c r="I2465" s="5" t="str">
        <f t="shared" si="291"/>
        <v>017</v>
      </c>
      <c r="J2465" s="5" t="str">
        <f t="shared" si="292"/>
        <v>2210</v>
      </c>
      <c r="K2465" s="5" t="str">
        <f t="shared" si="293"/>
        <v>000</v>
      </c>
      <c r="L2465" s="5">
        <f t="shared" si="294"/>
        <v>5</v>
      </c>
      <c r="M2465" s="5">
        <f t="shared" si="295"/>
        <v>2012</v>
      </c>
    </row>
    <row r="2466" spans="1:13" ht="17.45" customHeight="1" x14ac:dyDescent="0.25">
      <c r="A2466" s="1">
        <f>DATE(2012,5,27)</f>
        <v>41056</v>
      </c>
      <c r="B2466" t="s">
        <v>17</v>
      </c>
      <c r="C2466" t="s">
        <v>9</v>
      </c>
      <c r="D2466" s="3">
        <v>265.95</v>
      </c>
      <c r="E2466" s="3">
        <v>0</v>
      </c>
      <c r="F2466" t="s">
        <v>45</v>
      </c>
      <c r="G2466" s="3">
        <f t="shared" si="289"/>
        <v>-265.95</v>
      </c>
      <c r="H2466" s="3">
        <f t="shared" si="290"/>
        <v>265.95</v>
      </c>
      <c r="I2466" s="5" t="str">
        <f t="shared" si="291"/>
        <v>017</v>
      </c>
      <c r="J2466" s="5" t="str">
        <f t="shared" si="292"/>
        <v>2220</v>
      </c>
      <c r="K2466" s="5" t="str">
        <f t="shared" si="293"/>
        <v>000</v>
      </c>
      <c r="L2466" s="5">
        <f t="shared" si="294"/>
        <v>5</v>
      </c>
      <c r="M2466" s="5">
        <f t="shared" si="295"/>
        <v>2012</v>
      </c>
    </row>
    <row r="2467" spans="1:13" ht="17.45" customHeight="1" x14ac:dyDescent="0.25">
      <c r="A2467" s="1">
        <f>DATE(2012,5,27)</f>
        <v>41056</v>
      </c>
      <c r="B2467" t="s">
        <v>18</v>
      </c>
      <c r="C2467" t="s">
        <v>10</v>
      </c>
      <c r="D2467" s="3">
        <v>73.14</v>
      </c>
      <c r="E2467" s="3">
        <v>0</v>
      </c>
      <c r="F2467" t="s">
        <v>45</v>
      </c>
      <c r="G2467" s="3">
        <f t="shared" si="289"/>
        <v>-73.14</v>
      </c>
      <c r="H2467" s="3">
        <f t="shared" si="290"/>
        <v>73.14</v>
      </c>
      <c r="I2467" s="5" t="str">
        <f t="shared" si="291"/>
        <v>017</v>
      </c>
      <c r="J2467" s="5" t="str">
        <f t="shared" si="292"/>
        <v>2230</v>
      </c>
      <c r="K2467" s="5" t="str">
        <f t="shared" si="293"/>
        <v>000</v>
      </c>
      <c r="L2467" s="5">
        <f t="shared" si="294"/>
        <v>5</v>
      </c>
      <c r="M2467" s="5">
        <f t="shared" si="295"/>
        <v>2012</v>
      </c>
    </row>
    <row r="2468" spans="1:13" ht="17.45" customHeight="1" x14ac:dyDescent="0.25">
      <c r="A2468" s="1">
        <f>DATE(2012,5,21)</f>
        <v>41050</v>
      </c>
      <c r="B2468" t="s">
        <v>19</v>
      </c>
      <c r="C2468" t="s">
        <v>6</v>
      </c>
      <c r="D2468" s="3">
        <v>2651.2605000000003</v>
      </c>
      <c r="E2468" s="3">
        <v>0</v>
      </c>
      <c r="F2468" t="s">
        <v>45</v>
      </c>
      <c r="G2468" s="3">
        <f t="shared" si="289"/>
        <v>-2651.2605000000003</v>
      </c>
      <c r="H2468" s="3">
        <f t="shared" si="290"/>
        <v>2651.2605000000003</v>
      </c>
      <c r="I2468" s="5" t="str">
        <f t="shared" si="291"/>
        <v>018</v>
      </c>
      <c r="J2468" s="5" t="str">
        <f t="shared" si="292"/>
        <v>2100</v>
      </c>
      <c r="K2468" s="5" t="str">
        <f t="shared" si="293"/>
        <v>000</v>
      </c>
      <c r="L2468" s="5">
        <f t="shared" si="294"/>
        <v>5</v>
      </c>
      <c r="M2468" s="5">
        <f t="shared" si="295"/>
        <v>2012</v>
      </c>
    </row>
    <row r="2469" spans="1:13" ht="17.45" customHeight="1" x14ac:dyDescent="0.25">
      <c r="A2469" s="1">
        <f>DATE(2012,5,21)</f>
        <v>41050</v>
      </c>
      <c r="B2469" t="s">
        <v>20</v>
      </c>
      <c r="C2469" t="s">
        <v>8</v>
      </c>
      <c r="D2469" s="3">
        <v>334.87999999999994</v>
      </c>
      <c r="E2469" s="3">
        <v>0</v>
      </c>
      <c r="F2469" t="s">
        <v>45</v>
      </c>
      <c r="G2469" s="3">
        <f t="shared" si="289"/>
        <v>-334.87999999999994</v>
      </c>
      <c r="H2469" s="3">
        <f t="shared" si="290"/>
        <v>334.87999999999994</v>
      </c>
      <c r="I2469" s="5" t="str">
        <f t="shared" si="291"/>
        <v>018</v>
      </c>
      <c r="J2469" s="5" t="str">
        <f t="shared" si="292"/>
        <v>2210</v>
      </c>
      <c r="K2469" s="5" t="str">
        <f t="shared" si="293"/>
        <v>000</v>
      </c>
      <c r="L2469" s="5">
        <f t="shared" si="294"/>
        <v>5</v>
      </c>
      <c r="M2469" s="5">
        <f t="shared" si="295"/>
        <v>2012</v>
      </c>
    </row>
    <row r="2470" spans="1:13" ht="17.45" customHeight="1" x14ac:dyDescent="0.25">
      <c r="A2470" s="1">
        <f>DATE(2012,5,21)</f>
        <v>41050</v>
      </c>
      <c r="B2470" t="s">
        <v>21</v>
      </c>
      <c r="C2470" t="s">
        <v>9</v>
      </c>
      <c r="D2470" s="3">
        <v>112.867</v>
      </c>
      <c r="E2470" s="3">
        <v>0</v>
      </c>
      <c r="F2470" t="s">
        <v>45</v>
      </c>
      <c r="G2470" s="3">
        <f t="shared" si="289"/>
        <v>-112.867</v>
      </c>
      <c r="H2470" s="3">
        <f t="shared" si="290"/>
        <v>112.867</v>
      </c>
      <c r="I2470" s="5" t="str">
        <f t="shared" si="291"/>
        <v>018</v>
      </c>
      <c r="J2470" s="5" t="str">
        <f t="shared" si="292"/>
        <v>2220</v>
      </c>
      <c r="K2470" s="5" t="str">
        <f t="shared" si="293"/>
        <v>000</v>
      </c>
      <c r="L2470" s="5">
        <f t="shared" si="294"/>
        <v>5</v>
      </c>
      <c r="M2470" s="5">
        <f t="shared" si="295"/>
        <v>2012</v>
      </c>
    </row>
    <row r="2471" spans="1:13" ht="17.45" customHeight="1" x14ac:dyDescent="0.25">
      <c r="A2471" s="1">
        <f>DATE(2012,5,21)</f>
        <v>41050</v>
      </c>
      <c r="B2471" t="s">
        <v>22</v>
      </c>
      <c r="C2471" t="s">
        <v>10</v>
      </c>
      <c r="D2471" s="3">
        <v>25.239000000000001</v>
      </c>
      <c r="E2471" s="3">
        <v>0</v>
      </c>
      <c r="F2471" t="s">
        <v>45</v>
      </c>
      <c r="G2471" s="3">
        <f t="shared" si="289"/>
        <v>-25.239000000000001</v>
      </c>
      <c r="H2471" s="3">
        <f t="shared" si="290"/>
        <v>25.239000000000001</v>
      </c>
      <c r="I2471" s="5" t="str">
        <f t="shared" si="291"/>
        <v>018</v>
      </c>
      <c r="J2471" s="5" t="str">
        <f t="shared" si="292"/>
        <v>2230</v>
      </c>
      <c r="K2471" s="5" t="str">
        <f t="shared" si="293"/>
        <v>000</v>
      </c>
      <c r="L2471" s="5">
        <f t="shared" si="294"/>
        <v>5</v>
      </c>
      <c r="M2471" s="5">
        <f t="shared" si="295"/>
        <v>2012</v>
      </c>
    </row>
    <row r="2472" spans="1:13" ht="17.45" customHeight="1" x14ac:dyDescent="0.25">
      <c r="A2472" s="1">
        <f>DATE(2012,5,22)</f>
        <v>41051</v>
      </c>
      <c r="B2472" t="s">
        <v>19</v>
      </c>
      <c r="C2472" t="s">
        <v>6</v>
      </c>
      <c r="D2472" s="3">
        <v>3540.1309999999999</v>
      </c>
      <c r="E2472" s="3">
        <v>0</v>
      </c>
      <c r="F2472" t="s">
        <v>45</v>
      </c>
      <c r="G2472" s="3">
        <f t="shared" si="289"/>
        <v>-3540.1309999999999</v>
      </c>
      <c r="H2472" s="3">
        <f t="shared" si="290"/>
        <v>3540.1309999999999</v>
      </c>
      <c r="I2472" s="5" t="str">
        <f t="shared" si="291"/>
        <v>018</v>
      </c>
      <c r="J2472" s="5" t="str">
        <f t="shared" si="292"/>
        <v>2100</v>
      </c>
      <c r="K2472" s="5" t="str">
        <f t="shared" si="293"/>
        <v>000</v>
      </c>
      <c r="L2472" s="5">
        <f t="shared" si="294"/>
        <v>5</v>
      </c>
      <c r="M2472" s="5">
        <f t="shared" si="295"/>
        <v>2012</v>
      </c>
    </row>
    <row r="2473" spans="1:13" ht="17.45" customHeight="1" x14ac:dyDescent="0.25">
      <c r="A2473" s="1">
        <f>DATE(2012,5,22)</f>
        <v>41051</v>
      </c>
      <c r="B2473" t="s">
        <v>20</v>
      </c>
      <c r="C2473" t="s">
        <v>8</v>
      </c>
      <c r="D2473" s="3">
        <v>597.58400000000006</v>
      </c>
      <c r="E2473" s="3">
        <v>0</v>
      </c>
      <c r="F2473" t="s">
        <v>45</v>
      </c>
      <c r="G2473" s="3">
        <f t="shared" si="289"/>
        <v>-597.58400000000006</v>
      </c>
      <c r="H2473" s="3">
        <f t="shared" si="290"/>
        <v>597.58400000000006</v>
      </c>
      <c r="I2473" s="5" t="str">
        <f t="shared" si="291"/>
        <v>018</v>
      </c>
      <c r="J2473" s="5" t="str">
        <f t="shared" si="292"/>
        <v>2210</v>
      </c>
      <c r="K2473" s="5" t="str">
        <f t="shared" si="293"/>
        <v>000</v>
      </c>
      <c r="L2473" s="5">
        <f t="shared" si="294"/>
        <v>5</v>
      </c>
      <c r="M2473" s="5">
        <f t="shared" si="295"/>
        <v>2012</v>
      </c>
    </row>
    <row r="2474" spans="1:13" ht="17.45" customHeight="1" x14ac:dyDescent="0.25">
      <c r="A2474" s="1">
        <f>DATE(2012,5,22)</f>
        <v>41051</v>
      </c>
      <c r="B2474" t="s">
        <v>21</v>
      </c>
      <c r="C2474" t="s">
        <v>9</v>
      </c>
      <c r="D2474" s="3">
        <v>192.654</v>
      </c>
      <c r="E2474" s="3">
        <v>0</v>
      </c>
      <c r="F2474" t="s">
        <v>45</v>
      </c>
      <c r="G2474" s="3">
        <f t="shared" si="289"/>
        <v>-192.654</v>
      </c>
      <c r="H2474" s="3">
        <f t="shared" si="290"/>
        <v>192.654</v>
      </c>
      <c r="I2474" s="5" t="str">
        <f t="shared" si="291"/>
        <v>018</v>
      </c>
      <c r="J2474" s="5" t="str">
        <f t="shared" si="292"/>
        <v>2220</v>
      </c>
      <c r="K2474" s="5" t="str">
        <f t="shared" si="293"/>
        <v>000</v>
      </c>
      <c r="L2474" s="5">
        <f t="shared" si="294"/>
        <v>5</v>
      </c>
      <c r="M2474" s="5">
        <f t="shared" si="295"/>
        <v>2012</v>
      </c>
    </row>
    <row r="2475" spans="1:13" ht="17.45" customHeight="1" x14ac:dyDescent="0.25">
      <c r="A2475" s="1">
        <f>DATE(2012,5,22)</f>
        <v>41051</v>
      </c>
      <c r="B2475" t="s">
        <v>22</v>
      </c>
      <c r="C2475" t="s">
        <v>10</v>
      </c>
      <c r="D2475" s="3">
        <v>46.410000000000004</v>
      </c>
      <c r="E2475" s="3">
        <v>0</v>
      </c>
      <c r="F2475" t="s">
        <v>45</v>
      </c>
      <c r="G2475" s="3">
        <f t="shared" si="289"/>
        <v>-46.410000000000004</v>
      </c>
      <c r="H2475" s="3">
        <f t="shared" si="290"/>
        <v>46.410000000000004</v>
      </c>
      <c r="I2475" s="5" t="str">
        <f t="shared" si="291"/>
        <v>018</v>
      </c>
      <c r="J2475" s="5" t="str">
        <f t="shared" si="292"/>
        <v>2230</v>
      </c>
      <c r="K2475" s="5" t="str">
        <f t="shared" si="293"/>
        <v>000</v>
      </c>
      <c r="L2475" s="5">
        <f t="shared" si="294"/>
        <v>5</v>
      </c>
      <c r="M2475" s="5">
        <f t="shared" si="295"/>
        <v>2012</v>
      </c>
    </row>
    <row r="2476" spans="1:13" ht="17.45" customHeight="1" x14ac:dyDescent="0.25">
      <c r="A2476" s="1">
        <f>DATE(2012,5,23)</f>
        <v>41052</v>
      </c>
      <c r="B2476" t="s">
        <v>19</v>
      </c>
      <c r="C2476" t="s">
        <v>6</v>
      </c>
      <c r="D2476" s="3">
        <v>4302.165</v>
      </c>
      <c r="E2476" s="3">
        <v>0</v>
      </c>
      <c r="F2476" t="s">
        <v>45</v>
      </c>
      <c r="G2476" s="3">
        <f t="shared" si="289"/>
        <v>-4302.165</v>
      </c>
      <c r="H2476" s="3">
        <f t="shared" si="290"/>
        <v>4302.165</v>
      </c>
      <c r="I2476" s="5" t="str">
        <f t="shared" si="291"/>
        <v>018</v>
      </c>
      <c r="J2476" s="5" t="str">
        <f t="shared" si="292"/>
        <v>2100</v>
      </c>
      <c r="K2476" s="5" t="str">
        <f t="shared" si="293"/>
        <v>000</v>
      </c>
      <c r="L2476" s="5">
        <f t="shared" si="294"/>
        <v>5</v>
      </c>
      <c r="M2476" s="5">
        <f t="shared" si="295"/>
        <v>2012</v>
      </c>
    </row>
    <row r="2477" spans="1:13" ht="17.45" customHeight="1" x14ac:dyDescent="0.25">
      <c r="A2477" s="1">
        <f>DATE(2012,5,23)</f>
        <v>41052</v>
      </c>
      <c r="B2477" t="s">
        <v>20</v>
      </c>
      <c r="C2477" t="s">
        <v>8</v>
      </c>
      <c r="D2477" s="3">
        <v>698.90750000000003</v>
      </c>
      <c r="E2477" s="3">
        <v>0</v>
      </c>
      <c r="F2477" t="s">
        <v>45</v>
      </c>
      <c r="G2477" s="3">
        <f t="shared" si="289"/>
        <v>-698.90750000000003</v>
      </c>
      <c r="H2477" s="3">
        <f t="shared" si="290"/>
        <v>698.90750000000003</v>
      </c>
      <c r="I2477" s="5" t="str">
        <f t="shared" si="291"/>
        <v>018</v>
      </c>
      <c r="J2477" s="5" t="str">
        <f t="shared" si="292"/>
        <v>2210</v>
      </c>
      <c r="K2477" s="5" t="str">
        <f t="shared" si="293"/>
        <v>000</v>
      </c>
      <c r="L2477" s="5">
        <f t="shared" si="294"/>
        <v>5</v>
      </c>
      <c r="M2477" s="5">
        <f t="shared" si="295"/>
        <v>2012</v>
      </c>
    </row>
    <row r="2478" spans="1:13" ht="17.45" customHeight="1" x14ac:dyDescent="0.25">
      <c r="A2478" s="1">
        <f>DATE(2012,5,23)</f>
        <v>41052</v>
      </c>
      <c r="B2478" t="s">
        <v>21</v>
      </c>
      <c r="C2478" t="s">
        <v>9</v>
      </c>
      <c r="D2478" s="3">
        <v>226.30500000000001</v>
      </c>
      <c r="E2478" s="3">
        <v>0</v>
      </c>
      <c r="F2478" t="s">
        <v>45</v>
      </c>
      <c r="G2478" s="3">
        <f t="shared" si="289"/>
        <v>-226.30500000000001</v>
      </c>
      <c r="H2478" s="3">
        <f t="shared" si="290"/>
        <v>226.30500000000001</v>
      </c>
      <c r="I2478" s="5" t="str">
        <f t="shared" si="291"/>
        <v>018</v>
      </c>
      <c r="J2478" s="5" t="str">
        <f t="shared" si="292"/>
        <v>2220</v>
      </c>
      <c r="K2478" s="5" t="str">
        <f t="shared" si="293"/>
        <v>000</v>
      </c>
      <c r="L2478" s="5">
        <f t="shared" si="294"/>
        <v>5</v>
      </c>
      <c r="M2478" s="5">
        <f t="shared" si="295"/>
        <v>2012</v>
      </c>
    </row>
    <row r="2479" spans="1:13" ht="17.45" customHeight="1" x14ac:dyDescent="0.25">
      <c r="A2479" s="1">
        <f>DATE(2012,5,23)</f>
        <v>41052</v>
      </c>
      <c r="B2479" t="s">
        <v>22</v>
      </c>
      <c r="C2479" t="s">
        <v>10</v>
      </c>
      <c r="D2479" s="3">
        <v>97.992500000000007</v>
      </c>
      <c r="E2479" s="3">
        <v>0</v>
      </c>
      <c r="F2479" t="s">
        <v>45</v>
      </c>
      <c r="G2479" s="3">
        <f t="shared" si="289"/>
        <v>-97.992500000000007</v>
      </c>
      <c r="H2479" s="3">
        <f t="shared" si="290"/>
        <v>97.992500000000007</v>
      </c>
      <c r="I2479" s="5" t="str">
        <f t="shared" si="291"/>
        <v>018</v>
      </c>
      <c r="J2479" s="5" t="str">
        <f t="shared" si="292"/>
        <v>2230</v>
      </c>
      <c r="K2479" s="5" t="str">
        <f t="shared" si="293"/>
        <v>000</v>
      </c>
      <c r="L2479" s="5">
        <f t="shared" si="294"/>
        <v>5</v>
      </c>
      <c r="M2479" s="5">
        <f t="shared" si="295"/>
        <v>2012</v>
      </c>
    </row>
    <row r="2480" spans="1:13" ht="17.45" customHeight="1" x14ac:dyDescent="0.25">
      <c r="A2480" s="1">
        <f>DATE(2012,5,24)</f>
        <v>41053</v>
      </c>
      <c r="B2480" t="s">
        <v>19</v>
      </c>
      <c r="C2480" t="s">
        <v>6</v>
      </c>
      <c r="D2480" s="3">
        <v>3605.1610000000001</v>
      </c>
      <c r="E2480" s="3">
        <v>0</v>
      </c>
      <c r="F2480" t="s">
        <v>45</v>
      </c>
      <c r="G2480" s="3">
        <f t="shared" si="289"/>
        <v>-3605.1610000000001</v>
      </c>
      <c r="H2480" s="3">
        <f t="shared" si="290"/>
        <v>3605.1610000000001</v>
      </c>
      <c r="I2480" s="5" t="str">
        <f t="shared" si="291"/>
        <v>018</v>
      </c>
      <c r="J2480" s="5" t="str">
        <f t="shared" si="292"/>
        <v>2100</v>
      </c>
      <c r="K2480" s="5" t="str">
        <f t="shared" si="293"/>
        <v>000</v>
      </c>
      <c r="L2480" s="5">
        <f t="shared" si="294"/>
        <v>5</v>
      </c>
      <c r="M2480" s="5">
        <f t="shared" si="295"/>
        <v>2012</v>
      </c>
    </row>
    <row r="2481" spans="1:13" ht="17.45" customHeight="1" x14ac:dyDescent="0.25">
      <c r="A2481" s="1">
        <f>DATE(2012,5,24)</f>
        <v>41053</v>
      </c>
      <c r="B2481" t="s">
        <v>20</v>
      </c>
      <c r="C2481" t="s">
        <v>8</v>
      </c>
      <c r="D2481" s="3">
        <v>1361.0174999999999</v>
      </c>
      <c r="E2481" s="3">
        <v>0</v>
      </c>
      <c r="F2481" t="s">
        <v>45</v>
      </c>
      <c r="G2481" s="3">
        <f t="shared" si="289"/>
        <v>-1361.0174999999999</v>
      </c>
      <c r="H2481" s="3">
        <f t="shared" si="290"/>
        <v>1361.0174999999999</v>
      </c>
      <c r="I2481" s="5" t="str">
        <f t="shared" si="291"/>
        <v>018</v>
      </c>
      <c r="J2481" s="5" t="str">
        <f t="shared" si="292"/>
        <v>2210</v>
      </c>
      <c r="K2481" s="5" t="str">
        <f t="shared" si="293"/>
        <v>000</v>
      </c>
      <c r="L2481" s="5">
        <f t="shared" si="294"/>
        <v>5</v>
      </c>
      <c r="M2481" s="5">
        <f t="shared" si="295"/>
        <v>2012</v>
      </c>
    </row>
    <row r="2482" spans="1:13" ht="17.45" customHeight="1" x14ac:dyDescent="0.25">
      <c r="A2482" s="1">
        <f>DATE(2012,5,24)</f>
        <v>41053</v>
      </c>
      <c r="B2482" t="s">
        <v>21</v>
      </c>
      <c r="C2482" t="s">
        <v>9</v>
      </c>
      <c r="D2482" s="3">
        <v>144.536</v>
      </c>
      <c r="E2482" s="3">
        <v>0</v>
      </c>
      <c r="F2482" t="s">
        <v>45</v>
      </c>
      <c r="G2482" s="3">
        <f t="shared" si="289"/>
        <v>-144.536</v>
      </c>
      <c r="H2482" s="3">
        <f t="shared" si="290"/>
        <v>144.536</v>
      </c>
      <c r="I2482" s="5" t="str">
        <f t="shared" si="291"/>
        <v>018</v>
      </c>
      <c r="J2482" s="5" t="str">
        <f t="shared" si="292"/>
        <v>2220</v>
      </c>
      <c r="K2482" s="5" t="str">
        <f t="shared" si="293"/>
        <v>000</v>
      </c>
      <c r="L2482" s="5">
        <f t="shared" si="294"/>
        <v>5</v>
      </c>
      <c r="M2482" s="5">
        <f t="shared" si="295"/>
        <v>2012</v>
      </c>
    </row>
    <row r="2483" spans="1:13" ht="17.45" customHeight="1" x14ac:dyDescent="0.25">
      <c r="A2483" s="1">
        <f>DATE(2012,5,24)</f>
        <v>41053</v>
      </c>
      <c r="B2483" t="s">
        <v>22</v>
      </c>
      <c r="C2483" t="s">
        <v>10</v>
      </c>
      <c r="D2483" s="3">
        <v>41.923999999999999</v>
      </c>
      <c r="E2483" s="3">
        <v>0</v>
      </c>
      <c r="F2483" t="s">
        <v>45</v>
      </c>
      <c r="G2483" s="3">
        <f t="shared" si="289"/>
        <v>-41.923999999999999</v>
      </c>
      <c r="H2483" s="3">
        <f t="shared" si="290"/>
        <v>41.923999999999999</v>
      </c>
      <c r="I2483" s="5" t="str">
        <f t="shared" si="291"/>
        <v>018</v>
      </c>
      <c r="J2483" s="5" t="str">
        <f t="shared" si="292"/>
        <v>2230</v>
      </c>
      <c r="K2483" s="5" t="str">
        <f t="shared" si="293"/>
        <v>000</v>
      </c>
      <c r="L2483" s="5">
        <f t="shared" si="294"/>
        <v>5</v>
      </c>
      <c r="M2483" s="5">
        <f t="shared" si="295"/>
        <v>2012</v>
      </c>
    </row>
    <row r="2484" spans="1:13" ht="17.45" customHeight="1" x14ac:dyDescent="0.25">
      <c r="A2484" s="1">
        <f>DATE(2012,5,25)</f>
        <v>41054</v>
      </c>
      <c r="B2484" t="s">
        <v>19</v>
      </c>
      <c r="C2484" t="s">
        <v>6</v>
      </c>
      <c r="D2484" s="3">
        <v>8403.0505000000012</v>
      </c>
      <c r="E2484" s="3">
        <v>0</v>
      </c>
      <c r="F2484" t="s">
        <v>45</v>
      </c>
      <c r="G2484" s="3">
        <f t="shared" si="289"/>
        <v>-8403.0505000000012</v>
      </c>
      <c r="H2484" s="3">
        <f t="shared" si="290"/>
        <v>8403.0505000000012</v>
      </c>
      <c r="I2484" s="5" t="str">
        <f t="shared" si="291"/>
        <v>018</v>
      </c>
      <c r="J2484" s="5" t="str">
        <f t="shared" si="292"/>
        <v>2100</v>
      </c>
      <c r="K2484" s="5" t="str">
        <f t="shared" si="293"/>
        <v>000</v>
      </c>
      <c r="L2484" s="5">
        <f t="shared" si="294"/>
        <v>5</v>
      </c>
      <c r="M2484" s="5">
        <f t="shared" si="295"/>
        <v>2012</v>
      </c>
    </row>
    <row r="2485" spans="1:13" ht="17.45" customHeight="1" x14ac:dyDescent="0.25">
      <c r="A2485" s="1">
        <f>DATE(2012,5,25)</f>
        <v>41054</v>
      </c>
      <c r="B2485" t="s">
        <v>20</v>
      </c>
      <c r="C2485" t="s">
        <v>8</v>
      </c>
      <c r="D2485" s="3">
        <v>2684.4479999999999</v>
      </c>
      <c r="E2485" s="3">
        <v>0</v>
      </c>
      <c r="F2485" t="s">
        <v>45</v>
      </c>
      <c r="G2485" s="3">
        <f t="shared" si="289"/>
        <v>-2684.4479999999999</v>
      </c>
      <c r="H2485" s="3">
        <f t="shared" si="290"/>
        <v>2684.4479999999999</v>
      </c>
      <c r="I2485" s="5" t="str">
        <f t="shared" si="291"/>
        <v>018</v>
      </c>
      <c r="J2485" s="5" t="str">
        <f t="shared" si="292"/>
        <v>2210</v>
      </c>
      <c r="K2485" s="5" t="str">
        <f t="shared" si="293"/>
        <v>000</v>
      </c>
      <c r="L2485" s="5">
        <f t="shared" si="294"/>
        <v>5</v>
      </c>
      <c r="M2485" s="5">
        <f t="shared" si="295"/>
        <v>2012</v>
      </c>
    </row>
    <row r="2486" spans="1:13" ht="17.45" customHeight="1" x14ac:dyDescent="0.25">
      <c r="A2486" s="1">
        <f>DATE(2012,5,25)</f>
        <v>41054</v>
      </c>
      <c r="B2486" t="s">
        <v>21</v>
      </c>
      <c r="C2486" t="s">
        <v>9</v>
      </c>
      <c r="D2486" s="3">
        <v>632.24699999999996</v>
      </c>
      <c r="E2486" s="3">
        <v>0</v>
      </c>
      <c r="F2486" t="s">
        <v>45</v>
      </c>
      <c r="G2486" s="3">
        <f t="shared" si="289"/>
        <v>-632.24699999999996</v>
      </c>
      <c r="H2486" s="3">
        <f t="shared" si="290"/>
        <v>632.24699999999996</v>
      </c>
      <c r="I2486" s="5" t="str">
        <f t="shared" si="291"/>
        <v>018</v>
      </c>
      <c r="J2486" s="5" t="str">
        <f t="shared" si="292"/>
        <v>2220</v>
      </c>
      <c r="K2486" s="5" t="str">
        <f t="shared" si="293"/>
        <v>000</v>
      </c>
      <c r="L2486" s="5">
        <f t="shared" si="294"/>
        <v>5</v>
      </c>
      <c r="M2486" s="5">
        <f t="shared" si="295"/>
        <v>2012</v>
      </c>
    </row>
    <row r="2487" spans="1:13" ht="17.45" customHeight="1" x14ac:dyDescent="0.25">
      <c r="A2487" s="1">
        <f>DATE(2012,5,25)</f>
        <v>41054</v>
      </c>
      <c r="B2487" t="s">
        <v>22</v>
      </c>
      <c r="C2487" t="s">
        <v>10</v>
      </c>
      <c r="D2487" s="3">
        <v>98.664999999999992</v>
      </c>
      <c r="E2487" s="3">
        <v>0</v>
      </c>
      <c r="F2487" t="s">
        <v>45</v>
      </c>
      <c r="G2487" s="3">
        <f t="shared" si="289"/>
        <v>-98.664999999999992</v>
      </c>
      <c r="H2487" s="3">
        <f t="shared" si="290"/>
        <v>98.664999999999992</v>
      </c>
      <c r="I2487" s="5" t="str">
        <f t="shared" si="291"/>
        <v>018</v>
      </c>
      <c r="J2487" s="5" t="str">
        <f t="shared" si="292"/>
        <v>2230</v>
      </c>
      <c r="K2487" s="5" t="str">
        <f t="shared" si="293"/>
        <v>000</v>
      </c>
      <c r="L2487" s="5">
        <f t="shared" si="294"/>
        <v>5</v>
      </c>
      <c r="M2487" s="5">
        <f t="shared" si="295"/>
        <v>2012</v>
      </c>
    </row>
    <row r="2488" spans="1:13" ht="17.45" customHeight="1" x14ac:dyDescent="0.25">
      <c r="A2488" s="1">
        <f>DATE(2012,5,26)</f>
        <v>41055</v>
      </c>
      <c r="B2488" t="s">
        <v>19</v>
      </c>
      <c r="C2488" t="s">
        <v>6</v>
      </c>
      <c r="D2488" s="3">
        <v>11868.773999999999</v>
      </c>
      <c r="E2488" s="3">
        <v>0</v>
      </c>
      <c r="F2488" t="s">
        <v>45</v>
      </c>
      <c r="G2488" s="3">
        <f t="shared" si="289"/>
        <v>-11868.773999999999</v>
      </c>
      <c r="H2488" s="3">
        <f t="shared" si="290"/>
        <v>11868.773999999999</v>
      </c>
      <c r="I2488" s="5" t="str">
        <f t="shared" si="291"/>
        <v>018</v>
      </c>
      <c r="J2488" s="5" t="str">
        <f t="shared" si="292"/>
        <v>2100</v>
      </c>
      <c r="K2488" s="5" t="str">
        <f t="shared" si="293"/>
        <v>000</v>
      </c>
      <c r="L2488" s="5">
        <f t="shared" si="294"/>
        <v>5</v>
      </c>
      <c r="M2488" s="5">
        <f t="shared" si="295"/>
        <v>2012</v>
      </c>
    </row>
    <row r="2489" spans="1:13" ht="17.45" customHeight="1" x14ac:dyDescent="0.25">
      <c r="A2489" s="1">
        <f>DATE(2012,5,26)</f>
        <v>41055</v>
      </c>
      <c r="B2489" t="s">
        <v>20</v>
      </c>
      <c r="C2489" t="s">
        <v>8</v>
      </c>
      <c r="D2489" s="3">
        <v>2839.7649999999999</v>
      </c>
      <c r="E2489" s="3">
        <v>0</v>
      </c>
      <c r="F2489" t="s">
        <v>45</v>
      </c>
      <c r="G2489" s="3">
        <f t="shared" si="289"/>
        <v>-2839.7649999999999</v>
      </c>
      <c r="H2489" s="3">
        <f t="shared" si="290"/>
        <v>2839.7649999999999</v>
      </c>
      <c r="I2489" s="5" t="str">
        <f t="shared" si="291"/>
        <v>018</v>
      </c>
      <c r="J2489" s="5" t="str">
        <f t="shared" si="292"/>
        <v>2210</v>
      </c>
      <c r="K2489" s="5" t="str">
        <f t="shared" si="293"/>
        <v>000</v>
      </c>
      <c r="L2489" s="5">
        <f t="shared" si="294"/>
        <v>5</v>
      </c>
      <c r="M2489" s="5">
        <f t="shared" si="295"/>
        <v>2012</v>
      </c>
    </row>
    <row r="2490" spans="1:13" ht="17.45" customHeight="1" x14ac:dyDescent="0.25">
      <c r="A2490" s="1">
        <f>DATE(2012,5,26)</f>
        <v>41055</v>
      </c>
      <c r="B2490" t="s">
        <v>21</v>
      </c>
      <c r="C2490" t="s">
        <v>9</v>
      </c>
      <c r="D2490" s="3">
        <v>393.49799999999999</v>
      </c>
      <c r="E2490" s="3">
        <v>0</v>
      </c>
      <c r="F2490" t="s">
        <v>45</v>
      </c>
      <c r="G2490" s="3">
        <f t="shared" si="289"/>
        <v>-393.49799999999999</v>
      </c>
      <c r="H2490" s="3">
        <f t="shared" si="290"/>
        <v>393.49799999999999</v>
      </c>
      <c r="I2490" s="5" t="str">
        <f t="shared" si="291"/>
        <v>018</v>
      </c>
      <c r="J2490" s="5" t="str">
        <f t="shared" si="292"/>
        <v>2220</v>
      </c>
      <c r="K2490" s="5" t="str">
        <f t="shared" si="293"/>
        <v>000</v>
      </c>
      <c r="L2490" s="5">
        <f t="shared" si="294"/>
        <v>5</v>
      </c>
      <c r="M2490" s="5">
        <f t="shared" si="295"/>
        <v>2012</v>
      </c>
    </row>
    <row r="2491" spans="1:13" ht="17.45" customHeight="1" x14ac:dyDescent="0.25">
      <c r="A2491" s="1">
        <f>DATE(2012,5,26)</f>
        <v>41055</v>
      </c>
      <c r="B2491" t="s">
        <v>22</v>
      </c>
      <c r="C2491" t="s">
        <v>10</v>
      </c>
      <c r="D2491" s="3">
        <v>50.162999999999997</v>
      </c>
      <c r="E2491" s="3">
        <v>0</v>
      </c>
      <c r="F2491" t="s">
        <v>45</v>
      </c>
      <c r="G2491" s="3">
        <f t="shared" si="289"/>
        <v>-50.162999999999997</v>
      </c>
      <c r="H2491" s="3">
        <f t="shared" si="290"/>
        <v>50.162999999999997</v>
      </c>
      <c r="I2491" s="5" t="str">
        <f t="shared" si="291"/>
        <v>018</v>
      </c>
      <c r="J2491" s="5" t="str">
        <f t="shared" si="292"/>
        <v>2230</v>
      </c>
      <c r="K2491" s="5" t="str">
        <f t="shared" si="293"/>
        <v>000</v>
      </c>
      <c r="L2491" s="5">
        <f t="shared" si="294"/>
        <v>5</v>
      </c>
      <c r="M2491" s="5">
        <f t="shared" si="295"/>
        <v>2012</v>
      </c>
    </row>
    <row r="2492" spans="1:13" ht="17.45" customHeight="1" x14ac:dyDescent="0.25">
      <c r="A2492" s="1">
        <f>DATE(2012,5,27)</f>
        <v>41056</v>
      </c>
      <c r="B2492" t="s">
        <v>19</v>
      </c>
      <c r="C2492" t="s">
        <v>6</v>
      </c>
      <c r="D2492" s="3">
        <v>9163.7820000000011</v>
      </c>
      <c r="E2492" s="3">
        <v>0</v>
      </c>
      <c r="F2492" t="s">
        <v>45</v>
      </c>
      <c r="G2492" s="3">
        <f t="shared" si="289"/>
        <v>-9163.7820000000011</v>
      </c>
      <c r="H2492" s="3">
        <f t="shared" si="290"/>
        <v>9163.7820000000011</v>
      </c>
      <c r="I2492" s="5" t="str">
        <f t="shared" si="291"/>
        <v>018</v>
      </c>
      <c r="J2492" s="5" t="str">
        <f t="shared" si="292"/>
        <v>2100</v>
      </c>
      <c r="K2492" s="5" t="str">
        <f t="shared" si="293"/>
        <v>000</v>
      </c>
      <c r="L2492" s="5">
        <f t="shared" si="294"/>
        <v>5</v>
      </c>
      <c r="M2492" s="5">
        <f t="shared" si="295"/>
        <v>2012</v>
      </c>
    </row>
    <row r="2493" spans="1:13" ht="17.45" customHeight="1" x14ac:dyDescent="0.25">
      <c r="A2493" s="1">
        <f>DATE(2012,5,27)</f>
        <v>41056</v>
      </c>
      <c r="B2493" t="s">
        <v>20</v>
      </c>
      <c r="C2493" t="s">
        <v>8</v>
      </c>
      <c r="D2493" s="3">
        <v>1076.0475000000001</v>
      </c>
      <c r="E2493" s="3">
        <v>0</v>
      </c>
      <c r="F2493" t="s">
        <v>45</v>
      </c>
      <c r="G2493" s="3">
        <f t="shared" si="289"/>
        <v>-1076.0475000000001</v>
      </c>
      <c r="H2493" s="3">
        <f t="shared" si="290"/>
        <v>1076.0475000000001</v>
      </c>
      <c r="I2493" s="5" t="str">
        <f t="shared" si="291"/>
        <v>018</v>
      </c>
      <c r="J2493" s="5" t="str">
        <f t="shared" si="292"/>
        <v>2210</v>
      </c>
      <c r="K2493" s="5" t="str">
        <f t="shared" si="293"/>
        <v>000</v>
      </c>
      <c r="L2493" s="5">
        <f t="shared" si="294"/>
        <v>5</v>
      </c>
      <c r="M2493" s="5">
        <f t="shared" si="295"/>
        <v>2012</v>
      </c>
    </row>
    <row r="2494" spans="1:13" ht="17.45" customHeight="1" x14ac:dyDescent="0.25">
      <c r="A2494" s="1">
        <f>DATE(2012,5,27)</f>
        <v>41056</v>
      </c>
      <c r="B2494" t="s">
        <v>21</v>
      </c>
      <c r="C2494" t="s">
        <v>9</v>
      </c>
      <c r="D2494" s="3">
        <v>460.6875</v>
      </c>
      <c r="E2494" s="3">
        <v>0</v>
      </c>
      <c r="F2494" t="s">
        <v>45</v>
      </c>
      <c r="G2494" s="3">
        <f t="shared" si="289"/>
        <v>-460.6875</v>
      </c>
      <c r="H2494" s="3">
        <f t="shared" si="290"/>
        <v>460.6875</v>
      </c>
      <c r="I2494" s="5" t="str">
        <f t="shared" si="291"/>
        <v>018</v>
      </c>
      <c r="J2494" s="5" t="str">
        <f t="shared" si="292"/>
        <v>2220</v>
      </c>
      <c r="K2494" s="5" t="str">
        <f t="shared" si="293"/>
        <v>000</v>
      </c>
      <c r="L2494" s="5">
        <f t="shared" si="294"/>
        <v>5</v>
      </c>
      <c r="M2494" s="5">
        <f t="shared" si="295"/>
        <v>2012</v>
      </c>
    </row>
    <row r="2495" spans="1:13" ht="17.45" customHeight="1" x14ac:dyDescent="0.25">
      <c r="A2495" s="1">
        <f>DATE(2012,5,27)</f>
        <v>41056</v>
      </c>
      <c r="B2495" t="s">
        <v>22</v>
      </c>
      <c r="C2495" t="s">
        <v>10</v>
      </c>
      <c r="D2495" s="3">
        <v>87.488</v>
      </c>
      <c r="E2495" s="3">
        <v>0</v>
      </c>
      <c r="F2495" t="s">
        <v>45</v>
      </c>
      <c r="G2495" s="3">
        <f t="shared" si="289"/>
        <v>-87.488</v>
      </c>
      <c r="H2495" s="3">
        <f t="shared" si="290"/>
        <v>87.488</v>
      </c>
      <c r="I2495" s="5" t="str">
        <f t="shared" si="291"/>
        <v>018</v>
      </c>
      <c r="J2495" s="5" t="str">
        <f t="shared" si="292"/>
        <v>2230</v>
      </c>
      <c r="K2495" s="5" t="str">
        <f t="shared" si="293"/>
        <v>000</v>
      </c>
      <c r="L2495" s="5">
        <f t="shared" si="294"/>
        <v>5</v>
      </c>
      <c r="M2495" s="5">
        <f t="shared" si="295"/>
        <v>2012</v>
      </c>
    </row>
    <row r="2496" spans="1:13" ht="17.45" customHeight="1" x14ac:dyDescent="0.25">
      <c r="A2496" s="1">
        <f>DATE(2012,5,28)</f>
        <v>41057</v>
      </c>
      <c r="B2496" t="s">
        <v>11</v>
      </c>
      <c r="C2496" t="s">
        <v>6</v>
      </c>
      <c r="D2496" s="3">
        <v>5499.5733999999993</v>
      </c>
      <c r="E2496" s="3">
        <v>0</v>
      </c>
      <c r="F2496" t="s">
        <v>45</v>
      </c>
      <c r="G2496" s="3">
        <f t="shared" si="289"/>
        <v>-5499.5733999999993</v>
      </c>
      <c r="H2496" s="3">
        <f t="shared" si="290"/>
        <v>5499.5733999999993</v>
      </c>
      <c r="I2496" s="5" t="str">
        <f t="shared" si="291"/>
        <v>016</v>
      </c>
      <c r="J2496" s="5" t="str">
        <f t="shared" si="292"/>
        <v>2100</v>
      </c>
      <c r="K2496" s="5" t="str">
        <f t="shared" si="293"/>
        <v>000</v>
      </c>
      <c r="L2496" s="5">
        <f t="shared" si="294"/>
        <v>5</v>
      </c>
      <c r="M2496" s="5">
        <f t="shared" si="295"/>
        <v>2012</v>
      </c>
    </row>
    <row r="2497" spans="1:13" ht="17.45" customHeight="1" x14ac:dyDescent="0.25">
      <c r="A2497" s="1">
        <f>DATE(2012,5,28)</f>
        <v>41057</v>
      </c>
      <c r="B2497" t="s">
        <v>12</v>
      </c>
      <c r="C2497" t="s">
        <v>8</v>
      </c>
      <c r="D2497" s="3">
        <v>1246.0150000000001</v>
      </c>
      <c r="E2497" s="3">
        <v>0</v>
      </c>
      <c r="F2497" t="s">
        <v>45</v>
      </c>
      <c r="G2497" s="3">
        <f t="shared" si="289"/>
        <v>-1246.0150000000001</v>
      </c>
      <c r="H2497" s="3">
        <f t="shared" si="290"/>
        <v>1246.0150000000001</v>
      </c>
      <c r="I2497" s="5" t="str">
        <f t="shared" si="291"/>
        <v>016</v>
      </c>
      <c r="J2497" s="5" t="str">
        <f t="shared" si="292"/>
        <v>2210</v>
      </c>
      <c r="K2497" s="5" t="str">
        <f t="shared" si="293"/>
        <v>000</v>
      </c>
      <c r="L2497" s="5">
        <f t="shared" si="294"/>
        <v>5</v>
      </c>
      <c r="M2497" s="5">
        <f t="shared" si="295"/>
        <v>2012</v>
      </c>
    </row>
    <row r="2498" spans="1:13" ht="17.45" customHeight="1" x14ac:dyDescent="0.25">
      <c r="A2498" s="1">
        <f>DATE(2012,5,28)</f>
        <v>41057</v>
      </c>
      <c r="B2498" t="s">
        <v>13</v>
      </c>
      <c r="C2498" t="s">
        <v>9</v>
      </c>
      <c r="D2498" s="3">
        <v>149.60000000000002</v>
      </c>
      <c r="E2498" s="3">
        <v>0</v>
      </c>
      <c r="F2498" t="s">
        <v>45</v>
      </c>
      <c r="G2498" s="3">
        <f t="shared" ref="G2498:G2561" si="296">E2498-D2498</f>
        <v>-149.60000000000002</v>
      </c>
      <c r="H2498" s="3">
        <f t="shared" ref="H2498:H2561" si="297">ABS(G2498)</f>
        <v>149.60000000000002</v>
      </c>
      <c r="I2498" s="5" t="str">
        <f t="shared" ref="I2498:I2561" si="298">MID(B2498,1,3)</f>
        <v>016</v>
      </c>
      <c r="J2498" s="5" t="str">
        <f t="shared" ref="J2498:J2561" si="299">MID(B2498,5,4)</f>
        <v>2220</v>
      </c>
      <c r="K2498" s="5" t="str">
        <f t="shared" ref="K2498:K2561" si="300">MID(B2498,10,3)</f>
        <v>000</v>
      </c>
      <c r="L2498" s="5">
        <f t="shared" ref="L2498:L2561" si="301">MONTH(A2498)</f>
        <v>5</v>
      </c>
      <c r="M2498" s="5">
        <f t="shared" ref="M2498:M2561" si="302">YEAR(A2498)</f>
        <v>2012</v>
      </c>
    </row>
    <row r="2499" spans="1:13" ht="17.45" customHeight="1" x14ac:dyDescent="0.25">
      <c r="A2499" s="1">
        <f>DATE(2012,5,28)</f>
        <v>41057</v>
      </c>
      <c r="B2499" t="s">
        <v>14</v>
      </c>
      <c r="C2499" t="s">
        <v>10</v>
      </c>
      <c r="D2499" s="3">
        <v>116.23399999999999</v>
      </c>
      <c r="E2499" s="3">
        <v>0</v>
      </c>
      <c r="F2499" t="s">
        <v>45</v>
      </c>
      <c r="G2499" s="3">
        <f t="shared" si="296"/>
        <v>-116.23399999999999</v>
      </c>
      <c r="H2499" s="3">
        <f t="shared" si="297"/>
        <v>116.23399999999999</v>
      </c>
      <c r="I2499" s="5" t="str">
        <f t="shared" si="298"/>
        <v>016</v>
      </c>
      <c r="J2499" s="5" t="str">
        <f t="shared" si="299"/>
        <v>2230</v>
      </c>
      <c r="K2499" s="5" t="str">
        <f t="shared" si="300"/>
        <v>000</v>
      </c>
      <c r="L2499" s="5">
        <f t="shared" si="301"/>
        <v>5</v>
      </c>
      <c r="M2499" s="5">
        <f t="shared" si="302"/>
        <v>2012</v>
      </c>
    </row>
    <row r="2500" spans="1:13" ht="17.45" customHeight="1" x14ac:dyDescent="0.25">
      <c r="A2500" s="1">
        <f>DATE(2012,5,29)</f>
        <v>41058</v>
      </c>
      <c r="B2500" t="s">
        <v>11</v>
      </c>
      <c r="C2500" t="s">
        <v>6</v>
      </c>
      <c r="D2500" s="3">
        <v>3503.5083999999997</v>
      </c>
      <c r="E2500" s="3">
        <v>0</v>
      </c>
      <c r="F2500" t="s">
        <v>45</v>
      </c>
      <c r="G2500" s="3">
        <f t="shared" si="296"/>
        <v>-3503.5083999999997</v>
      </c>
      <c r="H2500" s="3">
        <f t="shared" si="297"/>
        <v>3503.5083999999997</v>
      </c>
      <c r="I2500" s="5" t="str">
        <f t="shared" si="298"/>
        <v>016</v>
      </c>
      <c r="J2500" s="5" t="str">
        <f t="shared" si="299"/>
        <v>2100</v>
      </c>
      <c r="K2500" s="5" t="str">
        <f t="shared" si="300"/>
        <v>000</v>
      </c>
      <c r="L2500" s="5">
        <f t="shared" si="301"/>
        <v>5</v>
      </c>
      <c r="M2500" s="5">
        <f t="shared" si="302"/>
        <v>2012</v>
      </c>
    </row>
    <row r="2501" spans="1:13" ht="17.45" customHeight="1" x14ac:dyDescent="0.25">
      <c r="A2501" s="1">
        <f>DATE(2012,5,29)</f>
        <v>41058</v>
      </c>
      <c r="B2501" t="s">
        <v>12</v>
      </c>
      <c r="C2501" t="s">
        <v>8</v>
      </c>
      <c r="D2501" s="3">
        <v>1048.4921999999999</v>
      </c>
      <c r="E2501" s="3">
        <v>0</v>
      </c>
      <c r="F2501" t="s">
        <v>45</v>
      </c>
      <c r="G2501" s="3">
        <f t="shared" si="296"/>
        <v>-1048.4921999999999</v>
      </c>
      <c r="H2501" s="3">
        <f t="shared" si="297"/>
        <v>1048.4921999999999</v>
      </c>
      <c r="I2501" s="5" t="str">
        <f t="shared" si="298"/>
        <v>016</v>
      </c>
      <c r="J2501" s="5" t="str">
        <f t="shared" si="299"/>
        <v>2210</v>
      </c>
      <c r="K2501" s="5" t="str">
        <f t="shared" si="300"/>
        <v>000</v>
      </c>
      <c r="L2501" s="5">
        <f t="shared" si="301"/>
        <v>5</v>
      </c>
      <c r="M2501" s="5">
        <f t="shared" si="302"/>
        <v>2012</v>
      </c>
    </row>
    <row r="2502" spans="1:13" ht="17.45" customHeight="1" x14ac:dyDescent="0.25">
      <c r="A2502" s="1">
        <f>DATE(2012,5,29)</f>
        <v>41058</v>
      </c>
      <c r="B2502" t="s">
        <v>13</v>
      </c>
      <c r="C2502" t="s">
        <v>9</v>
      </c>
      <c r="D2502" s="3">
        <v>477.23799999999994</v>
      </c>
      <c r="E2502" s="3">
        <v>0</v>
      </c>
      <c r="F2502" t="s">
        <v>45</v>
      </c>
      <c r="G2502" s="3">
        <f t="shared" si="296"/>
        <v>-477.23799999999994</v>
      </c>
      <c r="H2502" s="3">
        <f t="shared" si="297"/>
        <v>477.23799999999994</v>
      </c>
      <c r="I2502" s="5" t="str">
        <f t="shared" si="298"/>
        <v>016</v>
      </c>
      <c r="J2502" s="5" t="str">
        <f t="shared" si="299"/>
        <v>2220</v>
      </c>
      <c r="K2502" s="5" t="str">
        <f t="shared" si="300"/>
        <v>000</v>
      </c>
      <c r="L2502" s="5">
        <f t="shared" si="301"/>
        <v>5</v>
      </c>
      <c r="M2502" s="5">
        <f t="shared" si="302"/>
        <v>2012</v>
      </c>
    </row>
    <row r="2503" spans="1:13" ht="17.45" customHeight="1" x14ac:dyDescent="0.25">
      <c r="A2503" s="1">
        <f>DATE(2012,5,29)</f>
        <v>41058</v>
      </c>
      <c r="B2503" t="s">
        <v>14</v>
      </c>
      <c r="C2503" t="s">
        <v>10</v>
      </c>
      <c r="D2503" s="3">
        <v>140.5615</v>
      </c>
      <c r="E2503" s="3">
        <v>0</v>
      </c>
      <c r="F2503" t="s">
        <v>45</v>
      </c>
      <c r="G2503" s="3">
        <f t="shared" si="296"/>
        <v>-140.5615</v>
      </c>
      <c r="H2503" s="3">
        <f t="shared" si="297"/>
        <v>140.5615</v>
      </c>
      <c r="I2503" s="5" t="str">
        <f t="shared" si="298"/>
        <v>016</v>
      </c>
      <c r="J2503" s="5" t="str">
        <f t="shared" si="299"/>
        <v>2230</v>
      </c>
      <c r="K2503" s="5" t="str">
        <f t="shared" si="300"/>
        <v>000</v>
      </c>
      <c r="L2503" s="5">
        <f t="shared" si="301"/>
        <v>5</v>
      </c>
      <c r="M2503" s="5">
        <f t="shared" si="302"/>
        <v>2012</v>
      </c>
    </row>
    <row r="2504" spans="1:13" ht="17.45" customHeight="1" x14ac:dyDescent="0.25">
      <c r="A2504" s="1">
        <f>DATE(2012,5,30)</f>
        <v>41059</v>
      </c>
      <c r="B2504" t="s">
        <v>11</v>
      </c>
      <c r="C2504" t="s">
        <v>6</v>
      </c>
      <c r="D2504" s="3">
        <v>2335.3188</v>
      </c>
      <c r="E2504" s="3">
        <v>0</v>
      </c>
      <c r="F2504" t="s">
        <v>45</v>
      </c>
      <c r="G2504" s="3">
        <f t="shared" si="296"/>
        <v>-2335.3188</v>
      </c>
      <c r="H2504" s="3">
        <f t="shared" si="297"/>
        <v>2335.3188</v>
      </c>
      <c r="I2504" s="5" t="str">
        <f t="shared" si="298"/>
        <v>016</v>
      </c>
      <c r="J2504" s="5" t="str">
        <f t="shared" si="299"/>
        <v>2100</v>
      </c>
      <c r="K2504" s="5" t="str">
        <f t="shared" si="300"/>
        <v>000</v>
      </c>
      <c r="L2504" s="5">
        <f t="shared" si="301"/>
        <v>5</v>
      </c>
      <c r="M2504" s="5">
        <f t="shared" si="302"/>
        <v>2012</v>
      </c>
    </row>
    <row r="2505" spans="1:13" ht="17.45" customHeight="1" x14ac:dyDescent="0.25">
      <c r="A2505" s="1">
        <f>DATE(2012,5,30)</f>
        <v>41059</v>
      </c>
      <c r="B2505" t="s">
        <v>12</v>
      </c>
      <c r="C2505" t="s">
        <v>8</v>
      </c>
      <c r="D2505" s="3">
        <v>792.21</v>
      </c>
      <c r="E2505" s="3">
        <v>0</v>
      </c>
      <c r="F2505" t="s">
        <v>45</v>
      </c>
      <c r="G2505" s="3">
        <f t="shared" si="296"/>
        <v>-792.21</v>
      </c>
      <c r="H2505" s="3">
        <f t="shared" si="297"/>
        <v>792.21</v>
      </c>
      <c r="I2505" s="5" t="str">
        <f t="shared" si="298"/>
        <v>016</v>
      </c>
      <c r="J2505" s="5" t="str">
        <f t="shared" si="299"/>
        <v>2210</v>
      </c>
      <c r="K2505" s="5" t="str">
        <f t="shared" si="300"/>
        <v>000</v>
      </c>
      <c r="L2505" s="5">
        <f t="shared" si="301"/>
        <v>5</v>
      </c>
      <c r="M2505" s="5">
        <f t="shared" si="302"/>
        <v>2012</v>
      </c>
    </row>
    <row r="2506" spans="1:13" ht="17.45" customHeight="1" x14ac:dyDescent="0.25">
      <c r="A2506" s="1">
        <f>DATE(2012,5,30)</f>
        <v>41059</v>
      </c>
      <c r="B2506" t="s">
        <v>13</v>
      </c>
      <c r="C2506" t="s">
        <v>9</v>
      </c>
      <c r="D2506" s="3">
        <v>156.64000000000001</v>
      </c>
      <c r="E2506" s="3">
        <v>0</v>
      </c>
      <c r="F2506" t="s">
        <v>45</v>
      </c>
      <c r="G2506" s="3">
        <f t="shared" si="296"/>
        <v>-156.64000000000001</v>
      </c>
      <c r="H2506" s="3">
        <f t="shared" si="297"/>
        <v>156.64000000000001</v>
      </c>
      <c r="I2506" s="5" t="str">
        <f t="shared" si="298"/>
        <v>016</v>
      </c>
      <c r="J2506" s="5" t="str">
        <f t="shared" si="299"/>
        <v>2220</v>
      </c>
      <c r="K2506" s="5" t="str">
        <f t="shared" si="300"/>
        <v>000</v>
      </c>
      <c r="L2506" s="5">
        <f t="shared" si="301"/>
        <v>5</v>
      </c>
      <c r="M2506" s="5">
        <f t="shared" si="302"/>
        <v>2012</v>
      </c>
    </row>
    <row r="2507" spans="1:13" ht="17.45" customHeight="1" x14ac:dyDescent="0.25">
      <c r="A2507" s="1">
        <f>DATE(2012,5,30)</f>
        <v>41059</v>
      </c>
      <c r="B2507" t="s">
        <v>14</v>
      </c>
      <c r="C2507" t="s">
        <v>10</v>
      </c>
      <c r="D2507" s="3">
        <v>116.69350000000001</v>
      </c>
      <c r="E2507" s="3">
        <v>0</v>
      </c>
      <c r="F2507" t="s">
        <v>45</v>
      </c>
      <c r="G2507" s="3">
        <f t="shared" si="296"/>
        <v>-116.69350000000001</v>
      </c>
      <c r="H2507" s="3">
        <f t="shared" si="297"/>
        <v>116.69350000000001</v>
      </c>
      <c r="I2507" s="5" t="str">
        <f t="shared" si="298"/>
        <v>016</v>
      </c>
      <c r="J2507" s="5" t="str">
        <f t="shared" si="299"/>
        <v>2230</v>
      </c>
      <c r="K2507" s="5" t="str">
        <f t="shared" si="300"/>
        <v>000</v>
      </c>
      <c r="L2507" s="5">
        <f t="shared" si="301"/>
        <v>5</v>
      </c>
      <c r="M2507" s="5">
        <f t="shared" si="302"/>
        <v>2012</v>
      </c>
    </row>
    <row r="2508" spans="1:13" ht="17.45" customHeight="1" x14ac:dyDescent="0.25">
      <c r="A2508" s="1">
        <f t="shared" ref="A2508:A2511" si="303">DATE(2012,5,31)</f>
        <v>41060</v>
      </c>
      <c r="B2508" t="s">
        <v>11</v>
      </c>
      <c r="C2508" t="s">
        <v>6</v>
      </c>
      <c r="D2508" s="3">
        <v>3844.1890000000003</v>
      </c>
      <c r="E2508" s="3">
        <v>0</v>
      </c>
      <c r="F2508" t="s">
        <v>45</v>
      </c>
      <c r="G2508" s="3">
        <f t="shared" si="296"/>
        <v>-3844.1890000000003</v>
      </c>
      <c r="H2508" s="3">
        <f t="shared" si="297"/>
        <v>3844.1890000000003</v>
      </c>
      <c r="I2508" s="5" t="str">
        <f t="shared" si="298"/>
        <v>016</v>
      </c>
      <c r="J2508" s="5" t="str">
        <f t="shared" si="299"/>
        <v>2100</v>
      </c>
      <c r="K2508" s="5" t="str">
        <f t="shared" si="300"/>
        <v>000</v>
      </c>
      <c r="L2508" s="5">
        <f t="shared" si="301"/>
        <v>5</v>
      </c>
      <c r="M2508" s="5">
        <f t="shared" si="302"/>
        <v>2012</v>
      </c>
    </row>
    <row r="2509" spans="1:13" ht="17.45" customHeight="1" x14ac:dyDescent="0.25">
      <c r="A2509" s="1">
        <f t="shared" si="303"/>
        <v>41060</v>
      </c>
      <c r="B2509" t="s">
        <v>12</v>
      </c>
      <c r="C2509" t="s">
        <v>8</v>
      </c>
      <c r="D2509" s="3">
        <v>811.72699999999998</v>
      </c>
      <c r="E2509" s="3">
        <v>0</v>
      </c>
      <c r="F2509" t="s">
        <v>45</v>
      </c>
      <c r="G2509" s="3">
        <f t="shared" si="296"/>
        <v>-811.72699999999998</v>
      </c>
      <c r="H2509" s="3">
        <f t="shared" si="297"/>
        <v>811.72699999999998</v>
      </c>
      <c r="I2509" s="5" t="str">
        <f t="shared" si="298"/>
        <v>016</v>
      </c>
      <c r="J2509" s="5" t="str">
        <f t="shared" si="299"/>
        <v>2210</v>
      </c>
      <c r="K2509" s="5" t="str">
        <f t="shared" si="300"/>
        <v>000</v>
      </c>
      <c r="L2509" s="5">
        <f t="shared" si="301"/>
        <v>5</v>
      </c>
      <c r="M2509" s="5">
        <f t="shared" si="302"/>
        <v>2012</v>
      </c>
    </row>
    <row r="2510" spans="1:13" ht="17.45" customHeight="1" x14ac:dyDescent="0.25">
      <c r="A2510" s="1">
        <f t="shared" si="303"/>
        <v>41060</v>
      </c>
      <c r="B2510" t="s">
        <v>13</v>
      </c>
      <c r="C2510" t="s">
        <v>9</v>
      </c>
      <c r="D2510" s="3">
        <v>199.96250000000001</v>
      </c>
      <c r="E2510" s="3">
        <v>0</v>
      </c>
      <c r="F2510" t="s">
        <v>45</v>
      </c>
      <c r="G2510" s="3">
        <f t="shared" si="296"/>
        <v>-199.96250000000001</v>
      </c>
      <c r="H2510" s="3">
        <f t="shared" si="297"/>
        <v>199.96250000000001</v>
      </c>
      <c r="I2510" s="5" t="str">
        <f t="shared" si="298"/>
        <v>016</v>
      </c>
      <c r="J2510" s="5" t="str">
        <f t="shared" si="299"/>
        <v>2220</v>
      </c>
      <c r="K2510" s="5" t="str">
        <f t="shared" si="300"/>
        <v>000</v>
      </c>
      <c r="L2510" s="5">
        <f t="shared" si="301"/>
        <v>5</v>
      </c>
      <c r="M2510" s="5">
        <f t="shared" si="302"/>
        <v>2012</v>
      </c>
    </row>
    <row r="2511" spans="1:13" ht="17.45" customHeight="1" x14ac:dyDescent="0.25">
      <c r="A2511" s="1">
        <f t="shared" si="303"/>
        <v>41060</v>
      </c>
      <c r="B2511" t="s">
        <v>14</v>
      </c>
      <c r="C2511" t="s">
        <v>10</v>
      </c>
      <c r="D2511" s="3">
        <v>93.8125</v>
      </c>
      <c r="E2511" s="3">
        <v>0</v>
      </c>
      <c r="F2511" t="s">
        <v>45</v>
      </c>
      <c r="G2511" s="3">
        <f t="shared" si="296"/>
        <v>-93.8125</v>
      </c>
      <c r="H2511" s="3">
        <f t="shared" si="297"/>
        <v>93.8125</v>
      </c>
      <c r="I2511" s="5" t="str">
        <f t="shared" si="298"/>
        <v>016</v>
      </c>
      <c r="J2511" s="5" t="str">
        <f t="shared" si="299"/>
        <v>2230</v>
      </c>
      <c r="K2511" s="5" t="str">
        <f t="shared" si="300"/>
        <v>000</v>
      </c>
      <c r="L2511" s="5">
        <f t="shared" si="301"/>
        <v>5</v>
      </c>
      <c r="M2511" s="5">
        <f t="shared" si="302"/>
        <v>2012</v>
      </c>
    </row>
    <row r="2512" spans="1:13" ht="17.45" customHeight="1" x14ac:dyDescent="0.25">
      <c r="A2512" s="1">
        <f>DATE(2012,6,1)</f>
        <v>41061</v>
      </c>
      <c r="B2512" t="s">
        <v>11</v>
      </c>
      <c r="C2512" t="s">
        <v>6</v>
      </c>
      <c r="D2512" s="3">
        <v>6069.7350000000006</v>
      </c>
      <c r="E2512" s="3">
        <v>0</v>
      </c>
      <c r="F2512" t="s">
        <v>45</v>
      </c>
      <c r="G2512" s="3">
        <f t="shared" si="296"/>
        <v>-6069.7350000000006</v>
      </c>
      <c r="H2512" s="3">
        <f t="shared" si="297"/>
        <v>6069.7350000000006</v>
      </c>
      <c r="I2512" s="5" t="str">
        <f t="shared" si="298"/>
        <v>016</v>
      </c>
      <c r="J2512" s="5" t="str">
        <f t="shared" si="299"/>
        <v>2100</v>
      </c>
      <c r="K2512" s="5" t="str">
        <f t="shared" si="300"/>
        <v>000</v>
      </c>
      <c r="L2512" s="5">
        <f t="shared" si="301"/>
        <v>6</v>
      </c>
      <c r="M2512" s="5">
        <f t="shared" si="302"/>
        <v>2012</v>
      </c>
    </row>
    <row r="2513" spans="1:13" ht="17.45" customHeight="1" x14ac:dyDescent="0.25">
      <c r="A2513" s="1">
        <f>DATE(2012,6,1)</f>
        <v>41061</v>
      </c>
      <c r="B2513" t="s">
        <v>12</v>
      </c>
      <c r="C2513" t="s">
        <v>8</v>
      </c>
      <c r="D2513" s="3">
        <v>1515.87</v>
      </c>
      <c r="E2513" s="3">
        <v>0</v>
      </c>
      <c r="F2513" t="s">
        <v>45</v>
      </c>
      <c r="G2513" s="3">
        <f t="shared" si="296"/>
        <v>-1515.87</v>
      </c>
      <c r="H2513" s="3">
        <f t="shared" si="297"/>
        <v>1515.87</v>
      </c>
      <c r="I2513" s="5" t="str">
        <f t="shared" si="298"/>
        <v>016</v>
      </c>
      <c r="J2513" s="5" t="str">
        <f t="shared" si="299"/>
        <v>2210</v>
      </c>
      <c r="K2513" s="5" t="str">
        <f t="shared" si="300"/>
        <v>000</v>
      </c>
      <c r="L2513" s="5">
        <f t="shared" si="301"/>
        <v>6</v>
      </c>
      <c r="M2513" s="5">
        <f t="shared" si="302"/>
        <v>2012</v>
      </c>
    </row>
    <row r="2514" spans="1:13" ht="17.45" customHeight="1" x14ac:dyDescent="0.25">
      <c r="A2514" s="1">
        <f>DATE(2012,6,1)</f>
        <v>41061</v>
      </c>
      <c r="B2514" t="s">
        <v>13</v>
      </c>
      <c r="C2514" t="s">
        <v>9</v>
      </c>
      <c r="D2514" s="3">
        <v>402.81300000000005</v>
      </c>
      <c r="E2514" s="3">
        <v>0</v>
      </c>
      <c r="F2514" t="s">
        <v>45</v>
      </c>
      <c r="G2514" s="3">
        <f t="shared" si="296"/>
        <v>-402.81300000000005</v>
      </c>
      <c r="H2514" s="3">
        <f t="shared" si="297"/>
        <v>402.81300000000005</v>
      </c>
      <c r="I2514" s="5" t="str">
        <f t="shared" si="298"/>
        <v>016</v>
      </c>
      <c r="J2514" s="5" t="str">
        <f t="shared" si="299"/>
        <v>2220</v>
      </c>
      <c r="K2514" s="5" t="str">
        <f t="shared" si="300"/>
        <v>000</v>
      </c>
      <c r="L2514" s="5">
        <f t="shared" si="301"/>
        <v>6</v>
      </c>
      <c r="M2514" s="5">
        <f t="shared" si="302"/>
        <v>2012</v>
      </c>
    </row>
    <row r="2515" spans="1:13" ht="17.45" customHeight="1" x14ac:dyDescent="0.25">
      <c r="A2515" s="1">
        <f>DATE(2012,6,1)</f>
        <v>41061</v>
      </c>
      <c r="B2515" t="s">
        <v>14</v>
      </c>
      <c r="C2515" t="s">
        <v>10</v>
      </c>
      <c r="D2515" s="3">
        <v>250.785</v>
      </c>
      <c r="E2515" s="3">
        <v>0</v>
      </c>
      <c r="F2515" t="s">
        <v>45</v>
      </c>
      <c r="G2515" s="3">
        <f t="shared" si="296"/>
        <v>-250.785</v>
      </c>
      <c r="H2515" s="3">
        <f t="shared" si="297"/>
        <v>250.785</v>
      </c>
      <c r="I2515" s="5" t="str">
        <f t="shared" si="298"/>
        <v>016</v>
      </c>
      <c r="J2515" s="5" t="str">
        <f t="shared" si="299"/>
        <v>2230</v>
      </c>
      <c r="K2515" s="5" t="str">
        <f t="shared" si="300"/>
        <v>000</v>
      </c>
      <c r="L2515" s="5">
        <f t="shared" si="301"/>
        <v>6</v>
      </c>
      <c r="M2515" s="5">
        <f t="shared" si="302"/>
        <v>2012</v>
      </c>
    </row>
    <row r="2516" spans="1:13" ht="17.45" customHeight="1" x14ac:dyDescent="0.25">
      <c r="A2516" s="1">
        <f>DATE(2012,6,2)</f>
        <v>41062</v>
      </c>
      <c r="B2516" t="s">
        <v>11</v>
      </c>
      <c r="C2516" t="s">
        <v>6</v>
      </c>
      <c r="D2516" s="3">
        <v>5222.8982999999998</v>
      </c>
      <c r="E2516" s="3">
        <v>0</v>
      </c>
      <c r="F2516" t="s">
        <v>45</v>
      </c>
      <c r="G2516" s="3">
        <f t="shared" si="296"/>
        <v>-5222.8982999999998</v>
      </c>
      <c r="H2516" s="3">
        <f t="shared" si="297"/>
        <v>5222.8982999999998</v>
      </c>
      <c r="I2516" s="5" t="str">
        <f t="shared" si="298"/>
        <v>016</v>
      </c>
      <c r="J2516" s="5" t="str">
        <f t="shared" si="299"/>
        <v>2100</v>
      </c>
      <c r="K2516" s="5" t="str">
        <f t="shared" si="300"/>
        <v>000</v>
      </c>
      <c r="L2516" s="5">
        <f t="shared" si="301"/>
        <v>6</v>
      </c>
      <c r="M2516" s="5">
        <f t="shared" si="302"/>
        <v>2012</v>
      </c>
    </row>
    <row r="2517" spans="1:13" ht="17.45" customHeight="1" x14ac:dyDescent="0.25">
      <c r="A2517" s="1">
        <f>DATE(2012,6,2)</f>
        <v>41062</v>
      </c>
      <c r="B2517" t="s">
        <v>12</v>
      </c>
      <c r="C2517" t="s">
        <v>8</v>
      </c>
      <c r="D2517" s="3">
        <v>1986.8994999999998</v>
      </c>
      <c r="E2517" s="3">
        <v>0</v>
      </c>
      <c r="F2517" t="s">
        <v>45</v>
      </c>
      <c r="G2517" s="3">
        <f t="shared" si="296"/>
        <v>-1986.8994999999998</v>
      </c>
      <c r="H2517" s="3">
        <f t="shared" si="297"/>
        <v>1986.8994999999998</v>
      </c>
      <c r="I2517" s="5" t="str">
        <f t="shared" si="298"/>
        <v>016</v>
      </c>
      <c r="J2517" s="5" t="str">
        <f t="shared" si="299"/>
        <v>2210</v>
      </c>
      <c r="K2517" s="5" t="str">
        <f t="shared" si="300"/>
        <v>000</v>
      </c>
      <c r="L2517" s="5">
        <f t="shared" si="301"/>
        <v>6</v>
      </c>
      <c r="M2517" s="5">
        <f t="shared" si="302"/>
        <v>2012</v>
      </c>
    </row>
    <row r="2518" spans="1:13" ht="17.45" customHeight="1" x14ac:dyDescent="0.25">
      <c r="A2518" s="1">
        <f>DATE(2012,6,2)</f>
        <v>41062</v>
      </c>
      <c r="B2518" t="s">
        <v>13</v>
      </c>
      <c r="C2518" t="s">
        <v>9</v>
      </c>
      <c r="D2518" s="3">
        <v>310.47000000000003</v>
      </c>
      <c r="E2518" s="3">
        <v>0</v>
      </c>
      <c r="F2518" t="s">
        <v>45</v>
      </c>
      <c r="G2518" s="3">
        <f t="shared" si="296"/>
        <v>-310.47000000000003</v>
      </c>
      <c r="H2518" s="3">
        <f t="shared" si="297"/>
        <v>310.47000000000003</v>
      </c>
      <c r="I2518" s="5" t="str">
        <f t="shared" si="298"/>
        <v>016</v>
      </c>
      <c r="J2518" s="5" t="str">
        <f t="shared" si="299"/>
        <v>2220</v>
      </c>
      <c r="K2518" s="5" t="str">
        <f t="shared" si="300"/>
        <v>000</v>
      </c>
      <c r="L2518" s="5">
        <f t="shared" si="301"/>
        <v>6</v>
      </c>
      <c r="M2518" s="5">
        <f t="shared" si="302"/>
        <v>2012</v>
      </c>
    </row>
    <row r="2519" spans="1:13" ht="17.45" customHeight="1" x14ac:dyDescent="0.25">
      <c r="A2519" s="1">
        <f>DATE(2012,6,2)</f>
        <v>41062</v>
      </c>
      <c r="B2519" t="s">
        <v>14</v>
      </c>
      <c r="C2519" t="s">
        <v>10</v>
      </c>
      <c r="D2519" s="3">
        <v>136.14400000000001</v>
      </c>
      <c r="E2519" s="3">
        <v>0</v>
      </c>
      <c r="F2519" t="s">
        <v>45</v>
      </c>
      <c r="G2519" s="3">
        <f t="shared" si="296"/>
        <v>-136.14400000000001</v>
      </c>
      <c r="H2519" s="3">
        <f t="shared" si="297"/>
        <v>136.14400000000001</v>
      </c>
      <c r="I2519" s="5" t="str">
        <f t="shared" si="298"/>
        <v>016</v>
      </c>
      <c r="J2519" s="5" t="str">
        <f t="shared" si="299"/>
        <v>2230</v>
      </c>
      <c r="K2519" s="5" t="str">
        <f t="shared" si="300"/>
        <v>000</v>
      </c>
      <c r="L2519" s="5">
        <f t="shared" si="301"/>
        <v>6</v>
      </c>
      <c r="M2519" s="5">
        <f t="shared" si="302"/>
        <v>2012</v>
      </c>
    </row>
    <row r="2520" spans="1:13" ht="17.45" customHeight="1" x14ac:dyDescent="0.25">
      <c r="A2520" s="1">
        <f>DATE(2012,6,3)</f>
        <v>41063</v>
      </c>
      <c r="B2520" t="s">
        <v>11</v>
      </c>
      <c r="C2520" t="s">
        <v>6</v>
      </c>
      <c r="D2520" s="3">
        <v>3682.89</v>
      </c>
      <c r="E2520" s="3">
        <v>0</v>
      </c>
      <c r="F2520" t="s">
        <v>45</v>
      </c>
      <c r="G2520" s="3">
        <f t="shared" si="296"/>
        <v>-3682.89</v>
      </c>
      <c r="H2520" s="3">
        <f t="shared" si="297"/>
        <v>3682.89</v>
      </c>
      <c r="I2520" s="5" t="str">
        <f t="shared" si="298"/>
        <v>016</v>
      </c>
      <c r="J2520" s="5" t="str">
        <f t="shared" si="299"/>
        <v>2100</v>
      </c>
      <c r="K2520" s="5" t="str">
        <f t="shared" si="300"/>
        <v>000</v>
      </c>
      <c r="L2520" s="5">
        <f t="shared" si="301"/>
        <v>6</v>
      </c>
      <c r="M2520" s="5">
        <f t="shared" si="302"/>
        <v>2012</v>
      </c>
    </row>
    <row r="2521" spans="1:13" ht="17.45" customHeight="1" x14ac:dyDescent="0.25">
      <c r="A2521" s="1">
        <f>DATE(2012,6,3)</f>
        <v>41063</v>
      </c>
      <c r="B2521" t="s">
        <v>12</v>
      </c>
      <c r="C2521" t="s">
        <v>8</v>
      </c>
      <c r="D2521" s="3">
        <v>1480.0228</v>
      </c>
      <c r="E2521" s="3">
        <v>0</v>
      </c>
      <c r="F2521" t="s">
        <v>45</v>
      </c>
      <c r="G2521" s="3">
        <f t="shared" si="296"/>
        <v>-1480.0228</v>
      </c>
      <c r="H2521" s="3">
        <f t="shared" si="297"/>
        <v>1480.0228</v>
      </c>
      <c r="I2521" s="5" t="str">
        <f t="shared" si="298"/>
        <v>016</v>
      </c>
      <c r="J2521" s="5" t="str">
        <f t="shared" si="299"/>
        <v>2210</v>
      </c>
      <c r="K2521" s="5" t="str">
        <f t="shared" si="300"/>
        <v>000</v>
      </c>
      <c r="L2521" s="5">
        <f t="shared" si="301"/>
        <v>6</v>
      </c>
      <c r="M2521" s="5">
        <f t="shared" si="302"/>
        <v>2012</v>
      </c>
    </row>
    <row r="2522" spans="1:13" ht="17.45" customHeight="1" x14ac:dyDescent="0.25">
      <c r="A2522" s="1">
        <f>DATE(2012,6,3)</f>
        <v>41063</v>
      </c>
      <c r="B2522" t="s">
        <v>13</v>
      </c>
      <c r="C2522" t="s">
        <v>9</v>
      </c>
      <c r="D2522" s="3">
        <v>227.94300000000001</v>
      </c>
      <c r="E2522" s="3">
        <v>0</v>
      </c>
      <c r="F2522" t="s">
        <v>45</v>
      </c>
      <c r="G2522" s="3">
        <f t="shared" si="296"/>
        <v>-227.94300000000001</v>
      </c>
      <c r="H2522" s="3">
        <f t="shared" si="297"/>
        <v>227.94300000000001</v>
      </c>
      <c r="I2522" s="5" t="str">
        <f t="shared" si="298"/>
        <v>016</v>
      </c>
      <c r="J2522" s="5" t="str">
        <f t="shared" si="299"/>
        <v>2220</v>
      </c>
      <c r="K2522" s="5" t="str">
        <f t="shared" si="300"/>
        <v>000</v>
      </c>
      <c r="L2522" s="5">
        <f t="shared" si="301"/>
        <v>6</v>
      </c>
      <c r="M2522" s="5">
        <f t="shared" si="302"/>
        <v>2012</v>
      </c>
    </row>
    <row r="2523" spans="1:13" ht="17.45" customHeight="1" x14ac:dyDescent="0.25">
      <c r="A2523" s="1">
        <f>DATE(2012,6,3)</f>
        <v>41063</v>
      </c>
      <c r="B2523" t="s">
        <v>14</v>
      </c>
      <c r="C2523" t="s">
        <v>10</v>
      </c>
      <c r="D2523" s="3">
        <v>36.996499999999997</v>
      </c>
      <c r="E2523" s="3">
        <v>0</v>
      </c>
      <c r="F2523" t="s">
        <v>45</v>
      </c>
      <c r="G2523" s="3">
        <f t="shared" si="296"/>
        <v>-36.996499999999997</v>
      </c>
      <c r="H2523" s="3">
        <f t="shared" si="297"/>
        <v>36.996499999999997</v>
      </c>
      <c r="I2523" s="5" t="str">
        <f t="shared" si="298"/>
        <v>016</v>
      </c>
      <c r="J2523" s="5" t="str">
        <f t="shared" si="299"/>
        <v>2230</v>
      </c>
      <c r="K2523" s="5" t="str">
        <f t="shared" si="300"/>
        <v>000</v>
      </c>
      <c r="L2523" s="5">
        <f t="shared" si="301"/>
        <v>6</v>
      </c>
      <c r="M2523" s="5">
        <f t="shared" si="302"/>
        <v>2012</v>
      </c>
    </row>
    <row r="2524" spans="1:13" ht="17.45" customHeight="1" x14ac:dyDescent="0.25">
      <c r="A2524" s="1">
        <f>DATE(2012,5,28)</f>
        <v>41057</v>
      </c>
      <c r="B2524" t="s">
        <v>15</v>
      </c>
      <c r="C2524" t="s">
        <v>6</v>
      </c>
      <c r="D2524" s="3">
        <v>2731.7766999999999</v>
      </c>
      <c r="E2524" s="3">
        <v>0</v>
      </c>
      <c r="F2524" t="s">
        <v>45</v>
      </c>
      <c r="G2524" s="3">
        <f t="shared" si="296"/>
        <v>-2731.7766999999999</v>
      </c>
      <c r="H2524" s="3">
        <f t="shared" si="297"/>
        <v>2731.7766999999999</v>
      </c>
      <c r="I2524" s="5" t="str">
        <f t="shared" si="298"/>
        <v>017</v>
      </c>
      <c r="J2524" s="5" t="str">
        <f t="shared" si="299"/>
        <v>2100</v>
      </c>
      <c r="K2524" s="5" t="str">
        <f t="shared" si="300"/>
        <v>000</v>
      </c>
      <c r="L2524" s="5">
        <f t="shared" si="301"/>
        <v>5</v>
      </c>
      <c r="M2524" s="5">
        <f t="shared" si="302"/>
        <v>2012</v>
      </c>
    </row>
    <row r="2525" spans="1:13" ht="17.45" customHeight="1" x14ac:dyDescent="0.25">
      <c r="A2525" s="1">
        <f>DATE(2012,5,28)</f>
        <v>41057</v>
      </c>
      <c r="B2525" t="s">
        <v>16</v>
      </c>
      <c r="C2525" t="s">
        <v>8</v>
      </c>
      <c r="D2525" s="3">
        <v>1022.1630000000001</v>
      </c>
      <c r="E2525" s="3">
        <v>0</v>
      </c>
      <c r="F2525" t="s">
        <v>45</v>
      </c>
      <c r="G2525" s="3">
        <f t="shared" si="296"/>
        <v>-1022.1630000000001</v>
      </c>
      <c r="H2525" s="3">
        <f t="shared" si="297"/>
        <v>1022.1630000000001</v>
      </c>
      <c r="I2525" s="5" t="str">
        <f t="shared" si="298"/>
        <v>017</v>
      </c>
      <c r="J2525" s="5" t="str">
        <f t="shared" si="299"/>
        <v>2210</v>
      </c>
      <c r="K2525" s="5" t="str">
        <f t="shared" si="300"/>
        <v>000</v>
      </c>
      <c r="L2525" s="5">
        <f t="shared" si="301"/>
        <v>5</v>
      </c>
      <c r="M2525" s="5">
        <f t="shared" si="302"/>
        <v>2012</v>
      </c>
    </row>
    <row r="2526" spans="1:13" ht="17.45" customHeight="1" x14ac:dyDescent="0.25">
      <c r="A2526" s="1">
        <f>DATE(2012,5,28)</f>
        <v>41057</v>
      </c>
      <c r="B2526" t="s">
        <v>17</v>
      </c>
      <c r="C2526" t="s">
        <v>9</v>
      </c>
      <c r="D2526" s="3">
        <v>147.32499999999999</v>
      </c>
      <c r="E2526" s="3">
        <v>0</v>
      </c>
      <c r="F2526" t="s">
        <v>45</v>
      </c>
      <c r="G2526" s="3">
        <f t="shared" si="296"/>
        <v>-147.32499999999999</v>
      </c>
      <c r="H2526" s="3">
        <f t="shared" si="297"/>
        <v>147.32499999999999</v>
      </c>
      <c r="I2526" s="5" t="str">
        <f t="shared" si="298"/>
        <v>017</v>
      </c>
      <c r="J2526" s="5" t="str">
        <f t="shared" si="299"/>
        <v>2220</v>
      </c>
      <c r="K2526" s="5" t="str">
        <f t="shared" si="300"/>
        <v>000</v>
      </c>
      <c r="L2526" s="5">
        <f t="shared" si="301"/>
        <v>5</v>
      </c>
      <c r="M2526" s="5">
        <f t="shared" si="302"/>
        <v>2012</v>
      </c>
    </row>
    <row r="2527" spans="1:13" ht="17.45" customHeight="1" x14ac:dyDescent="0.25">
      <c r="A2527" s="1">
        <f>DATE(2012,5,28)</f>
        <v>41057</v>
      </c>
      <c r="B2527" t="s">
        <v>18</v>
      </c>
      <c r="C2527" t="s">
        <v>10</v>
      </c>
      <c r="D2527" s="3">
        <v>47.547500000000007</v>
      </c>
      <c r="E2527" s="3">
        <v>0</v>
      </c>
      <c r="F2527" t="s">
        <v>45</v>
      </c>
      <c r="G2527" s="3">
        <f t="shared" si="296"/>
        <v>-47.547500000000007</v>
      </c>
      <c r="H2527" s="3">
        <f t="shared" si="297"/>
        <v>47.547500000000007</v>
      </c>
      <c r="I2527" s="5" t="str">
        <f t="shared" si="298"/>
        <v>017</v>
      </c>
      <c r="J2527" s="5" t="str">
        <f t="shared" si="299"/>
        <v>2230</v>
      </c>
      <c r="K2527" s="5" t="str">
        <f t="shared" si="300"/>
        <v>000</v>
      </c>
      <c r="L2527" s="5">
        <f t="shared" si="301"/>
        <v>5</v>
      </c>
      <c r="M2527" s="5">
        <f t="shared" si="302"/>
        <v>2012</v>
      </c>
    </row>
    <row r="2528" spans="1:13" ht="17.45" customHeight="1" x14ac:dyDescent="0.25">
      <c r="A2528" s="1">
        <f>DATE(2012,5,29)</f>
        <v>41058</v>
      </c>
      <c r="B2528" t="s">
        <v>15</v>
      </c>
      <c r="C2528" t="s">
        <v>6</v>
      </c>
      <c r="D2528" s="3">
        <v>5426.1647999999996</v>
      </c>
      <c r="E2528" s="3">
        <v>0</v>
      </c>
      <c r="F2528" t="s">
        <v>45</v>
      </c>
      <c r="G2528" s="3">
        <f t="shared" si="296"/>
        <v>-5426.1647999999996</v>
      </c>
      <c r="H2528" s="3">
        <f t="shared" si="297"/>
        <v>5426.1647999999996</v>
      </c>
      <c r="I2528" s="5" t="str">
        <f t="shared" si="298"/>
        <v>017</v>
      </c>
      <c r="J2528" s="5" t="str">
        <f t="shared" si="299"/>
        <v>2100</v>
      </c>
      <c r="K2528" s="5" t="str">
        <f t="shared" si="300"/>
        <v>000</v>
      </c>
      <c r="L2528" s="5">
        <f t="shared" si="301"/>
        <v>5</v>
      </c>
      <c r="M2528" s="5">
        <f t="shared" si="302"/>
        <v>2012</v>
      </c>
    </row>
    <row r="2529" spans="1:13" ht="17.45" customHeight="1" x14ac:dyDescent="0.25">
      <c r="A2529" s="1">
        <f>DATE(2012,5,29)</f>
        <v>41058</v>
      </c>
      <c r="B2529" t="s">
        <v>16</v>
      </c>
      <c r="C2529" t="s">
        <v>8</v>
      </c>
      <c r="D2529" s="3">
        <v>1079.58</v>
      </c>
      <c r="E2529" s="3">
        <v>0</v>
      </c>
      <c r="F2529" t="s">
        <v>45</v>
      </c>
      <c r="G2529" s="3">
        <f t="shared" si="296"/>
        <v>-1079.58</v>
      </c>
      <c r="H2529" s="3">
        <f t="shared" si="297"/>
        <v>1079.58</v>
      </c>
      <c r="I2529" s="5" t="str">
        <f t="shared" si="298"/>
        <v>017</v>
      </c>
      <c r="J2529" s="5" t="str">
        <f t="shared" si="299"/>
        <v>2210</v>
      </c>
      <c r="K2529" s="5" t="str">
        <f t="shared" si="300"/>
        <v>000</v>
      </c>
      <c r="L2529" s="5">
        <f t="shared" si="301"/>
        <v>5</v>
      </c>
      <c r="M2529" s="5">
        <f t="shared" si="302"/>
        <v>2012</v>
      </c>
    </row>
    <row r="2530" spans="1:13" ht="17.45" customHeight="1" x14ac:dyDescent="0.25">
      <c r="A2530" s="1">
        <f>DATE(2012,5,29)</f>
        <v>41058</v>
      </c>
      <c r="B2530" t="s">
        <v>17</v>
      </c>
      <c r="C2530" t="s">
        <v>9</v>
      </c>
      <c r="D2530" s="3">
        <v>276.5675</v>
      </c>
      <c r="E2530" s="3">
        <v>0</v>
      </c>
      <c r="F2530" t="s">
        <v>45</v>
      </c>
      <c r="G2530" s="3">
        <f t="shared" si="296"/>
        <v>-276.5675</v>
      </c>
      <c r="H2530" s="3">
        <f t="shared" si="297"/>
        <v>276.5675</v>
      </c>
      <c r="I2530" s="5" t="str">
        <f t="shared" si="298"/>
        <v>017</v>
      </c>
      <c r="J2530" s="5" t="str">
        <f t="shared" si="299"/>
        <v>2220</v>
      </c>
      <c r="K2530" s="5" t="str">
        <f t="shared" si="300"/>
        <v>000</v>
      </c>
      <c r="L2530" s="5">
        <f t="shared" si="301"/>
        <v>5</v>
      </c>
      <c r="M2530" s="5">
        <f t="shared" si="302"/>
        <v>2012</v>
      </c>
    </row>
    <row r="2531" spans="1:13" ht="17.45" customHeight="1" x14ac:dyDescent="0.25">
      <c r="A2531" s="1">
        <f>DATE(2012,5,29)</f>
        <v>41058</v>
      </c>
      <c r="B2531" t="s">
        <v>18</v>
      </c>
      <c r="C2531" t="s">
        <v>10</v>
      </c>
      <c r="D2531" s="3">
        <v>60.448499999999996</v>
      </c>
      <c r="E2531" s="3">
        <v>0</v>
      </c>
      <c r="F2531" t="s">
        <v>45</v>
      </c>
      <c r="G2531" s="3">
        <f t="shared" si="296"/>
        <v>-60.448499999999996</v>
      </c>
      <c r="H2531" s="3">
        <f t="shared" si="297"/>
        <v>60.448499999999996</v>
      </c>
      <c r="I2531" s="5" t="str">
        <f t="shared" si="298"/>
        <v>017</v>
      </c>
      <c r="J2531" s="5" t="str">
        <f t="shared" si="299"/>
        <v>2230</v>
      </c>
      <c r="K2531" s="5" t="str">
        <f t="shared" si="300"/>
        <v>000</v>
      </c>
      <c r="L2531" s="5">
        <f t="shared" si="301"/>
        <v>5</v>
      </c>
      <c r="M2531" s="5">
        <f t="shared" si="302"/>
        <v>2012</v>
      </c>
    </row>
    <row r="2532" spans="1:13" ht="17.45" customHeight="1" x14ac:dyDescent="0.25">
      <c r="A2532" s="1">
        <f>DATE(2012,5,30)</f>
        <v>41059</v>
      </c>
      <c r="B2532" t="s">
        <v>15</v>
      </c>
      <c r="C2532" t="s">
        <v>6</v>
      </c>
      <c r="D2532" s="3">
        <v>5580.4646999999995</v>
      </c>
      <c r="E2532" s="3">
        <v>0</v>
      </c>
      <c r="F2532" t="s">
        <v>45</v>
      </c>
      <c r="G2532" s="3">
        <f t="shared" si="296"/>
        <v>-5580.4646999999995</v>
      </c>
      <c r="H2532" s="3">
        <f t="shared" si="297"/>
        <v>5580.4646999999995</v>
      </c>
      <c r="I2532" s="5" t="str">
        <f t="shared" si="298"/>
        <v>017</v>
      </c>
      <c r="J2532" s="5" t="str">
        <f t="shared" si="299"/>
        <v>2100</v>
      </c>
      <c r="K2532" s="5" t="str">
        <f t="shared" si="300"/>
        <v>000</v>
      </c>
      <c r="L2532" s="5">
        <f t="shared" si="301"/>
        <v>5</v>
      </c>
      <c r="M2532" s="5">
        <f t="shared" si="302"/>
        <v>2012</v>
      </c>
    </row>
    <row r="2533" spans="1:13" ht="17.45" customHeight="1" x14ac:dyDescent="0.25">
      <c r="A2533" s="1">
        <f>DATE(2012,5,30)</f>
        <v>41059</v>
      </c>
      <c r="B2533" t="s">
        <v>16</v>
      </c>
      <c r="C2533" t="s">
        <v>8</v>
      </c>
      <c r="D2533" s="3">
        <v>1067.9234999999999</v>
      </c>
      <c r="E2533" s="3">
        <v>0</v>
      </c>
      <c r="F2533" t="s">
        <v>45</v>
      </c>
      <c r="G2533" s="3">
        <f t="shared" si="296"/>
        <v>-1067.9234999999999</v>
      </c>
      <c r="H2533" s="3">
        <f t="shared" si="297"/>
        <v>1067.9234999999999</v>
      </c>
      <c r="I2533" s="5" t="str">
        <f t="shared" si="298"/>
        <v>017</v>
      </c>
      <c r="J2533" s="5" t="str">
        <f t="shared" si="299"/>
        <v>2210</v>
      </c>
      <c r="K2533" s="5" t="str">
        <f t="shared" si="300"/>
        <v>000</v>
      </c>
      <c r="L2533" s="5">
        <f t="shared" si="301"/>
        <v>5</v>
      </c>
      <c r="M2533" s="5">
        <f t="shared" si="302"/>
        <v>2012</v>
      </c>
    </row>
    <row r="2534" spans="1:13" ht="17.45" customHeight="1" x14ac:dyDescent="0.25">
      <c r="A2534" s="1">
        <f>DATE(2012,5,30)</f>
        <v>41059</v>
      </c>
      <c r="B2534" t="s">
        <v>17</v>
      </c>
      <c r="C2534" t="s">
        <v>9</v>
      </c>
      <c r="D2534" s="3">
        <v>330.33</v>
      </c>
      <c r="E2534" s="3">
        <v>0</v>
      </c>
      <c r="F2534" t="s">
        <v>45</v>
      </c>
      <c r="G2534" s="3">
        <f t="shared" si="296"/>
        <v>-330.33</v>
      </c>
      <c r="H2534" s="3">
        <f t="shared" si="297"/>
        <v>330.33</v>
      </c>
      <c r="I2534" s="5" t="str">
        <f t="shared" si="298"/>
        <v>017</v>
      </c>
      <c r="J2534" s="5" t="str">
        <f t="shared" si="299"/>
        <v>2220</v>
      </c>
      <c r="K2534" s="5" t="str">
        <f t="shared" si="300"/>
        <v>000</v>
      </c>
      <c r="L2534" s="5">
        <f t="shared" si="301"/>
        <v>5</v>
      </c>
      <c r="M2534" s="5">
        <f t="shared" si="302"/>
        <v>2012</v>
      </c>
    </row>
    <row r="2535" spans="1:13" ht="17.45" customHeight="1" x14ac:dyDescent="0.25">
      <c r="A2535" s="1">
        <f>DATE(2012,5,30)</f>
        <v>41059</v>
      </c>
      <c r="B2535" t="s">
        <v>18</v>
      </c>
      <c r="C2535" t="s">
        <v>10</v>
      </c>
      <c r="D2535" s="3">
        <v>111.852</v>
      </c>
      <c r="E2535" s="3">
        <v>0</v>
      </c>
      <c r="F2535" t="s">
        <v>45</v>
      </c>
      <c r="G2535" s="3">
        <f t="shared" si="296"/>
        <v>-111.852</v>
      </c>
      <c r="H2535" s="3">
        <f t="shared" si="297"/>
        <v>111.852</v>
      </c>
      <c r="I2535" s="5" t="str">
        <f t="shared" si="298"/>
        <v>017</v>
      </c>
      <c r="J2535" s="5" t="str">
        <f t="shared" si="299"/>
        <v>2230</v>
      </c>
      <c r="K2535" s="5" t="str">
        <f t="shared" si="300"/>
        <v>000</v>
      </c>
      <c r="L2535" s="5">
        <f t="shared" si="301"/>
        <v>5</v>
      </c>
      <c r="M2535" s="5">
        <f t="shared" si="302"/>
        <v>2012</v>
      </c>
    </row>
    <row r="2536" spans="1:13" ht="17.45" customHeight="1" x14ac:dyDescent="0.25">
      <c r="A2536" s="1">
        <f>DATE(2012,5,31)</f>
        <v>41060</v>
      </c>
      <c r="B2536" t="s">
        <v>15</v>
      </c>
      <c r="C2536" t="s">
        <v>6</v>
      </c>
      <c r="D2536" s="3">
        <v>5916.2999999999993</v>
      </c>
      <c r="E2536" s="3">
        <v>0</v>
      </c>
      <c r="F2536" t="s">
        <v>45</v>
      </c>
      <c r="G2536" s="3">
        <f t="shared" si="296"/>
        <v>-5916.2999999999993</v>
      </c>
      <c r="H2536" s="3">
        <f t="shared" si="297"/>
        <v>5916.2999999999993</v>
      </c>
      <c r="I2536" s="5" t="str">
        <f t="shared" si="298"/>
        <v>017</v>
      </c>
      <c r="J2536" s="5" t="str">
        <f t="shared" si="299"/>
        <v>2100</v>
      </c>
      <c r="K2536" s="5" t="str">
        <f t="shared" si="300"/>
        <v>000</v>
      </c>
      <c r="L2536" s="5">
        <f t="shared" si="301"/>
        <v>5</v>
      </c>
      <c r="M2536" s="5">
        <f t="shared" si="302"/>
        <v>2012</v>
      </c>
    </row>
    <row r="2537" spans="1:13" ht="17.45" customHeight="1" x14ac:dyDescent="0.25">
      <c r="A2537" s="1">
        <f>DATE(2012,5,31)</f>
        <v>41060</v>
      </c>
      <c r="B2537" t="s">
        <v>16</v>
      </c>
      <c r="C2537" t="s">
        <v>8</v>
      </c>
      <c r="D2537" s="3">
        <v>1748.2725</v>
      </c>
      <c r="E2537" s="3">
        <v>0</v>
      </c>
      <c r="F2537" t="s">
        <v>45</v>
      </c>
      <c r="G2537" s="3">
        <f t="shared" si="296"/>
        <v>-1748.2725</v>
      </c>
      <c r="H2537" s="3">
        <f t="shared" si="297"/>
        <v>1748.2725</v>
      </c>
      <c r="I2537" s="5" t="str">
        <f t="shared" si="298"/>
        <v>017</v>
      </c>
      <c r="J2537" s="5" t="str">
        <f t="shared" si="299"/>
        <v>2210</v>
      </c>
      <c r="K2537" s="5" t="str">
        <f t="shared" si="300"/>
        <v>000</v>
      </c>
      <c r="L2537" s="5">
        <f t="shared" si="301"/>
        <v>5</v>
      </c>
      <c r="M2537" s="5">
        <f t="shared" si="302"/>
        <v>2012</v>
      </c>
    </row>
    <row r="2538" spans="1:13" ht="17.45" customHeight="1" x14ac:dyDescent="0.25">
      <c r="A2538" s="1">
        <f>DATE(2012,5,31)</f>
        <v>41060</v>
      </c>
      <c r="B2538" t="s">
        <v>17</v>
      </c>
      <c r="C2538" t="s">
        <v>9</v>
      </c>
      <c r="D2538" s="3">
        <v>348.88000000000005</v>
      </c>
      <c r="E2538" s="3">
        <v>0</v>
      </c>
      <c r="F2538" t="s">
        <v>45</v>
      </c>
      <c r="G2538" s="3">
        <f t="shared" si="296"/>
        <v>-348.88000000000005</v>
      </c>
      <c r="H2538" s="3">
        <f t="shared" si="297"/>
        <v>348.88000000000005</v>
      </c>
      <c r="I2538" s="5" t="str">
        <f t="shared" si="298"/>
        <v>017</v>
      </c>
      <c r="J2538" s="5" t="str">
        <f t="shared" si="299"/>
        <v>2220</v>
      </c>
      <c r="K2538" s="5" t="str">
        <f t="shared" si="300"/>
        <v>000</v>
      </c>
      <c r="L2538" s="5">
        <f t="shared" si="301"/>
        <v>5</v>
      </c>
      <c r="M2538" s="5">
        <f t="shared" si="302"/>
        <v>2012</v>
      </c>
    </row>
    <row r="2539" spans="1:13" ht="17.45" customHeight="1" x14ac:dyDescent="0.25">
      <c r="A2539" s="1">
        <f>DATE(2012,5,31)</f>
        <v>41060</v>
      </c>
      <c r="B2539" t="s">
        <v>18</v>
      </c>
      <c r="C2539" t="s">
        <v>10</v>
      </c>
      <c r="D2539" s="3">
        <v>85.528999999999996</v>
      </c>
      <c r="E2539" s="3">
        <v>0</v>
      </c>
      <c r="F2539" t="s">
        <v>45</v>
      </c>
      <c r="G2539" s="3">
        <f t="shared" si="296"/>
        <v>-85.528999999999996</v>
      </c>
      <c r="H2539" s="3">
        <f t="shared" si="297"/>
        <v>85.528999999999996</v>
      </c>
      <c r="I2539" s="5" t="str">
        <f t="shared" si="298"/>
        <v>017</v>
      </c>
      <c r="J2539" s="5" t="str">
        <f t="shared" si="299"/>
        <v>2230</v>
      </c>
      <c r="K2539" s="5" t="str">
        <f t="shared" si="300"/>
        <v>000</v>
      </c>
      <c r="L2539" s="5">
        <f t="shared" si="301"/>
        <v>5</v>
      </c>
      <c r="M2539" s="5">
        <f t="shared" si="302"/>
        <v>2012</v>
      </c>
    </row>
    <row r="2540" spans="1:13" ht="17.45" customHeight="1" x14ac:dyDescent="0.25">
      <c r="A2540" s="1">
        <f>DATE(2012,6,1)</f>
        <v>41061</v>
      </c>
      <c r="B2540" t="s">
        <v>15</v>
      </c>
      <c r="C2540" t="s">
        <v>6</v>
      </c>
      <c r="D2540" s="3">
        <v>8601.9395000000004</v>
      </c>
      <c r="E2540" s="3">
        <v>0</v>
      </c>
      <c r="F2540" t="s">
        <v>45</v>
      </c>
      <c r="G2540" s="3">
        <f t="shared" si="296"/>
        <v>-8601.9395000000004</v>
      </c>
      <c r="H2540" s="3">
        <f t="shared" si="297"/>
        <v>8601.9395000000004</v>
      </c>
      <c r="I2540" s="5" t="str">
        <f t="shared" si="298"/>
        <v>017</v>
      </c>
      <c r="J2540" s="5" t="str">
        <f t="shared" si="299"/>
        <v>2100</v>
      </c>
      <c r="K2540" s="5" t="str">
        <f t="shared" si="300"/>
        <v>000</v>
      </c>
      <c r="L2540" s="5">
        <f t="shared" si="301"/>
        <v>6</v>
      </c>
      <c r="M2540" s="5">
        <f t="shared" si="302"/>
        <v>2012</v>
      </c>
    </row>
    <row r="2541" spans="1:13" ht="17.45" customHeight="1" x14ac:dyDescent="0.25">
      <c r="A2541" s="1">
        <f>DATE(2012,6,1)</f>
        <v>41061</v>
      </c>
      <c r="B2541" t="s">
        <v>16</v>
      </c>
      <c r="C2541" t="s">
        <v>8</v>
      </c>
      <c r="D2541" s="3">
        <v>3270.7840000000001</v>
      </c>
      <c r="E2541" s="3">
        <v>0</v>
      </c>
      <c r="F2541" t="s">
        <v>45</v>
      </c>
      <c r="G2541" s="3">
        <f t="shared" si="296"/>
        <v>-3270.7840000000001</v>
      </c>
      <c r="H2541" s="3">
        <f t="shared" si="297"/>
        <v>3270.7840000000001</v>
      </c>
      <c r="I2541" s="5" t="str">
        <f t="shared" si="298"/>
        <v>017</v>
      </c>
      <c r="J2541" s="5" t="str">
        <f t="shared" si="299"/>
        <v>2210</v>
      </c>
      <c r="K2541" s="5" t="str">
        <f t="shared" si="300"/>
        <v>000</v>
      </c>
      <c r="L2541" s="5">
        <f t="shared" si="301"/>
        <v>6</v>
      </c>
      <c r="M2541" s="5">
        <f t="shared" si="302"/>
        <v>2012</v>
      </c>
    </row>
    <row r="2542" spans="1:13" ht="17.45" customHeight="1" x14ac:dyDescent="0.25">
      <c r="A2542" s="1">
        <f>DATE(2012,6,1)</f>
        <v>41061</v>
      </c>
      <c r="B2542" t="s">
        <v>17</v>
      </c>
      <c r="C2542" t="s">
        <v>9</v>
      </c>
      <c r="D2542" s="3">
        <v>350.86499999999995</v>
      </c>
      <c r="E2542" s="3">
        <v>0</v>
      </c>
      <c r="F2542" t="s">
        <v>45</v>
      </c>
      <c r="G2542" s="3">
        <f t="shared" si="296"/>
        <v>-350.86499999999995</v>
      </c>
      <c r="H2542" s="3">
        <f t="shared" si="297"/>
        <v>350.86499999999995</v>
      </c>
      <c r="I2542" s="5" t="str">
        <f t="shared" si="298"/>
        <v>017</v>
      </c>
      <c r="J2542" s="5" t="str">
        <f t="shared" si="299"/>
        <v>2220</v>
      </c>
      <c r="K2542" s="5" t="str">
        <f t="shared" si="300"/>
        <v>000</v>
      </c>
      <c r="L2542" s="5">
        <f t="shared" si="301"/>
        <v>6</v>
      </c>
      <c r="M2542" s="5">
        <f t="shared" si="302"/>
        <v>2012</v>
      </c>
    </row>
    <row r="2543" spans="1:13" ht="17.45" customHeight="1" x14ac:dyDescent="0.25">
      <c r="A2543" s="1">
        <f>DATE(2012,6,1)</f>
        <v>41061</v>
      </c>
      <c r="B2543" t="s">
        <v>18</v>
      </c>
      <c r="C2543" t="s">
        <v>10</v>
      </c>
      <c r="D2543" s="3">
        <v>158.84799999999998</v>
      </c>
      <c r="E2543" s="3">
        <v>0</v>
      </c>
      <c r="F2543" t="s">
        <v>45</v>
      </c>
      <c r="G2543" s="3">
        <f t="shared" si="296"/>
        <v>-158.84799999999998</v>
      </c>
      <c r="H2543" s="3">
        <f t="shared" si="297"/>
        <v>158.84799999999998</v>
      </c>
      <c r="I2543" s="5" t="str">
        <f t="shared" si="298"/>
        <v>017</v>
      </c>
      <c r="J2543" s="5" t="str">
        <f t="shared" si="299"/>
        <v>2230</v>
      </c>
      <c r="K2543" s="5" t="str">
        <f t="shared" si="300"/>
        <v>000</v>
      </c>
      <c r="L2543" s="5">
        <f t="shared" si="301"/>
        <v>6</v>
      </c>
      <c r="M2543" s="5">
        <f t="shared" si="302"/>
        <v>2012</v>
      </c>
    </row>
    <row r="2544" spans="1:13" ht="17.45" customHeight="1" x14ac:dyDescent="0.25">
      <c r="A2544" s="1">
        <f>DATE(2012,6,2)</f>
        <v>41062</v>
      </c>
      <c r="B2544" t="s">
        <v>15</v>
      </c>
      <c r="C2544" t="s">
        <v>6</v>
      </c>
      <c r="D2544" s="3">
        <v>5540.81</v>
      </c>
      <c r="E2544" s="3">
        <v>0</v>
      </c>
      <c r="F2544" t="s">
        <v>45</v>
      </c>
      <c r="G2544" s="3">
        <f t="shared" si="296"/>
        <v>-5540.81</v>
      </c>
      <c r="H2544" s="3">
        <f t="shared" si="297"/>
        <v>5540.81</v>
      </c>
      <c r="I2544" s="5" t="str">
        <f t="shared" si="298"/>
        <v>017</v>
      </c>
      <c r="J2544" s="5" t="str">
        <f t="shared" si="299"/>
        <v>2100</v>
      </c>
      <c r="K2544" s="5" t="str">
        <f t="shared" si="300"/>
        <v>000</v>
      </c>
      <c r="L2544" s="5">
        <f t="shared" si="301"/>
        <v>6</v>
      </c>
      <c r="M2544" s="5">
        <f t="shared" si="302"/>
        <v>2012</v>
      </c>
    </row>
    <row r="2545" spans="1:13" ht="17.45" customHeight="1" x14ac:dyDescent="0.25">
      <c r="A2545" s="1">
        <f>DATE(2012,6,2)</f>
        <v>41062</v>
      </c>
      <c r="B2545" t="s">
        <v>16</v>
      </c>
      <c r="C2545" t="s">
        <v>8</v>
      </c>
      <c r="D2545" s="3">
        <v>1587.3330000000001</v>
      </c>
      <c r="E2545" s="3">
        <v>0</v>
      </c>
      <c r="F2545" t="s">
        <v>45</v>
      </c>
      <c r="G2545" s="3">
        <f t="shared" si="296"/>
        <v>-1587.3330000000001</v>
      </c>
      <c r="H2545" s="3">
        <f t="shared" si="297"/>
        <v>1587.3330000000001</v>
      </c>
      <c r="I2545" s="5" t="str">
        <f t="shared" si="298"/>
        <v>017</v>
      </c>
      <c r="J2545" s="5" t="str">
        <f t="shared" si="299"/>
        <v>2210</v>
      </c>
      <c r="K2545" s="5" t="str">
        <f t="shared" si="300"/>
        <v>000</v>
      </c>
      <c r="L2545" s="5">
        <f t="shared" si="301"/>
        <v>6</v>
      </c>
      <c r="M2545" s="5">
        <f t="shared" si="302"/>
        <v>2012</v>
      </c>
    </row>
    <row r="2546" spans="1:13" ht="17.45" customHeight="1" x14ac:dyDescent="0.25">
      <c r="A2546" s="1">
        <f>DATE(2012,6,2)</f>
        <v>41062</v>
      </c>
      <c r="B2546" t="s">
        <v>17</v>
      </c>
      <c r="C2546" t="s">
        <v>9</v>
      </c>
      <c r="D2546" s="3">
        <v>533.21499999999992</v>
      </c>
      <c r="E2546" s="3">
        <v>0</v>
      </c>
      <c r="F2546" t="s">
        <v>45</v>
      </c>
      <c r="G2546" s="3">
        <f t="shared" si="296"/>
        <v>-533.21499999999992</v>
      </c>
      <c r="H2546" s="3">
        <f t="shared" si="297"/>
        <v>533.21499999999992</v>
      </c>
      <c r="I2546" s="5" t="str">
        <f t="shared" si="298"/>
        <v>017</v>
      </c>
      <c r="J2546" s="5" t="str">
        <f t="shared" si="299"/>
        <v>2220</v>
      </c>
      <c r="K2546" s="5" t="str">
        <f t="shared" si="300"/>
        <v>000</v>
      </c>
      <c r="L2546" s="5">
        <f t="shared" si="301"/>
        <v>6</v>
      </c>
      <c r="M2546" s="5">
        <f t="shared" si="302"/>
        <v>2012</v>
      </c>
    </row>
    <row r="2547" spans="1:13" ht="17.45" customHeight="1" x14ac:dyDescent="0.25">
      <c r="A2547" s="1">
        <f>DATE(2012,6,2)</f>
        <v>41062</v>
      </c>
      <c r="B2547" t="s">
        <v>18</v>
      </c>
      <c r="C2547" t="s">
        <v>10</v>
      </c>
      <c r="D2547" s="3">
        <v>64.307999999999993</v>
      </c>
      <c r="E2547" s="3">
        <v>0</v>
      </c>
      <c r="F2547" t="s">
        <v>45</v>
      </c>
      <c r="G2547" s="3">
        <f t="shared" si="296"/>
        <v>-64.307999999999993</v>
      </c>
      <c r="H2547" s="3">
        <f t="shared" si="297"/>
        <v>64.307999999999993</v>
      </c>
      <c r="I2547" s="5" t="str">
        <f t="shared" si="298"/>
        <v>017</v>
      </c>
      <c r="J2547" s="5" t="str">
        <f t="shared" si="299"/>
        <v>2230</v>
      </c>
      <c r="K2547" s="5" t="str">
        <f t="shared" si="300"/>
        <v>000</v>
      </c>
      <c r="L2547" s="5">
        <f t="shared" si="301"/>
        <v>6</v>
      </c>
      <c r="M2547" s="5">
        <f t="shared" si="302"/>
        <v>2012</v>
      </c>
    </row>
    <row r="2548" spans="1:13" ht="17.45" customHeight="1" x14ac:dyDescent="0.25">
      <c r="A2548" s="1">
        <f>DATE(2012,6,3)</f>
        <v>41063</v>
      </c>
      <c r="B2548" t="s">
        <v>15</v>
      </c>
      <c r="C2548" t="s">
        <v>6</v>
      </c>
      <c r="D2548" s="3">
        <v>4218.1155000000008</v>
      </c>
      <c r="E2548" s="3">
        <v>0</v>
      </c>
      <c r="F2548" t="s">
        <v>45</v>
      </c>
      <c r="G2548" s="3">
        <f t="shared" si="296"/>
        <v>-4218.1155000000008</v>
      </c>
      <c r="H2548" s="3">
        <f t="shared" si="297"/>
        <v>4218.1155000000008</v>
      </c>
      <c r="I2548" s="5" t="str">
        <f t="shared" si="298"/>
        <v>017</v>
      </c>
      <c r="J2548" s="5" t="str">
        <f t="shared" si="299"/>
        <v>2100</v>
      </c>
      <c r="K2548" s="5" t="str">
        <f t="shared" si="300"/>
        <v>000</v>
      </c>
      <c r="L2548" s="5">
        <f t="shared" si="301"/>
        <v>6</v>
      </c>
      <c r="M2548" s="5">
        <f t="shared" si="302"/>
        <v>2012</v>
      </c>
    </row>
    <row r="2549" spans="1:13" ht="17.45" customHeight="1" x14ac:dyDescent="0.25">
      <c r="A2549" s="1">
        <f>DATE(2012,6,3)</f>
        <v>41063</v>
      </c>
      <c r="B2549" t="s">
        <v>16</v>
      </c>
      <c r="C2549" t="s">
        <v>8</v>
      </c>
      <c r="D2549" s="3">
        <v>1072.1565000000001</v>
      </c>
      <c r="E2549" s="3">
        <v>0</v>
      </c>
      <c r="F2549" t="s">
        <v>45</v>
      </c>
      <c r="G2549" s="3">
        <f t="shared" si="296"/>
        <v>-1072.1565000000001</v>
      </c>
      <c r="H2549" s="3">
        <f t="shared" si="297"/>
        <v>1072.1565000000001</v>
      </c>
      <c r="I2549" s="5" t="str">
        <f t="shared" si="298"/>
        <v>017</v>
      </c>
      <c r="J2549" s="5" t="str">
        <f t="shared" si="299"/>
        <v>2210</v>
      </c>
      <c r="K2549" s="5" t="str">
        <f t="shared" si="300"/>
        <v>000</v>
      </c>
      <c r="L2549" s="5">
        <f t="shared" si="301"/>
        <v>6</v>
      </c>
      <c r="M2549" s="5">
        <f t="shared" si="302"/>
        <v>2012</v>
      </c>
    </row>
    <row r="2550" spans="1:13" ht="17.45" customHeight="1" x14ac:dyDescent="0.25">
      <c r="A2550" s="1">
        <f>DATE(2012,6,3)</f>
        <v>41063</v>
      </c>
      <c r="B2550" t="s">
        <v>17</v>
      </c>
      <c r="C2550" t="s">
        <v>9</v>
      </c>
      <c r="D2550" s="3">
        <v>187.935</v>
      </c>
      <c r="E2550" s="3">
        <v>0</v>
      </c>
      <c r="F2550" t="s">
        <v>45</v>
      </c>
      <c r="G2550" s="3">
        <f t="shared" si="296"/>
        <v>-187.935</v>
      </c>
      <c r="H2550" s="3">
        <f t="shared" si="297"/>
        <v>187.935</v>
      </c>
      <c r="I2550" s="5" t="str">
        <f t="shared" si="298"/>
        <v>017</v>
      </c>
      <c r="J2550" s="5" t="str">
        <f t="shared" si="299"/>
        <v>2220</v>
      </c>
      <c r="K2550" s="5" t="str">
        <f t="shared" si="300"/>
        <v>000</v>
      </c>
      <c r="L2550" s="5">
        <f t="shared" si="301"/>
        <v>6</v>
      </c>
      <c r="M2550" s="5">
        <f t="shared" si="302"/>
        <v>2012</v>
      </c>
    </row>
    <row r="2551" spans="1:13" ht="17.45" customHeight="1" x14ac:dyDescent="0.25">
      <c r="A2551" s="1">
        <f>DATE(2012,6,3)</f>
        <v>41063</v>
      </c>
      <c r="B2551" t="s">
        <v>18</v>
      </c>
      <c r="C2551" t="s">
        <v>10</v>
      </c>
      <c r="D2551" s="3">
        <v>67.996000000000009</v>
      </c>
      <c r="E2551" s="3">
        <v>0</v>
      </c>
      <c r="F2551" t="s">
        <v>45</v>
      </c>
      <c r="G2551" s="3">
        <f t="shared" si="296"/>
        <v>-67.996000000000009</v>
      </c>
      <c r="H2551" s="3">
        <f t="shared" si="297"/>
        <v>67.996000000000009</v>
      </c>
      <c r="I2551" s="5" t="str">
        <f t="shared" si="298"/>
        <v>017</v>
      </c>
      <c r="J2551" s="5" t="str">
        <f t="shared" si="299"/>
        <v>2230</v>
      </c>
      <c r="K2551" s="5" t="str">
        <f t="shared" si="300"/>
        <v>000</v>
      </c>
      <c r="L2551" s="5">
        <f t="shared" si="301"/>
        <v>6</v>
      </c>
      <c r="M2551" s="5">
        <f t="shared" si="302"/>
        <v>2012</v>
      </c>
    </row>
    <row r="2552" spans="1:13" ht="17.45" customHeight="1" x14ac:dyDescent="0.25">
      <c r="A2552" s="1">
        <f>DATE(2012,5,28)</f>
        <v>41057</v>
      </c>
      <c r="B2552" t="s">
        <v>19</v>
      </c>
      <c r="C2552" t="s">
        <v>6</v>
      </c>
      <c r="D2552" s="3">
        <v>5266.7449999999999</v>
      </c>
      <c r="E2552" s="3">
        <v>0</v>
      </c>
      <c r="F2552" t="s">
        <v>45</v>
      </c>
      <c r="G2552" s="3">
        <f t="shared" si="296"/>
        <v>-5266.7449999999999</v>
      </c>
      <c r="H2552" s="3">
        <f t="shared" si="297"/>
        <v>5266.7449999999999</v>
      </c>
      <c r="I2552" s="5" t="str">
        <f t="shared" si="298"/>
        <v>018</v>
      </c>
      <c r="J2552" s="5" t="str">
        <f t="shared" si="299"/>
        <v>2100</v>
      </c>
      <c r="K2552" s="5" t="str">
        <f t="shared" si="300"/>
        <v>000</v>
      </c>
      <c r="L2552" s="5">
        <f t="shared" si="301"/>
        <v>5</v>
      </c>
      <c r="M2552" s="5">
        <f t="shared" si="302"/>
        <v>2012</v>
      </c>
    </row>
    <row r="2553" spans="1:13" ht="17.45" customHeight="1" x14ac:dyDescent="0.25">
      <c r="A2553" s="1">
        <f>DATE(2012,5,28)</f>
        <v>41057</v>
      </c>
      <c r="B2553" t="s">
        <v>20</v>
      </c>
      <c r="C2553" t="s">
        <v>8</v>
      </c>
      <c r="D2553" s="3">
        <v>1348.0955000000001</v>
      </c>
      <c r="E2553" s="3">
        <v>0</v>
      </c>
      <c r="F2553" t="s">
        <v>45</v>
      </c>
      <c r="G2553" s="3">
        <f t="shared" si="296"/>
        <v>-1348.0955000000001</v>
      </c>
      <c r="H2553" s="3">
        <f t="shared" si="297"/>
        <v>1348.0955000000001</v>
      </c>
      <c r="I2553" s="5" t="str">
        <f t="shared" si="298"/>
        <v>018</v>
      </c>
      <c r="J2553" s="5" t="str">
        <f t="shared" si="299"/>
        <v>2210</v>
      </c>
      <c r="K2553" s="5" t="str">
        <f t="shared" si="300"/>
        <v>000</v>
      </c>
      <c r="L2553" s="5">
        <f t="shared" si="301"/>
        <v>5</v>
      </c>
      <c r="M2553" s="5">
        <f t="shared" si="302"/>
        <v>2012</v>
      </c>
    </row>
    <row r="2554" spans="1:13" ht="17.45" customHeight="1" x14ac:dyDescent="0.25">
      <c r="A2554" s="1">
        <f>DATE(2012,5,28)</f>
        <v>41057</v>
      </c>
      <c r="B2554" t="s">
        <v>21</v>
      </c>
      <c r="C2554" t="s">
        <v>9</v>
      </c>
      <c r="D2554" s="3">
        <v>185.28</v>
      </c>
      <c r="E2554" s="3">
        <v>0</v>
      </c>
      <c r="F2554" t="s">
        <v>45</v>
      </c>
      <c r="G2554" s="3">
        <f t="shared" si="296"/>
        <v>-185.28</v>
      </c>
      <c r="H2554" s="3">
        <f t="shared" si="297"/>
        <v>185.28</v>
      </c>
      <c r="I2554" s="5" t="str">
        <f t="shared" si="298"/>
        <v>018</v>
      </c>
      <c r="J2554" s="5" t="str">
        <f t="shared" si="299"/>
        <v>2220</v>
      </c>
      <c r="K2554" s="5" t="str">
        <f t="shared" si="300"/>
        <v>000</v>
      </c>
      <c r="L2554" s="5">
        <f t="shared" si="301"/>
        <v>5</v>
      </c>
      <c r="M2554" s="5">
        <f t="shared" si="302"/>
        <v>2012</v>
      </c>
    </row>
    <row r="2555" spans="1:13" ht="17.45" customHeight="1" x14ac:dyDescent="0.25">
      <c r="A2555" s="1">
        <f>DATE(2012,5,28)</f>
        <v>41057</v>
      </c>
      <c r="B2555" t="s">
        <v>22</v>
      </c>
      <c r="C2555" t="s">
        <v>10</v>
      </c>
      <c r="D2555" s="3">
        <v>32.476500000000001</v>
      </c>
      <c r="E2555" s="3">
        <v>0</v>
      </c>
      <c r="F2555" t="s">
        <v>45</v>
      </c>
      <c r="G2555" s="3">
        <f t="shared" si="296"/>
        <v>-32.476500000000001</v>
      </c>
      <c r="H2555" s="3">
        <f t="shared" si="297"/>
        <v>32.476500000000001</v>
      </c>
      <c r="I2555" s="5" t="str">
        <f t="shared" si="298"/>
        <v>018</v>
      </c>
      <c r="J2555" s="5" t="str">
        <f t="shared" si="299"/>
        <v>2230</v>
      </c>
      <c r="K2555" s="5" t="str">
        <f t="shared" si="300"/>
        <v>000</v>
      </c>
      <c r="L2555" s="5">
        <f t="shared" si="301"/>
        <v>5</v>
      </c>
      <c r="M2555" s="5">
        <f t="shared" si="302"/>
        <v>2012</v>
      </c>
    </row>
    <row r="2556" spans="1:13" ht="17.45" customHeight="1" x14ac:dyDescent="0.25">
      <c r="A2556" s="1">
        <f>DATE(2012,5,29)</f>
        <v>41058</v>
      </c>
      <c r="B2556" t="s">
        <v>19</v>
      </c>
      <c r="C2556" t="s">
        <v>6</v>
      </c>
      <c r="D2556" s="3">
        <v>4321.9980000000005</v>
      </c>
      <c r="E2556" s="3">
        <v>0</v>
      </c>
      <c r="F2556" t="s">
        <v>45</v>
      </c>
      <c r="G2556" s="3">
        <f t="shared" si="296"/>
        <v>-4321.9980000000005</v>
      </c>
      <c r="H2556" s="3">
        <f t="shared" si="297"/>
        <v>4321.9980000000005</v>
      </c>
      <c r="I2556" s="5" t="str">
        <f t="shared" si="298"/>
        <v>018</v>
      </c>
      <c r="J2556" s="5" t="str">
        <f t="shared" si="299"/>
        <v>2100</v>
      </c>
      <c r="K2556" s="5" t="str">
        <f t="shared" si="300"/>
        <v>000</v>
      </c>
      <c r="L2556" s="5">
        <f t="shared" si="301"/>
        <v>5</v>
      </c>
      <c r="M2556" s="5">
        <f t="shared" si="302"/>
        <v>2012</v>
      </c>
    </row>
    <row r="2557" spans="1:13" ht="17.45" customHeight="1" x14ac:dyDescent="0.25">
      <c r="A2557" s="1">
        <f>DATE(2012,5,29)</f>
        <v>41058</v>
      </c>
      <c r="B2557" t="s">
        <v>20</v>
      </c>
      <c r="C2557" t="s">
        <v>8</v>
      </c>
      <c r="D2557" s="3">
        <v>787.81499999999994</v>
      </c>
      <c r="E2557" s="3">
        <v>0</v>
      </c>
      <c r="F2557" t="s">
        <v>45</v>
      </c>
      <c r="G2557" s="3">
        <f t="shared" si="296"/>
        <v>-787.81499999999994</v>
      </c>
      <c r="H2557" s="3">
        <f t="shared" si="297"/>
        <v>787.81499999999994</v>
      </c>
      <c r="I2557" s="5" t="str">
        <f t="shared" si="298"/>
        <v>018</v>
      </c>
      <c r="J2557" s="5" t="str">
        <f t="shared" si="299"/>
        <v>2210</v>
      </c>
      <c r="K2557" s="5" t="str">
        <f t="shared" si="300"/>
        <v>000</v>
      </c>
      <c r="L2557" s="5">
        <f t="shared" si="301"/>
        <v>5</v>
      </c>
      <c r="M2557" s="5">
        <f t="shared" si="302"/>
        <v>2012</v>
      </c>
    </row>
    <row r="2558" spans="1:13" ht="17.45" customHeight="1" x14ac:dyDescent="0.25">
      <c r="A2558" s="1">
        <f>DATE(2012,5,29)</f>
        <v>41058</v>
      </c>
      <c r="B2558" t="s">
        <v>21</v>
      </c>
      <c r="C2558" t="s">
        <v>9</v>
      </c>
      <c r="D2558" s="3">
        <v>173.69800000000001</v>
      </c>
      <c r="E2558" s="3">
        <v>0</v>
      </c>
      <c r="F2558" t="s">
        <v>45</v>
      </c>
      <c r="G2558" s="3">
        <f t="shared" si="296"/>
        <v>-173.69800000000001</v>
      </c>
      <c r="H2558" s="3">
        <f t="shared" si="297"/>
        <v>173.69800000000001</v>
      </c>
      <c r="I2558" s="5" t="str">
        <f t="shared" si="298"/>
        <v>018</v>
      </c>
      <c r="J2558" s="5" t="str">
        <f t="shared" si="299"/>
        <v>2220</v>
      </c>
      <c r="K2558" s="5" t="str">
        <f t="shared" si="300"/>
        <v>000</v>
      </c>
      <c r="L2558" s="5">
        <f t="shared" si="301"/>
        <v>5</v>
      </c>
      <c r="M2558" s="5">
        <f t="shared" si="302"/>
        <v>2012</v>
      </c>
    </row>
    <row r="2559" spans="1:13" ht="17.45" customHeight="1" x14ac:dyDescent="0.25">
      <c r="A2559" s="1">
        <f>DATE(2012,5,29)</f>
        <v>41058</v>
      </c>
      <c r="B2559" t="s">
        <v>22</v>
      </c>
      <c r="C2559" t="s">
        <v>10</v>
      </c>
      <c r="D2559" s="3">
        <v>86.86399999999999</v>
      </c>
      <c r="E2559" s="3">
        <v>0</v>
      </c>
      <c r="F2559" t="s">
        <v>45</v>
      </c>
      <c r="G2559" s="3">
        <f t="shared" si="296"/>
        <v>-86.86399999999999</v>
      </c>
      <c r="H2559" s="3">
        <f t="shared" si="297"/>
        <v>86.86399999999999</v>
      </c>
      <c r="I2559" s="5" t="str">
        <f t="shared" si="298"/>
        <v>018</v>
      </c>
      <c r="J2559" s="5" t="str">
        <f t="shared" si="299"/>
        <v>2230</v>
      </c>
      <c r="K2559" s="5" t="str">
        <f t="shared" si="300"/>
        <v>000</v>
      </c>
      <c r="L2559" s="5">
        <f t="shared" si="301"/>
        <v>5</v>
      </c>
      <c r="M2559" s="5">
        <f t="shared" si="302"/>
        <v>2012</v>
      </c>
    </row>
    <row r="2560" spans="1:13" ht="17.45" customHeight="1" x14ac:dyDescent="0.25">
      <c r="A2560" s="1">
        <f>DATE(2012,5,30)</f>
        <v>41059</v>
      </c>
      <c r="B2560" t="s">
        <v>19</v>
      </c>
      <c r="C2560" t="s">
        <v>6</v>
      </c>
      <c r="D2560" s="3">
        <v>5029.8131999999996</v>
      </c>
      <c r="E2560" s="3">
        <v>0</v>
      </c>
      <c r="F2560" t="s">
        <v>45</v>
      </c>
      <c r="G2560" s="3">
        <f t="shared" si="296"/>
        <v>-5029.8131999999996</v>
      </c>
      <c r="H2560" s="3">
        <f t="shared" si="297"/>
        <v>5029.8131999999996</v>
      </c>
      <c r="I2560" s="5" t="str">
        <f t="shared" si="298"/>
        <v>018</v>
      </c>
      <c r="J2560" s="5" t="str">
        <f t="shared" si="299"/>
        <v>2100</v>
      </c>
      <c r="K2560" s="5" t="str">
        <f t="shared" si="300"/>
        <v>000</v>
      </c>
      <c r="L2560" s="5">
        <f t="shared" si="301"/>
        <v>5</v>
      </c>
      <c r="M2560" s="5">
        <f t="shared" si="302"/>
        <v>2012</v>
      </c>
    </row>
    <row r="2561" spans="1:13" ht="17.45" customHeight="1" x14ac:dyDescent="0.25">
      <c r="A2561" s="1">
        <f>DATE(2012,5,30)</f>
        <v>41059</v>
      </c>
      <c r="B2561" t="s">
        <v>20</v>
      </c>
      <c r="C2561" t="s">
        <v>8</v>
      </c>
      <c r="D2561" s="3">
        <v>479.21600000000001</v>
      </c>
      <c r="E2561" s="3">
        <v>0</v>
      </c>
      <c r="F2561" t="s">
        <v>45</v>
      </c>
      <c r="G2561" s="3">
        <f t="shared" si="296"/>
        <v>-479.21600000000001</v>
      </c>
      <c r="H2561" s="3">
        <f t="shared" si="297"/>
        <v>479.21600000000001</v>
      </c>
      <c r="I2561" s="5" t="str">
        <f t="shared" si="298"/>
        <v>018</v>
      </c>
      <c r="J2561" s="5" t="str">
        <f t="shared" si="299"/>
        <v>2210</v>
      </c>
      <c r="K2561" s="5" t="str">
        <f t="shared" si="300"/>
        <v>000</v>
      </c>
      <c r="L2561" s="5">
        <f t="shared" si="301"/>
        <v>5</v>
      </c>
      <c r="M2561" s="5">
        <f t="shared" si="302"/>
        <v>2012</v>
      </c>
    </row>
    <row r="2562" spans="1:13" ht="17.45" customHeight="1" x14ac:dyDescent="0.25">
      <c r="A2562" s="1">
        <f>DATE(2012,5,30)</f>
        <v>41059</v>
      </c>
      <c r="B2562" t="s">
        <v>21</v>
      </c>
      <c r="C2562" t="s">
        <v>9</v>
      </c>
      <c r="D2562" s="3">
        <v>204.14449999999997</v>
      </c>
      <c r="E2562" s="3">
        <v>0</v>
      </c>
      <c r="F2562" t="s">
        <v>45</v>
      </c>
      <c r="G2562" s="3">
        <f t="shared" ref="G2562:G2625" si="304">E2562-D2562</f>
        <v>-204.14449999999997</v>
      </c>
      <c r="H2562" s="3">
        <f t="shared" ref="H2562:H2625" si="305">ABS(G2562)</f>
        <v>204.14449999999997</v>
      </c>
      <c r="I2562" s="5" t="str">
        <f t="shared" ref="I2562:I2625" si="306">MID(B2562,1,3)</f>
        <v>018</v>
      </c>
      <c r="J2562" s="5" t="str">
        <f t="shared" ref="J2562:J2625" si="307">MID(B2562,5,4)</f>
        <v>2220</v>
      </c>
      <c r="K2562" s="5" t="str">
        <f t="shared" ref="K2562:K2625" si="308">MID(B2562,10,3)</f>
        <v>000</v>
      </c>
      <c r="L2562" s="5">
        <f t="shared" ref="L2562:L2625" si="309">MONTH(A2562)</f>
        <v>5</v>
      </c>
      <c r="M2562" s="5">
        <f t="shared" ref="M2562:M2625" si="310">YEAR(A2562)</f>
        <v>2012</v>
      </c>
    </row>
    <row r="2563" spans="1:13" ht="17.45" customHeight="1" x14ac:dyDescent="0.25">
      <c r="A2563" s="1">
        <f>DATE(2012,5,30)</f>
        <v>41059</v>
      </c>
      <c r="B2563" t="s">
        <v>22</v>
      </c>
      <c r="C2563" t="s">
        <v>10</v>
      </c>
      <c r="D2563" s="3">
        <v>67.150000000000006</v>
      </c>
      <c r="E2563" s="3">
        <v>0</v>
      </c>
      <c r="F2563" t="s">
        <v>45</v>
      </c>
      <c r="G2563" s="3">
        <f t="shared" si="304"/>
        <v>-67.150000000000006</v>
      </c>
      <c r="H2563" s="3">
        <f t="shared" si="305"/>
        <v>67.150000000000006</v>
      </c>
      <c r="I2563" s="5" t="str">
        <f t="shared" si="306"/>
        <v>018</v>
      </c>
      <c r="J2563" s="5" t="str">
        <f t="shared" si="307"/>
        <v>2230</v>
      </c>
      <c r="K2563" s="5" t="str">
        <f t="shared" si="308"/>
        <v>000</v>
      </c>
      <c r="L2563" s="5">
        <f t="shared" si="309"/>
        <v>5</v>
      </c>
      <c r="M2563" s="5">
        <f t="shared" si="310"/>
        <v>2012</v>
      </c>
    </row>
    <row r="2564" spans="1:13" ht="17.45" customHeight="1" x14ac:dyDescent="0.25">
      <c r="A2564" s="1">
        <f>DATE(2012,5,31)</f>
        <v>41060</v>
      </c>
      <c r="B2564" t="s">
        <v>19</v>
      </c>
      <c r="C2564" t="s">
        <v>6</v>
      </c>
      <c r="D2564" s="3">
        <v>7119.5208000000002</v>
      </c>
      <c r="E2564" s="3">
        <v>0</v>
      </c>
      <c r="F2564" t="s">
        <v>45</v>
      </c>
      <c r="G2564" s="3">
        <f t="shared" si="304"/>
        <v>-7119.5208000000002</v>
      </c>
      <c r="H2564" s="3">
        <f t="shared" si="305"/>
        <v>7119.5208000000002</v>
      </c>
      <c r="I2564" s="5" t="str">
        <f t="shared" si="306"/>
        <v>018</v>
      </c>
      <c r="J2564" s="5" t="str">
        <f t="shared" si="307"/>
        <v>2100</v>
      </c>
      <c r="K2564" s="5" t="str">
        <f t="shared" si="308"/>
        <v>000</v>
      </c>
      <c r="L2564" s="5">
        <f t="shared" si="309"/>
        <v>5</v>
      </c>
      <c r="M2564" s="5">
        <f t="shared" si="310"/>
        <v>2012</v>
      </c>
    </row>
    <row r="2565" spans="1:13" ht="17.45" customHeight="1" x14ac:dyDescent="0.25">
      <c r="A2565" s="1">
        <f>DATE(2012,5,31)</f>
        <v>41060</v>
      </c>
      <c r="B2565" t="s">
        <v>20</v>
      </c>
      <c r="C2565" t="s">
        <v>8</v>
      </c>
      <c r="D2565" s="3">
        <v>1370.7540000000001</v>
      </c>
      <c r="E2565" s="3">
        <v>0</v>
      </c>
      <c r="F2565" t="s">
        <v>45</v>
      </c>
      <c r="G2565" s="3">
        <f t="shared" si="304"/>
        <v>-1370.7540000000001</v>
      </c>
      <c r="H2565" s="3">
        <f t="shared" si="305"/>
        <v>1370.7540000000001</v>
      </c>
      <c r="I2565" s="5" t="str">
        <f t="shared" si="306"/>
        <v>018</v>
      </c>
      <c r="J2565" s="5" t="str">
        <f t="shared" si="307"/>
        <v>2210</v>
      </c>
      <c r="K2565" s="5" t="str">
        <f t="shared" si="308"/>
        <v>000</v>
      </c>
      <c r="L2565" s="5">
        <f t="shared" si="309"/>
        <v>5</v>
      </c>
      <c r="M2565" s="5">
        <f t="shared" si="310"/>
        <v>2012</v>
      </c>
    </row>
    <row r="2566" spans="1:13" ht="17.45" customHeight="1" x14ac:dyDescent="0.25">
      <c r="A2566" s="1">
        <f>DATE(2012,5,31)</f>
        <v>41060</v>
      </c>
      <c r="B2566" t="s">
        <v>21</v>
      </c>
      <c r="C2566" t="s">
        <v>9</v>
      </c>
      <c r="D2566" s="3">
        <v>205.76999999999998</v>
      </c>
      <c r="E2566" s="3">
        <v>0</v>
      </c>
      <c r="F2566" t="s">
        <v>45</v>
      </c>
      <c r="G2566" s="3">
        <f t="shared" si="304"/>
        <v>-205.76999999999998</v>
      </c>
      <c r="H2566" s="3">
        <f t="shared" si="305"/>
        <v>205.76999999999998</v>
      </c>
      <c r="I2566" s="5" t="str">
        <f t="shared" si="306"/>
        <v>018</v>
      </c>
      <c r="J2566" s="5" t="str">
        <f t="shared" si="307"/>
        <v>2220</v>
      </c>
      <c r="K2566" s="5" t="str">
        <f t="shared" si="308"/>
        <v>000</v>
      </c>
      <c r="L2566" s="5">
        <f t="shared" si="309"/>
        <v>5</v>
      </c>
      <c r="M2566" s="5">
        <f t="shared" si="310"/>
        <v>2012</v>
      </c>
    </row>
    <row r="2567" spans="1:13" ht="17.45" customHeight="1" x14ac:dyDescent="0.25">
      <c r="A2567" s="1">
        <f>DATE(2012,5,31)</f>
        <v>41060</v>
      </c>
      <c r="B2567" t="s">
        <v>22</v>
      </c>
      <c r="C2567" t="s">
        <v>10</v>
      </c>
      <c r="D2567" s="3">
        <v>161.62300000000002</v>
      </c>
      <c r="E2567" s="3">
        <v>0</v>
      </c>
      <c r="F2567" t="s">
        <v>45</v>
      </c>
      <c r="G2567" s="3">
        <f t="shared" si="304"/>
        <v>-161.62300000000002</v>
      </c>
      <c r="H2567" s="3">
        <f t="shared" si="305"/>
        <v>161.62300000000002</v>
      </c>
      <c r="I2567" s="5" t="str">
        <f t="shared" si="306"/>
        <v>018</v>
      </c>
      <c r="J2567" s="5" t="str">
        <f t="shared" si="307"/>
        <v>2230</v>
      </c>
      <c r="K2567" s="5" t="str">
        <f t="shared" si="308"/>
        <v>000</v>
      </c>
      <c r="L2567" s="5">
        <f t="shared" si="309"/>
        <v>5</v>
      </c>
      <c r="M2567" s="5">
        <f t="shared" si="310"/>
        <v>2012</v>
      </c>
    </row>
    <row r="2568" spans="1:13" ht="17.45" customHeight="1" x14ac:dyDescent="0.25">
      <c r="A2568" s="1">
        <f>DATE(2012,6,1)</f>
        <v>41061</v>
      </c>
      <c r="B2568" t="s">
        <v>19</v>
      </c>
      <c r="C2568" t="s">
        <v>6</v>
      </c>
      <c r="D2568" s="3">
        <v>6551.7259999999997</v>
      </c>
      <c r="E2568" s="3">
        <v>0</v>
      </c>
      <c r="F2568" t="s">
        <v>45</v>
      </c>
      <c r="G2568" s="3">
        <f t="shared" si="304"/>
        <v>-6551.7259999999997</v>
      </c>
      <c r="H2568" s="3">
        <f t="shared" si="305"/>
        <v>6551.7259999999997</v>
      </c>
      <c r="I2568" s="5" t="str">
        <f t="shared" si="306"/>
        <v>018</v>
      </c>
      <c r="J2568" s="5" t="str">
        <f t="shared" si="307"/>
        <v>2100</v>
      </c>
      <c r="K2568" s="5" t="str">
        <f t="shared" si="308"/>
        <v>000</v>
      </c>
      <c r="L2568" s="5">
        <f t="shared" si="309"/>
        <v>6</v>
      </c>
      <c r="M2568" s="5">
        <f t="shared" si="310"/>
        <v>2012</v>
      </c>
    </row>
    <row r="2569" spans="1:13" ht="17.45" customHeight="1" x14ac:dyDescent="0.25">
      <c r="A2569" s="1">
        <f>DATE(2012,6,1)</f>
        <v>41061</v>
      </c>
      <c r="B2569" t="s">
        <v>20</v>
      </c>
      <c r="C2569" t="s">
        <v>8</v>
      </c>
      <c r="D2569" s="3">
        <v>1443.4110000000001</v>
      </c>
      <c r="E2569" s="3">
        <v>0</v>
      </c>
      <c r="F2569" t="s">
        <v>45</v>
      </c>
      <c r="G2569" s="3">
        <f t="shared" si="304"/>
        <v>-1443.4110000000001</v>
      </c>
      <c r="H2569" s="3">
        <f t="shared" si="305"/>
        <v>1443.4110000000001</v>
      </c>
      <c r="I2569" s="5" t="str">
        <f t="shared" si="306"/>
        <v>018</v>
      </c>
      <c r="J2569" s="5" t="str">
        <f t="shared" si="307"/>
        <v>2210</v>
      </c>
      <c r="K2569" s="5" t="str">
        <f t="shared" si="308"/>
        <v>000</v>
      </c>
      <c r="L2569" s="5">
        <f t="shared" si="309"/>
        <v>6</v>
      </c>
      <c r="M2569" s="5">
        <f t="shared" si="310"/>
        <v>2012</v>
      </c>
    </row>
    <row r="2570" spans="1:13" ht="17.45" customHeight="1" x14ac:dyDescent="0.25">
      <c r="A2570" s="1">
        <f>DATE(2012,6,1)</f>
        <v>41061</v>
      </c>
      <c r="B2570" t="s">
        <v>21</v>
      </c>
      <c r="C2570" t="s">
        <v>9</v>
      </c>
      <c r="D2570" s="3">
        <v>503.56799999999998</v>
      </c>
      <c r="E2570" s="3">
        <v>0</v>
      </c>
      <c r="F2570" t="s">
        <v>45</v>
      </c>
      <c r="G2570" s="3">
        <f t="shared" si="304"/>
        <v>-503.56799999999998</v>
      </c>
      <c r="H2570" s="3">
        <f t="shared" si="305"/>
        <v>503.56799999999998</v>
      </c>
      <c r="I2570" s="5" t="str">
        <f t="shared" si="306"/>
        <v>018</v>
      </c>
      <c r="J2570" s="5" t="str">
        <f t="shared" si="307"/>
        <v>2220</v>
      </c>
      <c r="K2570" s="5" t="str">
        <f t="shared" si="308"/>
        <v>000</v>
      </c>
      <c r="L2570" s="5">
        <f t="shared" si="309"/>
        <v>6</v>
      </c>
      <c r="M2570" s="5">
        <f t="shared" si="310"/>
        <v>2012</v>
      </c>
    </row>
    <row r="2571" spans="1:13" ht="17.45" customHeight="1" x14ac:dyDescent="0.25">
      <c r="A2571" s="1">
        <f>DATE(2012,6,1)</f>
        <v>41061</v>
      </c>
      <c r="B2571" t="s">
        <v>22</v>
      </c>
      <c r="C2571" t="s">
        <v>10</v>
      </c>
      <c r="D2571" s="3">
        <v>157.32599999999999</v>
      </c>
      <c r="E2571" s="3">
        <v>0</v>
      </c>
      <c r="F2571" t="s">
        <v>45</v>
      </c>
      <c r="G2571" s="3">
        <f t="shared" si="304"/>
        <v>-157.32599999999999</v>
      </c>
      <c r="H2571" s="3">
        <f t="shared" si="305"/>
        <v>157.32599999999999</v>
      </c>
      <c r="I2571" s="5" t="str">
        <f t="shared" si="306"/>
        <v>018</v>
      </c>
      <c r="J2571" s="5" t="str">
        <f t="shared" si="307"/>
        <v>2230</v>
      </c>
      <c r="K2571" s="5" t="str">
        <f t="shared" si="308"/>
        <v>000</v>
      </c>
      <c r="L2571" s="5">
        <f t="shared" si="309"/>
        <v>6</v>
      </c>
      <c r="M2571" s="5">
        <f t="shared" si="310"/>
        <v>2012</v>
      </c>
    </row>
    <row r="2572" spans="1:13" ht="17.45" customHeight="1" x14ac:dyDescent="0.25">
      <c r="A2572" s="1">
        <f>DATE(2012,6,2)</f>
        <v>41062</v>
      </c>
      <c r="B2572" t="s">
        <v>19</v>
      </c>
      <c r="C2572" t="s">
        <v>6</v>
      </c>
      <c r="D2572" s="3">
        <v>11902.672999999999</v>
      </c>
      <c r="E2572" s="3">
        <v>0</v>
      </c>
      <c r="F2572" t="s">
        <v>45</v>
      </c>
      <c r="G2572" s="3">
        <f t="shared" si="304"/>
        <v>-11902.672999999999</v>
      </c>
      <c r="H2572" s="3">
        <f t="shared" si="305"/>
        <v>11902.672999999999</v>
      </c>
      <c r="I2572" s="5" t="str">
        <f t="shared" si="306"/>
        <v>018</v>
      </c>
      <c r="J2572" s="5" t="str">
        <f t="shared" si="307"/>
        <v>2100</v>
      </c>
      <c r="K2572" s="5" t="str">
        <f t="shared" si="308"/>
        <v>000</v>
      </c>
      <c r="L2572" s="5">
        <f t="shared" si="309"/>
        <v>6</v>
      </c>
      <c r="M2572" s="5">
        <f t="shared" si="310"/>
        <v>2012</v>
      </c>
    </row>
    <row r="2573" spans="1:13" ht="17.45" customHeight="1" x14ac:dyDescent="0.25">
      <c r="A2573" s="1">
        <f>DATE(2012,6,2)</f>
        <v>41062</v>
      </c>
      <c r="B2573" t="s">
        <v>20</v>
      </c>
      <c r="C2573" t="s">
        <v>8</v>
      </c>
      <c r="D2573" s="3">
        <v>2473.3439999999996</v>
      </c>
      <c r="E2573" s="3">
        <v>0</v>
      </c>
      <c r="F2573" t="s">
        <v>45</v>
      </c>
      <c r="G2573" s="3">
        <f t="shared" si="304"/>
        <v>-2473.3439999999996</v>
      </c>
      <c r="H2573" s="3">
        <f t="shared" si="305"/>
        <v>2473.3439999999996</v>
      </c>
      <c r="I2573" s="5" t="str">
        <f t="shared" si="306"/>
        <v>018</v>
      </c>
      <c r="J2573" s="5" t="str">
        <f t="shared" si="307"/>
        <v>2210</v>
      </c>
      <c r="K2573" s="5" t="str">
        <f t="shared" si="308"/>
        <v>000</v>
      </c>
      <c r="L2573" s="5">
        <f t="shared" si="309"/>
        <v>6</v>
      </c>
      <c r="M2573" s="5">
        <f t="shared" si="310"/>
        <v>2012</v>
      </c>
    </row>
    <row r="2574" spans="1:13" ht="17.45" customHeight="1" x14ac:dyDescent="0.25">
      <c r="A2574" s="1">
        <f>DATE(2012,6,2)</f>
        <v>41062</v>
      </c>
      <c r="B2574" t="s">
        <v>21</v>
      </c>
      <c r="C2574" t="s">
        <v>9</v>
      </c>
      <c r="D2574" s="3">
        <v>747.26099999999997</v>
      </c>
      <c r="E2574" s="3">
        <v>0</v>
      </c>
      <c r="F2574" t="s">
        <v>45</v>
      </c>
      <c r="G2574" s="3">
        <f t="shared" si="304"/>
        <v>-747.26099999999997</v>
      </c>
      <c r="H2574" s="3">
        <f t="shared" si="305"/>
        <v>747.26099999999997</v>
      </c>
      <c r="I2574" s="5" t="str">
        <f t="shared" si="306"/>
        <v>018</v>
      </c>
      <c r="J2574" s="5" t="str">
        <f t="shared" si="307"/>
        <v>2220</v>
      </c>
      <c r="K2574" s="5" t="str">
        <f t="shared" si="308"/>
        <v>000</v>
      </c>
      <c r="L2574" s="5">
        <f t="shared" si="309"/>
        <v>6</v>
      </c>
      <c r="M2574" s="5">
        <f t="shared" si="310"/>
        <v>2012</v>
      </c>
    </row>
    <row r="2575" spans="1:13" ht="17.45" customHeight="1" x14ac:dyDescent="0.25">
      <c r="A2575" s="1">
        <f>DATE(2012,6,2)</f>
        <v>41062</v>
      </c>
      <c r="B2575" t="s">
        <v>22</v>
      </c>
      <c r="C2575" t="s">
        <v>10</v>
      </c>
      <c r="D2575" s="3">
        <v>54.842000000000006</v>
      </c>
      <c r="E2575" s="3">
        <v>0</v>
      </c>
      <c r="F2575" t="s">
        <v>45</v>
      </c>
      <c r="G2575" s="3">
        <f t="shared" si="304"/>
        <v>-54.842000000000006</v>
      </c>
      <c r="H2575" s="3">
        <f t="shared" si="305"/>
        <v>54.842000000000006</v>
      </c>
      <c r="I2575" s="5" t="str">
        <f t="shared" si="306"/>
        <v>018</v>
      </c>
      <c r="J2575" s="5" t="str">
        <f t="shared" si="307"/>
        <v>2230</v>
      </c>
      <c r="K2575" s="5" t="str">
        <f t="shared" si="308"/>
        <v>000</v>
      </c>
      <c r="L2575" s="5">
        <f t="shared" si="309"/>
        <v>6</v>
      </c>
      <c r="M2575" s="5">
        <f t="shared" si="310"/>
        <v>2012</v>
      </c>
    </row>
    <row r="2576" spans="1:13" ht="17.45" customHeight="1" x14ac:dyDescent="0.25">
      <c r="A2576" s="1">
        <f>DATE(2012,6,3)</f>
        <v>41063</v>
      </c>
      <c r="B2576" t="s">
        <v>19</v>
      </c>
      <c r="C2576" t="s">
        <v>6</v>
      </c>
      <c r="D2576" s="3">
        <v>9034.9326000000001</v>
      </c>
      <c r="E2576" s="3">
        <v>0</v>
      </c>
      <c r="F2576" t="s">
        <v>45</v>
      </c>
      <c r="G2576" s="3">
        <f t="shared" si="304"/>
        <v>-9034.9326000000001</v>
      </c>
      <c r="H2576" s="3">
        <f t="shared" si="305"/>
        <v>9034.9326000000001</v>
      </c>
      <c r="I2576" s="5" t="str">
        <f t="shared" si="306"/>
        <v>018</v>
      </c>
      <c r="J2576" s="5" t="str">
        <f t="shared" si="307"/>
        <v>2100</v>
      </c>
      <c r="K2576" s="5" t="str">
        <f t="shared" si="308"/>
        <v>000</v>
      </c>
      <c r="L2576" s="5">
        <f t="shared" si="309"/>
        <v>6</v>
      </c>
      <c r="M2576" s="5">
        <f t="shared" si="310"/>
        <v>2012</v>
      </c>
    </row>
    <row r="2577" spans="1:13" ht="17.45" customHeight="1" x14ac:dyDescent="0.25">
      <c r="A2577" s="1">
        <f>DATE(2012,6,3)</f>
        <v>41063</v>
      </c>
      <c r="B2577" t="s">
        <v>20</v>
      </c>
      <c r="C2577" t="s">
        <v>8</v>
      </c>
      <c r="D2577" s="3">
        <v>1333.4460000000001</v>
      </c>
      <c r="E2577" s="3">
        <v>0</v>
      </c>
      <c r="F2577" t="s">
        <v>45</v>
      </c>
      <c r="G2577" s="3">
        <f t="shared" si="304"/>
        <v>-1333.4460000000001</v>
      </c>
      <c r="H2577" s="3">
        <f t="shared" si="305"/>
        <v>1333.4460000000001</v>
      </c>
      <c r="I2577" s="5" t="str">
        <f t="shared" si="306"/>
        <v>018</v>
      </c>
      <c r="J2577" s="5" t="str">
        <f t="shared" si="307"/>
        <v>2210</v>
      </c>
      <c r="K2577" s="5" t="str">
        <f t="shared" si="308"/>
        <v>000</v>
      </c>
      <c r="L2577" s="5">
        <f t="shared" si="309"/>
        <v>6</v>
      </c>
      <c r="M2577" s="5">
        <f t="shared" si="310"/>
        <v>2012</v>
      </c>
    </row>
    <row r="2578" spans="1:13" ht="17.45" customHeight="1" x14ac:dyDescent="0.25">
      <c r="A2578" s="1">
        <f>DATE(2012,6,3)</f>
        <v>41063</v>
      </c>
      <c r="B2578" t="s">
        <v>21</v>
      </c>
      <c r="C2578" t="s">
        <v>9</v>
      </c>
      <c r="D2578" s="3">
        <v>376.74899999999997</v>
      </c>
      <c r="E2578" s="3">
        <v>0</v>
      </c>
      <c r="F2578" t="s">
        <v>45</v>
      </c>
      <c r="G2578" s="3">
        <f t="shared" si="304"/>
        <v>-376.74899999999997</v>
      </c>
      <c r="H2578" s="3">
        <f t="shared" si="305"/>
        <v>376.74899999999997</v>
      </c>
      <c r="I2578" s="5" t="str">
        <f t="shared" si="306"/>
        <v>018</v>
      </c>
      <c r="J2578" s="5" t="str">
        <f t="shared" si="307"/>
        <v>2220</v>
      </c>
      <c r="K2578" s="5" t="str">
        <f t="shared" si="308"/>
        <v>000</v>
      </c>
      <c r="L2578" s="5">
        <f t="shared" si="309"/>
        <v>6</v>
      </c>
      <c r="M2578" s="5">
        <f t="shared" si="310"/>
        <v>2012</v>
      </c>
    </row>
    <row r="2579" spans="1:13" ht="17.45" customHeight="1" x14ac:dyDescent="0.25">
      <c r="A2579" s="1">
        <f>DATE(2012,6,3)</f>
        <v>41063</v>
      </c>
      <c r="B2579" t="s">
        <v>22</v>
      </c>
      <c r="C2579" t="s">
        <v>10</v>
      </c>
      <c r="D2579" s="3">
        <v>32.549999999999997</v>
      </c>
      <c r="E2579" s="3">
        <v>0</v>
      </c>
      <c r="F2579" t="s">
        <v>45</v>
      </c>
      <c r="G2579" s="3">
        <f t="shared" si="304"/>
        <v>-32.549999999999997</v>
      </c>
      <c r="H2579" s="3">
        <f t="shared" si="305"/>
        <v>32.549999999999997</v>
      </c>
      <c r="I2579" s="5" t="str">
        <f t="shared" si="306"/>
        <v>018</v>
      </c>
      <c r="J2579" s="5" t="str">
        <f t="shared" si="307"/>
        <v>2230</v>
      </c>
      <c r="K2579" s="5" t="str">
        <f t="shared" si="308"/>
        <v>000</v>
      </c>
      <c r="L2579" s="5">
        <f t="shared" si="309"/>
        <v>6</v>
      </c>
      <c r="M2579" s="5">
        <f t="shared" si="310"/>
        <v>2012</v>
      </c>
    </row>
    <row r="2580" spans="1:13" ht="17.45" customHeight="1" x14ac:dyDescent="0.25">
      <c r="A2580" s="1">
        <f>DATE(2012,6,4)</f>
        <v>41064</v>
      </c>
      <c r="B2580" t="s">
        <v>11</v>
      </c>
      <c r="C2580" t="s">
        <v>6</v>
      </c>
      <c r="D2580" s="3">
        <v>2218.5425</v>
      </c>
      <c r="E2580" s="3">
        <v>0</v>
      </c>
      <c r="F2580" t="s">
        <v>45</v>
      </c>
      <c r="G2580" s="3">
        <f t="shared" si="304"/>
        <v>-2218.5425</v>
      </c>
      <c r="H2580" s="3">
        <f t="shared" si="305"/>
        <v>2218.5425</v>
      </c>
      <c r="I2580" s="5" t="str">
        <f t="shared" si="306"/>
        <v>016</v>
      </c>
      <c r="J2580" s="5" t="str">
        <f t="shared" si="307"/>
        <v>2100</v>
      </c>
      <c r="K2580" s="5" t="str">
        <f t="shared" si="308"/>
        <v>000</v>
      </c>
      <c r="L2580" s="5">
        <f t="shared" si="309"/>
        <v>6</v>
      </c>
      <c r="M2580" s="5">
        <f t="shared" si="310"/>
        <v>2012</v>
      </c>
    </row>
    <row r="2581" spans="1:13" ht="17.45" customHeight="1" x14ac:dyDescent="0.25">
      <c r="A2581" s="1">
        <f>DATE(2012,6,4)</f>
        <v>41064</v>
      </c>
      <c r="B2581" t="s">
        <v>12</v>
      </c>
      <c r="C2581" t="s">
        <v>8</v>
      </c>
      <c r="D2581" s="3">
        <v>491.35450000000003</v>
      </c>
      <c r="E2581" s="3">
        <v>0</v>
      </c>
      <c r="F2581" t="s">
        <v>45</v>
      </c>
      <c r="G2581" s="3">
        <f t="shared" si="304"/>
        <v>-491.35450000000003</v>
      </c>
      <c r="H2581" s="3">
        <f t="shared" si="305"/>
        <v>491.35450000000003</v>
      </c>
      <c r="I2581" s="5" t="str">
        <f t="shared" si="306"/>
        <v>016</v>
      </c>
      <c r="J2581" s="5" t="str">
        <f t="shared" si="307"/>
        <v>2210</v>
      </c>
      <c r="K2581" s="5" t="str">
        <f t="shared" si="308"/>
        <v>000</v>
      </c>
      <c r="L2581" s="5">
        <f t="shared" si="309"/>
        <v>6</v>
      </c>
      <c r="M2581" s="5">
        <f t="shared" si="310"/>
        <v>2012</v>
      </c>
    </row>
    <row r="2582" spans="1:13" ht="17.45" customHeight="1" x14ac:dyDescent="0.25">
      <c r="A2582" s="1">
        <f>DATE(2012,6,4)</f>
        <v>41064</v>
      </c>
      <c r="B2582" t="s">
        <v>13</v>
      </c>
      <c r="C2582" t="s">
        <v>9</v>
      </c>
      <c r="D2582" s="3">
        <v>106.64999999999999</v>
      </c>
      <c r="E2582" s="3">
        <v>0</v>
      </c>
      <c r="F2582" t="s">
        <v>45</v>
      </c>
      <c r="G2582" s="3">
        <f t="shared" si="304"/>
        <v>-106.64999999999999</v>
      </c>
      <c r="H2582" s="3">
        <f t="shared" si="305"/>
        <v>106.64999999999999</v>
      </c>
      <c r="I2582" s="5" t="str">
        <f t="shared" si="306"/>
        <v>016</v>
      </c>
      <c r="J2582" s="5" t="str">
        <f t="shared" si="307"/>
        <v>2220</v>
      </c>
      <c r="K2582" s="5" t="str">
        <f t="shared" si="308"/>
        <v>000</v>
      </c>
      <c r="L2582" s="5">
        <f t="shared" si="309"/>
        <v>6</v>
      </c>
      <c r="M2582" s="5">
        <f t="shared" si="310"/>
        <v>2012</v>
      </c>
    </row>
    <row r="2583" spans="1:13" ht="17.45" customHeight="1" x14ac:dyDescent="0.25">
      <c r="A2583" s="1">
        <f>DATE(2012,6,4)</f>
        <v>41064</v>
      </c>
      <c r="B2583" t="s">
        <v>14</v>
      </c>
      <c r="C2583" t="s">
        <v>10</v>
      </c>
      <c r="D2583" s="3">
        <v>109.49699999999999</v>
      </c>
      <c r="E2583" s="3">
        <v>0</v>
      </c>
      <c r="F2583" t="s">
        <v>45</v>
      </c>
      <c r="G2583" s="3">
        <f t="shared" si="304"/>
        <v>-109.49699999999999</v>
      </c>
      <c r="H2583" s="3">
        <f t="shared" si="305"/>
        <v>109.49699999999999</v>
      </c>
      <c r="I2583" s="5" t="str">
        <f t="shared" si="306"/>
        <v>016</v>
      </c>
      <c r="J2583" s="5" t="str">
        <f t="shared" si="307"/>
        <v>2230</v>
      </c>
      <c r="K2583" s="5" t="str">
        <f t="shared" si="308"/>
        <v>000</v>
      </c>
      <c r="L2583" s="5">
        <f t="shared" si="309"/>
        <v>6</v>
      </c>
      <c r="M2583" s="5">
        <f t="shared" si="310"/>
        <v>2012</v>
      </c>
    </row>
    <row r="2584" spans="1:13" ht="17.45" customHeight="1" x14ac:dyDescent="0.25">
      <c r="A2584" s="1">
        <f>DATE(2012,6,5)</f>
        <v>41065</v>
      </c>
      <c r="B2584" t="s">
        <v>11</v>
      </c>
      <c r="C2584" t="s">
        <v>6</v>
      </c>
      <c r="D2584" s="3">
        <v>3655.2870000000003</v>
      </c>
      <c r="E2584" s="3">
        <v>0</v>
      </c>
      <c r="F2584" t="s">
        <v>45</v>
      </c>
      <c r="G2584" s="3">
        <f t="shared" si="304"/>
        <v>-3655.2870000000003</v>
      </c>
      <c r="H2584" s="3">
        <f t="shared" si="305"/>
        <v>3655.2870000000003</v>
      </c>
      <c r="I2584" s="5" t="str">
        <f t="shared" si="306"/>
        <v>016</v>
      </c>
      <c r="J2584" s="5" t="str">
        <f t="shared" si="307"/>
        <v>2100</v>
      </c>
      <c r="K2584" s="5" t="str">
        <f t="shared" si="308"/>
        <v>000</v>
      </c>
      <c r="L2584" s="5">
        <f t="shared" si="309"/>
        <v>6</v>
      </c>
      <c r="M2584" s="5">
        <f t="shared" si="310"/>
        <v>2012</v>
      </c>
    </row>
    <row r="2585" spans="1:13" ht="17.45" customHeight="1" x14ac:dyDescent="0.25">
      <c r="A2585" s="1">
        <f>DATE(2012,6,5)</f>
        <v>41065</v>
      </c>
      <c r="B2585" t="s">
        <v>12</v>
      </c>
      <c r="C2585" t="s">
        <v>8</v>
      </c>
      <c r="D2585" s="3">
        <v>1422.4350000000002</v>
      </c>
      <c r="E2585" s="3">
        <v>0</v>
      </c>
      <c r="F2585" t="s">
        <v>45</v>
      </c>
      <c r="G2585" s="3">
        <f t="shared" si="304"/>
        <v>-1422.4350000000002</v>
      </c>
      <c r="H2585" s="3">
        <f t="shared" si="305"/>
        <v>1422.4350000000002</v>
      </c>
      <c r="I2585" s="5" t="str">
        <f t="shared" si="306"/>
        <v>016</v>
      </c>
      <c r="J2585" s="5" t="str">
        <f t="shared" si="307"/>
        <v>2210</v>
      </c>
      <c r="K2585" s="5" t="str">
        <f t="shared" si="308"/>
        <v>000</v>
      </c>
      <c r="L2585" s="5">
        <f t="shared" si="309"/>
        <v>6</v>
      </c>
      <c r="M2585" s="5">
        <f t="shared" si="310"/>
        <v>2012</v>
      </c>
    </row>
    <row r="2586" spans="1:13" ht="17.45" customHeight="1" x14ac:dyDescent="0.25">
      <c r="A2586" s="1">
        <f>DATE(2012,6,5)</f>
        <v>41065</v>
      </c>
      <c r="B2586" t="s">
        <v>13</v>
      </c>
      <c r="C2586" t="s">
        <v>9</v>
      </c>
      <c r="D2586" s="3">
        <v>336.10550000000001</v>
      </c>
      <c r="E2586" s="3">
        <v>0</v>
      </c>
      <c r="F2586" t="s">
        <v>45</v>
      </c>
      <c r="G2586" s="3">
        <f t="shared" si="304"/>
        <v>-336.10550000000001</v>
      </c>
      <c r="H2586" s="3">
        <f t="shared" si="305"/>
        <v>336.10550000000001</v>
      </c>
      <c r="I2586" s="5" t="str">
        <f t="shared" si="306"/>
        <v>016</v>
      </c>
      <c r="J2586" s="5" t="str">
        <f t="shared" si="307"/>
        <v>2220</v>
      </c>
      <c r="K2586" s="5" t="str">
        <f t="shared" si="308"/>
        <v>000</v>
      </c>
      <c r="L2586" s="5">
        <f t="shared" si="309"/>
        <v>6</v>
      </c>
      <c r="M2586" s="5">
        <f t="shared" si="310"/>
        <v>2012</v>
      </c>
    </row>
    <row r="2587" spans="1:13" ht="17.45" customHeight="1" x14ac:dyDescent="0.25">
      <c r="A2587" s="1">
        <f>DATE(2012,6,5)</f>
        <v>41065</v>
      </c>
      <c r="B2587" t="s">
        <v>14</v>
      </c>
      <c r="C2587" t="s">
        <v>10</v>
      </c>
      <c r="D2587" s="3">
        <v>123.12849999999999</v>
      </c>
      <c r="E2587" s="3">
        <v>0</v>
      </c>
      <c r="F2587" t="s">
        <v>45</v>
      </c>
      <c r="G2587" s="3">
        <f t="shared" si="304"/>
        <v>-123.12849999999999</v>
      </c>
      <c r="H2587" s="3">
        <f t="shared" si="305"/>
        <v>123.12849999999999</v>
      </c>
      <c r="I2587" s="5" t="str">
        <f t="shared" si="306"/>
        <v>016</v>
      </c>
      <c r="J2587" s="5" t="str">
        <f t="shared" si="307"/>
        <v>2230</v>
      </c>
      <c r="K2587" s="5" t="str">
        <f t="shared" si="308"/>
        <v>000</v>
      </c>
      <c r="L2587" s="5">
        <f t="shared" si="309"/>
        <v>6</v>
      </c>
      <c r="M2587" s="5">
        <f t="shared" si="310"/>
        <v>2012</v>
      </c>
    </row>
    <row r="2588" spans="1:13" ht="17.45" customHeight="1" x14ac:dyDescent="0.25">
      <c r="A2588" s="1">
        <f>DATE(2012,6,6)</f>
        <v>41066</v>
      </c>
      <c r="B2588" t="s">
        <v>11</v>
      </c>
      <c r="C2588" t="s">
        <v>6</v>
      </c>
      <c r="D2588" s="3">
        <v>3789.6659999999997</v>
      </c>
      <c r="E2588" s="3">
        <v>0</v>
      </c>
      <c r="F2588" t="s">
        <v>45</v>
      </c>
      <c r="G2588" s="3">
        <f t="shared" si="304"/>
        <v>-3789.6659999999997</v>
      </c>
      <c r="H2588" s="3">
        <f t="shared" si="305"/>
        <v>3789.6659999999997</v>
      </c>
      <c r="I2588" s="5" t="str">
        <f t="shared" si="306"/>
        <v>016</v>
      </c>
      <c r="J2588" s="5" t="str">
        <f t="shared" si="307"/>
        <v>2100</v>
      </c>
      <c r="K2588" s="5" t="str">
        <f t="shared" si="308"/>
        <v>000</v>
      </c>
      <c r="L2588" s="5">
        <f t="shared" si="309"/>
        <v>6</v>
      </c>
      <c r="M2588" s="5">
        <f t="shared" si="310"/>
        <v>2012</v>
      </c>
    </row>
    <row r="2589" spans="1:13" ht="17.45" customHeight="1" x14ac:dyDescent="0.25">
      <c r="A2589" s="1">
        <f>DATE(2012,6,6)</f>
        <v>41066</v>
      </c>
      <c r="B2589" t="s">
        <v>12</v>
      </c>
      <c r="C2589" t="s">
        <v>8</v>
      </c>
      <c r="D2589" s="3">
        <v>1000.0665000000001</v>
      </c>
      <c r="E2589" s="3">
        <v>0</v>
      </c>
      <c r="F2589" t="s">
        <v>45</v>
      </c>
      <c r="G2589" s="3">
        <f t="shared" si="304"/>
        <v>-1000.0665000000001</v>
      </c>
      <c r="H2589" s="3">
        <f t="shared" si="305"/>
        <v>1000.0665000000001</v>
      </c>
      <c r="I2589" s="5" t="str">
        <f t="shared" si="306"/>
        <v>016</v>
      </c>
      <c r="J2589" s="5" t="str">
        <f t="shared" si="307"/>
        <v>2210</v>
      </c>
      <c r="K2589" s="5" t="str">
        <f t="shared" si="308"/>
        <v>000</v>
      </c>
      <c r="L2589" s="5">
        <f t="shared" si="309"/>
        <v>6</v>
      </c>
      <c r="M2589" s="5">
        <f t="shared" si="310"/>
        <v>2012</v>
      </c>
    </row>
    <row r="2590" spans="1:13" ht="17.45" customHeight="1" x14ac:dyDescent="0.25">
      <c r="A2590" s="1">
        <f>DATE(2012,6,6)</f>
        <v>41066</v>
      </c>
      <c r="B2590" t="s">
        <v>13</v>
      </c>
      <c r="C2590" t="s">
        <v>9</v>
      </c>
      <c r="D2590" s="3">
        <v>214.50869999999998</v>
      </c>
      <c r="E2590" s="3">
        <v>0</v>
      </c>
      <c r="F2590" t="s">
        <v>45</v>
      </c>
      <c r="G2590" s="3">
        <f t="shared" si="304"/>
        <v>-214.50869999999998</v>
      </c>
      <c r="H2590" s="3">
        <f t="shared" si="305"/>
        <v>214.50869999999998</v>
      </c>
      <c r="I2590" s="5" t="str">
        <f t="shared" si="306"/>
        <v>016</v>
      </c>
      <c r="J2590" s="5" t="str">
        <f t="shared" si="307"/>
        <v>2220</v>
      </c>
      <c r="K2590" s="5" t="str">
        <f t="shared" si="308"/>
        <v>000</v>
      </c>
      <c r="L2590" s="5">
        <f t="shared" si="309"/>
        <v>6</v>
      </c>
      <c r="M2590" s="5">
        <f t="shared" si="310"/>
        <v>2012</v>
      </c>
    </row>
    <row r="2591" spans="1:13" ht="17.45" customHeight="1" x14ac:dyDescent="0.25">
      <c r="A2591" s="1">
        <f>DATE(2012,6,6)</f>
        <v>41066</v>
      </c>
      <c r="B2591" t="s">
        <v>14</v>
      </c>
      <c r="C2591" t="s">
        <v>10</v>
      </c>
      <c r="D2591" s="3">
        <v>67.744499999999988</v>
      </c>
      <c r="E2591" s="3">
        <v>0</v>
      </c>
      <c r="F2591" t="s">
        <v>45</v>
      </c>
      <c r="G2591" s="3">
        <f t="shared" si="304"/>
        <v>-67.744499999999988</v>
      </c>
      <c r="H2591" s="3">
        <f t="shared" si="305"/>
        <v>67.744499999999988</v>
      </c>
      <c r="I2591" s="5" t="str">
        <f t="shared" si="306"/>
        <v>016</v>
      </c>
      <c r="J2591" s="5" t="str">
        <f t="shared" si="307"/>
        <v>2230</v>
      </c>
      <c r="K2591" s="5" t="str">
        <f t="shared" si="308"/>
        <v>000</v>
      </c>
      <c r="L2591" s="5">
        <f t="shared" si="309"/>
        <v>6</v>
      </c>
      <c r="M2591" s="5">
        <f t="shared" si="310"/>
        <v>2012</v>
      </c>
    </row>
    <row r="2592" spans="1:13" ht="17.45" customHeight="1" x14ac:dyDescent="0.25">
      <c r="A2592" s="1">
        <f>DATE(2012,6,7)</f>
        <v>41067</v>
      </c>
      <c r="B2592" t="s">
        <v>11</v>
      </c>
      <c r="C2592" t="s">
        <v>6</v>
      </c>
      <c r="D2592" s="3">
        <v>2873.4488999999999</v>
      </c>
      <c r="E2592" s="3">
        <v>0</v>
      </c>
      <c r="F2592" t="s">
        <v>45</v>
      </c>
      <c r="G2592" s="3">
        <f t="shared" si="304"/>
        <v>-2873.4488999999999</v>
      </c>
      <c r="H2592" s="3">
        <f t="shared" si="305"/>
        <v>2873.4488999999999</v>
      </c>
      <c r="I2592" s="5" t="str">
        <f t="shared" si="306"/>
        <v>016</v>
      </c>
      <c r="J2592" s="5" t="str">
        <f t="shared" si="307"/>
        <v>2100</v>
      </c>
      <c r="K2592" s="5" t="str">
        <f t="shared" si="308"/>
        <v>000</v>
      </c>
      <c r="L2592" s="5">
        <f t="shared" si="309"/>
        <v>6</v>
      </c>
      <c r="M2592" s="5">
        <f t="shared" si="310"/>
        <v>2012</v>
      </c>
    </row>
    <row r="2593" spans="1:13" ht="17.45" customHeight="1" x14ac:dyDescent="0.25">
      <c r="A2593" s="1">
        <f>DATE(2012,6,7)</f>
        <v>41067</v>
      </c>
      <c r="B2593" t="s">
        <v>12</v>
      </c>
      <c r="C2593" t="s">
        <v>8</v>
      </c>
      <c r="D2593" s="3">
        <v>1274.9829999999999</v>
      </c>
      <c r="E2593" s="3">
        <v>0</v>
      </c>
      <c r="F2593" t="s">
        <v>45</v>
      </c>
      <c r="G2593" s="3">
        <f t="shared" si="304"/>
        <v>-1274.9829999999999</v>
      </c>
      <c r="H2593" s="3">
        <f t="shared" si="305"/>
        <v>1274.9829999999999</v>
      </c>
      <c r="I2593" s="5" t="str">
        <f t="shared" si="306"/>
        <v>016</v>
      </c>
      <c r="J2593" s="5" t="str">
        <f t="shared" si="307"/>
        <v>2210</v>
      </c>
      <c r="K2593" s="5" t="str">
        <f t="shared" si="308"/>
        <v>000</v>
      </c>
      <c r="L2593" s="5">
        <f t="shared" si="309"/>
        <v>6</v>
      </c>
      <c r="M2593" s="5">
        <f t="shared" si="310"/>
        <v>2012</v>
      </c>
    </row>
    <row r="2594" spans="1:13" ht="17.45" customHeight="1" x14ac:dyDescent="0.25">
      <c r="A2594" s="1">
        <f>DATE(2012,6,7)</f>
        <v>41067</v>
      </c>
      <c r="B2594" t="s">
        <v>13</v>
      </c>
      <c r="C2594" t="s">
        <v>9</v>
      </c>
      <c r="D2594" s="3">
        <v>335.85300000000001</v>
      </c>
      <c r="E2594" s="3">
        <v>0</v>
      </c>
      <c r="F2594" t="s">
        <v>45</v>
      </c>
      <c r="G2594" s="3">
        <f t="shared" si="304"/>
        <v>-335.85300000000001</v>
      </c>
      <c r="H2594" s="3">
        <f t="shared" si="305"/>
        <v>335.85300000000001</v>
      </c>
      <c r="I2594" s="5" t="str">
        <f t="shared" si="306"/>
        <v>016</v>
      </c>
      <c r="J2594" s="5" t="str">
        <f t="shared" si="307"/>
        <v>2220</v>
      </c>
      <c r="K2594" s="5" t="str">
        <f t="shared" si="308"/>
        <v>000</v>
      </c>
      <c r="L2594" s="5">
        <f t="shared" si="309"/>
        <v>6</v>
      </c>
      <c r="M2594" s="5">
        <f t="shared" si="310"/>
        <v>2012</v>
      </c>
    </row>
    <row r="2595" spans="1:13" ht="17.45" customHeight="1" x14ac:dyDescent="0.25">
      <c r="A2595" s="1">
        <f>DATE(2012,6,7)</f>
        <v>41067</v>
      </c>
      <c r="B2595" t="s">
        <v>14</v>
      </c>
      <c r="C2595" t="s">
        <v>10</v>
      </c>
      <c r="D2595" s="3">
        <v>133.285</v>
      </c>
      <c r="E2595" s="3">
        <v>0</v>
      </c>
      <c r="F2595" t="s">
        <v>45</v>
      </c>
      <c r="G2595" s="3">
        <f t="shared" si="304"/>
        <v>-133.285</v>
      </c>
      <c r="H2595" s="3">
        <f t="shared" si="305"/>
        <v>133.285</v>
      </c>
      <c r="I2595" s="5" t="str">
        <f t="shared" si="306"/>
        <v>016</v>
      </c>
      <c r="J2595" s="5" t="str">
        <f t="shared" si="307"/>
        <v>2230</v>
      </c>
      <c r="K2595" s="5" t="str">
        <f t="shared" si="308"/>
        <v>000</v>
      </c>
      <c r="L2595" s="5">
        <f t="shared" si="309"/>
        <v>6</v>
      </c>
      <c r="M2595" s="5">
        <f t="shared" si="310"/>
        <v>2012</v>
      </c>
    </row>
    <row r="2596" spans="1:13" ht="17.45" customHeight="1" x14ac:dyDescent="0.25">
      <c r="A2596" s="1">
        <f>DATE(2012,6,8)</f>
        <v>41068</v>
      </c>
      <c r="B2596" t="s">
        <v>11</v>
      </c>
      <c r="C2596" t="s">
        <v>6</v>
      </c>
      <c r="D2596" s="3">
        <v>7550.9946</v>
      </c>
      <c r="E2596" s="3">
        <v>0</v>
      </c>
      <c r="F2596" t="s">
        <v>45</v>
      </c>
      <c r="G2596" s="3">
        <f t="shared" si="304"/>
        <v>-7550.9946</v>
      </c>
      <c r="H2596" s="3">
        <f t="shared" si="305"/>
        <v>7550.9946</v>
      </c>
      <c r="I2596" s="5" t="str">
        <f t="shared" si="306"/>
        <v>016</v>
      </c>
      <c r="J2596" s="5" t="str">
        <f t="shared" si="307"/>
        <v>2100</v>
      </c>
      <c r="K2596" s="5" t="str">
        <f t="shared" si="308"/>
        <v>000</v>
      </c>
      <c r="L2596" s="5">
        <f t="shared" si="309"/>
        <v>6</v>
      </c>
      <c r="M2596" s="5">
        <f t="shared" si="310"/>
        <v>2012</v>
      </c>
    </row>
    <row r="2597" spans="1:13" ht="17.45" customHeight="1" x14ac:dyDescent="0.25">
      <c r="A2597" s="1">
        <f>DATE(2012,6,8)</f>
        <v>41068</v>
      </c>
      <c r="B2597" t="s">
        <v>12</v>
      </c>
      <c r="C2597" t="s">
        <v>8</v>
      </c>
      <c r="D2597" s="3">
        <v>1896.9119999999998</v>
      </c>
      <c r="E2597" s="3">
        <v>0</v>
      </c>
      <c r="F2597" t="s">
        <v>45</v>
      </c>
      <c r="G2597" s="3">
        <f t="shared" si="304"/>
        <v>-1896.9119999999998</v>
      </c>
      <c r="H2597" s="3">
        <f t="shared" si="305"/>
        <v>1896.9119999999998</v>
      </c>
      <c r="I2597" s="5" t="str">
        <f t="shared" si="306"/>
        <v>016</v>
      </c>
      <c r="J2597" s="5" t="str">
        <f t="shared" si="307"/>
        <v>2210</v>
      </c>
      <c r="K2597" s="5" t="str">
        <f t="shared" si="308"/>
        <v>000</v>
      </c>
      <c r="L2597" s="5">
        <f t="shared" si="309"/>
        <v>6</v>
      </c>
      <c r="M2597" s="5">
        <f t="shared" si="310"/>
        <v>2012</v>
      </c>
    </row>
    <row r="2598" spans="1:13" ht="17.45" customHeight="1" x14ac:dyDescent="0.25">
      <c r="A2598" s="1">
        <f>DATE(2012,6,8)</f>
        <v>41068</v>
      </c>
      <c r="B2598" t="s">
        <v>13</v>
      </c>
      <c r="C2598" t="s">
        <v>9</v>
      </c>
      <c r="D2598" s="3">
        <v>390.60900000000004</v>
      </c>
      <c r="E2598" s="3">
        <v>0</v>
      </c>
      <c r="F2598" t="s">
        <v>45</v>
      </c>
      <c r="G2598" s="3">
        <f t="shared" si="304"/>
        <v>-390.60900000000004</v>
      </c>
      <c r="H2598" s="3">
        <f t="shared" si="305"/>
        <v>390.60900000000004</v>
      </c>
      <c r="I2598" s="5" t="str">
        <f t="shared" si="306"/>
        <v>016</v>
      </c>
      <c r="J2598" s="5" t="str">
        <f t="shared" si="307"/>
        <v>2220</v>
      </c>
      <c r="K2598" s="5" t="str">
        <f t="shared" si="308"/>
        <v>000</v>
      </c>
      <c r="L2598" s="5">
        <f t="shared" si="309"/>
        <v>6</v>
      </c>
      <c r="M2598" s="5">
        <f t="shared" si="310"/>
        <v>2012</v>
      </c>
    </row>
    <row r="2599" spans="1:13" ht="17.45" customHeight="1" x14ac:dyDescent="0.25">
      <c r="A2599" s="1">
        <f>DATE(2012,6,8)</f>
        <v>41068</v>
      </c>
      <c r="B2599" t="s">
        <v>14</v>
      </c>
      <c r="C2599" t="s">
        <v>10</v>
      </c>
      <c r="D2599" s="3">
        <v>157.54500000000002</v>
      </c>
      <c r="E2599" s="3">
        <v>0</v>
      </c>
      <c r="F2599" t="s">
        <v>45</v>
      </c>
      <c r="G2599" s="3">
        <f t="shared" si="304"/>
        <v>-157.54500000000002</v>
      </c>
      <c r="H2599" s="3">
        <f t="shared" si="305"/>
        <v>157.54500000000002</v>
      </c>
      <c r="I2599" s="5" t="str">
        <f t="shared" si="306"/>
        <v>016</v>
      </c>
      <c r="J2599" s="5" t="str">
        <f t="shared" si="307"/>
        <v>2230</v>
      </c>
      <c r="K2599" s="5" t="str">
        <f t="shared" si="308"/>
        <v>000</v>
      </c>
      <c r="L2599" s="5">
        <f t="shared" si="309"/>
        <v>6</v>
      </c>
      <c r="M2599" s="5">
        <f t="shared" si="310"/>
        <v>2012</v>
      </c>
    </row>
    <row r="2600" spans="1:13" ht="17.45" customHeight="1" x14ac:dyDescent="0.25">
      <c r="A2600" s="1">
        <f>DATE(2012,6,9)</f>
        <v>41069</v>
      </c>
      <c r="B2600" t="s">
        <v>11</v>
      </c>
      <c r="C2600" t="s">
        <v>6</v>
      </c>
      <c r="D2600" s="3">
        <v>5209.1200000000008</v>
      </c>
      <c r="E2600" s="3">
        <v>0</v>
      </c>
      <c r="F2600" t="s">
        <v>45</v>
      </c>
      <c r="G2600" s="3">
        <f t="shared" si="304"/>
        <v>-5209.1200000000008</v>
      </c>
      <c r="H2600" s="3">
        <f t="shared" si="305"/>
        <v>5209.1200000000008</v>
      </c>
      <c r="I2600" s="5" t="str">
        <f t="shared" si="306"/>
        <v>016</v>
      </c>
      <c r="J2600" s="5" t="str">
        <f t="shared" si="307"/>
        <v>2100</v>
      </c>
      <c r="K2600" s="5" t="str">
        <f t="shared" si="308"/>
        <v>000</v>
      </c>
      <c r="L2600" s="5">
        <f t="shared" si="309"/>
        <v>6</v>
      </c>
      <c r="M2600" s="5">
        <f t="shared" si="310"/>
        <v>2012</v>
      </c>
    </row>
    <row r="2601" spans="1:13" ht="17.45" customHeight="1" x14ac:dyDescent="0.25">
      <c r="A2601" s="1">
        <f>DATE(2012,6,9)</f>
        <v>41069</v>
      </c>
      <c r="B2601" t="s">
        <v>12</v>
      </c>
      <c r="C2601" t="s">
        <v>8</v>
      </c>
      <c r="D2601" s="3">
        <v>2052.6000000000004</v>
      </c>
      <c r="E2601" s="3">
        <v>0</v>
      </c>
      <c r="F2601" t="s">
        <v>45</v>
      </c>
      <c r="G2601" s="3">
        <f t="shared" si="304"/>
        <v>-2052.6000000000004</v>
      </c>
      <c r="H2601" s="3">
        <f t="shared" si="305"/>
        <v>2052.6000000000004</v>
      </c>
      <c r="I2601" s="5" t="str">
        <f t="shared" si="306"/>
        <v>016</v>
      </c>
      <c r="J2601" s="5" t="str">
        <f t="shared" si="307"/>
        <v>2210</v>
      </c>
      <c r="K2601" s="5" t="str">
        <f t="shared" si="308"/>
        <v>000</v>
      </c>
      <c r="L2601" s="5">
        <f t="shared" si="309"/>
        <v>6</v>
      </c>
      <c r="M2601" s="5">
        <f t="shared" si="310"/>
        <v>2012</v>
      </c>
    </row>
    <row r="2602" spans="1:13" ht="17.45" customHeight="1" x14ac:dyDescent="0.25">
      <c r="A2602" s="1">
        <f>DATE(2012,6,9)</f>
        <v>41069</v>
      </c>
      <c r="B2602" t="s">
        <v>13</v>
      </c>
      <c r="C2602" t="s">
        <v>9</v>
      </c>
      <c r="D2602" s="3">
        <v>516.51600000000008</v>
      </c>
      <c r="E2602" s="3">
        <v>0</v>
      </c>
      <c r="F2602" t="s">
        <v>45</v>
      </c>
      <c r="G2602" s="3">
        <f t="shared" si="304"/>
        <v>-516.51600000000008</v>
      </c>
      <c r="H2602" s="3">
        <f t="shared" si="305"/>
        <v>516.51600000000008</v>
      </c>
      <c r="I2602" s="5" t="str">
        <f t="shared" si="306"/>
        <v>016</v>
      </c>
      <c r="J2602" s="5" t="str">
        <f t="shared" si="307"/>
        <v>2220</v>
      </c>
      <c r="K2602" s="5" t="str">
        <f t="shared" si="308"/>
        <v>000</v>
      </c>
      <c r="L2602" s="5">
        <f t="shared" si="309"/>
        <v>6</v>
      </c>
      <c r="M2602" s="5">
        <f t="shared" si="310"/>
        <v>2012</v>
      </c>
    </row>
    <row r="2603" spans="1:13" ht="17.45" customHeight="1" x14ac:dyDescent="0.25">
      <c r="A2603" s="1">
        <f>DATE(2012,6,9)</f>
        <v>41069</v>
      </c>
      <c r="B2603" t="s">
        <v>14</v>
      </c>
      <c r="C2603" t="s">
        <v>10</v>
      </c>
      <c r="D2603" s="3">
        <v>101.00250000000001</v>
      </c>
      <c r="E2603" s="3">
        <v>0</v>
      </c>
      <c r="F2603" t="s">
        <v>45</v>
      </c>
      <c r="G2603" s="3">
        <f t="shared" si="304"/>
        <v>-101.00250000000001</v>
      </c>
      <c r="H2603" s="3">
        <f t="shared" si="305"/>
        <v>101.00250000000001</v>
      </c>
      <c r="I2603" s="5" t="str">
        <f t="shared" si="306"/>
        <v>016</v>
      </c>
      <c r="J2603" s="5" t="str">
        <f t="shared" si="307"/>
        <v>2230</v>
      </c>
      <c r="K2603" s="5" t="str">
        <f t="shared" si="308"/>
        <v>000</v>
      </c>
      <c r="L2603" s="5">
        <f t="shared" si="309"/>
        <v>6</v>
      </c>
      <c r="M2603" s="5">
        <f t="shared" si="310"/>
        <v>2012</v>
      </c>
    </row>
    <row r="2604" spans="1:13" ht="17.45" customHeight="1" x14ac:dyDescent="0.25">
      <c r="A2604" s="1">
        <f>DATE(2012,6,10)</f>
        <v>41070</v>
      </c>
      <c r="B2604" t="s">
        <v>11</v>
      </c>
      <c r="C2604" t="s">
        <v>6</v>
      </c>
      <c r="D2604" s="3">
        <v>5634.4167999999991</v>
      </c>
      <c r="E2604" s="3">
        <v>0</v>
      </c>
      <c r="F2604" t="s">
        <v>45</v>
      </c>
      <c r="G2604" s="3">
        <f t="shared" si="304"/>
        <v>-5634.4167999999991</v>
      </c>
      <c r="H2604" s="3">
        <f t="shared" si="305"/>
        <v>5634.4167999999991</v>
      </c>
      <c r="I2604" s="5" t="str">
        <f t="shared" si="306"/>
        <v>016</v>
      </c>
      <c r="J2604" s="5" t="str">
        <f t="shared" si="307"/>
        <v>2100</v>
      </c>
      <c r="K2604" s="5" t="str">
        <f t="shared" si="308"/>
        <v>000</v>
      </c>
      <c r="L2604" s="5">
        <f t="shared" si="309"/>
        <v>6</v>
      </c>
      <c r="M2604" s="5">
        <f t="shared" si="310"/>
        <v>2012</v>
      </c>
    </row>
    <row r="2605" spans="1:13" ht="17.45" customHeight="1" x14ac:dyDescent="0.25">
      <c r="A2605" s="1">
        <f>DATE(2012,6,10)</f>
        <v>41070</v>
      </c>
      <c r="B2605" t="s">
        <v>12</v>
      </c>
      <c r="C2605" t="s">
        <v>8</v>
      </c>
      <c r="D2605" s="3">
        <v>1592.0709999999999</v>
      </c>
      <c r="E2605" s="3">
        <v>0</v>
      </c>
      <c r="F2605" t="s">
        <v>45</v>
      </c>
      <c r="G2605" s="3">
        <f t="shared" si="304"/>
        <v>-1592.0709999999999</v>
      </c>
      <c r="H2605" s="3">
        <f t="shared" si="305"/>
        <v>1592.0709999999999</v>
      </c>
      <c r="I2605" s="5" t="str">
        <f t="shared" si="306"/>
        <v>016</v>
      </c>
      <c r="J2605" s="5" t="str">
        <f t="shared" si="307"/>
        <v>2210</v>
      </c>
      <c r="K2605" s="5" t="str">
        <f t="shared" si="308"/>
        <v>000</v>
      </c>
      <c r="L2605" s="5">
        <f t="shared" si="309"/>
        <v>6</v>
      </c>
      <c r="M2605" s="5">
        <f t="shared" si="310"/>
        <v>2012</v>
      </c>
    </row>
    <row r="2606" spans="1:13" ht="17.45" customHeight="1" x14ac:dyDescent="0.25">
      <c r="A2606" s="1">
        <f>DATE(2012,6,10)</f>
        <v>41070</v>
      </c>
      <c r="B2606" t="s">
        <v>13</v>
      </c>
      <c r="C2606" t="s">
        <v>9</v>
      </c>
      <c r="D2606" s="3">
        <v>138.85649999999998</v>
      </c>
      <c r="E2606" s="3">
        <v>0</v>
      </c>
      <c r="F2606" t="s">
        <v>45</v>
      </c>
      <c r="G2606" s="3">
        <f t="shared" si="304"/>
        <v>-138.85649999999998</v>
      </c>
      <c r="H2606" s="3">
        <f t="shared" si="305"/>
        <v>138.85649999999998</v>
      </c>
      <c r="I2606" s="5" t="str">
        <f t="shared" si="306"/>
        <v>016</v>
      </c>
      <c r="J2606" s="5" t="str">
        <f t="shared" si="307"/>
        <v>2220</v>
      </c>
      <c r="K2606" s="5" t="str">
        <f t="shared" si="308"/>
        <v>000</v>
      </c>
      <c r="L2606" s="5">
        <f t="shared" si="309"/>
        <v>6</v>
      </c>
      <c r="M2606" s="5">
        <f t="shared" si="310"/>
        <v>2012</v>
      </c>
    </row>
    <row r="2607" spans="1:13" ht="17.45" customHeight="1" x14ac:dyDescent="0.25">
      <c r="A2607" s="1">
        <f>DATE(2012,6,10)</f>
        <v>41070</v>
      </c>
      <c r="B2607" t="s">
        <v>14</v>
      </c>
      <c r="C2607" t="s">
        <v>10</v>
      </c>
      <c r="D2607" s="3">
        <v>36.363</v>
      </c>
      <c r="E2607" s="3">
        <v>0</v>
      </c>
      <c r="F2607" t="s">
        <v>45</v>
      </c>
      <c r="G2607" s="3">
        <f t="shared" si="304"/>
        <v>-36.363</v>
      </c>
      <c r="H2607" s="3">
        <f t="shared" si="305"/>
        <v>36.363</v>
      </c>
      <c r="I2607" s="5" t="str">
        <f t="shared" si="306"/>
        <v>016</v>
      </c>
      <c r="J2607" s="5" t="str">
        <f t="shared" si="307"/>
        <v>2230</v>
      </c>
      <c r="K2607" s="5" t="str">
        <f t="shared" si="308"/>
        <v>000</v>
      </c>
      <c r="L2607" s="5">
        <f t="shared" si="309"/>
        <v>6</v>
      </c>
      <c r="M2607" s="5">
        <f t="shared" si="310"/>
        <v>2012</v>
      </c>
    </row>
    <row r="2608" spans="1:13" ht="17.45" customHeight="1" x14ac:dyDescent="0.25">
      <c r="A2608" s="1">
        <f>DATE(2012,6,4)</f>
        <v>41064</v>
      </c>
      <c r="B2608" t="s">
        <v>15</v>
      </c>
      <c r="C2608" t="s">
        <v>6</v>
      </c>
      <c r="D2608" s="3">
        <v>3612.7174999999997</v>
      </c>
      <c r="E2608" s="3">
        <v>0</v>
      </c>
      <c r="F2608" t="s">
        <v>45</v>
      </c>
      <c r="G2608" s="3">
        <f t="shared" si="304"/>
        <v>-3612.7174999999997</v>
      </c>
      <c r="H2608" s="3">
        <f t="shared" si="305"/>
        <v>3612.7174999999997</v>
      </c>
      <c r="I2608" s="5" t="str">
        <f t="shared" si="306"/>
        <v>017</v>
      </c>
      <c r="J2608" s="5" t="str">
        <f t="shared" si="307"/>
        <v>2100</v>
      </c>
      <c r="K2608" s="5" t="str">
        <f t="shared" si="308"/>
        <v>000</v>
      </c>
      <c r="L2608" s="5">
        <f t="shared" si="309"/>
        <v>6</v>
      </c>
      <c r="M2608" s="5">
        <f t="shared" si="310"/>
        <v>2012</v>
      </c>
    </row>
    <row r="2609" spans="1:13" ht="17.45" customHeight="1" x14ac:dyDescent="0.25">
      <c r="A2609" s="1">
        <f>DATE(2012,6,4)</f>
        <v>41064</v>
      </c>
      <c r="B2609" t="s">
        <v>16</v>
      </c>
      <c r="C2609" t="s">
        <v>8</v>
      </c>
      <c r="D2609" s="3">
        <v>908.19650000000001</v>
      </c>
      <c r="E2609" s="3">
        <v>0</v>
      </c>
      <c r="F2609" t="s">
        <v>45</v>
      </c>
      <c r="G2609" s="3">
        <f t="shared" si="304"/>
        <v>-908.19650000000001</v>
      </c>
      <c r="H2609" s="3">
        <f t="shared" si="305"/>
        <v>908.19650000000001</v>
      </c>
      <c r="I2609" s="5" t="str">
        <f t="shared" si="306"/>
        <v>017</v>
      </c>
      <c r="J2609" s="5" t="str">
        <f t="shared" si="307"/>
        <v>2210</v>
      </c>
      <c r="K2609" s="5" t="str">
        <f t="shared" si="308"/>
        <v>000</v>
      </c>
      <c r="L2609" s="5">
        <f t="shared" si="309"/>
        <v>6</v>
      </c>
      <c r="M2609" s="5">
        <f t="shared" si="310"/>
        <v>2012</v>
      </c>
    </row>
    <row r="2610" spans="1:13" ht="17.45" customHeight="1" x14ac:dyDescent="0.25">
      <c r="A2610" s="1">
        <f>DATE(2012,6,4)</f>
        <v>41064</v>
      </c>
      <c r="B2610" t="s">
        <v>17</v>
      </c>
      <c r="C2610" t="s">
        <v>9</v>
      </c>
      <c r="D2610" s="3">
        <v>330.32749999999999</v>
      </c>
      <c r="E2610" s="3">
        <v>0</v>
      </c>
      <c r="F2610" t="s">
        <v>45</v>
      </c>
      <c r="G2610" s="3">
        <f t="shared" si="304"/>
        <v>-330.32749999999999</v>
      </c>
      <c r="H2610" s="3">
        <f t="shared" si="305"/>
        <v>330.32749999999999</v>
      </c>
      <c r="I2610" s="5" t="str">
        <f t="shared" si="306"/>
        <v>017</v>
      </c>
      <c r="J2610" s="5" t="str">
        <f t="shared" si="307"/>
        <v>2220</v>
      </c>
      <c r="K2610" s="5" t="str">
        <f t="shared" si="308"/>
        <v>000</v>
      </c>
      <c r="L2610" s="5">
        <f t="shared" si="309"/>
        <v>6</v>
      </c>
      <c r="M2610" s="5">
        <f t="shared" si="310"/>
        <v>2012</v>
      </c>
    </row>
    <row r="2611" spans="1:13" ht="17.45" customHeight="1" x14ac:dyDescent="0.25">
      <c r="A2611" s="1">
        <f>DATE(2012,6,4)</f>
        <v>41064</v>
      </c>
      <c r="B2611" t="s">
        <v>18</v>
      </c>
      <c r="C2611" t="s">
        <v>10</v>
      </c>
      <c r="D2611" s="3">
        <v>52.092500000000001</v>
      </c>
      <c r="E2611" s="3">
        <v>0</v>
      </c>
      <c r="F2611" t="s">
        <v>45</v>
      </c>
      <c r="G2611" s="3">
        <f t="shared" si="304"/>
        <v>-52.092500000000001</v>
      </c>
      <c r="H2611" s="3">
        <f t="shared" si="305"/>
        <v>52.092500000000001</v>
      </c>
      <c r="I2611" s="5" t="str">
        <f t="shared" si="306"/>
        <v>017</v>
      </c>
      <c r="J2611" s="5" t="str">
        <f t="shared" si="307"/>
        <v>2230</v>
      </c>
      <c r="K2611" s="5" t="str">
        <f t="shared" si="308"/>
        <v>000</v>
      </c>
      <c r="L2611" s="5">
        <f t="shared" si="309"/>
        <v>6</v>
      </c>
      <c r="M2611" s="5">
        <f t="shared" si="310"/>
        <v>2012</v>
      </c>
    </row>
    <row r="2612" spans="1:13" ht="17.45" customHeight="1" x14ac:dyDescent="0.25">
      <c r="A2612" s="1">
        <f>DATE(2012,6,5)</f>
        <v>41065</v>
      </c>
      <c r="B2612" t="s">
        <v>15</v>
      </c>
      <c r="C2612" t="s">
        <v>6</v>
      </c>
      <c r="D2612" s="3">
        <v>6324.0501000000004</v>
      </c>
      <c r="E2612" s="3">
        <v>0</v>
      </c>
      <c r="F2612" t="s">
        <v>45</v>
      </c>
      <c r="G2612" s="3">
        <f t="shared" si="304"/>
        <v>-6324.0501000000004</v>
      </c>
      <c r="H2612" s="3">
        <f t="shared" si="305"/>
        <v>6324.0501000000004</v>
      </c>
      <c r="I2612" s="5" t="str">
        <f t="shared" si="306"/>
        <v>017</v>
      </c>
      <c r="J2612" s="5" t="str">
        <f t="shared" si="307"/>
        <v>2100</v>
      </c>
      <c r="K2612" s="5" t="str">
        <f t="shared" si="308"/>
        <v>000</v>
      </c>
      <c r="L2612" s="5">
        <f t="shared" si="309"/>
        <v>6</v>
      </c>
      <c r="M2612" s="5">
        <f t="shared" si="310"/>
        <v>2012</v>
      </c>
    </row>
    <row r="2613" spans="1:13" ht="17.45" customHeight="1" x14ac:dyDescent="0.25">
      <c r="A2613" s="1">
        <f>DATE(2012,6,5)</f>
        <v>41065</v>
      </c>
      <c r="B2613" t="s">
        <v>16</v>
      </c>
      <c r="C2613" t="s">
        <v>8</v>
      </c>
      <c r="D2613" s="3">
        <v>1437.54</v>
      </c>
      <c r="E2613" s="3">
        <v>0</v>
      </c>
      <c r="F2613" t="s">
        <v>45</v>
      </c>
      <c r="G2613" s="3">
        <f t="shared" si="304"/>
        <v>-1437.54</v>
      </c>
      <c r="H2613" s="3">
        <f t="shared" si="305"/>
        <v>1437.54</v>
      </c>
      <c r="I2613" s="5" t="str">
        <f t="shared" si="306"/>
        <v>017</v>
      </c>
      <c r="J2613" s="5" t="str">
        <f t="shared" si="307"/>
        <v>2210</v>
      </c>
      <c r="K2613" s="5" t="str">
        <f t="shared" si="308"/>
        <v>000</v>
      </c>
      <c r="L2613" s="5">
        <f t="shared" si="309"/>
        <v>6</v>
      </c>
      <c r="M2613" s="5">
        <f t="shared" si="310"/>
        <v>2012</v>
      </c>
    </row>
    <row r="2614" spans="1:13" ht="17.45" customHeight="1" x14ac:dyDescent="0.25">
      <c r="A2614" s="1">
        <f>DATE(2012,6,5)</f>
        <v>41065</v>
      </c>
      <c r="B2614" t="s">
        <v>17</v>
      </c>
      <c r="C2614" t="s">
        <v>9</v>
      </c>
      <c r="D2614" s="3">
        <v>641.70000000000005</v>
      </c>
      <c r="E2614" s="3">
        <v>0</v>
      </c>
      <c r="F2614" t="s">
        <v>45</v>
      </c>
      <c r="G2614" s="3">
        <f t="shared" si="304"/>
        <v>-641.70000000000005</v>
      </c>
      <c r="H2614" s="3">
        <f t="shared" si="305"/>
        <v>641.70000000000005</v>
      </c>
      <c r="I2614" s="5" t="str">
        <f t="shared" si="306"/>
        <v>017</v>
      </c>
      <c r="J2614" s="5" t="str">
        <f t="shared" si="307"/>
        <v>2220</v>
      </c>
      <c r="K2614" s="5" t="str">
        <f t="shared" si="308"/>
        <v>000</v>
      </c>
      <c r="L2614" s="5">
        <f t="shared" si="309"/>
        <v>6</v>
      </c>
      <c r="M2614" s="5">
        <f t="shared" si="310"/>
        <v>2012</v>
      </c>
    </row>
    <row r="2615" spans="1:13" ht="17.45" customHeight="1" x14ac:dyDescent="0.25">
      <c r="A2615" s="1">
        <f>DATE(2012,6,5)</f>
        <v>41065</v>
      </c>
      <c r="B2615" t="s">
        <v>18</v>
      </c>
      <c r="C2615" t="s">
        <v>10</v>
      </c>
      <c r="D2615" s="3">
        <v>166.18799999999999</v>
      </c>
      <c r="E2615" s="3">
        <v>0</v>
      </c>
      <c r="F2615" t="s">
        <v>45</v>
      </c>
      <c r="G2615" s="3">
        <f t="shared" si="304"/>
        <v>-166.18799999999999</v>
      </c>
      <c r="H2615" s="3">
        <f t="shared" si="305"/>
        <v>166.18799999999999</v>
      </c>
      <c r="I2615" s="5" t="str">
        <f t="shared" si="306"/>
        <v>017</v>
      </c>
      <c r="J2615" s="5" t="str">
        <f t="shared" si="307"/>
        <v>2230</v>
      </c>
      <c r="K2615" s="5" t="str">
        <f t="shared" si="308"/>
        <v>000</v>
      </c>
      <c r="L2615" s="5">
        <f t="shared" si="309"/>
        <v>6</v>
      </c>
      <c r="M2615" s="5">
        <f t="shared" si="310"/>
        <v>2012</v>
      </c>
    </row>
    <row r="2616" spans="1:13" ht="17.45" customHeight="1" x14ac:dyDescent="0.25">
      <c r="A2616" s="1">
        <f>DATE(2012,6,6)</f>
        <v>41066</v>
      </c>
      <c r="B2616" t="s">
        <v>15</v>
      </c>
      <c r="C2616" t="s">
        <v>6</v>
      </c>
      <c r="D2616" s="3">
        <v>6710.5249999999996</v>
      </c>
      <c r="E2616" s="3">
        <v>0</v>
      </c>
      <c r="F2616" t="s">
        <v>45</v>
      </c>
      <c r="G2616" s="3">
        <f t="shared" si="304"/>
        <v>-6710.5249999999996</v>
      </c>
      <c r="H2616" s="3">
        <f t="shared" si="305"/>
        <v>6710.5249999999996</v>
      </c>
      <c r="I2616" s="5" t="str">
        <f t="shared" si="306"/>
        <v>017</v>
      </c>
      <c r="J2616" s="5" t="str">
        <f t="shared" si="307"/>
        <v>2100</v>
      </c>
      <c r="K2616" s="5" t="str">
        <f t="shared" si="308"/>
        <v>000</v>
      </c>
      <c r="L2616" s="5">
        <f t="shared" si="309"/>
        <v>6</v>
      </c>
      <c r="M2616" s="5">
        <f t="shared" si="310"/>
        <v>2012</v>
      </c>
    </row>
    <row r="2617" spans="1:13" ht="17.45" customHeight="1" x14ac:dyDescent="0.25">
      <c r="A2617" s="1">
        <f>DATE(2012,6,6)</f>
        <v>41066</v>
      </c>
      <c r="B2617" t="s">
        <v>16</v>
      </c>
      <c r="C2617" t="s">
        <v>8</v>
      </c>
      <c r="D2617" s="3">
        <v>2707.92</v>
      </c>
      <c r="E2617" s="3">
        <v>0</v>
      </c>
      <c r="F2617" t="s">
        <v>45</v>
      </c>
      <c r="G2617" s="3">
        <f t="shared" si="304"/>
        <v>-2707.92</v>
      </c>
      <c r="H2617" s="3">
        <f t="shared" si="305"/>
        <v>2707.92</v>
      </c>
      <c r="I2617" s="5" t="str">
        <f t="shared" si="306"/>
        <v>017</v>
      </c>
      <c r="J2617" s="5" t="str">
        <f t="shared" si="307"/>
        <v>2210</v>
      </c>
      <c r="K2617" s="5" t="str">
        <f t="shared" si="308"/>
        <v>000</v>
      </c>
      <c r="L2617" s="5">
        <f t="shared" si="309"/>
        <v>6</v>
      </c>
      <c r="M2617" s="5">
        <f t="shared" si="310"/>
        <v>2012</v>
      </c>
    </row>
    <row r="2618" spans="1:13" ht="17.45" customHeight="1" x14ac:dyDescent="0.25">
      <c r="A2618" s="1">
        <f>DATE(2012,6,6)</f>
        <v>41066</v>
      </c>
      <c r="B2618" t="s">
        <v>17</v>
      </c>
      <c r="C2618" t="s">
        <v>9</v>
      </c>
      <c r="D2618" s="3">
        <v>592.11</v>
      </c>
      <c r="E2618" s="3">
        <v>0</v>
      </c>
      <c r="F2618" t="s">
        <v>45</v>
      </c>
      <c r="G2618" s="3">
        <f t="shared" si="304"/>
        <v>-592.11</v>
      </c>
      <c r="H2618" s="3">
        <f t="shared" si="305"/>
        <v>592.11</v>
      </c>
      <c r="I2618" s="5" t="str">
        <f t="shared" si="306"/>
        <v>017</v>
      </c>
      <c r="J2618" s="5" t="str">
        <f t="shared" si="307"/>
        <v>2220</v>
      </c>
      <c r="K2618" s="5" t="str">
        <f t="shared" si="308"/>
        <v>000</v>
      </c>
      <c r="L2618" s="5">
        <f t="shared" si="309"/>
        <v>6</v>
      </c>
      <c r="M2618" s="5">
        <f t="shared" si="310"/>
        <v>2012</v>
      </c>
    </row>
    <row r="2619" spans="1:13" ht="17.45" customHeight="1" x14ac:dyDescent="0.25">
      <c r="A2619" s="1">
        <f>DATE(2012,6,6)</f>
        <v>41066</v>
      </c>
      <c r="B2619" t="s">
        <v>18</v>
      </c>
      <c r="C2619" t="s">
        <v>10</v>
      </c>
      <c r="D2619" s="3">
        <v>210.78749999999999</v>
      </c>
      <c r="E2619" s="3">
        <v>0</v>
      </c>
      <c r="F2619" t="s">
        <v>45</v>
      </c>
      <c r="G2619" s="3">
        <f t="shared" si="304"/>
        <v>-210.78749999999999</v>
      </c>
      <c r="H2619" s="3">
        <f t="shared" si="305"/>
        <v>210.78749999999999</v>
      </c>
      <c r="I2619" s="5" t="str">
        <f t="shared" si="306"/>
        <v>017</v>
      </c>
      <c r="J2619" s="5" t="str">
        <f t="shared" si="307"/>
        <v>2230</v>
      </c>
      <c r="K2619" s="5" t="str">
        <f t="shared" si="308"/>
        <v>000</v>
      </c>
      <c r="L2619" s="5">
        <f t="shared" si="309"/>
        <v>6</v>
      </c>
      <c r="M2619" s="5">
        <f t="shared" si="310"/>
        <v>2012</v>
      </c>
    </row>
    <row r="2620" spans="1:13" ht="17.45" customHeight="1" x14ac:dyDescent="0.25">
      <c r="A2620" s="1">
        <f>DATE(2012,6,7)</f>
        <v>41067</v>
      </c>
      <c r="B2620" t="s">
        <v>15</v>
      </c>
      <c r="C2620" t="s">
        <v>6</v>
      </c>
      <c r="D2620" s="3">
        <v>5500.9679999999998</v>
      </c>
      <c r="E2620" s="3">
        <v>0</v>
      </c>
      <c r="F2620" t="s">
        <v>45</v>
      </c>
      <c r="G2620" s="3">
        <f t="shared" si="304"/>
        <v>-5500.9679999999998</v>
      </c>
      <c r="H2620" s="3">
        <f t="shared" si="305"/>
        <v>5500.9679999999998</v>
      </c>
      <c r="I2620" s="5" t="str">
        <f t="shared" si="306"/>
        <v>017</v>
      </c>
      <c r="J2620" s="5" t="str">
        <f t="shared" si="307"/>
        <v>2100</v>
      </c>
      <c r="K2620" s="5" t="str">
        <f t="shared" si="308"/>
        <v>000</v>
      </c>
      <c r="L2620" s="5">
        <f t="shared" si="309"/>
        <v>6</v>
      </c>
      <c r="M2620" s="5">
        <f t="shared" si="310"/>
        <v>2012</v>
      </c>
    </row>
    <row r="2621" spans="1:13" ht="17.45" customHeight="1" x14ac:dyDescent="0.25">
      <c r="A2621" s="1">
        <f>DATE(2012,6,7)</f>
        <v>41067</v>
      </c>
      <c r="B2621" t="s">
        <v>16</v>
      </c>
      <c r="C2621" t="s">
        <v>8</v>
      </c>
      <c r="D2621" s="3">
        <v>1474.2750000000001</v>
      </c>
      <c r="E2621" s="3">
        <v>0</v>
      </c>
      <c r="F2621" t="s">
        <v>45</v>
      </c>
      <c r="G2621" s="3">
        <f t="shared" si="304"/>
        <v>-1474.2750000000001</v>
      </c>
      <c r="H2621" s="3">
        <f t="shared" si="305"/>
        <v>1474.2750000000001</v>
      </c>
      <c r="I2621" s="5" t="str">
        <f t="shared" si="306"/>
        <v>017</v>
      </c>
      <c r="J2621" s="5" t="str">
        <f t="shared" si="307"/>
        <v>2210</v>
      </c>
      <c r="K2621" s="5" t="str">
        <f t="shared" si="308"/>
        <v>000</v>
      </c>
      <c r="L2621" s="5">
        <f t="shared" si="309"/>
        <v>6</v>
      </c>
      <c r="M2621" s="5">
        <f t="shared" si="310"/>
        <v>2012</v>
      </c>
    </row>
    <row r="2622" spans="1:13" ht="17.45" customHeight="1" x14ac:dyDescent="0.25">
      <c r="A2622" s="1">
        <f>DATE(2012,6,7)</f>
        <v>41067</v>
      </c>
      <c r="B2622" t="s">
        <v>17</v>
      </c>
      <c r="C2622" t="s">
        <v>9</v>
      </c>
      <c r="D2622" s="3">
        <v>487.39000000000004</v>
      </c>
      <c r="E2622" s="3">
        <v>0</v>
      </c>
      <c r="F2622" t="s">
        <v>45</v>
      </c>
      <c r="G2622" s="3">
        <f t="shared" si="304"/>
        <v>-487.39000000000004</v>
      </c>
      <c r="H2622" s="3">
        <f t="shared" si="305"/>
        <v>487.39000000000004</v>
      </c>
      <c r="I2622" s="5" t="str">
        <f t="shared" si="306"/>
        <v>017</v>
      </c>
      <c r="J2622" s="5" t="str">
        <f t="shared" si="307"/>
        <v>2220</v>
      </c>
      <c r="K2622" s="5" t="str">
        <f t="shared" si="308"/>
        <v>000</v>
      </c>
      <c r="L2622" s="5">
        <f t="shared" si="309"/>
        <v>6</v>
      </c>
      <c r="M2622" s="5">
        <f t="shared" si="310"/>
        <v>2012</v>
      </c>
    </row>
    <row r="2623" spans="1:13" ht="17.45" customHeight="1" x14ac:dyDescent="0.25">
      <c r="A2623" s="1">
        <f>DATE(2012,6,7)</f>
        <v>41067</v>
      </c>
      <c r="B2623" t="s">
        <v>18</v>
      </c>
      <c r="C2623" t="s">
        <v>10</v>
      </c>
      <c r="D2623" s="3">
        <v>115.88500000000001</v>
      </c>
      <c r="E2623" s="3">
        <v>0</v>
      </c>
      <c r="F2623" t="s">
        <v>45</v>
      </c>
      <c r="G2623" s="3">
        <f t="shared" si="304"/>
        <v>-115.88500000000001</v>
      </c>
      <c r="H2623" s="3">
        <f t="shared" si="305"/>
        <v>115.88500000000001</v>
      </c>
      <c r="I2623" s="5" t="str">
        <f t="shared" si="306"/>
        <v>017</v>
      </c>
      <c r="J2623" s="5" t="str">
        <f t="shared" si="307"/>
        <v>2230</v>
      </c>
      <c r="K2623" s="5" t="str">
        <f t="shared" si="308"/>
        <v>000</v>
      </c>
      <c r="L2623" s="5">
        <f t="shared" si="309"/>
        <v>6</v>
      </c>
      <c r="M2623" s="5">
        <f t="shared" si="310"/>
        <v>2012</v>
      </c>
    </row>
    <row r="2624" spans="1:13" ht="17.45" customHeight="1" x14ac:dyDescent="0.25">
      <c r="A2624" s="1">
        <f>DATE(2012,6,8)</f>
        <v>41068</v>
      </c>
      <c r="B2624" t="s">
        <v>15</v>
      </c>
      <c r="C2624" t="s">
        <v>6</v>
      </c>
      <c r="D2624" s="3">
        <v>7650.0227999999997</v>
      </c>
      <c r="E2624" s="3">
        <v>0</v>
      </c>
      <c r="F2624" t="s">
        <v>45</v>
      </c>
      <c r="G2624" s="3">
        <f t="shared" si="304"/>
        <v>-7650.0227999999997</v>
      </c>
      <c r="H2624" s="3">
        <f t="shared" si="305"/>
        <v>7650.0227999999997</v>
      </c>
      <c r="I2624" s="5" t="str">
        <f t="shared" si="306"/>
        <v>017</v>
      </c>
      <c r="J2624" s="5" t="str">
        <f t="shared" si="307"/>
        <v>2100</v>
      </c>
      <c r="K2624" s="5" t="str">
        <f t="shared" si="308"/>
        <v>000</v>
      </c>
      <c r="L2624" s="5">
        <f t="shared" si="309"/>
        <v>6</v>
      </c>
      <c r="M2624" s="5">
        <f t="shared" si="310"/>
        <v>2012</v>
      </c>
    </row>
    <row r="2625" spans="1:13" ht="17.45" customHeight="1" x14ac:dyDescent="0.25">
      <c r="A2625" s="1">
        <f>DATE(2012,6,8)</f>
        <v>41068</v>
      </c>
      <c r="B2625" t="s">
        <v>16</v>
      </c>
      <c r="C2625" t="s">
        <v>8</v>
      </c>
      <c r="D2625" s="3">
        <v>2952.5625</v>
      </c>
      <c r="E2625" s="3">
        <v>0</v>
      </c>
      <c r="F2625" t="s">
        <v>45</v>
      </c>
      <c r="G2625" s="3">
        <f t="shared" si="304"/>
        <v>-2952.5625</v>
      </c>
      <c r="H2625" s="3">
        <f t="shared" si="305"/>
        <v>2952.5625</v>
      </c>
      <c r="I2625" s="5" t="str">
        <f t="shared" si="306"/>
        <v>017</v>
      </c>
      <c r="J2625" s="5" t="str">
        <f t="shared" si="307"/>
        <v>2210</v>
      </c>
      <c r="K2625" s="5" t="str">
        <f t="shared" si="308"/>
        <v>000</v>
      </c>
      <c r="L2625" s="5">
        <f t="shared" si="309"/>
        <v>6</v>
      </c>
      <c r="M2625" s="5">
        <f t="shared" si="310"/>
        <v>2012</v>
      </c>
    </row>
    <row r="2626" spans="1:13" ht="17.45" customHeight="1" x14ac:dyDescent="0.25">
      <c r="A2626" s="1">
        <f>DATE(2012,6,8)</f>
        <v>41068</v>
      </c>
      <c r="B2626" t="s">
        <v>17</v>
      </c>
      <c r="C2626" t="s">
        <v>9</v>
      </c>
      <c r="D2626" s="3">
        <v>485.93249999999995</v>
      </c>
      <c r="E2626" s="3">
        <v>0</v>
      </c>
      <c r="F2626" t="s">
        <v>45</v>
      </c>
      <c r="G2626" s="3">
        <f t="shared" ref="G2626:G2689" si="311">E2626-D2626</f>
        <v>-485.93249999999995</v>
      </c>
      <c r="H2626" s="3">
        <f t="shared" ref="H2626:H2689" si="312">ABS(G2626)</f>
        <v>485.93249999999995</v>
      </c>
      <c r="I2626" s="5" t="str">
        <f t="shared" ref="I2626:I2689" si="313">MID(B2626,1,3)</f>
        <v>017</v>
      </c>
      <c r="J2626" s="5" t="str">
        <f t="shared" ref="J2626:J2689" si="314">MID(B2626,5,4)</f>
        <v>2220</v>
      </c>
      <c r="K2626" s="5" t="str">
        <f t="shared" ref="K2626:K2689" si="315">MID(B2626,10,3)</f>
        <v>000</v>
      </c>
      <c r="L2626" s="5">
        <f t="shared" ref="L2626:L2689" si="316">MONTH(A2626)</f>
        <v>6</v>
      </c>
      <c r="M2626" s="5">
        <f t="shared" ref="M2626:M2689" si="317">YEAR(A2626)</f>
        <v>2012</v>
      </c>
    </row>
    <row r="2627" spans="1:13" ht="17.45" customHeight="1" x14ac:dyDescent="0.25">
      <c r="A2627" s="1">
        <f>DATE(2012,6,8)</f>
        <v>41068</v>
      </c>
      <c r="B2627" t="s">
        <v>18</v>
      </c>
      <c r="C2627" t="s">
        <v>10</v>
      </c>
      <c r="D2627" s="3">
        <v>144.018</v>
      </c>
      <c r="E2627" s="3">
        <v>0</v>
      </c>
      <c r="F2627" t="s">
        <v>45</v>
      </c>
      <c r="G2627" s="3">
        <f t="shared" si="311"/>
        <v>-144.018</v>
      </c>
      <c r="H2627" s="3">
        <f t="shared" si="312"/>
        <v>144.018</v>
      </c>
      <c r="I2627" s="5" t="str">
        <f t="shared" si="313"/>
        <v>017</v>
      </c>
      <c r="J2627" s="5" t="str">
        <f t="shared" si="314"/>
        <v>2230</v>
      </c>
      <c r="K2627" s="5" t="str">
        <f t="shared" si="315"/>
        <v>000</v>
      </c>
      <c r="L2627" s="5">
        <f t="shared" si="316"/>
        <v>6</v>
      </c>
      <c r="M2627" s="5">
        <f t="shared" si="317"/>
        <v>2012</v>
      </c>
    </row>
    <row r="2628" spans="1:13" ht="17.45" customHeight="1" x14ac:dyDescent="0.25">
      <c r="A2628" s="1">
        <f>DATE(2012,6,9)</f>
        <v>41069</v>
      </c>
      <c r="B2628" t="s">
        <v>15</v>
      </c>
      <c r="C2628" t="s">
        <v>6</v>
      </c>
      <c r="D2628" s="3">
        <v>6949.6960000000008</v>
      </c>
      <c r="E2628" s="3">
        <v>0</v>
      </c>
      <c r="F2628" t="s">
        <v>45</v>
      </c>
      <c r="G2628" s="3">
        <f t="shared" si="311"/>
        <v>-6949.6960000000008</v>
      </c>
      <c r="H2628" s="3">
        <f t="shared" si="312"/>
        <v>6949.6960000000008</v>
      </c>
      <c r="I2628" s="5" t="str">
        <f t="shared" si="313"/>
        <v>017</v>
      </c>
      <c r="J2628" s="5" t="str">
        <f t="shared" si="314"/>
        <v>2100</v>
      </c>
      <c r="K2628" s="5" t="str">
        <f t="shared" si="315"/>
        <v>000</v>
      </c>
      <c r="L2628" s="5">
        <f t="shared" si="316"/>
        <v>6</v>
      </c>
      <c r="M2628" s="5">
        <f t="shared" si="317"/>
        <v>2012</v>
      </c>
    </row>
    <row r="2629" spans="1:13" ht="17.45" customHeight="1" x14ac:dyDescent="0.25">
      <c r="A2629" s="1">
        <f>DATE(2012,6,9)</f>
        <v>41069</v>
      </c>
      <c r="B2629" t="s">
        <v>16</v>
      </c>
      <c r="C2629" t="s">
        <v>8</v>
      </c>
      <c r="D2629" s="3">
        <v>2188.1369999999997</v>
      </c>
      <c r="E2629" s="3">
        <v>0</v>
      </c>
      <c r="F2629" t="s">
        <v>45</v>
      </c>
      <c r="G2629" s="3">
        <f t="shared" si="311"/>
        <v>-2188.1369999999997</v>
      </c>
      <c r="H2629" s="3">
        <f t="shared" si="312"/>
        <v>2188.1369999999997</v>
      </c>
      <c r="I2629" s="5" t="str">
        <f t="shared" si="313"/>
        <v>017</v>
      </c>
      <c r="J2629" s="5" t="str">
        <f t="shared" si="314"/>
        <v>2210</v>
      </c>
      <c r="K2629" s="5" t="str">
        <f t="shared" si="315"/>
        <v>000</v>
      </c>
      <c r="L2629" s="5">
        <f t="shared" si="316"/>
        <v>6</v>
      </c>
      <c r="M2629" s="5">
        <f t="shared" si="317"/>
        <v>2012</v>
      </c>
    </row>
    <row r="2630" spans="1:13" ht="17.45" customHeight="1" x14ac:dyDescent="0.25">
      <c r="A2630" s="1">
        <f>DATE(2012,6,9)</f>
        <v>41069</v>
      </c>
      <c r="B2630" t="s">
        <v>17</v>
      </c>
      <c r="C2630" t="s">
        <v>9</v>
      </c>
      <c r="D2630" s="3">
        <v>286.3075</v>
      </c>
      <c r="E2630" s="3">
        <v>0</v>
      </c>
      <c r="F2630" t="s">
        <v>45</v>
      </c>
      <c r="G2630" s="3">
        <f t="shared" si="311"/>
        <v>-286.3075</v>
      </c>
      <c r="H2630" s="3">
        <f t="shared" si="312"/>
        <v>286.3075</v>
      </c>
      <c r="I2630" s="5" t="str">
        <f t="shared" si="313"/>
        <v>017</v>
      </c>
      <c r="J2630" s="5" t="str">
        <f t="shared" si="314"/>
        <v>2220</v>
      </c>
      <c r="K2630" s="5" t="str">
        <f t="shared" si="315"/>
        <v>000</v>
      </c>
      <c r="L2630" s="5">
        <f t="shared" si="316"/>
        <v>6</v>
      </c>
      <c r="M2630" s="5">
        <f t="shared" si="317"/>
        <v>2012</v>
      </c>
    </row>
    <row r="2631" spans="1:13" ht="17.45" customHeight="1" x14ac:dyDescent="0.25">
      <c r="A2631" s="1">
        <f>DATE(2012,6,9)</f>
        <v>41069</v>
      </c>
      <c r="B2631" t="s">
        <v>18</v>
      </c>
      <c r="C2631" t="s">
        <v>10</v>
      </c>
      <c r="D2631" s="3">
        <v>114.66000000000001</v>
      </c>
      <c r="E2631" s="3">
        <v>0</v>
      </c>
      <c r="F2631" t="s">
        <v>45</v>
      </c>
      <c r="G2631" s="3">
        <f t="shared" si="311"/>
        <v>-114.66000000000001</v>
      </c>
      <c r="H2631" s="3">
        <f t="shared" si="312"/>
        <v>114.66000000000001</v>
      </c>
      <c r="I2631" s="5" t="str">
        <f t="shared" si="313"/>
        <v>017</v>
      </c>
      <c r="J2631" s="5" t="str">
        <f t="shared" si="314"/>
        <v>2230</v>
      </c>
      <c r="K2631" s="5" t="str">
        <f t="shared" si="315"/>
        <v>000</v>
      </c>
      <c r="L2631" s="5">
        <f t="shared" si="316"/>
        <v>6</v>
      </c>
      <c r="M2631" s="5">
        <f t="shared" si="317"/>
        <v>2012</v>
      </c>
    </row>
    <row r="2632" spans="1:13" ht="17.45" customHeight="1" x14ac:dyDescent="0.25">
      <c r="A2632" s="1">
        <f>DATE(2012,6,10)</f>
        <v>41070</v>
      </c>
      <c r="B2632" t="s">
        <v>15</v>
      </c>
      <c r="C2632" t="s">
        <v>6</v>
      </c>
      <c r="D2632" s="3">
        <v>3952.2599999999998</v>
      </c>
      <c r="E2632" s="3">
        <v>0</v>
      </c>
      <c r="F2632" t="s">
        <v>45</v>
      </c>
      <c r="G2632" s="3">
        <f t="shared" si="311"/>
        <v>-3952.2599999999998</v>
      </c>
      <c r="H2632" s="3">
        <f t="shared" si="312"/>
        <v>3952.2599999999998</v>
      </c>
      <c r="I2632" s="5" t="str">
        <f t="shared" si="313"/>
        <v>017</v>
      </c>
      <c r="J2632" s="5" t="str">
        <f t="shared" si="314"/>
        <v>2100</v>
      </c>
      <c r="K2632" s="5" t="str">
        <f t="shared" si="315"/>
        <v>000</v>
      </c>
      <c r="L2632" s="5">
        <f t="shared" si="316"/>
        <v>6</v>
      </c>
      <c r="M2632" s="5">
        <f t="shared" si="317"/>
        <v>2012</v>
      </c>
    </row>
    <row r="2633" spans="1:13" ht="17.45" customHeight="1" x14ac:dyDescent="0.25">
      <c r="A2633" s="1">
        <f>DATE(2012,6,10)</f>
        <v>41070</v>
      </c>
      <c r="B2633" t="s">
        <v>16</v>
      </c>
      <c r="C2633" t="s">
        <v>8</v>
      </c>
      <c r="D2633" s="3">
        <v>1074.2850000000001</v>
      </c>
      <c r="E2633" s="3">
        <v>0</v>
      </c>
      <c r="F2633" t="s">
        <v>45</v>
      </c>
      <c r="G2633" s="3">
        <f t="shared" si="311"/>
        <v>-1074.2850000000001</v>
      </c>
      <c r="H2633" s="3">
        <f t="shared" si="312"/>
        <v>1074.2850000000001</v>
      </c>
      <c r="I2633" s="5" t="str">
        <f t="shared" si="313"/>
        <v>017</v>
      </c>
      <c r="J2633" s="5" t="str">
        <f t="shared" si="314"/>
        <v>2210</v>
      </c>
      <c r="K2633" s="5" t="str">
        <f t="shared" si="315"/>
        <v>000</v>
      </c>
      <c r="L2633" s="5">
        <f t="shared" si="316"/>
        <v>6</v>
      </c>
      <c r="M2633" s="5">
        <f t="shared" si="317"/>
        <v>2012</v>
      </c>
    </row>
    <row r="2634" spans="1:13" ht="17.45" customHeight="1" x14ac:dyDescent="0.25">
      <c r="A2634" s="1">
        <f>DATE(2012,6,10)</f>
        <v>41070</v>
      </c>
      <c r="B2634" t="s">
        <v>17</v>
      </c>
      <c r="C2634" t="s">
        <v>9</v>
      </c>
      <c r="D2634" s="3">
        <v>153.1875</v>
      </c>
      <c r="E2634" s="3">
        <v>0</v>
      </c>
      <c r="F2634" t="s">
        <v>45</v>
      </c>
      <c r="G2634" s="3">
        <f t="shared" si="311"/>
        <v>-153.1875</v>
      </c>
      <c r="H2634" s="3">
        <f t="shared" si="312"/>
        <v>153.1875</v>
      </c>
      <c r="I2634" s="5" t="str">
        <f t="shared" si="313"/>
        <v>017</v>
      </c>
      <c r="J2634" s="5" t="str">
        <f t="shared" si="314"/>
        <v>2220</v>
      </c>
      <c r="K2634" s="5" t="str">
        <f t="shared" si="315"/>
        <v>000</v>
      </c>
      <c r="L2634" s="5">
        <f t="shared" si="316"/>
        <v>6</v>
      </c>
      <c r="M2634" s="5">
        <f t="shared" si="317"/>
        <v>2012</v>
      </c>
    </row>
    <row r="2635" spans="1:13" ht="17.45" customHeight="1" x14ac:dyDescent="0.25">
      <c r="A2635" s="1">
        <f>DATE(2012,6,10)</f>
        <v>41070</v>
      </c>
      <c r="B2635" t="s">
        <v>18</v>
      </c>
      <c r="C2635" t="s">
        <v>10</v>
      </c>
      <c r="D2635" s="3">
        <v>48.762499999999996</v>
      </c>
      <c r="E2635" s="3">
        <v>0</v>
      </c>
      <c r="F2635" t="s">
        <v>45</v>
      </c>
      <c r="G2635" s="3">
        <f t="shared" si="311"/>
        <v>-48.762499999999996</v>
      </c>
      <c r="H2635" s="3">
        <f t="shared" si="312"/>
        <v>48.762499999999996</v>
      </c>
      <c r="I2635" s="5" t="str">
        <f t="shared" si="313"/>
        <v>017</v>
      </c>
      <c r="J2635" s="5" t="str">
        <f t="shared" si="314"/>
        <v>2230</v>
      </c>
      <c r="K2635" s="5" t="str">
        <f t="shared" si="315"/>
        <v>000</v>
      </c>
      <c r="L2635" s="5">
        <f t="shared" si="316"/>
        <v>6</v>
      </c>
      <c r="M2635" s="5">
        <f t="shared" si="317"/>
        <v>2012</v>
      </c>
    </row>
    <row r="2636" spans="1:13" ht="17.45" customHeight="1" x14ac:dyDescent="0.25">
      <c r="A2636" s="1">
        <f>DATE(2012,6,4)</f>
        <v>41064</v>
      </c>
      <c r="B2636" t="s">
        <v>19</v>
      </c>
      <c r="C2636" t="s">
        <v>6</v>
      </c>
      <c r="D2636" s="3">
        <v>3868.6986000000002</v>
      </c>
      <c r="E2636" s="3">
        <v>0</v>
      </c>
      <c r="F2636" t="s">
        <v>45</v>
      </c>
      <c r="G2636" s="3">
        <f t="shared" si="311"/>
        <v>-3868.6986000000002</v>
      </c>
      <c r="H2636" s="3">
        <f t="shared" si="312"/>
        <v>3868.6986000000002</v>
      </c>
      <c r="I2636" s="5" t="str">
        <f t="shared" si="313"/>
        <v>018</v>
      </c>
      <c r="J2636" s="5" t="str">
        <f t="shared" si="314"/>
        <v>2100</v>
      </c>
      <c r="K2636" s="5" t="str">
        <f t="shared" si="315"/>
        <v>000</v>
      </c>
      <c r="L2636" s="5">
        <f t="shared" si="316"/>
        <v>6</v>
      </c>
      <c r="M2636" s="5">
        <f t="shared" si="317"/>
        <v>2012</v>
      </c>
    </row>
    <row r="2637" spans="1:13" ht="17.45" customHeight="1" x14ac:dyDescent="0.25">
      <c r="A2637" s="1">
        <f>DATE(2012,6,4)</f>
        <v>41064</v>
      </c>
      <c r="B2637" t="s">
        <v>20</v>
      </c>
      <c r="C2637" t="s">
        <v>8</v>
      </c>
      <c r="D2637" s="3">
        <v>607.62099999999998</v>
      </c>
      <c r="E2637" s="3">
        <v>0</v>
      </c>
      <c r="F2637" t="s">
        <v>45</v>
      </c>
      <c r="G2637" s="3">
        <f t="shared" si="311"/>
        <v>-607.62099999999998</v>
      </c>
      <c r="H2637" s="3">
        <f t="shared" si="312"/>
        <v>607.62099999999998</v>
      </c>
      <c r="I2637" s="5" t="str">
        <f t="shared" si="313"/>
        <v>018</v>
      </c>
      <c r="J2637" s="5" t="str">
        <f t="shared" si="314"/>
        <v>2210</v>
      </c>
      <c r="K2637" s="5" t="str">
        <f t="shared" si="315"/>
        <v>000</v>
      </c>
      <c r="L2637" s="5">
        <f t="shared" si="316"/>
        <v>6</v>
      </c>
      <c r="M2637" s="5">
        <f t="shared" si="317"/>
        <v>2012</v>
      </c>
    </row>
    <row r="2638" spans="1:13" ht="17.45" customHeight="1" x14ac:dyDescent="0.25">
      <c r="A2638" s="1">
        <f>DATE(2012,6,4)</f>
        <v>41064</v>
      </c>
      <c r="B2638" t="s">
        <v>21</v>
      </c>
      <c r="C2638" t="s">
        <v>9</v>
      </c>
      <c r="D2638" s="3">
        <v>174.4015</v>
      </c>
      <c r="E2638" s="3">
        <v>0</v>
      </c>
      <c r="F2638" t="s">
        <v>45</v>
      </c>
      <c r="G2638" s="3">
        <f t="shared" si="311"/>
        <v>-174.4015</v>
      </c>
      <c r="H2638" s="3">
        <f t="shared" si="312"/>
        <v>174.4015</v>
      </c>
      <c r="I2638" s="5" t="str">
        <f t="shared" si="313"/>
        <v>018</v>
      </c>
      <c r="J2638" s="5" t="str">
        <f t="shared" si="314"/>
        <v>2220</v>
      </c>
      <c r="K2638" s="5" t="str">
        <f t="shared" si="315"/>
        <v>000</v>
      </c>
      <c r="L2638" s="5">
        <f t="shared" si="316"/>
        <v>6</v>
      </c>
      <c r="M2638" s="5">
        <f t="shared" si="317"/>
        <v>2012</v>
      </c>
    </row>
    <row r="2639" spans="1:13" ht="17.45" customHeight="1" x14ac:dyDescent="0.25">
      <c r="A2639" s="1">
        <f>DATE(2012,6,4)</f>
        <v>41064</v>
      </c>
      <c r="B2639" t="s">
        <v>22</v>
      </c>
      <c r="C2639" t="s">
        <v>10</v>
      </c>
      <c r="D2639" s="3">
        <v>45.18</v>
      </c>
      <c r="E2639" s="3">
        <v>0</v>
      </c>
      <c r="F2639" t="s">
        <v>45</v>
      </c>
      <c r="G2639" s="3">
        <f t="shared" si="311"/>
        <v>-45.18</v>
      </c>
      <c r="H2639" s="3">
        <f t="shared" si="312"/>
        <v>45.18</v>
      </c>
      <c r="I2639" s="5" t="str">
        <f t="shared" si="313"/>
        <v>018</v>
      </c>
      <c r="J2639" s="5" t="str">
        <f t="shared" si="314"/>
        <v>2230</v>
      </c>
      <c r="K2639" s="5" t="str">
        <f t="shared" si="315"/>
        <v>000</v>
      </c>
      <c r="L2639" s="5">
        <f t="shared" si="316"/>
        <v>6</v>
      </c>
      <c r="M2639" s="5">
        <f t="shared" si="317"/>
        <v>2012</v>
      </c>
    </row>
    <row r="2640" spans="1:13" ht="17.45" customHeight="1" x14ac:dyDescent="0.25">
      <c r="A2640" s="1">
        <f>DATE(2012,6,5)</f>
        <v>41065</v>
      </c>
      <c r="B2640" t="s">
        <v>19</v>
      </c>
      <c r="C2640" t="s">
        <v>6</v>
      </c>
      <c r="D2640" s="3">
        <v>4067.2846999999997</v>
      </c>
      <c r="E2640" s="3">
        <v>0</v>
      </c>
      <c r="F2640" t="s">
        <v>45</v>
      </c>
      <c r="G2640" s="3">
        <f t="shared" si="311"/>
        <v>-4067.2846999999997</v>
      </c>
      <c r="H2640" s="3">
        <f t="shared" si="312"/>
        <v>4067.2846999999997</v>
      </c>
      <c r="I2640" s="5" t="str">
        <f t="shared" si="313"/>
        <v>018</v>
      </c>
      <c r="J2640" s="5" t="str">
        <f t="shared" si="314"/>
        <v>2100</v>
      </c>
      <c r="K2640" s="5" t="str">
        <f t="shared" si="315"/>
        <v>000</v>
      </c>
      <c r="L2640" s="5">
        <f t="shared" si="316"/>
        <v>6</v>
      </c>
      <c r="M2640" s="5">
        <f t="shared" si="317"/>
        <v>2012</v>
      </c>
    </row>
    <row r="2641" spans="1:13" ht="17.45" customHeight="1" x14ac:dyDescent="0.25">
      <c r="A2641" s="1">
        <f>DATE(2012,6,5)</f>
        <v>41065</v>
      </c>
      <c r="B2641" t="s">
        <v>20</v>
      </c>
      <c r="C2641" t="s">
        <v>8</v>
      </c>
      <c r="D2641" s="3">
        <v>575.31200000000001</v>
      </c>
      <c r="E2641" s="3">
        <v>0</v>
      </c>
      <c r="F2641" t="s">
        <v>45</v>
      </c>
      <c r="G2641" s="3">
        <f t="shared" si="311"/>
        <v>-575.31200000000001</v>
      </c>
      <c r="H2641" s="3">
        <f t="shared" si="312"/>
        <v>575.31200000000001</v>
      </c>
      <c r="I2641" s="5" t="str">
        <f t="shared" si="313"/>
        <v>018</v>
      </c>
      <c r="J2641" s="5" t="str">
        <f t="shared" si="314"/>
        <v>2210</v>
      </c>
      <c r="K2641" s="5" t="str">
        <f t="shared" si="315"/>
        <v>000</v>
      </c>
      <c r="L2641" s="5">
        <f t="shared" si="316"/>
        <v>6</v>
      </c>
      <c r="M2641" s="5">
        <f t="shared" si="317"/>
        <v>2012</v>
      </c>
    </row>
    <row r="2642" spans="1:13" ht="17.45" customHeight="1" x14ac:dyDescent="0.25">
      <c r="A2642" s="1">
        <f>DATE(2012,6,5)</f>
        <v>41065</v>
      </c>
      <c r="B2642" t="s">
        <v>21</v>
      </c>
      <c r="C2642" t="s">
        <v>9</v>
      </c>
      <c r="D2642" s="3">
        <v>113.456</v>
      </c>
      <c r="E2642" s="3">
        <v>0</v>
      </c>
      <c r="F2642" t="s">
        <v>45</v>
      </c>
      <c r="G2642" s="3">
        <f t="shared" si="311"/>
        <v>-113.456</v>
      </c>
      <c r="H2642" s="3">
        <f t="shared" si="312"/>
        <v>113.456</v>
      </c>
      <c r="I2642" s="5" t="str">
        <f t="shared" si="313"/>
        <v>018</v>
      </c>
      <c r="J2642" s="5" t="str">
        <f t="shared" si="314"/>
        <v>2220</v>
      </c>
      <c r="K2642" s="5" t="str">
        <f t="shared" si="315"/>
        <v>000</v>
      </c>
      <c r="L2642" s="5">
        <f t="shared" si="316"/>
        <v>6</v>
      </c>
      <c r="M2642" s="5">
        <f t="shared" si="317"/>
        <v>2012</v>
      </c>
    </row>
    <row r="2643" spans="1:13" ht="17.45" customHeight="1" x14ac:dyDescent="0.25">
      <c r="A2643" s="1">
        <f>DATE(2012,6,5)</f>
        <v>41065</v>
      </c>
      <c r="B2643" t="s">
        <v>22</v>
      </c>
      <c r="C2643" t="s">
        <v>10</v>
      </c>
      <c r="D2643" s="3">
        <v>63.861999999999995</v>
      </c>
      <c r="E2643" s="3">
        <v>0</v>
      </c>
      <c r="F2643" t="s">
        <v>45</v>
      </c>
      <c r="G2643" s="3">
        <f t="shared" si="311"/>
        <v>-63.861999999999995</v>
      </c>
      <c r="H2643" s="3">
        <f t="shared" si="312"/>
        <v>63.861999999999995</v>
      </c>
      <c r="I2643" s="5" t="str">
        <f t="shared" si="313"/>
        <v>018</v>
      </c>
      <c r="J2643" s="5" t="str">
        <f t="shared" si="314"/>
        <v>2230</v>
      </c>
      <c r="K2643" s="5" t="str">
        <f t="shared" si="315"/>
        <v>000</v>
      </c>
      <c r="L2643" s="5">
        <f t="shared" si="316"/>
        <v>6</v>
      </c>
      <c r="M2643" s="5">
        <f t="shared" si="317"/>
        <v>2012</v>
      </c>
    </row>
    <row r="2644" spans="1:13" ht="17.45" customHeight="1" x14ac:dyDescent="0.25">
      <c r="A2644" s="1">
        <f>DATE(2012,6,6)</f>
        <v>41066</v>
      </c>
      <c r="B2644" t="s">
        <v>19</v>
      </c>
      <c r="C2644" t="s">
        <v>6</v>
      </c>
      <c r="D2644" s="3">
        <v>4505.7012000000004</v>
      </c>
      <c r="E2644" s="3">
        <v>0</v>
      </c>
      <c r="F2644" t="s">
        <v>45</v>
      </c>
      <c r="G2644" s="3">
        <f t="shared" si="311"/>
        <v>-4505.7012000000004</v>
      </c>
      <c r="H2644" s="3">
        <f t="shared" si="312"/>
        <v>4505.7012000000004</v>
      </c>
      <c r="I2644" s="5" t="str">
        <f t="shared" si="313"/>
        <v>018</v>
      </c>
      <c r="J2644" s="5" t="str">
        <f t="shared" si="314"/>
        <v>2100</v>
      </c>
      <c r="K2644" s="5" t="str">
        <f t="shared" si="315"/>
        <v>000</v>
      </c>
      <c r="L2644" s="5">
        <f t="shared" si="316"/>
        <v>6</v>
      </c>
      <c r="M2644" s="5">
        <f t="shared" si="317"/>
        <v>2012</v>
      </c>
    </row>
    <row r="2645" spans="1:13" ht="17.45" customHeight="1" x14ac:dyDescent="0.25">
      <c r="A2645" s="1">
        <f>DATE(2012,6,6)</f>
        <v>41066</v>
      </c>
      <c r="B2645" t="s">
        <v>20</v>
      </c>
      <c r="C2645" t="s">
        <v>8</v>
      </c>
      <c r="D2645" s="3">
        <v>894.06400000000008</v>
      </c>
      <c r="E2645" s="3">
        <v>0</v>
      </c>
      <c r="F2645" t="s">
        <v>45</v>
      </c>
      <c r="G2645" s="3">
        <f t="shared" si="311"/>
        <v>-894.06400000000008</v>
      </c>
      <c r="H2645" s="3">
        <f t="shared" si="312"/>
        <v>894.06400000000008</v>
      </c>
      <c r="I2645" s="5" t="str">
        <f t="shared" si="313"/>
        <v>018</v>
      </c>
      <c r="J2645" s="5" t="str">
        <f t="shared" si="314"/>
        <v>2210</v>
      </c>
      <c r="K2645" s="5" t="str">
        <f t="shared" si="315"/>
        <v>000</v>
      </c>
      <c r="L2645" s="5">
        <f t="shared" si="316"/>
        <v>6</v>
      </c>
      <c r="M2645" s="5">
        <f t="shared" si="317"/>
        <v>2012</v>
      </c>
    </row>
    <row r="2646" spans="1:13" ht="17.45" customHeight="1" x14ac:dyDescent="0.25">
      <c r="A2646" s="1">
        <f>DATE(2012,6,6)</f>
        <v>41066</v>
      </c>
      <c r="B2646" t="s">
        <v>21</v>
      </c>
      <c r="C2646" t="s">
        <v>9</v>
      </c>
      <c r="D2646" s="3">
        <v>174.59399999999999</v>
      </c>
      <c r="E2646" s="3">
        <v>0</v>
      </c>
      <c r="F2646" t="s">
        <v>45</v>
      </c>
      <c r="G2646" s="3">
        <f t="shared" si="311"/>
        <v>-174.59399999999999</v>
      </c>
      <c r="H2646" s="3">
        <f t="shared" si="312"/>
        <v>174.59399999999999</v>
      </c>
      <c r="I2646" s="5" t="str">
        <f t="shared" si="313"/>
        <v>018</v>
      </c>
      <c r="J2646" s="5" t="str">
        <f t="shared" si="314"/>
        <v>2220</v>
      </c>
      <c r="K2646" s="5" t="str">
        <f t="shared" si="315"/>
        <v>000</v>
      </c>
      <c r="L2646" s="5">
        <f t="shared" si="316"/>
        <v>6</v>
      </c>
      <c r="M2646" s="5">
        <f t="shared" si="317"/>
        <v>2012</v>
      </c>
    </row>
    <row r="2647" spans="1:13" ht="17.45" customHeight="1" x14ac:dyDescent="0.25">
      <c r="A2647" s="1">
        <f>DATE(2012,6,6)</f>
        <v>41066</v>
      </c>
      <c r="B2647" t="s">
        <v>22</v>
      </c>
      <c r="C2647" t="s">
        <v>10</v>
      </c>
      <c r="D2647" s="3">
        <v>28.909999999999997</v>
      </c>
      <c r="E2647" s="3">
        <v>0</v>
      </c>
      <c r="F2647" t="s">
        <v>45</v>
      </c>
      <c r="G2647" s="3">
        <f t="shared" si="311"/>
        <v>-28.909999999999997</v>
      </c>
      <c r="H2647" s="3">
        <f t="shared" si="312"/>
        <v>28.909999999999997</v>
      </c>
      <c r="I2647" s="5" t="str">
        <f t="shared" si="313"/>
        <v>018</v>
      </c>
      <c r="J2647" s="5" t="str">
        <f t="shared" si="314"/>
        <v>2230</v>
      </c>
      <c r="K2647" s="5" t="str">
        <f t="shared" si="315"/>
        <v>000</v>
      </c>
      <c r="L2647" s="5">
        <f t="shared" si="316"/>
        <v>6</v>
      </c>
      <c r="M2647" s="5">
        <f t="shared" si="317"/>
        <v>2012</v>
      </c>
    </row>
    <row r="2648" spans="1:13" ht="17.45" customHeight="1" x14ac:dyDescent="0.25">
      <c r="A2648" s="1">
        <f>DATE(2012,6,7)</f>
        <v>41067</v>
      </c>
      <c r="B2648" t="s">
        <v>19</v>
      </c>
      <c r="C2648" t="s">
        <v>6</v>
      </c>
      <c r="D2648" s="3">
        <v>5074.6876000000002</v>
      </c>
      <c r="E2648" s="3">
        <v>0</v>
      </c>
      <c r="F2648" t="s">
        <v>45</v>
      </c>
      <c r="G2648" s="3">
        <f t="shared" si="311"/>
        <v>-5074.6876000000002</v>
      </c>
      <c r="H2648" s="3">
        <f t="shared" si="312"/>
        <v>5074.6876000000002</v>
      </c>
      <c r="I2648" s="5" t="str">
        <f t="shared" si="313"/>
        <v>018</v>
      </c>
      <c r="J2648" s="5" t="str">
        <f t="shared" si="314"/>
        <v>2100</v>
      </c>
      <c r="K2648" s="5" t="str">
        <f t="shared" si="315"/>
        <v>000</v>
      </c>
      <c r="L2648" s="5">
        <f t="shared" si="316"/>
        <v>6</v>
      </c>
      <c r="M2648" s="5">
        <f t="shared" si="317"/>
        <v>2012</v>
      </c>
    </row>
    <row r="2649" spans="1:13" ht="17.45" customHeight="1" x14ac:dyDescent="0.25">
      <c r="A2649" s="1">
        <f>DATE(2012,6,7)</f>
        <v>41067</v>
      </c>
      <c r="B2649" t="s">
        <v>20</v>
      </c>
      <c r="C2649" t="s">
        <v>8</v>
      </c>
      <c r="D2649" s="3">
        <v>993.06900000000007</v>
      </c>
      <c r="E2649" s="3">
        <v>0</v>
      </c>
      <c r="F2649" t="s">
        <v>45</v>
      </c>
      <c r="G2649" s="3">
        <f t="shared" si="311"/>
        <v>-993.06900000000007</v>
      </c>
      <c r="H2649" s="3">
        <f t="shared" si="312"/>
        <v>993.06900000000007</v>
      </c>
      <c r="I2649" s="5" t="str">
        <f t="shared" si="313"/>
        <v>018</v>
      </c>
      <c r="J2649" s="5" t="str">
        <f t="shared" si="314"/>
        <v>2210</v>
      </c>
      <c r="K2649" s="5" t="str">
        <f t="shared" si="315"/>
        <v>000</v>
      </c>
      <c r="L2649" s="5">
        <f t="shared" si="316"/>
        <v>6</v>
      </c>
      <c r="M2649" s="5">
        <f t="shared" si="317"/>
        <v>2012</v>
      </c>
    </row>
    <row r="2650" spans="1:13" ht="17.45" customHeight="1" x14ac:dyDescent="0.25">
      <c r="A2650" s="1">
        <f>DATE(2012,6,7)</f>
        <v>41067</v>
      </c>
      <c r="B2650" t="s">
        <v>21</v>
      </c>
      <c r="C2650" t="s">
        <v>9</v>
      </c>
      <c r="D2650" s="3">
        <v>314.56350000000003</v>
      </c>
      <c r="E2650" s="3">
        <v>0</v>
      </c>
      <c r="F2650" t="s">
        <v>45</v>
      </c>
      <c r="G2650" s="3">
        <f t="shared" si="311"/>
        <v>-314.56350000000003</v>
      </c>
      <c r="H2650" s="3">
        <f t="shared" si="312"/>
        <v>314.56350000000003</v>
      </c>
      <c r="I2650" s="5" t="str">
        <f t="shared" si="313"/>
        <v>018</v>
      </c>
      <c r="J2650" s="5" t="str">
        <f t="shared" si="314"/>
        <v>2220</v>
      </c>
      <c r="K2650" s="5" t="str">
        <f t="shared" si="315"/>
        <v>000</v>
      </c>
      <c r="L2650" s="5">
        <f t="shared" si="316"/>
        <v>6</v>
      </c>
      <c r="M2650" s="5">
        <f t="shared" si="317"/>
        <v>2012</v>
      </c>
    </row>
    <row r="2651" spans="1:13" ht="17.45" customHeight="1" x14ac:dyDescent="0.25">
      <c r="A2651" s="1">
        <f>DATE(2012,6,7)</f>
        <v>41067</v>
      </c>
      <c r="B2651" t="s">
        <v>22</v>
      </c>
      <c r="C2651" t="s">
        <v>10</v>
      </c>
      <c r="D2651" s="3">
        <v>78.622</v>
      </c>
      <c r="E2651" s="3">
        <v>0</v>
      </c>
      <c r="F2651" t="s">
        <v>45</v>
      </c>
      <c r="G2651" s="3">
        <f t="shared" si="311"/>
        <v>-78.622</v>
      </c>
      <c r="H2651" s="3">
        <f t="shared" si="312"/>
        <v>78.622</v>
      </c>
      <c r="I2651" s="5" t="str">
        <f t="shared" si="313"/>
        <v>018</v>
      </c>
      <c r="J2651" s="5" t="str">
        <f t="shared" si="314"/>
        <v>2230</v>
      </c>
      <c r="K2651" s="5" t="str">
        <f t="shared" si="315"/>
        <v>000</v>
      </c>
      <c r="L2651" s="5">
        <f t="shared" si="316"/>
        <v>6</v>
      </c>
      <c r="M2651" s="5">
        <f t="shared" si="317"/>
        <v>2012</v>
      </c>
    </row>
    <row r="2652" spans="1:13" ht="17.45" customHeight="1" x14ac:dyDescent="0.25">
      <c r="A2652" s="1">
        <f>DATE(2012,6,8)</f>
        <v>41068</v>
      </c>
      <c r="B2652" t="s">
        <v>19</v>
      </c>
      <c r="C2652" t="s">
        <v>6</v>
      </c>
      <c r="D2652" s="3">
        <v>11598.175499999999</v>
      </c>
      <c r="E2652" s="3">
        <v>0</v>
      </c>
      <c r="F2652" t="s">
        <v>45</v>
      </c>
      <c r="G2652" s="3">
        <f t="shared" si="311"/>
        <v>-11598.175499999999</v>
      </c>
      <c r="H2652" s="3">
        <f t="shared" si="312"/>
        <v>11598.175499999999</v>
      </c>
      <c r="I2652" s="5" t="str">
        <f t="shared" si="313"/>
        <v>018</v>
      </c>
      <c r="J2652" s="5" t="str">
        <f t="shared" si="314"/>
        <v>2100</v>
      </c>
      <c r="K2652" s="5" t="str">
        <f t="shared" si="315"/>
        <v>000</v>
      </c>
      <c r="L2652" s="5">
        <f t="shared" si="316"/>
        <v>6</v>
      </c>
      <c r="M2652" s="5">
        <f t="shared" si="317"/>
        <v>2012</v>
      </c>
    </row>
    <row r="2653" spans="1:13" ht="17.45" customHeight="1" x14ac:dyDescent="0.25">
      <c r="A2653" s="1">
        <f>DATE(2012,6,8)</f>
        <v>41068</v>
      </c>
      <c r="B2653" t="s">
        <v>20</v>
      </c>
      <c r="C2653" t="s">
        <v>8</v>
      </c>
      <c r="D2653" s="3">
        <v>3442.7289999999998</v>
      </c>
      <c r="E2653" s="3">
        <v>0</v>
      </c>
      <c r="F2653" t="s">
        <v>45</v>
      </c>
      <c r="G2653" s="3">
        <f t="shared" si="311"/>
        <v>-3442.7289999999998</v>
      </c>
      <c r="H2653" s="3">
        <f t="shared" si="312"/>
        <v>3442.7289999999998</v>
      </c>
      <c r="I2653" s="5" t="str">
        <f t="shared" si="313"/>
        <v>018</v>
      </c>
      <c r="J2653" s="5" t="str">
        <f t="shared" si="314"/>
        <v>2210</v>
      </c>
      <c r="K2653" s="5" t="str">
        <f t="shared" si="315"/>
        <v>000</v>
      </c>
      <c r="L2653" s="5">
        <f t="shared" si="316"/>
        <v>6</v>
      </c>
      <c r="M2653" s="5">
        <f t="shared" si="317"/>
        <v>2012</v>
      </c>
    </row>
    <row r="2654" spans="1:13" ht="17.45" customHeight="1" x14ac:dyDescent="0.25">
      <c r="A2654" s="1">
        <f>DATE(2012,6,8)</f>
        <v>41068</v>
      </c>
      <c r="B2654" t="s">
        <v>21</v>
      </c>
      <c r="C2654" t="s">
        <v>9</v>
      </c>
      <c r="D2654" s="3">
        <v>780.62</v>
      </c>
      <c r="E2654" s="3">
        <v>0</v>
      </c>
      <c r="F2654" t="s">
        <v>45</v>
      </c>
      <c r="G2654" s="3">
        <f t="shared" si="311"/>
        <v>-780.62</v>
      </c>
      <c r="H2654" s="3">
        <f t="shared" si="312"/>
        <v>780.62</v>
      </c>
      <c r="I2654" s="5" t="str">
        <f t="shared" si="313"/>
        <v>018</v>
      </c>
      <c r="J2654" s="5" t="str">
        <f t="shared" si="314"/>
        <v>2220</v>
      </c>
      <c r="K2654" s="5" t="str">
        <f t="shared" si="315"/>
        <v>000</v>
      </c>
      <c r="L2654" s="5">
        <f t="shared" si="316"/>
        <v>6</v>
      </c>
      <c r="M2654" s="5">
        <f t="shared" si="317"/>
        <v>2012</v>
      </c>
    </row>
    <row r="2655" spans="1:13" ht="17.45" customHeight="1" x14ac:dyDescent="0.25">
      <c r="A2655" s="1">
        <f>DATE(2012,6,8)</f>
        <v>41068</v>
      </c>
      <c r="B2655" t="s">
        <v>22</v>
      </c>
      <c r="C2655" t="s">
        <v>10</v>
      </c>
      <c r="D2655" s="3">
        <v>147.48749999999998</v>
      </c>
      <c r="E2655" s="3">
        <v>0</v>
      </c>
      <c r="F2655" t="s">
        <v>45</v>
      </c>
      <c r="G2655" s="3">
        <f t="shared" si="311"/>
        <v>-147.48749999999998</v>
      </c>
      <c r="H2655" s="3">
        <f t="shared" si="312"/>
        <v>147.48749999999998</v>
      </c>
      <c r="I2655" s="5" t="str">
        <f t="shared" si="313"/>
        <v>018</v>
      </c>
      <c r="J2655" s="5" t="str">
        <f t="shared" si="314"/>
        <v>2230</v>
      </c>
      <c r="K2655" s="5" t="str">
        <f t="shared" si="315"/>
        <v>000</v>
      </c>
      <c r="L2655" s="5">
        <f t="shared" si="316"/>
        <v>6</v>
      </c>
      <c r="M2655" s="5">
        <f t="shared" si="317"/>
        <v>2012</v>
      </c>
    </row>
    <row r="2656" spans="1:13" ht="17.45" customHeight="1" x14ac:dyDescent="0.25">
      <c r="A2656" s="1">
        <f>DATE(2012,6,9)</f>
        <v>41069</v>
      </c>
      <c r="B2656" t="s">
        <v>19</v>
      </c>
      <c r="C2656" t="s">
        <v>6</v>
      </c>
      <c r="D2656" s="3">
        <v>12452.050500000001</v>
      </c>
      <c r="E2656" s="3">
        <v>0</v>
      </c>
      <c r="F2656" t="s">
        <v>45</v>
      </c>
      <c r="G2656" s="3">
        <f t="shared" si="311"/>
        <v>-12452.050500000001</v>
      </c>
      <c r="H2656" s="3">
        <f t="shared" si="312"/>
        <v>12452.050500000001</v>
      </c>
      <c r="I2656" s="5" t="str">
        <f t="shared" si="313"/>
        <v>018</v>
      </c>
      <c r="J2656" s="5" t="str">
        <f t="shared" si="314"/>
        <v>2100</v>
      </c>
      <c r="K2656" s="5" t="str">
        <f t="shared" si="315"/>
        <v>000</v>
      </c>
      <c r="L2656" s="5">
        <f t="shared" si="316"/>
        <v>6</v>
      </c>
      <c r="M2656" s="5">
        <f t="shared" si="317"/>
        <v>2012</v>
      </c>
    </row>
    <row r="2657" spans="1:13" ht="17.45" customHeight="1" x14ac:dyDescent="0.25">
      <c r="A2657" s="1">
        <f>DATE(2012,6,9)</f>
        <v>41069</v>
      </c>
      <c r="B2657" t="s">
        <v>20</v>
      </c>
      <c r="C2657" t="s">
        <v>8</v>
      </c>
      <c r="D2657" s="3">
        <v>1960.9365</v>
      </c>
      <c r="E2657" s="3">
        <v>0</v>
      </c>
      <c r="F2657" t="s">
        <v>45</v>
      </c>
      <c r="G2657" s="3">
        <f t="shared" si="311"/>
        <v>-1960.9365</v>
      </c>
      <c r="H2657" s="3">
        <f t="shared" si="312"/>
        <v>1960.9365</v>
      </c>
      <c r="I2657" s="5" t="str">
        <f t="shared" si="313"/>
        <v>018</v>
      </c>
      <c r="J2657" s="5" t="str">
        <f t="shared" si="314"/>
        <v>2210</v>
      </c>
      <c r="K2657" s="5" t="str">
        <f t="shared" si="315"/>
        <v>000</v>
      </c>
      <c r="L2657" s="5">
        <f t="shared" si="316"/>
        <v>6</v>
      </c>
      <c r="M2657" s="5">
        <f t="shared" si="317"/>
        <v>2012</v>
      </c>
    </row>
    <row r="2658" spans="1:13" ht="17.45" customHeight="1" x14ac:dyDescent="0.25">
      <c r="A2658" s="1">
        <f>DATE(2012,6,9)</f>
        <v>41069</v>
      </c>
      <c r="B2658" t="s">
        <v>21</v>
      </c>
      <c r="C2658" t="s">
        <v>9</v>
      </c>
      <c r="D2658" s="3">
        <v>727.98</v>
      </c>
      <c r="E2658" s="3">
        <v>0</v>
      </c>
      <c r="F2658" t="s">
        <v>45</v>
      </c>
      <c r="G2658" s="3">
        <f t="shared" si="311"/>
        <v>-727.98</v>
      </c>
      <c r="H2658" s="3">
        <f t="shared" si="312"/>
        <v>727.98</v>
      </c>
      <c r="I2658" s="5" t="str">
        <f t="shared" si="313"/>
        <v>018</v>
      </c>
      <c r="J2658" s="5" t="str">
        <f t="shared" si="314"/>
        <v>2220</v>
      </c>
      <c r="K2658" s="5" t="str">
        <f t="shared" si="315"/>
        <v>000</v>
      </c>
      <c r="L2658" s="5">
        <f t="shared" si="316"/>
        <v>6</v>
      </c>
      <c r="M2658" s="5">
        <f t="shared" si="317"/>
        <v>2012</v>
      </c>
    </row>
    <row r="2659" spans="1:13" ht="17.45" customHeight="1" x14ac:dyDescent="0.25">
      <c r="A2659" s="1">
        <f>DATE(2012,6,9)</f>
        <v>41069</v>
      </c>
      <c r="B2659" t="s">
        <v>22</v>
      </c>
      <c r="C2659" t="s">
        <v>10</v>
      </c>
      <c r="D2659" s="3">
        <v>54.925000000000004</v>
      </c>
      <c r="E2659" s="3">
        <v>0</v>
      </c>
      <c r="F2659" t="s">
        <v>45</v>
      </c>
      <c r="G2659" s="3">
        <f t="shared" si="311"/>
        <v>-54.925000000000004</v>
      </c>
      <c r="H2659" s="3">
        <f t="shared" si="312"/>
        <v>54.925000000000004</v>
      </c>
      <c r="I2659" s="5" t="str">
        <f t="shared" si="313"/>
        <v>018</v>
      </c>
      <c r="J2659" s="5" t="str">
        <f t="shared" si="314"/>
        <v>2230</v>
      </c>
      <c r="K2659" s="5" t="str">
        <f t="shared" si="315"/>
        <v>000</v>
      </c>
      <c r="L2659" s="5">
        <f t="shared" si="316"/>
        <v>6</v>
      </c>
      <c r="M2659" s="5">
        <f t="shared" si="317"/>
        <v>2012</v>
      </c>
    </row>
    <row r="2660" spans="1:13" ht="17.45" customHeight="1" x14ac:dyDescent="0.25">
      <c r="A2660" s="1">
        <f>DATE(2012,6,10)</f>
        <v>41070</v>
      </c>
      <c r="B2660" t="s">
        <v>19</v>
      </c>
      <c r="C2660" t="s">
        <v>6</v>
      </c>
      <c r="D2660" s="3">
        <v>10008.759</v>
      </c>
      <c r="E2660" s="3">
        <v>0</v>
      </c>
      <c r="F2660" t="s">
        <v>45</v>
      </c>
      <c r="G2660" s="3">
        <f t="shared" si="311"/>
        <v>-10008.759</v>
      </c>
      <c r="H2660" s="3">
        <f t="shared" si="312"/>
        <v>10008.759</v>
      </c>
      <c r="I2660" s="5" t="str">
        <f t="shared" si="313"/>
        <v>018</v>
      </c>
      <c r="J2660" s="5" t="str">
        <f t="shared" si="314"/>
        <v>2100</v>
      </c>
      <c r="K2660" s="5" t="str">
        <f t="shared" si="315"/>
        <v>000</v>
      </c>
      <c r="L2660" s="5">
        <f t="shared" si="316"/>
        <v>6</v>
      </c>
      <c r="M2660" s="5">
        <f t="shared" si="317"/>
        <v>2012</v>
      </c>
    </row>
    <row r="2661" spans="1:13" ht="17.45" customHeight="1" x14ac:dyDescent="0.25">
      <c r="A2661" s="1">
        <f>DATE(2012,6,10)</f>
        <v>41070</v>
      </c>
      <c r="B2661" t="s">
        <v>20</v>
      </c>
      <c r="C2661" t="s">
        <v>8</v>
      </c>
      <c r="D2661" s="3">
        <v>1902.1970000000001</v>
      </c>
      <c r="E2661" s="3">
        <v>0</v>
      </c>
      <c r="F2661" t="s">
        <v>45</v>
      </c>
      <c r="G2661" s="3">
        <f t="shared" si="311"/>
        <v>-1902.1970000000001</v>
      </c>
      <c r="H2661" s="3">
        <f t="shared" si="312"/>
        <v>1902.1970000000001</v>
      </c>
      <c r="I2661" s="5" t="str">
        <f t="shared" si="313"/>
        <v>018</v>
      </c>
      <c r="J2661" s="5" t="str">
        <f t="shared" si="314"/>
        <v>2210</v>
      </c>
      <c r="K2661" s="5" t="str">
        <f t="shared" si="315"/>
        <v>000</v>
      </c>
      <c r="L2661" s="5">
        <f t="shared" si="316"/>
        <v>6</v>
      </c>
      <c r="M2661" s="5">
        <f t="shared" si="317"/>
        <v>2012</v>
      </c>
    </row>
    <row r="2662" spans="1:13" ht="17.45" customHeight="1" x14ac:dyDescent="0.25">
      <c r="A2662" s="1">
        <f>DATE(2012,6,10)</f>
        <v>41070</v>
      </c>
      <c r="B2662" t="s">
        <v>21</v>
      </c>
      <c r="C2662" t="s">
        <v>9</v>
      </c>
      <c r="D2662" s="3">
        <v>244.2825</v>
      </c>
      <c r="E2662" s="3">
        <v>0</v>
      </c>
      <c r="F2662" t="s">
        <v>45</v>
      </c>
      <c r="G2662" s="3">
        <f t="shared" si="311"/>
        <v>-244.2825</v>
      </c>
      <c r="H2662" s="3">
        <f t="shared" si="312"/>
        <v>244.2825</v>
      </c>
      <c r="I2662" s="5" t="str">
        <f t="shared" si="313"/>
        <v>018</v>
      </c>
      <c r="J2662" s="5" t="str">
        <f t="shared" si="314"/>
        <v>2220</v>
      </c>
      <c r="K2662" s="5" t="str">
        <f t="shared" si="315"/>
        <v>000</v>
      </c>
      <c r="L2662" s="5">
        <f t="shared" si="316"/>
        <v>6</v>
      </c>
      <c r="M2662" s="5">
        <f t="shared" si="317"/>
        <v>2012</v>
      </c>
    </row>
    <row r="2663" spans="1:13" ht="17.45" customHeight="1" x14ac:dyDescent="0.25">
      <c r="A2663" s="1">
        <f>DATE(2012,6,10)</f>
        <v>41070</v>
      </c>
      <c r="B2663" t="s">
        <v>22</v>
      </c>
      <c r="C2663" t="s">
        <v>10</v>
      </c>
      <c r="D2663" s="3">
        <v>54.432000000000009</v>
      </c>
      <c r="E2663" s="3">
        <v>0</v>
      </c>
      <c r="F2663" t="s">
        <v>45</v>
      </c>
      <c r="G2663" s="3">
        <f t="shared" si="311"/>
        <v>-54.432000000000009</v>
      </c>
      <c r="H2663" s="3">
        <f t="shared" si="312"/>
        <v>54.432000000000009</v>
      </c>
      <c r="I2663" s="5" t="str">
        <f t="shared" si="313"/>
        <v>018</v>
      </c>
      <c r="J2663" s="5" t="str">
        <f t="shared" si="314"/>
        <v>2230</v>
      </c>
      <c r="K2663" s="5" t="str">
        <f t="shared" si="315"/>
        <v>000</v>
      </c>
      <c r="L2663" s="5">
        <f t="shared" si="316"/>
        <v>6</v>
      </c>
      <c r="M2663" s="5">
        <f t="shared" si="317"/>
        <v>2012</v>
      </c>
    </row>
    <row r="2664" spans="1:13" ht="17.45" customHeight="1" x14ac:dyDescent="0.25">
      <c r="A2664" s="1">
        <f>DATE(2012,6,11)</f>
        <v>41071</v>
      </c>
      <c r="B2664" t="s">
        <v>11</v>
      </c>
      <c r="C2664" t="s">
        <v>6</v>
      </c>
      <c r="D2664" s="3">
        <v>2497.393</v>
      </c>
      <c r="E2664" s="3">
        <v>0</v>
      </c>
      <c r="F2664" t="s">
        <v>45</v>
      </c>
      <c r="G2664" s="3">
        <f t="shared" si="311"/>
        <v>-2497.393</v>
      </c>
      <c r="H2664" s="3">
        <f t="shared" si="312"/>
        <v>2497.393</v>
      </c>
      <c r="I2664" s="5" t="str">
        <f t="shared" si="313"/>
        <v>016</v>
      </c>
      <c r="J2664" s="5" t="str">
        <f t="shared" si="314"/>
        <v>2100</v>
      </c>
      <c r="K2664" s="5" t="str">
        <f t="shared" si="315"/>
        <v>000</v>
      </c>
      <c r="L2664" s="5">
        <f t="shared" si="316"/>
        <v>6</v>
      </c>
      <c r="M2664" s="5">
        <f t="shared" si="317"/>
        <v>2012</v>
      </c>
    </row>
    <row r="2665" spans="1:13" ht="17.45" customHeight="1" x14ac:dyDescent="0.25">
      <c r="A2665" s="1">
        <f>DATE(2012,6,11)</f>
        <v>41071</v>
      </c>
      <c r="B2665" t="s">
        <v>12</v>
      </c>
      <c r="C2665" t="s">
        <v>8</v>
      </c>
      <c r="D2665" s="3">
        <v>550.90719999999999</v>
      </c>
      <c r="E2665" s="3">
        <v>0</v>
      </c>
      <c r="F2665" t="s">
        <v>45</v>
      </c>
      <c r="G2665" s="3">
        <f t="shared" si="311"/>
        <v>-550.90719999999999</v>
      </c>
      <c r="H2665" s="3">
        <f t="shared" si="312"/>
        <v>550.90719999999999</v>
      </c>
      <c r="I2665" s="5" t="str">
        <f t="shared" si="313"/>
        <v>016</v>
      </c>
      <c r="J2665" s="5" t="str">
        <f t="shared" si="314"/>
        <v>2210</v>
      </c>
      <c r="K2665" s="5" t="str">
        <f t="shared" si="315"/>
        <v>000</v>
      </c>
      <c r="L2665" s="5">
        <f t="shared" si="316"/>
        <v>6</v>
      </c>
      <c r="M2665" s="5">
        <f t="shared" si="317"/>
        <v>2012</v>
      </c>
    </row>
    <row r="2666" spans="1:13" ht="17.45" customHeight="1" x14ac:dyDescent="0.25">
      <c r="A2666" s="1">
        <f>DATE(2012,6,11)</f>
        <v>41071</v>
      </c>
      <c r="B2666" t="s">
        <v>13</v>
      </c>
      <c r="C2666" t="s">
        <v>9</v>
      </c>
      <c r="D2666" s="3">
        <v>145.60679999999999</v>
      </c>
      <c r="E2666" s="3">
        <v>0</v>
      </c>
      <c r="F2666" t="s">
        <v>45</v>
      </c>
      <c r="G2666" s="3">
        <f t="shared" si="311"/>
        <v>-145.60679999999999</v>
      </c>
      <c r="H2666" s="3">
        <f t="shared" si="312"/>
        <v>145.60679999999999</v>
      </c>
      <c r="I2666" s="5" t="str">
        <f t="shared" si="313"/>
        <v>016</v>
      </c>
      <c r="J2666" s="5" t="str">
        <f t="shared" si="314"/>
        <v>2220</v>
      </c>
      <c r="K2666" s="5" t="str">
        <f t="shared" si="315"/>
        <v>000</v>
      </c>
      <c r="L2666" s="5">
        <f t="shared" si="316"/>
        <v>6</v>
      </c>
      <c r="M2666" s="5">
        <f t="shared" si="317"/>
        <v>2012</v>
      </c>
    </row>
    <row r="2667" spans="1:13" ht="17.45" customHeight="1" x14ac:dyDescent="0.25">
      <c r="A2667" s="1">
        <f>DATE(2012,6,11)</f>
        <v>41071</v>
      </c>
      <c r="B2667" t="s">
        <v>14</v>
      </c>
      <c r="C2667" t="s">
        <v>10</v>
      </c>
      <c r="D2667" s="3">
        <v>54.872999999999998</v>
      </c>
      <c r="E2667" s="3">
        <v>0</v>
      </c>
      <c r="F2667" t="s">
        <v>45</v>
      </c>
      <c r="G2667" s="3">
        <f t="shared" si="311"/>
        <v>-54.872999999999998</v>
      </c>
      <c r="H2667" s="3">
        <f t="shared" si="312"/>
        <v>54.872999999999998</v>
      </c>
      <c r="I2667" s="5" t="str">
        <f t="shared" si="313"/>
        <v>016</v>
      </c>
      <c r="J2667" s="5" t="str">
        <f t="shared" si="314"/>
        <v>2230</v>
      </c>
      <c r="K2667" s="5" t="str">
        <f t="shared" si="315"/>
        <v>000</v>
      </c>
      <c r="L2667" s="5">
        <f t="shared" si="316"/>
        <v>6</v>
      </c>
      <c r="M2667" s="5">
        <f t="shared" si="317"/>
        <v>2012</v>
      </c>
    </row>
    <row r="2668" spans="1:13" ht="17.45" customHeight="1" x14ac:dyDescent="0.25">
      <c r="A2668" s="1">
        <f>DATE(2012,6,12)</f>
        <v>41072</v>
      </c>
      <c r="B2668" t="s">
        <v>11</v>
      </c>
      <c r="C2668" t="s">
        <v>6</v>
      </c>
      <c r="D2668" s="3">
        <v>3029.5719999999997</v>
      </c>
      <c r="E2668" s="3">
        <v>0</v>
      </c>
      <c r="F2668" t="s">
        <v>45</v>
      </c>
      <c r="G2668" s="3">
        <f t="shared" si="311"/>
        <v>-3029.5719999999997</v>
      </c>
      <c r="H2668" s="3">
        <f t="shared" si="312"/>
        <v>3029.5719999999997</v>
      </c>
      <c r="I2668" s="5" t="str">
        <f t="shared" si="313"/>
        <v>016</v>
      </c>
      <c r="J2668" s="5" t="str">
        <f t="shared" si="314"/>
        <v>2100</v>
      </c>
      <c r="K2668" s="5" t="str">
        <f t="shared" si="315"/>
        <v>000</v>
      </c>
      <c r="L2668" s="5">
        <f t="shared" si="316"/>
        <v>6</v>
      </c>
      <c r="M2668" s="5">
        <f t="shared" si="317"/>
        <v>2012</v>
      </c>
    </row>
    <row r="2669" spans="1:13" ht="17.45" customHeight="1" x14ac:dyDescent="0.25">
      <c r="A2669" s="1">
        <f>DATE(2012,6,12)</f>
        <v>41072</v>
      </c>
      <c r="B2669" t="s">
        <v>12</v>
      </c>
      <c r="C2669" t="s">
        <v>8</v>
      </c>
      <c r="D2669" s="3">
        <v>1713.0645000000002</v>
      </c>
      <c r="E2669" s="3">
        <v>0</v>
      </c>
      <c r="F2669" t="s">
        <v>45</v>
      </c>
      <c r="G2669" s="3">
        <f t="shared" si="311"/>
        <v>-1713.0645000000002</v>
      </c>
      <c r="H2669" s="3">
        <f t="shared" si="312"/>
        <v>1713.0645000000002</v>
      </c>
      <c r="I2669" s="5" t="str">
        <f t="shared" si="313"/>
        <v>016</v>
      </c>
      <c r="J2669" s="5" t="str">
        <f t="shared" si="314"/>
        <v>2210</v>
      </c>
      <c r="K2669" s="5" t="str">
        <f t="shared" si="315"/>
        <v>000</v>
      </c>
      <c r="L2669" s="5">
        <f t="shared" si="316"/>
        <v>6</v>
      </c>
      <c r="M2669" s="5">
        <f t="shared" si="317"/>
        <v>2012</v>
      </c>
    </row>
    <row r="2670" spans="1:13" ht="17.45" customHeight="1" x14ac:dyDescent="0.25">
      <c r="A2670" s="1">
        <f>DATE(2012,6,12)</f>
        <v>41072</v>
      </c>
      <c r="B2670" t="s">
        <v>13</v>
      </c>
      <c r="C2670" t="s">
        <v>9</v>
      </c>
      <c r="D2670" s="3">
        <v>583.1099999999999</v>
      </c>
      <c r="E2670" s="3">
        <v>0</v>
      </c>
      <c r="F2670" t="s">
        <v>45</v>
      </c>
      <c r="G2670" s="3">
        <f t="shared" si="311"/>
        <v>-583.1099999999999</v>
      </c>
      <c r="H2670" s="3">
        <f t="shared" si="312"/>
        <v>583.1099999999999</v>
      </c>
      <c r="I2670" s="5" t="str">
        <f t="shared" si="313"/>
        <v>016</v>
      </c>
      <c r="J2670" s="5" t="str">
        <f t="shared" si="314"/>
        <v>2220</v>
      </c>
      <c r="K2670" s="5" t="str">
        <f t="shared" si="315"/>
        <v>000</v>
      </c>
      <c r="L2670" s="5">
        <f t="shared" si="316"/>
        <v>6</v>
      </c>
      <c r="M2670" s="5">
        <f t="shared" si="317"/>
        <v>2012</v>
      </c>
    </row>
    <row r="2671" spans="1:13" ht="17.45" customHeight="1" x14ac:dyDescent="0.25">
      <c r="A2671" s="1">
        <f>DATE(2012,6,12)</f>
        <v>41072</v>
      </c>
      <c r="B2671" t="s">
        <v>14</v>
      </c>
      <c r="C2671" t="s">
        <v>10</v>
      </c>
      <c r="D2671" s="3">
        <v>112.26600000000001</v>
      </c>
      <c r="E2671" s="3">
        <v>0</v>
      </c>
      <c r="F2671" t="s">
        <v>45</v>
      </c>
      <c r="G2671" s="3">
        <f t="shared" si="311"/>
        <v>-112.26600000000001</v>
      </c>
      <c r="H2671" s="3">
        <f t="shared" si="312"/>
        <v>112.26600000000001</v>
      </c>
      <c r="I2671" s="5" t="str">
        <f t="shared" si="313"/>
        <v>016</v>
      </c>
      <c r="J2671" s="5" t="str">
        <f t="shared" si="314"/>
        <v>2230</v>
      </c>
      <c r="K2671" s="5" t="str">
        <f t="shared" si="315"/>
        <v>000</v>
      </c>
      <c r="L2671" s="5">
        <f t="shared" si="316"/>
        <v>6</v>
      </c>
      <c r="M2671" s="5">
        <f t="shared" si="317"/>
        <v>2012</v>
      </c>
    </row>
    <row r="2672" spans="1:13" ht="17.45" customHeight="1" x14ac:dyDescent="0.25">
      <c r="A2672" s="1">
        <f>DATE(2012,6,13)</f>
        <v>41073</v>
      </c>
      <c r="B2672" t="s">
        <v>11</v>
      </c>
      <c r="C2672" t="s">
        <v>6</v>
      </c>
      <c r="D2672" s="3">
        <v>2600.2673</v>
      </c>
      <c r="E2672" s="3">
        <v>0</v>
      </c>
      <c r="F2672" t="s">
        <v>45</v>
      </c>
      <c r="G2672" s="3">
        <f t="shared" si="311"/>
        <v>-2600.2673</v>
      </c>
      <c r="H2672" s="3">
        <f t="shared" si="312"/>
        <v>2600.2673</v>
      </c>
      <c r="I2672" s="5" t="str">
        <f t="shared" si="313"/>
        <v>016</v>
      </c>
      <c r="J2672" s="5" t="str">
        <f t="shared" si="314"/>
        <v>2100</v>
      </c>
      <c r="K2672" s="5" t="str">
        <f t="shared" si="315"/>
        <v>000</v>
      </c>
      <c r="L2672" s="5">
        <f t="shared" si="316"/>
        <v>6</v>
      </c>
      <c r="M2672" s="5">
        <f t="shared" si="317"/>
        <v>2012</v>
      </c>
    </row>
    <row r="2673" spans="1:13" ht="17.45" customHeight="1" x14ac:dyDescent="0.25">
      <c r="A2673" s="1">
        <f>DATE(2012,6,13)</f>
        <v>41073</v>
      </c>
      <c r="B2673" t="s">
        <v>12</v>
      </c>
      <c r="C2673" t="s">
        <v>8</v>
      </c>
      <c r="D2673" s="3">
        <v>712.23649999999998</v>
      </c>
      <c r="E2673" s="3">
        <v>0</v>
      </c>
      <c r="F2673" t="s">
        <v>45</v>
      </c>
      <c r="G2673" s="3">
        <f t="shared" si="311"/>
        <v>-712.23649999999998</v>
      </c>
      <c r="H2673" s="3">
        <f t="shared" si="312"/>
        <v>712.23649999999998</v>
      </c>
      <c r="I2673" s="5" t="str">
        <f t="shared" si="313"/>
        <v>016</v>
      </c>
      <c r="J2673" s="5" t="str">
        <f t="shared" si="314"/>
        <v>2210</v>
      </c>
      <c r="K2673" s="5" t="str">
        <f t="shared" si="315"/>
        <v>000</v>
      </c>
      <c r="L2673" s="5">
        <f t="shared" si="316"/>
        <v>6</v>
      </c>
      <c r="M2673" s="5">
        <f t="shared" si="317"/>
        <v>2012</v>
      </c>
    </row>
    <row r="2674" spans="1:13" ht="17.45" customHeight="1" x14ac:dyDescent="0.25">
      <c r="A2674" s="1">
        <f>DATE(2012,6,13)</f>
        <v>41073</v>
      </c>
      <c r="B2674" t="s">
        <v>13</v>
      </c>
      <c r="C2674" t="s">
        <v>9</v>
      </c>
      <c r="D2674" s="3">
        <v>72.503999999999991</v>
      </c>
      <c r="E2674" s="3">
        <v>0</v>
      </c>
      <c r="F2674" t="s">
        <v>45</v>
      </c>
      <c r="G2674" s="3">
        <f t="shared" si="311"/>
        <v>-72.503999999999991</v>
      </c>
      <c r="H2674" s="3">
        <f t="shared" si="312"/>
        <v>72.503999999999991</v>
      </c>
      <c r="I2674" s="5" t="str">
        <f t="shared" si="313"/>
        <v>016</v>
      </c>
      <c r="J2674" s="5" t="str">
        <f t="shared" si="314"/>
        <v>2220</v>
      </c>
      <c r="K2674" s="5" t="str">
        <f t="shared" si="315"/>
        <v>000</v>
      </c>
      <c r="L2674" s="5">
        <f t="shared" si="316"/>
        <v>6</v>
      </c>
      <c r="M2674" s="5">
        <f t="shared" si="317"/>
        <v>2012</v>
      </c>
    </row>
    <row r="2675" spans="1:13" ht="17.45" customHeight="1" x14ac:dyDescent="0.25">
      <c r="A2675" s="1">
        <f>DATE(2012,6,13)</f>
        <v>41073</v>
      </c>
      <c r="B2675" t="s">
        <v>14</v>
      </c>
      <c r="C2675" t="s">
        <v>10</v>
      </c>
      <c r="D2675" s="3">
        <v>26.112000000000002</v>
      </c>
      <c r="E2675" s="3">
        <v>0</v>
      </c>
      <c r="F2675" t="s">
        <v>45</v>
      </c>
      <c r="G2675" s="3">
        <f t="shared" si="311"/>
        <v>-26.112000000000002</v>
      </c>
      <c r="H2675" s="3">
        <f t="shared" si="312"/>
        <v>26.112000000000002</v>
      </c>
      <c r="I2675" s="5" t="str">
        <f t="shared" si="313"/>
        <v>016</v>
      </c>
      <c r="J2675" s="5" t="str">
        <f t="shared" si="314"/>
        <v>2230</v>
      </c>
      <c r="K2675" s="5" t="str">
        <f t="shared" si="315"/>
        <v>000</v>
      </c>
      <c r="L2675" s="5">
        <f t="shared" si="316"/>
        <v>6</v>
      </c>
      <c r="M2675" s="5">
        <f t="shared" si="317"/>
        <v>2012</v>
      </c>
    </row>
    <row r="2676" spans="1:13" ht="17.45" customHeight="1" x14ac:dyDescent="0.25">
      <c r="A2676" s="1">
        <f>DATE(2012,6,14)</f>
        <v>41074</v>
      </c>
      <c r="B2676" t="s">
        <v>11</v>
      </c>
      <c r="C2676" t="s">
        <v>6</v>
      </c>
      <c r="D2676" s="3">
        <v>3226.4778000000001</v>
      </c>
      <c r="E2676" s="3">
        <v>0</v>
      </c>
      <c r="F2676" t="s">
        <v>45</v>
      </c>
      <c r="G2676" s="3">
        <f t="shared" si="311"/>
        <v>-3226.4778000000001</v>
      </c>
      <c r="H2676" s="3">
        <f t="shared" si="312"/>
        <v>3226.4778000000001</v>
      </c>
      <c r="I2676" s="5" t="str">
        <f t="shared" si="313"/>
        <v>016</v>
      </c>
      <c r="J2676" s="5" t="str">
        <f t="shared" si="314"/>
        <v>2100</v>
      </c>
      <c r="K2676" s="5" t="str">
        <f t="shared" si="315"/>
        <v>000</v>
      </c>
      <c r="L2676" s="5">
        <f t="shared" si="316"/>
        <v>6</v>
      </c>
      <c r="M2676" s="5">
        <f t="shared" si="317"/>
        <v>2012</v>
      </c>
    </row>
    <row r="2677" spans="1:13" ht="17.45" customHeight="1" x14ac:dyDescent="0.25">
      <c r="A2677" s="1">
        <f>DATE(2012,6,14)</f>
        <v>41074</v>
      </c>
      <c r="B2677" t="s">
        <v>12</v>
      </c>
      <c r="C2677" t="s">
        <v>8</v>
      </c>
      <c r="D2677" s="3">
        <v>1012.7026</v>
      </c>
      <c r="E2677" s="3">
        <v>0</v>
      </c>
      <c r="F2677" t="s">
        <v>45</v>
      </c>
      <c r="G2677" s="3">
        <f t="shared" si="311"/>
        <v>-1012.7026</v>
      </c>
      <c r="H2677" s="3">
        <f t="shared" si="312"/>
        <v>1012.7026</v>
      </c>
      <c r="I2677" s="5" t="str">
        <f t="shared" si="313"/>
        <v>016</v>
      </c>
      <c r="J2677" s="5" t="str">
        <f t="shared" si="314"/>
        <v>2210</v>
      </c>
      <c r="K2677" s="5" t="str">
        <f t="shared" si="315"/>
        <v>000</v>
      </c>
      <c r="L2677" s="5">
        <f t="shared" si="316"/>
        <v>6</v>
      </c>
      <c r="M2677" s="5">
        <f t="shared" si="317"/>
        <v>2012</v>
      </c>
    </row>
    <row r="2678" spans="1:13" ht="17.45" customHeight="1" x14ac:dyDescent="0.25">
      <c r="A2678" s="1">
        <f>DATE(2012,6,14)</f>
        <v>41074</v>
      </c>
      <c r="B2678" t="s">
        <v>13</v>
      </c>
      <c r="C2678" t="s">
        <v>9</v>
      </c>
      <c r="D2678" s="3">
        <v>208.6695</v>
      </c>
      <c r="E2678" s="3">
        <v>0</v>
      </c>
      <c r="F2678" t="s">
        <v>45</v>
      </c>
      <c r="G2678" s="3">
        <f t="shared" si="311"/>
        <v>-208.6695</v>
      </c>
      <c r="H2678" s="3">
        <f t="shared" si="312"/>
        <v>208.6695</v>
      </c>
      <c r="I2678" s="5" t="str">
        <f t="shared" si="313"/>
        <v>016</v>
      </c>
      <c r="J2678" s="5" t="str">
        <f t="shared" si="314"/>
        <v>2220</v>
      </c>
      <c r="K2678" s="5" t="str">
        <f t="shared" si="315"/>
        <v>000</v>
      </c>
      <c r="L2678" s="5">
        <f t="shared" si="316"/>
        <v>6</v>
      </c>
      <c r="M2678" s="5">
        <f t="shared" si="317"/>
        <v>2012</v>
      </c>
    </row>
    <row r="2679" spans="1:13" ht="17.45" customHeight="1" x14ac:dyDescent="0.25">
      <c r="A2679" s="1">
        <f>DATE(2012,6,14)</f>
        <v>41074</v>
      </c>
      <c r="B2679" t="s">
        <v>14</v>
      </c>
      <c r="C2679" t="s">
        <v>10</v>
      </c>
      <c r="D2679" s="3">
        <v>68.875</v>
      </c>
      <c r="E2679" s="3">
        <v>0</v>
      </c>
      <c r="F2679" t="s">
        <v>45</v>
      </c>
      <c r="G2679" s="3">
        <f t="shared" si="311"/>
        <v>-68.875</v>
      </c>
      <c r="H2679" s="3">
        <f t="shared" si="312"/>
        <v>68.875</v>
      </c>
      <c r="I2679" s="5" t="str">
        <f t="shared" si="313"/>
        <v>016</v>
      </c>
      <c r="J2679" s="5" t="str">
        <f t="shared" si="314"/>
        <v>2230</v>
      </c>
      <c r="K2679" s="5" t="str">
        <f t="shared" si="315"/>
        <v>000</v>
      </c>
      <c r="L2679" s="5">
        <f t="shared" si="316"/>
        <v>6</v>
      </c>
      <c r="M2679" s="5">
        <f t="shared" si="317"/>
        <v>2012</v>
      </c>
    </row>
    <row r="2680" spans="1:13" ht="17.45" customHeight="1" x14ac:dyDescent="0.25">
      <c r="A2680" s="1">
        <f>DATE(2012,6,15)</f>
        <v>41075</v>
      </c>
      <c r="B2680" t="s">
        <v>11</v>
      </c>
      <c r="C2680" t="s">
        <v>6</v>
      </c>
      <c r="D2680" s="3">
        <v>7358.1989999999987</v>
      </c>
      <c r="E2680" s="3">
        <v>0</v>
      </c>
      <c r="F2680" t="s">
        <v>45</v>
      </c>
      <c r="G2680" s="3">
        <f t="shared" si="311"/>
        <v>-7358.1989999999987</v>
      </c>
      <c r="H2680" s="3">
        <f t="shared" si="312"/>
        <v>7358.1989999999987</v>
      </c>
      <c r="I2680" s="5" t="str">
        <f t="shared" si="313"/>
        <v>016</v>
      </c>
      <c r="J2680" s="5" t="str">
        <f t="shared" si="314"/>
        <v>2100</v>
      </c>
      <c r="K2680" s="5" t="str">
        <f t="shared" si="315"/>
        <v>000</v>
      </c>
      <c r="L2680" s="5">
        <f t="shared" si="316"/>
        <v>6</v>
      </c>
      <c r="M2680" s="5">
        <f t="shared" si="317"/>
        <v>2012</v>
      </c>
    </row>
    <row r="2681" spans="1:13" ht="17.45" customHeight="1" x14ac:dyDescent="0.25">
      <c r="A2681" s="1">
        <f>DATE(2012,6,15)</f>
        <v>41075</v>
      </c>
      <c r="B2681" t="s">
        <v>12</v>
      </c>
      <c r="C2681" t="s">
        <v>8</v>
      </c>
      <c r="D2681" s="3">
        <v>1563.4840000000002</v>
      </c>
      <c r="E2681" s="3">
        <v>0</v>
      </c>
      <c r="F2681" t="s">
        <v>45</v>
      </c>
      <c r="G2681" s="3">
        <f t="shared" si="311"/>
        <v>-1563.4840000000002</v>
      </c>
      <c r="H2681" s="3">
        <f t="shared" si="312"/>
        <v>1563.4840000000002</v>
      </c>
      <c r="I2681" s="5" t="str">
        <f t="shared" si="313"/>
        <v>016</v>
      </c>
      <c r="J2681" s="5" t="str">
        <f t="shared" si="314"/>
        <v>2210</v>
      </c>
      <c r="K2681" s="5" t="str">
        <f t="shared" si="315"/>
        <v>000</v>
      </c>
      <c r="L2681" s="5">
        <f t="shared" si="316"/>
        <v>6</v>
      </c>
      <c r="M2681" s="5">
        <f t="shared" si="317"/>
        <v>2012</v>
      </c>
    </row>
    <row r="2682" spans="1:13" ht="17.45" customHeight="1" x14ac:dyDescent="0.25">
      <c r="A2682" s="1">
        <f>DATE(2012,6,15)</f>
        <v>41075</v>
      </c>
      <c r="B2682" t="s">
        <v>13</v>
      </c>
      <c r="C2682" t="s">
        <v>9</v>
      </c>
      <c r="D2682" s="3">
        <v>288.59849999999994</v>
      </c>
      <c r="E2682" s="3">
        <v>0</v>
      </c>
      <c r="F2682" t="s">
        <v>45</v>
      </c>
      <c r="G2682" s="3">
        <f t="shared" si="311"/>
        <v>-288.59849999999994</v>
      </c>
      <c r="H2682" s="3">
        <f t="shared" si="312"/>
        <v>288.59849999999994</v>
      </c>
      <c r="I2682" s="5" t="str">
        <f t="shared" si="313"/>
        <v>016</v>
      </c>
      <c r="J2682" s="5" t="str">
        <f t="shared" si="314"/>
        <v>2220</v>
      </c>
      <c r="K2682" s="5" t="str">
        <f t="shared" si="315"/>
        <v>000</v>
      </c>
      <c r="L2682" s="5">
        <f t="shared" si="316"/>
        <v>6</v>
      </c>
      <c r="M2682" s="5">
        <f t="shared" si="317"/>
        <v>2012</v>
      </c>
    </row>
    <row r="2683" spans="1:13" ht="17.45" customHeight="1" x14ac:dyDescent="0.25">
      <c r="A2683" s="1">
        <f>DATE(2012,6,15)</f>
        <v>41075</v>
      </c>
      <c r="B2683" t="s">
        <v>14</v>
      </c>
      <c r="C2683" t="s">
        <v>10</v>
      </c>
      <c r="D2683" s="3">
        <v>52.873000000000005</v>
      </c>
      <c r="E2683" s="3">
        <v>0</v>
      </c>
      <c r="F2683" t="s">
        <v>45</v>
      </c>
      <c r="G2683" s="3">
        <f t="shared" si="311"/>
        <v>-52.873000000000005</v>
      </c>
      <c r="H2683" s="3">
        <f t="shared" si="312"/>
        <v>52.873000000000005</v>
      </c>
      <c r="I2683" s="5" t="str">
        <f t="shared" si="313"/>
        <v>016</v>
      </c>
      <c r="J2683" s="5" t="str">
        <f t="shared" si="314"/>
        <v>2230</v>
      </c>
      <c r="K2683" s="5" t="str">
        <f t="shared" si="315"/>
        <v>000</v>
      </c>
      <c r="L2683" s="5">
        <f t="shared" si="316"/>
        <v>6</v>
      </c>
      <c r="M2683" s="5">
        <f t="shared" si="317"/>
        <v>2012</v>
      </c>
    </row>
    <row r="2684" spans="1:13" ht="17.45" customHeight="1" x14ac:dyDescent="0.25">
      <c r="A2684" s="1">
        <f>DATE(2012,6,16)</f>
        <v>41076</v>
      </c>
      <c r="B2684" t="s">
        <v>11</v>
      </c>
      <c r="C2684" t="s">
        <v>6</v>
      </c>
      <c r="D2684" s="3">
        <v>9867.2163</v>
      </c>
      <c r="E2684" s="3">
        <v>0</v>
      </c>
      <c r="F2684" t="s">
        <v>45</v>
      </c>
      <c r="G2684" s="3">
        <f t="shared" si="311"/>
        <v>-9867.2163</v>
      </c>
      <c r="H2684" s="3">
        <f t="shared" si="312"/>
        <v>9867.2163</v>
      </c>
      <c r="I2684" s="5" t="str">
        <f t="shared" si="313"/>
        <v>016</v>
      </c>
      <c r="J2684" s="5" t="str">
        <f t="shared" si="314"/>
        <v>2100</v>
      </c>
      <c r="K2684" s="5" t="str">
        <f t="shared" si="315"/>
        <v>000</v>
      </c>
      <c r="L2684" s="5">
        <f t="shared" si="316"/>
        <v>6</v>
      </c>
      <c r="M2684" s="5">
        <f t="shared" si="317"/>
        <v>2012</v>
      </c>
    </row>
    <row r="2685" spans="1:13" ht="17.45" customHeight="1" x14ac:dyDescent="0.25">
      <c r="A2685" s="1">
        <f>DATE(2012,6,16)</f>
        <v>41076</v>
      </c>
      <c r="B2685" t="s">
        <v>12</v>
      </c>
      <c r="C2685" t="s">
        <v>8</v>
      </c>
      <c r="D2685" s="3">
        <v>1979.0562000000002</v>
      </c>
      <c r="E2685" s="3">
        <v>0</v>
      </c>
      <c r="F2685" t="s">
        <v>45</v>
      </c>
      <c r="G2685" s="3">
        <f t="shared" si="311"/>
        <v>-1979.0562000000002</v>
      </c>
      <c r="H2685" s="3">
        <f t="shared" si="312"/>
        <v>1979.0562000000002</v>
      </c>
      <c r="I2685" s="5" t="str">
        <f t="shared" si="313"/>
        <v>016</v>
      </c>
      <c r="J2685" s="5" t="str">
        <f t="shared" si="314"/>
        <v>2210</v>
      </c>
      <c r="K2685" s="5" t="str">
        <f t="shared" si="315"/>
        <v>000</v>
      </c>
      <c r="L2685" s="5">
        <f t="shared" si="316"/>
        <v>6</v>
      </c>
      <c r="M2685" s="5">
        <f t="shared" si="317"/>
        <v>2012</v>
      </c>
    </row>
    <row r="2686" spans="1:13" ht="17.45" customHeight="1" x14ac:dyDescent="0.25">
      <c r="A2686" s="1">
        <f>DATE(2012,6,16)</f>
        <v>41076</v>
      </c>
      <c r="B2686" t="s">
        <v>13</v>
      </c>
      <c r="C2686" t="s">
        <v>9</v>
      </c>
      <c r="D2686" s="3">
        <v>368.49329999999998</v>
      </c>
      <c r="E2686" s="3">
        <v>0</v>
      </c>
      <c r="F2686" t="s">
        <v>45</v>
      </c>
      <c r="G2686" s="3">
        <f t="shared" si="311"/>
        <v>-368.49329999999998</v>
      </c>
      <c r="H2686" s="3">
        <f t="shared" si="312"/>
        <v>368.49329999999998</v>
      </c>
      <c r="I2686" s="5" t="str">
        <f t="shared" si="313"/>
        <v>016</v>
      </c>
      <c r="J2686" s="5" t="str">
        <f t="shared" si="314"/>
        <v>2220</v>
      </c>
      <c r="K2686" s="5" t="str">
        <f t="shared" si="315"/>
        <v>000</v>
      </c>
      <c r="L2686" s="5">
        <f t="shared" si="316"/>
        <v>6</v>
      </c>
      <c r="M2686" s="5">
        <f t="shared" si="317"/>
        <v>2012</v>
      </c>
    </row>
    <row r="2687" spans="1:13" ht="17.45" customHeight="1" x14ac:dyDescent="0.25">
      <c r="A2687" s="1">
        <f>DATE(2012,6,16)</f>
        <v>41076</v>
      </c>
      <c r="B2687" t="s">
        <v>14</v>
      </c>
      <c r="C2687" t="s">
        <v>10</v>
      </c>
      <c r="D2687" s="3">
        <v>121.53899999999999</v>
      </c>
      <c r="E2687" s="3">
        <v>0</v>
      </c>
      <c r="F2687" t="s">
        <v>45</v>
      </c>
      <c r="G2687" s="3">
        <f t="shared" si="311"/>
        <v>-121.53899999999999</v>
      </c>
      <c r="H2687" s="3">
        <f t="shared" si="312"/>
        <v>121.53899999999999</v>
      </c>
      <c r="I2687" s="5" t="str">
        <f t="shared" si="313"/>
        <v>016</v>
      </c>
      <c r="J2687" s="5" t="str">
        <f t="shared" si="314"/>
        <v>2230</v>
      </c>
      <c r="K2687" s="5" t="str">
        <f t="shared" si="315"/>
        <v>000</v>
      </c>
      <c r="L2687" s="5">
        <f t="shared" si="316"/>
        <v>6</v>
      </c>
      <c r="M2687" s="5">
        <f t="shared" si="317"/>
        <v>2012</v>
      </c>
    </row>
    <row r="2688" spans="1:13" ht="17.45" customHeight="1" x14ac:dyDescent="0.25">
      <c r="A2688" s="1">
        <f>DATE(2012,6,17)</f>
        <v>41077</v>
      </c>
      <c r="B2688" t="s">
        <v>11</v>
      </c>
      <c r="C2688" t="s">
        <v>6</v>
      </c>
      <c r="D2688" s="3">
        <v>6583.5798999999997</v>
      </c>
      <c r="E2688" s="3">
        <v>0</v>
      </c>
      <c r="F2688" t="s">
        <v>45</v>
      </c>
      <c r="G2688" s="3">
        <f t="shared" si="311"/>
        <v>-6583.5798999999997</v>
      </c>
      <c r="H2688" s="3">
        <f t="shared" si="312"/>
        <v>6583.5798999999997</v>
      </c>
      <c r="I2688" s="5" t="str">
        <f t="shared" si="313"/>
        <v>016</v>
      </c>
      <c r="J2688" s="5" t="str">
        <f t="shared" si="314"/>
        <v>2100</v>
      </c>
      <c r="K2688" s="5" t="str">
        <f t="shared" si="315"/>
        <v>000</v>
      </c>
      <c r="L2688" s="5">
        <f t="shared" si="316"/>
        <v>6</v>
      </c>
      <c r="M2688" s="5">
        <f t="shared" si="317"/>
        <v>2012</v>
      </c>
    </row>
    <row r="2689" spans="1:13" ht="17.45" customHeight="1" x14ac:dyDescent="0.25">
      <c r="A2689" s="1">
        <f>DATE(2012,6,17)</f>
        <v>41077</v>
      </c>
      <c r="B2689" t="s">
        <v>12</v>
      </c>
      <c r="C2689" t="s">
        <v>8</v>
      </c>
      <c r="D2689" s="3">
        <v>1666.8267999999998</v>
      </c>
      <c r="E2689" s="3">
        <v>0</v>
      </c>
      <c r="F2689" t="s">
        <v>45</v>
      </c>
      <c r="G2689" s="3">
        <f t="shared" si="311"/>
        <v>-1666.8267999999998</v>
      </c>
      <c r="H2689" s="3">
        <f t="shared" si="312"/>
        <v>1666.8267999999998</v>
      </c>
      <c r="I2689" s="5" t="str">
        <f t="shared" si="313"/>
        <v>016</v>
      </c>
      <c r="J2689" s="5" t="str">
        <f t="shared" si="314"/>
        <v>2210</v>
      </c>
      <c r="K2689" s="5" t="str">
        <f t="shared" si="315"/>
        <v>000</v>
      </c>
      <c r="L2689" s="5">
        <f t="shared" si="316"/>
        <v>6</v>
      </c>
      <c r="M2689" s="5">
        <f t="shared" si="317"/>
        <v>2012</v>
      </c>
    </row>
    <row r="2690" spans="1:13" ht="17.45" customHeight="1" x14ac:dyDescent="0.25">
      <c r="A2690" s="1">
        <f>DATE(2012,6,17)</f>
        <v>41077</v>
      </c>
      <c r="B2690" t="s">
        <v>13</v>
      </c>
      <c r="C2690" t="s">
        <v>9</v>
      </c>
      <c r="D2690" s="3">
        <v>518.36399999999992</v>
      </c>
      <c r="E2690" s="3">
        <v>0</v>
      </c>
      <c r="F2690" t="s">
        <v>45</v>
      </c>
      <c r="G2690" s="3">
        <f t="shared" ref="G2690:G2753" si="318">E2690-D2690</f>
        <v>-518.36399999999992</v>
      </c>
      <c r="H2690" s="3">
        <f t="shared" ref="H2690:H2753" si="319">ABS(G2690)</f>
        <v>518.36399999999992</v>
      </c>
      <c r="I2690" s="5" t="str">
        <f t="shared" ref="I2690:I2753" si="320">MID(B2690,1,3)</f>
        <v>016</v>
      </c>
      <c r="J2690" s="5" t="str">
        <f t="shared" ref="J2690:J2753" si="321">MID(B2690,5,4)</f>
        <v>2220</v>
      </c>
      <c r="K2690" s="5" t="str">
        <f t="shared" ref="K2690:K2753" si="322">MID(B2690,10,3)</f>
        <v>000</v>
      </c>
      <c r="L2690" s="5">
        <f t="shared" ref="L2690:L2753" si="323">MONTH(A2690)</f>
        <v>6</v>
      </c>
      <c r="M2690" s="5">
        <f t="shared" ref="M2690:M2753" si="324">YEAR(A2690)</f>
        <v>2012</v>
      </c>
    </row>
    <row r="2691" spans="1:13" ht="17.45" customHeight="1" x14ac:dyDescent="0.25">
      <c r="A2691" s="1">
        <f>DATE(2012,6,17)</f>
        <v>41077</v>
      </c>
      <c r="B2691" t="s">
        <v>14</v>
      </c>
      <c r="C2691" t="s">
        <v>10</v>
      </c>
      <c r="D2691" s="3">
        <v>122.976</v>
      </c>
      <c r="E2691" s="3">
        <v>0</v>
      </c>
      <c r="F2691" t="s">
        <v>45</v>
      </c>
      <c r="G2691" s="3">
        <f t="shared" si="318"/>
        <v>-122.976</v>
      </c>
      <c r="H2691" s="3">
        <f t="shared" si="319"/>
        <v>122.976</v>
      </c>
      <c r="I2691" s="5" t="str">
        <f t="shared" si="320"/>
        <v>016</v>
      </c>
      <c r="J2691" s="5" t="str">
        <f t="shared" si="321"/>
        <v>2230</v>
      </c>
      <c r="K2691" s="5" t="str">
        <f t="shared" si="322"/>
        <v>000</v>
      </c>
      <c r="L2691" s="5">
        <f t="shared" si="323"/>
        <v>6</v>
      </c>
      <c r="M2691" s="5">
        <f t="shared" si="324"/>
        <v>2012</v>
      </c>
    </row>
    <row r="2692" spans="1:13" ht="17.45" customHeight="1" x14ac:dyDescent="0.25">
      <c r="A2692" s="1">
        <f>DATE(2012,6,11)</f>
        <v>41071</v>
      </c>
      <c r="B2692" t="s">
        <v>15</v>
      </c>
      <c r="C2692" t="s">
        <v>6</v>
      </c>
      <c r="D2692" s="3">
        <v>3950.3424</v>
      </c>
      <c r="E2692" s="3">
        <v>0</v>
      </c>
      <c r="F2692" t="s">
        <v>45</v>
      </c>
      <c r="G2692" s="3">
        <f t="shared" si="318"/>
        <v>-3950.3424</v>
      </c>
      <c r="H2692" s="3">
        <f t="shared" si="319"/>
        <v>3950.3424</v>
      </c>
      <c r="I2692" s="5" t="str">
        <f t="shared" si="320"/>
        <v>017</v>
      </c>
      <c r="J2692" s="5" t="str">
        <f t="shared" si="321"/>
        <v>2100</v>
      </c>
      <c r="K2692" s="5" t="str">
        <f t="shared" si="322"/>
        <v>000</v>
      </c>
      <c r="L2692" s="5">
        <f t="shared" si="323"/>
        <v>6</v>
      </c>
      <c r="M2692" s="5">
        <f t="shared" si="324"/>
        <v>2012</v>
      </c>
    </row>
    <row r="2693" spans="1:13" ht="17.45" customHeight="1" x14ac:dyDescent="0.25">
      <c r="A2693" s="1">
        <f>DATE(2012,6,11)</f>
        <v>41071</v>
      </c>
      <c r="B2693" t="s">
        <v>16</v>
      </c>
      <c r="C2693" t="s">
        <v>8</v>
      </c>
      <c r="D2693" s="3">
        <v>979.08750000000009</v>
      </c>
      <c r="E2693" s="3">
        <v>0</v>
      </c>
      <c r="F2693" t="s">
        <v>45</v>
      </c>
      <c r="G2693" s="3">
        <f t="shared" si="318"/>
        <v>-979.08750000000009</v>
      </c>
      <c r="H2693" s="3">
        <f t="shared" si="319"/>
        <v>979.08750000000009</v>
      </c>
      <c r="I2693" s="5" t="str">
        <f t="shared" si="320"/>
        <v>017</v>
      </c>
      <c r="J2693" s="5" t="str">
        <f t="shared" si="321"/>
        <v>2210</v>
      </c>
      <c r="K2693" s="5" t="str">
        <f t="shared" si="322"/>
        <v>000</v>
      </c>
      <c r="L2693" s="5">
        <f t="shared" si="323"/>
        <v>6</v>
      </c>
      <c r="M2693" s="5">
        <f t="shared" si="324"/>
        <v>2012</v>
      </c>
    </row>
    <row r="2694" spans="1:13" ht="17.45" customHeight="1" x14ac:dyDescent="0.25">
      <c r="A2694" s="1">
        <f>DATE(2012,6,11)</f>
        <v>41071</v>
      </c>
      <c r="B2694" t="s">
        <v>17</v>
      </c>
      <c r="C2694" t="s">
        <v>9</v>
      </c>
      <c r="D2694" s="3">
        <v>324.11500000000001</v>
      </c>
      <c r="E2694" s="3">
        <v>0</v>
      </c>
      <c r="F2694" t="s">
        <v>45</v>
      </c>
      <c r="G2694" s="3">
        <f t="shared" si="318"/>
        <v>-324.11500000000001</v>
      </c>
      <c r="H2694" s="3">
        <f t="shared" si="319"/>
        <v>324.11500000000001</v>
      </c>
      <c r="I2694" s="5" t="str">
        <f t="shared" si="320"/>
        <v>017</v>
      </c>
      <c r="J2694" s="5" t="str">
        <f t="shared" si="321"/>
        <v>2220</v>
      </c>
      <c r="K2694" s="5" t="str">
        <f t="shared" si="322"/>
        <v>000</v>
      </c>
      <c r="L2694" s="5">
        <f t="shared" si="323"/>
        <v>6</v>
      </c>
      <c r="M2694" s="5">
        <f t="shared" si="324"/>
        <v>2012</v>
      </c>
    </row>
    <row r="2695" spans="1:13" ht="17.45" customHeight="1" x14ac:dyDescent="0.25">
      <c r="A2695" s="1">
        <f>DATE(2012,6,11)</f>
        <v>41071</v>
      </c>
      <c r="B2695" t="s">
        <v>18</v>
      </c>
      <c r="C2695" t="s">
        <v>10</v>
      </c>
      <c r="D2695" s="3">
        <v>56.317999999999991</v>
      </c>
      <c r="E2695" s="3">
        <v>0</v>
      </c>
      <c r="F2695" t="s">
        <v>45</v>
      </c>
      <c r="G2695" s="3">
        <f t="shared" si="318"/>
        <v>-56.317999999999991</v>
      </c>
      <c r="H2695" s="3">
        <f t="shared" si="319"/>
        <v>56.317999999999991</v>
      </c>
      <c r="I2695" s="5" t="str">
        <f t="shared" si="320"/>
        <v>017</v>
      </c>
      <c r="J2695" s="5" t="str">
        <f t="shared" si="321"/>
        <v>2230</v>
      </c>
      <c r="K2695" s="5" t="str">
        <f t="shared" si="322"/>
        <v>000</v>
      </c>
      <c r="L2695" s="5">
        <f t="shared" si="323"/>
        <v>6</v>
      </c>
      <c r="M2695" s="5">
        <f t="shared" si="324"/>
        <v>2012</v>
      </c>
    </row>
    <row r="2696" spans="1:13" ht="17.45" customHeight="1" x14ac:dyDescent="0.25">
      <c r="A2696" s="1">
        <f>DATE(2012,6,12)</f>
        <v>41072</v>
      </c>
      <c r="B2696" t="s">
        <v>15</v>
      </c>
      <c r="C2696" t="s">
        <v>6</v>
      </c>
      <c r="D2696" s="3">
        <v>5242.440599999999</v>
      </c>
      <c r="E2696" s="3">
        <v>0</v>
      </c>
      <c r="F2696" t="s">
        <v>45</v>
      </c>
      <c r="G2696" s="3">
        <f t="shared" si="318"/>
        <v>-5242.440599999999</v>
      </c>
      <c r="H2696" s="3">
        <f t="shared" si="319"/>
        <v>5242.440599999999</v>
      </c>
      <c r="I2696" s="5" t="str">
        <f t="shared" si="320"/>
        <v>017</v>
      </c>
      <c r="J2696" s="5" t="str">
        <f t="shared" si="321"/>
        <v>2100</v>
      </c>
      <c r="K2696" s="5" t="str">
        <f t="shared" si="322"/>
        <v>000</v>
      </c>
      <c r="L2696" s="5">
        <f t="shared" si="323"/>
        <v>6</v>
      </c>
      <c r="M2696" s="5">
        <f t="shared" si="324"/>
        <v>2012</v>
      </c>
    </row>
    <row r="2697" spans="1:13" ht="17.45" customHeight="1" x14ac:dyDescent="0.25">
      <c r="A2697" s="1">
        <f>DATE(2012,6,12)</f>
        <v>41072</v>
      </c>
      <c r="B2697" t="s">
        <v>16</v>
      </c>
      <c r="C2697" t="s">
        <v>8</v>
      </c>
      <c r="D2697" s="3">
        <v>1191.8320000000001</v>
      </c>
      <c r="E2697" s="3">
        <v>0</v>
      </c>
      <c r="F2697" t="s">
        <v>45</v>
      </c>
      <c r="G2697" s="3">
        <f t="shared" si="318"/>
        <v>-1191.8320000000001</v>
      </c>
      <c r="H2697" s="3">
        <f t="shared" si="319"/>
        <v>1191.8320000000001</v>
      </c>
      <c r="I2697" s="5" t="str">
        <f t="shared" si="320"/>
        <v>017</v>
      </c>
      <c r="J2697" s="5" t="str">
        <f t="shared" si="321"/>
        <v>2210</v>
      </c>
      <c r="K2697" s="5" t="str">
        <f t="shared" si="322"/>
        <v>000</v>
      </c>
      <c r="L2697" s="5">
        <f t="shared" si="323"/>
        <v>6</v>
      </c>
      <c r="M2697" s="5">
        <f t="shared" si="324"/>
        <v>2012</v>
      </c>
    </row>
    <row r="2698" spans="1:13" ht="17.45" customHeight="1" x14ac:dyDescent="0.25">
      <c r="A2698" s="1">
        <f>DATE(2012,6,12)</f>
        <v>41072</v>
      </c>
      <c r="B2698" t="s">
        <v>17</v>
      </c>
      <c r="C2698" t="s">
        <v>9</v>
      </c>
      <c r="D2698" s="3">
        <v>395.77</v>
      </c>
      <c r="E2698" s="3">
        <v>0</v>
      </c>
      <c r="F2698" t="s">
        <v>45</v>
      </c>
      <c r="G2698" s="3">
        <f t="shared" si="318"/>
        <v>-395.77</v>
      </c>
      <c r="H2698" s="3">
        <f t="shared" si="319"/>
        <v>395.77</v>
      </c>
      <c r="I2698" s="5" t="str">
        <f t="shared" si="320"/>
        <v>017</v>
      </c>
      <c r="J2698" s="5" t="str">
        <f t="shared" si="321"/>
        <v>2220</v>
      </c>
      <c r="K2698" s="5" t="str">
        <f t="shared" si="322"/>
        <v>000</v>
      </c>
      <c r="L2698" s="5">
        <f t="shared" si="323"/>
        <v>6</v>
      </c>
      <c r="M2698" s="5">
        <f t="shared" si="324"/>
        <v>2012</v>
      </c>
    </row>
    <row r="2699" spans="1:13" ht="17.45" customHeight="1" x14ac:dyDescent="0.25">
      <c r="A2699" s="1">
        <f>DATE(2012,6,12)</f>
        <v>41072</v>
      </c>
      <c r="B2699" t="s">
        <v>18</v>
      </c>
      <c r="C2699" t="s">
        <v>10</v>
      </c>
      <c r="D2699" s="3">
        <v>109.836</v>
      </c>
      <c r="E2699" s="3">
        <v>0</v>
      </c>
      <c r="F2699" t="s">
        <v>45</v>
      </c>
      <c r="G2699" s="3">
        <f t="shared" si="318"/>
        <v>-109.836</v>
      </c>
      <c r="H2699" s="3">
        <f t="shared" si="319"/>
        <v>109.836</v>
      </c>
      <c r="I2699" s="5" t="str">
        <f t="shared" si="320"/>
        <v>017</v>
      </c>
      <c r="J2699" s="5" t="str">
        <f t="shared" si="321"/>
        <v>2230</v>
      </c>
      <c r="K2699" s="5" t="str">
        <f t="shared" si="322"/>
        <v>000</v>
      </c>
      <c r="L2699" s="5">
        <f t="shared" si="323"/>
        <v>6</v>
      </c>
      <c r="M2699" s="5">
        <f t="shared" si="324"/>
        <v>2012</v>
      </c>
    </row>
    <row r="2700" spans="1:13" ht="17.45" customHeight="1" x14ac:dyDescent="0.25">
      <c r="A2700" s="1">
        <f>DATE(2012,6,13)</f>
        <v>41073</v>
      </c>
      <c r="B2700" t="s">
        <v>15</v>
      </c>
      <c r="C2700" t="s">
        <v>6</v>
      </c>
      <c r="D2700" s="3">
        <v>9710.660100000001</v>
      </c>
      <c r="E2700" s="3">
        <v>0</v>
      </c>
      <c r="F2700" t="s">
        <v>45</v>
      </c>
      <c r="G2700" s="3">
        <f t="shared" si="318"/>
        <v>-9710.660100000001</v>
      </c>
      <c r="H2700" s="3">
        <f t="shared" si="319"/>
        <v>9710.660100000001</v>
      </c>
      <c r="I2700" s="5" t="str">
        <f t="shared" si="320"/>
        <v>017</v>
      </c>
      <c r="J2700" s="5" t="str">
        <f t="shared" si="321"/>
        <v>2100</v>
      </c>
      <c r="K2700" s="5" t="str">
        <f t="shared" si="322"/>
        <v>000</v>
      </c>
      <c r="L2700" s="5">
        <f t="shared" si="323"/>
        <v>6</v>
      </c>
      <c r="M2700" s="5">
        <f t="shared" si="324"/>
        <v>2012</v>
      </c>
    </row>
    <row r="2701" spans="1:13" ht="17.45" customHeight="1" x14ac:dyDescent="0.25">
      <c r="A2701" s="1">
        <f>DATE(2012,6,13)</f>
        <v>41073</v>
      </c>
      <c r="B2701" t="s">
        <v>16</v>
      </c>
      <c r="C2701" t="s">
        <v>8</v>
      </c>
      <c r="D2701" s="3">
        <v>2175.6959999999999</v>
      </c>
      <c r="E2701" s="3">
        <v>0</v>
      </c>
      <c r="F2701" t="s">
        <v>45</v>
      </c>
      <c r="G2701" s="3">
        <f t="shared" si="318"/>
        <v>-2175.6959999999999</v>
      </c>
      <c r="H2701" s="3">
        <f t="shared" si="319"/>
        <v>2175.6959999999999</v>
      </c>
      <c r="I2701" s="5" t="str">
        <f t="shared" si="320"/>
        <v>017</v>
      </c>
      <c r="J2701" s="5" t="str">
        <f t="shared" si="321"/>
        <v>2210</v>
      </c>
      <c r="K2701" s="5" t="str">
        <f t="shared" si="322"/>
        <v>000</v>
      </c>
      <c r="L2701" s="5">
        <f t="shared" si="323"/>
        <v>6</v>
      </c>
      <c r="M2701" s="5">
        <f t="shared" si="324"/>
        <v>2012</v>
      </c>
    </row>
    <row r="2702" spans="1:13" ht="17.45" customHeight="1" x14ac:dyDescent="0.25">
      <c r="A2702" s="1">
        <f>DATE(2012,6,13)</f>
        <v>41073</v>
      </c>
      <c r="B2702" t="s">
        <v>17</v>
      </c>
      <c r="C2702" t="s">
        <v>9</v>
      </c>
      <c r="D2702" s="3">
        <v>682.84999999999991</v>
      </c>
      <c r="E2702" s="3">
        <v>0</v>
      </c>
      <c r="F2702" t="s">
        <v>45</v>
      </c>
      <c r="G2702" s="3">
        <f t="shared" si="318"/>
        <v>-682.84999999999991</v>
      </c>
      <c r="H2702" s="3">
        <f t="shared" si="319"/>
        <v>682.84999999999991</v>
      </c>
      <c r="I2702" s="5" t="str">
        <f t="shared" si="320"/>
        <v>017</v>
      </c>
      <c r="J2702" s="5" t="str">
        <f t="shared" si="321"/>
        <v>2220</v>
      </c>
      <c r="K2702" s="5" t="str">
        <f t="shared" si="322"/>
        <v>000</v>
      </c>
      <c r="L2702" s="5">
        <f t="shared" si="323"/>
        <v>6</v>
      </c>
      <c r="M2702" s="5">
        <f t="shared" si="324"/>
        <v>2012</v>
      </c>
    </row>
    <row r="2703" spans="1:13" ht="17.45" customHeight="1" x14ac:dyDescent="0.25">
      <c r="A2703" s="1">
        <f>DATE(2012,6,13)</f>
        <v>41073</v>
      </c>
      <c r="B2703" t="s">
        <v>18</v>
      </c>
      <c r="C2703" t="s">
        <v>10</v>
      </c>
      <c r="D2703" s="3">
        <v>96.41500000000002</v>
      </c>
      <c r="E2703" s="3">
        <v>0</v>
      </c>
      <c r="F2703" t="s">
        <v>45</v>
      </c>
      <c r="G2703" s="3">
        <f t="shared" si="318"/>
        <v>-96.41500000000002</v>
      </c>
      <c r="H2703" s="3">
        <f t="shared" si="319"/>
        <v>96.41500000000002</v>
      </c>
      <c r="I2703" s="5" t="str">
        <f t="shared" si="320"/>
        <v>017</v>
      </c>
      <c r="J2703" s="5" t="str">
        <f t="shared" si="321"/>
        <v>2230</v>
      </c>
      <c r="K2703" s="5" t="str">
        <f t="shared" si="322"/>
        <v>000</v>
      </c>
      <c r="L2703" s="5">
        <f t="shared" si="323"/>
        <v>6</v>
      </c>
      <c r="M2703" s="5">
        <f t="shared" si="324"/>
        <v>2012</v>
      </c>
    </row>
    <row r="2704" spans="1:13" ht="17.45" customHeight="1" x14ac:dyDescent="0.25">
      <c r="A2704" s="1">
        <f t="shared" ref="A2704:A2707" si="325">DATE(2012,6,14)</f>
        <v>41074</v>
      </c>
      <c r="B2704" t="s">
        <v>15</v>
      </c>
      <c r="C2704" t="s">
        <v>6</v>
      </c>
      <c r="D2704" s="3">
        <v>5471.7780000000012</v>
      </c>
      <c r="E2704" s="3">
        <v>0</v>
      </c>
      <c r="F2704" t="s">
        <v>45</v>
      </c>
      <c r="G2704" s="3">
        <f t="shared" si="318"/>
        <v>-5471.7780000000012</v>
      </c>
      <c r="H2704" s="3">
        <f t="shared" si="319"/>
        <v>5471.7780000000012</v>
      </c>
      <c r="I2704" s="5" t="str">
        <f t="shared" si="320"/>
        <v>017</v>
      </c>
      <c r="J2704" s="5" t="str">
        <f t="shared" si="321"/>
        <v>2100</v>
      </c>
      <c r="K2704" s="5" t="str">
        <f t="shared" si="322"/>
        <v>000</v>
      </c>
      <c r="L2704" s="5">
        <f t="shared" si="323"/>
        <v>6</v>
      </c>
      <c r="M2704" s="5">
        <f t="shared" si="324"/>
        <v>2012</v>
      </c>
    </row>
    <row r="2705" spans="1:13" ht="17.45" customHeight="1" x14ac:dyDescent="0.25">
      <c r="A2705" s="1">
        <f t="shared" si="325"/>
        <v>41074</v>
      </c>
      <c r="B2705" t="s">
        <v>16</v>
      </c>
      <c r="C2705" t="s">
        <v>8</v>
      </c>
      <c r="D2705" s="3">
        <v>1619.2890000000002</v>
      </c>
      <c r="E2705" s="3">
        <v>0</v>
      </c>
      <c r="F2705" t="s">
        <v>45</v>
      </c>
      <c r="G2705" s="3">
        <f t="shared" si="318"/>
        <v>-1619.2890000000002</v>
      </c>
      <c r="H2705" s="3">
        <f t="shared" si="319"/>
        <v>1619.2890000000002</v>
      </c>
      <c r="I2705" s="5" t="str">
        <f t="shared" si="320"/>
        <v>017</v>
      </c>
      <c r="J2705" s="5" t="str">
        <f t="shared" si="321"/>
        <v>2210</v>
      </c>
      <c r="K2705" s="5" t="str">
        <f t="shared" si="322"/>
        <v>000</v>
      </c>
      <c r="L2705" s="5">
        <f t="shared" si="323"/>
        <v>6</v>
      </c>
      <c r="M2705" s="5">
        <f t="shared" si="324"/>
        <v>2012</v>
      </c>
    </row>
    <row r="2706" spans="1:13" ht="17.45" customHeight="1" x14ac:dyDescent="0.25">
      <c r="A2706" s="1">
        <f t="shared" si="325"/>
        <v>41074</v>
      </c>
      <c r="B2706" t="s">
        <v>17</v>
      </c>
      <c r="C2706" t="s">
        <v>9</v>
      </c>
      <c r="D2706" s="3">
        <v>613.80000000000007</v>
      </c>
      <c r="E2706" s="3">
        <v>0</v>
      </c>
      <c r="F2706" t="s">
        <v>45</v>
      </c>
      <c r="G2706" s="3">
        <f t="shared" si="318"/>
        <v>-613.80000000000007</v>
      </c>
      <c r="H2706" s="3">
        <f t="shared" si="319"/>
        <v>613.80000000000007</v>
      </c>
      <c r="I2706" s="5" t="str">
        <f t="shared" si="320"/>
        <v>017</v>
      </c>
      <c r="J2706" s="5" t="str">
        <f t="shared" si="321"/>
        <v>2220</v>
      </c>
      <c r="K2706" s="5" t="str">
        <f t="shared" si="322"/>
        <v>000</v>
      </c>
      <c r="L2706" s="5">
        <f t="shared" si="323"/>
        <v>6</v>
      </c>
      <c r="M2706" s="5">
        <f t="shared" si="324"/>
        <v>2012</v>
      </c>
    </row>
    <row r="2707" spans="1:13" ht="17.45" customHeight="1" x14ac:dyDescent="0.25">
      <c r="A2707" s="1">
        <f t="shared" si="325"/>
        <v>41074</v>
      </c>
      <c r="B2707" t="s">
        <v>18</v>
      </c>
      <c r="C2707" t="s">
        <v>10</v>
      </c>
      <c r="D2707" s="3">
        <v>218.07950000000002</v>
      </c>
      <c r="E2707" s="3">
        <v>0</v>
      </c>
      <c r="F2707" t="s">
        <v>45</v>
      </c>
      <c r="G2707" s="3">
        <f t="shared" si="318"/>
        <v>-218.07950000000002</v>
      </c>
      <c r="H2707" s="3">
        <f t="shared" si="319"/>
        <v>218.07950000000002</v>
      </c>
      <c r="I2707" s="5" t="str">
        <f t="shared" si="320"/>
        <v>017</v>
      </c>
      <c r="J2707" s="5" t="str">
        <f t="shared" si="321"/>
        <v>2230</v>
      </c>
      <c r="K2707" s="5" t="str">
        <f t="shared" si="322"/>
        <v>000</v>
      </c>
      <c r="L2707" s="5">
        <f t="shared" si="323"/>
        <v>6</v>
      </c>
      <c r="M2707" s="5">
        <f t="shared" si="324"/>
        <v>2012</v>
      </c>
    </row>
    <row r="2708" spans="1:13" ht="17.45" customHeight="1" x14ac:dyDescent="0.25">
      <c r="A2708" s="1">
        <f>DATE(2012,6,15)</f>
        <v>41075</v>
      </c>
      <c r="B2708" t="s">
        <v>15</v>
      </c>
      <c r="C2708" t="s">
        <v>6</v>
      </c>
      <c r="D2708" s="3">
        <v>6008.3180999999995</v>
      </c>
      <c r="E2708" s="3">
        <v>0</v>
      </c>
      <c r="F2708" t="s">
        <v>45</v>
      </c>
      <c r="G2708" s="3">
        <f t="shared" si="318"/>
        <v>-6008.3180999999995</v>
      </c>
      <c r="H2708" s="3">
        <f t="shared" si="319"/>
        <v>6008.3180999999995</v>
      </c>
      <c r="I2708" s="5" t="str">
        <f t="shared" si="320"/>
        <v>017</v>
      </c>
      <c r="J2708" s="5" t="str">
        <f t="shared" si="321"/>
        <v>2100</v>
      </c>
      <c r="K2708" s="5" t="str">
        <f t="shared" si="322"/>
        <v>000</v>
      </c>
      <c r="L2708" s="5">
        <f t="shared" si="323"/>
        <v>6</v>
      </c>
      <c r="M2708" s="5">
        <f t="shared" si="324"/>
        <v>2012</v>
      </c>
    </row>
    <row r="2709" spans="1:13" ht="17.45" customHeight="1" x14ac:dyDescent="0.25">
      <c r="A2709" s="1">
        <f>DATE(2012,6,15)</f>
        <v>41075</v>
      </c>
      <c r="B2709" t="s">
        <v>16</v>
      </c>
      <c r="C2709" t="s">
        <v>8</v>
      </c>
      <c r="D2709" s="3">
        <v>2641.6979999999999</v>
      </c>
      <c r="E2709" s="3">
        <v>0</v>
      </c>
      <c r="F2709" t="s">
        <v>45</v>
      </c>
      <c r="G2709" s="3">
        <f t="shared" si="318"/>
        <v>-2641.6979999999999</v>
      </c>
      <c r="H2709" s="3">
        <f t="shared" si="319"/>
        <v>2641.6979999999999</v>
      </c>
      <c r="I2709" s="5" t="str">
        <f t="shared" si="320"/>
        <v>017</v>
      </c>
      <c r="J2709" s="5" t="str">
        <f t="shared" si="321"/>
        <v>2210</v>
      </c>
      <c r="K2709" s="5" t="str">
        <f t="shared" si="322"/>
        <v>000</v>
      </c>
      <c r="L2709" s="5">
        <f t="shared" si="323"/>
        <v>6</v>
      </c>
      <c r="M2709" s="5">
        <f t="shared" si="324"/>
        <v>2012</v>
      </c>
    </row>
    <row r="2710" spans="1:13" ht="17.45" customHeight="1" x14ac:dyDescent="0.25">
      <c r="A2710" s="1">
        <f>DATE(2012,6,15)</f>
        <v>41075</v>
      </c>
      <c r="B2710" t="s">
        <v>17</v>
      </c>
      <c r="C2710" t="s">
        <v>9</v>
      </c>
      <c r="D2710" s="3">
        <v>496.91</v>
      </c>
      <c r="E2710" s="3">
        <v>0</v>
      </c>
      <c r="F2710" t="s">
        <v>45</v>
      </c>
      <c r="G2710" s="3">
        <f t="shared" si="318"/>
        <v>-496.91</v>
      </c>
      <c r="H2710" s="3">
        <f t="shared" si="319"/>
        <v>496.91</v>
      </c>
      <c r="I2710" s="5" t="str">
        <f t="shared" si="320"/>
        <v>017</v>
      </c>
      <c r="J2710" s="5" t="str">
        <f t="shared" si="321"/>
        <v>2220</v>
      </c>
      <c r="K2710" s="5" t="str">
        <f t="shared" si="322"/>
        <v>000</v>
      </c>
      <c r="L2710" s="5">
        <f t="shared" si="323"/>
        <v>6</v>
      </c>
      <c r="M2710" s="5">
        <f t="shared" si="324"/>
        <v>2012</v>
      </c>
    </row>
    <row r="2711" spans="1:13" ht="17.45" customHeight="1" x14ac:dyDescent="0.25">
      <c r="A2711" s="1">
        <f>DATE(2012,6,15)</f>
        <v>41075</v>
      </c>
      <c r="B2711" t="s">
        <v>18</v>
      </c>
      <c r="C2711" t="s">
        <v>10</v>
      </c>
      <c r="D2711" s="3">
        <v>126.23949999999999</v>
      </c>
      <c r="E2711" s="3">
        <v>0</v>
      </c>
      <c r="F2711" t="s">
        <v>45</v>
      </c>
      <c r="G2711" s="3">
        <f t="shared" si="318"/>
        <v>-126.23949999999999</v>
      </c>
      <c r="H2711" s="3">
        <f t="shared" si="319"/>
        <v>126.23949999999999</v>
      </c>
      <c r="I2711" s="5" t="str">
        <f t="shared" si="320"/>
        <v>017</v>
      </c>
      <c r="J2711" s="5" t="str">
        <f t="shared" si="321"/>
        <v>2230</v>
      </c>
      <c r="K2711" s="5" t="str">
        <f t="shared" si="322"/>
        <v>000</v>
      </c>
      <c r="L2711" s="5">
        <f t="shared" si="323"/>
        <v>6</v>
      </c>
      <c r="M2711" s="5">
        <f t="shared" si="324"/>
        <v>2012</v>
      </c>
    </row>
    <row r="2712" spans="1:13" ht="17.45" customHeight="1" x14ac:dyDescent="0.25">
      <c r="A2712" s="1">
        <f>DATE(2012,6,16)</f>
        <v>41076</v>
      </c>
      <c r="B2712" t="s">
        <v>15</v>
      </c>
      <c r="C2712" t="s">
        <v>6</v>
      </c>
      <c r="D2712" s="3">
        <v>4803.640800000001</v>
      </c>
      <c r="E2712" s="3">
        <v>0</v>
      </c>
      <c r="F2712" t="s">
        <v>45</v>
      </c>
      <c r="G2712" s="3">
        <f t="shared" si="318"/>
        <v>-4803.640800000001</v>
      </c>
      <c r="H2712" s="3">
        <f t="shared" si="319"/>
        <v>4803.640800000001</v>
      </c>
      <c r="I2712" s="5" t="str">
        <f t="shared" si="320"/>
        <v>017</v>
      </c>
      <c r="J2712" s="5" t="str">
        <f t="shared" si="321"/>
        <v>2100</v>
      </c>
      <c r="K2712" s="5" t="str">
        <f t="shared" si="322"/>
        <v>000</v>
      </c>
      <c r="L2712" s="5">
        <f t="shared" si="323"/>
        <v>6</v>
      </c>
      <c r="M2712" s="5">
        <f t="shared" si="324"/>
        <v>2012</v>
      </c>
    </row>
    <row r="2713" spans="1:13" ht="17.45" customHeight="1" x14ac:dyDescent="0.25">
      <c r="A2713" s="1">
        <f>DATE(2012,6,16)</f>
        <v>41076</v>
      </c>
      <c r="B2713" t="s">
        <v>16</v>
      </c>
      <c r="C2713" t="s">
        <v>8</v>
      </c>
      <c r="D2713" s="3">
        <v>3189.0909999999999</v>
      </c>
      <c r="E2713" s="3">
        <v>0</v>
      </c>
      <c r="F2713" t="s">
        <v>45</v>
      </c>
      <c r="G2713" s="3">
        <f t="shared" si="318"/>
        <v>-3189.0909999999999</v>
      </c>
      <c r="H2713" s="3">
        <f t="shared" si="319"/>
        <v>3189.0909999999999</v>
      </c>
      <c r="I2713" s="5" t="str">
        <f t="shared" si="320"/>
        <v>017</v>
      </c>
      <c r="J2713" s="5" t="str">
        <f t="shared" si="321"/>
        <v>2210</v>
      </c>
      <c r="K2713" s="5" t="str">
        <f t="shared" si="322"/>
        <v>000</v>
      </c>
      <c r="L2713" s="5">
        <f t="shared" si="323"/>
        <v>6</v>
      </c>
      <c r="M2713" s="5">
        <f t="shared" si="324"/>
        <v>2012</v>
      </c>
    </row>
    <row r="2714" spans="1:13" ht="17.45" customHeight="1" x14ac:dyDescent="0.25">
      <c r="A2714" s="1">
        <f>DATE(2012,6,16)</f>
        <v>41076</v>
      </c>
      <c r="B2714" t="s">
        <v>17</v>
      </c>
      <c r="C2714" t="s">
        <v>9</v>
      </c>
      <c r="D2714" s="3">
        <v>337.755</v>
      </c>
      <c r="E2714" s="3">
        <v>0</v>
      </c>
      <c r="F2714" t="s">
        <v>45</v>
      </c>
      <c r="G2714" s="3">
        <f t="shared" si="318"/>
        <v>-337.755</v>
      </c>
      <c r="H2714" s="3">
        <f t="shared" si="319"/>
        <v>337.755</v>
      </c>
      <c r="I2714" s="5" t="str">
        <f t="shared" si="320"/>
        <v>017</v>
      </c>
      <c r="J2714" s="5" t="str">
        <f t="shared" si="321"/>
        <v>2220</v>
      </c>
      <c r="K2714" s="5" t="str">
        <f t="shared" si="322"/>
        <v>000</v>
      </c>
      <c r="L2714" s="5">
        <f t="shared" si="323"/>
        <v>6</v>
      </c>
      <c r="M2714" s="5">
        <f t="shared" si="324"/>
        <v>2012</v>
      </c>
    </row>
    <row r="2715" spans="1:13" ht="17.45" customHeight="1" x14ac:dyDescent="0.25">
      <c r="A2715" s="1">
        <f>DATE(2012,6,16)</f>
        <v>41076</v>
      </c>
      <c r="B2715" t="s">
        <v>18</v>
      </c>
      <c r="C2715" t="s">
        <v>10</v>
      </c>
      <c r="D2715" s="3">
        <v>89.794000000000011</v>
      </c>
      <c r="E2715" s="3">
        <v>0</v>
      </c>
      <c r="F2715" t="s">
        <v>45</v>
      </c>
      <c r="G2715" s="3">
        <f t="shared" si="318"/>
        <v>-89.794000000000011</v>
      </c>
      <c r="H2715" s="3">
        <f t="shared" si="319"/>
        <v>89.794000000000011</v>
      </c>
      <c r="I2715" s="5" t="str">
        <f t="shared" si="320"/>
        <v>017</v>
      </c>
      <c r="J2715" s="5" t="str">
        <f t="shared" si="321"/>
        <v>2230</v>
      </c>
      <c r="K2715" s="5" t="str">
        <f t="shared" si="322"/>
        <v>000</v>
      </c>
      <c r="L2715" s="5">
        <f t="shared" si="323"/>
        <v>6</v>
      </c>
      <c r="M2715" s="5">
        <f t="shared" si="324"/>
        <v>2012</v>
      </c>
    </row>
    <row r="2716" spans="1:13" ht="17.45" customHeight="1" x14ac:dyDescent="0.25">
      <c r="A2716" s="1">
        <f>DATE(2012,6,17)</f>
        <v>41077</v>
      </c>
      <c r="B2716" t="s">
        <v>15</v>
      </c>
      <c r="C2716" t="s">
        <v>6</v>
      </c>
      <c r="D2716" s="3">
        <v>5361.78</v>
      </c>
      <c r="E2716" s="3">
        <v>0</v>
      </c>
      <c r="F2716" t="s">
        <v>45</v>
      </c>
      <c r="G2716" s="3">
        <f t="shared" si="318"/>
        <v>-5361.78</v>
      </c>
      <c r="H2716" s="3">
        <f t="shared" si="319"/>
        <v>5361.78</v>
      </c>
      <c r="I2716" s="5" t="str">
        <f t="shared" si="320"/>
        <v>017</v>
      </c>
      <c r="J2716" s="5" t="str">
        <f t="shared" si="321"/>
        <v>2100</v>
      </c>
      <c r="K2716" s="5" t="str">
        <f t="shared" si="322"/>
        <v>000</v>
      </c>
      <c r="L2716" s="5">
        <f t="shared" si="323"/>
        <v>6</v>
      </c>
      <c r="M2716" s="5">
        <f t="shared" si="324"/>
        <v>2012</v>
      </c>
    </row>
    <row r="2717" spans="1:13" ht="17.45" customHeight="1" x14ac:dyDescent="0.25">
      <c r="A2717" s="1">
        <f>DATE(2012,6,17)</f>
        <v>41077</v>
      </c>
      <c r="B2717" t="s">
        <v>16</v>
      </c>
      <c r="C2717" t="s">
        <v>8</v>
      </c>
      <c r="D2717" s="3">
        <v>968.65649999999982</v>
      </c>
      <c r="E2717" s="3">
        <v>0</v>
      </c>
      <c r="F2717" t="s">
        <v>45</v>
      </c>
      <c r="G2717" s="3">
        <f t="shared" si="318"/>
        <v>-968.65649999999982</v>
      </c>
      <c r="H2717" s="3">
        <f t="shared" si="319"/>
        <v>968.65649999999982</v>
      </c>
      <c r="I2717" s="5" t="str">
        <f t="shared" si="320"/>
        <v>017</v>
      </c>
      <c r="J2717" s="5" t="str">
        <f t="shared" si="321"/>
        <v>2210</v>
      </c>
      <c r="K2717" s="5" t="str">
        <f t="shared" si="322"/>
        <v>000</v>
      </c>
      <c r="L2717" s="5">
        <f t="shared" si="323"/>
        <v>6</v>
      </c>
      <c r="M2717" s="5">
        <f t="shared" si="324"/>
        <v>2012</v>
      </c>
    </row>
    <row r="2718" spans="1:13" ht="17.45" customHeight="1" x14ac:dyDescent="0.25">
      <c r="A2718" s="1">
        <f>DATE(2012,6,17)</f>
        <v>41077</v>
      </c>
      <c r="B2718" t="s">
        <v>17</v>
      </c>
      <c r="C2718" t="s">
        <v>9</v>
      </c>
      <c r="D2718" s="3">
        <v>278.95999999999998</v>
      </c>
      <c r="E2718" s="3">
        <v>0</v>
      </c>
      <c r="F2718" t="s">
        <v>45</v>
      </c>
      <c r="G2718" s="3">
        <f t="shared" si="318"/>
        <v>-278.95999999999998</v>
      </c>
      <c r="H2718" s="3">
        <f t="shared" si="319"/>
        <v>278.95999999999998</v>
      </c>
      <c r="I2718" s="5" t="str">
        <f t="shared" si="320"/>
        <v>017</v>
      </c>
      <c r="J2718" s="5" t="str">
        <f t="shared" si="321"/>
        <v>2220</v>
      </c>
      <c r="K2718" s="5" t="str">
        <f t="shared" si="322"/>
        <v>000</v>
      </c>
      <c r="L2718" s="5">
        <f t="shared" si="323"/>
        <v>6</v>
      </c>
      <c r="M2718" s="5">
        <f t="shared" si="324"/>
        <v>2012</v>
      </c>
    </row>
    <row r="2719" spans="1:13" ht="17.45" customHeight="1" x14ac:dyDescent="0.25">
      <c r="A2719" s="1">
        <f>DATE(2012,6,17)</f>
        <v>41077</v>
      </c>
      <c r="B2719" t="s">
        <v>18</v>
      </c>
      <c r="C2719" t="s">
        <v>10</v>
      </c>
      <c r="D2719" s="3">
        <v>63.619500000000002</v>
      </c>
      <c r="E2719" s="3">
        <v>0</v>
      </c>
      <c r="F2719" t="s">
        <v>45</v>
      </c>
      <c r="G2719" s="3">
        <f t="shared" si="318"/>
        <v>-63.619500000000002</v>
      </c>
      <c r="H2719" s="3">
        <f t="shared" si="319"/>
        <v>63.619500000000002</v>
      </c>
      <c r="I2719" s="5" t="str">
        <f t="shared" si="320"/>
        <v>017</v>
      </c>
      <c r="J2719" s="5" t="str">
        <f t="shared" si="321"/>
        <v>2230</v>
      </c>
      <c r="K2719" s="5" t="str">
        <f t="shared" si="322"/>
        <v>000</v>
      </c>
      <c r="L2719" s="5">
        <f t="shared" si="323"/>
        <v>6</v>
      </c>
      <c r="M2719" s="5">
        <f t="shared" si="324"/>
        <v>2012</v>
      </c>
    </row>
    <row r="2720" spans="1:13" ht="17.45" customHeight="1" x14ac:dyDescent="0.25">
      <c r="A2720" s="1">
        <f>DATE(2012,6,11)</f>
        <v>41071</v>
      </c>
      <c r="B2720" t="s">
        <v>19</v>
      </c>
      <c r="C2720" t="s">
        <v>6</v>
      </c>
      <c r="D2720" s="3">
        <v>4810.9189999999999</v>
      </c>
      <c r="E2720" s="3">
        <v>0</v>
      </c>
      <c r="F2720" t="s">
        <v>45</v>
      </c>
      <c r="G2720" s="3">
        <f t="shared" si="318"/>
        <v>-4810.9189999999999</v>
      </c>
      <c r="H2720" s="3">
        <f t="shared" si="319"/>
        <v>4810.9189999999999</v>
      </c>
      <c r="I2720" s="5" t="str">
        <f t="shared" si="320"/>
        <v>018</v>
      </c>
      <c r="J2720" s="5" t="str">
        <f t="shared" si="321"/>
        <v>2100</v>
      </c>
      <c r="K2720" s="5" t="str">
        <f t="shared" si="322"/>
        <v>000</v>
      </c>
      <c r="L2720" s="5">
        <f t="shared" si="323"/>
        <v>6</v>
      </c>
      <c r="M2720" s="5">
        <f t="shared" si="324"/>
        <v>2012</v>
      </c>
    </row>
    <row r="2721" spans="1:13" ht="17.45" customHeight="1" x14ac:dyDescent="0.25">
      <c r="A2721" s="1">
        <f>DATE(2012,6,11)</f>
        <v>41071</v>
      </c>
      <c r="B2721" t="s">
        <v>20</v>
      </c>
      <c r="C2721" t="s">
        <v>8</v>
      </c>
      <c r="D2721" s="3">
        <v>946.04399999999998</v>
      </c>
      <c r="E2721" s="3">
        <v>0</v>
      </c>
      <c r="F2721" t="s">
        <v>45</v>
      </c>
      <c r="G2721" s="3">
        <f t="shared" si="318"/>
        <v>-946.04399999999998</v>
      </c>
      <c r="H2721" s="3">
        <f t="shared" si="319"/>
        <v>946.04399999999998</v>
      </c>
      <c r="I2721" s="5" t="str">
        <f t="shared" si="320"/>
        <v>018</v>
      </c>
      <c r="J2721" s="5" t="str">
        <f t="shared" si="321"/>
        <v>2210</v>
      </c>
      <c r="K2721" s="5" t="str">
        <f t="shared" si="322"/>
        <v>000</v>
      </c>
      <c r="L2721" s="5">
        <f t="shared" si="323"/>
        <v>6</v>
      </c>
      <c r="M2721" s="5">
        <f t="shared" si="324"/>
        <v>2012</v>
      </c>
    </row>
    <row r="2722" spans="1:13" ht="17.45" customHeight="1" x14ac:dyDescent="0.25">
      <c r="A2722" s="1">
        <f>DATE(2012,6,11)</f>
        <v>41071</v>
      </c>
      <c r="B2722" t="s">
        <v>21</v>
      </c>
      <c r="C2722" t="s">
        <v>9</v>
      </c>
      <c r="D2722" s="3">
        <v>128.34900000000002</v>
      </c>
      <c r="E2722" s="3">
        <v>0</v>
      </c>
      <c r="F2722" t="s">
        <v>45</v>
      </c>
      <c r="G2722" s="3">
        <f t="shared" si="318"/>
        <v>-128.34900000000002</v>
      </c>
      <c r="H2722" s="3">
        <f t="shared" si="319"/>
        <v>128.34900000000002</v>
      </c>
      <c r="I2722" s="5" t="str">
        <f t="shared" si="320"/>
        <v>018</v>
      </c>
      <c r="J2722" s="5" t="str">
        <f t="shared" si="321"/>
        <v>2220</v>
      </c>
      <c r="K2722" s="5" t="str">
        <f t="shared" si="322"/>
        <v>000</v>
      </c>
      <c r="L2722" s="5">
        <f t="shared" si="323"/>
        <v>6</v>
      </c>
      <c r="M2722" s="5">
        <f t="shared" si="324"/>
        <v>2012</v>
      </c>
    </row>
    <row r="2723" spans="1:13" ht="17.45" customHeight="1" x14ac:dyDescent="0.25">
      <c r="A2723" s="1">
        <f>DATE(2012,6,11)</f>
        <v>41071</v>
      </c>
      <c r="B2723" t="s">
        <v>22</v>
      </c>
      <c r="C2723" t="s">
        <v>10</v>
      </c>
      <c r="D2723" s="3">
        <v>103.83499999999999</v>
      </c>
      <c r="E2723" s="3">
        <v>0</v>
      </c>
      <c r="F2723" t="s">
        <v>45</v>
      </c>
      <c r="G2723" s="3">
        <f t="shared" si="318"/>
        <v>-103.83499999999999</v>
      </c>
      <c r="H2723" s="3">
        <f t="shared" si="319"/>
        <v>103.83499999999999</v>
      </c>
      <c r="I2723" s="5" t="str">
        <f t="shared" si="320"/>
        <v>018</v>
      </c>
      <c r="J2723" s="5" t="str">
        <f t="shared" si="321"/>
        <v>2230</v>
      </c>
      <c r="K2723" s="5" t="str">
        <f t="shared" si="322"/>
        <v>000</v>
      </c>
      <c r="L2723" s="5">
        <f t="shared" si="323"/>
        <v>6</v>
      </c>
      <c r="M2723" s="5">
        <f t="shared" si="324"/>
        <v>2012</v>
      </c>
    </row>
    <row r="2724" spans="1:13" ht="17.45" customHeight="1" x14ac:dyDescent="0.25">
      <c r="A2724" s="1">
        <f>DATE(2012,6,12)</f>
        <v>41072</v>
      </c>
      <c r="B2724" t="s">
        <v>19</v>
      </c>
      <c r="C2724" t="s">
        <v>6</v>
      </c>
      <c r="D2724" s="3">
        <v>6331.0127999999995</v>
      </c>
      <c r="E2724" s="3">
        <v>0</v>
      </c>
      <c r="F2724" t="s">
        <v>45</v>
      </c>
      <c r="G2724" s="3">
        <f t="shared" si="318"/>
        <v>-6331.0127999999995</v>
      </c>
      <c r="H2724" s="3">
        <f t="shared" si="319"/>
        <v>6331.0127999999995</v>
      </c>
      <c r="I2724" s="5" t="str">
        <f t="shared" si="320"/>
        <v>018</v>
      </c>
      <c r="J2724" s="5" t="str">
        <f t="shared" si="321"/>
        <v>2100</v>
      </c>
      <c r="K2724" s="5" t="str">
        <f t="shared" si="322"/>
        <v>000</v>
      </c>
      <c r="L2724" s="5">
        <f t="shared" si="323"/>
        <v>6</v>
      </c>
      <c r="M2724" s="5">
        <f t="shared" si="324"/>
        <v>2012</v>
      </c>
    </row>
    <row r="2725" spans="1:13" ht="17.45" customHeight="1" x14ac:dyDescent="0.25">
      <c r="A2725" s="1">
        <f>DATE(2012,6,12)</f>
        <v>41072</v>
      </c>
      <c r="B2725" t="s">
        <v>20</v>
      </c>
      <c r="C2725" t="s">
        <v>8</v>
      </c>
      <c r="D2725" s="3">
        <v>812.83100000000013</v>
      </c>
      <c r="E2725" s="3">
        <v>0</v>
      </c>
      <c r="F2725" t="s">
        <v>45</v>
      </c>
      <c r="G2725" s="3">
        <f t="shared" si="318"/>
        <v>-812.83100000000013</v>
      </c>
      <c r="H2725" s="3">
        <f t="shared" si="319"/>
        <v>812.83100000000013</v>
      </c>
      <c r="I2725" s="5" t="str">
        <f t="shared" si="320"/>
        <v>018</v>
      </c>
      <c r="J2725" s="5" t="str">
        <f t="shared" si="321"/>
        <v>2210</v>
      </c>
      <c r="K2725" s="5" t="str">
        <f t="shared" si="322"/>
        <v>000</v>
      </c>
      <c r="L2725" s="5">
        <f t="shared" si="323"/>
        <v>6</v>
      </c>
      <c r="M2725" s="5">
        <f t="shared" si="324"/>
        <v>2012</v>
      </c>
    </row>
    <row r="2726" spans="1:13" ht="17.45" customHeight="1" x14ac:dyDescent="0.25">
      <c r="A2726" s="1">
        <f>DATE(2012,6,12)</f>
        <v>41072</v>
      </c>
      <c r="B2726" t="s">
        <v>21</v>
      </c>
      <c r="C2726" t="s">
        <v>9</v>
      </c>
      <c r="D2726" s="3">
        <v>165.2825</v>
      </c>
      <c r="E2726" s="3">
        <v>0</v>
      </c>
      <c r="F2726" t="s">
        <v>45</v>
      </c>
      <c r="G2726" s="3">
        <f t="shared" si="318"/>
        <v>-165.2825</v>
      </c>
      <c r="H2726" s="3">
        <f t="shared" si="319"/>
        <v>165.2825</v>
      </c>
      <c r="I2726" s="5" t="str">
        <f t="shared" si="320"/>
        <v>018</v>
      </c>
      <c r="J2726" s="5" t="str">
        <f t="shared" si="321"/>
        <v>2220</v>
      </c>
      <c r="K2726" s="5" t="str">
        <f t="shared" si="322"/>
        <v>000</v>
      </c>
      <c r="L2726" s="5">
        <f t="shared" si="323"/>
        <v>6</v>
      </c>
      <c r="M2726" s="5">
        <f t="shared" si="324"/>
        <v>2012</v>
      </c>
    </row>
    <row r="2727" spans="1:13" ht="17.45" customHeight="1" x14ac:dyDescent="0.25">
      <c r="A2727" s="1">
        <f>DATE(2012,6,12)</f>
        <v>41072</v>
      </c>
      <c r="B2727" t="s">
        <v>22</v>
      </c>
      <c r="C2727" t="s">
        <v>10</v>
      </c>
      <c r="D2727" s="3">
        <v>97.3245</v>
      </c>
      <c r="E2727" s="3">
        <v>0</v>
      </c>
      <c r="F2727" t="s">
        <v>45</v>
      </c>
      <c r="G2727" s="3">
        <f t="shared" si="318"/>
        <v>-97.3245</v>
      </c>
      <c r="H2727" s="3">
        <f t="shared" si="319"/>
        <v>97.3245</v>
      </c>
      <c r="I2727" s="5" t="str">
        <f t="shared" si="320"/>
        <v>018</v>
      </c>
      <c r="J2727" s="5" t="str">
        <f t="shared" si="321"/>
        <v>2230</v>
      </c>
      <c r="K2727" s="5" t="str">
        <f t="shared" si="322"/>
        <v>000</v>
      </c>
      <c r="L2727" s="5">
        <f t="shared" si="323"/>
        <v>6</v>
      </c>
      <c r="M2727" s="5">
        <f t="shared" si="324"/>
        <v>2012</v>
      </c>
    </row>
    <row r="2728" spans="1:13" ht="17.45" customHeight="1" x14ac:dyDescent="0.25">
      <c r="A2728" s="1">
        <f>DATE(2012,6,13)</f>
        <v>41073</v>
      </c>
      <c r="B2728" t="s">
        <v>19</v>
      </c>
      <c r="C2728" t="s">
        <v>6</v>
      </c>
      <c r="D2728" s="3">
        <v>6147.0374999999995</v>
      </c>
      <c r="E2728" s="3">
        <v>0</v>
      </c>
      <c r="F2728" t="s">
        <v>45</v>
      </c>
      <c r="G2728" s="3">
        <f t="shared" si="318"/>
        <v>-6147.0374999999995</v>
      </c>
      <c r="H2728" s="3">
        <f t="shared" si="319"/>
        <v>6147.0374999999995</v>
      </c>
      <c r="I2728" s="5" t="str">
        <f t="shared" si="320"/>
        <v>018</v>
      </c>
      <c r="J2728" s="5" t="str">
        <f t="shared" si="321"/>
        <v>2100</v>
      </c>
      <c r="K2728" s="5" t="str">
        <f t="shared" si="322"/>
        <v>000</v>
      </c>
      <c r="L2728" s="5">
        <f t="shared" si="323"/>
        <v>6</v>
      </c>
      <c r="M2728" s="5">
        <f t="shared" si="324"/>
        <v>2012</v>
      </c>
    </row>
    <row r="2729" spans="1:13" ht="17.45" customHeight="1" x14ac:dyDescent="0.25">
      <c r="A2729" s="1">
        <f>DATE(2012,6,13)</f>
        <v>41073</v>
      </c>
      <c r="B2729" t="s">
        <v>20</v>
      </c>
      <c r="C2729" t="s">
        <v>8</v>
      </c>
      <c r="D2729" s="3">
        <v>977.52149999999995</v>
      </c>
      <c r="E2729" s="3">
        <v>0</v>
      </c>
      <c r="F2729" t="s">
        <v>45</v>
      </c>
      <c r="G2729" s="3">
        <f t="shared" si="318"/>
        <v>-977.52149999999995</v>
      </c>
      <c r="H2729" s="3">
        <f t="shared" si="319"/>
        <v>977.52149999999995</v>
      </c>
      <c r="I2729" s="5" t="str">
        <f t="shared" si="320"/>
        <v>018</v>
      </c>
      <c r="J2729" s="5" t="str">
        <f t="shared" si="321"/>
        <v>2210</v>
      </c>
      <c r="K2729" s="5" t="str">
        <f t="shared" si="322"/>
        <v>000</v>
      </c>
      <c r="L2729" s="5">
        <f t="shared" si="323"/>
        <v>6</v>
      </c>
      <c r="M2729" s="5">
        <f t="shared" si="324"/>
        <v>2012</v>
      </c>
    </row>
    <row r="2730" spans="1:13" ht="17.45" customHeight="1" x14ac:dyDescent="0.25">
      <c r="A2730" s="1">
        <f>DATE(2012,6,13)</f>
        <v>41073</v>
      </c>
      <c r="B2730" t="s">
        <v>21</v>
      </c>
      <c r="C2730" t="s">
        <v>9</v>
      </c>
      <c r="D2730" s="3">
        <v>179.304</v>
      </c>
      <c r="E2730" s="3">
        <v>0</v>
      </c>
      <c r="F2730" t="s">
        <v>45</v>
      </c>
      <c r="G2730" s="3">
        <f t="shared" si="318"/>
        <v>-179.304</v>
      </c>
      <c r="H2730" s="3">
        <f t="shared" si="319"/>
        <v>179.304</v>
      </c>
      <c r="I2730" s="5" t="str">
        <f t="shared" si="320"/>
        <v>018</v>
      </c>
      <c r="J2730" s="5" t="str">
        <f t="shared" si="321"/>
        <v>2220</v>
      </c>
      <c r="K2730" s="5" t="str">
        <f t="shared" si="322"/>
        <v>000</v>
      </c>
      <c r="L2730" s="5">
        <f t="shared" si="323"/>
        <v>6</v>
      </c>
      <c r="M2730" s="5">
        <f t="shared" si="324"/>
        <v>2012</v>
      </c>
    </row>
    <row r="2731" spans="1:13" ht="17.45" customHeight="1" x14ac:dyDescent="0.25">
      <c r="A2731" s="1">
        <f>DATE(2012,6,13)</f>
        <v>41073</v>
      </c>
      <c r="B2731" t="s">
        <v>22</v>
      </c>
      <c r="C2731" t="s">
        <v>10</v>
      </c>
      <c r="D2731" s="3">
        <v>93.72999999999999</v>
      </c>
      <c r="E2731" s="3">
        <v>0</v>
      </c>
      <c r="F2731" t="s">
        <v>45</v>
      </c>
      <c r="G2731" s="3">
        <f t="shared" si="318"/>
        <v>-93.72999999999999</v>
      </c>
      <c r="H2731" s="3">
        <f t="shared" si="319"/>
        <v>93.72999999999999</v>
      </c>
      <c r="I2731" s="5" t="str">
        <f t="shared" si="320"/>
        <v>018</v>
      </c>
      <c r="J2731" s="5" t="str">
        <f t="shared" si="321"/>
        <v>2230</v>
      </c>
      <c r="K2731" s="5" t="str">
        <f t="shared" si="322"/>
        <v>000</v>
      </c>
      <c r="L2731" s="5">
        <f t="shared" si="323"/>
        <v>6</v>
      </c>
      <c r="M2731" s="5">
        <f t="shared" si="324"/>
        <v>2012</v>
      </c>
    </row>
    <row r="2732" spans="1:13" ht="17.45" customHeight="1" x14ac:dyDescent="0.25">
      <c r="A2732" s="1">
        <f>DATE(2012,6,14)</f>
        <v>41074</v>
      </c>
      <c r="B2732" t="s">
        <v>19</v>
      </c>
      <c r="C2732" t="s">
        <v>6</v>
      </c>
      <c r="D2732" s="3">
        <v>9451.6365000000005</v>
      </c>
      <c r="E2732" s="3">
        <v>0</v>
      </c>
      <c r="F2732" t="s">
        <v>45</v>
      </c>
      <c r="G2732" s="3">
        <f t="shared" si="318"/>
        <v>-9451.6365000000005</v>
      </c>
      <c r="H2732" s="3">
        <f t="shared" si="319"/>
        <v>9451.6365000000005</v>
      </c>
      <c r="I2732" s="5" t="str">
        <f t="shared" si="320"/>
        <v>018</v>
      </c>
      <c r="J2732" s="5" t="str">
        <f t="shared" si="321"/>
        <v>2100</v>
      </c>
      <c r="K2732" s="5" t="str">
        <f t="shared" si="322"/>
        <v>000</v>
      </c>
      <c r="L2732" s="5">
        <f t="shared" si="323"/>
        <v>6</v>
      </c>
      <c r="M2732" s="5">
        <f t="shared" si="324"/>
        <v>2012</v>
      </c>
    </row>
    <row r="2733" spans="1:13" ht="17.45" customHeight="1" x14ac:dyDescent="0.25">
      <c r="A2733" s="1">
        <f>DATE(2012,6,14)</f>
        <v>41074</v>
      </c>
      <c r="B2733" t="s">
        <v>20</v>
      </c>
      <c r="C2733" t="s">
        <v>8</v>
      </c>
      <c r="D2733" s="3">
        <v>1795.2624999999998</v>
      </c>
      <c r="E2733" s="3">
        <v>0</v>
      </c>
      <c r="F2733" t="s">
        <v>45</v>
      </c>
      <c r="G2733" s="3">
        <f t="shared" si="318"/>
        <v>-1795.2624999999998</v>
      </c>
      <c r="H2733" s="3">
        <f t="shared" si="319"/>
        <v>1795.2624999999998</v>
      </c>
      <c r="I2733" s="5" t="str">
        <f t="shared" si="320"/>
        <v>018</v>
      </c>
      <c r="J2733" s="5" t="str">
        <f t="shared" si="321"/>
        <v>2210</v>
      </c>
      <c r="K2733" s="5" t="str">
        <f t="shared" si="322"/>
        <v>000</v>
      </c>
      <c r="L2733" s="5">
        <f t="shared" si="323"/>
        <v>6</v>
      </c>
      <c r="M2733" s="5">
        <f t="shared" si="324"/>
        <v>2012</v>
      </c>
    </row>
    <row r="2734" spans="1:13" ht="17.45" customHeight="1" x14ac:dyDescent="0.25">
      <c r="A2734" s="1">
        <f>DATE(2012,6,14)</f>
        <v>41074</v>
      </c>
      <c r="B2734" t="s">
        <v>21</v>
      </c>
      <c r="C2734" t="s">
        <v>9</v>
      </c>
      <c r="D2734" s="3">
        <v>461.08250000000004</v>
      </c>
      <c r="E2734" s="3">
        <v>0</v>
      </c>
      <c r="F2734" t="s">
        <v>45</v>
      </c>
      <c r="G2734" s="3">
        <f t="shared" si="318"/>
        <v>-461.08250000000004</v>
      </c>
      <c r="H2734" s="3">
        <f t="shared" si="319"/>
        <v>461.08250000000004</v>
      </c>
      <c r="I2734" s="5" t="str">
        <f t="shared" si="320"/>
        <v>018</v>
      </c>
      <c r="J2734" s="5" t="str">
        <f t="shared" si="321"/>
        <v>2220</v>
      </c>
      <c r="K2734" s="5" t="str">
        <f t="shared" si="322"/>
        <v>000</v>
      </c>
      <c r="L2734" s="5">
        <f t="shared" si="323"/>
        <v>6</v>
      </c>
      <c r="M2734" s="5">
        <f t="shared" si="324"/>
        <v>2012</v>
      </c>
    </row>
    <row r="2735" spans="1:13" ht="17.45" customHeight="1" x14ac:dyDescent="0.25">
      <c r="A2735" s="1">
        <f>DATE(2012,6,14)</f>
        <v>41074</v>
      </c>
      <c r="B2735" t="s">
        <v>22</v>
      </c>
      <c r="C2735" t="s">
        <v>10</v>
      </c>
      <c r="D2735" s="3">
        <v>33.198500000000003</v>
      </c>
      <c r="E2735" s="3">
        <v>0</v>
      </c>
      <c r="F2735" t="s">
        <v>45</v>
      </c>
      <c r="G2735" s="3">
        <f t="shared" si="318"/>
        <v>-33.198500000000003</v>
      </c>
      <c r="H2735" s="3">
        <f t="shared" si="319"/>
        <v>33.198500000000003</v>
      </c>
      <c r="I2735" s="5" t="str">
        <f t="shared" si="320"/>
        <v>018</v>
      </c>
      <c r="J2735" s="5" t="str">
        <f t="shared" si="321"/>
        <v>2230</v>
      </c>
      <c r="K2735" s="5" t="str">
        <f t="shared" si="322"/>
        <v>000</v>
      </c>
      <c r="L2735" s="5">
        <f t="shared" si="323"/>
        <v>6</v>
      </c>
      <c r="M2735" s="5">
        <f t="shared" si="324"/>
        <v>2012</v>
      </c>
    </row>
    <row r="2736" spans="1:13" ht="17.45" customHeight="1" x14ac:dyDescent="0.25">
      <c r="A2736" s="1">
        <f>DATE(2012,6,15)</f>
        <v>41075</v>
      </c>
      <c r="B2736" t="s">
        <v>19</v>
      </c>
      <c r="C2736" t="s">
        <v>6</v>
      </c>
      <c r="D2736" s="3">
        <v>15617.737800000001</v>
      </c>
      <c r="E2736" s="3">
        <v>0</v>
      </c>
      <c r="F2736" t="s">
        <v>45</v>
      </c>
      <c r="G2736" s="3">
        <f t="shared" si="318"/>
        <v>-15617.737800000001</v>
      </c>
      <c r="H2736" s="3">
        <f t="shared" si="319"/>
        <v>15617.737800000001</v>
      </c>
      <c r="I2736" s="5" t="str">
        <f t="shared" si="320"/>
        <v>018</v>
      </c>
      <c r="J2736" s="5" t="str">
        <f t="shared" si="321"/>
        <v>2100</v>
      </c>
      <c r="K2736" s="5" t="str">
        <f t="shared" si="322"/>
        <v>000</v>
      </c>
      <c r="L2736" s="5">
        <f t="shared" si="323"/>
        <v>6</v>
      </c>
      <c r="M2736" s="5">
        <f t="shared" si="324"/>
        <v>2012</v>
      </c>
    </row>
    <row r="2737" spans="1:13" ht="17.45" customHeight="1" x14ac:dyDescent="0.25">
      <c r="A2737" s="1">
        <f>DATE(2012,6,15)</f>
        <v>41075</v>
      </c>
      <c r="B2737" t="s">
        <v>20</v>
      </c>
      <c r="C2737" t="s">
        <v>8</v>
      </c>
      <c r="D2737" s="3">
        <v>3705.6779999999999</v>
      </c>
      <c r="E2737" s="3">
        <v>0</v>
      </c>
      <c r="F2737" t="s">
        <v>45</v>
      </c>
      <c r="G2737" s="3">
        <f t="shared" si="318"/>
        <v>-3705.6779999999999</v>
      </c>
      <c r="H2737" s="3">
        <f t="shared" si="319"/>
        <v>3705.6779999999999</v>
      </c>
      <c r="I2737" s="5" t="str">
        <f t="shared" si="320"/>
        <v>018</v>
      </c>
      <c r="J2737" s="5" t="str">
        <f t="shared" si="321"/>
        <v>2210</v>
      </c>
      <c r="K2737" s="5" t="str">
        <f t="shared" si="322"/>
        <v>000</v>
      </c>
      <c r="L2737" s="5">
        <f t="shared" si="323"/>
        <v>6</v>
      </c>
      <c r="M2737" s="5">
        <f t="shared" si="324"/>
        <v>2012</v>
      </c>
    </row>
    <row r="2738" spans="1:13" ht="17.45" customHeight="1" x14ac:dyDescent="0.25">
      <c r="A2738" s="1">
        <f>DATE(2012,6,15)</f>
        <v>41075</v>
      </c>
      <c r="B2738" t="s">
        <v>21</v>
      </c>
      <c r="C2738" t="s">
        <v>9</v>
      </c>
      <c r="D2738" s="3">
        <v>861.82249999999999</v>
      </c>
      <c r="E2738" s="3">
        <v>0</v>
      </c>
      <c r="F2738" t="s">
        <v>45</v>
      </c>
      <c r="G2738" s="3">
        <f t="shared" si="318"/>
        <v>-861.82249999999999</v>
      </c>
      <c r="H2738" s="3">
        <f t="shared" si="319"/>
        <v>861.82249999999999</v>
      </c>
      <c r="I2738" s="5" t="str">
        <f t="shared" si="320"/>
        <v>018</v>
      </c>
      <c r="J2738" s="5" t="str">
        <f t="shared" si="321"/>
        <v>2220</v>
      </c>
      <c r="K2738" s="5" t="str">
        <f t="shared" si="322"/>
        <v>000</v>
      </c>
      <c r="L2738" s="5">
        <f t="shared" si="323"/>
        <v>6</v>
      </c>
      <c r="M2738" s="5">
        <f t="shared" si="324"/>
        <v>2012</v>
      </c>
    </row>
    <row r="2739" spans="1:13" ht="17.45" customHeight="1" x14ac:dyDescent="0.25">
      <c r="A2739" s="1">
        <f>DATE(2012,6,15)</f>
        <v>41075</v>
      </c>
      <c r="B2739" t="s">
        <v>22</v>
      </c>
      <c r="C2739" t="s">
        <v>10</v>
      </c>
      <c r="D2739" s="3">
        <v>190.935</v>
      </c>
      <c r="E2739" s="3">
        <v>0</v>
      </c>
      <c r="F2739" t="s">
        <v>45</v>
      </c>
      <c r="G2739" s="3">
        <f t="shared" si="318"/>
        <v>-190.935</v>
      </c>
      <c r="H2739" s="3">
        <f t="shared" si="319"/>
        <v>190.935</v>
      </c>
      <c r="I2739" s="5" t="str">
        <f t="shared" si="320"/>
        <v>018</v>
      </c>
      <c r="J2739" s="5" t="str">
        <f t="shared" si="321"/>
        <v>2230</v>
      </c>
      <c r="K2739" s="5" t="str">
        <f t="shared" si="322"/>
        <v>000</v>
      </c>
      <c r="L2739" s="5">
        <f t="shared" si="323"/>
        <v>6</v>
      </c>
      <c r="M2739" s="5">
        <f t="shared" si="324"/>
        <v>2012</v>
      </c>
    </row>
    <row r="2740" spans="1:13" ht="17.45" customHeight="1" x14ac:dyDescent="0.25">
      <c r="A2740" s="1">
        <f>DATE(2012,6,16)</f>
        <v>41076</v>
      </c>
      <c r="B2740" t="s">
        <v>19</v>
      </c>
      <c r="C2740" t="s">
        <v>6</v>
      </c>
      <c r="D2740" s="3">
        <v>12190.925999999999</v>
      </c>
      <c r="E2740" s="3">
        <v>0</v>
      </c>
      <c r="F2740" t="s">
        <v>45</v>
      </c>
      <c r="G2740" s="3">
        <f t="shared" si="318"/>
        <v>-12190.925999999999</v>
      </c>
      <c r="H2740" s="3">
        <f t="shared" si="319"/>
        <v>12190.925999999999</v>
      </c>
      <c r="I2740" s="5" t="str">
        <f t="shared" si="320"/>
        <v>018</v>
      </c>
      <c r="J2740" s="5" t="str">
        <f t="shared" si="321"/>
        <v>2100</v>
      </c>
      <c r="K2740" s="5" t="str">
        <f t="shared" si="322"/>
        <v>000</v>
      </c>
      <c r="L2740" s="5">
        <f t="shared" si="323"/>
        <v>6</v>
      </c>
      <c r="M2740" s="5">
        <f t="shared" si="324"/>
        <v>2012</v>
      </c>
    </row>
    <row r="2741" spans="1:13" ht="17.45" customHeight="1" x14ac:dyDescent="0.25">
      <c r="A2741" s="1">
        <f>DATE(2012,6,16)</f>
        <v>41076</v>
      </c>
      <c r="B2741" t="s">
        <v>20</v>
      </c>
      <c r="C2741" t="s">
        <v>8</v>
      </c>
      <c r="D2741" s="3">
        <v>2742.8719999999998</v>
      </c>
      <c r="E2741" s="3">
        <v>0</v>
      </c>
      <c r="F2741" t="s">
        <v>45</v>
      </c>
      <c r="G2741" s="3">
        <f t="shared" si="318"/>
        <v>-2742.8719999999998</v>
      </c>
      <c r="H2741" s="3">
        <f t="shared" si="319"/>
        <v>2742.8719999999998</v>
      </c>
      <c r="I2741" s="5" t="str">
        <f t="shared" si="320"/>
        <v>018</v>
      </c>
      <c r="J2741" s="5" t="str">
        <f t="shared" si="321"/>
        <v>2210</v>
      </c>
      <c r="K2741" s="5" t="str">
        <f t="shared" si="322"/>
        <v>000</v>
      </c>
      <c r="L2741" s="5">
        <f t="shared" si="323"/>
        <v>6</v>
      </c>
      <c r="M2741" s="5">
        <f t="shared" si="324"/>
        <v>2012</v>
      </c>
    </row>
    <row r="2742" spans="1:13" ht="17.45" customHeight="1" x14ac:dyDescent="0.25">
      <c r="A2742" s="1">
        <f>DATE(2012,6,16)</f>
        <v>41076</v>
      </c>
      <c r="B2742" t="s">
        <v>21</v>
      </c>
      <c r="C2742" t="s">
        <v>9</v>
      </c>
      <c r="D2742" s="3">
        <v>512.82000000000005</v>
      </c>
      <c r="E2742" s="3">
        <v>0</v>
      </c>
      <c r="F2742" t="s">
        <v>45</v>
      </c>
      <c r="G2742" s="3">
        <f t="shared" si="318"/>
        <v>-512.82000000000005</v>
      </c>
      <c r="H2742" s="3">
        <f t="shared" si="319"/>
        <v>512.82000000000005</v>
      </c>
      <c r="I2742" s="5" t="str">
        <f t="shared" si="320"/>
        <v>018</v>
      </c>
      <c r="J2742" s="5" t="str">
        <f t="shared" si="321"/>
        <v>2220</v>
      </c>
      <c r="K2742" s="5" t="str">
        <f t="shared" si="322"/>
        <v>000</v>
      </c>
      <c r="L2742" s="5">
        <f t="shared" si="323"/>
        <v>6</v>
      </c>
      <c r="M2742" s="5">
        <f t="shared" si="324"/>
        <v>2012</v>
      </c>
    </row>
    <row r="2743" spans="1:13" ht="17.45" customHeight="1" x14ac:dyDescent="0.25">
      <c r="A2743" s="1">
        <f>DATE(2012,6,16)</f>
        <v>41076</v>
      </c>
      <c r="B2743" t="s">
        <v>22</v>
      </c>
      <c r="C2743" t="s">
        <v>10</v>
      </c>
      <c r="D2743" s="3">
        <v>127.455</v>
      </c>
      <c r="E2743" s="3">
        <v>0</v>
      </c>
      <c r="F2743" t="s">
        <v>45</v>
      </c>
      <c r="G2743" s="3">
        <f t="shared" si="318"/>
        <v>-127.455</v>
      </c>
      <c r="H2743" s="3">
        <f t="shared" si="319"/>
        <v>127.455</v>
      </c>
      <c r="I2743" s="5" t="str">
        <f t="shared" si="320"/>
        <v>018</v>
      </c>
      <c r="J2743" s="5" t="str">
        <f t="shared" si="321"/>
        <v>2230</v>
      </c>
      <c r="K2743" s="5" t="str">
        <f t="shared" si="322"/>
        <v>000</v>
      </c>
      <c r="L2743" s="5">
        <f t="shared" si="323"/>
        <v>6</v>
      </c>
      <c r="M2743" s="5">
        <f t="shared" si="324"/>
        <v>2012</v>
      </c>
    </row>
    <row r="2744" spans="1:13" ht="17.45" customHeight="1" x14ac:dyDescent="0.25">
      <c r="A2744" s="1">
        <f>DATE(2012,6,17)</f>
        <v>41077</v>
      </c>
      <c r="B2744" t="s">
        <v>19</v>
      </c>
      <c r="C2744" t="s">
        <v>6</v>
      </c>
      <c r="D2744" s="3">
        <v>17363.392</v>
      </c>
      <c r="E2744" s="3">
        <v>0</v>
      </c>
      <c r="F2744" t="s">
        <v>45</v>
      </c>
      <c r="G2744" s="3">
        <f t="shared" si="318"/>
        <v>-17363.392</v>
      </c>
      <c r="H2744" s="3">
        <f t="shared" si="319"/>
        <v>17363.392</v>
      </c>
      <c r="I2744" s="5" t="str">
        <f t="shared" si="320"/>
        <v>018</v>
      </c>
      <c r="J2744" s="5" t="str">
        <f t="shared" si="321"/>
        <v>2100</v>
      </c>
      <c r="K2744" s="5" t="str">
        <f t="shared" si="322"/>
        <v>000</v>
      </c>
      <c r="L2744" s="5">
        <f t="shared" si="323"/>
        <v>6</v>
      </c>
      <c r="M2744" s="5">
        <f t="shared" si="324"/>
        <v>2012</v>
      </c>
    </row>
    <row r="2745" spans="1:13" ht="17.45" customHeight="1" x14ac:dyDescent="0.25">
      <c r="A2745" s="1">
        <f>DATE(2012,6,17)</f>
        <v>41077</v>
      </c>
      <c r="B2745" t="s">
        <v>20</v>
      </c>
      <c r="C2745" t="s">
        <v>8</v>
      </c>
      <c r="D2745" s="3">
        <v>2131.41</v>
      </c>
      <c r="E2745" s="3">
        <v>0</v>
      </c>
      <c r="F2745" t="s">
        <v>45</v>
      </c>
      <c r="G2745" s="3">
        <f t="shared" si="318"/>
        <v>-2131.41</v>
      </c>
      <c r="H2745" s="3">
        <f t="shared" si="319"/>
        <v>2131.41</v>
      </c>
      <c r="I2745" s="5" t="str">
        <f t="shared" si="320"/>
        <v>018</v>
      </c>
      <c r="J2745" s="5" t="str">
        <f t="shared" si="321"/>
        <v>2210</v>
      </c>
      <c r="K2745" s="5" t="str">
        <f t="shared" si="322"/>
        <v>000</v>
      </c>
      <c r="L2745" s="5">
        <f t="shared" si="323"/>
        <v>6</v>
      </c>
      <c r="M2745" s="5">
        <f t="shared" si="324"/>
        <v>2012</v>
      </c>
    </row>
    <row r="2746" spans="1:13" ht="17.45" customHeight="1" x14ac:dyDescent="0.25">
      <c r="A2746" s="1">
        <f>DATE(2012,6,17)</f>
        <v>41077</v>
      </c>
      <c r="B2746" t="s">
        <v>21</v>
      </c>
      <c r="C2746" t="s">
        <v>9</v>
      </c>
      <c r="D2746" s="3">
        <v>579.74400000000003</v>
      </c>
      <c r="E2746" s="3">
        <v>0</v>
      </c>
      <c r="F2746" t="s">
        <v>45</v>
      </c>
      <c r="G2746" s="3">
        <f t="shared" si="318"/>
        <v>-579.74400000000003</v>
      </c>
      <c r="H2746" s="3">
        <f t="shared" si="319"/>
        <v>579.74400000000003</v>
      </c>
      <c r="I2746" s="5" t="str">
        <f t="shared" si="320"/>
        <v>018</v>
      </c>
      <c r="J2746" s="5" t="str">
        <f t="shared" si="321"/>
        <v>2220</v>
      </c>
      <c r="K2746" s="5" t="str">
        <f t="shared" si="322"/>
        <v>000</v>
      </c>
      <c r="L2746" s="5">
        <f t="shared" si="323"/>
        <v>6</v>
      </c>
      <c r="M2746" s="5">
        <f t="shared" si="324"/>
        <v>2012</v>
      </c>
    </row>
    <row r="2747" spans="1:13" ht="17.45" customHeight="1" x14ac:dyDescent="0.25">
      <c r="A2747" s="1">
        <f>DATE(2012,6,17)</f>
        <v>41077</v>
      </c>
      <c r="B2747" t="s">
        <v>22</v>
      </c>
      <c r="C2747" t="s">
        <v>10</v>
      </c>
      <c r="D2747" s="3">
        <v>110.22699999999999</v>
      </c>
      <c r="E2747" s="3">
        <v>0</v>
      </c>
      <c r="F2747" t="s">
        <v>45</v>
      </c>
      <c r="G2747" s="3">
        <f t="shared" si="318"/>
        <v>-110.22699999999999</v>
      </c>
      <c r="H2747" s="3">
        <f t="shared" si="319"/>
        <v>110.22699999999999</v>
      </c>
      <c r="I2747" s="5" t="str">
        <f t="shared" si="320"/>
        <v>018</v>
      </c>
      <c r="J2747" s="5" t="str">
        <f t="shared" si="321"/>
        <v>2230</v>
      </c>
      <c r="K2747" s="5" t="str">
        <f t="shared" si="322"/>
        <v>000</v>
      </c>
      <c r="L2747" s="5">
        <f t="shared" si="323"/>
        <v>6</v>
      </c>
      <c r="M2747" s="5">
        <f t="shared" si="324"/>
        <v>2012</v>
      </c>
    </row>
    <row r="2748" spans="1:13" ht="17.45" customHeight="1" x14ac:dyDescent="0.25">
      <c r="A2748" s="1">
        <f>DATE(2012,6,18)</f>
        <v>41078</v>
      </c>
      <c r="B2748" t="s">
        <v>11</v>
      </c>
      <c r="C2748" t="s">
        <v>6</v>
      </c>
      <c r="D2748" s="3">
        <v>2416.1592000000001</v>
      </c>
      <c r="E2748" s="3">
        <v>0</v>
      </c>
      <c r="F2748" t="s">
        <v>45</v>
      </c>
      <c r="G2748" s="3">
        <f t="shared" si="318"/>
        <v>-2416.1592000000001</v>
      </c>
      <c r="H2748" s="3">
        <f t="shared" si="319"/>
        <v>2416.1592000000001</v>
      </c>
      <c r="I2748" s="5" t="str">
        <f t="shared" si="320"/>
        <v>016</v>
      </c>
      <c r="J2748" s="5" t="str">
        <f t="shared" si="321"/>
        <v>2100</v>
      </c>
      <c r="K2748" s="5" t="str">
        <f t="shared" si="322"/>
        <v>000</v>
      </c>
      <c r="L2748" s="5">
        <f t="shared" si="323"/>
        <v>6</v>
      </c>
      <c r="M2748" s="5">
        <f t="shared" si="324"/>
        <v>2012</v>
      </c>
    </row>
    <row r="2749" spans="1:13" ht="17.45" customHeight="1" x14ac:dyDescent="0.25">
      <c r="A2749" s="1">
        <f>DATE(2012,6,18)</f>
        <v>41078</v>
      </c>
      <c r="B2749" t="s">
        <v>12</v>
      </c>
      <c r="C2749" t="s">
        <v>8</v>
      </c>
      <c r="D2749" s="3">
        <v>704.67400000000009</v>
      </c>
      <c r="E2749" s="3">
        <v>0</v>
      </c>
      <c r="F2749" t="s">
        <v>45</v>
      </c>
      <c r="G2749" s="3">
        <f t="shared" si="318"/>
        <v>-704.67400000000009</v>
      </c>
      <c r="H2749" s="3">
        <f t="shared" si="319"/>
        <v>704.67400000000009</v>
      </c>
      <c r="I2749" s="5" t="str">
        <f t="shared" si="320"/>
        <v>016</v>
      </c>
      <c r="J2749" s="5" t="str">
        <f t="shared" si="321"/>
        <v>2210</v>
      </c>
      <c r="K2749" s="5" t="str">
        <f t="shared" si="322"/>
        <v>000</v>
      </c>
      <c r="L2749" s="5">
        <f t="shared" si="323"/>
        <v>6</v>
      </c>
      <c r="M2749" s="5">
        <f t="shared" si="324"/>
        <v>2012</v>
      </c>
    </row>
    <row r="2750" spans="1:13" ht="17.45" customHeight="1" x14ac:dyDescent="0.25">
      <c r="A2750" s="1">
        <f>DATE(2012,6,18)</f>
        <v>41078</v>
      </c>
      <c r="B2750" t="s">
        <v>13</v>
      </c>
      <c r="C2750" t="s">
        <v>9</v>
      </c>
      <c r="D2750" s="3">
        <v>102.255</v>
      </c>
      <c r="E2750" s="3">
        <v>0</v>
      </c>
      <c r="F2750" t="s">
        <v>45</v>
      </c>
      <c r="G2750" s="3">
        <f t="shared" si="318"/>
        <v>-102.255</v>
      </c>
      <c r="H2750" s="3">
        <f t="shared" si="319"/>
        <v>102.255</v>
      </c>
      <c r="I2750" s="5" t="str">
        <f t="shared" si="320"/>
        <v>016</v>
      </c>
      <c r="J2750" s="5" t="str">
        <f t="shared" si="321"/>
        <v>2220</v>
      </c>
      <c r="K2750" s="5" t="str">
        <f t="shared" si="322"/>
        <v>000</v>
      </c>
      <c r="L2750" s="5">
        <f t="shared" si="323"/>
        <v>6</v>
      </c>
      <c r="M2750" s="5">
        <f t="shared" si="324"/>
        <v>2012</v>
      </c>
    </row>
    <row r="2751" spans="1:13" ht="17.45" customHeight="1" x14ac:dyDescent="0.25">
      <c r="A2751" s="1">
        <f>DATE(2012,6,18)</f>
        <v>41078</v>
      </c>
      <c r="B2751" t="s">
        <v>14</v>
      </c>
      <c r="C2751" t="s">
        <v>10</v>
      </c>
      <c r="D2751" s="3">
        <v>49.404999999999994</v>
      </c>
      <c r="E2751" s="3">
        <v>0</v>
      </c>
      <c r="F2751" t="s">
        <v>45</v>
      </c>
      <c r="G2751" s="3">
        <f t="shared" si="318"/>
        <v>-49.404999999999994</v>
      </c>
      <c r="H2751" s="3">
        <f t="shared" si="319"/>
        <v>49.404999999999994</v>
      </c>
      <c r="I2751" s="5" t="str">
        <f t="shared" si="320"/>
        <v>016</v>
      </c>
      <c r="J2751" s="5" t="str">
        <f t="shared" si="321"/>
        <v>2230</v>
      </c>
      <c r="K2751" s="5" t="str">
        <f t="shared" si="322"/>
        <v>000</v>
      </c>
      <c r="L2751" s="5">
        <f t="shared" si="323"/>
        <v>6</v>
      </c>
      <c r="M2751" s="5">
        <f t="shared" si="324"/>
        <v>2012</v>
      </c>
    </row>
    <row r="2752" spans="1:13" ht="17.45" customHeight="1" x14ac:dyDescent="0.25">
      <c r="A2752" s="1">
        <f>DATE(2012,6,19)</f>
        <v>41079</v>
      </c>
      <c r="B2752" t="s">
        <v>11</v>
      </c>
      <c r="C2752" t="s">
        <v>6</v>
      </c>
      <c r="D2752" s="3">
        <v>4537.6205</v>
      </c>
      <c r="E2752" s="3">
        <v>0</v>
      </c>
      <c r="F2752" t="s">
        <v>45</v>
      </c>
      <c r="G2752" s="3">
        <f t="shared" si="318"/>
        <v>-4537.6205</v>
      </c>
      <c r="H2752" s="3">
        <f t="shared" si="319"/>
        <v>4537.6205</v>
      </c>
      <c r="I2752" s="5" t="str">
        <f t="shared" si="320"/>
        <v>016</v>
      </c>
      <c r="J2752" s="5" t="str">
        <f t="shared" si="321"/>
        <v>2100</v>
      </c>
      <c r="K2752" s="5" t="str">
        <f t="shared" si="322"/>
        <v>000</v>
      </c>
      <c r="L2752" s="5">
        <f t="shared" si="323"/>
        <v>6</v>
      </c>
      <c r="M2752" s="5">
        <f t="shared" si="324"/>
        <v>2012</v>
      </c>
    </row>
    <row r="2753" spans="1:13" ht="17.45" customHeight="1" x14ac:dyDescent="0.25">
      <c r="A2753" s="1">
        <f>DATE(2012,6,19)</f>
        <v>41079</v>
      </c>
      <c r="B2753" t="s">
        <v>12</v>
      </c>
      <c r="C2753" t="s">
        <v>8</v>
      </c>
      <c r="D2753" s="3">
        <v>1201.3625999999999</v>
      </c>
      <c r="E2753" s="3">
        <v>0</v>
      </c>
      <c r="F2753" t="s">
        <v>45</v>
      </c>
      <c r="G2753" s="3">
        <f t="shared" si="318"/>
        <v>-1201.3625999999999</v>
      </c>
      <c r="H2753" s="3">
        <f t="shared" si="319"/>
        <v>1201.3625999999999</v>
      </c>
      <c r="I2753" s="5" t="str">
        <f t="shared" si="320"/>
        <v>016</v>
      </c>
      <c r="J2753" s="5" t="str">
        <f t="shared" si="321"/>
        <v>2210</v>
      </c>
      <c r="K2753" s="5" t="str">
        <f t="shared" si="322"/>
        <v>000</v>
      </c>
      <c r="L2753" s="5">
        <f t="shared" si="323"/>
        <v>6</v>
      </c>
      <c r="M2753" s="5">
        <f t="shared" si="324"/>
        <v>2012</v>
      </c>
    </row>
    <row r="2754" spans="1:13" ht="17.45" customHeight="1" x14ac:dyDescent="0.25">
      <c r="A2754" s="1">
        <f>DATE(2012,6,19)</f>
        <v>41079</v>
      </c>
      <c r="B2754" t="s">
        <v>13</v>
      </c>
      <c r="C2754" t="s">
        <v>9</v>
      </c>
      <c r="D2754" s="3">
        <v>520.28549999999996</v>
      </c>
      <c r="E2754" s="3">
        <v>0</v>
      </c>
      <c r="F2754" t="s">
        <v>45</v>
      </c>
      <c r="G2754" s="3">
        <f t="shared" ref="G2754:G2817" si="326">E2754-D2754</f>
        <v>-520.28549999999996</v>
      </c>
      <c r="H2754" s="3">
        <f t="shared" ref="H2754:H2817" si="327">ABS(G2754)</f>
        <v>520.28549999999996</v>
      </c>
      <c r="I2754" s="5" t="str">
        <f t="shared" ref="I2754:I2817" si="328">MID(B2754,1,3)</f>
        <v>016</v>
      </c>
      <c r="J2754" s="5" t="str">
        <f t="shared" ref="J2754:J2817" si="329">MID(B2754,5,4)</f>
        <v>2220</v>
      </c>
      <c r="K2754" s="5" t="str">
        <f t="shared" ref="K2754:K2817" si="330">MID(B2754,10,3)</f>
        <v>000</v>
      </c>
      <c r="L2754" s="5">
        <f t="shared" ref="L2754:L2817" si="331">MONTH(A2754)</f>
        <v>6</v>
      </c>
      <c r="M2754" s="5">
        <f t="shared" ref="M2754:M2817" si="332">YEAR(A2754)</f>
        <v>2012</v>
      </c>
    </row>
    <row r="2755" spans="1:13" ht="17.45" customHeight="1" x14ac:dyDescent="0.25">
      <c r="A2755" s="1">
        <f>DATE(2012,6,19)</f>
        <v>41079</v>
      </c>
      <c r="B2755" t="s">
        <v>14</v>
      </c>
      <c r="C2755" t="s">
        <v>10</v>
      </c>
      <c r="D2755" s="3">
        <v>127.47</v>
      </c>
      <c r="E2755" s="3">
        <v>0</v>
      </c>
      <c r="F2755" t="s">
        <v>45</v>
      </c>
      <c r="G2755" s="3">
        <f t="shared" si="326"/>
        <v>-127.47</v>
      </c>
      <c r="H2755" s="3">
        <f t="shared" si="327"/>
        <v>127.47</v>
      </c>
      <c r="I2755" s="5" t="str">
        <f t="shared" si="328"/>
        <v>016</v>
      </c>
      <c r="J2755" s="5" t="str">
        <f t="shared" si="329"/>
        <v>2230</v>
      </c>
      <c r="K2755" s="5" t="str">
        <f t="shared" si="330"/>
        <v>000</v>
      </c>
      <c r="L2755" s="5">
        <f t="shared" si="331"/>
        <v>6</v>
      </c>
      <c r="M2755" s="5">
        <f t="shared" si="332"/>
        <v>2012</v>
      </c>
    </row>
    <row r="2756" spans="1:13" ht="17.45" customHeight="1" x14ac:dyDescent="0.25">
      <c r="A2756" s="1">
        <f>DATE(2012,6,20)</f>
        <v>41080</v>
      </c>
      <c r="B2756" t="s">
        <v>11</v>
      </c>
      <c r="C2756" t="s">
        <v>6</v>
      </c>
      <c r="D2756" s="3">
        <v>2024.9333999999999</v>
      </c>
      <c r="E2756" s="3">
        <v>0</v>
      </c>
      <c r="F2756" t="s">
        <v>45</v>
      </c>
      <c r="G2756" s="3">
        <f t="shared" si="326"/>
        <v>-2024.9333999999999</v>
      </c>
      <c r="H2756" s="3">
        <f t="shared" si="327"/>
        <v>2024.9333999999999</v>
      </c>
      <c r="I2756" s="5" t="str">
        <f t="shared" si="328"/>
        <v>016</v>
      </c>
      <c r="J2756" s="5" t="str">
        <f t="shared" si="329"/>
        <v>2100</v>
      </c>
      <c r="K2756" s="5" t="str">
        <f t="shared" si="330"/>
        <v>000</v>
      </c>
      <c r="L2756" s="5">
        <f t="shared" si="331"/>
        <v>6</v>
      </c>
      <c r="M2756" s="5">
        <f t="shared" si="332"/>
        <v>2012</v>
      </c>
    </row>
    <row r="2757" spans="1:13" ht="17.45" customHeight="1" x14ac:dyDescent="0.25">
      <c r="A2757" s="1">
        <f>DATE(2012,6,20)</f>
        <v>41080</v>
      </c>
      <c r="B2757" t="s">
        <v>12</v>
      </c>
      <c r="C2757" t="s">
        <v>8</v>
      </c>
      <c r="D2757" s="3">
        <v>464.78879999999998</v>
      </c>
      <c r="E2757" s="3">
        <v>0</v>
      </c>
      <c r="F2757" t="s">
        <v>45</v>
      </c>
      <c r="G2757" s="3">
        <f t="shared" si="326"/>
        <v>-464.78879999999998</v>
      </c>
      <c r="H2757" s="3">
        <f t="shared" si="327"/>
        <v>464.78879999999998</v>
      </c>
      <c r="I2757" s="5" t="str">
        <f t="shared" si="328"/>
        <v>016</v>
      </c>
      <c r="J2757" s="5" t="str">
        <f t="shared" si="329"/>
        <v>2210</v>
      </c>
      <c r="K2757" s="5" t="str">
        <f t="shared" si="330"/>
        <v>000</v>
      </c>
      <c r="L2757" s="5">
        <f t="shared" si="331"/>
        <v>6</v>
      </c>
      <c r="M2757" s="5">
        <f t="shared" si="332"/>
        <v>2012</v>
      </c>
    </row>
    <row r="2758" spans="1:13" ht="17.45" customHeight="1" x14ac:dyDescent="0.25">
      <c r="A2758" s="1">
        <f>DATE(2012,6,20)</f>
        <v>41080</v>
      </c>
      <c r="B2758" t="s">
        <v>13</v>
      </c>
      <c r="C2758" t="s">
        <v>9</v>
      </c>
      <c r="D2758" s="3">
        <v>59.959499999999998</v>
      </c>
      <c r="E2758" s="3">
        <v>0</v>
      </c>
      <c r="F2758" t="s">
        <v>45</v>
      </c>
      <c r="G2758" s="3">
        <f t="shared" si="326"/>
        <v>-59.959499999999998</v>
      </c>
      <c r="H2758" s="3">
        <f t="shared" si="327"/>
        <v>59.959499999999998</v>
      </c>
      <c r="I2758" s="5" t="str">
        <f t="shared" si="328"/>
        <v>016</v>
      </c>
      <c r="J2758" s="5" t="str">
        <f t="shared" si="329"/>
        <v>2220</v>
      </c>
      <c r="K2758" s="5" t="str">
        <f t="shared" si="330"/>
        <v>000</v>
      </c>
      <c r="L2758" s="5">
        <f t="shared" si="331"/>
        <v>6</v>
      </c>
      <c r="M2758" s="5">
        <f t="shared" si="332"/>
        <v>2012</v>
      </c>
    </row>
    <row r="2759" spans="1:13" ht="17.45" customHeight="1" x14ac:dyDescent="0.25">
      <c r="A2759" s="1">
        <f>DATE(2012,6,20)</f>
        <v>41080</v>
      </c>
      <c r="B2759" t="s">
        <v>14</v>
      </c>
      <c r="C2759" t="s">
        <v>10</v>
      </c>
      <c r="D2759" s="3">
        <v>79.314999999999998</v>
      </c>
      <c r="E2759" s="3">
        <v>0</v>
      </c>
      <c r="F2759" t="s">
        <v>45</v>
      </c>
      <c r="G2759" s="3">
        <f t="shared" si="326"/>
        <v>-79.314999999999998</v>
      </c>
      <c r="H2759" s="3">
        <f t="shared" si="327"/>
        <v>79.314999999999998</v>
      </c>
      <c r="I2759" s="5" t="str">
        <f t="shared" si="328"/>
        <v>016</v>
      </c>
      <c r="J2759" s="5" t="str">
        <f t="shared" si="329"/>
        <v>2230</v>
      </c>
      <c r="K2759" s="5" t="str">
        <f t="shared" si="330"/>
        <v>000</v>
      </c>
      <c r="L2759" s="5">
        <f t="shared" si="331"/>
        <v>6</v>
      </c>
      <c r="M2759" s="5">
        <f t="shared" si="332"/>
        <v>2012</v>
      </c>
    </row>
    <row r="2760" spans="1:13" ht="17.45" customHeight="1" x14ac:dyDescent="0.25">
      <c r="A2760" s="1">
        <f>DATE(2012,6,21)</f>
        <v>41081</v>
      </c>
      <c r="B2760" t="s">
        <v>11</v>
      </c>
      <c r="C2760" t="s">
        <v>6</v>
      </c>
      <c r="D2760" s="3">
        <v>3140.5565999999999</v>
      </c>
      <c r="E2760" s="3">
        <v>0</v>
      </c>
      <c r="F2760" t="s">
        <v>45</v>
      </c>
      <c r="G2760" s="3">
        <f t="shared" si="326"/>
        <v>-3140.5565999999999</v>
      </c>
      <c r="H2760" s="3">
        <f t="shared" si="327"/>
        <v>3140.5565999999999</v>
      </c>
      <c r="I2760" s="5" t="str">
        <f t="shared" si="328"/>
        <v>016</v>
      </c>
      <c r="J2760" s="5" t="str">
        <f t="shared" si="329"/>
        <v>2100</v>
      </c>
      <c r="K2760" s="5" t="str">
        <f t="shared" si="330"/>
        <v>000</v>
      </c>
      <c r="L2760" s="5">
        <f t="shared" si="331"/>
        <v>6</v>
      </c>
      <c r="M2760" s="5">
        <f t="shared" si="332"/>
        <v>2012</v>
      </c>
    </row>
    <row r="2761" spans="1:13" ht="17.45" customHeight="1" x14ac:dyDescent="0.25">
      <c r="A2761" s="1">
        <f>DATE(2012,6,21)</f>
        <v>41081</v>
      </c>
      <c r="B2761" t="s">
        <v>12</v>
      </c>
      <c r="C2761" t="s">
        <v>8</v>
      </c>
      <c r="D2761" s="3">
        <v>706.46250000000009</v>
      </c>
      <c r="E2761" s="3">
        <v>0</v>
      </c>
      <c r="F2761" t="s">
        <v>45</v>
      </c>
      <c r="G2761" s="3">
        <f t="shared" si="326"/>
        <v>-706.46250000000009</v>
      </c>
      <c r="H2761" s="3">
        <f t="shared" si="327"/>
        <v>706.46250000000009</v>
      </c>
      <c r="I2761" s="5" t="str">
        <f t="shared" si="328"/>
        <v>016</v>
      </c>
      <c r="J2761" s="5" t="str">
        <f t="shared" si="329"/>
        <v>2210</v>
      </c>
      <c r="K2761" s="5" t="str">
        <f t="shared" si="330"/>
        <v>000</v>
      </c>
      <c r="L2761" s="5">
        <f t="shared" si="331"/>
        <v>6</v>
      </c>
      <c r="M2761" s="5">
        <f t="shared" si="332"/>
        <v>2012</v>
      </c>
    </row>
    <row r="2762" spans="1:13" ht="17.45" customHeight="1" x14ac:dyDescent="0.25">
      <c r="A2762" s="1">
        <f>DATE(2012,6,21)</f>
        <v>41081</v>
      </c>
      <c r="B2762" t="s">
        <v>13</v>
      </c>
      <c r="C2762" t="s">
        <v>9</v>
      </c>
      <c r="D2762" s="3">
        <v>145.43100000000001</v>
      </c>
      <c r="E2762" s="3">
        <v>0</v>
      </c>
      <c r="F2762" t="s">
        <v>45</v>
      </c>
      <c r="G2762" s="3">
        <f t="shared" si="326"/>
        <v>-145.43100000000001</v>
      </c>
      <c r="H2762" s="3">
        <f t="shared" si="327"/>
        <v>145.43100000000001</v>
      </c>
      <c r="I2762" s="5" t="str">
        <f t="shared" si="328"/>
        <v>016</v>
      </c>
      <c r="J2762" s="5" t="str">
        <f t="shared" si="329"/>
        <v>2220</v>
      </c>
      <c r="K2762" s="5" t="str">
        <f t="shared" si="330"/>
        <v>000</v>
      </c>
      <c r="L2762" s="5">
        <f t="shared" si="331"/>
        <v>6</v>
      </c>
      <c r="M2762" s="5">
        <f t="shared" si="332"/>
        <v>2012</v>
      </c>
    </row>
    <row r="2763" spans="1:13" ht="17.45" customHeight="1" x14ac:dyDescent="0.25">
      <c r="A2763" s="1">
        <f>DATE(2012,6,21)</f>
        <v>41081</v>
      </c>
      <c r="B2763" t="s">
        <v>14</v>
      </c>
      <c r="C2763" t="s">
        <v>10</v>
      </c>
      <c r="D2763" s="3">
        <v>91.944999999999993</v>
      </c>
      <c r="E2763" s="3">
        <v>0</v>
      </c>
      <c r="F2763" t="s">
        <v>45</v>
      </c>
      <c r="G2763" s="3">
        <f t="shared" si="326"/>
        <v>-91.944999999999993</v>
      </c>
      <c r="H2763" s="3">
        <f t="shared" si="327"/>
        <v>91.944999999999993</v>
      </c>
      <c r="I2763" s="5" t="str">
        <f t="shared" si="328"/>
        <v>016</v>
      </c>
      <c r="J2763" s="5" t="str">
        <f t="shared" si="329"/>
        <v>2230</v>
      </c>
      <c r="K2763" s="5" t="str">
        <f t="shared" si="330"/>
        <v>000</v>
      </c>
      <c r="L2763" s="5">
        <f t="shared" si="331"/>
        <v>6</v>
      </c>
      <c r="M2763" s="5">
        <f t="shared" si="332"/>
        <v>2012</v>
      </c>
    </row>
    <row r="2764" spans="1:13" ht="17.45" customHeight="1" x14ac:dyDescent="0.25">
      <c r="A2764" s="1">
        <f>DATE(2012,6,22)</f>
        <v>41082</v>
      </c>
      <c r="B2764" t="s">
        <v>11</v>
      </c>
      <c r="C2764" t="s">
        <v>6</v>
      </c>
      <c r="D2764" s="3">
        <v>3541.2275999999997</v>
      </c>
      <c r="E2764" s="3">
        <v>0</v>
      </c>
      <c r="F2764" t="s">
        <v>45</v>
      </c>
      <c r="G2764" s="3">
        <f t="shared" si="326"/>
        <v>-3541.2275999999997</v>
      </c>
      <c r="H2764" s="3">
        <f t="shared" si="327"/>
        <v>3541.2275999999997</v>
      </c>
      <c r="I2764" s="5" t="str">
        <f t="shared" si="328"/>
        <v>016</v>
      </c>
      <c r="J2764" s="5" t="str">
        <f t="shared" si="329"/>
        <v>2100</v>
      </c>
      <c r="K2764" s="5" t="str">
        <f t="shared" si="330"/>
        <v>000</v>
      </c>
      <c r="L2764" s="5">
        <f t="shared" si="331"/>
        <v>6</v>
      </c>
      <c r="M2764" s="5">
        <f t="shared" si="332"/>
        <v>2012</v>
      </c>
    </row>
    <row r="2765" spans="1:13" ht="17.45" customHeight="1" x14ac:dyDescent="0.25">
      <c r="A2765" s="1">
        <f>DATE(2012,6,22)</f>
        <v>41082</v>
      </c>
      <c r="B2765" t="s">
        <v>12</v>
      </c>
      <c r="C2765" t="s">
        <v>8</v>
      </c>
      <c r="D2765" s="3">
        <v>1764.704</v>
      </c>
      <c r="E2765" s="3">
        <v>0</v>
      </c>
      <c r="F2765" t="s">
        <v>45</v>
      </c>
      <c r="G2765" s="3">
        <f t="shared" si="326"/>
        <v>-1764.704</v>
      </c>
      <c r="H2765" s="3">
        <f t="shared" si="327"/>
        <v>1764.704</v>
      </c>
      <c r="I2765" s="5" t="str">
        <f t="shared" si="328"/>
        <v>016</v>
      </c>
      <c r="J2765" s="5" t="str">
        <f t="shared" si="329"/>
        <v>2210</v>
      </c>
      <c r="K2765" s="5" t="str">
        <f t="shared" si="330"/>
        <v>000</v>
      </c>
      <c r="L2765" s="5">
        <f t="shared" si="331"/>
        <v>6</v>
      </c>
      <c r="M2765" s="5">
        <f t="shared" si="332"/>
        <v>2012</v>
      </c>
    </row>
    <row r="2766" spans="1:13" ht="17.45" customHeight="1" x14ac:dyDescent="0.25">
      <c r="A2766" s="1">
        <f>DATE(2012,6,22)</f>
        <v>41082</v>
      </c>
      <c r="B2766" t="s">
        <v>13</v>
      </c>
      <c r="C2766" t="s">
        <v>9</v>
      </c>
      <c r="D2766" s="3">
        <v>389.70899999999995</v>
      </c>
      <c r="E2766" s="3">
        <v>0</v>
      </c>
      <c r="F2766" t="s">
        <v>45</v>
      </c>
      <c r="G2766" s="3">
        <f t="shared" si="326"/>
        <v>-389.70899999999995</v>
      </c>
      <c r="H2766" s="3">
        <f t="shared" si="327"/>
        <v>389.70899999999995</v>
      </c>
      <c r="I2766" s="5" t="str">
        <f t="shared" si="328"/>
        <v>016</v>
      </c>
      <c r="J2766" s="5" t="str">
        <f t="shared" si="329"/>
        <v>2220</v>
      </c>
      <c r="K2766" s="5" t="str">
        <f t="shared" si="330"/>
        <v>000</v>
      </c>
      <c r="L2766" s="5">
        <f t="shared" si="331"/>
        <v>6</v>
      </c>
      <c r="M2766" s="5">
        <f t="shared" si="332"/>
        <v>2012</v>
      </c>
    </row>
    <row r="2767" spans="1:13" ht="17.45" customHeight="1" x14ac:dyDescent="0.25">
      <c r="A2767" s="1">
        <f>DATE(2012,6,22)</f>
        <v>41082</v>
      </c>
      <c r="B2767" t="s">
        <v>14</v>
      </c>
      <c r="C2767" t="s">
        <v>10</v>
      </c>
      <c r="D2767" s="3">
        <v>96.143000000000001</v>
      </c>
      <c r="E2767" s="3">
        <v>0</v>
      </c>
      <c r="F2767" t="s">
        <v>45</v>
      </c>
      <c r="G2767" s="3">
        <f t="shared" si="326"/>
        <v>-96.143000000000001</v>
      </c>
      <c r="H2767" s="3">
        <f t="shared" si="327"/>
        <v>96.143000000000001</v>
      </c>
      <c r="I2767" s="5" t="str">
        <f t="shared" si="328"/>
        <v>016</v>
      </c>
      <c r="J2767" s="5" t="str">
        <f t="shared" si="329"/>
        <v>2230</v>
      </c>
      <c r="K2767" s="5" t="str">
        <f t="shared" si="330"/>
        <v>000</v>
      </c>
      <c r="L2767" s="5">
        <f t="shared" si="331"/>
        <v>6</v>
      </c>
      <c r="M2767" s="5">
        <f t="shared" si="332"/>
        <v>2012</v>
      </c>
    </row>
    <row r="2768" spans="1:13" ht="17.45" customHeight="1" x14ac:dyDescent="0.25">
      <c r="A2768" s="1">
        <f>DATE(2012,6,23)</f>
        <v>41083</v>
      </c>
      <c r="B2768" t="s">
        <v>11</v>
      </c>
      <c r="C2768" t="s">
        <v>6</v>
      </c>
      <c r="D2768" s="3">
        <v>5577.9849999999997</v>
      </c>
      <c r="E2768" s="3">
        <v>0</v>
      </c>
      <c r="F2768" t="s">
        <v>45</v>
      </c>
      <c r="G2768" s="3">
        <f t="shared" si="326"/>
        <v>-5577.9849999999997</v>
      </c>
      <c r="H2768" s="3">
        <f t="shared" si="327"/>
        <v>5577.9849999999997</v>
      </c>
      <c r="I2768" s="5" t="str">
        <f t="shared" si="328"/>
        <v>016</v>
      </c>
      <c r="J2768" s="5" t="str">
        <f t="shared" si="329"/>
        <v>2100</v>
      </c>
      <c r="K2768" s="5" t="str">
        <f t="shared" si="330"/>
        <v>000</v>
      </c>
      <c r="L2768" s="5">
        <f t="shared" si="331"/>
        <v>6</v>
      </c>
      <c r="M2768" s="5">
        <f t="shared" si="332"/>
        <v>2012</v>
      </c>
    </row>
    <row r="2769" spans="1:13" ht="17.45" customHeight="1" x14ac:dyDescent="0.25">
      <c r="A2769" s="1">
        <f>DATE(2012,6,23)</f>
        <v>41083</v>
      </c>
      <c r="B2769" t="s">
        <v>12</v>
      </c>
      <c r="C2769" t="s">
        <v>8</v>
      </c>
      <c r="D2769" s="3">
        <v>2449.0395000000003</v>
      </c>
      <c r="E2769" s="3">
        <v>0</v>
      </c>
      <c r="F2769" t="s">
        <v>45</v>
      </c>
      <c r="G2769" s="3">
        <f t="shared" si="326"/>
        <v>-2449.0395000000003</v>
      </c>
      <c r="H2769" s="3">
        <f t="shared" si="327"/>
        <v>2449.0395000000003</v>
      </c>
      <c r="I2769" s="5" t="str">
        <f t="shared" si="328"/>
        <v>016</v>
      </c>
      <c r="J2769" s="5" t="str">
        <f t="shared" si="329"/>
        <v>2210</v>
      </c>
      <c r="K2769" s="5" t="str">
        <f t="shared" si="330"/>
        <v>000</v>
      </c>
      <c r="L2769" s="5">
        <f t="shared" si="331"/>
        <v>6</v>
      </c>
      <c r="M2769" s="5">
        <f t="shared" si="332"/>
        <v>2012</v>
      </c>
    </row>
    <row r="2770" spans="1:13" ht="17.45" customHeight="1" x14ac:dyDescent="0.25">
      <c r="A2770" s="1">
        <f>DATE(2012,6,23)</f>
        <v>41083</v>
      </c>
      <c r="B2770" t="s">
        <v>13</v>
      </c>
      <c r="C2770" t="s">
        <v>9</v>
      </c>
      <c r="D2770" s="3">
        <v>461.45700000000005</v>
      </c>
      <c r="E2770" s="3">
        <v>0</v>
      </c>
      <c r="F2770" t="s">
        <v>45</v>
      </c>
      <c r="G2770" s="3">
        <f t="shared" si="326"/>
        <v>-461.45700000000005</v>
      </c>
      <c r="H2770" s="3">
        <f t="shared" si="327"/>
        <v>461.45700000000005</v>
      </c>
      <c r="I2770" s="5" t="str">
        <f t="shared" si="328"/>
        <v>016</v>
      </c>
      <c r="J2770" s="5" t="str">
        <f t="shared" si="329"/>
        <v>2220</v>
      </c>
      <c r="K2770" s="5" t="str">
        <f t="shared" si="330"/>
        <v>000</v>
      </c>
      <c r="L2770" s="5">
        <f t="shared" si="331"/>
        <v>6</v>
      </c>
      <c r="M2770" s="5">
        <f t="shared" si="332"/>
        <v>2012</v>
      </c>
    </row>
    <row r="2771" spans="1:13" ht="17.45" customHeight="1" x14ac:dyDescent="0.25">
      <c r="A2771" s="1">
        <f>DATE(2012,6,23)</f>
        <v>41083</v>
      </c>
      <c r="B2771" t="s">
        <v>14</v>
      </c>
      <c r="C2771" t="s">
        <v>10</v>
      </c>
      <c r="D2771" s="3">
        <v>199.95400000000004</v>
      </c>
      <c r="E2771" s="3">
        <v>0</v>
      </c>
      <c r="F2771" t="s">
        <v>45</v>
      </c>
      <c r="G2771" s="3">
        <f t="shared" si="326"/>
        <v>-199.95400000000004</v>
      </c>
      <c r="H2771" s="3">
        <f t="shared" si="327"/>
        <v>199.95400000000004</v>
      </c>
      <c r="I2771" s="5" t="str">
        <f t="shared" si="328"/>
        <v>016</v>
      </c>
      <c r="J2771" s="5" t="str">
        <f t="shared" si="329"/>
        <v>2230</v>
      </c>
      <c r="K2771" s="5" t="str">
        <f t="shared" si="330"/>
        <v>000</v>
      </c>
      <c r="L2771" s="5">
        <f t="shared" si="331"/>
        <v>6</v>
      </c>
      <c r="M2771" s="5">
        <f t="shared" si="332"/>
        <v>2012</v>
      </c>
    </row>
    <row r="2772" spans="1:13" ht="17.45" customHeight="1" x14ac:dyDescent="0.25">
      <c r="A2772" s="1">
        <f>DATE(2012,6,24)</f>
        <v>41084</v>
      </c>
      <c r="B2772" t="s">
        <v>11</v>
      </c>
      <c r="C2772" t="s">
        <v>6</v>
      </c>
      <c r="D2772" s="3">
        <v>2274.5393999999997</v>
      </c>
      <c r="E2772" s="3">
        <v>0</v>
      </c>
      <c r="F2772" t="s">
        <v>45</v>
      </c>
      <c r="G2772" s="3">
        <f t="shared" si="326"/>
        <v>-2274.5393999999997</v>
      </c>
      <c r="H2772" s="3">
        <f t="shared" si="327"/>
        <v>2274.5393999999997</v>
      </c>
      <c r="I2772" s="5" t="str">
        <f t="shared" si="328"/>
        <v>016</v>
      </c>
      <c r="J2772" s="5" t="str">
        <f t="shared" si="329"/>
        <v>2100</v>
      </c>
      <c r="K2772" s="5" t="str">
        <f t="shared" si="330"/>
        <v>000</v>
      </c>
      <c r="L2772" s="5">
        <f t="shared" si="331"/>
        <v>6</v>
      </c>
      <c r="M2772" s="5">
        <f t="shared" si="332"/>
        <v>2012</v>
      </c>
    </row>
    <row r="2773" spans="1:13" ht="17.45" customHeight="1" x14ac:dyDescent="0.25">
      <c r="A2773" s="1">
        <f>DATE(2012,6,24)</f>
        <v>41084</v>
      </c>
      <c r="B2773" t="s">
        <v>12</v>
      </c>
      <c r="C2773" t="s">
        <v>8</v>
      </c>
      <c r="D2773" s="3">
        <v>1073.3034</v>
      </c>
      <c r="E2773" s="3">
        <v>0</v>
      </c>
      <c r="F2773" t="s">
        <v>45</v>
      </c>
      <c r="G2773" s="3">
        <f t="shared" si="326"/>
        <v>-1073.3034</v>
      </c>
      <c r="H2773" s="3">
        <f t="shared" si="327"/>
        <v>1073.3034</v>
      </c>
      <c r="I2773" s="5" t="str">
        <f t="shared" si="328"/>
        <v>016</v>
      </c>
      <c r="J2773" s="5" t="str">
        <f t="shared" si="329"/>
        <v>2210</v>
      </c>
      <c r="K2773" s="5" t="str">
        <f t="shared" si="330"/>
        <v>000</v>
      </c>
      <c r="L2773" s="5">
        <f t="shared" si="331"/>
        <v>6</v>
      </c>
      <c r="M2773" s="5">
        <f t="shared" si="332"/>
        <v>2012</v>
      </c>
    </row>
    <row r="2774" spans="1:13" ht="17.45" customHeight="1" x14ac:dyDescent="0.25">
      <c r="A2774" s="1">
        <f>DATE(2012,6,24)</f>
        <v>41084</v>
      </c>
      <c r="B2774" t="s">
        <v>13</v>
      </c>
      <c r="C2774" t="s">
        <v>9</v>
      </c>
      <c r="D2774" s="3">
        <v>103.05900000000001</v>
      </c>
      <c r="E2774" s="3">
        <v>0</v>
      </c>
      <c r="F2774" t="s">
        <v>45</v>
      </c>
      <c r="G2774" s="3">
        <f t="shared" si="326"/>
        <v>-103.05900000000001</v>
      </c>
      <c r="H2774" s="3">
        <f t="shared" si="327"/>
        <v>103.05900000000001</v>
      </c>
      <c r="I2774" s="5" t="str">
        <f t="shared" si="328"/>
        <v>016</v>
      </c>
      <c r="J2774" s="5" t="str">
        <f t="shared" si="329"/>
        <v>2220</v>
      </c>
      <c r="K2774" s="5" t="str">
        <f t="shared" si="330"/>
        <v>000</v>
      </c>
      <c r="L2774" s="5">
        <f t="shared" si="331"/>
        <v>6</v>
      </c>
      <c r="M2774" s="5">
        <f t="shared" si="332"/>
        <v>2012</v>
      </c>
    </row>
    <row r="2775" spans="1:13" ht="17.45" customHeight="1" x14ac:dyDescent="0.25">
      <c r="A2775" s="1">
        <f>DATE(2012,6,24)</f>
        <v>41084</v>
      </c>
      <c r="B2775" t="s">
        <v>14</v>
      </c>
      <c r="C2775" t="s">
        <v>10</v>
      </c>
      <c r="D2775" s="3">
        <v>76.817999999999998</v>
      </c>
      <c r="E2775" s="3">
        <v>0</v>
      </c>
      <c r="F2775" t="s">
        <v>45</v>
      </c>
      <c r="G2775" s="3">
        <f t="shared" si="326"/>
        <v>-76.817999999999998</v>
      </c>
      <c r="H2775" s="3">
        <f t="shared" si="327"/>
        <v>76.817999999999998</v>
      </c>
      <c r="I2775" s="5" t="str">
        <f t="shared" si="328"/>
        <v>016</v>
      </c>
      <c r="J2775" s="5" t="str">
        <f t="shared" si="329"/>
        <v>2230</v>
      </c>
      <c r="K2775" s="5" t="str">
        <f t="shared" si="330"/>
        <v>000</v>
      </c>
      <c r="L2775" s="5">
        <f t="shared" si="331"/>
        <v>6</v>
      </c>
      <c r="M2775" s="5">
        <f t="shared" si="332"/>
        <v>2012</v>
      </c>
    </row>
    <row r="2776" spans="1:13" ht="17.45" customHeight="1" x14ac:dyDescent="0.25">
      <c r="A2776" s="1">
        <f>DATE(2012,6,18)</f>
        <v>41078</v>
      </c>
      <c r="B2776" t="s">
        <v>15</v>
      </c>
      <c r="C2776" t="s">
        <v>6</v>
      </c>
      <c r="D2776" s="3">
        <v>4878.2858000000006</v>
      </c>
      <c r="E2776" s="3">
        <v>0</v>
      </c>
      <c r="F2776" t="s">
        <v>45</v>
      </c>
      <c r="G2776" s="3">
        <f t="shared" si="326"/>
        <v>-4878.2858000000006</v>
      </c>
      <c r="H2776" s="3">
        <f t="shared" si="327"/>
        <v>4878.2858000000006</v>
      </c>
      <c r="I2776" s="5" t="str">
        <f t="shared" si="328"/>
        <v>017</v>
      </c>
      <c r="J2776" s="5" t="str">
        <f t="shared" si="329"/>
        <v>2100</v>
      </c>
      <c r="K2776" s="5" t="str">
        <f t="shared" si="330"/>
        <v>000</v>
      </c>
      <c r="L2776" s="5">
        <f t="shared" si="331"/>
        <v>6</v>
      </c>
      <c r="M2776" s="5">
        <f t="shared" si="332"/>
        <v>2012</v>
      </c>
    </row>
    <row r="2777" spans="1:13" ht="17.45" customHeight="1" x14ac:dyDescent="0.25">
      <c r="A2777" s="1">
        <f>DATE(2012,6,18)</f>
        <v>41078</v>
      </c>
      <c r="B2777" t="s">
        <v>16</v>
      </c>
      <c r="C2777" t="s">
        <v>8</v>
      </c>
      <c r="D2777" s="3">
        <v>1377.3405</v>
      </c>
      <c r="E2777" s="3">
        <v>0</v>
      </c>
      <c r="F2777" t="s">
        <v>45</v>
      </c>
      <c r="G2777" s="3">
        <f t="shared" si="326"/>
        <v>-1377.3405</v>
      </c>
      <c r="H2777" s="3">
        <f t="shared" si="327"/>
        <v>1377.3405</v>
      </c>
      <c r="I2777" s="5" t="str">
        <f t="shared" si="328"/>
        <v>017</v>
      </c>
      <c r="J2777" s="5" t="str">
        <f t="shared" si="329"/>
        <v>2210</v>
      </c>
      <c r="K2777" s="5" t="str">
        <f t="shared" si="330"/>
        <v>000</v>
      </c>
      <c r="L2777" s="5">
        <f t="shared" si="331"/>
        <v>6</v>
      </c>
      <c r="M2777" s="5">
        <f t="shared" si="332"/>
        <v>2012</v>
      </c>
    </row>
    <row r="2778" spans="1:13" ht="17.45" customHeight="1" x14ac:dyDescent="0.25">
      <c r="A2778" s="1">
        <f>DATE(2012,6,18)</f>
        <v>41078</v>
      </c>
      <c r="B2778" t="s">
        <v>17</v>
      </c>
      <c r="C2778" t="s">
        <v>9</v>
      </c>
      <c r="D2778" s="3">
        <v>439.34</v>
      </c>
      <c r="E2778" s="3">
        <v>0</v>
      </c>
      <c r="F2778" t="s">
        <v>45</v>
      </c>
      <c r="G2778" s="3">
        <f t="shared" si="326"/>
        <v>-439.34</v>
      </c>
      <c r="H2778" s="3">
        <f t="shared" si="327"/>
        <v>439.34</v>
      </c>
      <c r="I2778" s="5" t="str">
        <f t="shared" si="328"/>
        <v>017</v>
      </c>
      <c r="J2778" s="5" t="str">
        <f t="shared" si="329"/>
        <v>2220</v>
      </c>
      <c r="K2778" s="5" t="str">
        <f t="shared" si="330"/>
        <v>000</v>
      </c>
      <c r="L2778" s="5">
        <f t="shared" si="331"/>
        <v>6</v>
      </c>
      <c r="M2778" s="5">
        <f t="shared" si="332"/>
        <v>2012</v>
      </c>
    </row>
    <row r="2779" spans="1:13" ht="17.45" customHeight="1" x14ac:dyDescent="0.25">
      <c r="A2779" s="1">
        <f>DATE(2012,6,18)</f>
        <v>41078</v>
      </c>
      <c r="B2779" t="s">
        <v>18</v>
      </c>
      <c r="C2779" t="s">
        <v>10</v>
      </c>
      <c r="D2779" s="3">
        <v>28.186499999999999</v>
      </c>
      <c r="E2779" s="3">
        <v>0</v>
      </c>
      <c r="F2779" t="s">
        <v>45</v>
      </c>
      <c r="G2779" s="3">
        <f t="shared" si="326"/>
        <v>-28.186499999999999</v>
      </c>
      <c r="H2779" s="3">
        <f t="shared" si="327"/>
        <v>28.186499999999999</v>
      </c>
      <c r="I2779" s="5" t="str">
        <f t="shared" si="328"/>
        <v>017</v>
      </c>
      <c r="J2779" s="5" t="str">
        <f t="shared" si="329"/>
        <v>2230</v>
      </c>
      <c r="K2779" s="5" t="str">
        <f t="shared" si="330"/>
        <v>000</v>
      </c>
      <c r="L2779" s="5">
        <f t="shared" si="331"/>
        <v>6</v>
      </c>
      <c r="M2779" s="5">
        <f t="shared" si="332"/>
        <v>2012</v>
      </c>
    </row>
    <row r="2780" spans="1:13" ht="17.45" customHeight="1" x14ac:dyDescent="0.25">
      <c r="A2780" s="1">
        <f>DATE(2012,6,19)</f>
        <v>41079</v>
      </c>
      <c r="B2780" t="s">
        <v>15</v>
      </c>
      <c r="C2780" t="s">
        <v>6</v>
      </c>
      <c r="D2780" s="3">
        <v>4582.6696000000002</v>
      </c>
      <c r="E2780" s="3">
        <v>0</v>
      </c>
      <c r="F2780" t="s">
        <v>45</v>
      </c>
      <c r="G2780" s="3">
        <f t="shared" si="326"/>
        <v>-4582.6696000000002</v>
      </c>
      <c r="H2780" s="3">
        <f t="shared" si="327"/>
        <v>4582.6696000000002</v>
      </c>
      <c r="I2780" s="5" t="str">
        <f t="shared" si="328"/>
        <v>017</v>
      </c>
      <c r="J2780" s="5" t="str">
        <f t="shared" si="329"/>
        <v>2100</v>
      </c>
      <c r="K2780" s="5" t="str">
        <f t="shared" si="330"/>
        <v>000</v>
      </c>
      <c r="L2780" s="5">
        <f t="shared" si="331"/>
        <v>6</v>
      </c>
      <c r="M2780" s="5">
        <f t="shared" si="332"/>
        <v>2012</v>
      </c>
    </row>
    <row r="2781" spans="1:13" ht="17.45" customHeight="1" x14ac:dyDescent="0.25">
      <c r="A2781" s="1">
        <f>DATE(2012,6,19)</f>
        <v>41079</v>
      </c>
      <c r="B2781" t="s">
        <v>16</v>
      </c>
      <c r="C2781" t="s">
        <v>8</v>
      </c>
      <c r="D2781" s="3">
        <v>1168.7655000000002</v>
      </c>
      <c r="E2781" s="3">
        <v>0</v>
      </c>
      <c r="F2781" t="s">
        <v>45</v>
      </c>
      <c r="G2781" s="3">
        <f t="shared" si="326"/>
        <v>-1168.7655000000002</v>
      </c>
      <c r="H2781" s="3">
        <f t="shared" si="327"/>
        <v>1168.7655000000002</v>
      </c>
      <c r="I2781" s="5" t="str">
        <f t="shared" si="328"/>
        <v>017</v>
      </c>
      <c r="J2781" s="5" t="str">
        <f t="shared" si="329"/>
        <v>2210</v>
      </c>
      <c r="K2781" s="5" t="str">
        <f t="shared" si="330"/>
        <v>000</v>
      </c>
      <c r="L2781" s="5">
        <f t="shared" si="331"/>
        <v>6</v>
      </c>
      <c r="M2781" s="5">
        <f t="shared" si="332"/>
        <v>2012</v>
      </c>
    </row>
    <row r="2782" spans="1:13" ht="17.45" customHeight="1" x14ac:dyDescent="0.25">
      <c r="A2782" s="1">
        <f>DATE(2012,6,19)</f>
        <v>41079</v>
      </c>
      <c r="B2782" t="s">
        <v>17</v>
      </c>
      <c r="C2782" t="s">
        <v>9</v>
      </c>
      <c r="D2782" s="3">
        <v>547.17000000000007</v>
      </c>
      <c r="E2782" s="3">
        <v>0</v>
      </c>
      <c r="F2782" t="s">
        <v>45</v>
      </c>
      <c r="G2782" s="3">
        <f t="shared" si="326"/>
        <v>-547.17000000000007</v>
      </c>
      <c r="H2782" s="3">
        <f t="shared" si="327"/>
        <v>547.17000000000007</v>
      </c>
      <c r="I2782" s="5" t="str">
        <f t="shared" si="328"/>
        <v>017</v>
      </c>
      <c r="J2782" s="5" t="str">
        <f t="shared" si="329"/>
        <v>2220</v>
      </c>
      <c r="K2782" s="5" t="str">
        <f t="shared" si="330"/>
        <v>000</v>
      </c>
      <c r="L2782" s="5">
        <f t="shared" si="331"/>
        <v>6</v>
      </c>
      <c r="M2782" s="5">
        <f t="shared" si="332"/>
        <v>2012</v>
      </c>
    </row>
    <row r="2783" spans="1:13" ht="17.45" customHeight="1" x14ac:dyDescent="0.25">
      <c r="A2783" s="1">
        <f>DATE(2012,6,19)</f>
        <v>41079</v>
      </c>
      <c r="B2783" t="s">
        <v>18</v>
      </c>
      <c r="C2783" t="s">
        <v>10</v>
      </c>
      <c r="D2783" s="3">
        <v>175.46199999999999</v>
      </c>
      <c r="E2783" s="3">
        <v>0</v>
      </c>
      <c r="F2783" t="s">
        <v>45</v>
      </c>
      <c r="G2783" s="3">
        <f t="shared" si="326"/>
        <v>-175.46199999999999</v>
      </c>
      <c r="H2783" s="3">
        <f t="shared" si="327"/>
        <v>175.46199999999999</v>
      </c>
      <c r="I2783" s="5" t="str">
        <f t="shared" si="328"/>
        <v>017</v>
      </c>
      <c r="J2783" s="5" t="str">
        <f t="shared" si="329"/>
        <v>2230</v>
      </c>
      <c r="K2783" s="5" t="str">
        <f t="shared" si="330"/>
        <v>000</v>
      </c>
      <c r="L2783" s="5">
        <f t="shared" si="331"/>
        <v>6</v>
      </c>
      <c r="M2783" s="5">
        <f t="shared" si="332"/>
        <v>2012</v>
      </c>
    </row>
    <row r="2784" spans="1:13" ht="17.45" customHeight="1" x14ac:dyDescent="0.25">
      <c r="A2784" s="1">
        <f>DATE(2012,6,20)</f>
        <v>41080</v>
      </c>
      <c r="B2784" t="s">
        <v>15</v>
      </c>
      <c r="C2784" t="s">
        <v>6</v>
      </c>
      <c r="D2784" s="3">
        <v>5174.7773999999999</v>
      </c>
      <c r="E2784" s="3">
        <v>0</v>
      </c>
      <c r="F2784" t="s">
        <v>45</v>
      </c>
      <c r="G2784" s="3">
        <f t="shared" si="326"/>
        <v>-5174.7773999999999</v>
      </c>
      <c r="H2784" s="3">
        <f t="shared" si="327"/>
        <v>5174.7773999999999</v>
      </c>
      <c r="I2784" s="5" t="str">
        <f t="shared" si="328"/>
        <v>017</v>
      </c>
      <c r="J2784" s="5" t="str">
        <f t="shared" si="329"/>
        <v>2100</v>
      </c>
      <c r="K2784" s="5" t="str">
        <f t="shared" si="330"/>
        <v>000</v>
      </c>
      <c r="L2784" s="5">
        <f t="shared" si="331"/>
        <v>6</v>
      </c>
      <c r="M2784" s="5">
        <f t="shared" si="332"/>
        <v>2012</v>
      </c>
    </row>
    <row r="2785" spans="1:13" ht="17.45" customHeight="1" x14ac:dyDescent="0.25">
      <c r="A2785" s="1">
        <f>DATE(2012,6,20)</f>
        <v>41080</v>
      </c>
      <c r="B2785" t="s">
        <v>16</v>
      </c>
      <c r="C2785" t="s">
        <v>8</v>
      </c>
      <c r="D2785" s="3">
        <v>1966.826</v>
      </c>
      <c r="E2785" s="3">
        <v>0</v>
      </c>
      <c r="F2785" t="s">
        <v>45</v>
      </c>
      <c r="G2785" s="3">
        <f t="shared" si="326"/>
        <v>-1966.826</v>
      </c>
      <c r="H2785" s="3">
        <f t="shared" si="327"/>
        <v>1966.826</v>
      </c>
      <c r="I2785" s="5" t="str">
        <f t="shared" si="328"/>
        <v>017</v>
      </c>
      <c r="J2785" s="5" t="str">
        <f t="shared" si="329"/>
        <v>2210</v>
      </c>
      <c r="K2785" s="5" t="str">
        <f t="shared" si="330"/>
        <v>000</v>
      </c>
      <c r="L2785" s="5">
        <f t="shared" si="331"/>
        <v>6</v>
      </c>
      <c r="M2785" s="5">
        <f t="shared" si="332"/>
        <v>2012</v>
      </c>
    </row>
    <row r="2786" spans="1:13" ht="17.45" customHeight="1" x14ac:dyDescent="0.25">
      <c r="A2786" s="1">
        <f>DATE(2012,6,20)</f>
        <v>41080</v>
      </c>
      <c r="B2786" t="s">
        <v>17</v>
      </c>
      <c r="C2786" t="s">
        <v>9</v>
      </c>
      <c r="D2786" s="3">
        <v>810.6</v>
      </c>
      <c r="E2786" s="3">
        <v>0</v>
      </c>
      <c r="F2786" t="s">
        <v>45</v>
      </c>
      <c r="G2786" s="3">
        <f t="shared" si="326"/>
        <v>-810.6</v>
      </c>
      <c r="H2786" s="3">
        <f t="shared" si="327"/>
        <v>810.6</v>
      </c>
      <c r="I2786" s="5" t="str">
        <f t="shared" si="328"/>
        <v>017</v>
      </c>
      <c r="J2786" s="5" t="str">
        <f t="shared" si="329"/>
        <v>2220</v>
      </c>
      <c r="K2786" s="5" t="str">
        <f t="shared" si="330"/>
        <v>000</v>
      </c>
      <c r="L2786" s="5">
        <f t="shared" si="331"/>
        <v>6</v>
      </c>
      <c r="M2786" s="5">
        <f t="shared" si="332"/>
        <v>2012</v>
      </c>
    </row>
    <row r="2787" spans="1:13" ht="17.45" customHeight="1" x14ac:dyDescent="0.25">
      <c r="A2787" s="1">
        <f>DATE(2012,6,20)</f>
        <v>41080</v>
      </c>
      <c r="B2787" t="s">
        <v>18</v>
      </c>
      <c r="C2787" t="s">
        <v>10</v>
      </c>
      <c r="D2787" s="3">
        <v>85.89</v>
      </c>
      <c r="E2787" s="3">
        <v>0</v>
      </c>
      <c r="F2787" t="s">
        <v>45</v>
      </c>
      <c r="G2787" s="3">
        <f t="shared" si="326"/>
        <v>-85.89</v>
      </c>
      <c r="H2787" s="3">
        <f t="shared" si="327"/>
        <v>85.89</v>
      </c>
      <c r="I2787" s="5" t="str">
        <f t="shared" si="328"/>
        <v>017</v>
      </c>
      <c r="J2787" s="5" t="str">
        <f t="shared" si="329"/>
        <v>2230</v>
      </c>
      <c r="K2787" s="5" t="str">
        <f t="shared" si="330"/>
        <v>000</v>
      </c>
      <c r="L2787" s="5">
        <f t="shared" si="331"/>
        <v>6</v>
      </c>
      <c r="M2787" s="5">
        <f t="shared" si="332"/>
        <v>2012</v>
      </c>
    </row>
    <row r="2788" spans="1:13" ht="17.45" customHeight="1" x14ac:dyDescent="0.25">
      <c r="A2788" s="1">
        <f>DATE(2012,6,21)</f>
        <v>41081</v>
      </c>
      <c r="B2788" t="s">
        <v>15</v>
      </c>
      <c r="C2788" t="s">
        <v>6</v>
      </c>
      <c r="D2788" s="3">
        <v>8084.9557999999997</v>
      </c>
      <c r="E2788" s="3">
        <v>0</v>
      </c>
      <c r="F2788" t="s">
        <v>45</v>
      </c>
      <c r="G2788" s="3">
        <f t="shared" si="326"/>
        <v>-8084.9557999999997</v>
      </c>
      <c r="H2788" s="3">
        <f t="shared" si="327"/>
        <v>8084.9557999999997</v>
      </c>
      <c r="I2788" s="5" t="str">
        <f t="shared" si="328"/>
        <v>017</v>
      </c>
      <c r="J2788" s="5" t="str">
        <f t="shared" si="329"/>
        <v>2100</v>
      </c>
      <c r="K2788" s="5" t="str">
        <f t="shared" si="330"/>
        <v>000</v>
      </c>
      <c r="L2788" s="5">
        <f t="shared" si="331"/>
        <v>6</v>
      </c>
      <c r="M2788" s="5">
        <f t="shared" si="332"/>
        <v>2012</v>
      </c>
    </row>
    <row r="2789" spans="1:13" ht="17.45" customHeight="1" x14ac:dyDescent="0.25">
      <c r="A2789" s="1">
        <f>DATE(2012,6,21)</f>
        <v>41081</v>
      </c>
      <c r="B2789" t="s">
        <v>16</v>
      </c>
      <c r="C2789" t="s">
        <v>8</v>
      </c>
      <c r="D2789" s="3">
        <v>1976.91</v>
      </c>
      <c r="E2789" s="3">
        <v>0</v>
      </c>
      <c r="F2789" t="s">
        <v>45</v>
      </c>
      <c r="G2789" s="3">
        <f t="shared" si="326"/>
        <v>-1976.91</v>
      </c>
      <c r="H2789" s="3">
        <f t="shared" si="327"/>
        <v>1976.91</v>
      </c>
      <c r="I2789" s="5" t="str">
        <f t="shared" si="328"/>
        <v>017</v>
      </c>
      <c r="J2789" s="5" t="str">
        <f t="shared" si="329"/>
        <v>2210</v>
      </c>
      <c r="K2789" s="5" t="str">
        <f t="shared" si="330"/>
        <v>000</v>
      </c>
      <c r="L2789" s="5">
        <f t="shared" si="331"/>
        <v>6</v>
      </c>
      <c r="M2789" s="5">
        <f t="shared" si="332"/>
        <v>2012</v>
      </c>
    </row>
    <row r="2790" spans="1:13" ht="17.45" customHeight="1" x14ac:dyDescent="0.25">
      <c r="A2790" s="1">
        <f>DATE(2012,6,21)</f>
        <v>41081</v>
      </c>
      <c r="B2790" t="s">
        <v>17</v>
      </c>
      <c r="C2790" t="s">
        <v>9</v>
      </c>
      <c r="D2790" s="3">
        <v>531.87750000000005</v>
      </c>
      <c r="E2790" s="3">
        <v>0</v>
      </c>
      <c r="F2790" t="s">
        <v>45</v>
      </c>
      <c r="G2790" s="3">
        <f t="shared" si="326"/>
        <v>-531.87750000000005</v>
      </c>
      <c r="H2790" s="3">
        <f t="shared" si="327"/>
        <v>531.87750000000005</v>
      </c>
      <c r="I2790" s="5" t="str">
        <f t="shared" si="328"/>
        <v>017</v>
      </c>
      <c r="J2790" s="5" t="str">
        <f t="shared" si="329"/>
        <v>2220</v>
      </c>
      <c r="K2790" s="5" t="str">
        <f t="shared" si="330"/>
        <v>000</v>
      </c>
      <c r="L2790" s="5">
        <f t="shared" si="331"/>
        <v>6</v>
      </c>
      <c r="M2790" s="5">
        <f t="shared" si="332"/>
        <v>2012</v>
      </c>
    </row>
    <row r="2791" spans="1:13" ht="17.45" customHeight="1" x14ac:dyDescent="0.25">
      <c r="A2791" s="1">
        <f>DATE(2012,6,21)</f>
        <v>41081</v>
      </c>
      <c r="B2791" t="s">
        <v>18</v>
      </c>
      <c r="C2791" t="s">
        <v>10</v>
      </c>
      <c r="D2791" s="3">
        <v>119.29</v>
      </c>
      <c r="E2791" s="3">
        <v>0</v>
      </c>
      <c r="F2791" t="s">
        <v>45</v>
      </c>
      <c r="G2791" s="3">
        <f t="shared" si="326"/>
        <v>-119.29</v>
      </c>
      <c r="H2791" s="3">
        <f t="shared" si="327"/>
        <v>119.29</v>
      </c>
      <c r="I2791" s="5" t="str">
        <f t="shared" si="328"/>
        <v>017</v>
      </c>
      <c r="J2791" s="5" t="str">
        <f t="shared" si="329"/>
        <v>2230</v>
      </c>
      <c r="K2791" s="5" t="str">
        <f t="shared" si="330"/>
        <v>000</v>
      </c>
      <c r="L2791" s="5">
        <f t="shared" si="331"/>
        <v>6</v>
      </c>
      <c r="M2791" s="5">
        <f t="shared" si="332"/>
        <v>2012</v>
      </c>
    </row>
    <row r="2792" spans="1:13" ht="17.45" customHeight="1" x14ac:dyDescent="0.25">
      <c r="A2792" s="1">
        <f>DATE(2012,6,22)</f>
        <v>41082</v>
      </c>
      <c r="B2792" t="s">
        <v>15</v>
      </c>
      <c r="C2792" t="s">
        <v>6</v>
      </c>
      <c r="D2792" s="3">
        <v>7793.7199000000001</v>
      </c>
      <c r="E2792" s="3">
        <v>0</v>
      </c>
      <c r="F2792" t="s">
        <v>45</v>
      </c>
      <c r="G2792" s="3">
        <f t="shared" si="326"/>
        <v>-7793.7199000000001</v>
      </c>
      <c r="H2792" s="3">
        <f t="shared" si="327"/>
        <v>7793.7199000000001</v>
      </c>
      <c r="I2792" s="5" t="str">
        <f t="shared" si="328"/>
        <v>017</v>
      </c>
      <c r="J2792" s="5" t="str">
        <f t="shared" si="329"/>
        <v>2100</v>
      </c>
      <c r="K2792" s="5" t="str">
        <f t="shared" si="330"/>
        <v>000</v>
      </c>
      <c r="L2792" s="5">
        <f t="shared" si="331"/>
        <v>6</v>
      </c>
      <c r="M2792" s="5">
        <f t="shared" si="332"/>
        <v>2012</v>
      </c>
    </row>
    <row r="2793" spans="1:13" ht="17.45" customHeight="1" x14ac:dyDescent="0.25">
      <c r="A2793" s="1">
        <f>DATE(2012,6,22)</f>
        <v>41082</v>
      </c>
      <c r="B2793" t="s">
        <v>16</v>
      </c>
      <c r="C2793" t="s">
        <v>8</v>
      </c>
      <c r="D2793" s="3">
        <v>1961.3825000000002</v>
      </c>
      <c r="E2793" s="3">
        <v>0</v>
      </c>
      <c r="F2793" t="s">
        <v>45</v>
      </c>
      <c r="G2793" s="3">
        <f t="shared" si="326"/>
        <v>-1961.3825000000002</v>
      </c>
      <c r="H2793" s="3">
        <f t="shared" si="327"/>
        <v>1961.3825000000002</v>
      </c>
      <c r="I2793" s="5" t="str">
        <f t="shared" si="328"/>
        <v>017</v>
      </c>
      <c r="J2793" s="5" t="str">
        <f t="shared" si="329"/>
        <v>2210</v>
      </c>
      <c r="K2793" s="5" t="str">
        <f t="shared" si="330"/>
        <v>000</v>
      </c>
      <c r="L2793" s="5">
        <f t="shared" si="331"/>
        <v>6</v>
      </c>
      <c r="M2793" s="5">
        <f t="shared" si="332"/>
        <v>2012</v>
      </c>
    </row>
    <row r="2794" spans="1:13" ht="17.45" customHeight="1" x14ac:dyDescent="0.25">
      <c r="A2794" s="1">
        <f>DATE(2012,6,22)</f>
        <v>41082</v>
      </c>
      <c r="B2794" t="s">
        <v>17</v>
      </c>
      <c r="C2794" t="s">
        <v>9</v>
      </c>
      <c r="D2794" s="3">
        <v>705.47750000000008</v>
      </c>
      <c r="E2794" s="3">
        <v>0</v>
      </c>
      <c r="F2794" t="s">
        <v>45</v>
      </c>
      <c r="G2794" s="3">
        <f t="shared" si="326"/>
        <v>-705.47750000000008</v>
      </c>
      <c r="H2794" s="3">
        <f t="shared" si="327"/>
        <v>705.47750000000008</v>
      </c>
      <c r="I2794" s="5" t="str">
        <f t="shared" si="328"/>
        <v>017</v>
      </c>
      <c r="J2794" s="5" t="str">
        <f t="shared" si="329"/>
        <v>2220</v>
      </c>
      <c r="K2794" s="5" t="str">
        <f t="shared" si="330"/>
        <v>000</v>
      </c>
      <c r="L2794" s="5">
        <f t="shared" si="331"/>
        <v>6</v>
      </c>
      <c r="M2794" s="5">
        <f t="shared" si="332"/>
        <v>2012</v>
      </c>
    </row>
    <row r="2795" spans="1:13" ht="17.45" customHeight="1" x14ac:dyDescent="0.25">
      <c r="A2795" s="1">
        <f>DATE(2012,6,22)</f>
        <v>41082</v>
      </c>
      <c r="B2795" t="s">
        <v>18</v>
      </c>
      <c r="C2795" t="s">
        <v>10</v>
      </c>
      <c r="D2795" s="3">
        <v>183.10400000000001</v>
      </c>
      <c r="E2795" s="3">
        <v>0</v>
      </c>
      <c r="F2795" t="s">
        <v>45</v>
      </c>
      <c r="G2795" s="3">
        <f t="shared" si="326"/>
        <v>-183.10400000000001</v>
      </c>
      <c r="H2795" s="3">
        <f t="shared" si="327"/>
        <v>183.10400000000001</v>
      </c>
      <c r="I2795" s="5" t="str">
        <f t="shared" si="328"/>
        <v>017</v>
      </c>
      <c r="J2795" s="5" t="str">
        <f t="shared" si="329"/>
        <v>2230</v>
      </c>
      <c r="K2795" s="5" t="str">
        <f t="shared" si="330"/>
        <v>000</v>
      </c>
      <c r="L2795" s="5">
        <f t="shared" si="331"/>
        <v>6</v>
      </c>
      <c r="M2795" s="5">
        <f t="shared" si="332"/>
        <v>2012</v>
      </c>
    </row>
    <row r="2796" spans="1:13" ht="17.45" customHeight="1" x14ac:dyDescent="0.25">
      <c r="A2796" s="1">
        <f>DATE(2012,6,23)</f>
        <v>41083</v>
      </c>
      <c r="B2796" t="s">
        <v>15</v>
      </c>
      <c r="C2796" t="s">
        <v>6</v>
      </c>
      <c r="D2796" s="3">
        <v>8830.3411999999989</v>
      </c>
      <c r="E2796" s="3">
        <v>0</v>
      </c>
      <c r="F2796" t="s">
        <v>45</v>
      </c>
      <c r="G2796" s="3">
        <f t="shared" si="326"/>
        <v>-8830.3411999999989</v>
      </c>
      <c r="H2796" s="3">
        <f t="shared" si="327"/>
        <v>8830.3411999999989</v>
      </c>
      <c r="I2796" s="5" t="str">
        <f t="shared" si="328"/>
        <v>017</v>
      </c>
      <c r="J2796" s="5" t="str">
        <f t="shared" si="329"/>
        <v>2100</v>
      </c>
      <c r="K2796" s="5" t="str">
        <f t="shared" si="330"/>
        <v>000</v>
      </c>
      <c r="L2796" s="5">
        <f t="shared" si="331"/>
        <v>6</v>
      </c>
      <c r="M2796" s="5">
        <f t="shared" si="332"/>
        <v>2012</v>
      </c>
    </row>
    <row r="2797" spans="1:13" ht="17.45" customHeight="1" x14ac:dyDescent="0.25">
      <c r="A2797" s="1">
        <f>DATE(2012,6,23)</f>
        <v>41083</v>
      </c>
      <c r="B2797" t="s">
        <v>16</v>
      </c>
      <c r="C2797" t="s">
        <v>8</v>
      </c>
      <c r="D2797" s="3">
        <v>1604.316</v>
      </c>
      <c r="E2797" s="3">
        <v>0</v>
      </c>
      <c r="F2797" t="s">
        <v>45</v>
      </c>
      <c r="G2797" s="3">
        <f t="shared" si="326"/>
        <v>-1604.316</v>
      </c>
      <c r="H2797" s="3">
        <f t="shared" si="327"/>
        <v>1604.316</v>
      </c>
      <c r="I2797" s="5" t="str">
        <f t="shared" si="328"/>
        <v>017</v>
      </c>
      <c r="J2797" s="5" t="str">
        <f t="shared" si="329"/>
        <v>2210</v>
      </c>
      <c r="K2797" s="5" t="str">
        <f t="shared" si="330"/>
        <v>000</v>
      </c>
      <c r="L2797" s="5">
        <f t="shared" si="331"/>
        <v>6</v>
      </c>
      <c r="M2797" s="5">
        <f t="shared" si="332"/>
        <v>2012</v>
      </c>
    </row>
    <row r="2798" spans="1:13" ht="17.45" customHeight="1" x14ac:dyDescent="0.25">
      <c r="A2798" s="1">
        <f>DATE(2012,6,23)</f>
        <v>41083</v>
      </c>
      <c r="B2798" t="s">
        <v>17</v>
      </c>
      <c r="C2798" t="s">
        <v>9</v>
      </c>
      <c r="D2798" s="3">
        <v>386.77500000000003</v>
      </c>
      <c r="E2798" s="3">
        <v>0</v>
      </c>
      <c r="F2798" t="s">
        <v>45</v>
      </c>
      <c r="G2798" s="3">
        <f t="shared" si="326"/>
        <v>-386.77500000000003</v>
      </c>
      <c r="H2798" s="3">
        <f t="shared" si="327"/>
        <v>386.77500000000003</v>
      </c>
      <c r="I2798" s="5" t="str">
        <f t="shared" si="328"/>
        <v>017</v>
      </c>
      <c r="J2798" s="5" t="str">
        <f t="shared" si="329"/>
        <v>2220</v>
      </c>
      <c r="K2798" s="5" t="str">
        <f t="shared" si="330"/>
        <v>000</v>
      </c>
      <c r="L2798" s="5">
        <f t="shared" si="331"/>
        <v>6</v>
      </c>
      <c r="M2798" s="5">
        <f t="shared" si="332"/>
        <v>2012</v>
      </c>
    </row>
    <row r="2799" spans="1:13" ht="17.45" customHeight="1" x14ac:dyDescent="0.25">
      <c r="A2799" s="1">
        <f>DATE(2012,6,23)</f>
        <v>41083</v>
      </c>
      <c r="B2799" t="s">
        <v>18</v>
      </c>
      <c r="C2799" t="s">
        <v>10</v>
      </c>
      <c r="D2799" s="3">
        <v>124.48050000000001</v>
      </c>
      <c r="E2799" s="3">
        <v>0</v>
      </c>
      <c r="F2799" t="s">
        <v>45</v>
      </c>
      <c r="G2799" s="3">
        <f t="shared" si="326"/>
        <v>-124.48050000000001</v>
      </c>
      <c r="H2799" s="3">
        <f t="shared" si="327"/>
        <v>124.48050000000001</v>
      </c>
      <c r="I2799" s="5" t="str">
        <f t="shared" si="328"/>
        <v>017</v>
      </c>
      <c r="J2799" s="5" t="str">
        <f t="shared" si="329"/>
        <v>2230</v>
      </c>
      <c r="K2799" s="5" t="str">
        <f t="shared" si="330"/>
        <v>000</v>
      </c>
      <c r="L2799" s="5">
        <f t="shared" si="331"/>
        <v>6</v>
      </c>
      <c r="M2799" s="5">
        <f t="shared" si="332"/>
        <v>2012</v>
      </c>
    </row>
    <row r="2800" spans="1:13" ht="17.45" customHeight="1" x14ac:dyDescent="0.25">
      <c r="A2800" s="1">
        <f t="shared" ref="A2800:A2803" si="333">DATE(2012,6,24)</f>
        <v>41084</v>
      </c>
      <c r="B2800" t="s">
        <v>15</v>
      </c>
      <c r="C2800" t="s">
        <v>6</v>
      </c>
      <c r="D2800" s="3">
        <v>3123.6912000000007</v>
      </c>
      <c r="E2800" s="3">
        <v>0</v>
      </c>
      <c r="F2800" t="s">
        <v>45</v>
      </c>
      <c r="G2800" s="3">
        <f t="shared" si="326"/>
        <v>-3123.6912000000007</v>
      </c>
      <c r="H2800" s="3">
        <f t="shared" si="327"/>
        <v>3123.6912000000007</v>
      </c>
      <c r="I2800" s="5" t="str">
        <f t="shared" si="328"/>
        <v>017</v>
      </c>
      <c r="J2800" s="5" t="str">
        <f t="shared" si="329"/>
        <v>2100</v>
      </c>
      <c r="K2800" s="5" t="str">
        <f t="shared" si="330"/>
        <v>000</v>
      </c>
      <c r="L2800" s="5">
        <f t="shared" si="331"/>
        <v>6</v>
      </c>
      <c r="M2800" s="5">
        <f t="shared" si="332"/>
        <v>2012</v>
      </c>
    </row>
    <row r="2801" spans="1:13" ht="17.45" customHeight="1" x14ac:dyDescent="0.25">
      <c r="A2801" s="1">
        <f t="shared" si="333"/>
        <v>41084</v>
      </c>
      <c r="B2801" t="s">
        <v>16</v>
      </c>
      <c r="C2801" t="s">
        <v>8</v>
      </c>
      <c r="D2801" s="3">
        <v>882.35100000000011</v>
      </c>
      <c r="E2801" s="3">
        <v>0</v>
      </c>
      <c r="F2801" t="s">
        <v>45</v>
      </c>
      <c r="G2801" s="3">
        <f t="shared" si="326"/>
        <v>-882.35100000000011</v>
      </c>
      <c r="H2801" s="3">
        <f t="shared" si="327"/>
        <v>882.35100000000011</v>
      </c>
      <c r="I2801" s="5" t="str">
        <f t="shared" si="328"/>
        <v>017</v>
      </c>
      <c r="J2801" s="5" t="str">
        <f t="shared" si="329"/>
        <v>2210</v>
      </c>
      <c r="K2801" s="5" t="str">
        <f t="shared" si="330"/>
        <v>000</v>
      </c>
      <c r="L2801" s="5">
        <f t="shared" si="331"/>
        <v>6</v>
      </c>
      <c r="M2801" s="5">
        <f t="shared" si="332"/>
        <v>2012</v>
      </c>
    </row>
    <row r="2802" spans="1:13" ht="17.45" customHeight="1" x14ac:dyDescent="0.25">
      <c r="A2802" s="1">
        <f t="shared" si="333"/>
        <v>41084</v>
      </c>
      <c r="B2802" t="s">
        <v>17</v>
      </c>
      <c r="C2802" t="s">
        <v>9</v>
      </c>
      <c r="D2802" s="3">
        <v>293.47500000000002</v>
      </c>
      <c r="E2802" s="3">
        <v>0</v>
      </c>
      <c r="F2802" t="s">
        <v>45</v>
      </c>
      <c r="G2802" s="3">
        <f t="shared" si="326"/>
        <v>-293.47500000000002</v>
      </c>
      <c r="H2802" s="3">
        <f t="shared" si="327"/>
        <v>293.47500000000002</v>
      </c>
      <c r="I2802" s="5" t="str">
        <f t="shared" si="328"/>
        <v>017</v>
      </c>
      <c r="J2802" s="5" t="str">
        <f t="shared" si="329"/>
        <v>2220</v>
      </c>
      <c r="K2802" s="5" t="str">
        <f t="shared" si="330"/>
        <v>000</v>
      </c>
      <c r="L2802" s="5">
        <f t="shared" si="331"/>
        <v>6</v>
      </c>
      <c r="M2802" s="5">
        <f t="shared" si="332"/>
        <v>2012</v>
      </c>
    </row>
    <row r="2803" spans="1:13" ht="17.45" customHeight="1" x14ac:dyDescent="0.25">
      <c r="A2803" s="1">
        <f t="shared" si="333"/>
        <v>41084</v>
      </c>
      <c r="B2803" t="s">
        <v>18</v>
      </c>
      <c r="C2803" t="s">
        <v>10</v>
      </c>
      <c r="D2803" s="3">
        <v>44.256000000000007</v>
      </c>
      <c r="E2803" s="3">
        <v>0</v>
      </c>
      <c r="F2803" t="s">
        <v>45</v>
      </c>
      <c r="G2803" s="3">
        <f t="shared" si="326"/>
        <v>-44.256000000000007</v>
      </c>
      <c r="H2803" s="3">
        <f t="shared" si="327"/>
        <v>44.256000000000007</v>
      </c>
      <c r="I2803" s="5" t="str">
        <f t="shared" si="328"/>
        <v>017</v>
      </c>
      <c r="J2803" s="5" t="str">
        <f t="shared" si="329"/>
        <v>2230</v>
      </c>
      <c r="K2803" s="5" t="str">
        <f t="shared" si="330"/>
        <v>000</v>
      </c>
      <c r="L2803" s="5">
        <f t="shared" si="331"/>
        <v>6</v>
      </c>
      <c r="M2803" s="5">
        <f t="shared" si="332"/>
        <v>2012</v>
      </c>
    </row>
    <row r="2804" spans="1:13" ht="17.45" customHeight="1" x14ac:dyDescent="0.25">
      <c r="A2804" s="1">
        <f>DATE(2012,6,18)</f>
        <v>41078</v>
      </c>
      <c r="B2804" t="s">
        <v>19</v>
      </c>
      <c r="C2804" t="s">
        <v>6</v>
      </c>
      <c r="D2804" s="3">
        <v>3765.8250000000003</v>
      </c>
      <c r="E2804" s="3">
        <v>0</v>
      </c>
      <c r="F2804" t="s">
        <v>45</v>
      </c>
      <c r="G2804" s="3">
        <f t="shared" si="326"/>
        <v>-3765.8250000000003</v>
      </c>
      <c r="H2804" s="3">
        <f t="shared" si="327"/>
        <v>3765.8250000000003</v>
      </c>
      <c r="I2804" s="5" t="str">
        <f t="shared" si="328"/>
        <v>018</v>
      </c>
      <c r="J2804" s="5" t="str">
        <f t="shared" si="329"/>
        <v>2100</v>
      </c>
      <c r="K2804" s="5" t="str">
        <f t="shared" si="330"/>
        <v>000</v>
      </c>
      <c r="L2804" s="5">
        <f t="shared" si="331"/>
        <v>6</v>
      </c>
      <c r="M2804" s="5">
        <f t="shared" si="332"/>
        <v>2012</v>
      </c>
    </row>
    <row r="2805" spans="1:13" ht="17.45" customHeight="1" x14ac:dyDescent="0.25">
      <c r="A2805" s="1">
        <f>DATE(2012,6,18)</f>
        <v>41078</v>
      </c>
      <c r="B2805" t="s">
        <v>20</v>
      </c>
      <c r="C2805" t="s">
        <v>8</v>
      </c>
      <c r="D2805" s="3">
        <v>610.96350000000007</v>
      </c>
      <c r="E2805" s="3">
        <v>0</v>
      </c>
      <c r="F2805" t="s">
        <v>45</v>
      </c>
      <c r="G2805" s="3">
        <f t="shared" si="326"/>
        <v>-610.96350000000007</v>
      </c>
      <c r="H2805" s="3">
        <f t="shared" si="327"/>
        <v>610.96350000000007</v>
      </c>
      <c r="I2805" s="5" t="str">
        <f t="shared" si="328"/>
        <v>018</v>
      </c>
      <c r="J2805" s="5" t="str">
        <f t="shared" si="329"/>
        <v>2210</v>
      </c>
      <c r="K2805" s="5" t="str">
        <f t="shared" si="330"/>
        <v>000</v>
      </c>
      <c r="L2805" s="5">
        <f t="shared" si="331"/>
        <v>6</v>
      </c>
      <c r="M2805" s="5">
        <f t="shared" si="332"/>
        <v>2012</v>
      </c>
    </row>
    <row r="2806" spans="1:13" ht="17.45" customHeight="1" x14ac:dyDescent="0.25">
      <c r="A2806" s="1">
        <f>DATE(2012,6,18)</f>
        <v>41078</v>
      </c>
      <c r="B2806" t="s">
        <v>21</v>
      </c>
      <c r="C2806" t="s">
        <v>9</v>
      </c>
      <c r="D2806" s="3">
        <v>158.71299999999999</v>
      </c>
      <c r="E2806" s="3">
        <v>0</v>
      </c>
      <c r="F2806" t="s">
        <v>45</v>
      </c>
      <c r="G2806" s="3">
        <f t="shared" si="326"/>
        <v>-158.71299999999999</v>
      </c>
      <c r="H2806" s="3">
        <f t="shared" si="327"/>
        <v>158.71299999999999</v>
      </c>
      <c r="I2806" s="5" t="str">
        <f t="shared" si="328"/>
        <v>018</v>
      </c>
      <c r="J2806" s="5" t="str">
        <f t="shared" si="329"/>
        <v>2220</v>
      </c>
      <c r="K2806" s="5" t="str">
        <f t="shared" si="330"/>
        <v>000</v>
      </c>
      <c r="L2806" s="5">
        <f t="shared" si="331"/>
        <v>6</v>
      </c>
      <c r="M2806" s="5">
        <f t="shared" si="332"/>
        <v>2012</v>
      </c>
    </row>
    <row r="2807" spans="1:13" ht="17.45" customHeight="1" x14ac:dyDescent="0.25">
      <c r="A2807" s="1">
        <f>DATE(2012,6,18)</f>
        <v>41078</v>
      </c>
      <c r="B2807" t="s">
        <v>22</v>
      </c>
      <c r="C2807" t="s">
        <v>10</v>
      </c>
      <c r="D2807" s="3">
        <v>31.569999999999997</v>
      </c>
      <c r="E2807" s="3">
        <v>0</v>
      </c>
      <c r="F2807" t="s">
        <v>45</v>
      </c>
      <c r="G2807" s="3">
        <f t="shared" si="326"/>
        <v>-31.569999999999997</v>
      </c>
      <c r="H2807" s="3">
        <f t="shared" si="327"/>
        <v>31.569999999999997</v>
      </c>
      <c r="I2807" s="5" t="str">
        <f t="shared" si="328"/>
        <v>018</v>
      </c>
      <c r="J2807" s="5" t="str">
        <f t="shared" si="329"/>
        <v>2230</v>
      </c>
      <c r="K2807" s="5" t="str">
        <f t="shared" si="330"/>
        <v>000</v>
      </c>
      <c r="L2807" s="5">
        <f t="shared" si="331"/>
        <v>6</v>
      </c>
      <c r="M2807" s="5">
        <f t="shared" si="332"/>
        <v>2012</v>
      </c>
    </row>
    <row r="2808" spans="1:13" ht="17.45" customHeight="1" x14ac:dyDescent="0.25">
      <c r="A2808" s="1">
        <f>DATE(2012,6,19)</f>
        <v>41079</v>
      </c>
      <c r="B2808" t="s">
        <v>19</v>
      </c>
      <c r="C2808" t="s">
        <v>6</v>
      </c>
      <c r="D2808" s="3">
        <v>4391.5264000000006</v>
      </c>
      <c r="E2808" s="3">
        <v>0</v>
      </c>
      <c r="F2808" t="s">
        <v>45</v>
      </c>
      <c r="G2808" s="3">
        <f t="shared" si="326"/>
        <v>-4391.5264000000006</v>
      </c>
      <c r="H2808" s="3">
        <f t="shared" si="327"/>
        <v>4391.5264000000006</v>
      </c>
      <c r="I2808" s="5" t="str">
        <f t="shared" si="328"/>
        <v>018</v>
      </c>
      <c r="J2808" s="5" t="str">
        <f t="shared" si="329"/>
        <v>2100</v>
      </c>
      <c r="K2808" s="5" t="str">
        <f t="shared" si="330"/>
        <v>000</v>
      </c>
      <c r="L2808" s="5">
        <f t="shared" si="331"/>
        <v>6</v>
      </c>
      <c r="M2808" s="5">
        <f t="shared" si="332"/>
        <v>2012</v>
      </c>
    </row>
    <row r="2809" spans="1:13" ht="17.45" customHeight="1" x14ac:dyDescent="0.25">
      <c r="A2809" s="1">
        <f>DATE(2012,6,19)</f>
        <v>41079</v>
      </c>
      <c r="B2809" t="s">
        <v>20</v>
      </c>
      <c r="C2809" t="s">
        <v>8</v>
      </c>
      <c r="D2809" s="3">
        <v>1042.22</v>
      </c>
      <c r="E2809" s="3">
        <v>0</v>
      </c>
      <c r="F2809" t="s">
        <v>45</v>
      </c>
      <c r="G2809" s="3">
        <f t="shared" si="326"/>
        <v>-1042.22</v>
      </c>
      <c r="H2809" s="3">
        <f t="shared" si="327"/>
        <v>1042.22</v>
      </c>
      <c r="I2809" s="5" t="str">
        <f t="shared" si="328"/>
        <v>018</v>
      </c>
      <c r="J2809" s="5" t="str">
        <f t="shared" si="329"/>
        <v>2210</v>
      </c>
      <c r="K2809" s="5" t="str">
        <f t="shared" si="330"/>
        <v>000</v>
      </c>
      <c r="L2809" s="5">
        <f t="shared" si="331"/>
        <v>6</v>
      </c>
      <c r="M2809" s="5">
        <f t="shared" si="332"/>
        <v>2012</v>
      </c>
    </row>
    <row r="2810" spans="1:13" ht="17.45" customHeight="1" x14ac:dyDescent="0.25">
      <c r="A2810" s="1">
        <f>DATE(2012,6,19)</f>
        <v>41079</v>
      </c>
      <c r="B2810" t="s">
        <v>21</v>
      </c>
      <c r="C2810" t="s">
        <v>9</v>
      </c>
      <c r="D2810" s="3">
        <v>155.73599999999999</v>
      </c>
      <c r="E2810" s="3">
        <v>0</v>
      </c>
      <c r="F2810" t="s">
        <v>45</v>
      </c>
      <c r="G2810" s="3">
        <f t="shared" si="326"/>
        <v>-155.73599999999999</v>
      </c>
      <c r="H2810" s="3">
        <f t="shared" si="327"/>
        <v>155.73599999999999</v>
      </c>
      <c r="I2810" s="5" t="str">
        <f t="shared" si="328"/>
        <v>018</v>
      </c>
      <c r="J2810" s="5" t="str">
        <f t="shared" si="329"/>
        <v>2220</v>
      </c>
      <c r="K2810" s="5" t="str">
        <f t="shared" si="330"/>
        <v>000</v>
      </c>
      <c r="L2810" s="5">
        <f t="shared" si="331"/>
        <v>6</v>
      </c>
      <c r="M2810" s="5">
        <f t="shared" si="332"/>
        <v>2012</v>
      </c>
    </row>
    <row r="2811" spans="1:13" ht="17.45" customHeight="1" x14ac:dyDescent="0.25">
      <c r="A2811" s="1">
        <f>DATE(2012,6,19)</f>
        <v>41079</v>
      </c>
      <c r="B2811" t="s">
        <v>22</v>
      </c>
      <c r="C2811" t="s">
        <v>10</v>
      </c>
      <c r="D2811" s="3">
        <v>61.949999999999996</v>
      </c>
      <c r="E2811" s="3">
        <v>0</v>
      </c>
      <c r="F2811" t="s">
        <v>45</v>
      </c>
      <c r="G2811" s="3">
        <f t="shared" si="326"/>
        <v>-61.949999999999996</v>
      </c>
      <c r="H2811" s="3">
        <f t="shared" si="327"/>
        <v>61.949999999999996</v>
      </c>
      <c r="I2811" s="5" t="str">
        <f t="shared" si="328"/>
        <v>018</v>
      </c>
      <c r="J2811" s="5" t="str">
        <f t="shared" si="329"/>
        <v>2230</v>
      </c>
      <c r="K2811" s="5" t="str">
        <f t="shared" si="330"/>
        <v>000</v>
      </c>
      <c r="L2811" s="5">
        <f t="shared" si="331"/>
        <v>6</v>
      </c>
      <c r="M2811" s="5">
        <f t="shared" si="332"/>
        <v>2012</v>
      </c>
    </row>
    <row r="2812" spans="1:13" ht="17.45" customHeight="1" x14ac:dyDescent="0.25">
      <c r="A2812" s="1">
        <f>DATE(2012,6,20)</f>
        <v>41080</v>
      </c>
      <c r="B2812" t="s">
        <v>19</v>
      </c>
      <c r="C2812" t="s">
        <v>6</v>
      </c>
      <c r="D2812" s="3">
        <v>5133.7903999999999</v>
      </c>
      <c r="E2812" s="3">
        <v>0</v>
      </c>
      <c r="F2812" t="s">
        <v>45</v>
      </c>
      <c r="G2812" s="3">
        <f t="shared" si="326"/>
        <v>-5133.7903999999999</v>
      </c>
      <c r="H2812" s="3">
        <f t="shared" si="327"/>
        <v>5133.7903999999999</v>
      </c>
      <c r="I2812" s="5" t="str">
        <f t="shared" si="328"/>
        <v>018</v>
      </c>
      <c r="J2812" s="5" t="str">
        <f t="shared" si="329"/>
        <v>2100</v>
      </c>
      <c r="K2812" s="5" t="str">
        <f t="shared" si="330"/>
        <v>000</v>
      </c>
      <c r="L2812" s="5">
        <f t="shared" si="331"/>
        <v>6</v>
      </c>
      <c r="M2812" s="5">
        <f t="shared" si="332"/>
        <v>2012</v>
      </c>
    </row>
    <row r="2813" spans="1:13" ht="17.45" customHeight="1" x14ac:dyDescent="0.25">
      <c r="A2813" s="1">
        <f>DATE(2012,6,20)</f>
        <v>41080</v>
      </c>
      <c r="B2813" t="s">
        <v>20</v>
      </c>
      <c r="C2813" t="s">
        <v>8</v>
      </c>
      <c r="D2813" s="3">
        <v>824.66199999999992</v>
      </c>
      <c r="E2813" s="3">
        <v>0</v>
      </c>
      <c r="F2813" t="s">
        <v>45</v>
      </c>
      <c r="G2813" s="3">
        <f t="shared" si="326"/>
        <v>-824.66199999999992</v>
      </c>
      <c r="H2813" s="3">
        <f t="shared" si="327"/>
        <v>824.66199999999992</v>
      </c>
      <c r="I2813" s="5" t="str">
        <f t="shared" si="328"/>
        <v>018</v>
      </c>
      <c r="J2813" s="5" t="str">
        <f t="shared" si="329"/>
        <v>2210</v>
      </c>
      <c r="K2813" s="5" t="str">
        <f t="shared" si="330"/>
        <v>000</v>
      </c>
      <c r="L2813" s="5">
        <f t="shared" si="331"/>
        <v>6</v>
      </c>
      <c r="M2813" s="5">
        <f t="shared" si="332"/>
        <v>2012</v>
      </c>
    </row>
    <row r="2814" spans="1:13" ht="17.45" customHeight="1" x14ac:dyDescent="0.25">
      <c r="A2814" s="1">
        <f>DATE(2012,6,20)</f>
        <v>41080</v>
      </c>
      <c r="B2814" t="s">
        <v>21</v>
      </c>
      <c r="C2814" t="s">
        <v>9</v>
      </c>
      <c r="D2814" s="3">
        <v>160.85899999999998</v>
      </c>
      <c r="E2814" s="3">
        <v>0</v>
      </c>
      <c r="F2814" t="s">
        <v>45</v>
      </c>
      <c r="G2814" s="3">
        <f t="shared" si="326"/>
        <v>-160.85899999999998</v>
      </c>
      <c r="H2814" s="3">
        <f t="shared" si="327"/>
        <v>160.85899999999998</v>
      </c>
      <c r="I2814" s="5" t="str">
        <f t="shared" si="328"/>
        <v>018</v>
      </c>
      <c r="J2814" s="5" t="str">
        <f t="shared" si="329"/>
        <v>2220</v>
      </c>
      <c r="K2814" s="5" t="str">
        <f t="shared" si="330"/>
        <v>000</v>
      </c>
      <c r="L2814" s="5">
        <f t="shared" si="331"/>
        <v>6</v>
      </c>
      <c r="M2814" s="5">
        <f t="shared" si="332"/>
        <v>2012</v>
      </c>
    </row>
    <row r="2815" spans="1:13" ht="17.45" customHeight="1" x14ac:dyDescent="0.25">
      <c r="A2815" s="1">
        <f>DATE(2012,6,20)</f>
        <v>41080</v>
      </c>
      <c r="B2815" t="s">
        <v>22</v>
      </c>
      <c r="C2815" t="s">
        <v>10</v>
      </c>
      <c r="D2815" s="3">
        <v>48.212499999999999</v>
      </c>
      <c r="E2815" s="3">
        <v>0</v>
      </c>
      <c r="F2815" t="s">
        <v>45</v>
      </c>
      <c r="G2815" s="3">
        <f t="shared" si="326"/>
        <v>-48.212499999999999</v>
      </c>
      <c r="H2815" s="3">
        <f t="shared" si="327"/>
        <v>48.212499999999999</v>
      </c>
      <c r="I2815" s="5" t="str">
        <f t="shared" si="328"/>
        <v>018</v>
      </c>
      <c r="J2815" s="5" t="str">
        <f t="shared" si="329"/>
        <v>2230</v>
      </c>
      <c r="K2815" s="5" t="str">
        <f t="shared" si="330"/>
        <v>000</v>
      </c>
      <c r="L2815" s="5">
        <f t="shared" si="331"/>
        <v>6</v>
      </c>
      <c r="M2815" s="5">
        <f t="shared" si="332"/>
        <v>2012</v>
      </c>
    </row>
    <row r="2816" spans="1:13" ht="17.45" customHeight="1" x14ac:dyDescent="0.25">
      <c r="A2816" s="1">
        <f>DATE(2012,6,21)</f>
        <v>41081</v>
      </c>
      <c r="B2816" t="s">
        <v>19</v>
      </c>
      <c r="C2816" t="s">
        <v>6</v>
      </c>
      <c r="D2816" s="3">
        <v>3966.1095999999998</v>
      </c>
      <c r="E2816" s="3">
        <v>0</v>
      </c>
      <c r="F2816" t="s">
        <v>45</v>
      </c>
      <c r="G2816" s="3">
        <f t="shared" si="326"/>
        <v>-3966.1095999999998</v>
      </c>
      <c r="H2816" s="3">
        <f t="shared" si="327"/>
        <v>3966.1095999999998</v>
      </c>
      <c r="I2816" s="5" t="str">
        <f t="shared" si="328"/>
        <v>018</v>
      </c>
      <c r="J2816" s="5" t="str">
        <f t="shared" si="329"/>
        <v>2100</v>
      </c>
      <c r="K2816" s="5" t="str">
        <f t="shared" si="330"/>
        <v>000</v>
      </c>
      <c r="L2816" s="5">
        <f t="shared" si="331"/>
        <v>6</v>
      </c>
      <c r="M2816" s="5">
        <f t="shared" si="332"/>
        <v>2012</v>
      </c>
    </row>
    <row r="2817" spans="1:13" ht="17.45" customHeight="1" x14ac:dyDescent="0.25">
      <c r="A2817" s="1">
        <f>DATE(2012,6,21)</f>
        <v>41081</v>
      </c>
      <c r="B2817" t="s">
        <v>20</v>
      </c>
      <c r="C2817" t="s">
        <v>8</v>
      </c>
      <c r="D2817" s="3">
        <v>795.69</v>
      </c>
      <c r="E2817" s="3">
        <v>0</v>
      </c>
      <c r="F2817" t="s">
        <v>45</v>
      </c>
      <c r="G2817" s="3">
        <f t="shared" si="326"/>
        <v>-795.69</v>
      </c>
      <c r="H2817" s="3">
        <f t="shared" si="327"/>
        <v>795.69</v>
      </c>
      <c r="I2817" s="5" t="str">
        <f t="shared" si="328"/>
        <v>018</v>
      </c>
      <c r="J2817" s="5" t="str">
        <f t="shared" si="329"/>
        <v>2210</v>
      </c>
      <c r="K2817" s="5" t="str">
        <f t="shared" si="330"/>
        <v>000</v>
      </c>
      <c r="L2817" s="5">
        <f t="shared" si="331"/>
        <v>6</v>
      </c>
      <c r="M2817" s="5">
        <f t="shared" si="332"/>
        <v>2012</v>
      </c>
    </row>
    <row r="2818" spans="1:13" ht="17.45" customHeight="1" x14ac:dyDescent="0.25">
      <c r="A2818" s="1">
        <f>DATE(2012,6,21)</f>
        <v>41081</v>
      </c>
      <c r="B2818" t="s">
        <v>21</v>
      </c>
      <c r="C2818" t="s">
        <v>9</v>
      </c>
      <c r="D2818" s="3">
        <v>341.82299999999998</v>
      </c>
      <c r="E2818" s="3">
        <v>0</v>
      </c>
      <c r="F2818" t="s">
        <v>45</v>
      </c>
      <c r="G2818" s="3">
        <f t="shared" ref="G2818:G2881" si="334">E2818-D2818</f>
        <v>-341.82299999999998</v>
      </c>
      <c r="H2818" s="3">
        <f t="shared" ref="H2818:H2881" si="335">ABS(G2818)</f>
        <v>341.82299999999998</v>
      </c>
      <c r="I2818" s="5" t="str">
        <f t="shared" ref="I2818:I2881" si="336">MID(B2818,1,3)</f>
        <v>018</v>
      </c>
      <c r="J2818" s="5" t="str">
        <f t="shared" ref="J2818:J2881" si="337">MID(B2818,5,4)</f>
        <v>2220</v>
      </c>
      <c r="K2818" s="5" t="str">
        <f t="shared" ref="K2818:K2881" si="338">MID(B2818,10,3)</f>
        <v>000</v>
      </c>
      <c r="L2818" s="5">
        <f t="shared" ref="L2818:L2881" si="339">MONTH(A2818)</f>
        <v>6</v>
      </c>
      <c r="M2818" s="5">
        <f t="shared" ref="M2818:M2881" si="340">YEAR(A2818)</f>
        <v>2012</v>
      </c>
    </row>
    <row r="2819" spans="1:13" ht="17.45" customHeight="1" x14ac:dyDescent="0.25">
      <c r="A2819" s="1">
        <f>DATE(2012,6,21)</f>
        <v>41081</v>
      </c>
      <c r="B2819" t="s">
        <v>22</v>
      </c>
      <c r="C2819" t="s">
        <v>10</v>
      </c>
      <c r="D2819" s="3">
        <v>14.0715</v>
      </c>
      <c r="E2819" s="3">
        <v>0</v>
      </c>
      <c r="F2819" t="s">
        <v>45</v>
      </c>
      <c r="G2819" s="3">
        <f t="shared" si="334"/>
        <v>-14.0715</v>
      </c>
      <c r="H2819" s="3">
        <f t="shared" si="335"/>
        <v>14.0715</v>
      </c>
      <c r="I2819" s="5" t="str">
        <f t="shared" si="336"/>
        <v>018</v>
      </c>
      <c r="J2819" s="5" t="str">
        <f t="shared" si="337"/>
        <v>2230</v>
      </c>
      <c r="K2819" s="5" t="str">
        <f t="shared" si="338"/>
        <v>000</v>
      </c>
      <c r="L2819" s="5">
        <f t="shared" si="339"/>
        <v>6</v>
      </c>
      <c r="M2819" s="5">
        <f t="shared" si="340"/>
        <v>2012</v>
      </c>
    </row>
    <row r="2820" spans="1:13" ht="17.45" customHeight="1" x14ac:dyDescent="0.25">
      <c r="A2820" s="1">
        <f>DATE(2012,6,22)</f>
        <v>41082</v>
      </c>
      <c r="B2820" t="s">
        <v>19</v>
      </c>
      <c r="C2820" t="s">
        <v>6</v>
      </c>
      <c r="D2820" s="3">
        <v>8123.3949999999995</v>
      </c>
      <c r="E2820" s="3">
        <v>0</v>
      </c>
      <c r="F2820" t="s">
        <v>45</v>
      </c>
      <c r="G2820" s="3">
        <f t="shared" si="334"/>
        <v>-8123.3949999999995</v>
      </c>
      <c r="H2820" s="3">
        <f t="shared" si="335"/>
        <v>8123.3949999999995</v>
      </c>
      <c r="I2820" s="5" t="str">
        <f t="shared" si="336"/>
        <v>018</v>
      </c>
      <c r="J2820" s="5" t="str">
        <f t="shared" si="337"/>
        <v>2100</v>
      </c>
      <c r="K2820" s="5" t="str">
        <f t="shared" si="338"/>
        <v>000</v>
      </c>
      <c r="L2820" s="5">
        <f t="shared" si="339"/>
        <v>6</v>
      </c>
      <c r="M2820" s="5">
        <f t="shared" si="340"/>
        <v>2012</v>
      </c>
    </row>
    <row r="2821" spans="1:13" ht="17.45" customHeight="1" x14ac:dyDescent="0.25">
      <c r="A2821" s="1">
        <f>DATE(2012,6,22)</f>
        <v>41082</v>
      </c>
      <c r="B2821" t="s">
        <v>20</v>
      </c>
      <c r="C2821" t="s">
        <v>8</v>
      </c>
      <c r="D2821" s="3">
        <v>3105.4214999999999</v>
      </c>
      <c r="E2821" s="3">
        <v>0</v>
      </c>
      <c r="F2821" t="s">
        <v>45</v>
      </c>
      <c r="G2821" s="3">
        <f t="shared" si="334"/>
        <v>-3105.4214999999999</v>
      </c>
      <c r="H2821" s="3">
        <f t="shared" si="335"/>
        <v>3105.4214999999999</v>
      </c>
      <c r="I2821" s="5" t="str">
        <f t="shared" si="336"/>
        <v>018</v>
      </c>
      <c r="J2821" s="5" t="str">
        <f t="shared" si="337"/>
        <v>2210</v>
      </c>
      <c r="K2821" s="5" t="str">
        <f t="shared" si="338"/>
        <v>000</v>
      </c>
      <c r="L2821" s="5">
        <f t="shared" si="339"/>
        <v>6</v>
      </c>
      <c r="M2821" s="5">
        <f t="shared" si="340"/>
        <v>2012</v>
      </c>
    </row>
    <row r="2822" spans="1:13" ht="17.45" customHeight="1" x14ac:dyDescent="0.25">
      <c r="A2822" s="1">
        <f>DATE(2012,6,22)</f>
        <v>41082</v>
      </c>
      <c r="B2822" t="s">
        <v>21</v>
      </c>
      <c r="C2822" t="s">
        <v>9</v>
      </c>
      <c r="D2822" s="3">
        <v>465.24449999999996</v>
      </c>
      <c r="E2822" s="3">
        <v>0</v>
      </c>
      <c r="F2822" t="s">
        <v>45</v>
      </c>
      <c r="G2822" s="3">
        <f t="shared" si="334"/>
        <v>-465.24449999999996</v>
      </c>
      <c r="H2822" s="3">
        <f t="shared" si="335"/>
        <v>465.24449999999996</v>
      </c>
      <c r="I2822" s="5" t="str">
        <f t="shared" si="336"/>
        <v>018</v>
      </c>
      <c r="J2822" s="5" t="str">
        <f t="shared" si="337"/>
        <v>2220</v>
      </c>
      <c r="K2822" s="5" t="str">
        <f t="shared" si="338"/>
        <v>000</v>
      </c>
      <c r="L2822" s="5">
        <f t="shared" si="339"/>
        <v>6</v>
      </c>
      <c r="M2822" s="5">
        <f t="shared" si="340"/>
        <v>2012</v>
      </c>
    </row>
    <row r="2823" spans="1:13" ht="17.45" customHeight="1" x14ac:dyDescent="0.25">
      <c r="A2823" s="1">
        <f>DATE(2012,6,22)</f>
        <v>41082</v>
      </c>
      <c r="B2823" t="s">
        <v>22</v>
      </c>
      <c r="C2823" t="s">
        <v>10</v>
      </c>
      <c r="D2823" s="3">
        <v>141.626</v>
      </c>
      <c r="E2823" s="3">
        <v>0</v>
      </c>
      <c r="F2823" t="s">
        <v>45</v>
      </c>
      <c r="G2823" s="3">
        <f t="shared" si="334"/>
        <v>-141.626</v>
      </c>
      <c r="H2823" s="3">
        <f t="shared" si="335"/>
        <v>141.626</v>
      </c>
      <c r="I2823" s="5" t="str">
        <f t="shared" si="336"/>
        <v>018</v>
      </c>
      <c r="J2823" s="5" t="str">
        <f t="shared" si="337"/>
        <v>2230</v>
      </c>
      <c r="K2823" s="5" t="str">
        <f t="shared" si="338"/>
        <v>000</v>
      </c>
      <c r="L2823" s="5">
        <f t="shared" si="339"/>
        <v>6</v>
      </c>
      <c r="M2823" s="5">
        <f t="shared" si="340"/>
        <v>2012</v>
      </c>
    </row>
    <row r="2824" spans="1:13" ht="17.45" customHeight="1" x14ac:dyDescent="0.25">
      <c r="A2824" s="1">
        <f>DATE(2012,6,23)</f>
        <v>41083</v>
      </c>
      <c r="B2824" t="s">
        <v>19</v>
      </c>
      <c r="C2824" t="s">
        <v>6</v>
      </c>
      <c r="D2824" s="3">
        <v>13322.491</v>
      </c>
      <c r="E2824" s="3">
        <v>0</v>
      </c>
      <c r="F2824" t="s">
        <v>45</v>
      </c>
      <c r="G2824" s="3">
        <f t="shared" si="334"/>
        <v>-13322.491</v>
      </c>
      <c r="H2824" s="3">
        <f t="shared" si="335"/>
        <v>13322.491</v>
      </c>
      <c r="I2824" s="5" t="str">
        <f t="shared" si="336"/>
        <v>018</v>
      </c>
      <c r="J2824" s="5" t="str">
        <f t="shared" si="337"/>
        <v>2100</v>
      </c>
      <c r="K2824" s="5" t="str">
        <f t="shared" si="338"/>
        <v>000</v>
      </c>
      <c r="L2824" s="5">
        <f t="shared" si="339"/>
        <v>6</v>
      </c>
      <c r="M2824" s="5">
        <f t="shared" si="340"/>
        <v>2012</v>
      </c>
    </row>
    <row r="2825" spans="1:13" ht="17.45" customHeight="1" x14ac:dyDescent="0.25">
      <c r="A2825" s="1">
        <f>DATE(2012,6,23)</f>
        <v>41083</v>
      </c>
      <c r="B2825" t="s">
        <v>20</v>
      </c>
      <c r="C2825" t="s">
        <v>8</v>
      </c>
      <c r="D2825" s="3">
        <v>2659.2945</v>
      </c>
      <c r="E2825" s="3">
        <v>0</v>
      </c>
      <c r="F2825" t="s">
        <v>45</v>
      </c>
      <c r="G2825" s="3">
        <f t="shared" si="334"/>
        <v>-2659.2945</v>
      </c>
      <c r="H2825" s="3">
        <f t="shared" si="335"/>
        <v>2659.2945</v>
      </c>
      <c r="I2825" s="5" t="str">
        <f t="shared" si="336"/>
        <v>018</v>
      </c>
      <c r="J2825" s="5" t="str">
        <f t="shared" si="337"/>
        <v>2210</v>
      </c>
      <c r="K2825" s="5" t="str">
        <f t="shared" si="338"/>
        <v>000</v>
      </c>
      <c r="L2825" s="5">
        <f t="shared" si="339"/>
        <v>6</v>
      </c>
      <c r="M2825" s="5">
        <f t="shared" si="340"/>
        <v>2012</v>
      </c>
    </row>
    <row r="2826" spans="1:13" ht="17.45" customHeight="1" x14ac:dyDescent="0.25">
      <c r="A2826" s="1">
        <f>DATE(2012,6,23)</f>
        <v>41083</v>
      </c>
      <c r="B2826" t="s">
        <v>21</v>
      </c>
      <c r="C2826" t="s">
        <v>9</v>
      </c>
      <c r="D2826" s="3">
        <v>809.61299999999994</v>
      </c>
      <c r="E2826" s="3">
        <v>0</v>
      </c>
      <c r="F2826" t="s">
        <v>45</v>
      </c>
      <c r="G2826" s="3">
        <f t="shared" si="334"/>
        <v>-809.61299999999994</v>
      </c>
      <c r="H2826" s="3">
        <f t="shared" si="335"/>
        <v>809.61299999999994</v>
      </c>
      <c r="I2826" s="5" t="str">
        <f t="shared" si="336"/>
        <v>018</v>
      </c>
      <c r="J2826" s="5" t="str">
        <f t="shared" si="337"/>
        <v>2220</v>
      </c>
      <c r="K2826" s="5" t="str">
        <f t="shared" si="338"/>
        <v>000</v>
      </c>
      <c r="L2826" s="5">
        <f t="shared" si="339"/>
        <v>6</v>
      </c>
      <c r="M2826" s="5">
        <f t="shared" si="340"/>
        <v>2012</v>
      </c>
    </row>
    <row r="2827" spans="1:13" ht="17.45" customHeight="1" x14ac:dyDescent="0.25">
      <c r="A2827" s="1">
        <f>DATE(2012,6,23)</f>
        <v>41083</v>
      </c>
      <c r="B2827" t="s">
        <v>22</v>
      </c>
      <c r="C2827" t="s">
        <v>10</v>
      </c>
      <c r="D2827" s="3">
        <v>73.275000000000006</v>
      </c>
      <c r="E2827" s="3">
        <v>0</v>
      </c>
      <c r="F2827" t="s">
        <v>45</v>
      </c>
      <c r="G2827" s="3">
        <f t="shared" si="334"/>
        <v>-73.275000000000006</v>
      </c>
      <c r="H2827" s="3">
        <f t="shared" si="335"/>
        <v>73.275000000000006</v>
      </c>
      <c r="I2827" s="5" t="str">
        <f t="shared" si="336"/>
        <v>018</v>
      </c>
      <c r="J2827" s="5" t="str">
        <f t="shared" si="337"/>
        <v>2230</v>
      </c>
      <c r="K2827" s="5" t="str">
        <f t="shared" si="338"/>
        <v>000</v>
      </c>
      <c r="L2827" s="5">
        <f t="shared" si="339"/>
        <v>6</v>
      </c>
      <c r="M2827" s="5">
        <f t="shared" si="340"/>
        <v>2012</v>
      </c>
    </row>
    <row r="2828" spans="1:13" ht="17.45" customHeight="1" x14ac:dyDescent="0.25">
      <c r="A2828" s="1">
        <f>DATE(2012,6,24)</f>
        <v>41084</v>
      </c>
      <c r="B2828" t="s">
        <v>19</v>
      </c>
      <c r="C2828" t="s">
        <v>6</v>
      </c>
      <c r="D2828" s="3">
        <v>9755.0145000000011</v>
      </c>
      <c r="E2828" s="3">
        <v>0</v>
      </c>
      <c r="F2828" t="s">
        <v>45</v>
      </c>
      <c r="G2828" s="3">
        <f t="shared" si="334"/>
        <v>-9755.0145000000011</v>
      </c>
      <c r="H2828" s="3">
        <f t="shared" si="335"/>
        <v>9755.0145000000011</v>
      </c>
      <c r="I2828" s="5" t="str">
        <f t="shared" si="336"/>
        <v>018</v>
      </c>
      <c r="J2828" s="5" t="str">
        <f t="shared" si="337"/>
        <v>2100</v>
      </c>
      <c r="K2828" s="5" t="str">
        <f t="shared" si="338"/>
        <v>000</v>
      </c>
      <c r="L2828" s="5">
        <f t="shared" si="339"/>
        <v>6</v>
      </c>
      <c r="M2828" s="5">
        <f t="shared" si="340"/>
        <v>2012</v>
      </c>
    </row>
    <row r="2829" spans="1:13" ht="17.45" customHeight="1" x14ac:dyDescent="0.25">
      <c r="A2829" s="1">
        <f>DATE(2012,6,24)</f>
        <v>41084</v>
      </c>
      <c r="B2829" t="s">
        <v>20</v>
      </c>
      <c r="C2829" t="s">
        <v>8</v>
      </c>
      <c r="D2829" s="3">
        <v>1884.0779999999997</v>
      </c>
      <c r="E2829" s="3">
        <v>0</v>
      </c>
      <c r="F2829" t="s">
        <v>45</v>
      </c>
      <c r="G2829" s="3">
        <f t="shared" si="334"/>
        <v>-1884.0779999999997</v>
      </c>
      <c r="H2829" s="3">
        <f t="shared" si="335"/>
        <v>1884.0779999999997</v>
      </c>
      <c r="I2829" s="5" t="str">
        <f t="shared" si="336"/>
        <v>018</v>
      </c>
      <c r="J2829" s="5" t="str">
        <f t="shared" si="337"/>
        <v>2210</v>
      </c>
      <c r="K2829" s="5" t="str">
        <f t="shared" si="338"/>
        <v>000</v>
      </c>
      <c r="L2829" s="5">
        <f t="shared" si="339"/>
        <v>6</v>
      </c>
      <c r="M2829" s="5">
        <f t="shared" si="340"/>
        <v>2012</v>
      </c>
    </row>
    <row r="2830" spans="1:13" ht="17.45" customHeight="1" x14ac:dyDescent="0.25">
      <c r="A2830" s="1">
        <f>DATE(2012,6,24)</f>
        <v>41084</v>
      </c>
      <c r="B2830" t="s">
        <v>21</v>
      </c>
      <c r="C2830" t="s">
        <v>9</v>
      </c>
      <c r="D2830" s="3">
        <v>462.91500000000002</v>
      </c>
      <c r="E2830" s="3">
        <v>0</v>
      </c>
      <c r="F2830" t="s">
        <v>45</v>
      </c>
      <c r="G2830" s="3">
        <f t="shared" si="334"/>
        <v>-462.91500000000002</v>
      </c>
      <c r="H2830" s="3">
        <f t="shared" si="335"/>
        <v>462.91500000000002</v>
      </c>
      <c r="I2830" s="5" t="str">
        <f t="shared" si="336"/>
        <v>018</v>
      </c>
      <c r="J2830" s="5" t="str">
        <f t="shared" si="337"/>
        <v>2220</v>
      </c>
      <c r="K2830" s="5" t="str">
        <f t="shared" si="338"/>
        <v>000</v>
      </c>
      <c r="L2830" s="5">
        <f t="shared" si="339"/>
        <v>6</v>
      </c>
      <c r="M2830" s="5">
        <f t="shared" si="340"/>
        <v>2012</v>
      </c>
    </row>
    <row r="2831" spans="1:13" ht="17.45" customHeight="1" x14ac:dyDescent="0.25">
      <c r="A2831" s="1">
        <f>DATE(2012,6,24)</f>
        <v>41084</v>
      </c>
      <c r="B2831" t="s">
        <v>22</v>
      </c>
      <c r="C2831" t="s">
        <v>10</v>
      </c>
      <c r="D2831" s="3">
        <v>37.324000000000005</v>
      </c>
      <c r="E2831" s="3">
        <v>0</v>
      </c>
      <c r="F2831" t="s">
        <v>45</v>
      </c>
      <c r="G2831" s="3">
        <f t="shared" si="334"/>
        <v>-37.324000000000005</v>
      </c>
      <c r="H2831" s="3">
        <f t="shared" si="335"/>
        <v>37.324000000000005</v>
      </c>
      <c r="I2831" s="5" t="str">
        <f t="shared" si="336"/>
        <v>018</v>
      </c>
      <c r="J2831" s="5" t="str">
        <f t="shared" si="337"/>
        <v>2230</v>
      </c>
      <c r="K2831" s="5" t="str">
        <f t="shared" si="338"/>
        <v>000</v>
      </c>
      <c r="L2831" s="5">
        <f t="shared" si="339"/>
        <v>6</v>
      </c>
      <c r="M2831" s="5">
        <f t="shared" si="340"/>
        <v>2012</v>
      </c>
    </row>
    <row r="2832" spans="1:13" ht="17.45" customHeight="1" x14ac:dyDescent="0.25">
      <c r="A2832" s="1">
        <f>DATE(2012,6,25)</f>
        <v>41085</v>
      </c>
      <c r="B2832" t="s">
        <v>11</v>
      </c>
      <c r="C2832" t="s">
        <v>6</v>
      </c>
      <c r="D2832" s="3">
        <v>3003.4213999999997</v>
      </c>
      <c r="E2832" s="3">
        <v>0</v>
      </c>
      <c r="F2832" t="s">
        <v>45</v>
      </c>
      <c r="G2832" s="3">
        <f t="shared" si="334"/>
        <v>-3003.4213999999997</v>
      </c>
      <c r="H2832" s="3">
        <f t="shared" si="335"/>
        <v>3003.4213999999997</v>
      </c>
      <c r="I2832" s="5" t="str">
        <f t="shared" si="336"/>
        <v>016</v>
      </c>
      <c r="J2832" s="5" t="str">
        <f t="shared" si="337"/>
        <v>2100</v>
      </c>
      <c r="K2832" s="5" t="str">
        <f t="shared" si="338"/>
        <v>000</v>
      </c>
      <c r="L2832" s="5">
        <f t="shared" si="339"/>
        <v>6</v>
      </c>
      <c r="M2832" s="5">
        <f t="shared" si="340"/>
        <v>2012</v>
      </c>
    </row>
    <row r="2833" spans="1:13" ht="17.45" customHeight="1" x14ac:dyDescent="0.25">
      <c r="A2833" s="1">
        <f>DATE(2012,6,25)</f>
        <v>41085</v>
      </c>
      <c r="B2833" t="s">
        <v>12</v>
      </c>
      <c r="C2833" t="s">
        <v>8</v>
      </c>
      <c r="D2833" s="3">
        <v>725.3900000000001</v>
      </c>
      <c r="E2833" s="3">
        <v>0</v>
      </c>
      <c r="F2833" t="s">
        <v>45</v>
      </c>
      <c r="G2833" s="3">
        <f t="shared" si="334"/>
        <v>-725.3900000000001</v>
      </c>
      <c r="H2833" s="3">
        <f t="shared" si="335"/>
        <v>725.3900000000001</v>
      </c>
      <c r="I2833" s="5" t="str">
        <f t="shared" si="336"/>
        <v>016</v>
      </c>
      <c r="J2833" s="5" t="str">
        <f t="shared" si="337"/>
        <v>2210</v>
      </c>
      <c r="K2833" s="5" t="str">
        <f t="shared" si="338"/>
        <v>000</v>
      </c>
      <c r="L2833" s="5">
        <f t="shared" si="339"/>
        <v>6</v>
      </c>
      <c r="M2833" s="5">
        <f t="shared" si="340"/>
        <v>2012</v>
      </c>
    </row>
    <row r="2834" spans="1:13" ht="17.45" customHeight="1" x14ac:dyDescent="0.25">
      <c r="A2834" s="1">
        <f>DATE(2012,6,25)</f>
        <v>41085</v>
      </c>
      <c r="B2834" t="s">
        <v>13</v>
      </c>
      <c r="C2834" t="s">
        <v>9</v>
      </c>
      <c r="D2834" s="3">
        <v>122.01600000000001</v>
      </c>
      <c r="E2834" s="3">
        <v>0</v>
      </c>
      <c r="F2834" t="s">
        <v>45</v>
      </c>
      <c r="G2834" s="3">
        <f t="shared" si="334"/>
        <v>-122.01600000000001</v>
      </c>
      <c r="H2834" s="3">
        <f t="shared" si="335"/>
        <v>122.01600000000001</v>
      </c>
      <c r="I2834" s="5" t="str">
        <f t="shared" si="336"/>
        <v>016</v>
      </c>
      <c r="J2834" s="5" t="str">
        <f t="shared" si="337"/>
        <v>2220</v>
      </c>
      <c r="K2834" s="5" t="str">
        <f t="shared" si="338"/>
        <v>000</v>
      </c>
      <c r="L2834" s="5">
        <f t="shared" si="339"/>
        <v>6</v>
      </c>
      <c r="M2834" s="5">
        <f t="shared" si="340"/>
        <v>2012</v>
      </c>
    </row>
    <row r="2835" spans="1:13" ht="17.45" customHeight="1" x14ac:dyDescent="0.25">
      <c r="A2835" s="1">
        <f>DATE(2012,6,25)</f>
        <v>41085</v>
      </c>
      <c r="B2835" t="s">
        <v>14</v>
      </c>
      <c r="C2835" t="s">
        <v>10</v>
      </c>
      <c r="D2835" s="3">
        <v>130.364</v>
      </c>
      <c r="E2835" s="3">
        <v>0</v>
      </c>
      <c r="F2835" t="s">
        <v>45</v>
      </c>
      <c r="G2835" s="3">
        <f t="shared" si="334"/>
        <v>-130.364</v>
      </c>
      <c r="H2835" s="3">
        <f t="shared" si="335"/>
        <v>130.364</v>
      </c>
      <c r="I2835" s="5" t="str">
        <f t="shared" si="336"/>
        <v>016</v>
      </c>
      <c r="J2835" s="5" t="str">
        <f t="shared" si="337"/>
        <v>2230</v>
      </c>
      <c r="K2835" s="5" t="str">
        <f t="shared" si="338"/>
        <v>000</v>
      </c>
      <c r="L2835" s="5">
        <f t="shared" si="339"/>
        <v>6</v>
      </c>
      <c r="M2835" s="5">
        <f t="shared" si="340"/>
        <v>2012</v>
      </c>
    </row>
    <row r="2836" spans="1:13" ht="17.45" customHeight="1" x14ac:dyDescent="0.25">
      <c r="A2836" s="1">
        <f>DATE(2012,6,26)</f>
        <v>41086</v>
      </c>
      <c r="B2836" t="s">
        <v>11</v>
      </c>
      <c r="C2836" t="s">
        <v>6</v>
      </c>
      <c r="D2836" s="3">
        <v>5683.6490999999996</v>
      </c>
      <c r="E2836" s="3">
        <v>0</v>
      </c>
      <c r="F2836" t="s">
        <v>45</v>
      </c>
      <c r="G2836" s="3">
        <f t="shared" si="334"/>
        <v>-5683.6490999999996</v>
      </c>
      <c r="H2836" s="3">
        <f t="shared" si="335"/>
        <v>5683.6490999999996</v>
      </c>
      <c r="I2836" s="5" t="str">
        <f t="shared" si="336"/>
        <v>016</v>
      </c>
      <c r="J2836" s="5" t="str">
        <f t="shared" si="337"/>
        <v>2100</v>
      </c>
      <c r="K2836" s="5" t="str">
        <f t="shared" si="338"/>
        <v>000</v>
      </c>
      <c r="L2836" s="5">
        <f t="shared" si="339"/>
        <v>6</v>
      </c>
      <c r="M2836" s="5">
        <f t="shared" si="340"/>
        <v>2012</v>
      </c>
    </row>
    <row r="2837" spans="1:13" ht="17.45" customHeight="1" x14ac:dyDescent="0.25">
      <c r="A2837" s="1">
        <f>DATE(2012,6,26)</f>
        <v>41086</v>
      </c>
      <c r="B2837" t="s">
        <v>12</v>
      </c>
      <c r="C2837" t="s">
        <v>8</v>
      </c>
      <c r="D2837" s="3">
        <v>1919.346</v>
      </c>
      <c r="E2837" s="3">
        <v>0</v>
      </c>
      <c r="F2837" t="s">
        <v>45</v>
      </c>
      <c r="G2837" s="3">
        <f t="shared" si="334"/>
        <v>-1919.346</v>
      </c>
      <c r="H2837" s="3">
        <f t="shared" si="335"/>
        <v>1919.346</v>
      </c>
      <c r="I2837" s="5" t="str">
        <f t="shared" si="336"/>
        <v>016</v>
      </c>
      <c r="J2837" s="5" t="str">
        <f t="shared" si="337"/>
        <v>2210</v>
      </c>
      <c r="K2837" s="5" t="str">
        <f t="shared" si="338"/>
        <v>000</v>
      </c>
      <c r="L2837" s="5">
        <f t="shared" si="339"/>
        <v>6</v>
      </c>
      <c r="M2837" s="5">
        <f t="shared" si="340"/>
        <v>2012</v>
      </c>
    </row>
    <row r="2838" spans="1:13" ht="17.45" customHeight="1" x14ac:dyDescent="0.25">
      <c r="A2838" s="1">
        <f>DATE(2012,6,26)</f>
        <v>41086</v>
      </c>
      <c r="B2838" t="s">
        <v>13</v>
      </c>
      <c r="C2838" t="s">
        <v>9</v>
      </c>
      <c r="D2838" s="3">
        <v>564.34349999999995</v>
      </c>
      <c r="E2838" s="3">
        <v>0</v>
      </c>
      <c r="F2838" t="s">
        <v>45</v>
      </c>
      <c r="G2838" s="3">
        <f t="shared" si="334"/>
        <v>-564.34349999999995</v>
      </c>
      <c r="H2838" s="3">
        <f t="shared" si="335"/>
        <v>564.34349999999995</v>
      </c>
      <c r="I2838" s="5" t="str">
        <f t="shared" si="336"/>
        <v>016</v>
      </c>
      <c r="J2838" s="5" t="str">
        <f t="shared" si="337"/>
        <v>2220</v>
      </c>
      <c r="K2838" s="5" t="str">
        <f t="shared" si="338"/>
        <v>000</v>
      </c>
      <c r="L2838" s="5">
        <f t="shared" si="339"/>
        <v>6</v>
      </c>
      <c r="M2838" s="5">
        <f t="shared" si="340"/>
        <v>2012</v>
      </c>
    </row>
    <row r="2839" spans="1:13" ht="17.45" customHeight="1" x14ac:dyDescent="0.25">
      <c r="A2839" s="1">
        <f>DATE(2012,6,26)</f>
        <v>41086</v>
      </c>
      <c r="B2839" t="s">
        <v>14</v>
      </c>
      <c r="C2839" t="s">
        <v>10</v>
      </c>
      <c r="D2839" s="3">
        <v>149.85650000000001</v>
      </c>
      <c r="E2839" s="3">
        <v>0</v>
      </c>
      <c r="F2839" t="s">
        <v>45</v>
      </c>
      <c r="G2839" s="3">
        <f t="shared" si="334"/>
        <v>-149.85650000000001</v>
      </c>
      <c r="H2839" s="3">
        <f t="shared" si="335"/>
        <v>149.85650000000001</v>
      </c>
      <c r="I2839" s="5" t="str">
        <f t="shared" si="336"/>
        <v>016</v>
      </c>
      <c r="J2839" s="5" t="str">
        <f t="shared" si="337"/>
        <v>2230</v>
      </c>
      <c r="K2839" s="5" t="str">
        <f t="shared" si="338"/>
        <v>000</v>
      </c>
      <c r="L2839" s="5">
        <f t="shared" si="339"/>
        <v>6</v>
      </c>
      <c r="M2839" s="5">
        <f t="shared" si="340"/>
        <v>2012</v>
      </c>
    </row>
    <row r="2840" spans="1:13" ht="17.45" customHeight="1" x14ac:dyDescent="0.25">
      <c r="A2840" s="1">
        <f>DATE(2012,6,27)</f>
        <v>41087</v>
      </c>
      <c r="B2840" t="s">
        <v>11</v>
      </c>
      <c r="C2840" t="s">
        <v>6</v>
      </c>
      <c r="D2840" s="3">
        <v>3055.1512999999995</v>
      </c>
      <c r="E2840" s="3">
        <v>0</v>
      </c>
      <c r="F2840" t="s">
        <v>45</v>
      </c>
      <c r="G2840" s="3">
        <f t="shared" si="334"/>
        <v>-3055.1512999999995</v>
      </c>
      <c r="H2840" s="3">
        <f t="shared" si="335"/>
        <v>3055.1512999999995</v>
      </c>
      <c r="I2840" s="5" t="str">
        <f t="shared" si="336"/>
        <v>016</v>
      </c>
      <c r="J2840" s="5" t="str">
        <f t="shared" si="337"/>
        <v>2100</v>
      </c>
      <c r="K2840" s="5" t="str">
        <f t="shared" si="338"/>
        <v>000</v>
      </c>
      <c r="L2840" s="5">
        <f t="shared" si="339"/>
        <v>6</v>
      </c>
      <c r="M2840" s="5">
        <f t="shared" si="340"/>
        <v>2012</v>
      </c>
    </row>
    <row r="2841" spans="1:13" ht="17.45" customHeight="1" x14ac:dyDescent="0.25">
      <c r="A2841" s="1">
        <f>DATE(2012,6,27)</f>
        <v>41087</v>
      </c>
      <c r="B2841" t="s">
        <v>12</v>
      </c>
      <c r="C2841" t="s">
        <v>8</v>
      </c>
      <c r="D2841" s="3">
        <v>779.15050000000008</v>
      </c>
      <c r="E2841" s="3">
        <v>0</v>
      </c>
      <c r="F2841" t="s">
        <v>45</v>
      </c>
      <c r="G2841" s="3">
        <f t="shared" si="334"/>
        <v>-779.15050000000008</v>
      </c>
      <c r="H2841" s="3">
        <f t="shared" si="335"/>
        <v>779.15050000000008</v>
      </c>
      <c r="I2841" s="5" t="str">
        <f t="shared" si="336"/>
        <v>016</v>
      </c>
      <c r="J2841" s="5" t="str">
        <f t="shared" si="337"/>
        <v>2210</v>
      </c>
      <c r="K2841" s="5" t="str">
        <f t="shared" si="338"/>
        <v>000</v>
      </c>
      <c r="L2841" s="5">
        <f t="shared" si="339"/>
        <v>6</v>
      </c>
      <c r="M2841" s="5">
        <f t="shared" si="340"/>
        <v>2012</v>
      </c>
    </row>
    <row r="2842" spans="1:13" ht="17.45" customHeight="1" x14ac:dyDescent="0.25">
      <c r="A2842" s="1">
        <f>DATE(2012,6,27)</f>
        <v>41087</v>
      </c>
      <c r="B2842" t="s">
        <v>13</v>
      </c>
      <c r="C2842" t="s">
        <v>9</v>
      </c>
      <c r="D2842" s="3">
        <v>187.06950000000001</v>
      </c>
      <c r="E2842" s="3">
        <v>0</v>
      </c>
      <c r="F2842" t="s">
        <v>45</v>
      </c>
      <c r="G2842" s="3">
        <f t="shared" si="334"/>
        <v>-187.06950000000001</v>
      </c>
      <c r="H2842" s="3">
        <f t="shared" si="335"/>
        <v>187.06950000000001</v>
      </c>
      <c r="I2842" s="5" t="str">
        <f t="shared" si="336"/>
        <v>016</v>
      </c>
      <c r="J2842" s="5" t="str">
        <f t="shared" si="337"/>
        <v>2220</v>
      </c>
      <c r="K2842" s="5" t="str">
        <f t="shared" si="338"/>
        <v>000</v>
      </c>
      <c r="L2842" s="5">
        <f t="shared" si="339"/>
        <v>6</v>
      </c>
      <c r="M2842" s="5">
        <f t="shared" si="340"/>
        <v>2012</v>
      </c>
    </row>
    <row r="2843" spans="1:13" ht="17.45" customHeight="1" x14ac:dyDescent="0.25">
      <c r="A2843" s="1">
        <f>DATE(2012,6,27)</f>
        <v>41087</v>
      </c>
      <c r="B2843" t="s">
        <v>14</v>
      </c>
      <c r="C2843" t="s">
        <v>10</v>
      </c>
      <c r="D2843" s="3">
        <v>118.12800000000001</v>
      </c>
      <c r="E2843" s="3">
        <v>0</v>
      </c>
      <c r="F2843" t="s">
        <v>45</v>
      </c>
      <c r="G2843" s="3">
        <f t="shared" si="334"/>
        <v>-118.12800000000001</v>
      </c>
      <c r="H2843" s="3">
        <f t="shared" si="335"/>
        <v>118.12800000000001</v>
      </c>
      <c r="I2843" s="5" t="str">
        <f t="shared" si="336"/>
        <v>016</v>
      </c>
      <c r="J2843" s="5" t="str">
        <f t="shared" si="337"/>
        <v>2230</v>
      </c>
      <c r="K2843" s="5" t="str">
        <f t="shared" si="338"/>
        <v>000</v>
      </c>
      <c r="L2843" s="5">
        <f t="shared" si="339"/>
        <v>6</v>
      </c>
      <c r="M2843" s="5">
        <f t="shared" si="340"/>
        <v>2012</v>
      </c>
    </row>
    <row r="2844" spans="1:13" ht="17.45" customHeight="1" x14ac:dyDescent="0.25">
      <c r="A2844" s="1">
        <f>DATE(2012,6,28)</f>
        <v>41088</v>
      </c>
      <c r="B2844" t="s">
        <v>11</v>
      </c>
      <c r="C2844" t="s">
        <v>6</v>
      </c>
      <c r="D2844" s="3">
        <v>4266.2190000000001</v>
      </c>
      <c r="E2844" s="3">
        <v>0</v>
      </c>
      <c r="F2844" t="s">
        <v>45</v>
      </c>
      <c r="G2844" s="3">
        <f t="shared" si="334"/>
        <v>-4266.2190000000001</v>
      </c>
      <c r="H2844" s="3">
        <f t="shared" si="335"/>
        <v>4266.2190000000001</v>
      </c>
      <c r="I2844" s="5" t="str">
        <f t="shared" si="336"/>
        <v>016</v>
      </c>
      <c r="J2844" s="5" t="str">
        <f t="shared" si="337"/>
        <v>2100</v>
      </c>
      <c r="K2844" s="5" t="str">
        <f t="shared" si="338"/>
        <v>000</v>
      </c>
      <c r="L2844" s="5">
        <f t="shared" si="339"/>
        <v>6</v>
      </c>
      <c r="M2844" s="5">
        <f t="shared" si="340"/>
        <v>2012</v>
      </c>
    </row>
    <row r="2845" spans="1:13" ht="17.45" customHeight="1" x14ac:dyDescent="0.25">
      <c r="A2845" s="1">
        <f>DATE(2012,6,28)</f>
        <v>41088</v>
      </c>
      <c r="B2845" t="s">
        <v>12</v>
      </c>
      <c r="C2845" t="s">
        <v>8</v>
      </c>
      <c r="D2845" s="3">
        <v>1118.04</v>
      </c>
      <c r="E2845" s="3">
        <v>0</v>
      </c>
      <c r="F2845" t="s">
        <v>45</v>
      </c>
      <c r="G2845" s="3">
        <f t="shared" si="334"/>
        <v>-1118.04</v>
      </c>
      <c r="H2845" s="3">
        <f t="shared" si="335"/>
        <v>1118.04</v>
      </c>
      <c r="I2845" s="5" t="str">
        <f t="shared" si="336"/>
        <v>016</v>
      </c>
      <c r="J2845" s="5" t="str">
        <f t="shared" si="337"/>
        <v>2210</v>
      </c>
      <c r="K2845" s="5" t="str">
        <f t="shared" si="338"/>
        <v>000</v>
      </c>
      <c r="L2845" s="5">
        <f t="shared" si="339"/>
        <v>6</v>
      </c>
      <c r="M2845" s="5">
        <f t="shared" si="340"/>
        <v>2012</v>
      </c>
    </row>
    <row r="2846" spans="1:13" ht="17.45" customHeight="1" x14ac:dyDescent="0.25">
      <c r="A2846" s="1">
        <f>DATE(2012,6,28)</f>
        <v>41088</v>
      </c>
      <c r="B2846" t="s">
        <v>13</v>
      </c>
      <c r="C2846" t="s">
        <v>9</v>
      </c>
      <c r="D2846" s="3">
        <v>223.14599999999999</v>
      </c>
      <c r="E2846" s="3">
        <v>0</v>
      </c>
      <c r="F2846" t="s">
        <v>45</v>
      </c>
      <c r="G2846" s="3">
        <f t="shared" si="334"/>
        <v>-223.14599999999999</v>
      </c>
      <c r="H2846" s="3">
        <f t="shared" si="335"/>
        <v>223.14599999999999</v>
      </c>
      <c r="I2846" s="5" t="str">
        <f t="shared" si="336"/>
        <v>016</v>
      </c>
      <c r="J2846" s="5" t="str">
        <f t="shared" si="337"/>
        <v>2220</v>
      </c>
      <c r="K2846" s="5" t="str">
        <f t="shared" si="338"/>
        <v>000</v>
      </c>
      <c r="L2846" s="5">
        <f t="shared" si="339"/>
        <v>6</v>
      </c>
      <c r="M2846" s="5">
        <f t="shared" si="340"/>
        <v>2012</v>
      </c>
    </row>
    <row r="2847" spans="1:13" ht="17.45" customHeight="1" x14ac:dyDescent="0.25">
      <c r="A2847" s="1">
        <f>DATE(2012,6,28)</f>
        <v>41088</v>
      </c>
      <c r="B2847" t="s">
        <v>14</v>
      </c>
      <c r="C2847" t="s">
        <v>10</v>
      </c>
      <c r="D2847" s="3">
        <v>40.954499999999996</v>
      </c>
      <c r="E2847" s="3">
        <v>0</v>
      </c>
      <c r="F2847" t="s">
        <v>45</v>
      </c>
      <c r="G2847" s="3">
        <f t="shared" si="334"/>
        <v>-40.954499999999996</v>
      </c>
      <c r="H2847" s="3">
        <f t="shared" si="335"/>
        <v>40.954499999999996</v>
      </c>
      <c r="I2847" s="5" t="str">
        <f t="shared" si="336"/>
        <v>016</v>
      </c>
      <c r="J2847" s="5" t="str">
        <f t="shared" si="337"/>
        <v>2230</v>
      </c>
      <c r="K2847" s="5" t="str">
        <f t="shared" si="338"/>
        <v>000</v>
      </c>
      <c r="L2847" s="5">
        <f t="shared" si="339"/>
        <v>6</v>
      </c>
      <c r="M2847" s="5">
        <f t="shared" si="340"/>
        <v>2012</v>
      </c>
    </row>
    <row r="2848" spans="1:13" ht="17.45" customHeight="1" x14ac:dyDescent="0.25">
      <c r="A2848" s="1">
        <f>DATE(2012,6,29)</f>
        <v>41089</v>
      </c>
      <c r="B2848" t="s">
        <v>11</v>
      </c>
      <c r="C2848" t="s">
        <v>6</v>
      </c>
      <c r="D2848" s="3">
        <v>6528.8973999999989</v>
      </c>
      <c r="E2848" s="3">
        <v>0</v>
      </c>
      <c r="F2848" t="s">
        <v>45</v>
      </c>
      <c r="G2848" s="3">
        <f t="shared" si="334"/>
        <v>-6528.8973999999989</v>
      </c>
      <c r="H2848" s="3">
        <f t="shared" si="335"/>
        <v>6528.8973999999989</v>
      </c>
      <c r="I2848" s="5" t="str">
        <f t="shared" si="336"/>
        <v>016</v>
      </c>
      <c r="J2848" s="5" t="str">
        <f t="shared" si="337"/>
        <v>2100</v>
      </c>
      <c r="K2848" s="5" t="str">
        <f t="shared" si="338"/>
        <v>000</v>
      </c>
      <c r="L2848" s="5">
        <f t="shared" si="339"/>
        <v>6</v>
      </c>
      <c r="M2848" s="5">
        <f t="shared" si="340"/>
        <v>2012</v>
      </c>
    </row>
    <row r="2849" spans="1:13" ht="17.45" customHeight="1" x14ac:dyDescent="0.25">
      <c r="A2849" s="1">
        <f>DATE(2012,6,29)</f>
        <v>41089</v>
      </c>
      <c r="B2849" t="s">
        <v>12</v>
      </c>
      <c r="C2849" t="s">
        <v>8</v>
      </c>
      <c r="D2849" s="3">
        <v>1772.6424</v>
      </c>
      <c r="E2849" s="3">
        <v>0</v>
      </c>
      <c r="F2849" t="s">
        <v>45</v>
      </c>
      <c r="G2849" s="3">
        <f t="shared" si="334"/>
        <v>-1772.6424</v>
      </c>
      <c r="H2849" s="3">
        <f t="shared" si="335"/>
        <v>1772.6424</v>
      </c>
      <c r="I2849" s="5" t="str">
        <f t="shared" si="336"/>
        <v>016</v>
      </c>
      <c r="J2849" s="5" t="str">
        <f t="shared" si="337"/>
        <v>2210</v>
      </c>
      <c r="K2849" s="5" t="str">
        <f t="shared" si="338"/>
        <v>000</v>
      </c>
      <c r="L2849" s="5">
        <f t="shared" si="339"/>
        <v>6</v>
      </c>
      <c r="M2849" s="5">
        <f t="shared" si="340"/>
        <v>2012</v>
      </c>
    </row>
    <row r="2850" spans="1:13" ht="17.45" customHeight="1" x14ac:dyDescent="0.25">
      <c r="A2850" s="1">
        <f>DATE(2012,6,29)</f>
        <v>41089</v>
      </c>
      <c r="B2850" t="s">
        <v>13</v>
      </c>
      <c r="C2850" t="s">
        <v>9</v>
      </c>
      <c r="D2850" s="3">
        <v>498.411</v>
      </c>
      <c r="E2850" s="3">
        <v>0</v>
      </c>
      <c r="F2850" t="s">
        <v>45</v>
      </c>
      <c r="G2850" s="3">
        <f t="shared" si="334"/>
        <v>-498.411</v>
      </c>
      <c r="H2850" s="3">
        <f t="shared" si="335"/>
        <v>498.411</v>
      </c>
      <c r="I2850" s="5" t="str">
        <f t="shared" si="336"/>
        <v>016</v>
      </c>
      <c r="J2850" s="5" t="str">
        <f t="shared" si="337"/>
        <v>2220</v>
      </c>
      <c r="K2850" s="5" t="str">
        <f t="shared" si="338"/>
        <v>000</v>
      </c>
      <c r="L2850" s="5">
        <f t="shared" si="339"/>
        <v>6</v>
      </c>
      <c r="M2850" s="5">
        <f t="shared" si="340"/>
        <v>2012</v>
      </c>
    </row>
    <row r="2851" spans="1:13" ht="17.45" customHeight="1" x14ac:dyDescent="0.25">
      <c r="A2851" s="1">
        <f>DATE(2012,6,29)</f>
        <v>41089</v>
      </c>
      <c r="B2851" t="s">
        <v>14</v>
      </c>
      <c r="C2851" t="s">
        <v>10</v>
      </c>
      <c r="D2851" s="3">
        <v>94.402000000000001</v>
      </c>
      <c r="E2851" s="3">
        <v>0</v>
      </c>
      <c r="F2851" t="s">
        <v>45</v>
      </c>
      <c r="G2851" s="3">
        <f t="shared" si="334"/>
        <v>-94.402000000000001</v>
      </c>
      <c r="H2851" s="3">
        <f t="shared" si="335"/>
        <v>94.402000000000001</v>
      </c>
      <c r="I2851" s="5" t="str">
        <f t="shared" si="336"/>
        <v>016</v>
      </c>
      <c r="J2851" s="5" t="str">
        <f t="shared" si="337"/>
        <v>2230</v>
      </c>
      <c r="K2851" s="5" t="str">
        <f t="shared" si="338"/>
        <v>000</v>
      </c>
      <c r="L2851" s="5">
        <f t="shared" si="339"/>
        <v>6</v>
      </c>
      <c r="M2851" s="5">
        <f t="shared" si="340"/>
        <v>2012</v>
      </c>
    </row>
    <row r="2852" spans="1:13" ht="17.45" customHeight="1" x14ac:dyDescent="0.25">
      <c r="A2852" s="1">
        <f>DATE(2012,6,30)</f>
        <v>41090</v>
      </c>
      <c r="B2852" t="s">
        <v>11</v>
      </c>
      <c r="C2852" t="s">
        <v>6</v>
      </c>
      <c r="D2852" s="3">
        <v>8551.4583000000002</v>
      </c>
      <c r="E2852" s="3">
        <v>0</v>
      </c>
      <c r="F2852" t="s">
        <v>45</v>
      </c>
      <c r="G2852" s="3">
        <f t="shared" si="334"/>
        <v>-8551.4583000000002</v>
      </c>
      <c r="H2852" s="3">
        <f t="shared" si="335"/>
        <v>8551.4583000000002</v>
      </c>
      <c r="I2852" s="5" t="str">
        <f t="shared" si="336"/>
        <v>016</v>
      </c>
      <c r="J2852" s="5" t="str">
        <f t="shared" si="337"/>
        <v>2100</v>
      </c>
      <c r="K2852" s="5" t="str">
        <f t="shared" si="338"/>
        <v>000</v>
      </c>
      <c r="L2852" s="5">
        <f t="shared" si="339"/>
        <v>6</v>
      </c>
      <c r="M2852" s="5">
        <f t="shared" si="340"/>
        <v>2012</v>
      </c>
    </row>
    <row r="2853" spans="1:13" ht="17.45" customHeight="1" x14ac:dyDescent="0.25">
      <c r="A2853" s="1">
        <f>DATE(2012,6,30)</f>
        <v>41090</v>
      </c>
      <c r="B2853" t="s">
        <v>12</v>
      </c>
      <c r="C2853" t="s">
        <v>8</v>
      </c>
      <c r="D2853" s="3">
        <v>3635.875</v>
      </c>
      <c r="E2853" s="3">
        <v>0</v>
      </c>
      <c r="F2853" t="s">
        <v>45</v>
      </c>
      <c r="G2853" s="3">
        <f t="shared" si="334"/>
        <v>-3635.875</v>
      </c>
      <c r="H2853" s="3">
        <f t="shared" si="335"/>
        <v>3635.875</v>
      </c>
      <c r="I2853" s="5" t="str">
        <f t="shared" si="336"/>
        <v>016</v>
      </c>
      <c r="J2853" s="5" t="str">
        <f t="shared" si="337"/>
        <v>2210</v>
      </c>
      <c r="K2853" s="5" t="str">
        <f t="shared" si="338"/>
        <v>000</v>
      </c>
      <c r="L2853" s="5">
        <f t="shared" si="339"/>
        <v>6</v>
      </c>
      <c r="M2853" s="5">
        <f t="shared" si="340"/>
        <v>2012</v>
      </c>
    </row>
    <row r="2854" spans="1:13" ht="17.45" customHeight="1" x14ac:dyDescent="0.25">
      <c r="A2854" s="1">
        <f>DATE(2012,6,30)</f>
        <v>41090</v>
      </c>
      <c r="B2854" t="s">
        <v>13</v>
      </c>
      <c r="C2854" t="s">
        <v>9</v>
      </c>
      <c r="D2854" s="3">
        <v>556.12800000000004</v>
      </c>
      <c r="E2854" s="3">
        <v>0</v>
      </c>
      <c r="F2854" t="s">
        <v>45</v>
      </c>
      <c r="G2854" s="3">
        <f t="shared" si="334"/>
        <v>-556.12800000000004</v>
      </c>
      <c r="H2854" s="3">
        <f t="shared" si="335"/>
        <v>556.12800000000004</v>
      </c>
      <c r="I2854" s="5" t="str">
        <f t="shared" si="336"/>
        <v>016</v>
      </c>
      <c r="J2854" s="5" t="str">
        <f t="shared" si="337"/>
        <v>2220</v>
      </c>
      <c r="K2854" s="5" t="str">
        <f t="shared" si="338"/>
        <v>000</v>
      </c>
      <c r="L2854" s="5">
        <f t="shared" si="339"/>
        <v>6</v>
      </c>
      <c r="M2854" s="5">
        <f t="shared" si="340"/>
        <v>2012</v>
      </c>
    </row>
    <row r="2855" spans="1:13" ht="17.45" customHeight="1" x14ac:dyDescent="0.25">
      <c r="A2855" s="1">
        <f>DATE(2012,6,30)</f>
        <v>41090</v>
      </c>
      <c r="B2855" t="s">
        <v>14</v>
      </c>
      <c r="C2855" t="s">
        <v>10</v>
      </c>
      <c r="D2855" s="3">
        <v>204.96549999999999</v>
      </c>
      <c r="E2855" s="3">
        <v>0</v>
      </c>
      <c r="F2855" t="s">
        <v>45</v>
      </c>
      <c r="G2855" s="3">
        <f t="shared" si="334"/>
        <v>-204.96549999999999</v>
      </c>
      <c r="H2855" s="3">
        <f t="shared" si="335"/>
        <v>204.96549999999999</v>
      </c>
      <c r="I2855" s="5" t="str">
        <f t="shared" si="336"/>
        <v>016</v>
      </c>
      <c r="J2855" s="5" t="str">
        <f t="shared" si="337"/>
        <v>2230</v>
      </c>
      <c r="K2855" s="5" t="str">
        <f t="shared" si="338"/>
        <v>000</v>
      </c>
      <c r="L2855" s="5">
        <f t="shared" si="339"/>
        <v>6</v>
      </c>
      <c r="M2855" s="5">
        <f t="shared" si="340"/>
        <v>2012</v>
      </c>
    </row>
    <row r="2856" spans="1:13" ht="17.45" customHeight="1" x14ac:dyDescent="0.25">
      <c r="A2856" s="1">
        <f>DATE(2012,7,1)</f>
        <v>41091</v>
      </c>
      <c r="B2856" t="s">
        <v>11</v>
      </c>
      <c r="C2856" t="s">
        <v>6</v>
      </c>
      <c r="D2856" s="3">
        <v>5075.8600000000006</v>
      </c>
      <c r="E2856" s="3">
        <v>0</v>
      </c>
      <c r="F2856" t="s">
        <v>45</v>
      </c>
      <c r="G2856" s="3">
        <f t="shared" si="334"/>
        <v>-5075.8600000000006</v>
      </c>
      <c r="H2856" s="3">
        <f t="shared" si="335"/>
        <v>5075.8600000000006</v>
      </c>
      <c r="I2856" s="5" t="str">
        <f t="shared" si="336"/>
        <v>016</v>
      </c>
      <c r="J2856" s="5" t="str">
        <f t="shared" si="337"/>
        <v>2100</v>
      </c>
      <c r="K2856" s="5" t="str">
        <f t="shared" si="338"/>
        <v>000</v>
      </c>
      <c r="L2856" s="5">
        <f t="shared" si="339"/>
        <v>7</v>
      </c>
      <c r="M2856" s="5">
        <f t="shared" si="340"/>
        <v>2012</v>
      </c>
    </row>
    <row r="2857" spans="1:13" ht="17.45" customHeight="1" x14ac:dyDescent="0.25">
      <c r="A2857" s="1">
        <f>DATE(2012,7,1)</f>
        <v>41091</v>
      </c>
      <c r="B2857" t="s">
        <v>12</v>
      </c>
      <c r="C2857" t="s">
        <v>8</v>
      </c>
      <c r="D2857" s="3">
        <v>839.29099999999994</v>
      </c>
      <c r="E2857" s="3">
        <v>0</v>
      </c>
      <c r="F2857" t="s">
        <v>45</v>
      </c>
      <c r="G2857" s="3">
        <f t="shared" si="334"/>
        <v>-839.29099999999994</v>
      </c>
      <c r="H2857" s="3">
        <f t="shared" si="335"/>
        <v>839.29099999999994</v>
      </c>
      <c r="I2857" s="5" t="str">
        <f t="shared" si="336"/>
        <v>016</v>
      </c>
      <c r="J2857" s="5" t="str">
        <f t="shared" si="337"/>
        <v>2210</v>
      </c>
      <c r="K2857" s="5" t="str">
        <f t="shared" si="338"/>
        <v>000</v>
      </c>
      <c r="L2857" s="5">
        <f t="shared" si="339"/>
        <v>7</v>
      </c>
      <c r="M2857" s="5">
        <f t="shared" si="340"/>
        <v>2012</v>
      </c>
    </row>
    <row r="2858" spans="1:13" ht="17.45" customHeight="1" x14ac:dyDescent="0.25">
      <c r="A2858" s="1">
        <f>DATE(2012,7,1)</f>
        <v>41091</v>
      </c>
      <c r="B2858" t="s">
        <v>13</v>
      </c>
      <c r="C2858" t="s">
        <v>9</v>
      </c>
      <c r="D2858" s="3">
        <v>246.006</v>
      </c>
      <c r="E2858" s="3">
        <v>0</v>
      </c>
      <c r="F2858" t="s">
        <v>45</v>
      </c>
      <c r="G2858" s="3">
        <f t="shared" si="334"/>
        <v>-246.006</v>
      </c>
      <c r="H2858" s="3">
        <f t="shared" si="335"/>
        <v>246.006</v>
      </c>
      <c r="I2858" s="5" t="str">
        <f t="shared" si="336"/>
        <v>016</v>
      </c>
      <c r="J2858" s="5" t="str">
        <f t="shared" si="337"/>
        <v>2220</v>
      </c>
      <c r="K2858" s="5" t="str">
        <f t="shared" si="338"/>
        <v>000</v>
      </c>
      <c r="L2858" s="5">
        <f t="shared" si="339"/>
        <v>7</v>
      </c>
      <c r="M2858" s="5">
        <f t="shared" si="340"/>
        <v>2012</v>
      </c>
    </row>
    <row r="2859" spans="1:13" ht="17.45" customHeight="1" x14ac:dyDescent="0.25">
      <c r="A2859" s="1">
        <f>DATE(2012,7,1)</f>
        <v>41091</v>
      </c>
      <c r="B2859" t="s">
        <v>14</v>
      </c>
      <c r="C2859" t="s">
        <v>10</v>
      </c>
      <c r="D2859" s="3">
        <v>48.348000000000006</v>
      </c>
      <c r="E2859" s="3">
        <v>0</v>
      </c>
      <c r="F2859" t="s">
        <v>45</v>
      </c>
      <c r="G2859" s="3">
        <f t="shared" si="334"/>
        <v>-48.348000000000006</v>
      </c>
      <c r="H2859" s="3">
        <f t="shared" si="335"/>
        <v>48.348000000000006</v>
      </c>
      <c r="I2859" s="5" t="str">
        <f t="shared" si="336"/>
        <v>016</v>
      </c>
      <c r="J2859" s="5" t="str">
        <f t="shared" si="337"/>
        <v>2230</v>
      </c>
      <c r="K2859" s="5" t="str">
        <f t="shared" si="338"/>
        <v>000</v>
      </c>
      <c r="L2859" s="5">
        <f t="shared" si="339"/>
        <v>7</v>
      </c>
      <c r="M2859" s="5">
        <f t="shared" si="340"/>
        <v>2012</v>
      </c>
    </row>
    <row r="2860" spans="1:13" ht="17.45" customHeight="1" x14ac:dyDescent="0.25">
      <c r="A2860" s="1">
        <f>DATE(2012,6,25)</f>
        <v>41085</v>
      </c>
      <c r="B2860" t="s">
        <v>15</v>
      </c>
      <c r="C2860" t="s">
        <v>6</v>
      </c>
      <c r="D2860" s="3">
        <v>6138.8873000000003</v>
      </c>
      <c r="E2860" s="3">
        <v>0</v>
      </c>
      <c r="F2860" t="s">
        <v>45</v>
      </c>
      <c r="G2860" s="3">
        <f t="shared" si="334"/>
        <v>-6138.8873000000003</v>
      </c>
      <c r="H2860" s="3">
        <f t="shared" si="335"/>
        <v>6138.8873000000003</v>
      </c>
      <c r="I2860" s="5" t="str">
        <f t="shared" si="336"/>
        <v>017</v>
      </c>
      <c r="J2860" s="5" t="str">
        <f t="shared" si="337"/>
        <v>2100</v>
      </c>
      <c r="K2860" s="5" t="str">
        <f t="shared" si="338"/>
        <v>000</v>
      </c>
      <c r="L2860" s="5">
        <f t="shared" si="339"/>
        <v>6</v>
      </c>
      <c r="M2860" s="5">
        <f t="shared" si="340"/>
        <v>2012</v>
      </c>
    </row>
    <row r="2861" spans="1:13" ht="17.45" customHeight="1" x14ac:dyDescent="0.25">
      <c r="A2861" s="1">
        <f>DATE(2012,6,25)</f>
        <v>41085</v>
      </c>
      <c r="B2861" t="s">
        <v>16</v>
      </c>
      <c r="C2861" t="s">
        <v>8</v>
      </c>
      <c r="D2861" s="3">
        <v>1284.4124999999999</v>
      </c>
      <c r="E2861" s="3">
        <v>0</v>
      </c>
      <c r="F2861" t="s">
        <v>45</v>
      </c>
      <c r="G2861" s="3">
        <f t="shared" si="334"/>
        <v>-1284.4124999999999</v>
      </c>
      <c r="H2861" s="3">
        <f t="shared" si="335"/>
        <v>1284.4124999999999</v>
      </c>
      <c r="I2861" s="5" t="str">
        <f t="shared" si="336"/>
        <v>017</v>
      </c>
      <c r="J2861" s="5" t="str">
        <f t="shared" si="337"/>
        <v>2210</v>
      </c>
      <c r="K2861" s="5" t="str">
        <f t="shared" si="338"/>
        <v>000</v>
      </c>
      <c r="L2861" s="5">
        <f t="shared" si="339"/>
        <v>6</v>
      </c>
      <c r="M2861" s="5">
        <f t="shared" si="340"/>
        <v>2012</v>
      </c>
    </row>
    <row r="2862" spans="1:13" ht="17.45" customHeight="1" x14ac:dyDescent="0.25">
      <c r="A2862" s="1">
        <f>DATE(2012,6,25)</f>
        <v>41085</v>
      </c>
      <c r="B2862" t="s">
        <v>17</v>
      </c>
      <c r="C2862" t="s">
        <v>9</v>
      </c>
      <c r="D2862" s="3">
        <v>448.78250000000003</v>
      </c>
      <c r="E2862" s="3">
        <v>0</v>
      </c>
      <c r="F2862" t="s">
        <v>45</v>
      </c>
      <c r="G2862" s="3">
        <f t="shared" si="334"/>
        <v>-448.78250000000003</v>
      </c>
      <c r="H2862" s="3">
        <f t="shared" si="335"/>
        <v>448.78250000000003</v>
      </c>
      <c r="I2862" s="5" t="str">
        <f t="shared" si="336"/>
        <v>017</v>
      </c>
      <c r="J2862" s="5" t="str">
        <f t="shared" si="337"/>
        <v>2220</v>
      </c>
      <c r="K2862" s="5" t="str">
        <f t="shared" si="338"/>
        <v>000</v>
      </c>
      <c r="L2862" s="5">
        <f t="shared" si="339"/>
        <v>6</v>
      </c>
      <c r="M2862" s="5">
        <f t="shared" si="340"/>
        <v>2012</v>
      </c>
    </row>
    <row r="2863" spans="1:13" ht="17.45" customHeight="1" x14ac:dyDescent="0.25">
      <c r="A2863" s="1">
        <f>DATE(2012,6,25)</f>
        <v>41085</v>
      </c>
      <c r="B2863" t="s">
        <v>18</v>
      </c>
      <c r="C2863" t="s">
        <v>10</v>
      </c>
      <c r="D2863" s="3">
        <v>41.690000000000005</v>
      </c>
      <c r="E2863" s="3">
        <v>0</v>
      </c>
      <c r="F2863" t="s">
        <v>45</v>
      </c>
      <c r="G2863" s="3">
        <f t="shared" si="334"/>
        <v>-41.690000000000005</v>
      </c>
      <c r="H2863" s="3">
        <f t="shared" si="335"/>
        <v>41.690000000000005</v>
      </c>
      <c r="I2863" s="5" t="str">
        <f t="shared" si="336"/>
        <v>017</v>
      </c>
      <c r="J2863" s="5" t="str">
        <f t="shared" si="337"/>
        <v>2230</v>
      </c>
      <c r="K2863" s="5" t="str">
        <f t="shared" si="338"/>
        <v>000</v>
      </c>
      <c r="L2863" s="5">
        <f t="shared" si="339"/>
        <v>6</v>
      </c>
      <c r="M2863" s="5">
        <f t="shared" si="340"/>
        <v>2012</v>
      </c>
    </row>
    <row r="2864" spans="1:13" ht="17.45" customHeight="1" x14ac:dyDescent="0.25">
      <c r="A2864" s="1">
        <f>DATE(2012,6,26)</f>
        <v>41086</v>
      </c>
      <c r="B2864" t="s">
        <v>15</v>
      </c>
      <c r="C2864" t="s">
        <v>6</v>
      </c>
      <c r="D2864" s="3">
        <v>6145.0635999999995</v>
      </c>
      <c r="E2864" s="3">
        <v>0</v>
      </c>
      <c r="F2864" t="s">
        <v>45</v>
      </c>
      <c r="G2864" s="3">
        <f t="shared" si="334"/>
        <v>-6145.0635999999995</v>
      </c>
      <c r="H2864" s="3">
        <f t="shared" si="335"/>
        <v>6145.0635999999995</v>
      </c>
      <c r="I2864" s="5" t="str">
        <f t="shared" si="336"/>
        <v>017</v>
      </c>
      <c r="J2864" s="5" t="str">
        <f t="shared" si="337"/>
        <v>2100</v>
      </c>
      <c r="K2864" s="5" t="str">
        <f t="shared" si="338"/>
        <v>000</v>
      </c>
      <c r="L2864" s="5">
        <f t="shared" si="339"/>
        <v>6</v>
      </c>
      <c r="M2864" s="5">
        <f t="shared" si="340"/>
        <v>2012</v>
      </c>
    </row>
    <row r="2865" spans="1:13" ht="17.45" customHeight="1" x14ac:dyDescent="0.25">
      <c r="A2865" s="1">
        <f>DATE(2012,6,26)</f>
        <v>41086</v>
      </c>
      <c r="B2865" t="s">
        <v>16</v>
      </c>
      <c r="C2865" t="s">
        <v>8</v>
      </c>
      <c r="D2865" s="3">
        <v>2411.4640000000004</v>
      </c>
      <c r="E2865" s="3">
        <v>0</v>
      </c>
      <c r="F2865" t="s">
        <v>45</v>
      </c>
      <c r="G2865" s="3">
        <f t="shared" si="334"/>
        <v>-2411.4640000000004</v>
      </c>
      <c r="H2865" s="3">
        <f t="shared" si="335"/>
        <v>2411.4640000000004</v>
      </c>
      <c r="I2865" s="5" t="str">
        <f t="shared" si="336"/>
        <v>017</v>
      </c>
      <c r="J2865" s="5" t="str">
        <f t="shared" si="337"/>
        <v>2210</v>
      </c>
      <c r="K2865" s="5" t="str">
        <f t="shared" si="338"/>
        <v>000</v>
      </c>
      <c r="L2865" s="5">
        <f t="shared" si="339"/>
        <v>6</v>
      </c>
      <c r="M2865" s="5">
        <f t="shared" si="340"/>
        <v>2012</v>
      </c>
    </row>
    <row r="2866" spans="1:13" ht="17.45" customHeight="1" x14ac:dyDescent="0.25">
      <c r="A2866" s="1">
        <f>DATE(2012,6,26)</f>
        <v>41086</v>
      </c>
      <c r="B2866" t="s">
        <v>17</v>
      </c>
      <c r="C2866" t="s">
        <v>9</v>
      </c>
      <c r="D2866" s="3">
        <v>448.63000000000005</v>
      </c>
      <c r="E2866" s="3">
        <v>0</v>
      </c>
      <c r="F2866" t="s">
        <v>45</v>
      </c>
      <c r="G2866" s="3">
        <f t="shared" si="334"/>
        <v>-448.63000000000005</v>
      </c>
      <c r="H2866" s="3">
        <f t="shared" si="335"/>
        <v>448.63000000000005</v>
      </c>
      <c r="I2866" s="5" t="str">
        <f t="shared" si="336"/>
        <v>017</v>
      </c>
      <c r="J2866" s="5" t="str">
        <f t="shared" si="337"/>
        <v>2220</v>
      </c>
      <c r="K2866" s="5" t="str">
        <f t="shared" si="338"/>
        <v>000</v>
      </c>
      <c r="L2866" s="5">
        <f t="shared" si="339"/>
        <v>6</v>
      </c>
      <c r="M2866" s="5">
        <f t="shared" si="340"/>
        <v>2012</v>
      </c>
    </row>
    <row r="2867" spans="1:13" ht="17.45" customHeight="1" x14ac:dyDescent="0.25">
      <c r="A2867" s="1">
        <f>DATE(2012,6,26)</f>
        <v>41086</v>
      </c>
      <c r="B2867" t="s">
        <v>18</v>
      </c>
      <c r="C2867" t="s">
        <v>10</v>
      </c>
      <c r="D2867" s="3">
        <v>258.84000000000003</v>
      </c>
      <c r="E2867" s="3">
        <v>0</v>
      </c>
      <c r="F2867" t="s">
        <v>45</v>
      </c>
      <c r="G2867" s="3">
        <f t="shared" si="334"/>
        <v>-258.84000000000003</v>
      </c>
      <c r="H2867" s="3">
        <f t="shared" si="335"/>
        <v>258.84000000000003</v>
      </c>
      <c r="I2867" s="5" t="str">
        <f t="shared" si="336"/>
        <v>017</v>
      </c>
      <c r="J2867" s="5" t="str">
        <f t="shared" si="337"/>
        <v>2230</v>
      </c>
      <c r="K2867" s="5" t="str">
        <f t="shared" si="338"/>
        <v>000</v>
      </c>
      <c r="L2867" s="5">
        <f t="shared" si="339"/>
        <v>6</v>
      </c>
      <c r="M2867" s="5">
        <f t="shared" si="340"/>
        <v>2012</v>
      </c>
    </row>
    <row r="2868" spans="1:13" ht="17.45" customHeight="1" x14ac:dyDescent="0.25">
      <c r="A2868" s="1">
        <f>DATE(2012,6,27)</f>
        <v>41087</v>
      </c>
      <c r="B2868" t="s">
        <v>15</v>
      </c>
      <c r="C2868" t="s">
        <v>6</v>
      </c>
      <c r="D2868" s="3">
        <v>7751.8987000000006</v>
      </c>
      <c r="E2868" s="3">
        <v>0</v>
      </c>
      <c r="F2868" t="s">
        <v>45</v>
      </c>
      <c r="G2868" s="3">
        <f t="shared" si="334"/>
        <v>-7751.8987000000006</v>
      </c>
      <c r="H2868" s="3">
        <f t="shared" si="335"/>
        <v>7751.8987000000006</v>
      </c>
      <c r="I2868" s="5" t="str">
        <f t="shared" si="336"/>
        <v>017</v>
      </c>
      <c r="J2868" s="5" t="str">
        <f t="shared" si="337"/>
        <v>2100</v>
      </c>
      <c r="K2868" s="5" t="str">
        <f t="shared" si="338"/>
        <v>000</v>
      </c>
      <c r="L2868" s="5">
        <f t="shared" si="339"/>
        <v>6</v>
      </c>
      <c r="M2868" s="5">
        <f t="shared" si="340"/>
        <v>2012</v>
      </c>
    </row>
    <row r="2869" spans="1:13" ht="17.45" customHeight="1" x14ac:dyDescent="0.25">
      <c r="A2869" s="1">
        <f>DATE(2012,6,27)</f>
        <v>41087</v>
      </c>
      <c r="B2869" t="s">
        <v>16</v>
      </c>
      <c r="C2869" t="s">
        <v>8</v>
      </c>
      <c r="D2869" s="3">
        <v>2010.1319999999998</v>
      </c>
      <c r="E2869" s="3">
        <v>0</v>
      </c>
      <c r="F2869" t="s">
        <v>45</v>
      </c>
      <c r="G2869" s="3">
        <f t="shared" si="334"/>
        <v>-2010.1319999999998</v>
      </c>
      <c r="H2869" s="3">
        <f t="shared" si="335"/>
        <v>2010.1319999999998</v>
      </c>
      <c r="I2869" s="5" t="str">
        <f t="shared" si="336"/>
        <v>017</v>
      </c>
      <c r="J2869" s="5" t="str">
        <f t="shared" si="337"/>
        <v>2210</v>
      </c>
      <c r="K2869" s="5" t="str">
        <f t="shared" si="338"/>
        <v>000</v>
      </c>
      <c r="L2869" s="5">
        <f t="shared" si="339"/>
        <v>6</v>
      </c>
      <c r="M2869" s="5">
        <f t="shared" si="340"/>
        <v>2012</v>
      </c>
    </row>
    <row r="2870" spans="1:13" ht="17.45" customHeight="1" x14ac:dyDescent="0.25">
      <c r="A2870" s="1">
        <f>DATE(2012,6,27)</f>
        <v>41087</v>
      </c>
      <c r="B2870" t="s">
        <v>17</v>
      </c>
      <c r="C2870" t="s">
        <v>9</v>
      </c>
      <c r="D2870" s="3">
        <v>584.58749999999998</v>
      </c>
      <c r="E2870" s="3">
        <v>0</v>
      </c>
      <c r="F2870" t="s">
        <v>45</v>
      </c>
      <c r="G2870" s="3">
        <f t="shared" si="334"/>
        <v>-584.58749999999998</v>
      </c>
      <c r="H2870" s="3">
        <f t="shared" si="335"/>
        <v>584.58749999999998</v>
      </c>
      <c r="I2870" s="5" t="str">
        <f t="shared" si="336"/>
        <v>017</v>
      </c>
      <c r="J2870" s="5" t="str">
        <f t="shared" si="337"/>
        <v>2220</v>
      </c>
      <c r="K2870" s="5" t="str">
        <f t="shared" si="338"/>
        <v>000</v>
      </c>
      <c r="L2870" s="5">
        <f t="shared" si="339"/>
        <v>6</v>
      </c>
      <c r="M2870" s="5">
        <f t="shared" si="340"/>
        <v>2012</v>
      </c>
    </row>
    <row r="2871" spans="1:13" ht="17.45" customHeight="1" x14ac:dyDescent="0.25">
      <c r="A2871" s="1">
        <f>DATE(2012,6,27)</f>
        <v>41087</v>
      </c>
      <c r="B2871" t="s">
        <v>18</v>
      </c>
      <c r="C2871" t="s">
        <v>10</v>
      </c>
      <c r="D2871" s="3">
        <v>71.19</v>
      </c>
      <c r="E2871" s="3">
        <v>0</v>
      </c>
      <c r="F2871" t="s">
        <v>45</v>
      </c>
      <c r="G2871" s="3">
        <f t="shared" si="334"/>
        <v>-71.19</v>
      </c>
      <c r="H2871" s="3">
        <f t="shared" si="335"/>
        <v>71.19</v>
      </c>
      <c r="I2871" s="5" t="str">
        <f t="shared" si="336"/>
        <v>017</v>
      </c>
      <c r="J2871" s="5" t="str">
        <f t="shared" si="337"/>
        <v>2230</v>
      </c>
      <c r="K2871" s="5" t="str">
        <f t="shared" si="338"/>
        <v>000</v>
      </c>
      <c r="L2871" s="5">
        <f t="shared" si="339"/>
        <v>6</v>
      </c>
      <c r="M2871" s="5">
        <f t="shared" si="340"/>
        <v>2012</v>
      </c>
    </row>
    <row r="2872" spans="1:13" ht="17.45" customHeight="1" x14ac:dyDescent="0.25">
      <c r="A2872" s="1">
        <f>DATE(2012,6,28)</f>
        <v>41088</v>
      </c>
      <c r="B2872" t="s">
        <v>15</v>
      </c>
      <c r="C2872" t="s">
        <v>6</v>
      </c>
      <c r="D2872" s="3">
        <v>8263.8629999999994</v>
      </c>
      <c r="E2872" s="3">
        <v>0</v>
      </c>
      <c r="F2872" t="s">
        <v>45</v>
      </c>
      <c r="G2872" s="3">
        <f t="shared" si="334"/>
        <v>-8263.8629999999994</v>
      </c>
      <c r="H2872" s="3">
        <f t="shared" si="335"/>
        <v>8263.8629999999994</v>
      </c>
      <c r="I2872" s="5" t="str">
        <f t="shared" si="336"/>
        <v>017</v>
      </c>
      <c r="J2872" s="5" t="str">
        <f t="shared" si="337"/>
        <v>2100</v>
      </c>
      <c r="K2872" s="5" t="str">
        <f t="shared" si="338"/>
        <v>000</v>
      </c>
      <c r="L2872" s="5">
        <f t="shared" si="339"/>
        <v>6</v>
      </c>
      <c r="M2872" s="5">
        <f t="shared" si="340"/>
        <v>2012</v>
      </c>
    </row>
    <row r="2873" spans="1:13" ht="17.45" customHeight="1" x14ac:dyDescent="0.25">
      <c r="A2873" s="1">
        <f>DATE(2012,6,28)</f>
        <v>41088</v>
      </c>
      <c r="B2873" t="s">
        <v>16</v>
      </c>
      <c r="C2873" t="s">
        <v>8</v>
      </c>
      <c r="D2873" s="3">
        <v>3392.7245000000003</v>
      </c>
      <c r="E2873" s="3">
        <v>0</v>
      </c>
      <c r="F2873" t="s">
        <v>45</v>
      </c>
      <c r="G2873" s="3">
        <f t="shared" si="334"/>
        <v>-3392.7245000000003</v>
      </c>
      <c r="H2873" s="3">
        <f t="shared" si="335"/>
        <v>3392.7245000000003</v>
      </c>
      <c r="I2873" s="5" t="str">
        <f t="shared" si="336"/>
        <v>017</v>
      </c>
      <c r="J2873" s="5" t="str">
        <f t="shared" si="337"/>
        <v>2210</v>
      </c>
      <c r="K2873" s="5" t="str">
        <f t="shared" si="338"/>
        <v>000</v>
      </c>
      <c r="L2873" s="5">
        <f t="shared" si="339"/>
        <v>6</v>
      </c>
      <c r="M2873" s="5">
        <f t="shared" si="340"/>
        <v>2012</v>
      </c>
    </row>
    <row r="2874" spans="1:13" ht="17.45" customHeight="1" x14ac:dyDescent="0.25">
      <c r="A2874" s="1">
        <f>DATE(2012,6,28)</f>
        <v>41088</v>
      </c>
      <c r="B2874" t="s">
        <v>17</v>
      </c>
      <c r="C2874" t="s">
        <v>9</v>
      </c>
      <c r="D2874" s="3">
        <v>794.86</v>
      </c>
      <c r="E2874" s="3">
        <v>0</v>
      </c>
      <c r="F2874" t="s">
        <v>45</v>
      </c>
      <c r="G2874" s="3">
        <f t="shared" si="334"/>
        <v>-794.86</v>
      </c>
      <c r="H2874" s="3">
        <f t="shared" si="335"/>
        <v>794.86</v>
      </c>
      <c r="I2874" s="5" t="str">
        <f t="shared" si="336"/>
        <v>017</v>
      </c>
      <c r="J2874" s="5" t="str">
        <f t="shared" si="337"/>
        <v>2220</v>
      </c>
      <c r="K2874" s="5" t="str">
        <f t="shared" si="338"/>
        <v>000</v>
      </c>
      <c r="L2874" s="5">
        <f t="shared" si="339"/>
        <v>6</v>
      </c>
      <c r="M2874" s="5">
        <f t="shared" si="340"/>
        <v>2012</v>
      </c>
    </row>
    <row r="2875" spans="1:13" ht="17.45" customHeight="1" x14ac:dyDescent="0.25">
      <c r="A2875" s="1">
        <f>DATE(2012,6,28)</f>
        <v>41088</v>
      </c>
      <c r="B2875" t="s">
        <v>18</v>
      </c>
      <c r="C2875" t="s">
        <v>10</v>
      </c>
      <c r="D2875" s="3">
        <v>145.53750000000002</v>
      </c>
      <c r="E2875" s="3">
        <v>0</v>
      </c>
      <c r="F2875" t="s">
        <v>45</v>
      </c>
      <c r="G2875" s="3">
        <f t="shared" si="334"/>
        <v>-145.53750000000002</v>
      </c>
      <c r="H2875" s="3">
        <f t="shared" si="335"/>
        <v>145.53750000000002</v>
      </c>
      <c r="I2875" s="5" t="str">
        <f t="shared" si="336"/>
        <v>017</v>
      </c>
      <c r="J2875" s="5" t="str">
        <f t="shared" si="337"/>
        <v>2230</v>
      </c>
      <c r="K2875" s="5" t="str">
        <f t="shared" si="338"/>
        <v>000</v>
      </c>
      <c r="L2875" s="5">
        <f t="shared" si="339"/>
        <v>6</v>
      </c>
      <c r="M2875" s="5">
        <f t="shared" si="340"/>
        <v>2012</v>
      </c>
    </row>
    <row r="2876" spans="1:13" ht="17.45" customHeight="1" x14ac:dyDescent="0.25">
      <c r="A2876" s="1">
        <f>DATE(2012,6,29)</f>
        <v>41089</v>
      </c>
      <c r="B2876" t="s">
        <v>15</v>
      </c>
      <c r="C2876" t="s">
        <v>6</v>
      </c>
      <c r="D2876" s="3">
        <v>10730.468499999999</v>
      </c>
      <c r="E2876" s="3">
        <v>0</v>
      </c>
      <c r="F2876" t="s">
        <v>45</v>
      </c>
      <c r="G2876" s="3">
        <f t="shared" si="334"/>
        <v>-10730.468499999999</v>
      </c>
      <c r="H2876" s="3">
        <f t="shared" si="335"/>
        <v>10730.468499999999</v>
      </c>
      <c r="I2876" s="5" t="str">
        <f t="shared" si="336"/>
        <v>017</v>
      </c>
      <c r="J2876" s="5" t="str">
        <f t="shared" si="337"/>
        <v>2100</v>
      </c>
      <c r="K2876" s="5" t="str">
        <f t="shared" si="338"/>
        <v>000</v>
      </c>
      <c r="L2876" s="5">
        <f t="shared" si="339"/>
        <v>6</v>
      </c>
      <c r="M2876" s="5">
        <f t="shared" si="340"/>
        <v>2012</v>
      </c>
    </row>
    <row r="2877" spans="1:13" ht="17.45" customHeight="1" x14ac:dyDescent="0.25">
      <c r="A2877" s="1">
        <f>DATE(2012,6,29)</f>
        <v>41089</v>
      </c>
      <c r="B2877" t="s">
        <v>16</v>
      </c>
      <c r="C2877" t="s">
        <v>8</v>
      </c>
      <c r="D2877" s="3">
        <v>2847.6309999999999</v>
      </c>
      <c r="E2877" s="3">
        <v>0</v>
      </c>
      <c r="F2877" t="s">
        <v>45</v>
      </c>
      <c r="G2877" s="3">
        <f t="shared" si="334"/>
        <v>-2847.6309999999999</v>
      </c>
      <c r="H2877" s="3">
        <f t="shared" si="335"/>
        <v>2847.6309999999999</v>
      </c>
      <c r="I2877" s="5" t="str">
        <f t="shared" si="336"/>
        <v>017</v>
      </c>
      <c r="J2877" s="5" t="str">
        <f t="shared" si="337"/>
        <v>2210</v>
      </c>
      <c r="K2877" s="5" t="str">
        <f t="shared" si="338"/>
        <v>000</v>
      </c>
      <c r="L2877" s="5">
        <f t="shared" si="339"/>
        <v>6</v>
      </c>
      <c r="M2877" s="5">
        <f t="shared" si="340"/>
        <v>2012</v>
      </c>
    </row>
    <row r="2878" spans="1:13" ht="17.45" customHeight="1" x14ac:dyDescent="0.25">
      <c r="A2878" s="1">
        <f>DATE(2012,6,29)</f>
        <v>41089</v>
      </c>
      <c r="B2878" t="s">
        <v>17</v>
      </c>
      <c r="C2878" t="s">
        <v>9</v>
      </c>
      <c r="D2878" s="3">
        <v>506.34</v>
      </c>
      <c r="E2878" s="3">
        <v>0</v>
      </c>
      <c r="F2878" t="s">
        <v>45</v>
      </c>
      <c r="G2878" s="3">
        <f t="shared" si="334"/>
        <v>-506.34</v>
      </c>
      <c r="H2878" s="3">
        <f t="shared" si="335"/>
        <v>506.34</v>
      </c>
      <c r="I2878" s="5" t="str">
        <f t="shared" si="336"/>
        <v>017</v>
      </c>
      <c r="J2878" s="5" t="str">
        <f t="shared" si="337"/>
        <v>2220</v>
      </c>
      <c r="K2878" s="5" t="str">
        <f t="shared" si="338"/>
        <v>000</v>
      </c>
      <c r="L2878" s="5">
        <f t="shared" si="339"/>
        <v>6</v>
      </c>
      <c r="M2878" s="5">
        <f t="shared" si="340"/>
        <v>2012</v>
      </c>
    </row>
    <row r="2879" spans="1:13" ht="17.45" customHeight="1" x14ac:dyDescent="0.25">
      <c r="A2879" s="1">
        <f>DATE(2012,6,29)</f>
        <v>41089</v>
      </c>
      <c r="B2879" t="s">
        <v>18</v>
      </c>
      <c r="C2879" t="s">
        <v>10</v>
      </c>
      <c r="D2879" s="3">
        <v>122.54399999999998</v>
      </c>
      <c r="E2879" s="3">
        <v>0</v>
      </c>
      <c r="F2879" t="s">
        <v>45</v>
      </c>
      <c r="G2879" s="3">
        <f t="shared" si="334"/>
        <v>-122.54399999999998</v>
      </c>
      <c r="H2879" s="3">
        <f t="shared" si="335"/>
        <v>122.54399999999998</v>
      </c>
      <c r="I2879" s="5" t="str">
        <f t="shared" si="336"/>
        <v>017</v>
      </c>
      <c r="J2879" s="5" t="str">
        <f t="shared" si="337"/>
        <v>2230</v>
      </c>
      <c r="K2879" s="5" t="str">
        <f t="shared" si="338"/>
        <v>000</v>
      </c>
      <c r="L2879" s="5">
        <f t="shared" si="339"/>
        <v>6</v>
      </c>
      <c r="M2879" s="5">
        <f t="shared" si="340"/>
        <v>2012</v>
      </c>
    </row>
    <row r="2880" spans="1:13" ht="17.45" customHeight="1" x14ac:dyDescent="0.25">
      <c r="A2880" s="1">
        <f>DATE(2012,6,30)</f>
        <v>41090</v>
      </c>
      <c r="B2880" t="s">
        <v>15</v>
      </c>
      <c r="C2880" t="s">
        <v>6</v>
      </c>
      <c r="D2880" s="3">
        <v>5437.5697999999993</v>
      </c>
      <c r="E2880" s="3">
        <v>0</v>
      </c>
      <c r="F2880" t="s">
        <v>45</v>
      </c>
      <c r="G2880" s="3">
        <f t="shared" si="334"/>
        <v>-5437.5697999999993</v>
      </c>
      <c r="H2880" s="3">
        <f t="shared" si="335"/>
        <v>5437.5697999999993</v>
      </c>
      <c r="I2880" s="5" t="str">
        <f t="shared" si="336"/>
        <v>017</v>
      </c>
      <c r="J2880" s="5" t="str">
        <f t="shared" si="337"/>
        <v>2100</v>
      </c>
      <c r="K2880" s="5" t="str">
        <f t="shared" si="338"/>
        <v>000</v>
      </c>
      <c r="L2880" s="5">
        <f t="shared" si="339"/>
        <v>6</v>
      </c>
      <c r="M2880" s="5">
        <f t="shared" si="340"/>
        <v>2012</v>
      </c>
    </row>
    <row r="2881" spans="1:13" ht="17.45" customHeight="1" x14ac:dyDescent="0.25">
      <c r="A2881" s="1">
        <f>DATE(2012,6,30)</f>
        <v>41090</v>
      </c>
      <c r="B2881" t="s">
        <v>16</v>
      </c>
      <c r="C2881" t="s">
        <v>8</v>
      </c>
      <c r="D2881" s="3">
        <v>1759.4525000000001</v>
      </c>
      <c r="E2881" s="3">
        <v>0</v>
      </c>
      <c r="F2881" t="s">
        <v>45</v>
      </c>
      <c r="G2881" s="3">
        <f t="shared" si="334"/>
        <v>-1759.4525000000001</v>
      </c>
      <c r="H2881" s="3">
        <f t="shared" si="335"/>
        <v>1759.4525000000001</v>
      </c>
      <c r="I2881" s="5" t="str">
        <f t="shared" si="336"/>
        <v>017</v>
      </c>
      <c r="J2881" s="5" t="str">
        <f t="shared" si="337"/>
        <v>2210</v>
      </c>
      <c r="K2881" s="5" t="str">
        <f t="shared" si="338"/>
        <v>000</v>
      </c>
      <c r="L2881" s="5">
        <f t="shared" si="339"/>
        <v>6</v>
      </c>
      <c r="M2881" s="5">
        <f t="shared" si="340"/>
        <v>2012</v>
      </c>
    </row>
    <row r="2882" spans="1:13" ht="17.45" customHeight="1" x14ac:dyDescent="0.25">
      <c r="A2882" s="1">
        <f>DATE(2012,6,30)</f>
        <v>41090</v>
      </c>
      <c r="B2882" t="s">
        <v>17</v>
      </c>
      <c r="C2882" t="s">
        <v>9</v>
      </c>
      <c r="D2882" s="3">
        <v>471.92500000000001</v>
      </c>
      <c r="E2882" s="3">
        <v>0</v>
      </c>
      <c r="F2882" t="s">
        <v>45</v>
      </c>
      <c r="G2882" s="3">
        <f t="shared" ref="G2882:G2945" si="341">E2882-D2882</f>
        <v>-471.92500000000001</v>
      </c>
      <c r="H2882" s="3">
        <f t="shared" ref="H2882:H2945" si="342">ABS(G2882)</f>
        <v>471.92500000000001</v>
      </c>
      <c r="I2882" s="5" t="str">
        <f t="shared" ref="I2882:I2945" si="343">MID(B2882,1,3)</f>
        <v>017</v>
      </c>
      <c r="J2882" s="5" t="str">
        <f t="shared" ref="J2882:J2945" si="344">MID(B2882,5,4)</f>
        <v>2220</v>
      </c>
      <c r="K2882" s="5" t="str">
        <f t="shared" ref="K2882:K2945" si="345">MID(B2882,10,3)</f>
        <v>000</v>
      </c>
      <c r="L2882" s="5">
        <f t="shared" ref="L2882:L2945" si="346">MONTH(A2882)</f>
        <v>6</v>
      </c>
      <c r="M2882" s="5">
        <f t="shared" ref="M2882:M2945" si="347">YEAR(A2882)</f>
        <v>2012</v>
      </c>
    </row>
    <row r="2883" spans="1:13" ht="17.45" customHeight="1" x14ac:dyDescent="0.25">
      <c r="A2883" s="1">
        <f>DATE(2012,6,30)</f>
        <v>41090</v>
      </c>
      <c r="B2883" t="s">
        <v>18</v>
      </c>
      <c r="C2883" t="s">
        <v>10</v>
      </c>
      <c r="D2883" s="3">
        <v>105.556</v>
      </c>
      <c r="E2883" s="3">
        <v>0</v>
      </c>
      <c r="F2883" t="s">
        <v>45</v>
      </c>
      <c r="G2883" s="3">
        <f t="shared" si="341"/>
        <v>-105.556</v>
      </c>
      <c r="H2883" s="3">
        <f t="shared" si="342"/>
        <v>105.556</v>
      </c>
      <c r="I2883" s="5" t="str">
        <f t="shared" si="343"/>
        <v>017</v>
      </c>
      <c r="J2883" s="5" t="str">
        <f t="shared" si="344"/>
        <v>2230</v>
      </c>
      <c r="K2883" s="5" t="str">
        <f t="shared" si="345"/>
        <v>000</v>
      </c>
      <c r="L2883" s="5">
        <f t="shared" si="346"/>
        <v>6</v>
      </c>
      <c r="M2883" s="5">
        <f t="shared" si="347"/>
        <v>2012</v>
      </c>
    </row>
    <row r="2884" spans="1:13" ht="17.45" customHeight="1" x14ac:dyDescent="0.25">
      <c r="A2884" s="1">
        <f>DATE(2012,7,1)</f>
        <v>41091</v>
      </c>
      <c r="B2884" t="s">
        <v>15</v>
      </c>
      <c r="C2884" t="s">
        <v>6</v>
      </c>
      <c r="D2884" s="3">
        <v>4813.3487999999998</v>
      </c>
      <c r="E2884" s="3">
        <v>0</v>
      </c>
      <c r="F2884" t="s">
        <v>45</v>
      </c>
      <c r="G2884" s="3">
        <f t="shared" si="341"/>
        <v>-4813.3487999999998</v>
      </c>
      <c r="H2884" s="3">
        <f t="shared" si="342"/>
        <v>4813.3487999999998</v>
      </c>
      <c r="I2884" s="5" t="str">
        <f t="shared" si="343"/>
        <v>017</v>
      </c>
      <c r="J2884" s="5" t="str">
        <f t="shared" si="344"/>
        <v>2100</v>
      </c>
      <c r="K2884" s="5" t="str">
        <f t="shared" si="345"/>
        <v>000</v>
      </c>
      <c r="L2884" s="5">
        <f t="shared" si="346"/>
        <v>7</v>
      </c>
      <c r="M2884" s="5">
        <f t="shared" si="347"/>
        <v>2012</v>
      </c>
    </row>
    <row r="2885" spans="1:13" ht="17.45" customHeight="1" x14ac:dyDescent="0.25">
      <c r="A2885" s="1">
        <f>DATE(2012,7,1)</f>
        <v>41091</v>
      </c>
      <c r="B2885" t="s">
        <v>16</v>
      </c>
      <c r="C2885" t="s">
        <v>8</v>
      </c>
      <c r="D2885" s="3">
        <v>1081.3319999999999</v>
      </c>
      <c r="E2885" s="3">
        <v>0</v>
      </c>
      <c r="F2885" t="s">
        <v>45</v>
      </c>
      <c r="G2885" s="3">
        <f t="shared" si="341"/>
        <v>-1081.3319999999999</v>
      </c>
      <c r="H2885" s="3">
        <f t="shared" si="342"/>
        <v>1081.3319999999999</v>
      </c>
      <c r="I2885" s="5" t="str">
        <f t="shared" si="343"/>
        <v>017</v>
      </c>
      <c r="J2885" s="5" t="str">
        <f t="shared" si="344"/>
        <v>2210</v>
      </c>
      <c r="K2885" s="5" t="str">
        <f t="shared" si="345"/>
        <v>000</v>
      </c>
      <c r="L2885" s="5">
        <f t="shared" si="346"/>
        <v>7</v>
      </c>
      <c r="M2885" s="5">
        <f t="shared" si="347"/>
        <v>2012</v>
      </c>
    </row>
    <row r="2886" spans="1:13" ht="17.45" customHeight="1" x14ac:dyDescent="0.25">
      <c r="A2886" s="1">
        <f>DATE(2012,7,1)</f>
        <v>41091</v>
      </c>
      <c r="B2886" t="s">
        <v>17</v>
      </c>
      <c r="C2886" t="s">
        <v>9</v>
      </c>
      <c r="D2886" s="3">
        <v>155.1875</v>
      </c>
      <c r="E2886" s="3">
        <v>0</v>
      </c>
      <c r="F2886" t="s">
        <v>45</v>
      </c>
      <c r="G2886" s="3">
        <f t="shared" si="341"/>
        <v>-155.1875</v>
      </c>
      <c r="H2886" s="3">
        <f t="shared" si="342"/>
        <v>155.1875</v>
      </c>
      <c r="I2886" s="5" t="str">
        <f t="shared" si="343"/>
        <v>017</v>
      </c>
      <c r="J2886" s="5" t="str">
        <f t="shared" si="344"/>
        <v>2220</v>
      </c>
      <c r="K2886" s="5" t="str">
        <f t="shared" si="345"/>
        <v>000</v>
      </c>
      <c r="L2886" s="5">
        <f t="shared" si="346"/>
        <v>7</v>
      </c>
      <c r="M2886" s="5">
        <f t="shared" si="347"/>
        <v>2012</v>
      </c>
    </row>
    <row r="2887" spans="1:13" ht="17.45" customHeight="1" x14ac:dyDescent="0.25">
      <c r="A2887" s="1">
        <f>DATE(2012,7,1)</f>
        <v>41091</v>
      </c>
      <c r="B2887" t="s">
        <v>18</v>
      </c>
      <c r="C2887" t="s">
        <v>10</v>
      </c>
      <c r="D2887" s="3">
        <v>38.258000000000003</v>
      </c>
      <c r="E2887" s="3">
        <v>0</v>
      </c>
      <c r="F2887" t="s">
        <v>45</v>
      </c>
      <c r="G2887" s="3">
        <f t="shared" si="341"/>
        <v>-38.258000000000003</v>
      </c>
      <c r="H2887" s="3">
        <f t="shared" si="342"/>
        <v>38.258000000000003</v>
      </c>
      <c r="I2887" s="5" t="str">
        <f t="shared" si="343"/>
        <v>017</v>
      </c>
      <c r="J2887" s="5" t="str">
        <f t="shared" si="344"/>
        <v>2230</v>
      </c>
      <c r="K2887" s="5" t="str">
        <f t="shared" si="345"/>
        <v>000</v>
      </c>
      <c r="L2887" s="5">
        <f t="shared" si="346"/>
        <v>7</v>
      </c>
      <c r="M2887" s="5">
        <f t="shared" si="347"/>
        <v>2012</v>
      </c>
    </row>
    <row r="2888" spans="1:13" ht="17.45" customHeight="1" x14ac:dyDescent="0.25">
      <c r="A2888" s="1">
        <f>DATE(2012,6,25)</f>
        <v>41085</v>
      </c>
      <c r="B2888" t="s">
        <v>19</v>
      </c>
      <c r="C2888" t="s">
        <v>6</v>
      </c>
      <c r="D2888" s="3">
        <v>4545.8920000000007</v>
      </c>
      <c r="E2888" s="3">
        <v>0</v>
      </c>
      <c r="F2888" t="s">
        <v>45</v>
      </c>
      <c r="G2888" s="3">
        <f t="shared" si="341"/>
        <v>-4545.8920000000007</v>
      </c>
      <c r="H2888" s="3">
        <f t="shared" si="342"/>
        <v>4545.8920000000007</v>
      </c>
      <c r="I2888" s="5" t="str">
        <f t="shared" si="343"/>
        <v>018</v>
      </c>
      <c r="J2888" s="5" t="str">
        <f t="shared" si="344"/>
        <v>2100</v>
      </c>
      <c r="K2888" s="5" t="str">
        <f t="shared" si="345"/>
        <v>000</v>
      </c>
      <c r="L2888" s="5">
        <f t="shared" si="346"/>
        <v>6</v>
      </c>
      <c r="M2888" s="5">
        <f t="shared" si="347"/>
        <v>2012</v>
      </c>
    </row>
    <row r="2889" spans="1:13" ht="17.45" customHeight="1" x14ac:dyDescent="0.25">
      <c r="A2889" s="1">
        <f>DATE(2012,6,25)</f>
        <v>41085</v>
      </c>
      <c r="B2889" t="s">
        <v>20</v>
      </c>
      <c r="C2889" t="s">
        <v>8</v>
      </c>
      <c r="D2889" s="3">
        <v>1121.9285</v>
      </c>
      <c r="E2889" s="3">
        <v>0</v>
      </c>
      <c r="F2889" t="s">
        <v>45</v>
      </c>
      <c r="G2889" s="3">
        <f t="shared" si="341"/>
        <v>-1121.9285</v>
      </c>
      <c r="H2889" s="3">
        <f t="shared" si="342"/>
        <v>1121.9285</v>
      </c>
      <c r="I2889" s="5" t="str">
        <f t="shared" si="343"/>
        <v>018</v>
      </c>
      <c r="J2889" s="5" t="str">
        <f t="shared" si="344"/>
        <v>2210</v>
      </c>
      <c r="K2889" s="5" t="str">
        <f t="shared" si="345"/>
        <v>000</v>
      </c>
      <c r="L2889" s="5">
        <f t="shared" si="346"/>
        <v>6</v>
      </c>
      <c r="M2889" s="5">
        <f t="shared" si="347"/>
        <v>2012</v>
      </c>
    </row>
    <row r="2890" spans="1:13" ht="17.45" customHeight="1" x14ac:dyDescent="0.25">
      <c r="A2890" s="1">
        <f>DATE(2012,6,25)</f>
        <v>41085</v>
      </c>
      <c r="B2890" t="s">
        <v>21</v>
      </c>
      <c r="C2890" t="s">
        <v>9</v>
      </c>
      <c r="D2890" s="3">
        <v>146.40400000000002</v>
      </c>
      <c r="E2890" s="3">
        <v>0</v>
      </c>
      <c r="F2890" t="s">
        <v>45</v>
      </c>
      <c r="G2890" s="3">
        <f t="shared" si="341"/>
        <v>-146.40400000000002</v>
      </c>
      <c r="H2890" s="3">
        <f t="shared" si="342"/>
        <v>146.40400000000002</v>
      </c>
      <c r="I2890" s="5" t="str">
        <f t="shared" si="343"/>
        <v>018</v>
      </c>
      <c r="J2890" s="5" t="str">
        <f t="shared" si="344"/>
        <v>2220</v>
      </c>
      <c r="K2890" s="5" t="str">
        <f t="shared" si="345"/>
        <v>000</v>
      </c>
      <c r="L2890" s="5">
        <f t="shared" si="346"/>
        <v>6</v>
      </c>
      <c r="M2890" s="5">
        <f t="shared" si="347"/>
        <v>2012</v>
      </c>
    </row>
    <row r="2891" spans="1:13" ht="17.45" customHeight="1" x14ac:dyDescent="0.25">
      <c r="A2891" s="1">
        <f>DATE(2012,6,25)</f>
        <v>41085</v>
      </c>
      <c r="B2891" t="s">
        <v>22</v>
      </c>
      <c r="C2891" t="s">
        <v>10</v>
      </c>
      <c r="D2891" s="3">
        <v>126.36000000000001</v>
      </c>
      <c r="E2891" s="3">
        <v>0</v>
      </c>
      <c r="F2891" t="s">
        <v>45</v>
      </c>
      <c r="G2891" s="3">
        <f t="shared" si="341"/>
        <v>-126.36000000000001</v>
      </c>
      <c r="H2891" s="3">
        <f t="shared" si="342"/>
        <v>126.36000000000001</v>
      </c>
      <c r="I2891" s="5" t="str">
        <f t="shared" si="343"/>
        <v>018</v>
      </c>
      <c r="J2891" s="5" t="str">
        <f t="shared" si="344"/>
        <v>2230</v>
      </c>
      <c r="K2891" s="5" t="str">
        <f t="shared" si="345"/>
        <v>000</v>
      </c>
      <c r="L2891" s="5">
        <f t="shared" si="346"/>
        <v>6</v>
      </c>
      <c r="M2891" s="5">
        <f t="shared" si="347"/>
        <v>2012</v>
      </c>
    </row>
    <row r="2892" spans="1:13" ht="17.45" customHeight="1" x14ac:dyDescent="0.25">
      <c r="A2892" s="1">
        <f>DATE(2012,6,26)</f>
        <v>41086</v>
      </c>
      <c r="B2892" t="s">
        <v>19</v>
      </c>
      <c r="C2892" t="s">
        <v>6</v>
      </c>
      <c r="D2892" s="3">
        <v>5196.8388000000004</v>
      </c>
      <c r="E2892" s="3">
        <v>0</v>
      </c>
      <c r="F2892" t="s">
        <v>45</v>
      </c>
      <c r="G2892" s="3">
        <f t="shared" si="341"/>
        <v>-5196.8388000000004</v>
      </c>
      <c r="H2892" s="3">
        <f t="shared" si="342"/>
        <v>5196.8388000000004</v>
      </c>
      <c r="I2892" s="5" t="str">
        <f t="shared" si="343"/>
        <v>018</v>
      </c>
      <c r="J2892" s="5" t="str">
        <f t="shared" si="344"/>
        <v>2100</v>
      </c>
      <c r="K2892" s="5" t="str">
        <f t="shared" si="345"/>
        <v>000</v>
      </c>
      <c r="L2892" s="5">
        <f t="shared" si="346"/>
        <v>6</v>
      </c>
      <c r="M2892" s="5">
        <f t="shared" si="347"/>
        <v>2012</v>
      </c>
    </row>
    <row r="2893" spans="1:13" ht="17.45" customHeight="1" x14ac:dyDescent="0.25">
      <c r="A2893" s="1">
        <f>DATE(2012,6,26)</f>
        <v>41086</v>
      </c>
      <c r="B2893" t="s">
        <v>20</v>
      </c>
      <c r="C2893" t="s">
        <v>8</v>
      </c>
      <c r="D2893" s="3">
        <v>1375.2525000000001</v>
      </c>
      <c r="E2893" s="3">
        <v>0</v>
      </c>
      <c r="F2893" t="s">
        <v>45</v>
      </c>
      <c r="G2893" s="3">
        <f t="shared" si="341"/>
        <v>-1375.2525000000001</v>
      </c>
      <c r="H2893" s="3">
        <f t="shared" si="342"/>
        <v>1375.2525000000001</v>
      </c>
      <c r="I2893" s="5" t="str">
        <f t="shared" si="343"/>
        <v>018</v>
      </c>
      <c r="J2893" s="5" t="str">
        <f t="shared" si="344"/>
        <v>2210</v>
      </c>
      <c r="K2893" s="5" t="str">
        <f t="shared" si="345"/>
        <v>000</v>
      </c>
      <c r="L2893" s="5">
        <f t="shared" si="346"/>
        <v>6</v>
      </c>
      <c r="M2893" s="5">
        <f t="shared" si="347"/>
        <v>2012</v>
      </c>
    </row>
    <row r="2894" spans="1:13" ht="17.45" customHeight="1" x14ac:dyDescent="0.25">
      <c r="A2894" s="1">
        <f>DATE(2012,6,26)</f>
        <v>41086</v>
      </c>
      <c r="B2894" t="s">
        <v>21</v>
      </c>
      <c r="C2894" t="s">
        <v>9</v>
      </c>
      <c r="D2894" s="3">
        <v>273.90999999999997</v>
      </c>
      <c r="E2894" s="3">
        <v>0</v>
      </c>
      <c r="F2894" t="s">
        <v>45</v>
      </c>
      <c r="G2894" s="3">
        <f t="shared" si="341"/>
        <v>-273.90999999999997</v>
      </c>
      <c r="H2894" s="3">
        <f t="shared" si="342"/>
        <v>273.90999999999997</v>
      </c>
      <c r="I2894" s="5" t="str">
        <f t="shared" si="343"/>
        <v>018</v>
      </c>
      <c r="J2894" s="5" t="str">
        <f t="shared" si="344"/>
        <v>2220</v>
      </c>
      <c r="K2894" s="5" t="str">
        <f t="shared" si="345"/>
        <v>000</v>
      </c>
      <c r="L2894" s="5">
        <f t="shared" si="346"/>
        <v>6</v>
      </c>
      <c r="M2894" s="5">
        <f t="shared" si="347"/>
        <v>2012</v>
      </c>
    </row>
    <row r="2895" spans="1:13" ht="17.45" customHeight="1" x14ac:dyDescent="0.25">
      <c r="A2895" s="1">
        <f>DATE(2012,6,26)</f>
        <v>41086</v>
      </c>
      <c r="B2895" t="s">
        <v>22</v>
      </c>
      <c r="C2895" t="s">
        <v>10</v>
      </c>
      <c r="D2895" s="3">
        <v>46.575999999999993</v>
      </c>
      <c r="E2895" s="3">
        <v>0</v>
      </c>
      <c r="F2895" t="s">
        <v>45</v>
      </c>
      <c r="G2895" s="3">
        <f t="shared" si="341"/>
        <v>-46.575999999999993</v>
      </c>
      <c r="H2895" s="3">
        <f t="shared" si="342"/>
        <v>46.575999999999993</v>
      </c>
      <c r="I2895" s="5" t="str">
        <f t="shared" si="343"/>
        <v>018</v>
      </c>
      <c r="J2895" s="5" t="str">
        <f t="shared" si="344"/>
        <v>2230</v>
      </c>
      <c r="K2895" s="5" t="str">
        <f t="shared" si="345"/>
        <v>000</v>
      </c>
      <c r="L2895" s="5">
        <f t="shared" si="346"/>
        <v>6</v>
      </c>
      <c r="M2895" s="5">
        <f t="shared" si="347"/>
        <v>2012</v>
      </c>
    </row>
    <row r="2896" spans="1:13" ht="17.45" customHeight="1" x14ac:dyDescent="0.25">
      <c r="A2896" s="1">
        <f>DATE(2012,6,27)</f>
        <v>41087</v>
      </c>
      <c r="B2896" t="s">
        <v>19</v>
      </c>
      <c r="C2896" t="s">
        <v>6</v>
      </c>
      <c r="D2896" s="3">
        <v>4736.5004999999992</v>
      </c>
      <c r="E2896" s="3">
        <v>0</v>
      </c>
      <c r="F2896" t="s">
        <v>45</v>
      </c>
      <c r="G2896" s="3">
        <f t="shared" si="341"/>
        <v>-4736.5004999999992</v>
      </c>
      <c r="H2896" s="3">
        <f t="shared" si="342"/>
        <v>4736.5004999999992</v>
      </c>
      <c r="I2896" s="5" t="str">
        <f t="shared" si="343"/>
        <v>018</v>
      </c>
      <c r="J2896" s="5" t="str">
        <f t="shared" si="344"/>
        <v>2100</v>
      </c>
      <c r="K2896" s="5" t="str">
        <f t="shared" si="345"/>
        <v>000</v>
      </c>
      <c r="L2896" s="5">
        <f t="shared" si="346"/>
        <v>6</v>
      </c>
      <c r="M2896" s="5">
        <f t="shared" si="347"/>
        <v>2012</v>
      </c>
    </row>
    <row r="2897" spans="1:13" ht="17.45" customHeight="1" x14ac:dyDescent="0.25">
      <c r="A2897" s="1">
        <f>DATE(2012,6,27)</f>
        <v>41087</v>
      </c>
      <c r="B2897" t="s">
        <v>20</v>
      </c>
      <c r="C2897" t="s">
        <v>8</v>
      </c>
      <c r="D2897" s="3">
        <v>1043.971</v>
      </c>
      <c r="E2897" s="3">
        <v>0</v>
      </c>
      <c r="F2897" t="s">
        <v>45</v>
      </c>
      <c r="G2897" s="3">
        <f t="shared" si="341"/>
        <v>-1043.971</v>
      </c>
      <c r="H2897" s="3">
        <f t="shared" si="342"/>
        <v>1043.971</v>
      </c>
      <c r="I2897" s="5" t="str">
        <f t="shared" si="343"/>
        <v>018</v>
      </c>
      <c r="J2897" s="5" t="str">
        <f t="shared" si="344"/>
        <v>2210</v>
      </c>
      <c r="K2897" s="5" t="str">
        <f t="shared" si="345"/>
        <v>000</v>
      </c>
      <c r="L2897" s="5">
        <f t="shared" si="346"/>
        <v>6</v>
      </c>
      <c r="M2897" s="5">
        <f t="shared" si="347"/>
        <v>2012</v>
      </c>
    </row>
    <row r="2898" spans="1:13" ht="17.45" customHeight="1" x14ac:dyDescent="0.25">
      <c r="A2898" s="1">
        <f>DATE(2012,6,27)</f>
        <v>41087</v>
      </c>
      <c r="B2898" t="s">
        <v>21</v>
      </c>
      <c r="C2898" t="s">
        <v>9</v>
      </c>
      <c r="D2898" s="3">
        <v>208.12600000000003</v>
      </c>
      <c r="E2898" s="3">
        <v>0</v>
      </c>
      <c r="F2898" t="s">
        <v>45</v>
      </c>
      <c r="G2898" s="3">
        <f t="shared" si="341"/>
        <v>-208.12600000000003</v>
      </c>
      <c r="H2898" s="3">
        <f t="shared" si="342"/>
        <v>208.12600000000003</v>
      </c>
      <c r="I2898" s="5" t="str">
        <f t="shared" si="343"/>
        <v>018</v>
      </c>
      <c r="J2898" s="5" t="str">
        <f t="shared" si="344"/>
        <v>2220</v>
      </c>
      <c r="K2898" s="5" t="str">
        <f t="shared" si="345"/>
        <v>000</v>
      </c>
      <c r="L2898" s="5">
        <f t="shared" si="346"/>
        <v>6</v>
      </c>
      <c r="M2898" s="5">
        <f t="shared" si="347"/>
        <v>2012</v>
      </c>
    </row>
    <row r="2899" spans="1:13" ht="17.45" customHeight="1" x14ac:dyDescent="0.25">
      <c r="A2899" s="1">
        <f>DATE(2012,6,27)</f>
        <v>41087</v>
      </c>
      <c r="B2899" t="s">
        <v>22</v>
      </c>
      <c r="C2899" t="s">
        <v>10</v>
      </c>
      <c r="D2899" s="3">
        <v>30.684999999999999</v>
      </c>
      <c r="E2899" s="3">
        <v>0</v>
      </c>
      <c r="F2899" t="s">
        <v>45</v>
      </c>
      <c r="G2899" s="3">
        <f t="shared" si="341"/>
        <v>-30.684999999999999</v>
      </c>
      <c r="H2899" s="3">
        <f t="shared" si="342"/>
        <v>30.684999999999999</v>
      </c>
      <c r="I2899" s="5" t="str">
        <f t="shared" si="343"/>
        <v>018</v>
      </c>
      <c r="J2899" s="5" t="str">
        <f t="shared" si="344"/>
        <v>2230</v>
      </c>
      <c r="K2899" s="5" t="str">
        <f t="shared" si="345"/>
        <v>000</v>
      </c>
      <c r="L2899" s="5">
        <f t="shared" si="346"/>
        <v>6</v>
      </c>
      <c r="M2899" s="5">
        <f t="shared" si="347"/>
        <v>2012</v>
      </c>
    </row>
    <row r="2900" spans="1:13" ht="17.45" customHeight="1" x14ac:dyDescent="0.25">
      <c r="A2900" s="1">
        <f>DATE(2012,6,28)</f>
        <v>41088</v>
      </c>
      <c r="B2900" t="s">
        <v>19</v>
      </c>
      <c r="C2900" t="s">
        <v>6</v>
      </c>
      <c r="D2900" s="3">
        <v>8532.5390000000007</v>
      </c>
      <c r="E2900" s="3">
        <v>0</v>
      </c>
      <c r="F2900" t="s">
        <v>45</v>
      </c>
      <c r="G2900" s="3">
        <f t="shared" si="341"/>
        <v>-8532.5390000000007</v>
      </c>
      <c r="H2900" s="3">
        <f t="shared" si="342"/>
        <v>8532.5390000000007</v>
      </c>
      <c r="I2900" s="5" t="str">
        <f t="shared" si="343"/>
        <v>018</v>
      </c>
      <c r="J2900" s="5" t="str">
        <f t="shared" si="344"/>
        <v>2100</v>
      </c>
      <c r="K2900" s="5" t="str">
        <f t="shared" si="345"/>
        <v>000</v>
      </c>
      <c r="L2900" s="5">
        <f t="shared" si="346"/>
        <v>6</v>
      </c>
      <c r="M2900" s="5">
        <f t="shared" si="347"/>
        <v>2012</v>
      </c>
    </row>
    <row r="2901" spans="1:13" ht="17.45" customHeight="1" x14ac:dyDescent="0.25">
      <c r="A2901" s="1">
        <f>DATE(2012,6,28)</f>
        <v>41088</v>
      </c>
      <c r="B2901" t="s">
        <v>20</v>
      </c>
      <c r="C2901" t="s">
        <v>8</v>
      </c>
      <c r="D2901" s="3">
        <v>1898.48</v>
      </c>
      <c r="E2901" s="3">
        <v>0</v>
      </c>
      <c r="F2901" t="s">
        <v>45</v>
      </c>
      <c r="G2901" s="3">
        <f t="shared" si="341"/>
        <v>-1898.48</v>
      </c>
      <c r="H2901" s="3">
        <f t="shared" si="342"/>
        <v>1898.48</v>
      </c>
      <c r="I2901" s="5" t="str">
        <f t="shared" si="343"/>
        <v>018</v>
      </c>
      <c r="J2901" s="5" t="str">
        <f t="shared" si="344"/>
        <v>2210</v>
      </c>
      <c r="K2901" s="5" t="str">
        <f t="shared" si="345"/>
        <v>000</v>
      </c>
      <c r="L2901" s="5">
        <f t="shared" si="346"/>
        <v>6</v>
      </c>
      <c r="M2901" s="5">
        <f t="shared" si="347"/>
        <v>2012</v>
      </c>
    </row>
    <row r="2902" spans="1:13" ht="17.45" customHeight="1" x14ac:dyDescent="0.25">
      <c r="A2902" s="1">
        <f>DATE(2012,6,28)</f>
        <v>41088</v>
      </c>
      <c r="B2902" t="s">
        <v>21</v>
      </c>
      <c r="C2902" t="s">
        <v>9</v>
      </c>
      <c r="D2902" s="3">
        <v>248.98999999999998</v>
      </c>
      <c r="E2902" s="3">
        <v>0</v>
      </c>
      <c r="F2902" t="s">
        <v>45</v>
      </c>
      <c r="G2902" s="3">
        <f t="shared" si="341"/>
        <v>-248.98999999999998</v>
      </c>
      <c r="H2902" s="3">
        <f t="shared" si="342"/>
        <v>248.98999999999998</v>
      </c>
      <c r="I2902" s="5" t="str">
        <f t="shared" si="343"/>
        <v>018</v>
      </c>
      <c r="J2902" s="5" t="str">
        <f t="shared" si="344"/>
        <v>2220</v>
      </c>
      <c r="K2902" s="5" t="str">
        <f t="shared" si="345"/>
        <v>000</v>
      </c>
      <c r="L2902" s="5">
        <f t="shared" si="346"/>
        <v>6</v>
      </c>
      <c r="M2902" s="5">
        <f t="shared" si="347"/>
        <v>2012</v>
      </c>
    </row>
    <row r="2903" spans="1:13" ht="17.45" customHeight="1" x14ac:dyDescent="0.25">
      <c r="A2903" s="1">
        <f>DATE(2012,6,28)</f>
        <v>41088</v>
      </c>
      <c r="B2903" t="s">
        <v>22</v>
      </c>
      <c r="C2903" t="s">
        <v>10</v>
      </c>
      <c r="D2903" s="3">
        <v>35.429499999999997</v>
      </c>
      <c r="E2903" s="3">
        <v>0</v>
      </c>
      <c r="F2903" t="s">
        <v>45</v>
      </c>
      <c r="G2903" s="3">
        <f t="shared" si="341"/>
        <v>-35.429499999999997</v>
      </c>
      <c r="H2903" s="3">
        <f t="shared" si="342"/>
        <v>35.429499999999997</v>
      </c>
      <c r="I2903" s="5" t="str">
        <f t="shared" si="343"/>
        <v>018</v>
      </c>
      <c r="J2903" s="5" t="str">
        <f t="shared" si="344"/>
        <v>2230</v>
      </c>
      <c r="K2903" s="5" t="str">
        <f t="shared" si="345"/>
        <v>000</v>
      </c>
      <c r="L2903" s="5">
        <f t="shared" si="346"/>
        <v>6</v>
      </c>
      <c r="M2903" s="5">
        <f t="shared" si="347"/>
        <v>2012</v>
      </c>
    </row>
    <row r="2904" spans="1:13" ht="17.45" customHeight="1" x14ac:dyDescent="0.25">
      <c r="A2904" s="1">
        <f>DATE(2012,6,29)</f>
        <v>41089</v>
      </c>
      <c r="B2904" t="s">
        <v>19</v>
      </c>
      <c r="C2904" t="s">
        <v>6</v>
      </c>
      <c r="D2904" s="3">
        <v>10622.156999999999</v>
      </c>
      <c r="E2904" s="3">
        <v>0</v>
      </c>
      <c r="F2904" t="s">
        <v>45</v>
      </c>
      <c r="G2904" s="3">
        <f t="shared" si="341"/>
        <v>-10622.156999999999</v>
      </c>
      <c r="H2904" s="3">
        <f t="shared" si="342"/>
        <v>10622.156999999999</v>
      </c>
      <c r="I2904" s="5" t="str">
        <f t="shared" si="343"/>
        <v>018</v>
      </c>
      <c r="J2904" s="5" t="str">
        <f t="shared" si="344"/>
        <v>2100</v>
      </c>
      <c r="K2904" s="5" t="str">
        <f t="shared" si="345"/>
        <v>000</v>
      </c>
      <c r="L2904" s="5">
        <f t="shared" si="346"/>
        <v>6</v>
      </c>
      <c r="M2904" s="5">
        <f t="shared" si="347"/>
        <v>2012</v>
      </c>
    </row>
    <row r="2905" spans="1:13" ht="17.45" customHeight="1" x14ac:dyDescent="0.25">
      <c r="A2905" s="1">
        <f>DATE(2012,6,29)</f>
        <v>41089</v>
      </c>
      <c r="B2905" t="s">
        <v>20</v>
      </c>
      <c r="C2905" t="s">
        <v>8</v>
      </c>
      <c r="D2905" s="3">
        <v>2985.71</v>
      </c>
      <c r="E2905" s="3">
        <v>0</v>
      </c>
      <c r="F2905" t="s">
        <v>45</v>
      </c>
      <c r="G2905" s="3">
        <f t="shared" si="341"/>
        <v>-2985.71</v>
      </c>
      <c r="H2905" s="3">
        <f t="shared" si="342"/>
        <v>2985.71</v>
      </c>
      <c r="I2905" s="5" t="str">
        <f t="shared" si="343"/>
        <v>018</v>
      </c>
      <c r="J2905" s="5" t="str">
        <f t="shared" si="344"/>
        <v>2210</v>
      </c>
      <c r="K2905" s="5" t="str">
        <f t="shared" si="345"/>
        <v>000</v>
      </c>
      <c r="L2905" s="5">
        <f t="shared" si="346"/>
        <v>6</v>
      </c>
      <c r="M2905" s="5">
        <f t="shared" si="347"/>
        <v>2012</v>
      </c>
    </row>
    <row r="2906" spans="1:13" ht="17.45" customHeight="1" x14ac:dyDescent="0.25">
      <c r="A2906" s="1">
        <f>DATE(2012,6,29)</f>
        <v>41089</v>
      </c>
      <c r="B2906" t="s">
        <v>21</v>
      </c>
      <c r="C2906" t="s">
        <v>9</v>
      </c>
      <c r="D2906" s="3">
        <v>712.47600000000011</v>
      </c>
      <c r="E2906" s="3">
        <v>0</v>
      </c>
      <c r="F2906" t="s">
        <v>45</v>
      </c>
      <c r="G2906" s="3">
        <f t="shared" si="341"/>
        <v>-712.47600000000011</v>
      </c>
      <c r="H2906" s="3">
        <f t="shared" si="342"/>
        <v>712.47600000000011</v>
      </c>
      <c r="I2906" s="5" t="str">
        <f t="shared" si="343"/>
        <v>018</v>
      </c>
      <c r="J2906" s="5" t="str">
        <f t="shared" si="344"/>
        <v>2220</v>
      </c>
      <c r="K2906" s="5" t="str">
        <f t="shared" si="345"/>
        <v>000</v>
      </c>
      <c r="L2906" s="5">
        <f t="shared" si="346"/>
        <v>6</v>
      </c>
      <c r="M2906" s="5">
        <f t="shared" si="347"/>
        <v>2012</v>
      </c>
    </row>
    <row r="2907" spans="1:13" ht="17.45" customHeight="1" x14ac:dyDescent="0.25">
      <c r="A2907" s="1">
        <f>DATE(2012,6,29)</f>
        <v>41089</v>
      </c>
      <c r="B2907" t="s">
        <v>22</v>
      </c>
      <c r="C2907" t="s">
        <v>10</v>
      </c>
      <c r="D2907" s="3">
        <v>161.4015</v>
      </c>
      <c r="E2907" s="3">
        <v>0</v>
      </c>
      <c r="F2907" t="s">
        <v>45</v>
      </c>
      <c r="G2907" s="3">
        <f t="shared" si="341"/>
        <v>-161.4015</v>
      </c>
      <c r="H2907" s="3">
        <f t="shared" si="342"/>
        <v>161.4015</v>
      </c>
      <c r="I2907" s="5" t="str">
        <f t="shared" si="343"/>
        <v>018</v>
      </c>
      <c r="J2907" s="5" t="str">
        <f t="shared" si="344"/>
        <v>2230</v>
      </c>
      <c r="K2907" s="5" t="str">
        <f t="shared" si="345"/>
        <v>000</v>
      </c>
      <c r="L2907" s="5">
        <f t="shared" si="346"/>
        <v>6</v>
      </c>
      <c r="M2907" s="5">
        <f t="shared" si="347"/>
        <v>2012</v>
      </c>
    </row>
    <row r="2908" spans="1:13" ht="17.45" customHeight="1" x14ac:dyDescent="0.25">
      <c r="A2908" s="1">
        <f>DATE(2012,6,30)</f>
        <v>41090</v>
      </c>
      <c r="B2908" t="s">
        <v>19</v>
      </c>
      <c r="C2908" t="s">
        <v>6</v>
      </c>
      <c r="D2908" s="3">
        <v>17154.204999999998</v>
      </c>
      <c r="E2908" s="3">
        <v>0</v>
      </c>
      <c r="F2908" t="s">
        <v>45</v>
      </c>
      <c r="G2908" s="3">
        <f t="shared" si="341"/>
        <v>-17154.204999999998</v>
      </c>
      <c r="H2908" s="3">
        <f t="shared" si="342"/>
        <v>17154.204999999998</v>
      </c>
      <c r="I2908" s="5" t="str">
        <f t="shared" si="343"/>
        <v>018</v>
      </c>
      <c r="J2908" s="5" t="str">
        <f t="shared" si="344"/>
        <v>2100</v>
      </c>
      <c r="K2908" s="5" t="str">
        <f t="shared" si="345"/>
        <v>000</v>
      </c>
      <c r="L2908" s="5">
        <f t="shared" si="346"/>
        <v>6</v>
      </c>
      <c r="M2908" s="5">
        <f t="shared" si="347"/>
        <v>2012</v>
      </c>
    </row>
    <row r="2909" spans="1:13" ht="17.45" customHeight="1" x14ac:dyDescent="0.25">
      <c r="A2909" s="1">
        <f>DATE(2012,6,30)</f>
        <v>41090</v>
      </c>
      <c r="B2909" t="s">
        <v>20</v>
      </c>
      <c r="C2909" t="s">
        <v>8</v>
      </c>
      <c r="D2909" s="3">
        <v>3959.8</v>
      </c>
      <c r="E2909" s="3">
        <v>0</v>
      </c>
      <c r="F2909" t="s">
        <v>45</v>
      </c>
      <c r="G2909" s="3">
        <f t="shared" si="341"/>
        <v>-3959.8</v>
      </c>
      <c r="H2909" s="3">
        <f t="shared" si="342"/>
        <v>3959.8</v>
      </c>
      <c r="I2909" s="5" t="str">
        <f t="shared" si="343"/>
        <v>018</v>
      </c>
      <c r="J2909" s="5" t="str">
        <f t="shared" si="344"/>
        <v>2210</v>
      </c>
      <c r="K2909" s="5" t="str">
        <f t="shared" si="345"/>
        <v>000</v>
      </c>
      <c r="L2909" s="5">
        <f t="shared" si="346"/>
        <v>6</v>
      </c>
      <c r="M2909" s="5">
        <f t="shared" si="347"/>
        <v>2012</v>
      </c>
    </row>
    <row r="2910" spans="1:13" ht="17.45" customHeight="1" x14ac:dyDescent="0.25">
      <c r="A2910" s="1">
        <f>DATE(2012,6,30)</f>
        <v>41090</v>
      </c>
      <c r="B2910" t="s">
        <v>21</v>
      </c>
      <c r="C2910" t="s">
        <v>9</v>
      </c>
      <c r="D2910" s="3">
        <v>940.46399999999994</v>
      </c>
      <c r="E2910" s="3">
        <v>0</v>
      </c>
      <c r="F2910" t="s">
        <v>45</v>
      </c>
      <c r="G2910" s="3">
        <f t="shared" si="341"/>
        <v>-940.46399999999994</v>
      </c>
      <c r="H2910" s="3">
        <f t="shared" si="342"/>
        <v>940.46399999999994</v>
      </c>
      <c r="I2910" s="5" t="str">
        <f t="shared" si="343"/>
        <v>018</v>
      </c>
      <c r="J2910" s="5" t="str">
        <f t="shared" si="344"/>
        <v>2220</v>
      </c>
      <c r="K2910" s="5" t="str">
        <f t="shared" si="345"/>
        <v>000</v>
      </c>
      <c r="L2910" s="5">
        <f t="shared" si="346"/>
        <v>6</v>
      </c>
      <c r="M2910" s="5">
        <f t="shared" si="347"/>
        <v>2012</v>
      </c>
    </row>
    <row r="2911" spans="1:13" ht="17.45" customHeight="1" x14ac:dyDescent="0.25">
      <c r="A2911" s="1">
        <f>DATE(2012,6,30)</f>
        <v>41090</v>
      </c>
      <c r="B2911" t="s">
        <v>22</v>
      </c>
      <c r="C2911" t="s">
        <v>10</v>
      </c>
      <c r="D2911" s="3">
        <v>25.113999999999997</v>
      </c>
      <c r="E2911" s="3">
        <v>0</v>
      </c>
      <c r="F2911" t="s">
        <v>45</v>
      </c>
      <c r="G2911" s="3">
        <f t="shared" si="341"/>
        <v>-25.113999999999997</v>
      </c>
      <c r="H2911" s="3">
        <f t="shared" si="342"/>
        <v>25.113999999999997</v>
      </c>
      <c r="I2911" s="5" t="str">
        <f t="shared" si="343"/>
        <v>018</v>
      </c>
      <c r="J2911" s="5" t="str">
        <f t="shared" si="344"/>
        <v>2230</v>
      </c>
      <c r="K2911" s="5" t="str">
        <f t="shared" si="345"/>
        <v>000</v>
      </c>
      <c r="L2911" s="5">
        <f t="shared" si="346"/>
        <v>6</v>
      </c>
      <c r="M2911" s="5">
        <f t="shared" si="347"/>
        <v>2012</v>
      </c>
    </row>
    <row r="2912" spans="1:13" ht="17.45" customHeight="1" x14ac:dyDescent="0.25">
      <c r="A2912" s="1">
        <f>DATE(2012,7,1)</f>
        <v>41091</v>
      </c>
      <c r="B2912" t="s">
        <v>19</v>
      </c>
      <c r="C2912" t="s">
        <v>6</v>
      </c>
      <c r="D2912" s="3">
        <v>14969.1428</v>
      </c>
      <c r="E2912" s="3">
        <v>0</v>
      </c>
      <c r="F2912" t="s">
        <v>45</v>
      </c>
      <c r="G2912" s="3">
        <f t="shared" si="341"/>
        <v>-14969.1428</v>
      </c>
      <c r="H2912" s="3">
        <f t="shared" si="342"/>
        <v>14969.1428</v>
      </c>
      <c r="I2912" s="5" t="str">
        <f t="shared" si="343"/>
        <v>018</v>
      </c>
      <c r="J2912" s="5" t="str">
        <f t="shared" si="344"/>
        <v>2100</v>
      </c>
      <c r="K2912" s="5" t="str">
        <f t="shared" si="345"/>
        <v>000</v>
      </c>
      <c r="L2912" s="5">
        <f t="shared" si="346"/>
        <v>7</v>
      </c>
      <c r="M2912" s="5">
        <f t="shared" si="347"/>
        <v>2012</v>
      </c>
    </row>
    <row r="2913" spans="1:13" ht="17.45" customHeight="1" x14ac:dyDescent="0.25">
      <c r="A2913" s="1">
        <f>DATE(2012,7,1)</f>
        <v>41091</v>
      </c>
      <c r="B2913" t="s">
        <v>20</v>
      </c>
      <c r="C2913" t="s">
        <v>8</v>
      </c>
      <c r="D2913" s="3">
        <v>1744.316</v>
      </c>
      <c r="E2913" s="3">
        <v>0</v>
      </c>
      <c r="F2913" t="s">
        <v>45</v>
      </c>
      <c r="G2913" s="3">
        <f t="shared" si="341"/>
        <v>-1744.316</v>
      </c>
      <c r="H2913" s="3">
        <f t="shared" si="342"/>
        <v>1744.316</v>
      </c>
      <c r="I2913" s="5" t="str">
        <f t="shared" si="343"/>
        <v>018</v>
      </c>
      <c r="J2913" s="5" t="str">
        <f t="shared" si="344"/>
        <v>2210</v>
      </c>
      <c r="K2913" s="5" t="str">
        <f t="shared" si="345"/>
        <v>000</v>
      </c>
      <c r="L2913" s="5">
        <f t="shared" si="346"/>
        <v>7</v>
      </c>
      <c r="M2913" s="5">
        <f t="shared" si="347"/>
        <v>2012</v>
      </c>
    </row>
    <row r="2914" spans="1:13" ht="17.45" customHeight="1" x14ac:dyDescent="0.25">
      <c r="A2914" s="1">
        <f>DATE(2012,7,1)</f>
        <v>41091</v>
      </c>
      <c r="B2914" t="s">
        <v>21</v>
      </c>
      <c r="C2914" t="s">
        <v>9</v>
      </c>
      <c r="D2914" s="3">
        <v>332.37</v>
      </c>
      <c r="E2914" s="3">
        <v>0</v>
      </c>
      <c r="F2914" t="s">
        <v>45</v>
      </c>
      <c r="G2914" s="3">
        <f t="shared" si="341"/>
        <v>-332.37</v>
      </c>
      <c r="H2914" s="3">
        <f t="shared" si="342"/>
        <v>332.37</v>
      </c>
      <c r="I2914" s="5" t="str">
        <f t="shared" si="343"/>
        <v>018</v>
      </c>
      <c r="J2914" s="5" t="str">
        <f t="shared" si="344"/>
        <v>2220</v>
      </c>
      <c r="K2914" s="5" t="str">
        <f t="shared" si="345"/>
        <v>000</v>
      </c>
      <c r="L2914" s="5">
        <f t="shared" si="346"/>
        <v>7</v>
      </c>
      <c r="M2914" s="5">
        <f t="shared" si="347"/>
        <v>2012</v>
      </c>
    </row>
    <row r="2915" spans="1:13" ht="17.45" customHeight="1" x14ac:dyDescent="0.25">
      <c r="A2915" s="1">
        <f>DATE(2012,7,1)</f>
        <v>41091</v>
      </c>
      <c r="B2915" t="s">
        <v>22</v>
      </c>
      <c r="C2915" t="s">
        <v>10</v>
      </c>
      <c r="D2915" s="3">
        <v>104.37350000000001</v>
      </c>
      <c r="E2915" s="3">
        <v>0</v>
      </c>
      <c r="F2915" t="s">
        <v>45</v>
      </c>
      <c r="G2915" s="3">
        <f t="shared" si="341"/>
        <v>-104.37350000000001</v>
      </c>
      <c r="H2915" s="3">
        <f t="shared" si="342"/>
        <v>104.37350000000001</v>
      </c>
      <c r="I2915" s="5" t="str">
        <f t="shared" si="343"/>
        <v>018</v>
      </c>
      <c r="J2915" s="5" t="str">
        <f t="shared" si="344"/>
        <v>2230</v>
      </c>
      <c r="K2915" s="5" t="str">
        <f t="shared" si="345"/>
        <v>000</v>
      </c>
      <c r="L2915" s="5">
        <f t="shared" si="346"/>
        <v>7</v>
      </c>
      <c r="M2915" s="5">
        <f t="shared" si="347"/>
        <v>2012</v>
      </c>
    </row>
    <row r="2916" spans="1:13" ht="17.45" customHeight="1" x14ac:dyDescent="0.25">
      <c r="A2916" s="1">
        <f>DATE(2012,7,2)</f>
        <v>41092</v>
      </c>
      <c r="B2916" t="s">
        <v>11</v>
      </c>
      <c r="C2916" t="s">
        <v>6</v>
      </c>
      <c r="D2916" s="3">
        <v>3431.357</v>
      </c>
      <c r="E2916" s="3">
        <v>0</v>
      </c>
      <c r="F2916" t="s">
        <v>45</v>
      </c>
      <c r="G2916" s="3">
        <f t="shared" si="341"/>
        <v>-3431.357</v>
      </c>
      <c r="H2916" s="3">
        <f t="shared" si="342"/>
        <v>3431.357</v>
      </c>
      <c r="I2916" s="5" t="str">
        <f t="shared" si="343"/>
        <v>016</v>
      </c>
      <c r="J2916" s="5" t="str">
        <f t="shared" si="344"/>
        <v>2100</v>
      </c>
      <c r="K2916" s="5" t="str">
        <f t="shared" si="345"/>
        <v>000</v>
      </c>
      <c r="L2916" s="5">
        <f t="shared" si="346"/>
        <v>7</v>
      </c>
      <c r="M2916" s="5">
        <f t="shared" si="347"/>
        <v>2012</v>
      </c>
    </row>
    <row r="2917" spans="1:13" ht="17.45" customHeight="1" x14ac:dyDescent="0.25">
      <c r="A2917" s="1">
        <f>DATE(2012,7,2)</f>
        <v>41092</v>
      </c>
      <c r="B2917" t="s">
        <v>12</v>
      </c>
      <c r="C2917" t="s">
        <v>8</v>
      </c>
      <c r="D2917" s="3">
        <v>715.68</v>
      </c>
      <c r="E2917" s="3">
        <v>0</v>
      </c>
      <c r="F2917" t="s">
        <v>45</v>
      </c>
      <c r="G2917" s="3">
        <f t="shared" si="341"/>
        <v>-715.68</v>
      </c>
      <c r="H2917" s="3">
        <f t="shared" si="342"/>
        <v>715.68</v>
      </c>
      <c r="I2917" s="5" t="str">
        <f t="shared" si="343"/>
        <v>016</v>
      </c>
      <c r="J2917" s="5" t="str">
        <f t="shared" si="344"/>
        <v>2210</v>
      </c>
      <c r="K2917" s="5" t="str">
        <f t="shared" si="345"/>
        <v>000</v>
      </c>
      <c r="L2917" s="5">
        <f t="shared" si="346"/>
        <v>7</v>
      </c>
      <c r="M2917" s="5">
        <f t="shared" si="347"/>
        <v>2012</v>
      </c>
    </row>
    <row r="2918" spans="1:13" ht="17.45" customHeight="1" x14ac:dyDescent="0.25">
      <c r="A2918" s="1">
        <f>DATE(2012,7,2)</f>
        <v>41092</v>
      </c>
      <c r="B2918" t="s">
        <v>13</v>
      </c>
      <c r="C2918" t="s">
        <v>9</v>
      </c>
      <c r="D2918" s="3">
        <v>103.54049999999999</v>
      </c>
      <c r="E2918" s="3">
        <v>0</v>
      </c>
      <c r="F2918" t="s">
        <v>45</v>
      </c>
      <c r="G2918" s="3">
        <f t="shared" si="341"/>
        <v>-103.54049999999999</v>
      </c>
      <c r="H2918" s="3">
        <f t="shared" si="342"/>
        <v>103.54049999999999</v>
      </c>
      <c r="I2918" s="5" t="str">
        <f t="shared" si="343"/>
        <v>016</v>
      </c>
      <c r="J2918" s="5" t="str">
        <f t="shared" si="344"/>
        <v>2220</v>
      </c>
      <c r="K2918" s="5" t="str">
        <f t="shared" si="345"/>
        <v>000</v>
      </c>
      <c r="L2918" s="5">
        <f t="shared" si="346"/>
        <v>7</v>
      </c>
      <c r="M2918" s="5">
        <f t="shared" si="347"/>
        <v>2012</v>
      </c>
    </row>
    <row r="2919" spans="1:13" ht="17.45" customHeight="1" x14ac:dyDescent="0.25">
      <c r="A2919" s="1">
        <f>DATE(2012,7,2)</f>
        <v>41092</v>
      </c>
      <c r="B2919" t="s">
        <v>14</v>
      </c>
      <c r="C2919" t="s">
        <v>10</v>
      </c>
      <c r="D2919" s="3">
        <v>40.020000000000003</v>
      </c>
      <c r="E2919" s="3">
        <v>0</v>
      </c>
      <c r="F2919" t="s">
        <v>45</v>
      </c>
      <c r="G2919" s="3">
        <f t="shared" si="341"/>
        <v>-40.020000000000003</v>
      </c>
      <c r="H2919" s="3">
        <f t="shared" si="342"/>
        <v>40.020000000000003</v>
      </c>
      <c r="I2919" s="5" t="str">
        <f t="shared" si="343"/>
        <v>016</v>
      </c>
      <c r="J2919" s="5" t="str">
        <f t="shared" si="344"/>
        <v>2230</v>
      </c>
      <c r="K2919" s="5" t="str">
        <f t="shared" si="345"/>
        <v>000</v>
      </c>
      <c r="L2919" s="5">
        <f t="shared" si="346"/>
        <v>7</v>
      </c>
      <c r="M2919" s="5">
        <f t="shared" si="347"/>
        <v>2012</v>
      </c>
    </row>
    <row r="2920" spans="1:13" ht="17.45" customHeight="1" x14ac:dyDescent="0.25">
      <c r="A2920" s="1">
        <f>DATE(2012,7,3)</f>
        <v>41093</v>
      </c>
      <c r="B2920" t="s">
        <v>11</v>
      </c>
      <c r="C2920" t="s">
        <v>6</v>
      </c>
      <c r="D2920" s="3">
        <v>5693.1909999999998</v>
      </c>
      <c r="E2920" s="3">
        <v>0</v>
      </c>
      <c r="F2920" t="s">
        <v>45</v>
      </c>
      <c r="G2920" s="3">
        <f t="shared" si="341"/>
        <v>-5693.1909999999998</v>
      </c>
      <c r="H2920" s="3">
        <f t="shared" si="342"/>
        <v>5693.1909999999998</v>
      </c>
      <c r="I2920" s="5" t="str">
        <f t="shared" si="343"/>
        <v>016</v>
      </c>
      <c r="J2920" s="5" t="str">
        <f t="shared" si="344"/>
        <v>2100</v>
      </c>
      <c r="K2920" s="5" t="str">
        <f t="shared" si="345"/>
        <v>000</v>
      </c>
      <c r="L2920" s="5">
        <f t="shared" si="346"/>
        <v>7</v>
      </c>
      <c r="M2920" s="5">
        <f t="shared" si="347"/>
        <v>2012</v>
      </c>
    </row>
    <row r="2921" spans="1:13" ht="17.45" customHeight="1" x14ac:dyDescent="0.25">
      <c r="A2921" s="1">
        <f>DATE(2012,7,3)</f>
        <v>41093</v>
      </c>
      <c r="B2921" t="s">
        <v>12</v>
      </c>
      <c r="C2921" t="s">
        <v>8</v>
      </c>
      <c r="D2921" s="3">
        <v>2359.5796</v>
      </c>
      <c r="E2921" s="3">
        <v>0</v>
      </c>
      <c r="F2921" t="s">
        <v>45</v>
      </c>
      <c r="G2921" s="3">
        <f t="shared" si="341"/>
        <v>-2359.5796</v>
      </c>
      <c r="H2921" s="3">
        <f t="shared" si="342"/>
        <v>2359.5796</v>
      </c>
      <c r="I2921" s="5" t="str">
        <f t="shared" si="343"/>
        <v>016</v>
      </c>
      <c r="J2921" s="5" t="str">
        <f t="shared" si="344"/>
        <v>2210</v>
      </c>
      <c r="K2921" s="5" t="str">
        <f t="shared" si="345"/>
        <v>000</v>
      </c>
      <c r="L2921" s="5">
        <f t="shared" si="346"/>
        <v>7</v>
      </c>
      <c r="M2921" s="5">
        <f t="shared" si="347"/>
        <v>2012</v>
      </c>
    </row>
    <row r="2922" spans="1:13" ht="17.45" customHeight="1" x14ac:dyDescent="0.25">
      <c r="A2922" s="1">
        <f>DATE(2012,7,3)</f>
        <v>41093</v>
      </c>
      <c r="B2922" t="s">
        <v>13</v>
      </c>
      <c r="C2922" t="s">
        <v>9</v>
      </c>
      <c r="D2922" s="3">
        <v>789.63300000000004</v>
      </c>
      <c r="E2922" s="3">
        <v>0</v>
      </c>
      <c r="F2922" t="s">
        <v>45</v>
      </c>
      <c r="G2922" s="3">
        <f t="shared" si="341"/>
        <v>-789.63300000000004</v>
      </c>
      <c r="H2922" s="3">
        <f t="shared" si="342"/>
        <v>789.63300000000004</v>
      </c>
      <c r="I2922" s="5" t="str">
        <f t="shared" si="343"/>
        <v>016</v>
      </c>
      <c r="J2922" s="5" t="str">
        <f t="shared" si="344"/>
        <v>2220</v>
      </c>
      <c r="K2922" s="5" t="str">
        <f t="shared" si="345"/>
        <v>000</v>
      </c>
      <c r="L2922" s="5">
        <f t="shared" si="346"/>
        <v>7</v>
      </c>
      <c r="M2922" s="5">
        <f t="shared" si="347"/>
        <v>2012</v>
      </c>
    </row>
    <row r="2923" spans="1:13" ht="17.45" customHeight="1" x14ac:dyDescent="0.25">
      <c r="A2923" s="1">
        <f>DATE(2012,7,3)</f>
        <v>41093</v>
      </c>
      <c r="B2923" t="s">
        <v>14</v>
      </c>
      <c r="C2923" t="s">
        <v>10</v>
      </c>
      <c r="D2923" s="3">
        <v>127.64400000000001</v>
      </c>
      <c r="E2923" s="3">
        <v>0</v>
      </c>
      <c r="F2923" t="s">
        <v>45</v>
      </c>
      <c r="G2923" s="3">
        <f t="shared" si="341"/>
        <v>-127.64400000000001</v>
      </c>
      <c r="H2923" s="3">
        <f t="shared" si="342"/>
        <v>127.64400000000001</v>
      </c>
      <c r="I2923" s="5" t="str">
        <f t="shared" si="343"/>
        <v>016</v>
      </c>
      <c r="J2923" s="5" t="str">
        <f t="shared" si="344"/>
        <v>2230</v>
      </c>
      <c r="K2923" s="5" t="str">
        <f t="shared" si="345"/>
        <v>000</v>
      </c>
      <c r="L2923" s="5">
        <f t="shared" si="346"/>
        <v>7</v>
      </c>
      <c r="M2923" s="5">
        <f t="shared" si="347"/>
        <v>2012</v>
      </c>
    </row>
    <row r="2924" spans="1:13" ht="17.45" customHeight="1" x14ac:dyDescent="0.25">
      <c r="A2924" s="1">
        <f>DATE(2012,7,4)</f>
        <v>41094</v>
      </c>
      <c r="B2924" t="s">
        <v>11</v>
      </c>
      <c r="C2924" t="s">
        <v>6</v>
      </c>
      <c r="D2924" s="3">
        <v>4743.2658000000001</v>
      </c>
      <c r="E2924" s="3">
        <v>0</v>
      </c>
      <c r="F2924" t="s">
        <v>45</v>
      </c>
      <c r="G2924" s="3">
        <f t="shared" si="341"/>
        <v>-4743.2658000000001</v>
      </c>
      <c r="H2924" s="3">
        <f t="shared" si="342"/>
        <v>4743.2658000000001</v>
      </c>
      <c r="I2924" s="5" t="str">
        <f t="shared" si="343"/>
        <v>016</v>
      </c>
      <c r="J2924" s="5" t="str">
        <f t="shared" si="344"/>
        <v>2100</v>
      </c>
      <c r="K2924" s="5" t="str">
        <f t="shared" si="345"/>
        <v>000</v>
      </c>
      <c r="L2924" s="5">
        <f t="shared" si="346"/>
        <v>7</v>
      </c>
      <c r="M2924" s="5">
        <f t="shared" si="347"/>
        <v>2012</v>
      </c>
    </row>
    <row r="2925" spans="1:13" ht="17.45" customHeight="1" x14ac:dyDescent="0.25">
      <c r="A2925" s="1">
        <f>DATE(2012,7,4)</f>
        <v>41094</v>
      </c>
      <c r="B2925" t="s">
        <v>12</v>
      </c>
      <c r="C2925" t="s">
        <v>8</v>
      </c>
      <c r="D2925" s="3">
        <v>1056.0550000000001</v>
      </c>
      <c r="E2925" s="3">
        <v>0</v>
      </c>
      <c r="F2925" t="s">
        <v>45</v>
      </c>
      <c r="G2925" s="3">
        <f t="shared" si="341"/>
        <v>-1056.0550000000001</v>
      </c>
      <c r="H2925" s="3">
        <f t="shared" si="342"/>
        <v>1056.0550000000001</v>
      </c>
      <c r="I2925" s="5" t="str">
        <f t="shared" si="343"/>
        <v>016</v>
      </c>
      <c r="J2925" s="5" t="str">
        <f t="shared" si="344"/>
        <v>2210</v>
      </c>
      <c r="K2925" s="5" t="str">
        <f t="shared" si="345"/>
        <v>000</v>
      </c>
      <c r="L2925" s="5">
        <f t="shared" si="346"/>
        <v>7</v>
      </c>
      <c r="M2925" s="5">
        <f t="shared" si="347"/>
        <v>2012</v>
      </c>
    </row>
    <row r="2926" spans="1:13" ht="17.45" customHeight="1" x14ac:dyDescent="0.25">
      <c r="A2926" s="1">
        <f>DATE(2012,7,4)</f>
        <v>41094</v>
      </c>
      <c r="B2926" t="s">
        <v>13</v>
      </c>
      <c r="C2926" t="s">
        <v>9</v>
      </c>
      <c r="D2926" s="3">
        <v>135.11099999999999</v>
      </c>
      <c r="E2926" s="3">
        <v>0</v>
      </c>
      <c r="F2926" t="s">
        <v>45</v>
      </c>
      <c r="G2926" s="3">
        <f t="shared" si="341"/>
        <v>-135.11099999999999</v>
      </c>
      <c r="H2926" s="3">
        <f t="shared" si="342"/>
        <v>135.11099999999999</v>
      </c>
      <c r="I2926" s="5" t="str">
        <f t="shared" si="343"/>
        <v>016</v>
      </c>
      <c r="J2926" s="5" t="str">
        <f t="shared" si="344"/>
        <v>2220</v>
      </c>
      <c r="K2926" s="5" t="str">
        <f t="shared" si="345"/>
        <v>000</v>
      </c>
      <c r="L2926" s="5">
        <f t="shared" si="346"/>
        <v>7</v>
      </c>
      <c r="M2926" s="5">
        <f t="shared" si="347"/>
        <v>2012</v>
      </c>
    </row>
    <row r="2927" spans="1:13" ht="17.45" customHeight="1" x14ac:dyDescent="0.25">
      <c r="A2927" s="1">
        <f>DATE(2012,7,4)</f>
        <v>41094</v>
      </c>
      <c r="B2927" t="s">
        <v>14</v>
      </c>
      <c r="C2927" t="s">
        <v>10</v>
      </c>
      <c r="D2927" s="3">
        <v>67.112499999999997</v>
      </c>
      <c r="E2927" s="3">
        <v>0</v>
      </c>
      <c r="F2927" t="s">
        <v>45</v>
      </c>
      <c r="G2927" s="3">
        <f t="shared" si="341"/>
        <v>-67.112499999999997</v>
      </c>
      <c r="H2927" s="3">
        <f t="shared" si="342"/>
        <v>67.112499999999997</v>
      </c>
      <c r="I2927" s="5" t="str">
        <f t="shared" si="343"/>
        <v>016</v>
      </c>
      <c r="J2927" s="5" t="str">
        <f t="shared" si="344"/>
        <v>2230</v>
      </c>
      <c r="K2927" s="5" t="str">
        <f t="shared" si="345"/>
        <v>000</v>
      </c>
      <c r="L2927" s="5">
        <f t="shared" si="346"/>
        <v>7</v>
      </c>
      <c r="M2927" s="5">
        <f t="shared" si="347"/>
        <v>2012</v>
      </c>
    </row>
    <row r="2928" spans="1:13" ht="17.45" customHeight="1" x14ac:dyDescent="0.25">
      <c r="A2928" s="1">
        <f>DATE(2012,7,5)</f>
        <v>41095</v>
      </c>
      <c r="B2928" t="s">
        <v>11</v>
      </c>
      <c r="C2928" t="s">
        <v>6</v>
      </c>
      <c r="D2928" s="3">
        <v>3575.9349999999999</v>
      </c>
      <c r="E2928" s="3">
        <v>0</v>
      </c>
      <c r="F2928" t="s">
        <v>45</v>
      </c>
      <c r="G2928" s="3">
        <f t="shared" si="341"/>
        <v>-3575.9349999999999</v>
      </c>
      <c r="H2928" s="3">
        <f t="shared" si="342"/>
        <v>3575.9349999999999</v>
      </c>
      <c r="I2928" s="5" t="str">
        <f t="shared" si="343"/>
        <v>016</v>
      </c>
      <c r="J2928" s="5" t="str">
        <f t="shared" si="344"/>
        <v>2100</v>
      </c>
      <c r="K2928" s="5" t="str">
        <f t="shared" si="345"/>
        <v>000</v>
      </c>
      <c r="L2928" s="5">
        <f t="shared" si="346"/>
        <v>7</v>
      </c>
      <c r="M2928" s="5">
        <f t="shared" si="347"/>
        <v>2012</v>
      </c>
    </row>
    <row r="2929" spans="1:13" ht="17.45" customHeight="1" x14ac:dyDescent="0.25">
      <c r="A2929" s="1">
        <f>DATE(2012,7,5)</f>
        <v>41095</v>
      </c>
      <c r="B2929" t="s">
        <v>12</v>
      </c>
      <c r="C2929" t="s">
        <v>8</v>
      </c>
      <c r="D2929" s="3">
        <v>1069.8575000000001</v>
      </c>
      <c r="E2929" s="3">
        <v>0</v>
      </c>
      <c r="F2929" t="s">
        <v>45</v>
      </c>
      <c r="G2929" s="3">
        <f t="shared" si="341"/>
        <v>-1069.8575000000001</v>
      </c>
      <c r="H2929" s="3">
        <f t="shared" si="342"/>
        <v>1069.8575000000001</v>
      </c>
      <c r="I2929" s="5" t="str">
        <f t="shared" si="343"/>
        <v>016</v>
      </c>
      <c r="J2929" s="5" t="str">
        <f t="shared" si="344"/>
        <v>2210</v>
      </c>
      <c r="K2929" s="5" t="str">
        <f t="shared" si="345"/>
        <v>000</v>
      </c>
      <c r="L2929" s="5">
        <f t="shared" si="346"/>
        <v>7</v>
      </c>
      <c r="M2929" s="5">
        <f t="shared" si="347"/>
        <v>2012</v>
      </c>
    </row>
    <row r="2930" spans="1:13" ht="17.45" customHeight="1" x14ac:dyDescent="0.25">
      <c r="A2930" s="1">
        <f>DATE(2012,7,5)</f>
        <v>41095</v>
      </c>
      <c r="B2930" t="s">
        <v>13</v>
      </c>
      <c r="C2930" t="s">
        <v>9</v>
      </c>
      <c r="D2930" s="3">
        <v>153.60000000000002</v>
      </c>
      <c r="E2930" s="3">
        <v>0</v>
      </c>
      <c r="F2930" t="s">
        <v>45</v>
      </c>
      <c r="G2930" s="3">
        <f t="shared" si="341"/>
        <v>-153.60000000000002</v>
      </c>
      <c r="H2930" s="3">
        <f t="shared" si="342"/>
        <v>153.60000000000002</v>
      </c>
      <c r="I2930" s="5" t="str">
        <f t="shared" si="343"/>
        <v>016</v>
      </c>
      <c r="J2930" s="5" t="str">
        <f t="shared" si="344"/>
        <v>2220</v>
      </c>
      <c r="K2930" s="5" t="str">
        <f t="shared" si="345"/>
        <v>000</v>
      </c>
      <c r="L2930" s="5">
        <f t="shared" si="346"/>
        <v>7</v>
      </c>
      <c r="M2930" s="5">
        <f t="shared" si="347"/>
        <v>2012</v>
      </c>
    </row>
    <row r="2931" spans="1:13" ht="17.45" customHeight="1" x14ac:dyDescent="0.25">
      <c r="A2931" s="1">
        <f>DATE(2012,7,5)</f>
        <v>41095</v>
      </c>
      <c r="B2931" t="s">
        <v>14</v>
      </c>
      <c r="C2931" t="s">
        <v>10</v>
      </c>
      <c r="D2931" s="3">
        <v>25.55</v>
      </c>
      <c r="E2931" s="3">
        <v>0</v>
      </c>
      <c r="F2931" t="s">
        <v>45</v>
      </c>
      <c r="G2931" s="3">
        <f t="shared" si="341"/>
        <v>-25.55</v>
      </c>
      <c r="H2931" s="3">
        <f t="shared" si="342"/>
        <v>25.55</v>
      </c>
      <c r="I2931" s="5" t="str">
        <f t="shared" si="343"/>
        <v>016</v>
      </c>
      <c r="J2931" s="5" t="str">
        <f t="shared" si="344"/>
        <v>2230</v>
      </c>
      <c r="K2931" s="5" t="str">
        <f t="shared" si="345"/>
        <v>000</v>
      </c>
      <c r="L2931" s="5">
        <f t="shared" si="346"/>
        <v>7</v>
      </c>
      <c r="M2931" s="5">
        <f t="shared" si="347"/>
        <v>2012</v>
      </c>
    </row>
    <row r="2932" spans="1:13" ht="17.45" customHeight="1" x14ac:dyDescent="0.25">
      <c r="A2932" s="1">
        <f>DATE(2012,7,6)</f>
        <v>41096</v>
      </c>
      <c r="B2932" t="s">
        <v>11</v>
      </c>
      <c r="C2932" t="s">
        <v>6</v>
      </c>
      <c r="D2932" s="3">
        <v>5377.1537999999991</v>
      </c>
      <c r="E2932" s="3">
        <v>0</v>
      </c>
      <c r="F2932" t="s">
        <v>45</v>
      </c>
      <c r="G2932" s="3">
        <f t="shared" si="341"/>
        <v>-5377.1537999999991</v>
      </c>
      <c r="H2932" s="3">
        <f t="shared" si="342"/>
        <v>5377.1537999999991</v>
      </c>
      <c r="I2932" s="5" t="str">
        <f t="shared" si="343"/>
        <v>016</v>
      </c>
      <c r="J2932" s="5" t="str">
        <f t="shared" si="344"/>
        <v>2100</v>
      </c>
      <c r="K2932" s="5" t="str">
        <f t="shared" si="345"/>
        <v>000</v>
      </c>
      <c r="L2932" s="5">
        <f t="shared" si="346"/>
        <v>7</v>
      </c>
      <c r="M2932" s="5">
        <f t="shared" si="347"/>
        <v>2012</v>
      </c>
    </row>
    <row r="2933" spans="1:13" ht="17.45" customHeight="1" x14ac:dyDescent="0.25">
      <c r="A2933" s="1">
        <f>DATE(2012,7,6)</f>
        <v>41096</v>
      </c>
      <c r="B2933" t="s">
        <v>12</v>
      </c>
      <c r="C2933" t="s">
        <v>8</v>
      </c>
      <c r="D2933" s="3">
        <v>2247.7080000000001</v>
      </c>
      <c r="E2933" s="3">
        <v>0</v>
      </c>
      <c r="F2933" t="s">
        <v>45</v>
      </c>
      <c r="G2933" s="3">
        <f t="shared" si="341"/>
        <v>-2247.7080000000001</v>
      </c>
      <c r="H2933" s="3">
        <f t="shared" si="342"/>
        <v>2247.7080000000001</v>
      </c>
      <c r="I2933" s="5" t="str">
        <f t="shared" si="343"/>
        <v>016</v>
      </c>
      <c r="J2933" s="5" t="str">
        <f t="shared" si="344"/>
        <v>2210</v>
      </c>
      <c r="K2933" s="5" t="str">
        <f t="shared" si="345"/>
        <v>000</v>
      </c>
      <c r="L2933" s="5">
        <f t="shared" si="346"/>
        <v>7</v>
      </c>
      <c r="M2933" s="5">
        <f t="shared" si="347"/>
        <v>2012</v>
      </c>
    </row>
    <row r="2934" spans="1:13" ht="17.45" customHeight="1" x14ac:dyDescent="0.25">
      <c r="A2934" s="1">
        <f>DATE(2012,7,6)</f>
        <v>41096</v>
      </c>
      <c r="B2934" t="s">
        <v>13</v>
      </c>
      <c r="C2934" t="s">
        <v>9</v>
      </c>
      <c r="D2934" s="3">
        <v>345.25349999999997</v>
      </c>
      <c r="E2934" s="3">
        <v>0</v>
      </c>
      <c r="F2934" t="s">
        <v>45</v>
      </c>
      <c r="G2934" s="3">
        <f t="shared" si="341"/>
        <v>-345.25349999999997</v>
      </c>
      <c r="H2934" s="3">
        <f t="shared" si="342"/>
        <v>345.25349999999997</v>
      </c>
      <c r="I2934" s="5" t="str">
        <f t="shared" si="343"/>
        <v>016</v>
      </c>
      <c r="J2934" s="5" t="str">
        <f t="shared" si="344"/>
        <v>2220</v>
      </c>
      <c r="K2934" s="5" t="str">
        <f t="shared" si="345"/>
        <v>000</v>
      </c>
      <c r="L2934" s="5">
        <f t="shared" si="346"/>
        <v>7</v>
      </c>
      <c r="M2934" s="5">
        <f t="shared" si="347"/>
        <v>2012</v>
      </c>
    </row>
    <row r="2935" spans="1:13" ht="17.45" customHeight="1" x14ac:dyDescent="0.25">
      <c r="A2935" s="1">
        <f>DATE(2012,7,6)</f>
        <v>41096</v>
      </c>
      <c r="B2935" t="s">
        <v>14</v>
      </c>
      <c r="C2935" t="s">
        <v>10</v>
      </c>
      <c r="D2935" s="3">
        <v>109.88250000000001</v>
      </c>
      <c r="E2935" s="3">
        <v>0</v>
      </c>
      <c r="F2935" t="s">
        <v>45</v>
      </c>
      <c r="G2935" s="3">
        <f t="shared" si="341"/>
        <v>-109.88250000000001</v>
      </c>
      <c r="H2935" s="3">
        <f t="shared" si="342"/>
        <v>109.88250000000001</v>
      </c>
      <c r="I2935" s="5" t="str">
        <f t="shared" si="343"/>
        <v>016</v>
      </c>
      <c r="J2935" s="5" t="str">
        <f t="shared" si="344"/>
        <v>2230</v>
      </c>
      <c r="K2935" s="5" t="str">
        <f t="shared" si="345"/>
        <v>000</v>
      </c>
      <c r="L2935" s="5">
        <f t="shared" si="346"/>
        <v>7</v>
      </c>
      <c r="M2935" s="5">
        <f t="shared" si="347"/>
        <v>2012</v>
      </c>
    </row>
    <row r="2936" spans="1:13" ht="17.45" customHeight="1" x14ac:dyDescent="0.25">
      <c r="A2936" s="1">
        <f>DATE(2012,7,7)</f>
        <v>41097</v>
      </c>
      <c r="B2936" t="s">
        <v>11</v>
      </c>
      <c r="C2936" t="s">
        <v>6</v>
      </c>
      <c r="D2936" s="3">
        <v>6136.3632000000007</v>
      </c>
      <c r="E2936" s="3">
        <v>0</v>
      </c>
      <c r="F2936" t="s">
        <v>45</v>
      </c>
      <c r="G2936" s="3">
        <f t="shared" si="341"/>
        <v>-6136.3632000000007</v>
      </c>
      <c r="H2936" s="3">
        <f t="shared" si="342"/>
        <v>6136.3632000000007</v>
      </c>
      <c r="I2936" s="5" t="str">
        <f t="shared" si="343"/>
        <v>016</v>
      </c>
      <c r="J2936" s="5" t="str">
        <f t="shared" si="344"/>
        <v>2100</v>
      </c>
      <c r="K2936" s="5" t="str">
        <f t="shared" si="345"/>
        <v>000</v>
      </c>
      <c r="L2936" s="5">
        <f t="shared" si="346"/>
        <v>7</v>
      </c>
      <c r="M2936" s="5">
        <f t="shared" si="347"/>
        <v>2012</v>
      </c>
    </row>
    <row r="2937" spans="1:13" ht="17.45" customHeight="1" x14ac:dyDescent="0.25">
      <c r="A2937" s="1">
        <f>DATE(2012,7,7)</f>
        <v>41097</v>
      </c>
      <c r="B2937" t="s">
        <v>12</v>
      </c>
      <c r="C2937" t="s">
        <v>8</v>
      </c>
      <c r="D2937" s="3">
        <v>2422.3319999999999</v>
      </c>
      <c r="E2937" s="3">
        <v>0</v>
      </c>
      <c r="F2937" t="s">
        <v>45</v>
      </c>
      <c r="G2937" s="3">
        <f t="shared" si="341"/>
        <v>-2422.3319999999999</v>
      </c>
      <c r="H2937" s="3">
        <f t="shared" si="342"/>
        <v>2422.3319999999999</v>
      </c>
      <c r="I2937" s="5" t="str">
        <f t="shared" si="343"/>
        <v>016</v>
      </c>
      <c r="J2937" s="5" t="str">
        <f t="shared" si="344"/>
        <v>2210</v>
      </c>
      <c r="K2937" s="5" t="str">
        <f t="shared" si="345"/>
        <v>000</v>
      </c>
      <c r="L2937" s="5">
        <f t="shared" si="346"/>
        <v>7</v>
      </c>
      <c r="M2937" s="5">
        <f t="shared" si="347"/>
        <v>2012</v>
      </c>
    </row>
    <row r="2938" spans="1:13" ht="17.45" customHeight="1" x14ac:dyDescent="0.25">
      <c r="A2938" s="1">
        <f>DATE(2012,7,7)</f>
        <v>41097</v>
      </c>
      <c r="B2938" t="s">
        <v>13</v>
      </c>
      <c r="C2938" t="s">
        <v>9</v>
      </c>
      <c r="D2938" s="3">
        <v>399.05</v>
      </c>
      <c r="E2938" s="3">
        <v>0</v>
      </c>
      <c r="F2938" t="s">
        <v>45</v>
      </c>
      <c r="G2938" s="3">
        <f t="shared" si="341"/>
        <v>-399.05</v>
      </c>
      <c r="H2938" s="3">
        <f t="shared" si="342"/>
        <v>399.05</v>
      </c>
      <c r="I2938" s="5" t="str">
        <f t="shared" si="343"/>
        <v>016</v>
      </c>
      <c r="J2938" s="5" t="str">
        <f t="shared" si="344"/>
        <v>2220</v>
      </c>
      <c r="K2938" s="5" t="str">
        <f t="shared" si="345"/>
        <v>000</v>
      </c>
      <c r="L2938" s="5">
        <f t="shared" si="346"/>
        <v>7</v>
      </c>
      <c r="M2938" s="5">
        <f t="shared" si="347"/>
        <v>2012</v>
      </c>
    </row>
    <row r="2939" spans="1:13" ht="17.45" customHeight="1" x14ac:dyDescent="0.25">
      <c r="A2939" s="1">
        <f>DATE(2012,7,7)</f>
        <v>41097</v>
      </c>
      <c r="B2939" t="s">
        <v>14</v>
      </c>
      <c r="C2939" t="s">
        <v>10</v>
      </c>
      <c r="D2939" s="3">
        <v>138.38400000000001</v>
      </c>
      <c r="E2939" s="3">
        <v>0</v>
      </c>
      <c r="F2939" t="s">
        <v>45</v>
      </c>
      <c r="G2939" s="3">
        <f t="shared" si="341"/>
        <v>-138.38400000000001</v>
      </c>
      <c r="H2939" s="3">
        <f t="shared" si="342"/>
        <v>138.38400000000001</v>
      </c>
      <c r="I2939" s="5" t="str">
        <f t="shared" si="343"/>
        <v>016</v>
      </c>
      <c r="J2939" s="5" t="str">
        <f t="shared" si="344"/>
        <v>2230</v>
      </c>
      <c r="K2939" s="5" t="str">
        <f t="shared" si="345"/>
        <v>000</v>
      </c>
      <c r="L2939" s="5">
        <f t="shared" si="346"/>
        <v>7</v>
      </c>
      <c r="M2939" s="5">
        <f t="shared" si="347"/>
        <v>2012</v>
      </c>
    </row>
    <row r="2940" spans="1:13" ht="17.45" customHeight="1" x14ac:dyDescent="0.25">
      <c r="A2940" s="1">
        <f>DATE(2012,7,8)</f>
        <v>41098</v>
      </c>
      <c r="B2940" t="s">
        <v>11</v>
      </c>
      <c r="C2940" t="s">
        <v>6</v>
      </c>
      <c r="D2940" s="3">
        <v>5180.5907999999999</v>
      </c>
      <c r="E2940" s="3">
        <v>0</v>
      </c>
      <c r="F2940" t="s">
        <v>45</v>
      </c>
      <c r="G2940" s="3">
        <f t="shared" si="341"/>
        <v>-5180.5907999999999</v>
      </c>
      <c r="H2940" s="3">
        <f t="shared" si="342"/>
        <v>5180.5907999999999</v>
      </c>
      <c r="I2940" s="5" t="str">
        <f t="shared" si="343"/>
        <v>016</v>
      </c>
      <c r="J2940" s="5" t="str">
        <f t="shared" si="344"/>
        <v>2100</v>
      </c>
      <c r="K2940" s="5" t="str">
        <f t="shared" si="345"/>
        <v>000</v>
      </c>
      <c r="L2940" s="5">
        <f t="shared" si="346"/>
        <v>7</v>
      </c>
      <c r="M2940" s="5">
        <f t="shared" si="347"/>
        <v>2012</v>
      </c>
    </row>
    <row r="2941" spans="1:13" ht="17.45" customHeight="1" x14ac:dyDescent="0.25">
      <c r="A2941" s="1">
        <f>DATE(2012,7,8)</f>
        <v>41098</v>
      </c>
      <c r="B2941" t="s">
        <v>12</v>
      </c>
      <c r="C2941" t="s">
        <v>8</v>
      </c>
      <c r="D2941" s="3">
        <v>898.20749999999998</v>
      </c>
      <c r="E2941" s="3">
        <v>0</v>
      </c>
      <c r="F2941" t="s">
        <v>45</v>
      </c>
      <c r="G2941" s="3">
        <f t="shared" si="341"/>
        <v>-898.20749999999998</v>
      </c>
      <c r="H2941" s="3">
        <f t="shared" si="342"/>
        <v>898.20749999999998</v>
      </c>
      <c r="I2941" s="5" t="str">
        <f t="shared" si="343"/>
        <v>016</v>
      </c>
      <c r="J2941" s="5" t="str">
        <f t="shared" si="344"/>
        <v>2210</v>
      </c>
      <c r="K2941" s="5" t="str">
        <f t="shared" si="345"/>
        <v>000</v>
      </c>
      <c r="L2941" s="5">
        <f t="shared" si="346"/>
        <v>7</v>
      </c>
      <c r="M2941" s="5">
        <f t="shared" si="347"/>
        <v>2012</v>
      </c>
    </row>
    <row r="2942" spans="1:13" ht="17.45" customHeight="1" x14ac:dyDescent="0.25">
      <c r="A2942" s="1">
        <f>DATE(2012,7,8)</f>
        <v>41098</v>
      </c>
      <c r="B2942" t="s">
        <v>13</v>
      </c>
      <c r="C2942" t="s">
        <v>9</v>
      </c>
      <c r="D2942" s="3">
        <v>163.51829999999998</v>
      </c>
      <c r="E2942" s="3">
        <v>0</v>
      </c>
      <c r="F2942" t="s">
        <v>45</v>
      </c>
      <c r="G2942" s="3">
        <f t="shared" si="341"/>
        <v>-163.51829999999998</v>
      </c>
      <c r="H2942" s="3">
        <f t="shared" si="342"/>
        <v>163.51829999999998</v>
      </c>
      <c r="I2942" s="5" t="str">
        <f t="shared" si="343"/>
        <v>016</v>
      </c>
      <c r="J2942" s="5" t="str">
        <f t="shared" si="344"/>
        <v>2220</v>
      </c>
      <c r="K2942" s="5" t="str">
        <f t="shared" si="345"/>
        <v>000</v>
      </c>
      <c r="L2942" s="5">
        <f t="shared" si="346"/>
        <v>7</v>
      </c>
      <c r="M2942" s="5">
        <f t="shared" si="347"/>
        <v>2012</v>
      </c>
    </row>
    <row r="2943" spans="1:13" ht="17.45" customHeight="1" x14ac:dyDescent="0.25">
      <c r="A2943" s="1">
        <f>DATE(2012,7,8)</f>
        <v>41098</v>
      </c>
      <c r="B2943" t="s">
        <v>14</v>
      </c>
      <c r="C2943" t="s">
        <v>10</v>
      </c>
      <c r="D2943" s="3">
        <v>104.51700000000001</v>
      </c>
      <c r="E2943" s="3">
        <v>0</v>
      </c>
      <c r="F2943" t="s">
        <v>45</v>
      </c>
      <c r="G2943" s="3">
        <f t="shared" si="341"/>
        <v>-104.51700000000001</v>
      </c>
      <c r="H2943" s="3">
        <f t="shared" si="342"/>
        <v>104.51700000000001</v>
      </c>
      <c r="I2943" s="5" t="str">
        <f t="shared" si="343"/>
        <v>016</v>
      </c>
      <c r="J2943" s="5" t="str">
        <f t="shared" si="344"/>
        <v>2230</v>
      </c>
      <c r="K2943" s="5" t="str">
        <f t="shared" si="345"/>
        <v>000</v>
      </c>
      <c r="L2943" s="5">
        <f t="shared" si="346"/>
        <v>7</v>
      </c>
      <c r="M2943" s="5">
        <f t="shared" si="347"/>
        <v>2012</v>
      </c>
    </row>
    <row r="2944" spans="1:13" ht="17.45" customHeight="1" x14ac:dyDescent="0.25">
      <c r="A2944" s="1">
        <f>DATE(2012,7,2)</f>
        <v>41092</v>
      </c>
      <c r="B2944" t="s">
        <v>15</v>
      </c>
      <c r="C2944" t="s">
        <v>6</v>
      </c>
      <c r="D2944" s="3">
        <v>4303.6776</v>
      </c>
      <c r="E2944" s="3">
        <v>0</v>
      </c>
      <c r="F2944" t="s">
        <v>45</v>
      </c>
      <c r="G2944" s="3">
        <f t="shared" si="341"/>
        <v>-4303.6776</v>
      </c>
      <c r="H2944" s="3">
        <f t="shared" si="342"/>
        <v>4303.6776</v>
      </c>
      <c r="I2944" s="5" t="str">
        <f t="shared" si="343"/>
        <v>017</v>
      </c>
      <c r="J2944" s="5" t="str">
        <f t="shared" si="344"/>
        <v>2100</v>
      </c>
      <c r="K2944" s="5" t="str">
        <f t="shared" si="345"/>
        <v>000</v>
      </c>
      <c r="L2944" s="5">
        <f t="shared" si="346"/>
        <v>7</v>
      </c>
      <c r="M2944" s="5">
        <f t="shared" si="347"/>
        <v>2012</v>
      </c>
    </row>
    <row r="2945" spans="1:13" ht="17.45" customHeight="1" x14ac:dyDescent="0.25">
      <c r="A2945" s="1">
        <f>DATE(2012,7,2)</f>
        <v>41092</v>
      </c>
      <c r="B2945" t="s">
        <v>16</v>
      </c>
      <c r="C2945" t="s">
        <v>8</v>
      </c>
      <c r="D2945" s="3">
        <v>918.43550000000005</v>
      </c>
      <c r="E2945" s="3">
        <v>0</v>
      </c>
      <c r="F2945" t="s">
        <v>45</v>
      </c>
      <c r="G2945" s="3">
        <f t="shared" si="341"/>
        <v>-918.43550000000005</v>
      </c>
      <c r="H2945" s="3">
        <f t="shared" si="342"/>
        <v>918.43550000000005</v>
      </c>
      <c r="I2945" s="5" t="str">
        <f t="shared" si="343"/>
        <v>017</v>
      </c>
      <c r="J2945" s="5" t="str">
        <f t="shared" si="344"/>
        <v>2210</v>
      </c>
      <c r="K2945" s="5" t="str">
        <f t="shared" si="345"/>
        <v>000</v>
      </c>
      <c r="L2945" s="5">
        <f t="shared" si="346"/>
        <v>7</v>
      </c>
      <c r="M2945" s="5">
        <f t="shared" si="347"/>
        <v>2012</v>
      </c>
    </row>
    <row r="2946" spans="1:13" ht="17.45" customHeight="1" x14ac:dyDescent="0.25">
      <c r="A2946" s="1">
        <f>DATE(2012,7,2)</f>
        <v>41092</v>
      </c>
      <c r="B2946" t="s">
        <v>17</v>
      </c>
      <c r="C2946" t="s">
        <v>9</v>
      </c>
      <c r="D2946" s="3">
        <v>203.09</v>
      </c>
      <c r="E2946" s="3">
        <v>0</v>
      </c>
      <c r="F2946" t="s">
        <v>45</v>
      </c>
      <c r="G2946" s="3">
        <f t="shared" ref="G2946:G3009" si="348">E2946-D2946</f>
        <v>-203.09</v>
      </c>
      <c r="H2946" s="3">
        <f t="shared" ref="H2946:H3009" si="349">ABS(G2946)</f>
        <v>203.09</v>
      </c>
      <c r="I2946" s="5" t="str">
        <f t="shared" ref="I2946:I3009" si="350">MID(B2946,1,3)</f>
        <v>017</v>
      </c>
      <c r="J2946" s="5" t="str">
        <f t="shared" ref="J2946:J3009" si="351">MID(B2946,5,4)</f>
        <v>2220</v>
      </c>
      <c r="K2946" s="5" t="str">
        <f t="shared" ref="K2946:K3009" si="352">MID(B2946,10,3)</f>
        <v>000</v>
      </c>
      <c r="L2946" s="5">
        <f t="shared" ref="L2946:L3009" si="353">MONTH(A2946)</f>
        <v>7</v>
      </c>
      <c r="M2946" s="5">
        <f t="shared" ref="M2946:M3009" si="354">YEAR(A2946)</f>
        <v>2012</v>
      </c>
    </row>
    <row r="2947" spans="1:13" ht="17.45" customHeight="1" x14ac:dyDescent="0.25">
      <c r="A2947" s="1">
        <f>DATE(2012,7,2)</f>
        <v>41092</v>
      </c>
      <c r="B2947" t="s">
        <v>18</v>
      </c>
      <c r="C2947" t="s">
        <v>10</v>
      </c>
      <c r="D2947" s="3">
        <v>97.802499999999995</v>
      </c>
      <c r="E2947" s="3">
        <v>0</v>
      </c>
      <c r="F2947" t="s">
        <v>45</v>
      </c>
      <c r="G2947" s="3">
        <f t="shared" si="348"/>
        <v>-97.802499999999995</v>
      </c>
      <c r="H2947" s="3">
        <f t="shared" si="349"/>
        <v>97.802499999999995</v>
      </c>
      <c r="I2947" s="5" t="str">
        <f t="shared" si="350"/>
        <v>017</v>
      </c>
      <c r="J2947" s="5" t="str">
        <f t="shared" si="351"/>
        <v>2230</v>
      </c>
      <c r="K2947" s="5" t="str">
        <f t="shared" si="352"/>
        <v>000</v>
      </c>
      <c r="L2947" s="5">
        <f t="shared" si="353"/>
        <v>7</v>
      </c>
      <c r="M2947" s="5">
        <f t="shared" si="354"/>
        <v>2012</v>
      </c>
    </row>
    <row r="2948" spans="1:13" ht="17.45" customHeight="1" x14ac:dyDescent="0.25">
      <c r="A2948" s="1">
        <f>DATE(2012,7,3)</f>
        <v>41093</v>
      </c>
      <c r="B2948" t="s">
        <v>15</v>
      </c>
      <c r="C2948" t="s">
        <v>6</v>
      </c>
      <c r="D2948" s="3">
        <v>5611.3764000000001</v>
      </c>
      <c r="E2948" s="3">
        <v>0</v>
      </c>
      <c r="F2948" t="s">
        <v>45</v>
      </c>
      <c r="G2948" s="3">
        <f t="shared" si="348"/>
        <v>-5611.3764000000001</v>
      </c>
      <c r="H2948" s="3">
        <f t="shared" si="349"/>
        <v>5611.3764000000001</v>
      </c>
      <c r="I2948" s="5" t="str">
        <f t="shared" si="350"/>
        <v>017</v>
      </c>
      <c r="J2948" s="5" t="str">
        <f t="shared" si="351"/>
        <v>2100</v>
      </c>
      <c r="K2948" s="5" t="str">
        <f t="shared" si="352"/>
        <v>000</v>
      </c>
      <c r="L2948" s="5">
        <f t="shared" si="353"/>
        <v>7</v>
      </c>
      <c r="M2948" s="5">
        <f t="shared" si="354"/>
        <v>2012</v>
      </c>
    </row>
    <row r="2949" spans="1:13" ht="17.45" customHeight="1" x14ac:dyDescent="0.25">
      <c r="A2949" s="1">
        <f>DATE(2012,7,3)</f>
        <v>41093</v>
      </c>
      <c r="B2949" t="s">
        <v>16</v>
      </c>
      <c r="C2949" t="s">
        <v>8</v>
      </c>
      <c r="D2949" s="3">
        <v>1199.52</v>
      </c>
      <c r="E2949" s="3">
        <v>0</v>
      </c>
      <c r="F2949" t="s">
        <v>45</v>
      </c>
      <c r="G2949" s="3">
        <f t="shared" si="348"/>
        <v>-1199.52</v>
      </c>
      <c r="H2949" s="3">
        <f t="shared" si="349"/>
        <v>1199.52</v>
      </c>
      <c r="I2949" s="5" t="str">
        <f t="shared" si="350"/>
        <v>017</v>
      </c>
      <c r="J2949" s="5" t="str">
        <f t="shared" si="351"/>
        <v>2210</v>
      </c>
      <c r="K2949" s="5" t="str">
        <f t="shared" si="352"/>
        <v>000</v>
      </c>
      <c r="L2949" s="5">
        <f t="shared" si="353"/>
        <v>7</v>
      </c>
      <c r="M2949" s="5">
        <f t="shared" si="354"/>
        <v>2012</v>
      </c>
    </row>
    <row r="2950" spans="1:13" ht="17.45" customHeight="1" x14ac:dyDescent="0.25">
      <c r="A2950" s="1">
        <f>DATE(2012,7,3)</f>
        <v>41093</v>
      </c>
      <c r="B2950" t="s">
        <v>17</v>
      </c>
      <c r="C2950" t="s">
        <v>9</v>
      </c>
      <c r="D2950" s="3">
        <v>357.5</v>
      </c>
      <c r="E2950" s="3">
        <v>0</v>
      </c>
      <c r="F2950" t="s">
        <v>45</v>
      </c>
      <c r="G2950" s="3">
        <f t="shared" si="348"/>
        <v>-357.5</v>
      </c>
      <c r="H2950" s="3">
        <f t="shared" si="349"/>
        <v>357.5</v>
      </c>
      <c r="I2950" s="5" t="str">
        <f t="shared" si="350"/>
        <v>017</v>
      </c>
      <c r="J2950" s="5" t="str">
        <f t="shared" si="351"/>
        <v>2220</v>
      </c>
      <c r="K2950" s="5" t="str">
        <f t="shared" si="352"/>
        <v>000</v>
      </c>
      <c r="L2950" s="5">
        <f t="shared" si="353"/>
        <v>7</v>
      </c>
      <c r="M2950" s="5">
        <f t="shared" si="354"/>
        <v>2012</v>
      </c>
    </row>
    <row r="2951" spans="1:13" ht="17.45" customHeight="1" x14ac:dyDescent="0.25">
      <c r="A2951" s="1">
        <f>DATE(2012,7,3)</f>
        <v>41093</v>
      </c>
      <c r="B2951" t="s">
        <v>18</v>
      </c>
      <c r="C2951" t="s">
        <v>10</v>
      </c>
      <c r="D2951" s="3">
        <v>105.78249999999998</v>
      </c>
      <c r="E2951" s="3">
        <v>0</v>
      </c>
      <c r="F2951" t="s">
        <v>45</v>
      </c>
      <c r="G2951" s="3">
        <f t="shared" si="348"/>
        <v>-105.78249999999998</v>
      </c>
      <c r="H2951" s="3">
        <f t="shared" si="349"/>
        <v>105.78249999999998</v>
      </c>
      <c r="I2951" s="5" t="str">
        <f t="shared" si="350"/>
        <v>017</v>
      </c>
      <c r="J2951" s="5" t="str">
        <f t="shared" si="351"/>
        <v>2230</v>
      </c>
      <c r="K2951" s="5" t="str">
        <f t="shared" si="352"/>
        <v>000</v>
      </c>
      <c r="L2951" s="5">
        <f t="shared" si="353"/>
        <v>7</v>
      </c>
      <c r="M2951" s="5">
        <f t="shared" si="354"/>
        <v>2012</v>
      </c>
    </row>
    <row r="2952" spans="1:13" ht="17.45" customHeight="1" x14ac:dyDescent="0.25">
      <c r="A2952" s="1">
        <f>DATE(2012,7,4)</f>
        <v>41094</v>
      </c>
      <c r="B2952" t="s">
        <v>15</v>
      </c>
      <c r="C2952" t="s">
        <v>6</v>
      </c>
      <c r="D2952" s="3">
        <v>2863.1898000000001</v>
      </c>
      <c r="E2952" s="3">
        <v>0</v>
      </c>
      <c r="F2952" t="s">
        <v>45</v>
      </c>
      <c r="G2952" s="3">
        <f t="shared" si="348"/>
        <v>-2863.1898000000001</v>
      </c>
      <c r="H2952" s="3">
        <f t="shared" si="349"/>
        <v>2863.1898000000001</v>
      </c>
      <c r="I2952" s="5" t="str">
        <f t="shared" si="350"/>
        <v>017</v>
      </c>
      <c r="J2952" s="5" t="str">
        <f t="shared" si="351"/>
        <v>2100</v>
      </c>
      <c r="K2952" s="5" t="str">
        <f t="shared" si="352"/>
        <v>000</v>
      </c>
      <c r="L2952" s="5">
        <f t="shared" si="353"/>
        <v>7</v>
      </c>
      <c r="M2952" s="5">
        <f t="shared" si="354"/>
        <v>2012</v>
      </c>
    </row>
    <row r="2953" spans="1:13" ht="17.45" customHeight="1" x14ac:dyDescent="0.25">
      <c r="A2953" s="1">
        <f>DATE(2012,7,4)</f>
        <v>41094</v>
      </c>
      <c r="B2953" t="s">
        <v>16</v>
      </c>
      <c r="C2953" t="s">
        <v>8</v>
      </c>
      <c r="D2953" s="3">
        <v>825.87099999999998</v>
      </c>
      <c r="E2953" s="3">
        <v>0</v>
      </c>
      <c r="F2953" t="s">
        <v>45</v>
      </c>
      <c r="G2953" s="3">
        <f t="shared" si="348"/>
        <v>-825.87099999999998</v>
      </c>
      <c r="H2953" s="3">
        <f t="shared" si="349"/>
        <v>825.87099999999998</v>
      </c>
      <c r="I2953" s="5" t="str">
        <f t="shared" si="350"/>
        <v>017</v>
      </c>
      <c r="J2953" s="5" t="str">
        <f t="shared" si="351"/>
        <v>2210</v>
      </c>
      <c r="K2953" s="5" t="str">
        <f t="shared" si="352"/>
        <v>000</v>
      </c>
      <c r="L2953" s="5">
        <f t="shared" si="353"/>
        <v>7</v>
      </c>
      <c r="M2953" s="5">
        <f t="shared" si="354"/>
        <v>2012</v>
      </c>
    </row>
    <row r="2954" spans="1:13" ht="17.45" customHeight="1" x14ac:dyDescent="0.25">
      <c r="A2954" s="1">
        <f>DATE(2012,7,4)</f>
        <v>41094</v>
      </c>
      <c r="B2954" t="s">
        <v>17</v>
      </c>
      <c r="C2954" t="s">
        <v>9</v>
      </c>
      <c r="D2954" s="3">
        <v>244.75</v>
      </c>
      <c r="E2954" s="3">
        <v>0</v>
      </c>
      <c r="F2954" t="s">
        <v>45</v>
      </c>
      <c r="G2954" s="3">
        <f t="shared" si="348"/>
        <v>-244.75</v>
      </c>
      <c r="H2954" s="3">
        <f t="shared" si="349"/>
        <v>244.75</v>
      </c>
      <c r="I2954" s="5" t="str">
        <f t="shared" si="350"/>
        <v>017</v>
      </c>
      <c r="J2954" s="5" t="str">
        <f t="shared" si="351"/>
        <v>2220</v>
      </c>
      <c r="K2954" s="5" t="str">
        <f t="shared" si="352"/>
        <v>000</v>
      </c>
      <c r="L2954" s="5">
        <f t="shared" si="353"/>
        <v>7</v>
      </c>
      <c r="M2954" s="5">
        <f t="shared" si="354"/>
        <v>2012</v>
      </c>
    </row>
    <row r="2955" spans="1:13" ht="17.45" customHeight="1" x14ac:dyDescent="0.25">
      <c r="A2955" s="1">
        <f>DATE(2012,7,4)</f>
        <v>41094</v>
      </c>
      <c r="B2955" t="s">
        <v>18</v>
      </c>
      <c r="C2955" t="s">
        <v>10</v>
      </c>
      <c r="D2955" s="3">
        <v>63.891000000000005</v>
      </c>
      <c r="E2955" s="3">
        <v>0</v>
      </c>
      <c r="F2955" t="s">
        <v>45</v>
      </c>
      <c r="G2955" s="3">
        <f t="shared" si="348"/>
        <v>-63.891000000000005</v>
      </c>
      <c r="H2955" s="3">
        <f t="shared" si="349"/>
        <v>63.891000000000005</v>
      </c>
      <c r="I2955" s="5" t="str">
        <f t="shared" si="350"/>
        <v>017</v>
      </c>
      <c r="J2955" s="5" t="str">
        <f t="shared" si="351"/>
        <v>2230</v>
      </c>
      <c r="K2955" s="5" t="str">
        <f t="shared" si="352"/>
        <v>000</v>
      </c>
      <c r="L2955" s="5">
        <f t="shared" si="353"/>
        <v>7</v>
      </c>
      <c r="M2955" s="5">
        <f t="shared" si="354"/>
        <v>2012</v>
      </c>
    </row>
    <row r="2956" spans="1:13" ht="17.45" customHeight="1" x14ac:dyDescent="0.25">
      <c r="A2956" s="1">
        <f>DATE(2012,7,5)</f>
        <v>41095</v>
      </c>
      <c r="B2956" t="s">
        <v>15</v>
      </c>
      <c r="C2956" t="s">
        <v>6</v>
      </c>
      <c r="D2956" s="3">
        <v>5208.6823999999997</v>
      </c>
      <c r="E2956" s="3">
        <v>0</v>
      </c>
      <c r="F2956" t="s">
        <v>45</v>
      </c>
      <c r="G2956" s="3">
        <f t="shared" si="348"/>
        <v>-5208.6823999999997</v>
      </c>
      <c r="H2956" s="3">
        <f t="shared" si="349"/>
        <v>5208.6823999999997</v>
      </c>
      <c r="I2956" s="5" t="str">
        <f t="shared" si="350"/>
        <v>017</v>
      </c>
      <c r="J2956" s="5" t="str">
        <f t="shared" si="351"/>
        <v>2100</v>
      </c>
      <c r="K2956" s="5" t="str">
        <f t="shared" si="352"/>
        <v>000</v>
      </c>
      <c r="L2956" s="5">
        <f t="shared" si="353"/>
        <v>7</v>
      </c>
      <c r="M2956" s="5">
        <f t="shared" si="354"/>
        <v>2012</v>
      </c>
    </row>
    <row r="2957" spans="1:13" ht="17.45" customHeight="1" x14ac:dyDescent="0.25">
      <c r="A2957" s="1">
        <f>DATE(2012,7,5)</f>
        <v>41095</v>
      </c>
      <c r="B2957" t="s">
        <v>16</v>
      </c>
      <c r="C2957" t="s">
        <v>8</v>
      </c>
      <c r="D2957" s="3">
        <v>1006.33</v>
      </c>
      <c r="E2957" s="3">
        <v>0</v>
      </c>
      <c r="F2957" t="s">
        <v>45</v>
      </c>
      <c r="G2957" s="3">
        <f t="shared" si="348"/>
        <v>-1006.33</v>
      </c>
      <c r="H2957" s="3">
        <f t="shared" si="349"/>
        <v>1006.33</v>
      </c>
      <c r="I2957" s="5" t="str">
        <f t="shared" si="350"/>
        <v>017</v>
      </c>
      <c r="J2957" s="5" t="str">
        <f t="shared" si="351"/>
        <v>2210</v>
      </c>
      <c r="K2957" s="5" t="str">
        <f t="shared" si="352"/>
        <v>000</v>
      </c>
      <c r="L2957" s="5">
        <f t="shared" si="353"/>
        <v>7</v>
      </c>
      <c r="M2957" s="5">
        <f t="shared" si="354"/>
        <v>2012</v>
      </c>
    </row>
    <row r="2958" spans="1:13" ht="17.45" customHeight="1" x14ac:dyDescent="0.25">
      <c r="A2958" s="1">
        <f>DATE(2012,7,5)</f>
        <v>41095</v>
      </c>
      <c r="B2958" t="s">
        <v>17</v>
      </c>
      <c r="C2958" t="s">
        <v>9</v>
      </c>
      <c r="D2958" s="3">
        <v>176.715</v>
      </c>
      <c r="E2958" s="3">
        <v>0</v>
      </c>
      <c r="F2958" t="s">
        <v>45</v>
      </c>
      <c r="G2958" s="3">
        <f t="shared" si="348"/>
        <v>-176.715</v>
      </c>
      <c r="H2958" s="3">
        <f t="shared" si="349"/>
        <v>176.715</v>
      </c>
      <c r="I2958" s="5" t="str">
        <f t="shared" si="350"/>
        <v>017</v>
      </c>
      <c r="J2958" s="5" t="str">
        <f t="shared" si="351"/>
        <v>2220</v>
      </c>
      <c r="K2958" s="5" t="str">
        <f t="shared" si="352"/>
        <v>000</v>
      </c>
      <c r="L2958" s="5">
        <f t="shared" si="353"/>
        <v>7</v>
      </c>
      <c r="M2958" s="5">
        <f t="shared" si="354"/>
        <v>2012</v>
      </c>
    </row>
    <row r="2959" spans="1:13" ht="17.45" customHeight="1" x14ac:dyDescent="0.25">
      <c r="A2959" s="1">
        <f>DATE(2012,7,5)</f>
        <v>41095</v>
      </c>
      <c r="B2959" t="s">
        <v>18</v>
      </c>
      <c r="C2959" t="s">
        <v>10</v>
      </c>
      <c r="D2959" s="3">
        <v>45.636499999999991</v>
      </c>
      <c r="E2959" s="3">
        <v>0</v>
      </c>
      <c r="F2959" t="s">
        <v>45</v>
      </c>
      <c r="G2959" s="3">
        <f t="shared" si="348"/>
        <v>-45.636499999999991</v>
      </c>
      <c r="H2959" s="3">
        <f t="shared" si="349"/>
        <v>45.636499999999991</v>
      </c>
      <c r="I2959" s="5" t="str">
        <f t="shared" si="350"/>
        <v>017</v>
      </c>
      <c r="J2959" s="5" t="str">
        <f t="shared" si="351"/>
        <v>2230</v>
      </c>
      <c r="K2959" s="5" t="str">
        <f t="shared" si="352"/>
        <v>000</v>
      </c>
      <c r="L2959" s="5">
        <f t="shared" si="353"/>
        <v>7</v>
      </c>
      <c r="M2959" s="5">
        <f t="shared" si="354"/>
        <v>2012</v>
      </c>
    </row>
    <row r="2960" spans="1:13" ht="17.45" customHeight="1" x14ac:dyDescent="0.25">
      <c r="A2960" s="1">
        <f>DATE(2012,7,6)</f>
        <v>41096</v>
      </c>
      <c r="B2960" t="s">
        <v>15</v>
      </c>
      <c r="C2960" t="s">
        <v>6</v>
      </c>
      <c r="D2960" s="3">
        <v>6683.3927999999996</v>
      </c>
      <c r="E2960" s="3">
        <v>0</v>
      </c>
      <c r="F2960" t="s">
        <v>45</v>
      </c>
      <c r="G2960" s="3">
        <f t="shared" si="348"/>
        <v>-6683.3927999999996</v>
      </c>
      <c r="H2960" s="3">
        <f t="shared" si="349"/>
        <v>6683.3927999999996</v>
      </c>
      <c r="I2960" s="5" t="str">
        <f t="shared" si="350"/>
        <v>017</v>
      </c>
      <c r="J2960" s="5" t="str">
        <f t="shared" si="351"/>
        <v>2100</v>
      </c>
      <c r="K2960" s="5" t="str">
        <f t="shared" si="352"/>
        <v>000</v>
      </c>
      <c r="L2960" s="5">
        <f t="shared" si="353"/>
        <v>7</v>
      </c>
      <c r="M2960" s="5">
        <f t="shared" si="354"/>
        <v>2012</v>
      </c>
    </row>
    <row r="2961" spans="1:13" ht="17.45" customHeight="1" x14ac:dyDescent="0.25">
      <c r="A2961" s="1">
        <f>DATE(2012,7,6)</f>
        <v>41096</v>
      </c>
      <c r="B2961" t="s">
        <v>16</v>
      </c>
      <c r="C2961" t="s">
        <v>8</v>
      </c>
      <c r="D2961" s="3">
        <v>2496.69</v>
      </c>
      <c r="E2961" s="3">
        <v>0</v>
      </c>
      <c r="F2961" t="s">
        <v>45</v>
      </c>
      <c r="G2961" s="3">
        <f t="shared" si="348"/>
        <v>-2496.69</v>
      </c>
      <c r="H2961" s="3">
        <f t="shared" si="349"/>
        <v>2496.69</v>
      </c>
      <c r="I2961" s="5" t="str">
        <f t="shared" si="350"/>
        <v>017</v>
      </c>
      <c r="J2961" s="5" t="str">
        <f t="shared" si="351"/>
        <v>2210</v>
      </c>
      <c r="K2961" s="5" t="str">
        <f t="shared" si="352"/>
        <v>000</v>
      </c>
      <c r="L2961" s="5">
        <f t="shared" si="353"/>
        <v>7</v>
      </c>
      <c r="M2961" s="5">
        <f t="shared" si="354"/>
        <v>2012</v>
      </c>
    </row>
    <row r="2962" spans="1:13" ht="17.45" customHeight="1" x14ac:dyDescent="0.25">
      <c r="A2962" s="1">
        <f>DATE(2012,7,6)</f>
        <v>41096</v>
      </c>
      <c r="B2962" t="s">
        <v>17</v>
      </c>
      <c r="C2962" t="s">
        <v>9</v>
      </c>
      <c r="D2962" s="3">
        <v>249.47749999999999</v>
      </c>
      <c r="E2962" s="3">
        <v>0</v>
      </c>
      <c r="F2962" t="s">
        <v>45</v>
      </c>
      <c r="G2962" s="3">
        <f t="shared" si="348"/>
        <v>-249.47749999999999</v>
      </c>
      <c r="H2962" s="3">
        <f t="shared" si="349"/>
        <v>249.47749999999999</v>
      </c>
      <c r="I2962" s="5" t="str">
        <f t="shared" si="350"/>
        <v>017</v>
      </c>
      <c r="J2962" s="5" t="str">
        <f t="shared" si="351"/>
        <v>2220</v>
      </c>
      <c r="K2962" s="5" t="str">
        <f t="shared" si="352"/>
        <v>000</v>
      </c>
      <c r="L2962" s="5">
        <f t="shared" si="353"/>
        <v>7</v>
      </c>
      <c r="M2962" s="5">
        <f t="shared" si="354"/>
        <v>2012</v>
      </c>
    </row>
    <row r="2963" spans="1:13" ht="17.45" customHeight="1" x14ac:dyDescent="0.25">
      <c r="A2963" s="1">
        <f>DATE(2012,7,6)</f>
        <v>41096</v>
      </c>
      <c r="B2963" t="s">
        <v>18</v>
      </c>
      <c r="C2963" t="s">
        <v>10</v>
      </c>
      <c r="D2963" s="3">
        <v>97.02</v>
      </c>
      <c r="E2963" s="3">
        <v>0</v>
      </c>
      <c r="F2963" t="s">
        <v>45</v>
      </c>
      <c r="G2963" s="3">
        <f t="shared" si="348"/>
        <v>-97.02</v>
      </c>
      <c r="H2963" s="3">
        <f t="shared" si="349"/>
        <v>97.02</v>
      </c>
      <c r="I2963" s="5" t="str">
        <f t="shared" si="350"/>
        <v>017</v>
      </c>
      <c r="J2963" s="5" t="str">
        <f t="shared" si="351"/>
        <v>2230</v>
      </c>
      <c r="K2963" s="5" t="str">
        <f t="shared" si="352"/>
        <v>000</v>
      </c>
      <c r="L2963" s="5">
        <f t="shared" si="353"/>
        <v>7</v>
      </c>
      <c r="M2963" s="5">
        <f t="shared" si="354"/>
        <v>2012</v>
      </c>
    </row>
    <row r="2964" spans="1:13" ht="17.45" customHeight="1" x14ac:dyDescent="0.25">
      <c r="A2964" s="1">
        <f>DATE(2012,7,7)</f>
        <v>41097</v>
      </c>
      <c r="B2964" t="s">
        <v>15</v>
      </c>
      <c r="C2964" t="s">
        <v>6</v>
      </c>
      <c r="D2964" s="3">
        <v>7002.2480000000005</v>
      </c>
      <c r="E2964" s="3">
        <v>0</v>
      </c>
      <c r="F2964" t="s">
        <v>45</v>
      </c>
      <c r="G2964" s="3">
        <f t="shared" si="348"/>
        <v>-7002.2480000000005</v>
      </c>
      <c r="H2964" s="3">
        <f t="shared" si="349"/>
        <v>7002.2480000000005</v>
      </c>
      <c r="I2964" s="5" t="str">
        <f t="shared" si="350"/>
        <v>017</v>
      </c>
      <c r="J2964" s="5" t="str">
        <f t="shared" si="351"/>
        <v>2100</v>
      </c>
      <c r="K2964" s="5" t="str">
        <f t="shared" si="352"/>
        <v>000</v>
      </c>
      <c r="L2964" s="5">
        <f t="shared" si="353"/>
        <v>7</v>
      </c>
      <c r="M2964" s="5">
        <f t="shared" si="354"/>
        <v>2012</v>
      </c>
    </row>
    <row r="2965" spans="1:13" ht="17.45" customHeight="1" x14ac:dyDescent="0.25">
      <c r="A2965" s="1">
        <f>DATE(2012,7,7)</f>
        <v>41097</v>
      </c>
      <c r="B2965" t="s">
        <v>16</v>
      </c>
      <c r="C2965" t="s">
        <v>8</v>
      </c>
      <c r="D2965" s="3">
        <v>1713.2445</v>
      </c>
      <c r="E2965" s="3">
        <v>0</v>
      </c>
      <c r="F2965" t="s">
        <v>45</v>
      </c>
      <c r="G2965" s="3">
        <f t="shared" si="348"/>
        <v>-1713.2445</v>
      </c>
      <c r="H2965" s="3">
        <f t="shared" si="349"/>
        <v>1713.2445</v>
      </c>
      <c r="I2965" s="5" t="str">
        <f t="shared" si="350"/>
        <v>017</v>
      </c>
      <c r="J2965" s="5" t="str">
        <f t="shared" si="351"/>
        <v>2210</v>
      </c>
      <c r="K2965" s="5" t="str">
        <f t="shared" si="352"/>
        <v>000</v>
      </c>
      <c r="L2965" s="5">
        <f t="shared" si="353"/>
        <v>7</v>
      </c>
      <c r="M2965" s="5">
        <f t="shared" si="354"/>
        <v>2012</v>
      </c>
    </row>
    <row r="2966" spans="1:13" ht="17.45" customHeight="1" x14ac:dyDescent="0.25">
      <c r="A2966" s="1">
        <f>DATE(2012,7,7)</f>
        <v>41097</v>
      </c>
      <c r="B2966" t="s">
        <v>17</v>
      </c>
      <c r="C2966" t="s">
        <v>9</v>
      </c>
      <c r="D2966" s="3">
        <v>273.15000000000003</v>
      </c>
      <c r="E2966" s="3">
        <v>0</v>
      </c>
      <c r="F2966" t="s">
        <v>45</v>
      </c>
      <c r="G2966" s="3">
        <f t="shared" si="348"/>
        <v>-273.15000000000003</v>
      </c>
      <c r="H2966" s="3">
        <f t="shared" si="349"/>
        <v>273.15000000000003</v>
      </c>
      <c r="I2966" s="5" t="str">
        <f t="shared" si="350"/>
        <v>017</v>
      </c>
      <c r="J2966" s="5" t="str">
        <f t="shared" si="351"/>
        <v>2220</v>
      </c>
      <c r="K2966" s="5" t="str">
        <f t="shared" si="352"/>
        <v>000</v>
      </c>
      <c r="L2966" s="5">
        <f t="shared" si="353"/>
        <v>7</v>
      </c>
      <c r="M2966" s="5">
        <f t="shared" si="354"/>
        <v>2012</v>
      </c>
    </row>
    <row r="2967" spans="1:13" ht="17.45" customHeight="1" x14ac:dyDescent="0.25">
      <c r="A2967" s="1">
        <f>DATE(2012,7,7)</f>
        <v>41097</v>
      </c>
      <c r="B2967" t="s">
        <v>18</v>
      </c>
      <c r="C2967" t="s">
        <v>10</v>
      </c>
      <c r="D2967" s="3">
        <v>47.008999999999993</v>
      </c>
      <c r="E2967" s="3">
        <v>0</v>
      </c>
      <c r="F2967" t="s">
        <v>45</v>
      </c>
      <c r="G2967" s="3">
        <f t="shared" si="348"/>
        <v>-47.008999999999993</v>
      </c>
      <c r="H2967" s="3">
        <f t="shared" si="349"/>
        <v>47.008999999999993</v>
      </c>
      <c r="I2967" s="5" t="str">
        <f t="shared" si="350"/>
        <v>017</v>
      </c>
      <c r="J2967" s="5" t="str">
        <f t="shared" si="351"/>
        <v>2230</v>
      </c>
      <c r="K2967" s="5" t="str">
        <f t="shared" si="352"/>
        <v>000</v>
      </c>
      <c r="L2967" s="5">
        <f t="shared" si="353"/>
        <v>7</v>
      </c>
      <c r="M2967" s="5">
        <f t="shared" si="354"/>
        <v>2012</v>
      </c>
    </row>
    <row r="2968" spans="1:13" ht="17.45" customHeight="1" x14ac:dyDescent="0.25">
      <c r="A2968" s="1">
        <f>DATE(2012,7,8)</f>
        <v>41098</v>
      </c>
      <c r="B2968" t="s">
        <v>15</v>
      </c>
      <c r="C2968" t="s">
        <v>6</v>
      </c>
      <c r="D2968" s="3">
        <v>3933.8441999999995</v>
      </c>
      <c r="E2968" s="3">
        <v>0</v>
      </c>
      <c r="F2968" t="s">
        <v>45</v>
      </c>
      <c r="G2968" s="3">
        <f t="shared" si="348"/>
        <v>-3933.8441999999995</v>
      </c>
      <c r="H2968" s="3">
        <f t="shared" si="349"/>
        <v>3933.8441999999995</v>
      </c>
      <c r="I2968" s="5" t="str">
        <f t="shared" si="350"/>
        <v>017</v>
      </c>
      <c r="J2968" s="5" t="str">
        <f t="shared" si="351"/>
        <v>2100</v>
      </c>
      <c r="K2968" s="5" t="str">
        <f t="shared" si="352"/>
        <v>000</v>
      </c>
      <c r="L2968" s="5">
        <f t="shared" si="353"/>
        <v>7</v>
      </c>
      <c r="M2968" s="5">
        <f t="shared" si="354"/>
        <v>2012</v>
      </c>
    </row>
    <row r="2969" spans="1:13" ht="17.45" customHeight="1" x14ac:dyDescent="0.25">
      <c r="A2969" s="1">
        <f>DATE(2012,7,8)</f>
        <v>41098</v>
      </c>
      <c r="B2969" t="s">
        <v>16</v>
      </c>
      <c r="C2969" t="s">
        <v>8</v>
      </c>
      <c r="D2969" s="3">
        <v>839.35599999999999</v>
      </c>
      <c r="E2969" s="3">
        <v>0</v>
      </c>
      <c r="F2969" t="s">
        <v>45</v>
      </c>
      <c r="G2969" s="3">
        <f t="shared" si="348"/>
        <v>-839.35599999999999</v>
      </c>
      <c r="H2969" s="3">
        <f t="shared" si="349"/>
        <v>839.35599999999999</v>
      </c>
      <c r="I2969" s="5" t="str">
        <f t="shared" si="350"/>
        <v>017</v>
      </c>
      <c r="J2969" s="5" t="str">
        <f t="shared" si="351"/>
        <v>2210</v>
      </c>
      <c r="K2969" s="5" t="str">
        <f t="shared" si="352"/>
        <v>000</v>
      </c>
      <c r="L2969" s="5">
        <f t="shared" si="353"/>
        <v>7</v>
      </c>
      <c r="M2969" s="5">
        <f t="shared" si="354"/>
        <v>2012</v>
      </c>
    </row>
    <row r="2970" spans="1:13" ht="17.45" customHeight="1" x14ac:dyDescent="0.25">
      <c r="A2970" s="1">
        <f>DATE(2012,7,8)</f>
        <v>41098</v>
      </c>
      <c r="B2970" t="s">
        <v>17</v>
      </c>
      <c r="C2970" t="s">
        <v>9</v>
      </c>
      <c r="D2970" s="3">
        <v>200.02499999999998</v>
      </c>
      <c r="E2970" s="3">
        <v>0</v>
      </c>
      <c r="F2970" t="s">
        <v>45</v>
      </c>
      <c r="G2970" s="3">
        <f t="shared" si="348"/>
        <v>-200.02499999999998</v>
      </c>
      <c r="H2970" s="3">
        <f t="shared" si="349"/>
        <v>200.02499999999998</v>
      </c>
      <c r="I2970" s="5" t="str">
        <f t="shared" si="350"/>
        <v>017</v>
      </c>
      <c r="J2970" s="5" t="str">
        <f t="shared" si="351"/>
        <v>2220</v>
      </c>
      <c r="K2970" s="5" t="str">
        <f t="shared" si="352"/>
        <v>000</v>
      </c>
      <c r="L2970" s="5">
        <f t="shared" si="353"/>
        <v>7</v>
      </c>
      <c r="M2970" s="5">
        <f t="shared" si="354"/>
        <v>2012</v>
      </c>
    </row>
    <row r="2971" spans="1:13" ht="17.45" customHeight="1" x14ac:dyDescent="0.25">
      <c r="A2971" s="1">
        <f>DATE(2012,7,8)</f>
        <v>41098</v>
      </c>
      <c r="B2971" t="s">
        <v>18</v>
      </c>
      <c r="C2971" t="s">
        <v>10</v>
      </c>
      <c r="D2971" s="3">
        <v>194.86199999999999</v>
      </c>
      <c r="E2971" s="3">
        <v>0</v>
      </c>
      <c r="F2971" t="s">
        <v>45</v>
      </c>
      <c r="G2971" s="3">
        <f t="shared" si="348"/>
        <v>-194.86199999999999</v>
      </c>
      <c r="H2971" s="3">
        <f t="shared" si="349"/>
        <v>194.86199999999999</v>
      </c>
      <c r="I2971" s="5" t="str">
        <f t="shared" si="350"/>
        <v>017</v>
      </c>
      <c r="J2971" s="5" t="str">
        <f t="shared" si="351"/>
        <v>2230</v>
      </c>
      <c r="K2971" s="5" t="str">
        <f t="shared" si="352"/>
        <v>000</v>
      </c>
      <c r="L2971" s="5">
        <f t="shared" si="353"/>
        <v>7</v>
      </c>
      <c r="M2971" s="5">
        <f t="shared" si="354"/>
        <v>2012</v>
      </c>
    </row>
    <row r="2972" spans="1:13" ht="17.45" customHeight="1" x14ac:dyDescent="0.25">
      <c r="A2972" s="1">
        <f>DATE(2012,7,2)</f>
        <v>41092</v>
      </c>
      <c r="B2972" t="s">
        <v>19</v>
      </c>
      <c r="C2972" t="s">
        <v>6</v>
      </c>
      <c r="D2972" s="3">
        <v>5748.2479999999996</v>
      </c>
      <c r="E2972" s="3">
        <v>0</v>
      </c>
      <c r="F2972" t="s">
        <v>45</v>
      </c>
      <c r="G2972" s="3">
        <f t="shared" si="348"/>
        <v>-5748.2479999999996</v>
      </c>
      <c r="H2972" s="3">
        <f t="shared" si="349"/>
        <v>5748.2479999999996</v>
      </c>
      <c r="I2972" s="5" t="str">
        <f t="shared" si="350"/>
        <v>018</v>
      </c>
      <c r="J2972" s="5" t="str">
        <f t="shared" si="351"/>
        <v>2100</v>
      </c>
      <c r="K2972" s="5" t="str">
        <f t="shared" si="352"/>
        <v>000</v>
      </c>
      <c r="L2972" s="5">
        <f t="shared" si="353"/>
        <v>7</v>
      </c>
      <c r="M2972" s="5">
        <f t="shared" si="354"/>
        <v>2012</v>
      </c>
    </row>
    <row r="2973" spans="1:13" ht="17.45" customHeight="1" x14ac:dyDescent="0.25">
      <c r="A2973" s="1">
        <f>DATE(2012,7,2)</f>
        <v>41092</v>
      </c>
      <c r="B2973" t="s">
        <v>20</v>
      </c>
      <c r="C2973" t="s">
        <v>8</v>
      </c>
      <c r="D2973" s="3">
        <v>849.45249999999999</v>
      </c>
      <c r="E2973" s="3">
        <v>0</v>
      </c>
      <c r="F2973" t="s">
        <v>45</v>
      </c>
      <c r="G2973" s="3">
        <f t="shared" si="348"/>
        <v>-849.45249999999999</v>
      </c>
      <c r="H2973" s="3">
        <f t="shared" si="349"/>
        <v>849.45249999999999</v>
      </c>
      <c r="I2973" s="5" t="str">
        <f t="shared" si="350"/>
        <v>018</v>
      </c>
      <c r="J2973" s="5" t="str">
        <f t="shared" si="351"/>
        <v>2210</v>
      </c>
      <c r="K2973" s="5" t="str">
        <f t="shared" si="352"/>
        <v>000</v>
      </c>
      <c r="L2973" s="5">
        <f t="shared" si="353"/>
        <v>7</v>
      </c>
      <c r="M2973" s="5">
        <f t="shared" si="354"/>
        <v>2012</v>
      </c>
    </row>
    <row r="2974" spans="1:13" ht="17.45" customHeight="1" x14ac:dyDescent="0.25">
      <c r="A2974" s="1">
        <f>DATE(2012,7,2)</f>
        <v>41092</v>
      </c>
      <c r="B2974" t="s">
        <v>21</v>
      </c>
      <c r="C2974" t="s">
        <v>9</v>
      </c>
      <c r="D2974" s="3">
        <v>260.61</v>
      </c>
      <c r="E2974" s="3">
        <v>0</v>
      </c>
      <c r="F2974" t="s">
        <v>45</v>
      </c>
      <c r="G2974" s="3">
        <f t="shared" si="348"/>
        <v>-260.61</v>
      </c>
      <c r="H2974" s="3">
        <f t="shared" si="349"/>
        <v>260.61</v>
      </c>
      <c r="I2974" s="5" t="str">
        <f t="shared" si="350"/>
        <v>018</v>
      </c>
      <c r="J2974" s="5" t="str">
        <f t="shared" si="351"/>
        <v>2220</v>
      </c>
      <c r="K2974" s="5" t="str">
        <f t="shared" si="352"/>
        <v>000</v>
      </c>
      <c r="L2974" s="5">
        <f t="shared" si="353"/>
        <v>7</v>
      </c>
      <c r="M2974" s="5">
        <f t="shared" si="354"/>
        <v>2012</v>
      </c>
    </row>
    <row r="2975" spans="1:13" ht="17.45" customHeight="1" x14ac:dyDescent="0.25">
      <c r="A2975" s="1">
        <f>DATE(2012,7,2)</f>
        <v>41092</v>
      </c>
      <c r="B2975" t="s">
        <v>22</v>
      </c>
      <c r="C2975" t="s">
        <v>10</v>
      </c>
      <c r="D2975" s="3">
        <v>93.527500000000003</v>
      </c>
      <c r="E2975" s="3">
        <v>0</v>
      </c>
      <c r="F2975" t="s">
        <v>45</v>
      </c>
      <c r="G2975" s="3">
        <f t="shared" si="348"/>
        <v>-93.527500000000003</v>
      </c>
      <c r="H2975" s="3">
        <f t="shared" si="349"/>
        <v>93.527500000000003</v>
      </c>
      <c r="I2975" s="5" t="str">
        <f t="shared" si="350"/>
        <v>018</v>
      </c>
      <c r="J2975" s="5" t="str">
        <f t="shared" si="351"/>
        <v>2230</v>
      </c>
      <c r="K2975" s="5" t="str">
        <f t="shared" si="352"/>
        <v>000</v>
      </c>
      <c r="L2975" s="5">
        <f t="shared" si="353"/>
        <v>7</v>
      </c>
      <c r="M2975" s="5">
        <f t="shared" si="354"/>
        <v>2012</v>
      </c>
    </row>
    <row r="2976" spans="1:13" ht="17.45" customHeight="1" x14ac:dyDescent="0.25">
      <c r="A2976" s="1">
        <f>DATE(2012,7,3)</f>
        <v>41093</v>
      </c>
      <c r="B2976" t="s">
        <v>19</v>
      </c>
      <c r="C2976" t="s">
        <v>6</v>
      </c>
      <c r="D2976" s="3">
        <v>7362.3329999999996</v>
      </c>
      <c r="E2976" s="3">
        <v>0</v>
      </c>
      <c r="F2976" t="s">
        <v>45</v>
      </c>
      <c r="G2976" s="3">
        <f t="shared" si="348"/>
        <v>-7362.3329999999996</v>
      </c>
      <c r="H2976" s="3">
        <f t="shared" si="349"/>
        <v>7362.3329999999996</v>
      </c>
      <c r="I2976" s="5" t="str">
        <f t="shared" si="350"/>
        <v>018</v>
      </c>
      <c r="J2976" s="5" t="str">
        <f t="shared" si="351"/>
        <v>2100</v>
      </c>
      <c r="K2976" s="5" t="str">
        <f t="shared" si="352"/>
        <v>000</v>
      </c>
      <c r="L2976" s="5">
        <f t="shared" si="353"/>
        <v>7</v>
      </c>
      <c r="M2976" s="5">
        <f t="shared" si="354"/>
        <v>2012</v>
      </c>
    </row>
    <row r="2977" spans="1:13" ht="17.45" customHeight="1" x14ac:dyDescent="0.25">
      <c r="A2977" s="1">
        <f>DATE(2012,7,3)</f>
        <v>41093</v>
      </c>
      <c r="B2977" t="s">
        <v>20</v>
      </c>
      <c r="C2977" t="s">
        <v>8</v>
      </c>
      <c r="D2977" s="3">
        <v>1844.8149999999998</v>
      </c>
      <c r="E2977" s="3">
        <v>0</v>
      </c>
      <c r="F2977" t="s">
        <v>45</v>
      </c>
      <c r="G2977" s="3">
        <f t="shared" si="348"/>
        <v>-1844.8149999999998</v>
      </c>
      <c r="H2977" s="3">
        <f t="shared" si="349"/>
        <v>1844.8149999999998</v>
      </c>
      <c r="I2977" s="5" t="str">
        <f t="shared" si="350"/>
        <v>018</v>
      </c>
      <c r="J2977" s="5" t="str">
        <f t="shared" si="351"/>
        <v>2210</v>
      </c>
      <c r="K2977" s="5" t="str">
        <f t="shared" si="352"/>
        <v>000</v>
      </c>
      <c r="L2977" s="5">
        <f t="shared" si="353"/>
        <v>7</v>
      </c>
      <c r="M2977" s="5">
        <f t="shared" si="354"/>
        <v>2012</v>
      </c>
    </row>
    <row r="2978" spans="1:13" ht="17.45" customHeight="1" x14ac:dyDescent="0.25">
      <c r="A2978" s="1">
        <f>DATE(2012,7,3)</f>
        <v>41093</v>
      </c>
      <c r="B2978" t="s">
        <v>21</v>
      </c>
      <c r="C2978" t="s">
        <v>9</v>
      </c>
      <c r="D2978" s="3">
        <v>340.7525</v>
      </c>
      <c r="E2978" s="3">
        <v>0</v>
      </c>
      <c r="F2978" t="s">
        <v>45</v>
      </c>
      <c r="G2978" s="3">
        <f t="shared" si="348"/>
        <v>-340.7525</v>
      </c>
      <c r="H2978" s="3">
        <f t="shared" si="349"/>
        <v>340.7525</v>
      </c>
      <c r="I2978" s="5" t="str">
        <f t="shared" si="350"/>
        <v>018</v>
      </c>
      <c r="J2978" s="5" t="str">
        <f t="shared" si="351"/>
        <v>2220</v>
      </c>
      <c r="K2978" s="5" t="str">
        <f t="shared" si="352"/>
        <v>000</v>
      </c>
      <c r="L2978" s="5">
        <f t="shared" si="353"/>
        <v>7</v>
      </c>
      <c r="M2978" s="5">
        <f t="shared" si="354"/>
        <v>2012</v>
      </c>
    </row>
    <row r="2979" spans="1:13" ht="17.45" customHeight="1" x14ac:dyDescent="0.25">
      <c r="A2979" s="1">
        <f>DATE(2012,7,3)</f>
        <v>41093</v>
      </c>
      <c r="B2979" t="s">
        <v>22</v>
      </c>
      <c r="C2979" t="s">
        <v>10</v>
      </c>
      <c r="D2979" s="3">
        <v>135.113</v>
      </c>
      <c r="E2979" s="3">
        <v>0</v>
      </c>
      <c r="F2979" t="s">
        <v>45</v>
      </c>
      <c r="G2979" s="3">
        <f t="shared" si="348"/>
        <v>-135.113</v>
      </c>
      <c r="H2979" s="3">
        <f t="shared" si="349"/>
        <v>135.113</v>
      </c>
      <c r="I2979" s="5" t="str">
        <f t="shared" si="350"/>
        <v>018</v>
      </c>
      <c r="J2979" s="5" t="str">
        <f t="shared" si="351"/>
        <v>2230</v>
      </c>
      <c r="K2979" s="5" t="str">
        <f t="shared" si="352"/>
        <v>000</v>
      </c>
      <c r="L2979" s="5">
        <f t="shared" si="353"/>
        <v>7</v>
      </c>
      <c r="M2979" s="5">
        <f t="shared" si="354"/>
        <v>2012</v>
      </c>
    </row>
    <row r="2980" spans="1:13" ht="17.45" customHeight="1" x14ac:dyDescent="0.25">
      <c r="A2980" s="1">
        <f>DATE(2012,7,4)</f>
        <v>41094</v>
      </c>
      <c r="B2980" t="s">
        <v>19</v>
      </c>
      <c r="C2980" t="s">
        <v>6</v>
      </c>
      <c r="D2980" s="3">
        <v>4229.6100000000006</v>
      </c>
      <c r="E2980" s="3">
        <v>0</v>
      </c>
      <c r="F2980" t="s">
        <v>45</v>
      </c>
      <c r="G2980" s="3">
        <f t="shared" si="348"/>
        <v>-4229.6100000000006</v>
      </c>
      <c r="H2980" s="3">
        <f t="shared" si="349"/>
        <v>4229.6100000000006</v>
      </c>
      <c r="I2980" s="5" t="str">
        <f t="shared" si="350"/>
        <v>018</v>
      </c>
      <c r="J2980" s="5" t="str">
        <f t="shared" si="351"/>
        <v>2100</v>
      </c>
      <c r="K2980" s="5" t="str">
        <f t="shared" si="352"/>
        <v>000</v>
      </c>
      <c r="L2980" s="5">
        <f t="shared" si="353"/>
        <v>7</v>
      </c>
      <c r="M2980" s="5">
        <f t="shared" si="354"/>
        <v>2012</v>
      </c>
    </row>
    <row r="2981" spans="1:13" ht="17.45" customHeight="1" x14ac:dyDescent="0.25">
      <c r="A2981" s="1">
        <f>DATE(2012,7,4)</f>
        <v>41094</v>
      </c>
      <c r="B2981" t="s">
        <v>20</v>
      </c>
      <c r="C2981" t="s">
        <v>8</v>
      </c>
      <c r="D2981" s="3">
        <v>1011.275</v>
      </c>
      <c r="E2981" s="3">
        <v>0</v>
      </c>
      <c r="F2981" t="s">
        <v>45</v>
      </c>
      <c r="G2981" s="3">
        <f t="shared" si="348"/>
        <v>-1011.275</v>
      </c>
      <c r="H2981" s="3">
        <f t="shared" si="349"/>
        <v>1011.275</v>
      </c>
      <c r="I2981" s="5" t="str">
        <f t="shared" si="350"/>
        <v>018</v>
      </c>
      <c r="J2981" s="5" t="str">
        <f t="shared" si="351"/>
        <v>2210</v>
      </c>
      <c r="K2981" s="5" t="str">
        <f t="shared" si="352"/>
        <v>000</v>
      </c>
      <c r="L2981" s="5">
        <f t="shared" si="353"/>
        <v>7</v>
      </c>
      <c r="M2981" s="5">
        <f t="shared" si="354"/>
        <v>2012</v>
      </c>
    </row>
    <row r="2982" spans="1:13" ht="17.45" customHeight="1" x14ac:dyDescent="0.25">
      <c r="A2982" s="1">
        <f>DATE(2012,7,4)</f>
        <v>41094</v>
      </c>
      <c r="B2982" t="s">
        <v>21</v>
      </c>
      <c r="C2982" t="s">
        <v>9</v>
      </c>
      <c r="D2982" s="3">
        <v>151.36000000000001</v>
      </c>
      <c r="E2982" s="3">
        <v>0</v>
      </c>
      <c r="F2982" t="s">
        <v>45</v>
      </c>
      <c r="G2982" s="3">
        <f t="shared" si="348"/>
        <v>-151.36000000000001</v>
      </c>
      <c r="H2982" s="3">
        <f t="shared" si="349"/>
        <v>151.36000000000001</v>
      </c>
      <c r="I2982" s="5" t="str">
        <f t="shared" si="350"/>
        <v>018</v>
      </c>
      <c r="J2982" s="5" t="str">
        <f t="shared" si="351"/>
        <v>2220</v>
      </c>
      <c r="K2982" s="5" t="str">
        <f t="shared" si="352"/>
        <v>000</v>
      </c>
      <c r="L2982" s="5">
        <f t="shared" si="353"/>
        <v>7</v>
      </c>
      <c r="M2982" s="5">
        <f t="shared" si="354"/>
        <v>2012</v>
      </c>
    </row>
    <row r="2983" spans="1:13" ht="17.45" customHeight="1" x14ac:dyDescent="0.25">
      <c r="A2983" s="1">
        <f>DATE(2012,7,4)</f>
        <v>41094</v>
      </c>
      <c r="B2983" t="s">
        <v>22</v>
      </c>
      <c r="C2983" t="s">
        <v>10</v>
      </c>
      <c r="D2983" s="3">
        <v>17.655000000000001</v>
      </c>
      <c r="E2983" s="3">
        <v>0</v>
      </c>
      <c r="F2983" t="s">
        <v>45</v>
      </c>
      <c r="G2983" s="3">
        <f t="shared" si="348"/>
        <v>-17.655000000000001</v>
      </c>
      <c r="H2983" s="3">
        <f t="shared" si="349"/>
        <v>17.655000000000001</v>
      </c>
      <c r="I2983" s="5" t="str">
        <f t="shared" si="350"/>
        <v>018</v>
      </c>
      <c r="J2983" s="5" t="str">
        <f t="shared" si="351"/>
        <v>2230</v>
      </c>
      <c r="K2983" s="5" t="str">
        <f t="shared" si="352"/>
        <v>000</v>
      </c>
      <c r="L2983" s="5">
        <f t="shared" si="353"/>
        <v>7</v>
      </c>
      <c r="M2983" s="5">
        <f t="shared" si="354"/>
        <v>2012</v>
      </c>
    </row>
    <row r="2984" spans="1:13" ht="17.45" customHeight="1" x14ac:dyDescent="0.25">
      <c r="A2984" s="1">
        <f>DATE(2012,7,5)</f>
        <v>41095</v>
      </c>
      <c r="B2984" t="s">
        <v>19</v>
      </c>
      <c r="C2984" t="s">
        <v>6</v>
      </c>
      <c r="D2984" s="3">
        <v>4667.8099999999995</v>
      </c>
      <c r="E2984" s="3">
        <v>0</v>
      </c>
      <c r="F2984" t="s">
        <v>45</v>
      </c>
      <c r="G2984" s="3">
        <f t="shared" si="348"/>
        <v>-4667.8099999999995</v>
      </c>
      <c r="H2984" s="3">
        <f t="shared" si="349"/>
        <v>4667.8099999999995</v>
      </c>
      <c r="I2984" s="5" t="str">
        <f t="shared" si="350"/>
        <v>018</v>
      </c>
      <c r="J2984" s="5" t="str">
        <f t="shared" si="351"/>
        <v>2100</v>
      </c>
      <c r="K2984" s="5" t="str">
        <f t="shared" si="352"/>
        <v>000</v>
      </c>
      <c r="L2984" s="5">
        <f t="shared" si="353"/>
        <v>7</v>
      </c>
      <c r="M2984" s="5">
        <f t="shared" si="354"/>
        <v>2012</v>
      </c>
    </row>
    <row r="2985" spans="1:13" ht="17.45" customHeight="1" x14ac:dyDescent="0.25">
      <c r="A2985" s="1">
        <f>DATE(2012,7,5)</f>
        <v>41095</v>
      </c>
      <c r="B2985" t="s">
        <v>20</v>
      </c>
      <c r="C2985" t="s">
        <v>8</v>
      </c>
      <c r="D2985" s="3">
        <v>705.28150000000005</v>
      </c>
      <c r="E2985" s="3">
        <v>0</v>
      </c>
      <c r="F2985" t="s">
        <v>45</v>
      </c>
      <c r="G2985" s="3">
        <f t="shared" si="348"/>
        <v>-705.28150000000005</v>
      </c>
      <c r="H2985" s="3">
        <f t="shared" si="349"/>
        <v>705.28150000000005</v>
      </c>
      <c r="I2985" s="5" t="str">
        <f t="shared" si="350"/>
        <v>018</v>
      </c>
      <c r="J2985" s="5" t="str">
        <f t="shared" si="351"/>
        <v>2210</v>
      </c>
      <c r="K2985" s="5" t="str">
        <f t="shared" si="352"/>
        <v>000</v>
      </c>
      <c r="L2985" s="5">
        <f t="shared" si="353"/>
        <v>7</v>
      </c>
      <c r="M2985" s="5">
        <f t="shared" si="354"/>
        <v>2012</v>
      </c>
    </row>
    <row r="2986" spans="1:13" ht="17.45" customHeight="1" x14ac:dyDescent="0.25">
      <c r="A2986" s="1">
        <f>DATE(2012,7,5)</f>
        <v>41095</v>
      </c>
      <c r="B2986" t="s">
        <v>21</v>
      </c>
      <c r="C2986" t="s">
        <v>9</v>
      </c>
      <c r="D2986" s="3">
        <v>154.55049999999997</v>
      </c>
      <c r="E2986" s="3">
        <v>0</v>
      </c>
      <c r="F2986" t="s">
        <v>45</v>
      </c>
      <c r="G2986" s="3">
        <f t="shared" si="348"/>
        <v>-154.55049999999997</v>
      </c>
      <c r="H2986" s="3">
        <f t="shared" si="349"/>
        <v>154.55049999999997</v>
      </c>
      <c r="I2986" s="5" t="str">
        <f t="shared" si="350"/>
        <v>018</v>
      </c>
      <c r="J2986" s="5" t="str">
        <f t="shared" si="351"/>
        <v>2220</v>
      </c>
      <c r="K2986" s="5" t="str">
        <f t="shared" si="352"/>
        <v>000</v>
      </c>
      <c r="L2986" s="5">
        <f t="shared" si="353"/>
        <v>7</v>
      </c>
      <c r="M2986" s="5">
        <f t="shared" si="354"/>
        <v>2012</v>
      </c>
    </row>
    <row r="2987" spans="1:13" ht="17.45" customHeight="1" x14ac:dyDescent="0.25">
      <c r="A2987" s="1">
        <f>DATE(2012,7,6)</f>
        <v>41096</v>
      </c>
      <c r="B2987" t="s">
        <v>19</v>
      </c>
      <c r="C2987" t="s">
        <v>6</v>
      </c>
      <c r="D2987" s="3">
        <v>8288.7844000000005</v>
      </c>
      <c r="E2987" s="3">
        <v>0</v>
      </c>
      <c r="F2987" t="s">
        <v>45</v>
      </c>
      <c r="G2987" s="3">
        <f t="shared" si="348"/>
        <v>-8288.7844000000005</v>
      </c>
      <c r="H2987" s="3">
        <f t="shared" si="349"/>
        <v>8288.7844000000005</v>
      </c>
      <c r="I2987" s="5" t="str">
        <f t="shared" si="350"/>
        <v>018</v>
      </c>
      <c r="J2987" s="5" t="str">
        <f t="shared" si="351"/>
        <v>2100</v>
      </c>
      <c r="K2987" s="5" t="str">
        <f t="shared" si="352"/>
        <v>000</v>
      </c>
      <c r="L2987" s="5">
        <f t="shared" si="353"/>
        <v>7</v>
      </c>
      <c r="M2987" s="5">
        <f t="shared" si="354"/>
        <v>2012</v>
      </c>
    </row>
    <row r="2988" spans="1:13" ht="17.45" customHeight="1" x14ac:dyDescent="0.25">
      <c r="A2988" s="1">
        <f>DATE(2012,7,6)</f>
        <v>41096</v>
      </c>
      <c r="B2988" t="s">
        <v>20</v>
      </c>
      <c r="C2988" t="s">
        <v>8</v>
      </c>
      <c r="D2988" s="3">
        <v>3214.8479999999995</v>
      </c>
      <c r="E2988" s="3">
        <v>0</v>
      </c>
      <c r="F2988" t="s">
        <v>45</v>
      </c>
      <c r="G2988" s="3">
        <f t="shared" si="348"/>
        <v>-3214.8479999999995</v>
      </c>
      <c r="H2988" s="3">
        <f t="shared" si="349"/>
        <v>3214.8479999999995</v>
      </c>
      <c r="I2988" s="5" t="str">
        <f t="shared" si="350"/>
        <v>018</v>
      </c>
      <c r="J2988" s="5" t="str">
        <f t="shared" si="351"/>
        <v>2210</v>
      </c>
      <c r="K2988" s="5" t="str">
        <f t="shared" si="352"/>
        <v>000</v>
      </c>
      <c r="L2988" s="5">
        <f t="shared" si="353"/>
        <v>7</v>
      </c>
      <c r="M2988" s="5">
        <f t="shared" si="354"/>
        <v>2012</v>
      </c>
    </row>
    <row r="2989" spans="1:13" ht="17.45" customHeight="1" x14ac:dyDescent="0.25">
      <c r="A2989" s="1">
        <f>DATE(2012,7,6)</f>
        <v>41096</v>
      </c>
      <c r="B2989" t="s">
        <v>21</v>
      </c>
      <c r="C2989" t="s">
        <v>9</v>
      </c>
      <c r="D2989" s="3">
        <v>362.94300000000004</v>
      </c>
      <c r="E2989" s="3">
        <v>0</v>
      </c>
      <c r="F2989" t="s">
        <v>45</v>
      </c>
      <c r="G2989" s="3">
        <f t="shared" si="348"/>
        <v>-362.94300000000004</v>
      </c>
      <c r="H2989" s="3">
        <f t="shared" si="349"/>
        <v>362.94300000000004</v>
      </c>
      <c r="I2989" s="5" t="str">
        <f t="shared" si="350"/>
        <v>018</v>
      </c>
      <c r="J2989" s="5" t="str">
        <f t="shared" si="351"/>
        <v>2220</v>
      </c>
      <c r="K2989" s="5" t="str">
        <f t="shared" si="352"/>
        <v>000</v>
      </c>
      <c r="L2989" s="5">
        <f t="shared" si="353"/>
        <v>7</v>
      </c>
      <c r="M2989" s="5">
        <f t="shared" si="354"/>
        <v>2012</v>
      </c>
    </row>
    <row r="2990" spans="1:13" ht="17.45" customHeight="1" x14ac:dyDescent="0.25">
      <c r="A2990" s="1">
        <f>DATE(2012,7,6)</f>
        <v>41096</v>
      </c>
      <c r="B2990" t="s">
        <v>22</v>
      </c>
      <c r="C2990" t="s">
        <v>10</v>
      </c>
      <c r="D2990" s="3">
        <v>83.167500000000004</v>
      </c>
      <c r="E2990" s="3">
        <v>0</v>
      </c>
      <c r="F2990" t="s">
        <v>45</v>
      </c>
      <c r="G2990" s="3">
        <f t="shared" si="348"/>
        <v>-83.167500000000004</v>
      </c>
      <c r="H2990" s="3">
        <f t="shared" si="349"/>
        <v>83.167500000000004</v>
      </c>
      <c r="I2990" s="5" t="str">
        <f t="shared" si="350"/>
        <v>018</v>
      </c>
      <c r="J2990" s="5" t="str">
        <f t="shared" si="351"/>
        <v>2230</v>
      </c>
      <c r="K2990" s="5" t="str">
        <f t="shared" si="352"/>
        <v>000</v>
      </c>
      <c r="L2990" s="5">
        <f t="shared" si="353"/>
        <v>7</v>
      </c>
      <c r="M2990" s="5">
        <f t="shared" si="354"/>
        <v>2012</v>
      </c>
    </row>
    <row r="2991" spans="1:13" ht="17.45" customHeight="1" x14ac:dyDescent="0.25">
      <c r="A2991" s="1">
        <f>DATE(2012,7,7)</f>
        <v>41097</v>
      </c>
      <c r="B2991" t="s">
        <v>19</v>
      </c>
      <c r="C2991" t="s">
        <v>6</v>
      </c>
      <c r="D2991" s="3">
        <v>10675.445000000002</v>
      </c>
      <c r="E2991" s="3">
        <v>0</v>
      </c>
      <c r="F2991" t="s">
        <v>45</v>
      </c>
      <c r="G2991" s="3">
        <f t="shared" si="348"/>
        <v>-10675.445000000002</v>
      </c>
      <c r="H2991" s="3">
        <f t="shared" si="349"/>
        <v>10675.445000000002</v>
      </c>
      <c r="I2991" s="5" t="str">
        <f t="shared" si="350"/>
        <v>018</v>
      </c>
      <c r="J2991" s="5" t="str">
        <f t="shared" si="351"/>
        <v>2100</v>
      </c>
      <c r="K2991" s="5" t="str">
        <f t="shared" si="352"/>
        <v>000</v>
      </c>
      <c r="L2991" s="5">
        <f t="shared" si="353"/>
        <v>7</v>
      </c>
      <c r="M2991" s="5">
        <f t="shared" si="354"/>
        <v>2012</v>
      </c>
    </row>
    <row r="2992" spans="1:13" ht="17.45" customHeight="1" x14ac:dyDescent="0.25">
      <c r="A2992" s="1">
        <f>DATE(2012,7,7)</f>
        <v>41097</v>
      </c>
      <c r="B2992" t="s">
        <v>20</v>
      </c>
      <c r="C2992" t="s">
        <v>8</v>
      </c>
      <c r="D2992" s="3">
        <v>2505.5279999999998</v>
      </c>
      <c r="E2992" s="3">
        <v>0</v>
      </c>
      <c r="F2992" t="s">
        <v>45</v>
      </c>
      <c r="G2992" s="3">
        <f t="shared" si="348"/>
        <v>-2505.5279999999998</v>
      </c>
      <c r="H2992" s="3">
        <f t="shared" si="349"/>
        <v>2505.5279999999998</v>
      </c>
      <c r="I2992" s="5" t="str">
        <f t="shared" si="350"/>
        <v>018</v>
      </c>
      <c r="J2992" s="5" t="str">
        <f t="shared" si="351"/>
        <v>2210</v>
      </c>
      <c r="K2992" s="5" t="str">
        <f t="shared" si="352"/>
        <v>000</v>
      </c>
      <c r="L2992" s="5">
        <f t="shared" si="353"/>
        <v>7</v>
      </c>
      <c r="M2992" s="5">
        <f t="shared" si="354"/>
        <v>2012</v>
      </c>
    </row>
    <row r="2993" spans="1:13" ht="17.45" customHeight="1" x14ac:dyDescent="0.25">
      <c r="A2993" s="1">
        <f>DATE(2012,7,7)</f>
        <v>41097</v>
      </c>
      <c r="B2993" t="s">
        <v>21</v>
      </c>
      <c r="C2993" t="s">
        <v>9</v>
      </c>
      <c r="D2993" s="3">
        <v>776.25</v>
      </c>
      <c r="E2993" s="3">
        <v>0</v>
      </c>
      <c r="F2993" t="s">
        <v>45</v>
      </c>
      <c r="G2993" s="3">
        <f t="shared" si="348"/>
        <v>-776.25</v>
      </c>
      <c r="H2993" s="3">
        <f t="shared" si="349"/>
        <v>776.25</v>
      </c>
      <c r="I2993" s="5" t="str">
        <f t="shared" si="350"/>
        <v>018</v>
      </c>
      <c r="J2993" s="5" t="str">
        <f t="shared" si="351"/>
        <v>2220</v>
      </c>
      <c r="K2993" s="5" t="str">
        <f t="shared" si="352"/>
        <v>000</v>
      </c>
      <c r="L2993" s="5">
        <f t="shared" si="353"/>
        <v>7</v>
      </c>
      <c r="M2993" s="5">
        <f t="shared" si="354"/>
        <v>2012</v>
      </c>
    </row>
    <row r="2994" spans="1:13" ht="17.45" customHeight="1" x14ac:dyDescent="0.25">
      <c r="A2994" s="1">
        <f>DATE(2012,7,7)</f>
        <v>41097</v>
      </c>
      <c r="B2994" t="s">
        <v>22</v>
      </c>
      <c r="C2994" t="s">
        <v>10</v>
      </c>
      <c r="D2994" s="3">
        <v>44.633499999999998</v>
      </c>
      <c r="E2994" s="3">
        <v>0</v>
      </c>
      <c r="F2994" t="s">
        <v>45</v>
      </c>
      <c r="G2994" s="3">
        <f t="shared" si="348"/>
        <v>-44.633499999999998</v>
      </c>
      <c r="H2994" s="3">
        <f t="shared" si="349"/>
        <v>44.633499999999998</v>
      </c>
      <c r="I2994" s="5" t="str">
        <f t="shared" si="350"/>
        <v>018</v>
      </c>
      <c r="J2994" s="5" t="str">
        <f t="shared" si="351"/>
        <v>2230</v>
      </c>
      <c r="K2994" s="5" t="str">
        <f t="shared" si="352"/>
        <v>000</v>
      </c>
      <c r="L2994" s="5">
        <f t="shared" si="353"/>
        <v>7</v>
      </c>
      <c r="M2994" s="5">
        <f t="shared" si="354"/>
        <v>2012</v>
      </c>
    </row>
    <row r="2995" spans="1:13" ht="17.45" customHeight="1" x14ac:dyDescent="0.25">
      <c r="A2995" s="1">
        <f>DATE(2012,7,8)</f>
        <v>41098</v>
      </c>
      <c r="B2995" t="s">
        <v>19</v>
      </c>
      <c r="C2995" t="s">
        <v>6</v>
      </c>
      <c r="D2995" s="3">
        <v>6312.4324999999999</v>
      </c>
      <c r="E2995" s="3">
        <v>0</v>
      </c>
      <c r="F2995" t="s">
        <v>45</v>
      </c>
      <c r="G2995" s="3">
        <f t="shared" si="348"/>
        <v>-6312.4324999999999</v>
      </c>
      <c r="H2995" s="3">
        <f t="shared" si="349"/>
        <v>6312.4324999999999</v>
      </c>
      <c r="I2995" s="5" t="str">
        <f t="shared" si="350"/>
        <v>018</v>
      </c>
      <c r="J2995" s="5" t="str">
        <f t="shared" si="351"/>
        <v>2100</v>
      </c>
      <c r="K2995" s="5" t="str">
        <f t="shared" si="352"/>
        <v>000</v>
      </c>
      <c r="L2995" s="5">
        <f t="shared" si="353"/>
        <v>7</v>
      </c>
      <c r="M2995" s="5">
        <f t="shared" si="354"/>
        <v>2012</v>
      </c>
    </row>
    <row r="2996" spans="1:13" ht="17.45" customHeight="1" x14ac:dyDescent="0.25">
      <c r="A2996" s="1">
        <f>DATE(2012,7,8)</f>
        <v>41098</v>
      </c>
      <c r="B2996" t="s">
        <v>20</v>
      </c>
      <c r="C2996" t="s">
        <v>8</v>
      </c>
      <c r="D2996" s="3">
        <v>1295.136</v>
      </c>
      <c r="E2996" s="3">
        <v>0</v>
      </c>
      <c r="F2996" t="s">
        <v>45</v>
      </c>
      <c r="G2996" s="3">
        <f t="shared" si="348"/>
        <v>-1295.136</v>
      </c>
      <c r="H2996" s="3">
        <f t="shared" si="349"/>
        <v>1295.136</v>
      </c>
      <c r="I2996" s="5" t="str">
        <f t="shared" si="350"/>
        <v>018</v>
      </c>
      <c r="J2996" s="5" t="str">
        <f t="shared" si="351"/>
        <v>2210</v>
      </c>
      <c r="K2996" s="5" t="str">
        <f t="shared" si="352"/>
        <v>000</v>
      </c>
      <c r="L2996" s="5">
        <f t="shared" si="353"/>
        <v>7</v>
      </c>
      <c r="M2996" s="5">
        <f t="shared" si="354"/>
        <v>2012</v>
      </c>
    </row>
    <row r="2997" spans="1:13" ht="17.45" customHeight="1" x14ac:dyDescent="0.25">
      <c r="A2997" s="1">
        <f>DATE(2012,7,8)</f>
        <v>41098</v>
      </c>
      <c r="B2997" t="s">
        <v>21</v>
      </c>
      <c r="C2997" t="s">
        <v>9</v>
      </c>
      <c r="D2997" s="3">
        <v>207.71200000000002</v>
      </c>
      <c r="E2997" s="3">
        <v>0</v>
      </c>
      <c r="F2997" t="s">
        <v>45</v>
      </c>
      <c r="G2997" s="3">
        <f t="shared" si="348"/>
        <v>-207.71200000000002</v>
      </c>
      <c r="H2997" s="3">
        <f t="shared" si="349"/>
        <v>207.71200000000002</v>
      </c>
      <c r="I2997" s="5" t="str">
        <f t="shared" si="350"/>
        <v>018</v>
      </c>
      <c r="J2997" s="5" t="str">
        <f t="shared" si="351"/>
        <v>2220</v>
      </c>
      <c r="K2997" s="5" t="str">
        <f t="shared" si="352"/>
        <v>000</v>
      </c>
      <c r="L2997" s="5">
        <f t="shared" si="353"/>
        <v>7</v>
      </c>
      <c r="M2997" s="5">
        <f t="shared" si="354"/>
        <v>2012</v>
      </c>
    </row>
    <row r="2998" spans="1:13" ht="17.45" customHeight="1" x14ac:dyDescent="0.25">
      <c r="A2998" s="1">
        <f>DATE(2012,7,8)</f>
        <v>41098</v>
      </c>
      <c r="B2998" t="s">
        <v>22</v>
      </c>
      <c r="C2998" t="s">
        <v>10</v>
      </c>
      <c r="D2998" s="3">
        <v>52.038000000000004</v>
      </c>
      <c r="E2998" s="3">
        <v>0</v>
      </c>
      <c r="F2998" t="s">
        <v>45</v>
      </c>
      <c r="G2998" s="3">
        <f t="shared" si="348"/>
        <v>-52.038000000000004</v>
      </c>
      <c r="H2998" s="3">
        <f t="shared" si="349"/>
        <v>52.038000000000004</v>
      </c>
      <c r="I2998" s="5" t="str">
        <f t="shared" si="350"/>
        <v>018</v>
      </c>
      <c r="J2998" s="5" t="str">
        <f t="shared" si="351"/>
        <v>2230</v>
      </c>
      <c r="K2998" s="5" t="str">
        <f t="shared" si="352"/>
        <v>000</v>
      </c>
      <c r="L2998" s="5">
        <f t="shared" si="353"/>
        <v>7</v>
      </c>
      <c r="M2998" s="5">
        <f t="shared" si="354"/>
        <v>2012</v>
      </c>
    </row>
    <row r="2999" spans="1:13" ht="17.45" customHeight="1" x14ac:dyDescent="0.25">
      <c r="A2999" s="1">
        <f>DATE(2012,7,9)</f>
        <v>41099</v>
      </c>
      <c r="B2999" t="s">
        <v>11</v>
      </c>
      <c r="C2999" t="s">
        <v>6</v>
      </c>
      <c r="D2999" s="3">
        <v>2299.6947</v>
      </c>
      <c r="E2999" s="3">
        <v>0</v>
      </c>
      <c r="F2999" t="s">
        <v>45</v>
      </c>
      <c r="G2999" s="3">
        <f t="shared" si="348"/>
        <v>-2299.6947</v>
      </c>
      <c r="H2999" s="3">
        <f t="shared" si="349"/>
        <v>2299.6947</v>
      </c>
      <c r="I2999" s="5" t="str">
        <f t="shared" si="350"/>
        <v>016</v>
      </c>
      <c r="J2999" s="5" t="str">
        <f t="shared" si="351"/>
        <v>2100</v>
      </c>
      <c r="K2999" s="5" t="str">
        <f t="shared" si="352"/>
        <v>000</v>
      </c>
      <c r="L2999" s="5">
        <f t="shared" si="353"/>
        <v>7</v>
      </c>
      <c r="M2999" s="5">
        <f t="shared" si="354"/>
        <v>2012</v>
      </c>
    </row>
    <row r="3000" spans="1:13" ht="17.45" customHeight="1" x14ac:dyDescent="0.25">
      <c r="A3000" s="1">
        <f>DATE(2012,7,9)</f>
        <v>41099</v>
      </c>
      <c r="B3000" t="s">
        <v>12</v>
      </c>
      <c r="C3000" t="s">
        <v>8</v>
      </c>
      <c r="D3000" s="3">
        <v>608.61</v>
      </c>
      <c r="E3000" s="3">
        <v>0</v>
      </c>
      <c r="F3000" t="s">
        <v>45</v>
      </c>
      <c r="G3000" s="3">
        <f t="shared" si="348"/>
        <v>-608.61</v>
      </c>
      <c r="H3000" s="3">
        <f t="shared" si="349"/>
        <v>608.61</v>
      </c>
      <c r="I3000" s="5" t="str">
        <f t="shared" si="350"/>
        <v>016</v>
      </c>
      <c r="J3000" s="5" t="str">
        <f t="shared" si="351"/>
        <v>2210</v>
      </c>
      <c r="K3000" s="5" t="str">
        <f t="shared" si="352"/>
        <v>000</v>
      </c>
      <c r="L3000" s="5">
        <f t="shared" si="353"/>
        <v>7</v>
      </c>
      <c r="M3000" s="5">
        <f t="shared" si="354"/>
        <v>2012</v>
      </c>
    </row>
    <row r="3001" spans="1:13" ht="17.45" customHeight="1" x14ac:dyDescent="0.25">
      <c r="A3001" s="1">
        <f>DATE(2012,7,9)</f>
        <v>41099</v>
      </c>
      <c r="B3001" t="s">
        <v>13</v>
      </c>
      <c r="C3001" t="s">
        <v>9</v>
      </c>
      <c r="D3001" s="3">
        <v>65.28</v>
      </c>
      <c r="E3001" s="3">
        <v>0</v>
      </c>
      <c r="F3001" t="s">
        <v>45</v>
      </c>
      <c r="G3001" s="3">
        <f t="shared" si="348"/>
        <v>-65.28</v>
      </c>
      <c r="H3001" s="3">
        <f t="shared" si="349"/>
        <v>65.28</v>
      </c>
      <c r="I3001" s="5" t="str">
        <f t="shared" si="350"/>
        <v>016</v>
      </c>
      <c r="J3001" s="5" t="str">
        <f t="shared" si="351"/>
        <v>2220</v>
      </c>
      <c r="K3001" s="5" t="str">
        <f t="shared" si="352"/>
        <v>000</v>
      </c>
      <c r="L3001" s="5">
        <f t="shared" si="353"/>
        <v>7</v>
      </c>
      <c r="M3001" s="5">
        <f t="shared" si="354"/>
        <v>2012</v>
      </c>
    </row>
    <row r="3002" spans="1:13" ht="17.45" customHeight="1" x14ac:dyDescent="0.25">
      <c r="A3002" s="1">
        <f>DATE(2012,7,9)</f>
        <v>41099</v>
      </c>
      <c r="B3002" t="s">
        <v>14</v>
      </c>
      <c r="C3002" t="s">
        <v>10</v>
      </c>
      <c r="D3002" s="3">
        <v>40.204999999999998</v>
      </c>
      <c r="E3002" s="3">
        <v>0</v>
      </c>
      <c r="F3002" t="s">
        <v>45</v>
      </c>
      <c r="G3002" s="3">
        <f t="shared" si="348"/>
        <v>-40.204999999999998</v>
      </c>
      <c r="H3002" s="3">
        <f t="shared" si="349"/>
        <v>40.204999999999998</v>
      </c>
      <c r="I3002" s="5" t="str">
        <f t="shared" si="350"/>
        <v>016</v>
      </c>
      <c r="J3002" s="5" t="str">
        <f t="shared" si="351"/>
        <v>2230</v>
      </c>
      <c r="K3002" s="5" t="str">
        <f t="shared" si="352"/>
        <v>000</v>
      </c>
      <c r="L3002" s="5">
        <f t="shared" si="353"/>
        <v>7</v>
      </c>
      <c r="M3002" s="5">
        <f t="shared" si="354"/>
        <v>2012</v>
      </c>
    </row>
    <row r="3003" spans="1:13" ht="17.45" customHeight="1" x14ac:dyDescent="0.25">
      <c r="A3003" s="1">
        <f>DATE(2012,7,10)</f>
        <v>41100</v>
      </c>
      <c r="B3003" t="s">
        <v>11</v>
      </c>
      <c r="C3003" t="s">
        <v>6</v>
      </c>
      <c r="D3003" s="3">
        <v>6381.7865000000002</v>
      </c>
      <c r="E3003" s="3">
        <v>0</v>
      </c>
      <c r="F3003" t="s">
        <v>45</v>
      </c>
      <c r="G3003" s="3">
        <f t="shared" si="348"/>
        <v>-6381.7865000000002</v>
      </c>
      <c r="H3003" s="3">
        <f t="shared" si="349"/>
        <v>6381.7865000000002</v>
      </c>
      <c r="I3003" s="5" t="str">
        <f t="shared" si="350"/>
        <v>016</v>
      </c>
      <c r="J3003" s="5" t="str">
        <f t="shared" si="351"/>
        <v>2100</v>
      </c>
      <c r="K3003" s="5" t="str">
        <f t="shared" si="352"/>
        <v>000</v>
      </c>
      <c r="L3003" s="5">
        <f t="shared" si="353"/>
        <v>7</v>
      </c>
      <c r="M3003" s="5">
        <f t="shared" si="354"/>
        <v>2012</v>
      </c>
    </row>
    <row r="3004" spans="1:13" ht="17.45" customHeight="1" x14ac:dyDescent="0.25">
      <c r="A3004" s="1">
        <f>DATE(2012,7,10)</f>
        <v>41100</v>
      </c>
      <c r="B3004" t="s">
        <v>12</v>
      </c>
      <c r="C3004" t="s">
        <v>8</v>
      </c>
      <c r="D3004" s="3">
        <v>2293.2126000000003</v>
      </c>
      <c r="E3004" s="3">
        <v>0</v>
      </c>
      <c r="F3004" t="s">
        <v>45</v>
      </c>
      <c r="G3004" s="3">
        <f t="shared" si="348"/>
        <v>-2293.2126000000003</v>
      </c>
      <c r="H3004" s="3">
        <f t="shared" si="349"/>
        <v>2293.2126000000003</v>
      </c>
      <c r="I3004" s="5" t="str">
        <f t="shared" si="350"/>
        <v>016</v>
      </c>
      <c r="J3004" s="5" t="str">
        <f t="shared" si="351"/>
        <v>2210</v>
      </c>
      <c r="K3004" s="5" t="str">
        <f t="shared" si="352"/>
        <v>000</v>
      </c>
      <c r="L3004" s="5">
        <f t="shared" si="353"/>
        <v>7</v>
      </c>
      <c r="M3004" s="5">
        <f t="shared" si="354"/>
        <v>2012</v>
      </c>
    </row>
    <row r="3005" spans="1:13" ht="17.45" customHeight="1" x14ac:dyDescent="0.25">
      <c r="A3005" s="1">
        <f>DATE(2012,7,10)</f>
        <v>41100</v>
      </c>
      <c r="B3005" t="s">
        <v>13</v>
      </c>
      <c r="C3005" t="s">
        <v>9</v>
      </c>
      <c r="D3005" s="3">
        <v>429.27750000000003</v>
      </c>
      <c r="E3005" s="3">
        <v>0</v>
      </c>
      <c r="F3005" t="s">
        <v>45</v>
      </c>
      <c r="G3005" s="3">
        <f t="shared" si="348"/>
        <v>-429.27750000000003</v>
      </c>
      <c r="H3005" s="3">
        <f t="shared" si="349"/>
        <v>429.27750000000003</v>
      </c>
      <c r="I3005" s="5" t="str">
        <f t="shared" si="350"/>
        <v>016</v>
      </c>
      <c r="J3005" s="5" t="str">
        <f t="shared" si="351"/>
        <v>2220</v>
      </c>
      <c r="K3005" s="5" t="str">
        <f t="shared" si="352"/>
        <v>000</v>
      </c>
      <c r="L3005" s="5">
        <f t="shared" si="353"/>
        <v>7</v>
      </c>
      <c r="M3005" s="5">
        <f t="shared" si="354"/>
        <v>2012</v>
      </c>
    </row>
    <row r="3006" spans="1:13" ht="17.45" customHeight="1" x14ac:dyDescent="0.25">
      <c r="A3006" s="1">
        <f>DATE(2012,7,10)</f>
        <v>41100</v>
      </c>
      <c r="B3006" t="s">
        <v>14</v>
      </c>
      <c r="C3006" t="s">
        <v>10</v>
      </c>
      <c r="D3006" s="3">
        <v>184.22400000000002</v>
      </c>
      <c r="E3006" s="3">
        <v>0</v>
      </c>
      <c r="F3006" t="s">
        <v>45</v>
      </c>
      <c r="G3006" s="3">
        <f t="shared" si="348"/>
        <v>-184.22400000000002</v>
      </c>
      <c r="H3006" s="3">
        <f t="shared" si="349"/>
        <v>184.22400000000002</v>
      </c>
      <c r="I3006" s="5" t="str">
        <f t="shared" si="350"/>
        <v>016</v>
      </c>
      <c r="J3006" s="5" t="str">
        <f t="shared" si="351"/>
        <v>2230</v>
      </c>
      <c r="K3006" s="5" t="str">
        <f t="shared" si="352"/>
        <v>000</v>
      </c>
      <c r="L3006" s="5">
        <f t="shared" si="353"/>
        <v>7</v>
      </c>
      <c r="M3006" s="5">
        <f t="shared" si="354"/>
        <v>2012</v>
      </c>
    </row>
    <row r="3007" spans="1:13" ht="17.45" customHeight="1" x14ac:dyDescent="0.25">
      <c r="A3007" s="1">
        <f>DATE(2012,7,11)</f>
        <v>41101</v>
      </c>
      <c r="B3007" t="s">
        <v>11</v>
      </c>
      <c r="C3007" t="s">
        <v>6</v>
      </c>
      <c r="D3007" s="3">
        <v>3159.5829999999996</v>
      </c>
      <c r="E3007" s="3">
        <v>0</v>
      </c>
      <c r="F3007" t="s">
        <v>45</v>
      </c>
      <c r="G3007" s="3">
        <f t="shared" si="348"/>
        <v>-3159.5829999999996</v>
      </c>
      <c r="H3007" s="3">
        <f t="shared" si="349"/>
        <v>3159.5829999999996</v>
      </c>
      <c r="I3007" s="5" t="str">
        <f t="shared" si="350"/>
        <v>016</v>
      </c>
      <c r="J3007" s="5" t="str">
        <f t="shared" si="351"/>
        <v>2100</v>
      </c>
      <c r="K3007" s="5" t="str">
        <f t="shared" si="352"/>
        <v>000</v>
      </c>
      <c r="L3007" s="5">
        <f t="shared" si="353"/>
        <v>7</v>
      </c>
      <c r="M3007" s="5">
        <f t="shared" si="354"/>
        <v>2012</v>
      </c>
    </row>
    <row r="3008" spans="1:13" ht="17.45" customHeight="1" x14ac:dyDescent="0.25">
      <c r="A3008" s="1">
        <f>DATE(2012,7,11)</f>
        <v>41101</v>
      </c>
      <c r="B3008" t="s">
        <v>12</v>
      </c>
      <c r="C3008" t="s">
        <v>8</v>
      </c>
      <c r="D3008" s="3">
        <v>775.38749999999993</v>
      </c>
      <c r="E3008" s="3">
        <v>0</v>
      </c>
      <c r="F3008" t="s">
        <v>45</v>
      </c>
      <c r="G3008" s="3">
        <f t="shared" si="348"/>
        <v>-775.38749999999993</v>
      </c>
      <c r="H3008" s="3">
        <f t="shared" si="349"/>
        <v>775.38749999999993</v>
      </c>
      <c r="I3008" s="5" t="str">
        <f t="shared" si="350"/>
        <v>016</v>
      </c>
      <c r="J3008" s="5" t="str">
        <f t="shared" si="351"/>
        <v>2210</v>
      </c>
      <c r="K3008" s="5" t="str">
        <f t="shared" si="352"/>
        <v>000</v>
      </c>
      <c r="L3008" s="5">
        <f t="shared" si="353"/>
        <v>7</v>
      </c>
      <c r="M3008" s="5">
        <f t="shared" si="354"/>
        <v>2012</v>
      </c>
    </row>
    <row r="3009" spans="1:13" ht="17.45" customHeight="1" x14ac:dyDescent="0.25">
      <c r="A3009" s="1">
        <f>DATE(2012,7,11)</f>
        <v>41101</v>
      </c>
      <c r="B3009" t="s">
        <v>13</v>
      </c>
      <c r="C3009" t="s">
        <v>9</v>
      </c>
      <c r="D3009" s="3">
        <v>154.64250000000001</v>
      </c>
      <c r="E3009" s="3">
        <v>0</v>
      </c>
      <c r="F3009" t="s">
        <v>45</v>
      </c>
      <c r="G3009" s="3">
        <f t="shared" si="348"/>
        <v>-154.64250000000001</v>
      </c>
      <c r="H3009" s="3">
        <f t="shared" si="349"/>
        <v>154.64250000000001</v>
      </c>
      <c r="I3009" s="5" t="str">
        <f t="shared" si="350"/>
        <v>016</v>
      </c>
      <c r="J3009" s="5" t="str">
        <f t="shared" si="351"/>
        <v>2220</v>
      </c>
      <c r="K3009" s="5" t="str">
        <f t="shared" si="352"/>
        <v>000</v>
      </c>
      <c r="L3009" s="5">
        <f t="shared" si="353"/>
        <v>7</v>
      </c>
      <c r="M3009" s="5">
        <f t="shared" si="354"/>
        <v>2012</v>
      </c>
    </row>
    <row r="3010" spans="1:13" ht="17.45" customHeight="1" x14ac:dyDescent="0.25">
      <c r="A3010" s="1">
        <f>DATE(2012,7,11)</f>
        <v>41101</v>
      </c>
      <c r="B3010" t="s">
        <v>14</v>
      </c>
      <c r="C3010" t="s">
        <v>10</v>
      </c>
      <c r="D3010" s="3">
        <v>100.91999999999999</v>
      </c>
      <c r="E3010" s="3">
        <v>0</v>
      </c>
      <c r="F3010" t="s">
        <v>45</v>
      </c>
      <c r="G3010" s="3">
        <f t="shared" ref="G3010:G3073" si="355">E3010-D3010</f>
        <v>-100.91999999999999</v>
      </c>
      <c r="H3010" s="3">
        <f t="shared" ref="H3010:H3073" si="356">ABS(G3010)</f>
        <v>100.91999999999999</v>
      </c>
      <c r="I3010" s="5" t="str">
        <f t="shared" ref="I3010:I3073" si="357">MID(B3010,1,3)</f>
        <v>016</v>
      </c>
      <c r="J3010" s="5" t="str">
        <f t="shared" ref="J3010:J3073" si="358">MID(B3010,5,4)</f>
        <v>2230</v>
      </c>
      <c r="K3010" s="5" t="str">
        <f t="shared" ref="K3010:K3073" si="359">MID(B3010,10,3)</f>
        <v>000</v>
      </c>
      <c r="L3010" s="5">
        <f t="shared" ref="L3010:L3073" si="360">MONTH(A3010)</f>
        <v>7</v>
      </c>
      <c r="M3010" s="5">
        <f t="shared" ref="M3010:M3073" si="361">YEAR(A3010)</f>
        <v>2012</v>
      </c>
    </row>
    <row r="3011" spans="1:13" ht="17.45" customHeight="1" x14ac:dyDescent="0.25">
      <c r="A3011" s="1">
        <f>DATE(2012,7,12)</f>
        <v>41102</v>
      </c>
      <c r="B3011" t="s">
        <v>11</v>
      </c>
      <c r="C3011" t="s">
        <v>6</v>
      </c>
      <c r="D3011" s="3">
        <v>2851.8685</v>
      </c>
      <c r="E3011" s="3">
        <v>0</v>
      </c>
      <c r="F3011" t="s">
        <v>45</v>
      </c>
      <c r="G3011" s="3">
        <f t="shared" si="355"/>
        <v>-2851.8685</v>
      </c>
      <c r="H3011" s="3">
        <f t="shared" si="356"/>
        <v>2851.8685</v>
      </c>
      <c r="I3011" s="5" t="str">
        <f t="shared" si="357"/>
        <v>016</v>
      </c>
      <c r="J3011" s="5" t="str">
        <f t="shared" si="358"/>
        <v>2100</v>
      </c>
      <c r="K3011" s="5" t="str">
        <f t="shared" si="359"/>
        <v>000</v>
      </c>
      <c r="L3011" s="5">
        <f t="shared" si="360"/>
        <v>7</v>
      </c>
      <c r="M3011" s="5">
        <f t="shared" si="361"/>
        <v>2012</v>
      </c>
    </row>
    <row r="3012" spans="1:13" ht="17.45" customHeight="1" x14ac:dyDescent="0.25">
      <c r="A3012" s="1">
        <f>DATE(2012,7,12)</f>
        <v>41102</v>
      </c>
      <c r="B3012" t="s">
        <v>12</v>
      </c>
      <c r="C3012" t="s">
        <v>8</v>
      </c>
      <c r="D3012" s="3">
        <v>1333.9234999999999</v>
      </c>
      <c r="E3012" s="3">
        <v>0</v>
      </c>
      <c r="F3012" t="s">
        <v>45</v>
      </c>
      <c r="G3012" s="3">
        <f t="shared" si="355"/>
        <v>-1333.9234999999999</v>
      </c>
      <c r="H3012" s="3">
        <f t="shared" si="356"/>
        <v>1333.9234999999999</v>
      </c>
      <c r="I3012" s="5" t="str">
        <f t="shared" si="357"/>
        <v>016</v>
      </c>
      <c r="J3012" s="5" t="str">
        <f t="shared" si="358"/>
        <v>2210</v>
      </c>
      <c r="K3012" s="5" t="str">
        <f t="shared" si="359"/>
        <v>000</v>
      </c>
      <c r="L3012" s="5">
        <f t="shared" si="360"/>
        <v>7</v>
      </c>
      <c r="M3012" s="5">
        <f t="shared" si="361"/>
        <v>2012</v>
      </c>
    </row>
    <row r="3013" spans="1:13" ht="17.45" customHeight="1" x14ac:dyDescent="0.25">
      <c r="A3013" s="1">
        <f>DATE(2012,7,12)</f>
        <v>41102</v>
      </c>
      <c r="B3013" t="s">
        <v>13</v>
      </c>
      <c r="C3013" t="s">
        <v>9</v>
      </c>
      <c r="D3013" s="3">
        <v>170.27250000000001</v>
      </c>
      <c r="E3013" s="3">
        <v>0</v>
      </c>
      <c r="F3013" t="s">
        <v>45</v>
      </c>
      <c r="G3013" s="3">
        <f t="shared" si="355"/>
        <v>-170.27250000000001</v>
      </c>
      <c r="H3013" s="3">
        <f t="shared" si="356"/>
        <v>170.27250000000001</v>
      </c>
      <c r="I3013" s="5" t="str">
        <f t="shared" si="357"/>
        <v>016</v>
      </c>
      <c r="J3013" s="5" t="str">
        <f t="shared" si="358"/>
        <v>2220</v>
      </c>
      <c r="K3013" s="5" t="str">
        <f t="shared" si="359"/>
        <v>000</v>
      </c>
      <c r="L3013" s="5">
        <f t="shared" si="360"/>
        <v>7</v>
      </c>
      <c r="M3013" s="5">
        <f t="shared" si="361"/>
        <v>2012</v>
      </c>
    </row>
    <row r="3014" spans="1:13" ht="17.45" customHeight="1" x14ac:dyDescent="0.25">
      <c r="A3014" s="1">
        <f>DATE(2012,7,12)</f>
        <v>41102</v>
      </c>
      <c r="B3014" t="s">
        <v>14</v>
      </c>
      <c r="C3014" t="s">
        <v>10</v>
      </c>
      <c r="D3014" s="3">
        <v>127.491</v>
      </c>
      <c r="E3014" s="3">
        <v>0</v>
      </c>
      <c r="F3014" t="s">
        <v>45</v>
      </c>
      <c r="G3014" s="3">
        <f t="shared" si="355"/>
        <v>-127.491</v>
      </c>
      <c r="H3014" s="3">
        <f t="shared" si="356"/>
        <v>127.491</v>
      </c>
      <c r="I3014" s="5" t="str">
        <f t="shared" si="357"/>
        <v>016</v>
      </c>
      <c r="J3014" s="5" t="str">
        <f t="shared" si="358"/>
        <v>2230</v>
      </c>
      <c r="K3014" s="5" t="str">
        <f t="shared" si="359"/>
        <v>000</v>
      </c>
      <c r="L3014" s="5">
        <f t="shared" si="360"/>
        <v>7</v>
      </c>
      <c r="M3014" s="5">
        <f t="shared" si="361"/>
        <v>2012</v>
      </c>
    </row>
    <row r="3015" spans="1:13" ht="17.45" customHeight="1" x14ac:dyDescent="0.25">
      <c r="A3015" s="1">
        <f>DATE(2012,7,13)</f>
        <v>41103</v>
      </c>
      <c r="B3015" t="s">
        <v>11</v>
      </c>
      <c r="C3015" t="s">
        <v>6</v>
      </c>
      <c r="D3015" s="3">
        <v>8026.5362000000005</v>
      </c>
      <c r="E3015" s="3">
        <v>0</v>
      </c>
      <c r="F3015" t="s">
        <v>45</v>
      </c>
      <c r="G3015" s="3">
        <f t="shared" si="355"/>
        <v>-8026.5362000000005</v>
      </c>
      <c r="H3015" s="3">
        <f t="shared" si="356"/>
        <v>8026.5362000000005</v>
      </c>
      <c r="I3015" s="5" t="str">
        <f t="shared" si="357"/>
        <v>016</v>
      </c>
      <c r="J3015" s="5" t="str">
        <f t="shared" si="358"/>
        <v>2100</v>
      </c>
      <c r="K3015" s="5" t="str">
        <f t="shared" si="359"/>
        <v>000</v>
      </c>
      <c r="L3015" s="5">
        <f t="shared" si="360"/>
        <v>7</v>
      </c>
      <c r="M3015" s="5">
        <f t="shared" si="361"/>
        <v>2012</v>
      </c>
    </row>
    <row r="3016" spans="1:13" ht="17.45" customHeight="1" x14ac:dyDescent="0.25">
      <c r="A3016" s="1">
        <f>DATE(2012,7,13)</f>
        <v>41103</v>
      </c>
      <c r="B3016" t="s">
        <v>12</v>
      </c>
      <c r="C3016" t="s">
        <v>8</v>
      </c>
      <c r="D3016" s="3">
        <v>2250.297</v>
      </c>
      <c r="E3016" s="3">
        <v>0</v>
      </c>
      <c r="F3016" t="s">
        <v>45</v>
      </c>
      <c r="G3016" s="3">
        <f t="shared" si="355"/>
        <v>-2250.297</v>
      </c>
      <c r="H3016" s="3">
        <f t="shared" si="356"/>
        <v>2250.297</v>
      </c>
      <c r="I3016" s="5" t="str">
        <f t="shared" si="357"/>
        <v>016</v>
      </c>
      <c r="J3016" s="5" t="str">
        <f t="shared" si="358"/>
        <v>2210</v>
      </c>
      <c r="K3016" s="5" t="str">
        <f t="shared" si="359"/>
        <v>000</v>
      </c>
      <c r="L3016" s="5">
        <f t="shared" si="360"/>
        <v>7</v>
      </c>
      <c r="M3016" s="5">
        <f t="shared" si="361"/>
        <v>2012</v>
      </c>
    </row>
    <row r="3017" spans="1:13" ht="17.45" customHeight="1" x14ac:dyDescent="0.25">
      <c r="A3017" s="1">
        <f>DATE(2012,7,13)</f>
        <v>41103</v>
      </c>
      <c r="B3017" t="s">
        <v>13</v>
      </c>
      <c r="C3017" t="s">
        <v>9</v>
      </c>
      <c r="D3017" s="3">
        <v>418.72499999999997</v>
      </c>
      <c r="E3017" s="3">
        <v>0</v>
      </c>
      <c r="F3017" t="s">
        <v>45</v>
      </c>
      <c r="G3017" s="3">
        <f t="shared" si="355"/>
        <v>-418.72499999999997</v>
      </c>
      <c r="H3017" s="3">
        <f t="shared" si="356"/>
        <v>418.72499999999997</v>
      </c>
      <c r="I3017" s="5" t="str">
        <f t="shared" si="357"/>
        <v>016</v>
      </c>
      <c r="J3017" s="5" t="str">
        <f t="shared" si="358"/>
        <v>2220</v>
      </c>
      <c r="K3017" s="5" t="str">
        <f t="shared" si="359"/>
        <v>000</v>
      </c>
      <c r="L3017" s="5">
        <f t="shared" si="360"/>
        <v>7</v>
      </c>
      <c r="M3017" s="5">
        <f t="shared" si="361"/>
        <v>2012</v>
      </c>
    </row>
    <row r="3018" spans="1:13" ht="17.45" customHeight="1" x14ac:dyDescent="0.25">
      <c r="A3018" s="1">
        <f>DATE(2012,7,13)</f>
        <v>41103</v>
      </c>
      <c r="B3018" t="s">
        <v>14</v>
      </c>
      <c r="C3018" t="s">
        <v>10</v>
      </c>
      <c r="D3018" s="3">
        <v>157.852</v>
      </c>
      <c r="E3018" s="3">
        <v>0</v>
      </c>
      <c r="F3018" t="s">
        <v>45</v>
      </c>
      <c r="G3018" s="3">
        <f t="shared" si="355"/>
        <v>-157.852</v>
      </c>
      <c r="H3018" s="3">
        <f t="shared" si="356"/>
        <v>157.852</v>
      </c>
      <c r="I3018" s="5" t="str">
        <f t="shared" si="357"/>
        <v>016</v>
      </c>
      <c r="J3018" s="5" t="str">
        <f t="shared" si="358"/>
        <v>2230</v>
      </c>
      <c r="K3018" s="5" t="str">
        <f t="shared" si="359"/>
        <v>000</v>
      </c>
      <c r="L3018" s="5">
        <f t="shared" si="360"/>
        <v>7</v>
      </c>
      <c r="M3018" s="5">
        <f t="shared" si="361"/>
        <v>2012</v>
      </c>
    </row>
    <row r="3019" spans="1:13" ht="17.45" customHeight="1" x14ac:dyDescent="0.25">
      <c r="A3019" s="1">
        <f>DATE(2012,7,14)</f>
        <v>41104</v>
      </c>
      <c r="B3019" t="s">
        <v>11</v>
      </c>
      <c r="C3019" t="s">
        <v>6</v>
      </c>
      <c r="D3019" s="3">
        <v>6489.5680000000002</v>
      </c>
      <c r="E3019" s="3">
        <v>0</v>
      </c>
      <c r="F3019" t="s">
        <v>45</v>
      </c>
      <c r="G3019" s="3">
        <f t="shared" si="355"/>
        <v>-6489.5680000000002</v>
      </c>
      <c r="H3019" s="3">
        <f t="shared" si="356"/>
        <v>6489.5680000000002</v>
      </c>
      <c r="I3019" s="5" t="str">
        <f t="shared" si="357"/>
        <v>016</v>
      </c>
      <c r="J3019" s="5" t="str">
        <f t="shared" si="358"/>
        <v>2100</v>
      </c>
      <c r="K3019" s="5" t="str">
        <f t="shared" si="359"/>
        <v>000</v>
      </c>
      <c r="L3019" s="5">
        <f t="shared" si="360"/>
        <v>7</v>
      </c>
      <c r="M3019" s="5">
        <f t="shared" si="361"/>
        <v>2012</v>
      </c>
    </row>
    <row r="3020" spans="1:13" ht="17.45" customHeight="1" x14ac:dyDescent="0.25">
      <c r="A3020" s="1">
        <f>DATE(2012,7,14)</f>
        <v>41104</v>
      </c>
      <c r="B3020" t="s">
        <v>12</v>
      </c>
      <c r="C3020" t="s">
        <v>8</v>
      </c>
      <c r="D3020" s="3">
        <v>2055.5535</v>
      </c>
      <c r="E3020" s="3">
        <v>0</v>
      </c>
      <c r="F3020" t="s">
        <v>45</v>
      </c>
      <c r="G3020" s="3">
        <f t="shared" si="355"/>
        <v>-2055.5535</v>
      </c>
      <c r="H3020" s="3">
        <f t="shared" si="356"/>
        <v>2055.5535</v>
      </c>
      <c r="I3020" s="5" t="str">
        <f t="shared" si="357"/>
        <v>016</v>
      </c>
      <c r="J3020" s="5" t="str">
        <f t="shared" si="358"/>
        <v>2210</v>
      </c>
      <c r="K3020" s="5" t="str">
        <f t="shared" si="359"/>
        <v>000</v>
      </c>
      <c r="L3020" s="5">
        <f t="shared" si="360"/>
        <v>7</v>
      </c>
      <c r="M3020" s="5">
        <f t="shared" si="361"/>
        <v>2012</v>
      </c>
    </row>
    <row r="3021" spans="1:13" ht="17.45" customHeight="1" x14ac:dyDescent="0.25">
      <c r="A3021" s="1">
        <f>DATE(2012,7,14)</f>
        <v>41104</v>
      </c>
      <c r="B3021" t="s">
        <v>13</v>
      </c>
      <c r="C3021" t="s">
        <v>9</v>
      </c>
      <c r="D3021" s="3">
        <v>614.42200000000003</v>
      </c>
      <c r="E3021" s="3">
        <v>0</v>
      </c>
      <c r="F3021" t="s">
        <v>45</v>
      </c>
      <c r="G3021" s="3">
        <f t="shared" si="355"/>
        <v>-614.42200000000003</v>
      </c>
      <c r="H3021" s="3">
        <f t="shared" si="356"/>
        <v>614.42200000000003</v>
      </c>
      <c r="I3021" s="5" t="str">
        <f t="shared" si="357"/>
        <v>016</v>
      </c>
      <c r="J3021" s="5" t="str">
        <f t="shared" si="358"/>
        <v>2220</v>
      </c>
      <c r="K3021" s="5" t="str">
        <f t="shared" si="359"/>
        <v>000</v>
      </c>
      <c r="L3021" s="5">
        <f t="shared" si="360"/>
        <v>7</v>
      </c>
      <c r="M3021" s="5">
        <f t="shared" si="361"/>
        <v>2012</v>
      </c>
    </row>
    <row r="3022" spans="1:13" ht="17.45" customHeight="1" x14ac:dyDescent="0.25">
      <c r="A3022" s="1">
        <f>DATE(2012,7,14)</f>
        <v>41104</v>
      </c>
      <c r="B3022" t="s">
        <v>14</v>
      </c>
      <c r="C3022" t="s">
        <v>10</v>
      </c>
      <c r="D3022" s="3">
        <v>133.446</v>
      </c>
      <c r="E3022" s="3">
        <v>0</v>
      </c>
      <c r="F3022" t="s">
        <v>45</v>
      </c>
      <c r="G3022" s="3">
        <f t="shared" si="355"/>
        <v>-133.446</v>
      </c>
      <c r="H3022" s="3">
        <f t="shared" si="356"/>
        <v>133.446</v>
      </c>
      <c r="I3022" s="5" t="str">
        <f t="shared" si="357"/>
        <v>016</v>
      </c>
      <c r="J3022" s="5" t="str">
        <f t="shared" si="358"/>
        <v>2230</v>
      </c>
      <c r="K3022" s="5" t="str">
        <f t="shared" si="359"/>
        <v>000</v>
      </c>
      <c r="L3022" s="5">
        <f t="shared" si="360"/>
        <v>7</v>
      </c>
      <c r="M3022" s="5">
        <f t="shared" si="361"/>
        <v>2012</v>
      </c>
    </row>
    <row r="3023" spans="1:13" ht="17.45" customHeight="1" x14ac:dyDescent="0.25">
      <c r="A3023" s="1">
        <f>DATE(2012,7,15)</f>
        <v>41105</v>
      </c>
      <c r="B3023" t="s">
        <v>11</v>
      </c>
      <c r="C3023" t="s">
        <v>6</v>
      </c>
      <c r="D3023" s="3">
        <v>4686.66</v>
      </c>
      <c r="E3023" s="3">
        <v>0</v>
      </c>
      <c r="F3023" t="s">
        <v>45</v>
      </c>
      <c r="G3023" s="3">
        <f t="shared" si="355"/>
        <v>-4686.66</v>
      </c>
      <c r="H3023" s="3">
        <f t="shared" si="356"/>
        <v>4686.66</v>
      </c>
      <c r="I3023" s="5" t="str">
        <f t="shared" si="357"/>
        <v>016</v>
      </c>
      <c r="J3023" s="5" t="str">
        <f t="shared" si="358"/>
        <v>2100</v>
      </c>
      <c r="K3023" s="5" t="str">
        <f t="shared" si="359"/>
        <v>000</v>
      </c>
      <c r="L3023" s="5">
        <f t="shared" si="360"/>
        <v>7</v>
      </c>
      <c r="M3023" s="5">
        <f t="shared" si="361"/>
        <v>2012</v>
      </c>
    </row>
    <row r="3024" spans="1:13" ht="17.45" customHeight="1" x14ac:dyDescent="0.25">
      <c r="A3024" s="1">
        <f>DATE(2012,7,15)</f>
        <v>41105</v>
      </c>
      <c r="B3024" t="s">
        <v>12</v>
      </c>
      <c r="C3024" t="s">
        <v>8</v>
      </c>
      <c r="D3024" s="3">
        <v>1329.2539999999999</v>
      </c>
      <c r="E3024" s="3">
        <v>0</v>
      </c>
      <c r="F3024" t="s">
        <v>45</v>
      </c>
      <c r="G3024" s="3">
        <f t="shared" si="355"/>
        <v>-1329.2539999999999</v>
      </c>
      <c r="H3024" s="3">
        <f t="shared" si="356"/>
        <v>1329.2539999999999</v>
      </c>
      <c r="I3024" s="5" t="str">
        <f t="shared" si="357"/>
        <v>016</v>
      </c>
      <c r="J3024" s="5" t="str">
        <f t="shared" si="358"/>
        <v>2210</v>
      </c>
      <c r="K3024" s="5" t="str">
        <f t="shared" si="359"/>
        <v>000</v>
      </c>
      <c r="L3024" s="5">
        <f t="shared" si="360"/>
        <v>7</v>
      </c>
      <c r="M3024" s="5">
        <f t="shared" si="361"/>
        <v>2012</v>
      </c>
    </row>
    <row r="3025" spans="1:13" ht="17.45" customHeight="1" x14ac:dyDescent="0.25">
      <c r="A3025" s="1">
        <f>DATE(2012,7,15)</f>
        <v>41105</v>
      </c>
      <c r="B3025" t="s">
        <v>13</v>
      </c>
      <c r="C3025" t="s">
        <v>9</v>
      </c>
      <c r="D3025" s="3">
        <v>133.91999999999999</v>
      </c>
      <c r="E3025" s="3">
        <v>0</v>
      </c>
      <c r="F3025" t="s">
        <v>45</v>
      </c>
      <c r="G3025" s="3">
        <f t="shared" si="355"/>
        <v>-133.91999999999999</v>
      </c>
      <c r="H3025" s="3">
        <f t="shared" si="356"/>
        <v>133.91999999999999</v>
      </c>
      <c r="I3025" s="5" t="str">
        <f t="shared" si="357"/>
        <v>016</v>
      </c>
      <c r="J3025" s="5" t="str">
        <f t="shared" si="358"/>
        <v>2220</v>
      </c>
      <c r="K3025" s="5" t="str">
        <f t="shared" si="359"/>
        <v>000</v>
      </c>
      <c r="L3025" s="5">
        <f t="shared" si="360"/>
        <v>7</v>
      </c>
      <c r="M3025" s="5">
        <f t="shared" si="361"/>
        <v>2012</v>
      </c>
    </row>
    <row r="3026" spans="1:13" ht="17.45" customHeight="1" x14ac:dyDescent="0.25">
      <c r="A3026" s="1">
        <f>DATE(2012,7,15)</f>
        <v>41105</v>
      </c>
      <c r="B3026" t="s">
        <v>14</v>
      </c>
      <c r="C3026" t="s">
        <v>10</v>
      </c>
      <c r="D3026" s="3">
        <v>139.50300000000001</v>
      </c>
      <c r="E3026" s="3">
        <v>0</v>
      </c>
      <c r="F3026" t="s">
        <v>45</v>
      </c>
      <c r="G3026" s="3">
        <f t="shared" si="355"/>
        <v>-139.50300000000001</v>
      </c>
      <c r="H3026" s="3">
        <f t="shared" si="356"/>
        <v>139.50300000000001</v>
      </c>
      <c r="I3026" s="5" t="str">
        <f t="shared" si="357"/>
        <v>016</v>
      </c>
      <c r="J3026" s="5" t="str">
        <f t="shared" si="358"/>
        <v>2230</v>
      </c>
      <c r="K3026" s="5" t="str">
        <f t="shared" si="359"/>
        <v>000</v>
      </c>
      <c r="L3026" s="5">
        <f t="shared" si="360"/>
        <v>7</v>
      </c>
      <c r="M3026" s="5">
        <f t="shared" si="361"/>
        <v>2012</v>
      </c>
    </row>
    <row r="3027" spans="1:13" ht="17.45" customHeight="1" x14ac:dyDescent="0.25">
      <c r="A3027" s="1">
        <f>DATE(2012,7,9)</f>
        <v>41099</v>
      </c>
      <c r="B3027" t="s">
        <v>15</v>
      </c>
      <c r="C3027" t="s">
        <v>6</v>
      </c>
      <c r="D3027" s="3">
        <v>6110.3175000000001</v>
      </c>
      <c r="E3027" s="3">
        <v>0</v>
      </c>
      <c r="F3027" t="s">
        <v>45</v>
      </c>
      <c r="G3027" s="3">
        <f t="shared" si="355"/>
        <v>-6110.3175000000001</v>
      </c>
      <c r="H3027" s="3">
        <f t="shared" si="356"/>
        <v>6110.3175000000001</v>
      </c>
      <c r="I3027" s="5" t="str">
        <f t="shared" si="357"/>
        <v>017</v>
      </c>
      <c r="J3027" s="5" t="str">
        <f t="shared" si="358"/>
        <v>2100</v>
      </c>
      <c r="K3027" s="5" t="str">
        <f t="shared" si="359"/>
        <v>000</v>
      </c>
      <c r="L3027" s="5">
        <f t="shared" si="360"/>
        <v>7</v>
      </c>
      <c r="M3027" s="5">
        <f t="shared" si="361"/>
        <v>2012</v>
      </c>
    </row>
    <row r="3028" spans="1:13" ht="17.45" customHeight="1" x14ac:dyDescent="0.25">
      <c r="A3028" s="1">
        <f>DATE(2012,7,9)</f>
        <v>41099</v>
      </c>
      <c r="B3028" t="s">
        <v>16</v>
      </c>
      <c r="C3028" t="s">
        <v>8</v>
      </c>
      <c r="D3028" s="3">
        <v>1543.4550000000002</v>
      </c>
      <c r="E3028" s="3">
        <v>0</v>
      </c>
      <c r="F3028" t="s">
        <v>45</v>
      </c>
      <c r="G3028" s="3">
        <f t="shared" si="355"/>
        <v>-1543.4550000000002</v>
      </c>
      <c r="H3028" s="3">
        <f t="shared" si="356"/>
        <v>1543.4550000000002</v>
      </c>
      <c r="I3028" s="5" t="str">
        <f t="shared" si="357"/>
        <v>017</v>
      </c>
      <c r="J3028" s="5" t="str">
        <f t="shared" si="358"/>
        <v>2210</v>
      </c>
      <c r="K3028" s="5" t="str">
        <f t="shared" si="359"/>
        <v>000</v>
      </c>
      <c r="L3028" s="5">
        <f t="shared" si="360"/>
        <v>7</v>
      </c>
      <c r="M3028" s="5">
        <f t="shared" si="361"/>
        <v>2012</v>
      </c>
    </row>
    <row r="3029" spans="1:13" ht="17.45" customHeight="1" x14ac:dyDescent="0.25">
      <c r="A3029" s="1">
        <f>DATE(2012,7,9)</f>
        <v>41099</v>
      </c>
      <c r="B3029" t="s">
        <v>17</v>
      </c>
      <c r="C3029" t="s">
        <v>9</v>
      </c>
      <c r="D3029" s="3">
        <v>459.59999999999997</v>
      </c>
      <c r="E3029" s="3">
        <v>0</v>
      </c>
      <c r="F3029" t="s">
        <v>45</v>
      </c>
      <c r="G3029" s="3">
        <f t="shared" si="355"/>
        <v>-459.59999999999997</v>
      </c>
      <c r="H3029" s="3">
        <f t="shared" si="356"/>
        <v>459.59999999999997</v>
      </c>
      <c r="I3029" s="5" t="str">
        <f t="shared" si="357"/>
        <v>017</v>
      </c>
      <c r="J3029" s="5" t="str">
        <f t="shared" si="358"/>
        <v>2220</v>
      </c>
      <c r="K3029" s="5" t="str">
        <f t="shared" si="359"/>
        <v>000</v>
      </c>
      <c r="L3029" s="5">
        <f t="shared" si="360"/>
        <v>7</v>
      </c>
      <c r="M3029" s="5">
        <f t="shared" si="361"/>
        <v>2012</v>
      </c>
    </row>
    <row r="3030" spans="1:13" ht="17.45" customHeight="1" x14ac:dyDescent="0.25">
      <c r="A3030" s="1">
        <f>DATE(2012,7,9)</f>
        <v>41099</v>
      </c>
      <c r="B3030" t="s">
        <v>18</v>
      </c>
      <c r="C3030" t="s">
        <v>10</v>
      </c>
      <c r="D3030" s="3">
        <v>100.73</v>
      </c>
      <c r="E3030" s="3">
        <v>0</v>
      </c>
      <c r="F3030" t="s">
        <v>45</v>
      </c>
      <c r="G3030" s="3">
        <f t="shared" si="355"/>
        <v>-100.73</v>
      </c>
      <c r="H3030" s="3">
        <f t="shared" si="356"/>
        <v>100.73</v>
      </c>
      <c r="I3030" s="5" t="str">
        <f t="shared" si="357"/>
        <v>017</v>
      </c>
      <c r="J3030" s="5" t="str">
        <f t="shared" si="358"/>
        <v>2230</v>
      </c>
      <c r="K3030" s="5" t="str">
        <f t="shared" si="359"/>
        <v>000</v>
      </c>
      <c r="L3030" s="5">
        <f t="shared" si="360"/>
        <v>7</v>
      </c>
      <c r="M3030" s="5">
        <f t="shared" si="361"/>
        <v>2012</v>
      </c>
    </row>
    <row r="3031" spans="1:13" ht="17.45" customHeight="1" x14ac:dyDescent="0.25">
      <c r="A3031" s="1">
        <f>DATE(2012,7,10)</f>
        <v>41100</v>
      </c>
      <c r="B3031" t="s">
        <v>15</v>
      </c>
      <c r="C3031" t="s">
        <v>6</v>
      </c>
      <c r="D3031" s="3">
        <v>6691.7774000000009</v>
      </c>
      <c r="E3031" s="3">
        <v>0</v>
      </c>
      <c r="F3031" t="s">
        <v>45</v>
      </c>
      <c r="G3031" s="3">
        <f t="shared" si="355"/>
        <v>-6691.7774000000009</v>
      </c>
      <c r="H3031" s="3">
        <f t="shared" si="356"/>
        <v>6691.7774000000009</v>
      </c>
      <c r="I3031" s="5" t="str">
        <f t="shared" si="357"/>
        <v>017</v>
      </c>
      <c r="J3031" s="5" t="str">
        <f t="shared" si="358"/>
        <v>2100</v>
      </c>
      <c r="K3031" s="5" t="str">
        <f t="shared" si="359"/>
        <v>000</v>
      </c>
      <c r="L3031" s="5">
        <f t="shared" si="360"/>
        <v>7</v>
      </c>
      <c r="M3031" s="5">
        <f t="shared" si="361"/>
        <v>2012</v>
      </c>
    </row>
    <row r="3032" spans="1:13" ht="17.45" customHeight="1" x14ac:dyDescent="0.25">
      <c r="A3032" s="1">
        <f>DATE(2012,7,10)</f>
        <v>41100</v>
      </c>
      <c r="B3032" t="s">
        <v>16</v>
      </c>
      <c r="C3032" t="s">
        <v>8</v>
      </c>
      <c r="D3032" s="3">
        <v>1230.624</v>
      </c>
      <c r="E3032" s="3">
        <v>0</v>
      </c>
      <c r="F3032" t="s">
        <v>45</v>
      </c>
      <c r="G3032" s="3">
        <f t="shared" si="355"/>
        <v>-1230.624</v>
      </c>
      <c r="H3032" s="3">
        <f t="shared" si="356"/>
        <v>1230.624</v>
      </c>
      <c r="I3032" s="5" t="str">
        <f t="shared" si="357"/>
        <v>017</v>
      </c>
      <c r="J3032" s="5" t="str">
        <f t="shared" si="358"/>
        <v>2210</v>
      </c>
      <c r="K3032" s="5" t="str">
        <f t="shared" si="359"/>
        <v>000</v>
      </c>
      <c r="L3032" s="5">
        <f t="shared" si="360"/>
        <v>7</v>
      </c>
      <c r="M3032" s="5">
        <f t="shared" si="361"/>
        <v>2012</v>
      </c>
    </row>
    <row r="3033" spans="1:13" ht="17.45" customHeight="1" x14ac:dyDescent="0.25">
      <c r="A3033" s="1">
        <f>DATE(2012,7,10)</f>
        <v>41100</v>
      </c>
      <c r="B3033" t="s">
        <v>17</v>
      </c>
      <c r="C3033" t="s">
        <v>9</v>
      </c>
      <c r="D3033" s="3">
        <v>500.41249999999997</v>
      </c>
      <c r="E3033" s="3">
        <v>0</v>
      </c>
      <c r="F3033" t="s">
        <v>45</v>
      </c>
      <c r="G3033" s="3">
        <f t="shared" si="355"/>
        <v>-500.41249999999997</v>
      </c>
      <c r="H3033" s="3">
        <f t="shared" si="356"/>
        <v>500.41249999999997</v>
      </c>
      <c r="I3033" s="5" t="str">
        <f t="shared" si="357"/>
        <v>017</v>
      </c>
      <c r="J3033" s="5" t="str">
        <f t="shared" si="358"/>
        <v>2220</v>
      </c>
      <c r="K3033" s="5" t="str">
        <f t="shared" si="359"/>
        <v>000</v>
      </c>
      <c r="L3033" s="5">
        <f t="shared" si="360"/>
        <v>7</v>
      </c>
      <c r="M3033" s="5">
        <f t="shared" si="361"/>
        <v>2012</v>
      </c>
    </row>
    <row r="3034" spans="1:13" ht="17.45" customHeight="1" x14ac:dyDescent="0.25">
      <c r="A3034" s="1">
        <f>DATE(2012,7,10)</f>
        <v>41100</v>
      </c>
      <c r="B3034" t="s">
        <v>18</v>
      </c>
      <c r="C3034" t="s">
        <v>10</v>
      </c>
      <c r="D3034" s="3">
        <v>60.536000000000001</v>
      </c>
      <c r="E3034" s="3">
        <v>0</v>
      </c>
      <c r="F3034" t="s">
        <v>45</v>
      </c>
      <c r="G3034" s="3">
        <f t="shared" si="355"/>
        <v>-60.536000000000001</v>
      </c>
      <c r="H3034" s="3">
        <f t="shared" si="356"/>
        <v>60.536000000000001</v>
      </c>
      <c r="I3034" s="5" t="str">
        <f t="shared" si="357"/>
        <v>017</v>
      </c>
      <c r="J3034" s="5" t="str">
        <f t="shared" si="358"/>
        <v>2230</v>
      </c>
      <c r="K3034" s="5" t="str">
        <f t="shared" si="359"/>
        <v>000</v>
      </c>
      <c r="L3034" s="5">
        <f t="shared" si="360"/>
        <v>7</v>
      </c>
      <c r="M3034" s="5">
        <f t="shared" si="361"/>
        <v>2012</v>
      </c>
    </row>
    <row r="3035" spans="1:13" ht="17.45" customHeight="1" x14ac:dyDescent="0.25">
      <c r="A3035" s="1">
        <f>DATE(2012,7,11)</f>
        <v>41101</v>
      </c>
      <c r="B3035" t="s">
        <v>15</v>
      </c>
      <c r="C3035" t="s">
        <v>6</v>
      </c>
      <c r="D3035" s="3">
        <v>6293.5635999999995</v>
      </c>
      <c r="E3035" s="3">
        <v>0</v>
      </c>
      <c r="F3035" t="s">
        <v>45</v>
      </c>
      <c r="G3035" s="3">
        <f t="shared" si="355"/>
        <v>-6293.5635999999995</v>
      </c>
      <c r="H3035" s="3">
        <f t="shared" si="356"/>
        <v>6293.5635999999995</v>
      </c>
      <c r="I3035" s="5" t="str">
        <f t="shared" si="357"/>
        <v>017</v>
      </c>
      <c r="J3035" s="5" t="str">
        <f t="shared" si="358"/>
        <v>2100</v>
      </c>
      <c r="K3035" s="5" t="str">
        <f t="shared" si="359"/>
        <v>000</v>
      </c>
      <c r="L3035" s="5">
        <f t="shared" si="360"/>
        <v>7</v>
      </c>
      <c r="M3035" s="5">
        <f t="shared" si="361"/>
        <v>2012</v>
      </c>
    </row>
    <row r="3036" spans="1:13" ht="17.45" customHeight="1" x14ac:dyDescent="0.25">
      <c r="A3036" s="1">
        <f>DATE(2012,7,11)</f>
        <v>41101</v>
      </c>
      <c r="B3036" t="s">
        <v>16</v>
      </c>
      <c r="C3036" t="s">
        <v>8</v>
      </c>
      <c r="D3036" s="3">
        <v>1188.5775000000001</v>
      </c>
      <c r="E3036" s="3">
        <v>0</v>
      </c>
      <c r="F3036" t="s">
        <v>45</v>
      </c>
      <c r="G3036" s="3">
        <f t="shared" si="355"/>
        <v>-1188.5775000000001</v>
      </c>
      <c r="H3036" s="3">
        <f t="shared" si="356"/>
        <v>1188.5775000000001</v>
      </c>
      <c r="I3036" s="5" t="str">
        <f t="shared" si="357"/>
        <v>017</v>
      </c>
      <c r="J3036" s="5" t="str">
        <f t="shared" si="358"/>
        <v>2210</v>
      </c>
      <c r="K3036" s="5" t="str">
        <f t="shared" si="359"/>
        <v>000</v>
      </c>
      <c r="L3036" s="5">
        <f t="shared" si="360"/>
        <v>7</v>
      </c>
      <c r="M3036" s="5">
        <f t="shared" si="361"/>
        <v>2012</v>
      </c>
    </row>
    <row r="3037" spans="1:13" ht="17.45" customHeight="1" x14ac:dyDescent="0.25">
      <c r="A3037" s="1">
        <f>DATE(2012,7,11)</f>
        <v>41101</v>
      </c>
      <c r="B3037" t="s">
        <v>17</v>
      </c>
      <c r="C3037" t="s">
        <v>9</v>
      </c>
      <c r="D3037" s="3">
        <v>325.875</v>
      </c>
      <c r="E3037" s="3">
        <v>0</v>
      </c>
      <c r="F3037" t="s">
        <v>45</v>
      </c>
      <c r="G3037" s="3">
        <f t="shared" si="355"/>
        <v>-325.875</v>
      </c>
      <c r="H3037" s="3">
        <f t="shared" si="356"/>
        <v>325.875</v>
      </c>
      <c r="I3037" s="5" t="str">
        <f t="shared" si="357"/>
        <v>017</v>
      </c>
      <c r="J3037" s="5" t="str">
        <f t="shared" si="358"/>
        <v>2220</v>
      </c>
      <c r="K3037" s="5" t="str">
        <f t="shared" si="359"/>
        <v>000</v>
      </c>
      <c r="L3037" s="5">
        <f t="shared" si="360"/>
        <v>7</v>
      </c>
      <c r="M3037" s="5">
        <f t="shared" si="361"/>
        <v>2012</v>
      </c>
    </row>
    <row r="3038" spans="1:13" ht="17.45" customHeight="1" x14ac:dyDescent="0.25">
      <c r="A3038" s="1">
        <f>DATE(2012,7,11)</f>
        <v>41101</v>
      </c>
      <c r="B3038" t="s">
        <v>18</v>
      </c>
      <c r="C3038" t="s">
        <v>10</v>
      </c>
      <c r="D3038" s="3">
        <v>76.4315</v>
      </c>
      <c r="E3038" s="3">
        <v>0</v>
      </c>
      <c r="F3038" t="s">
        <v>45</v>
      </c>
      <c r="G3038" s="3">
        <f t="shared" si="355"/>
        <v>-76.4315</v>
      </c>
      <c r="H3038" s="3">
        <f t="shared" si="356"/>
        <v>76.4315</v>
      </c>
      <c r="I3038" s="5" t="str">
        <f t="shared" si="357"/>
        <v>017</v>
      </c>
      <c r="J3038" s="5" t="str">
        <f t="shared" si="358"/>
        <v>2230</v>
      </c>
      <c r="K3038" s="5" t="str">
        <f t="shared" si="359"/>
        <v>000</v>
      </c>
      <c r="L3038" s="5">
        <f t="shared" si="360"/>
        <v>7</v>
      </c>
      <c r="M3038" s="5">
        <f t="shared" si="361"/>
        <v>2012</v>
      </c>
    </row>
    <row r="3039" spans="1:13" ht="17.45" customHeight="1" x14ac:dyDescent="0.25">
      <c r="A3039" s="1">
        <f>DATE(2012,7,12)</f>
        <v>41102</v>
      </c>
      <c r="B3039" t="s">
        <v>15</v>
      </c>
      <c r="C3039" t="s">
        <v>6</v>
      </c>
      <c r="D3039" s="3">
        <v>8213.5388999999996</v>
      </c>
      <c r="E3039" s="3">
        <v>0</v>
      </c>
      <c r="F3039" t="s">
        <v>45</v>
      </c>
      <c r="G3039" s="3">
        <f t="shared" si="355"/>
        <v>-8213.5388999999996</v>
      </c>
      <c r="H3039" s="3">
        <f t="shared" si="356"/>
        <v>8213.5388999999996</v>
      </c>
      <c r="I3039" s="5" t="str">
        <f t="shared" si="357"/>
        <v>017</v>
      </c>
      <c r="J3039" s="5" t="str">
        <f t="shared" si="358"/>
        <v>2100</v>
      </c>
      <c r="K3039" s="5" t="str">
        <f t="shared" si="359"/>
        <v>000</v>
      </c>
      <c r="L3039" s="5">
        <f t="shared" si="360"/>
        <v>7</v>
      </c>
      <c r="M3039" s="5">
        <f t="shared" si="361"/>
        <v>2012</v>
      </c>
    </row>
    <row r="3040" spans="1:13" ht="17.45" customHeight="1" x14ac:dyDescent="0.25">
      <c r="A3040" s="1">
        <f>DATE(2012,7,12)</f>
        <v>41102</v>
      </c>
      <c r="B3040" t="s">
        <v>16</v>
      </c>
      <c r="C3040" t="s">
        <v>8</v>
      </c>
      <c r="D3040" s="3">
        <v>2677.9189999999999</v>
      </c>
      <c r="E3040" s="3">
        <v>0</v>
      </c>
      <c r="F3040" t="s">
        <v>45</v>
      </c>
      <c r="G3040" s="3">
        <f t="shared" si="355"/>
        <v>-2677.9189999999999</v>
      </c>
      <c r="H3040" s="3">
        <f t="shared" si="356"/>
        <v>2677.9189999999999</v>
      </c>
      <c r="I3040" s="5" t="str">
        <f t="shared" si="357"/>
        <v>017</v>
      </c>
      <c r="J3040" s="5" t="str">
        <f t="shared" si="358"/>
        <v>2210</v>
      </c>
      <c r="K3040" s="5" t="str">
        <f t="shared" si="359"/>
        <v>000</v>
      </c>
      <c r="L3040" s="5">
        <f t="shared" si="360"/>
        <v>7</v>
      </c>
      <c r="M3040" s="5">
        <f t="shared" si="361"/>
        <v>2012</v>
      </c>
    </row>
    <row r="3041" spans="1:13" ht="17.45" customHeight="1" x14ac:dyDescent="0.25">
      <c r="A3041" s="1">
        <f>DATE(2012,7,12)</f>
        <v>41102</v>
      </c>
      <c r="B3041" t="s">
        <v>17</v>
      </c>
      <c r="C3041" t="s">
        <v>9</v>
      </c>
      <c r="D3041" s="3">
        <v>459.68</v>
      </c>
      <c r="E3041" s="3">
        <v>0</v>
      </c>
      <c r="F3041" t="s">
        <v>45</v>
      </c>
      <c r="G3041" s="3">
        <f t="shared" si="355"/>
        <v>-459.68</v>
      </c>
      <c r="H3041" s="3">
        <f t="shared" si="356"/>
        <v>459.68</v>
      </c>
      <c r="I3041" s="5" t="str">
        <f t="shared" si="357"/>
        <v>017</v>
      </c>
      <c r="J3041" s="5" t="str">
        <f t="shared" si="358"/>
        <v>2220</v>
      </c>
      <c r="K3041" s="5" t="str">
        <f t="shared" si="359"/>
        <v>000</v>
      </c>
      <c r="L3041" s="5">
        <f t="shared" si="360"/>
        <v>7</v>
      </c>
      <c r="M3041" s="5">
        <f t="shared" si="361"/>
        <v>2012</v>
      </c>
    </row>
    <row r="3042" spans="1:13" ht="17.45" customHeight="1" x14ac:dyDescent="0.25">
      <c r="A3042" s="1">
        <f>DATE(2012,7,12)</f>
        <v>41102</v>
      </c>
      <c r="B3042" t="s">
        <v>18</v>
      </c>
      <c r="C3042" t="s">
        <v>10</v>
      </c>
      <c r="D3042" s="3">
        <v>147.90600000000001</v>
      </c>
      <c r="E3042" s="3">
        <v>0</v>
      </c>
      <c r="F3042" t="s">
        <v>45</v>
      </c>
      <c r="G3042" s="3">
        <f t="shared" si="355"/>
        <v>-147.90600000000001</v>
      </c>
      <c r="H3042" s="3">
        <f t="shared" si="356"/>
        <v>147.90600000000001</v>
      </c>
      <c r="I3042" s="5" t="str">
        <f t="shared" si="357"/>
        <v>017</v>
      </c>
      <c r="J3042" s="5" t="str">
        <f t="shared" si="358"/>
        <v>2230</v>
      </c>
      <c r="K3042" s="5" t="str">
        <f t="shared" si="359"/>
        <v>000</v>
      </c>
      <c r="L3042" s="5">
        <f t="shared" si="360"/>
        <v>7</v>
      </c>
      <c r="M3042" s="5">
        <f t="shared" si="361"/>
        <v>2012</v>
      </c>
    </row>
    <row r="3043" spans="1:13" ht="17.45" customHeight="1" x14ac:dyDescent="0.25">
      <c r="A3043" s="1">
        <f>DATE(2012,7,13)</f>
        <v>41103</v>
      </c>
      <c r="B3043" t="s">
        <v>15</v>
      </c>
      <c r="C3043" t="s">
        <v>6</v>
      </c>
      <c r="D3043" s="3">
        <v>9080.3274000000001</v>
      </c>
      <c r="E3043" s="3">
        <v>0</v>
      </c>
      <c r="F3043" t="s">
        <v>45</v>
      </c>
      <c r="G3043" s="3">
        <f t="shared" si="355"/>
        <v>-9080.3274000000001</v>
      </c>
      <c r="H3043" s="3">
        <f t="shared" si="356"/>
        <v>9080.3274000000001</v>
      </c>
      <c r="I3043" s="5" t="str">
        <f t="shared" si="357"/>
        <v>017</v>
      </c>
      <c r="J3043" s="5" t="str">
        <f t="shared" si="358"/>
        <v>2100</v>
      </c>
      <c r="K3043" s="5" t="str">
        <f t="shared" si="359"/>
        <v>000</v>
      </c>
      <c r="L3043" s="5">
        <f t="shared" si="360"/>
        <v>7</v>
      </c>
      <c r="M3043" s="5">
        <f t="shared" si="361"/>
        <v>2012</v>
      </c>
    </row>
    <row r="3044" spans="1:13" ht="17.45" customHeight="1" x14ac:dyDescent="0.25">
      <c r="A3044" s="1">
        <f>DATE(2012,7,13)</f>
        <v>41103</v>
      </c>
      <c r="B3044" t="s">
        <v>16</v>
      </c>
      <c r="C3044" t="s">
        <v>8</v>
      </c>
      <c r="D3044" s="3">
        <v>1878.2720000000002</v>
      </c>
      <c r="E3044" s="3">
        <v>0</v>
      </c>
      <c r="F3044" t="s">
        <v>45</v>
      </c>
      <c r="G3044" s="3">
        <f t="shared" si="355"/>
        <v>-1878.2720000000002</v>
      </c>
      <c r="H3044" s="3">
        <f t="shared" si="356"/>
        <v>1878.2720000000002</v>
      </c>
      <c r="I3044" s="5" t="str">
        <f t="shared" si="357"/>
        <v>017</v>
      </c>
      <c r="J3044" s="5" t="str">
        <f t="shared" si="358"/>
        <v>2210</v>
      </c>
      <c r="K3044" s="5" t="str">
        <f t="shared" si="359"/>
        <v>000</v>
      </c>
      <c r="L3044" s="5">
        <f t="shared" si="360"/>
        <v>7</v>
      </c>
      <c r="M3044" s="5">
        <f t="shared" si="361"/>
        <v>2012</v>
      </c>
    </row>
    <row r="3045" spans="1:13" ht="17.45" customHeight="1" x14ac:dyDescent="0.25">
      <c r="A3045" s="1">
        <f>DATE(2012,7,13)</f>
        <v>41103</v>
      </c>
      <c r="B3045" t="s">
        <v>17</v>
      </c>
      <c r="C3045" t="s">
        <v>9</v>
      </c>
      <c r="D3045" s="3">
        <v>492.03000000000003</v>
      </c>
      <c r="E3045" s="3">
        <v>0</v>
      </c>
      <c r="F3045" t="s">
        <v>45</v>
      </c>
      <c r="G3045" s="3">
        <f t="shared" si="355"/>
        <v>-492.03000000000003</v>
      </c>
      <c r="H3045" s="3">
        <f t="shared" si="356"/>
        <v>492.03000000000003</v>
      </c>
      <c r="I3045" s="5" t="str">
        <f t="shared" si="357"/>
        <v>017</v>
      </c>
      <c r="J3045" s="5" t="str">
        <f t="shared" si="358"/>
        <v>2220</v>
      </c>
      <c r="K3045" s="5" t="str">
        <f t="shared" si="359"/>
        <v>000</v>
      </c>
      <c r="L3045" s="5">
        <f t="shared" si="360"/>
        <v>7</v>
      </c>
      <c r="M3045" s="5">
        <f t="shared" si="361"/>
        <v>2012</v>
      </c>
    </row>
    <row r="3046" spans="1:13" ht="17.45" customHeight="1" x14ac:dyDescent="0.25">
      <c r="A3046" s="1">
        <f>DATE(2012,7,13)</f>
        <v>41103</v>
      </c>
      <c r="B3046" t="s">
        <v>18</v>
      </c>
      <c r="C3046" t="s">
        <v>10</v>
      </c>
      <c r="D3046" s="3">
        <v>164.196</v>
      </c>
      <c r="E3046" s="3">
        <v>0</v>
      </c>
      <c r="F3046" t="s">
        <v>45</v>
      </c>
      <c r="G3046" s="3">
        <f t="shared" si="355"/>
        <v>-164.196</v>
      </c>
      <c r="H3046" s="3">
        <f t="shared" si="356"/>
        <v>164.196</v>
      </c>
      <c r="I3046" s="5" t="str">
        <f t="shared" si="357"/>
        <v>017</v>
      </c>
      <c r="J3046" s="5" t="str">
        <f t="shared" si="358"/>
        <v>2230</v>
      </c>
      <c r="K3046" s="5" t="str">
        <f t="shared" si="359"/>
        <v>000</v>
      </c>
      <c r="L3046" s="5">
        <f t="shared" si="360"/>
        <v>7</v>
      </c>
      <c r="M3046" s="5">
        <f t="shared" si="361"/>
        <v>2012</v>
      </c>
    </row>
    <row r="3047" spans="1:13" ht="17.45" customHeight="1" x14ac:dyDescent="0.25">
      <c r="A3047" s="1">
        <f>DATE(2012,7,14)</f>
        <v>41104</v>
      </c>
      <c r="B3047" t="s">
        <v>15</v>
      </c>
      <c r="C3047" t="s">
        <v>6</v>
      </c>
      <c r="D3047" s="3">
        <v>7659.8829999999998</v>
      </c>
      <c r="E3047" s="3">
        <v>0</v>
      </c>
      <c r="F3047" t="s">
        <v>45</v>
      </c>
      <c r="G3047" s="3">
        <f t="shared" si="355"/>
        <v>-7659.8829999999998</v>
      </c>
      <c r="H3047" s="3">
        <f t="shared" si="356"/>
        <v>7659.8829999999998</v>
      </c>
      <c r="I3047" s="5" t="str">
        <f t="shared" si="357"/>
        <v>017</v>
      </c>
      <c r="J3047" s="5" t="str">
        <f t="shared" si="358"/>
        <v>2100</v>
      </c>
      <c r="K3047" s="5" t="str">
        <f t="shared" si="359"/>
        <v>000</v>
      </c>
      <c r="L3047" s="5">
        <f t="shared" si="360"/>
        <v>7</v>
      </c>
      <c r="M3047" s="5">
        <f t="shared" si="361"/>
        <v>2012</v>
      </c>
    </row>
    <row r="3048" spans="1:13" ht="17.45" customHeight="1" x14ac:dyDescent="0.25">
      <c r="A3048" s="1">
        <f>DATE(2012,7,14)</f>
        <v>41104</v>
      </c>
      <c r="B3048" t="s">
        <v>16</v>
      </c>
      <c r="C3048" t="s">
        <v>8</v>
      </c>
      <c r="D3048" s="3">
        <v>2426.9410000000003</v>
      </c>
      <c r="E3048" s="3">
        <v>0</v>
      </c>
      <c r="F3048" t="s">
        <v>45</v>
      </c>
      <c r="G3048" s="3">
        <f t="shared" si="355"/>
        <v>-2426.9410000000003</v>
      </c>
      <c r="H3048" s="3">
        <f t="shared" si="356"/>
        <v>2426.9410000000003</v>
      </c>
      <c r="I3048" s="5" t="str">
        <f t="shared" si="357"/>
        <v>017</v>
      </c>
      <c r="J3048" s="5" t="str">
        <f t="shared" si="358"/>
        <v>2210</v>
      </c>
      <c r="K3048" s="5" t="str">
        <f t="shared" si="359"/>
        <v>000</v>
      </c>
      <c r="L3048" s="5">
        <f t="shared" si="360"/>
        <v>7</v>
      </c>
      <c r="M3048" s="5">
        <f t="shared" si="361"/>
        <v>2012</v>
      </c>
    </row>
    <row r="3049" spans="1:13" ht="17.45" customHeight="1" x14ac:dyDescent="0.25">
      <c r="A3049" s="1">
        <f>DATE(2012,7,14)</f>
        <v>41104</v>
      </c>
      <c r="B3049" t="s">
        <v>17</v>
      </c>
      <c r="C3049" t="s">
        <v>9</v>
      </c>
      <c r="D3049" s="3">
        <v>355.78249999999997</v>
      </c>
      <c r="E3049" s="3">
        <v>0</v>
      </c>
      <c r="F3049" t="s">
        <v>45</v>
      </c>
      <c r="G3049" s="3">
        <f t="shared" si="355"/>
        <v>-355.78249999999997</v>
      </c>
      <c r="H3049" s="3">
        <f t="shared" si="356"/>
        <v>355.78249999999997</v>
      </c>
      <c r="I3049" s="5" t="str">
        <f t="shared" si="357"/>
        <v>017</v>
      </c>
      <c r="J3049" s="5" t="str">
        <f t="shared" si="358"/>
        <v>2220</v>
      </c>
      <c r="K3049" s="5" t="str">
        <f t="shared" si="359"/>
        <v>000</v>
      </c>
      <c r="L3049" s="5">
        <f t="shared" si="360"/>
        <v>7</v>
      </c>
      <c r="M3049" s="5">
        <f t="shared" si="361"/>
        <v>2012</v>
      </c>
    </row>
    <row r="3050" spans="1:13" ht="17.45" customHeight="1" x14ac:dyDescent="0.25">
      <c r="A3050" s="1">
        <f>DATE(2012,7,14)</f>
        <v>41104</v>
      </c>
      <c r="B3050" t="s">
        <v>18</v>
      </c>
      <c r="C3050" t="s">
        <v>10</v>
      </c>
      <c r="D3050" s="3">
        <v>81.509999999999991</v>
      </c>
      <c r="E3050" s="3">
        <v>0</v>
      </c>
      <c r="F3050" t="s">
        <v>45</v>
      </c>
      <c r="G3050" s="3">
        <f t="shared" si="355"/>
        <v>-81.509999999999991</v>
      </c>
      <c r="H3050" s="3">
        <f t="shared" si="356"/>
        <v>81.509999999999991</v>
      </c>
      <c r="I3050" s="5" t="str">
        <f t="shared" si="357"/>
        <v>017</v>
      </c>
      <c r="J3050" s="5" t="str">
        <f t="shared" si="358"/>
        <v>2230</v>
      </c>
      <c r="K3050" s="5" t="str">
        <f t="shared" si="359"/>
        <v>000</v>
      </c>
      <c r="L3050" s="5">
        <f t="shared" si="360"/>
        <v>7</v>
      </c>
      <c r="M3050" s="5">
        <f t="shared" si="361"/>
        <v>2012</v>
      </c>
    </row>
    <row r="3051" spans="1:13" ht="17.45" customHeight="1" x14ac:dyDescent="0.25">
      <c r="A3051" s="1">
        <f>DATE(2012,7,15)</f>
        <v>41105</v>
      </c>
      <c r="B3051" t="s">
        <v>15</v>
      </c>
      <c r="C3051" t="s">
        <v>6</v>
      </c>
      <c r="D3051" s="3">
        <v>4996.5312000000004</v>
      </c>
      <c r="E3051" s="3">
        <v>0</v>
      </c>
      <c r="F3051" t="s">
        <v>45</v>
      </c>
      <c r="G3051" s="3">
        <f t="shared" si="355"/>
        <v>-4996.5312000000004</v>
      </c>
      <c r="H3051" s="3">
        <f t="shared" si="356"/>
        <v>4996.5312000000004</v>
      </c>
      <c r="I3051" s="5" t="str">
        <f t="shared" si="357"/>
        <v>017</v>
      </c>
      <c r="J3051" s="5" t="str">
        <f t="shared" si="358"/>
        <v>2100</v>
      </c>
      <c r="K3051" s="5" t="str">
        <f t="shared" si="359"/>
        <v>000</v>
      </c>
      <c r="L3051" s="5">
        <f t="shared" si="360"/>
        <v>7</v>
      </c>
      <c r="M3051" s="5">
        <f t="shared" si="361"/>
        <v>2012</v>
      </c>
    </row>
    <row r="3052" spans="1:13" ht="17.45" customHeight="1" x14ac:dyDescent="0.25">
      <c r="A3052" s="1">
        <f>DATE(2012,7,15)</f>
        <v>41105</v>
      </c>
      <c r="B3052" t="s">
        <v>16</v>
      </c>
      <c r="C3052" t="s">
        <v>8</v>
      </c>
      <c r="D3052" s="3">
        <v>697.90000000000009</v>
      </c>
      <c r="E3052" s="3">
        <v>0</v>
      </c>
      <c r="F3052" t="s">
        <v>45</v>
      </c>
      <c r="G3052" s="3">
        <f t="shared" si="355"/>
        <v>-697.90000000000009</v>
      </c>
      <c r="H3052" s="3">
        <f t="shared" si="356"/>
        <v>697.90000000000009</v>
      </c>
      <c r="I3052" s="5" t="str">
        <f t="shared" si="357"/>
        <v>017</v>
      </c>
      <c r="J3052" s="5" t="str">
        <f t="shared" si="358"/>
        <v>2210</v>
      </c>
      <c r="K3052" s="5" t="str">
        <f t="shared" si="359"/>
        <v>000</v>
      </c>
      <c r="L3052" s="5">
        <f t="shared" si="360"/>
        <v>7</v>
      </c>
      <c r="M3052" s="5">
        <f t="shared" si="361"/>
        <v>2012</v>
      </c>
    </row>
    <row r="3053" spans="1:13" ht="17.45" customHeight="1" x14ac:dyDescent="0.25">
      <c r="A3053" s="1">
        <f>DATE(2012,7,15)</f>
        <v>41105</v>
      </c>
      <c r="B3053" t="s">
        <v>17</v>
      </c>
      <c r="C3053" t="s">
        <v>9</v>
      </c>
      <c r="D3053" s="3">
        <v>321.315</v>
      </c>
      <c r="E3053" s="3">
        <v>0</v>
      </c>
      <c r="F3053" t="s">
        <v>45</v>
      </c>
      <c r="G3053" s="3">
        <f t="shared" si="355"/>
        <v>-321.315</v>
      </c>
      <c r="H3053" s="3">
        <f t="shared" si="356"/>
        <v>321.315</v>
      </c>
      <c r="I3053" s="5" t="str">
        <f t="shared" si="357"/>
        <v>017</v>
      </c>
      <c r="J3053" s="5" t="str">
        <f t="shared" si="358"/>
        <v>2220</v>
      </c>
      <c r="K3053" s="5" t="str">
        <f t="shared" si="359"/>
        <v>000</v>
      </c>
      <c r="L3053" s="5">
        <f t="shared" si="360"/>
        <v>7</v>
      </c>
      <c r="M3053" s="5">
        <f t="shared" si="361"/>
        <v>2012</v>
      </c>
    </row>
    <row r="3054" spans="1:13" ht="17.45" customHeight="1" x14ac:dyDescent="0.25">
      <c r="A3054" s="1">
        <f>DATE(2012,7,15)</f>
        <v>41105</v>
      </c>
      <c r="B3054" t="s">
        <v>18</v>
      </c>
      <c r="C3054" t="s">
        <v>10</v>
      </c>
      <c r="D3054" s="3">
        <v>41.819000000000003</v>
      </c>
      <c r="E3054" s="3">
        <v>0</v>
      </c>
      <c r="F3054" t="s">
        <v>45</v>
      </c>
      <c r="G3054" s="3">
        <f t="shared" si="355"/>
        <v>-41.819000000000003</v>
      </c>
      <c r="H3054" s="3">
        <f t="shared" si="356"/>
        <v>41.819000000000003</v>
      </c>
      <c r="I3054" s="5" t="str">
        <f t="shared" si="357"/>
        <v>017</v>
      </c>
      <c r="J3054" s="5" t="str">
        <f t="shared" si="358"/>
        <v>2230</v>
      </c>
      <c r="K3054" s="5" t="str">
        <f t="shared" si="359"/>
        <v>000</v>
      </c>
      <c r="L3054" s="5">
        <f t="shared" si="360"/>
        <v>7</v>
      </c>
      <c r="M3054" s="5">
        <f t="shared" si="361"/>
        <v>2012</v>
      </c>
    </row>
    <row r="3055" spans="1:13" ht="17.45" customHeight="1" x14ac:dyDescent="0.25">
      <c r="A3055" s="1">
        <f>DATE(2012,7,9)</f>
        <v>41099</v>
      </c>
      <c r="B3055" t="s">
        <v>19</v>
      </c>
      <c r="C3055" t="s">
        <v>6</v>
      </c>
      <c r="D3055" s="3">
        <v>3348.4288000000001</v>
      </c>
      <c r="E3055" s="3">
        <v>0</v>
      </c>
      <c r="F3055" t="s">
        <v>45</v>
      </c>
      <c r="G3055" s="3">
        <f t="shared" si="355"/>
        <v>-3348.4288000000001</v>
      </c>
      <c r="H3055" s="3">
        <f t="shared" si="356"/>
        <v>3348.4288000000001</v>
      </c>
      <c r="I3055" s="5" t="str">
        <f t="shared" si="357"/>
        <v>018</v>
      </c>
      <c r="J3055" s="5" t="str">
        <f t="shared" si="358"/>
        <v>2100</v>
      </c>
      <c r="K3055" s="5" t="str">
        <f t="shared" si="359"/>
        <v>000</v>
      </c>
      <c r="L3055" s="5">
        <f t="shared" si="360"/>
        <v>7</v>
      </c>
      <c r="M3055" s="5">
        <f t="shared" si="361"/>
        <v>2012</v>
      </c>
    </row>
    <row r="3056" spans="1:13" ht="17.45" customHeight="1" x14ac:dyDescent="0.25">
      <c r="A3056" s="1">
        <f>DATE(2012,7,9)</f>
        <v>41099</v>
      </c>
      <c r="B3056" t="s">
        <v>20</v>
      </c>
      <c r="C3056" t="s">
        <v>8</v>
      </c>
      <c r="D3056" s="3">
        <v>619.32150000000001</v>
      </c>
      <c r="E3056" s="3">
        <v>0</v>
      </c>
      <c r="F3056" t="s">
        <v>45</v>
      </c>
      <c r="G3056" s="3">
        <f t="shared" si="355"/>
        <v>-619.32150000000001</v>
      </c>
      <c r="H3056" s="3">
        <f t="shared" si="356"/>
        <v>619.32150000000001</v>
      </c>
      <c r="I3056" s="5" t="str">
        <f t="shared" si="357"/>
        <v>018</v>
      </c>
      <c r="J3056" s="5" t="str">
        <f t="shared" si="358"/>
        <v>2210</v>
      </c>
      <c r="K3056" s="5" t="str">
        <f t="shared" si="359"/>
        <v>000</v>
      </c>
      <c r="L3056" s="5">
        <f t="shared" si="360"/>
        <v>7</v>
      </c>
      <c r="M3056" s="5">
        <f t="shared" si="361"/>
        <v>2012</v>
      </c>
    </row>
    <row r="3057" spans="1:13" ht="17.45" customHeight="1" x14ac:dyDescent="0.25">
      <c r="A3057" s="1">
        <f>DATE(2012,7,9)</f>
        <v>41099</v>
      </c>
      <c r="B3057" t="s">
        <v>21</v>
      </c>
      <c r="C3057" t="s">
        <v>9</v>
      </c>
      <c r="D3057" s="3">
        <v>133.26949999999999</v>
      </c>
      <c r="E3057" s="3">
        <v>0</v>
      </c>
      <c r="F3057" t="s">
        <v>45</v>
      </c>
      <c r="G3057" s="3">
        <f t="shared" si="355"/>
        <v>-133.26949999999999</v>
      </c>
      <c r="H3057" s="3">
        <f t="shared" si="356"/>
        <v>133.26949999999999</v>
      </c>
      <c r="I3057" s="5" t="str">
        <f t="shared" si="357"/>
        <v>018</v>
      </c>
      <c r="J3057" s="5" t="str">
        <f t="shared" si="358"/>
        <v>2220</v>
      </c>
      <c r="K3057" s="5" t="str">
        <f t="shared" si="359"/>
        <v>000</v>
      </c>
      <c r="L3057" s="5">
        <f t="shared" si="360"/>
        <v>7</v>
      </c>
      <c r="M3057" s="5">
        <f t="shared" si="361"/>
        <v>2012</v>
      </c>
    </row>
    <row r="3058" spans="1:13" ht="17.45" customHeight="1" x14ac:dyDescent="0.25">
      <c r="A3058" s="1">
        <f>DATE(2012,7,9)</f>
        <v>41099</v>
      </c>
      <c r="B3058" t="s">
        <v>22</v>
      </c>
      <c r="C3058" t="s">
        <v>10</v>
      </c>
      <c r="D3058" s="3">
        <v>29.939999999999998</v>
      </c>
      <c r="E3058" s="3">
        <v>0</v>
      </c>
      <c r="F3058" t="s">
        <v>45</v>
      </c>
      <c r="G3058" s="3">
        <f t="shared" si="355"/>
        <v>-29.939999999999998</v>
      </c>
      <c r="H3058" s="3">
        <f t="shared" si="356"/>
        <v>29.939999999999998</v>
      </c>
      <c r="I3058" s="5" t="str">
        <f t="shared" si="357"/>
        <v>018</v>
      </c>
      <c r="J3058" s="5" t="str">
        <f t="shared" si="358"/>
        <v>2230</v>
      </c>
      <c r="K3058" s="5" t="str">
        <f t="shared" si="359"/>
        <v>000</v>
      </c>
      <c r="L3058" s="5">
        <f t="shared" si="360"/>
        <v>7</v>
      </c>
      <c r="M3058" s="5">
        <f t="shared" si="361"/>
        <v>2012</v>
      </c>
    </row>
    <row r="3059" spans="1:13" ht="17.45" customHeight="1" x14ac:dyDescent="0.25">
      <c r="A3059" s="1">
        <f>DATE(2012,7,10)</f>
        <v>41100</v>
      </c>
      <c r="B3059" t="s">
        <v>19</v>
      </c>
      <c r="C3059" t="s">
        <v>6</v>
      </c>
      <c r="D3059" s="3">
        <v>3965.0679999999998</v>
      </c>
      <c r="E3059" s="3">
        <v>0</v>
      </c>
      <c r="F3059" t="s">
        <v>45</v>
      </c>
      <c r="G3059" s="3">
        <f t="shared" si="355"/>
        <v>-3965.0679999999998</v>
      </c>
      <c r="H3059" s="3">
        <f t="shared" si="356"/>
        <v>3965.0679999999998</v>
      </c>
      <c r="I3059" s="5" t="str">
        <f t="shared" si="357"/>
        <v>018</v>
      </c>
      <c r="J3059" s="5" t="str">
        <f t="shared" si="358"/>
        <v>2100</v>
      </c>
      <c r="K3059" s="5" t="str">
        <f t="shared" si="359"/>
        <v>000</v>
      </c>
      <c r="L3059" s="5">
        <f t="shared" si="360"/>
        <v>7</v>
      </c>
      <c r="M3059" s="5">
        <f t="shared" si="361"/>
        <v>2012</v>
      </c>
    </row>
    <row r="3060" spans="1:13" ht="17.45" customHeight="1" x14ac:dyDescent="0.25">
      <c r="A3060" s="1">
        <f>DATE(2012,7,10)</f>
        <v>41100</v>
      </c>
      <c r="B3060" t="s">
        <v>20</v>
      </c>
      <c r="C3060" t="s">
        <v>8</v>
      </c>
      <c r="D3060" s="3">
        <v>1094.3620000000001</v>
      </c>
      <c r="E3060" s="3">
        <v>0</v>
      </c>
      <c r="F3060" t="s">
        <v>45</v>
      </c>
      <c r="G3060" s="3">
        <f t="shared" si="355"/>
        <v>-1094.3620000000001</v>
      </c>
      <c r="H3060" s="3">
        <f t="shared" si="356"/>
        <v>1094.3620000000001</v>
      </c>
      <c r="I3060" s="5" t="str">
        <f t="shared" si="357"/>
        <v>018</v>
      </c>
      <c r="J3060" s="5" t="str">
        <f t="shared" si="358"/>
        <v>2210</v>
      </c>
      <c r="K3060" s="5" t="str">
        <f t="shared" si="359"/>
        <v>000</v>
      </c>
      <c r="L3060" s="5">
        <f t="shared" si="360"/>
        <v>7</v>
      </c>
      <c r="M3060" s="5">
        <f t="shared" si="361"/>
        <v>2012</v>
      </c>
    </row>
    <row r="3061" spans="1:13" ht="17.45" customHeight="1" x14ac:dyDescent="0.25">
      <c r="A3061" s="1">
        <f>DATE(2012,7,10)</f>
        <v>41100</v>
      </c>
      <c r="B3061" t="s">
        <v>21</v>
      </c>
      <c r="C3061" t="s">
        <v>9</v>
      </c>
      <c r="D3061" s="3">
        <v>183.05500000000001</v>
      </c>
      <c r="E3061" s="3">
        <v>0</v>
      </c>
      <c r="F3061" t="s">
        <v>45</v>
      </c>
      <c r="G3061" s="3">
        <f t="shared" si="355"/>
        <v>-183.05500000000001</v>
      </c>
      <c r="H3061" s="3">
        <f t="shared" si="356"/>
        <v>183.05500000000001</v>
      </c>
      <c r="I3061" s="5" t="str">
        <f t="shared" si="357"/>
        <v>018</v>
      </c>
      <c r="J3061" s="5" t="str">
        <f t="shared" si="358"/>
        <v>2220</v>
      </c>
      <c r="K3061" s="5" t="str">
        <f t="shared" si="359"/>
        <v>000</v>
      </c>
      <c r="L3061" s="5">
        <f t="shared" si="360"/>
        <v>7</v>
      </c>
      <c r="M3061" s="5">
        <f t="shared" si="361"/>
        <v>2012</v>
      </c>
    </row>
    <row r="3062" spans="1:13" ht="17.45" customHeight="1" x14ac:dyDescent="0.25">
      <c r="A3062" s="1">
        <f>DATE(2012,7,10)</f>
        <v>41100</v>
      </c>
      <c r="B3062" t="s">
        <v>22</v>
      </c>
      <c r="C3062" t="s">
        <v>10</v>
      </c>
      <c r="D3062" s="3">
        <v>20.340000000000003</v>
      </c>
      <c r="E3062" s="3">
        <v>0</v>
      </c>
      <c r="F3062" t="s">
        <v>45</v>
      </c>
      <c r="G3062" s="3">
        <f t="shared" si="355"/>
        <v>-20.340000000000003</v>
      </c>
      <c r="H3062" s="3">
        <f t="shared" si="356"/>
        <v>20.340000000000003</v>
      </c>
      <c r="I3062" s="5" t="str">
        <f t="shared" si="357"/>
        <v>018</v>
      </c>
      <c r="J3062" s="5" t="str">
        <f t="shared" si="358"/>
        <v>2230</v>
      </c>
      <c r="K3062" s="5" t="str">
        <f t="shared" si="359"/>
        <v>000</v>
      </c>
      <c r="L3062" s="5">
        <f t="shared" si="360"/>
        <v>7</v>
      </c>
      <c r="M3062" s="5">
        <f t="shared" si="361"/>
        <v>2012</v>
      </c>
    </row>
    <row r="3063" spans="1:13" ht="17.45" customHeight="1" x14ac:dyDescent="0.25">
      <c r="A3063" s="1">
        <f>DATE(2012,7,11)</f>
        <v>41101</v>
      </c>
      <c r="B3063" t="s">
        <v>19</v>
      </c>
      <c r="C3063" t="s">
        <v>6</v>
      </c>
      <c r="D3063" s="3">
        <v>4862.8059999999996</v>
      </c>
      <c r="E3063" s="3">
        <v>0</v>
      </c>
      <c r="F3063" t="s">
        <v>45</v>
      </c>
      <c r="G3063" s="3">
        <f t="shared" si="355"/>
        <v>-4862.8059999999996</v>
      </c>
      <c r="H3063" s="3">
        <f t="shared" si="356"/>
        <v>4862.8059999999996</v>
      </c>
      <c r="I3063" s="5" t="str">
        <f t="shared" si="357"/>
        <v>018</v>
      </c>
      <c r="J3063" s="5" t="str">
        <f t="shared" si="358"/>
        <v>2100</v>
      </c>
      <c r="K3063" s="5" t="str">
        <f t="shared" si="359"/>
        <v>000</v>
      </c>
      <c r="L3063" s="5">
        <f t="shared" si="360"/>
        <v>7</v>
      </c>
      <c r="M3063" s="5">
        <f t="shared" si="361"/>
        <v>2012</v>
      </c>
    </row>
    <row r="3064" spans="1:13" ht="17.45" customHeight="1" x14ac:dyDescent="0.25">
      <c r="A3064" s="1">
        <f>DATE(2012,7,11)</f>
        <v>41101</v>
      </c>
      <c r="B3064" t="s">
        <v>20</v>
      </c>
      <c r="C3064" t="s">
        <v>8</v>
      </c>
      <c r="D3064" s="3">
        <v>1390.8150000000001</v>
      </c>
      <c r="E3064" s="3">
        <v>0</v>
      </c>
      <c r="F3064" t="s">
        <v>45</v>
      </c>
      <c r="G3064" s="3">
        <f t="shared" si="355"/>
        <v>-1390.8150000000001</v>
      </c>
      <c r="H3064" s="3">
        <f t="shared" si="356"/>
        <v>1390.8150000000001</v>
      </c>
      <c r="I3064" s="5" t="str">
        <f t="shared" si="357"/>
        <v>018</v>
      </c>
      <c r="J3064" s="5" t="str">
        <f t="shared" si="358"/>
        <v>2210</v>
      </c>
      <c r="K3064" s="5" t="str">
        <f t="shared" si="359"/>
        <v>000</v>
      </c>
      <c r="L3064" s="5">
        <f t="shared" si="360"/>
        <v>7</v>
      </c>
      <c r="M3064" s="5">
        <f t="shared" si="361"/>
        <v>2012</v>
      </c>
    </row>
    <row r="3065" spans="1:13" ht="17.45" customHeight="1" x14ac:dyDescent="0.25">
      <c r="A3065" s="1">
        <f>DATE(2012,7,11)</f>
        <v>41101</v>
      </c>
      <c r="B3065" t="s">
        <v>21</v>
      </c>
      <c r="C3065" t="s">
        <v>9</v>
      </c>
      <c r="D3065" s="3">
        <v>181.90200000000002</v>
      </c>
      <c r="E3065" s="3">
        <v>0</v>
      </c>
      <c r="F3065" t="s">
        <v>45</v>
      </c>
      <c r="G3065" s="3">
        <f t="shared" si="355"/>
        <v>-181.90200000000002</v>
      </c>
      <c r="H3065" s="3">
        <f t="shared" si="356"/>
        <v>181.90200000000002</v>
      </c>
      <c r="I3065" s="5" t="str">
        <f t="shared" si="357"/>
        <v>018</v>
      </c>
      <c r="J3065" s="5" t="str">
        <f t="shared" si="358"/>
        <v>2220</v>
      </c>
      <c r="K3065" s="5" t="str">
        <f t="shared" si="359"/>
        <v>000</v>
      </c>
      <c r="L3065" s="5">
        <f t="shared" si="360"/>
        <v>7</v>
      </c>
      <c r="M3065" s="5">
        <f t="shared" si="361"/>
        <v>2012</v>
      </c>
    </row>
    <row r="3066" spans="1:13" ht="17.45" customHeight="1" x14ac:dyDescent="0.25">
      <c r="A3066" s="1">
        <f>DATE(2012,7,11)</f>
        <v>41101</v>
      </c>
      <c r="B3066" t="s">
        <v>22</v>
      </c>
      <c r="C3066" t="s">
        <v>10</v>
      </c>
      <c r="D3066" s="3">
        <v>43.228499999999997</v>
      </c>
      <c r="E3066" s="3">
        <v>0</v>
      </c>
      <c r="F3066" t="s">
        <v>45</v>
      </c>
      <c r="G3066" s="3">
        <f t="shared" si="355"/>
        <v>-43.228499999999997</v>
      </c>
      <c r="H3066" s="3">
        <f t="shared" si="356"/>
        <v>43.228499999999997</v>
      </c>
      <c r="I3066" s="5" t="str">
        <f t="shared" si="357"/>
        <v>018</v>
      </c>
      <c r="J3066" s="5" t="str">
        <f t="shared" si="358"/>
        <v>2230</v>
      </c>
      <c r="K3066" s="5" t="str">
        <f t="shared" si="359"/>
        <v>000</v>
      </c>
      <c r="L3066" s="5">
        <f t="shared" si="360"/>
        <v>7</v>
      </c>
      <c r="M3066" s="5">
        <f t="shared" si="361"/>
        <v>2012</v>
      </c>
    </row>
    <row r="3067" spans="1:13" ht="17.45" customHeight="1" x14ac:dyDescent="0.25">
      <c r="A3067" s="1">
        <f>DATE(2012,7,12)</f>
        <v>41102</v>
      </c>
      <c r="B3067" t="s">
        <v>19</v>
      </c>
      <c r="C3067" t="s">
        <v>6</v>
      </c>
      <c r="D3067" s="3">
        <v>6882.6230000000005</v>
      </c>
      <c r="E3067" s="3">
        <v>0</v>
      </c>
      <c r="F3067" t="s">
        <v>45</v>
      </c>
      <c r="G3067" s="3">
        <f t="shared" si="355"/>
        <v>-6882.6230000000005</v>
      </c>
      <c r="H3067" s="3">
        <f t="shared" si="356"/>
        <v>6882.6230000000005</v>
      </c>
      <c r="I3067" s="5" t="str">
        <f t="shared" si="357"/>
        <v>018</v>
      </c>
      <c r="J3067" s="5" t="str">
        <f t="shared" si="358"/>
        <v>2100</v>
      </c>
      <c r="K3067" s="5" t="str">
        <f t="shared" si="359"/>
        <v>000</v>
      </c>
      <c r="L3067" s="5">
        <f t="shared" si="360"/>
        <v>7</v>
      </c>
      <c r="M3067" s="5">
        <f t="shared" si="361"/>
        <v>2012</v>
      </c>
    </row>
    <row r="3068" spans="1:13" ht="17.45" customHeight="1" x14ac:dyDescent="0.25">
      <c r="A3068" s="1">
        <f>DATE(2012,7,12)</f>
        <v>41102</v>
      </c>
      <c r="B3068" t="s">
        <v>20</v>
      </c>
      <c r="C3068" t="s">
        <v>8</v>
      </c>
      <c r="D3068" s="3">
        <v>1049.5965000000001</v>
      </c>
      <c r="E3068" s="3">
        <v>0</v>
      </c>
      <c r="F3068" t="s">
        <v>45</v>
      </c>
      <c r="G3068" s="3">
        <f t="shared" si="355"/>
        <v>-1049.5965000000001</v>
      </c>
      <c r="H3068" s="3">
        <f t="shared" si="356"/>
        <v>1049.5965000000001</v>
      </c>
      <c r="I3068" s="5" t="str">
        <f t="shared" si="357"/>
        <v>018</v>
      </c>
      <c r="J3068" s="5" t="str">
        <f t="shared" si="358"/>
        <v>2210</v>
      </c>
      <c r="K3068" s="5" t="str">
        <f t="shared" si="359"/>
        <v>000</v>
      </c>
      <c r="L3068" s="5">
        <f t="shared" si="360"/>
        <v>7</v>
      </c>
      <c r="M3068" s="5">
        <f t="shared" si="361"/>
        <v>2012</v>
      </c>
    </row>
    <row r="3069" spans="1:13" ht="17.45" customHeight="1" x14ac:dyDescent="0.25">
      <c r="A3069" s="1">
        <f>DATE(2012,7,12)</f>
        <v>41102</v>
      </c>
      <c r="B3069" t="s">
        <v>21</v>
      </c>
      <c r="C3069" t="s">
        <v>9</v>
      </c>
      <c r="D3069" s="3">
        <v>309.49599999999998</v>
      </c>
      <c r="E3069" s="3">
        <v>0</v>
      </c>
      <c r="F3069" t="s">
        <v>45</v>
      </c>
      <c r="G3069" s="3">
        <f t="shared" si="355"/>
        <v>-309.49599999999998</v>
      </c>
      <c r="H3069" s="3">
        <f t="shared" si="356"/>
        <v>309.49599999999998</v>
      </c>
      <c r="I3069" s="5" t="str">
        <f t="shared" si="357"/>
        <v>018</v>
      </c>
      <c r="J3069" s="5" t="str">
        <f t="shared" si="358"/>
        <v>2220</v>
      </c>
      <c r="K3069" s="5" t="str">
        <f t="shared" si="359"/>
        <v>000</v>
      </c>
      <c r="L3069" s="5">
        <f t="shared" si="360"/>
        <v>7</v>
      </c>
      <c r="M3069" s="5">
        <f t="shared" si="361"/>
        <v>2012</v>
      </c>
    </row>
    <row r="3070" spans="1:13" ht="17.45" customHeight="1" x14ac:dyDescent="0.25">
      <c r="A3070" s="1">
        <f>DATE(2012,7,12)</f>
        <v>41102</v>
      </c>
      <c r="B3070" t="s">
        <v>22</v>
      </c>
      <c r="C3070" t="s">
        <v>10</v>
      </c>
      <c r="D3070" s="3">
        <v>55.215000000000003</v>
      </c>
      <c r="E3070" s="3">
        <v>0</v>
      </c>
      <c r="F3070" t="s">
        <v>45</v>
      </c>
      <c r="G3070" s="3">
        <f t="shared" si="355"/>
        <v>-55.215000000000003</v>
      </c>
      <c r="H3070" s="3">
        <f t="shared" si="356"/>
        <v>55.215000000000003</v>
      </c>
      <c r="I3070" s="5" t="str">
        <f t="shared" si="357"/>
        <v>018</v>
      </c>
      <c r="J3070" s="5" t="str">
        <f t="shared" si="358"/>
        <v>2230</v>
      </c>
      <c r="K3070" s="5" t="str">
        <f t="shared" si="359"/>
        <v>000</v>
      </c>
      <c r="L3070" s="5">
        <f t="shared" si="360"/>
        <v>7</v>
      </c>
      <c r="M3070" s="5">
        <f t="shared" si="361"/>
        <v>2012</v>
      </c>
    </row>
    <row r="3071" spans="1:13" ht="17.45" customHeight="1" x14ac:dyDescent="0.25">
      <c r="A3071" s="1">
        <f>DATE(2012,7,13)</f>
        <v>41103</v>
      </c>
      <c r="B3071" t="s">
        <v>19</v>
      </c>
      <c r="C3071" t="s">
        <v>6</v>
      </c>
      <c r="D3071" s="3">
        <v>12884.137499999999</v>
      </c>
      <c r="E3071" s="3">
        <v>0</v>
      </c>
      <c r="F3071" t="s">
        <v>45</v>
      </c>
      <c r="G3071" s="3">
        <f t="shared" si="355"/>
        <v>-12884.137499999999</v>
      </c>
      <c r="H3071" s="3">
        <f t="shared" si="356"/>
        <v>12884.137499999999</v>
      </c>
      <c r="I3071" s="5" t="str">
        <f t="shared" si="357"/>
        <v>018</v>
      </c>
      <c r="J3071" s="5" t="str">
        <f t="shared" si="358"/>
        <v>2100</v>
      </c>
      <c r="K3071" s="5" t="str">
        <f t="shared" si="359"/>
        <v>000</v>
      </c>
      <c r="L3071" s="5">
        <f t="shared" si="360"/>
        <v>7</v>
      </c>
      <c r="M3071" s="5">
        <f t="shared" si="361"/>
        <v>2012</v>
      </c>
    </row>
    <row r="3072" spans="1:13" ht="17.45" customHeight="1" x14ac:dyDescent="0.25">
      <c r="A3072" s="1">
        <f>DATE(2012,7,13)</f>
        <v>41103</v>
      </c>
      <c r="B3072" t="s">
        <v>20</v>
      </c>
      <c r="C3072" t="s">
        <v>8</v>
      </c>
      <c r="D3072" s="3">
        <v>2632.991</v>
      </c>
      <c r="E3072" s="3">
        <v>0</v>
      </c>
      <c r="F3072" t="s">
        <v>45</v>
      </c>
      <c r="G3072" s="3">
        <f t="shared" si="355"/>
        <v>-2632.991</v>
      </c>
      <c r="H3072" s="3">
        <f t="shared" si="356"/>
        <v>2632.991</v>
      </c>
      <c r="I3072" s="5" t="str">
        <f t="shared" si="357"/>
        <v>018</v>
      </c>
      <c r="J3072" s="5" t="str">
        <f t="shared" si="358"/>
        <v>2210</v>
      </c>
      <c r="K3072" s="5" t="str">
        <f t="shared" si="359"/>
        <v>000</v>
      </c>
      <c r="L3072" s="5">
        <f t="shared" si="360"/>
        <v>7</v>
      </c>
      <c r="M3072" s="5">
        <f t="shared" si="361"/>
        <v>2012</v>
      </c>
    </row>
    <row r="3073" spans="1:13" ht="17.45" customHeight="1" x14ac:dyDescent="0.25">
      <c r="A3073" s="1">
        <f>DATE(2012,7,13)</f>
        <v>41103</v>
      </c>
      <c r="B3073" t="s">
        <v>21</v>
      </c>
      <c r="C3073" t="s">
        <v>9</v>
      </c>
      <c r="D3073" s="3">
        <v>702.3549999999999</v>
      </c>
      <c r="E3073" s="3">
        <v>0</v>
      </c>
      <c r="F3073" t="s">
        <v>45</v>
      </c>
      <c r="G3073" s="3">
        <f t="shared" si="355"/>
        <v>-702.3549999999999</v>
      </c>
      <c r="H3073" s="3">
        <f t="shared" si="356"/>
        <v>702.3549999999999</v>
      </c>
      <c r="I3073" s="5" t="str">
        <f t="shared" si="357"/>
        <v>018</v>
      </c>
      <c r="J3073" s="5" t="str">
        <f t="shared" si="358"/>
        <v>2220</v>
      </c>
      <c r="K3073" s="5" t="str">
        <f t="shared" si="359"/>
        <v>000</v>
      </c>
      <c r="L3073" s="5">
        <f t="shared" si="360"/>
        <v>7</v>
      </c>
      <c r="M3073" s="5">
        <f t="shared" si="361"/>
        <v>2012</v>
      </c>
    </row>
    <row r="3074" spans="1:13" ht="17.45" customHeight="1" x14ac:dyDescent="0.25">
      <c r="A3074" s="1">
        <f>DATE(2012,7,13)</f>
        <v>41103</v>
      </c>
      <c r="B3074" t="s">
        <v>22</v>
      </c>
      <c r="C3074" t="s">
        <v>10</v>
      </c>
      <c r="D3074" s="3">
        <v>77.120999999999995</v>
      </c>
      <c r="E3074" s="3">
        <v>0</v>
      </c>
      <c r="F3074" t="s">
        <v>45</v>
      </c>
      <c r="G3074" s="3">
        <f t="shared" ref="G3074:G3137" si="362">E3074-D3074</f>
        <v>-77.120999999999995</v>
      </c>
      <c r="H3074" s="3">
        <f t="shared" ref="H3074:H3137" si="363">ABS(G3074)</f>
        <v>77.120999999999995</v>
      </c>
      <c r="I3074" s="5" t="str">
        <f t="shared" ref="I3074:I3137" si="364">MID(B3074,1,3)</f>
        <v>018</v>
      </c>
      <c r="J3074" s="5" t="str">
        <f t="shared" ref="J3074:J3137" si="365">MID(B3074,5,4)</f>
        <v>2230</v>
      </c>
      <c r="K3074" s="5" t="str">
        <f t="shared" ref="K3074:K3137" si="366">MID(B3074,10,3)</f>
        <v>000</v>
      </c>
      <c r="L3074" s="5">
        <f t="shared" ref="L3074:L3137" si="367">MONTH(A3074)</f>
        <v>7</v>
      </c>
      <c r="M3074" s="5">
        <f t="shared" ref="M3074:M3137" si="368">YEAR(A3074)</f>
        <v>2012</v>
      </c>
    </row>
    <row r="3075" spans="1:13" ht="17.45" customHeight="1" x14ac:dyDescent="0.25">
      <c r="A3075" s="1">
        <f>DATE(2012,7,14)</f>
        <v>41104</v>
      </c>
      <c r="B3075" t="s">
        <v>19</v>
      </c>
      <c r="C3075" t="s">
        <v>6</v>
      </c>
      <c r="D3075" s="3">
        <v>14168.602499999999</v>
      </c>
      <c r="E3075" s="3">
        <v>0</v>
      </c>
      <c r="F3075" t="s">
        <v>45</v>
      </c>
      <c r="G3075" s="3">
        <f t="shared" si="362"/>
        <v>-14168.602499999999</v>
      </c>
      <c r="H3075" s="3">
        <f t="shared" si="363"/>
        <v>14168.602499999999</v>
      </c>
      <c r="I3075" s="5" t="str">
        <f t="shared" si="364"/>
        <v>018</v>
      </c>
      <c r="J3075" s="5" t="str">
        <f t="shared" si="365"/>
        <v>2100</v>
      </c>
      <c r="K3075" s="5" t="str">
        <f t="shared" si="366"/>
        <v>000</v>
      </c>
      <c r="L3075" s="5">
        <f t="shared" si="367"/>
        <v>7</v>
      </c>
      <c r="M3075" s="5">
        <f t="shared" si="368"/>
        <v>2012</v>
      </c>
    </row>
    <row r="3076" spans="1:13" ht="17.45" customHeight="1" x14ac:dyDescent="0.25">
      <c r="A3076" s="1">
        <f>DATE(2012,7,14)</f>
        <v>41104</v>
      </c>
      <c r="B3076" t="s">
        <v>20</v>
      </c>
      <c r="C3076" t="s">
        <v>8</v>
      </c>
      <c r="D3076" s="3">
        <v>2984.3924999999999</v>
      </c>
      <c r="E3076" s="3">
        <v>0</v>
      </c>
      <c r="F3076" t="s">
        <v>45</v>
      </c>
      <c r="G3076" s="3">
        <f t="shared" si="362"/>
        <v>-2984.3924999999999</v>
      </c>
      <c r="H3076" s="3">
        <f t="shared" si="363"/>
        <v>2984.3924999999999</v>
      </c>
      <c r="I3076" s="5" t="str">
        <f t="shared" si="364"/>
        <v>018</v>
      </c>
      <c r="J3076" s="5" t="str">
        <f t="shared" si="365"/>
        <v>2210</v>
      </c>
      <c r="K3076" s="5" t="str">
        <f t="shared" si="366"/>
        <v>000</v>
      </c>
      <c r="L3076" s="5">
        <f t="shared" si="367"/>
        <v>7</v>
      </c>
      <c r="M3076" s="5">
        <f t="shared" si="368"/>
        <v>2012</v>
      </c>
    </row>
    <row r="3077" spans="1:13" ht="17.45" customHeight="1" x14ac:dyDescent="0.25">
      <c r="A3077" s="1">
        <f>DATE(2012,7,14)</f>
        <v>41104</v>
      </c>
      <c r="B3077" t="s">
        <v>21</v>
      </c>
      <c r="C3077" t="s">
        <v>9</v>
      </c>
      <c r="D3077" s="3">
        <v>568.94749999999999</v>
      </c>
      <c r="E3077" s="3">
        <v>0</v>
      </c>
      <c r="F3077" t="s">
        <v>45</v>
      </c>
      <c r="G3077" s="3">
        <f t="shared" si="362"/>
        <v>-568.94749999999999</v>
      </c>
      <c r="H3077" s="3">
        <f t="shared" si="363"/>
        <v>568.94749999999999</v>
      </c>
      <c r="I3077" s="5" t="str">
        <f t="shared" si="364"/>
        <v>018</v>
      </c>
      <c r="J3077" s="5" t="str">
        <f t="shared" si="365"/>
        <v>2220</v>
      </c>
      <c r="K3077" s="5" t="str">
        <f t="shared" si="366"/>
        <v>000</v>
      </c>
      <c r="L3077" s="5">
        <f t="shared" si="367"/>
        <v>7</v>
      </c>
      <c r="M3077" s="5">
        <f t="shared" si="368"/>
        <v>2012</v>
      </c>
    </row>
    <row r="3078" spans="1:13" ht="17.45" customHeight="1" x14ac:dyDescent="0.25">
      <c r="A3078" s="1">
        <f>DATE(2012,7,14)</f>
        <v>41104</v>
      </c>
      <c r="B3078" t="s">
        <v>22</v>
      </c>
      <c r="C3078" t="s">
        <v>10</v>
      </c>
      <c r="D3078" s="3">
        <v>128.43600000000001</v>
      </c>
      <c r="E3078" s="3">
        <v>0</v>
      </c>
      <c r="F3078" t="s">
        <v>45</v>
      </c>
      <c r="G3078" s="3">
        <f t="shared" si="362"/>
        <v>-128.43600000000001</v>
      </c>
      <c r="H3078" s="3">
        <f t="shared" si="363"/>
        <v>128.43600000000001</v>
      </c>
      <c r="I3078" s="5" t="str">
        <f t="shared" si="364"/>
        <v>018</v>
      </c>
      <c r="J3078" s="5" t="str">
        <f t="shared" si="365"/>
        <v>2230</v>
      </c>
      <c r="K3078" s="5" t="str">
        <f t="shared" si="366"/>
        <v>000</v>
      </c>
      <c r="L3078" s="5">
        <f t="shared" si="367"/>
        <v>7</v>
      </c>
      <c r="M3078" s="5">
        <f t="shared" si="368"/>
        <v>2012</v>
      </c>
    </row>
    <row r="3079" spans="1:13" ht="17.45" customHeight="1" x14ac:dyDescent="0.25">
      <c r="A3079" s="1">
        <f>DATE(2012,7,15)</f>
        <v>41105</v>
      </c>
      <c r="B3079" t="s">
        <v>19</v>
      </c>
      <c r="C3079" t="s">
        <v>6</v>
      </c>
      <c r="D3079" s="3">
        <v>6262.4759999999987</v>
      </c>
      <c r="E3079" s="3">
        <v>0</v>
      </c>
      <c r="F3079" t="s">
        <v>45</v>
      </c>
      <c r="G3079" s="3">
        <f t="shared" si="362"/>
        <v>-6262.4759999999987</v>
      </c>
      <c r="H3079" s="3">
        <f t="shared" si="363"/>
        <v>6262.4759999999987</v>
      </c>
      <c r="I3079" s="5" t="str">
        <f t="shared" si="364"/>
        <v>018</v>
      </c>
      <c r="J3079" s="5" t="str">
        <f t="shared" si="365"/>
        <v>2100</v>
      </c>
      <c r="K3079" s="5" t="str">
        <f t="shared" si="366"/>
        <v>000</v>
      </c>
      <c r="L3079" s="5">
        <f t="shared" si="367"/>
        <v>7</v>
      </c>
      <c r="M3079" s="5">
        <f t="shared" si="368"/>
        <v>2012</v>
      </c>
    </row>
    <row r="3080" spans="1:13" ht="17.45" customHeight="1" x14ac:dyDescent="0.25">
      <c r="A3080" s="1">
        <f>DATE(2012,7,15)</f>
        <v>41105</v>
      </c>
      <c r="B3080" t="s">
        <v>20</v>
      </c>
      <c r="C3080" t="s">
        <v>8</v>
      </c>
      <c r="D3080" s="3">
        <v>1594.125</v>
      </c>
      <c r="E3080" s="3">
        <v>0</v>
      </c>
      <c r="F3080" t="s">
        <v>45</v>
      </c>
      <c r="G3080" s="3">
        <f t="shared" si="362"/>
        <v>-1594.125</v>
      </c>
      <c r="H3080" s="3">
        <f t="shared" si="363"/>
        <v>1594.125</v>
      </c>
      <c r="I3080" s="5" t="str">
        <f t="shared" si="364"/>
        <v>018</v>
      </c>
      <c r="J3080" s="5" t="str">
        <f t="shared" si="365"/>
        <v>2210</v>
      </c>
      <c r="K3080" s="5" t="str">
        <f t="shared" si="366"/>
        <v>000</v>
      </c>
      <c r="L3080" s="5">
        <f t="shared" si="367"/>
        <v>7</v>
      </c>
      <c r="M3080" s="5">
        <f t="shared" si="368"/>
        <v>2012</v>
      </c>
    </row>
    <row r="3081" spans="1:13" ht="17.45" customHeight="1" x14ac:dyDescent="0.25">
      <c r="A3081" s="1">
        <f>DATE(2012,7,15)</f>
        <v>41105</v>
      </c>
      <c r="B3081" t="s">
        <v>21</v>
      </c>
      <c r="C3081" t="s">
        <v>9</v>
      </c>
      <c r="D3081" s="3">
        <v>333.36</v>
      </c>
      <c r="E3081" s="3">
        <v>0</v>
      </c>
      <c r="F3081" t="s">
        <v>45</v>
      </c>
      <c r="G3081" s="3">
        <f t="shared" si="362"/>
        <v>-333.36</v>
      </c>
      <c r="H3081" s="3">
        <f t="shared" si="363"/>
        <v>333.36</v>
      </c>
      <c r="I3081" s="5" t="str">
        <f t="shared" si="364"/>
        <v>018</v>
      </c>
      <c r="J3081" s="5" t="str">
        <f t="shared" si="365"/>
        <v>2220</v>
      </c>
      <c r="K3081" s="5" t="str">
        <f t="shared" si="366"/>
        <v>000</v>
      </c>
      <c r="L3081" s="5">
        <f t="shared" si="367"/>
        <v>7</v>
      </c>
      <c r="M3081" s="5">
        <f t="shared" si="368"/>
        <v>2012</v>
      </c>
    </row>
    <row r="3082" spans="1:13" ht="17.45" customHeight="1" x14ac:dyDescent="0.25">
      <c r="A3082" s="1">
        <f>DATE(2012,7,15)</f>
        <v>41105</v>
      </c>
      <c r="B3082" t="s">
        <v>22</v>
      </c>
      <c r="C3082" t="s">
        <v>10</v>
      </c>
      <c r="D3082" s="3">
        <v>53.328000000000003</v>
      </c>
      <c r="E3082" s="3">
        <v>0</v>
      </c>
      <c r="F3082" t="s">
        <v>45</v>
      </c>
      <c r="G3082" s="3">
        <f t="shared" si="362"/>
        <v>-53.328000000000003</v>
      </c>
      <c r="H3082" s="3">
        <f t="shared" si="363"/>
        <v>53.328000000000003</v>
      </c>
      <c r="I3082" s="5" t="str">
        <f t="shared" si="364"/>
        <v>018</v>
      </c>
      <c r="J3082" s="5" t="str">
        <f t="shared" si="365"/>
        <v>2230</v>
      </c>
      <c r="K3082" s="5" t="str">
        <f t="shared" si="366"/>
        <v>000</v>
      </c>
      <c r="L3082" s="5">
        <f t="shared" si="367"/>
        <v>7</v>
      </c>
      <c r="M3082" s="5">
        <f t="shared" si="368"/>
        <v>2012</v>
      </c>
    </row>
    <row r="3083" spans="1:13" ht="17.45" customHeight="1" x14ac:dyDescent="0.25">
      <c r="A3083" s="1">
        <f>DATE(2012,7,16)</f>
        <v>41106</v>
      </c>
      <c r="B3083" t="s">
        <v>11</v>
      </c>
      <c r="C3083" t="s">
        <v>6</v>
      </c>
      <c r="D3083" s="3">
        <v>1970.6938999999998</v>
      </c>
      <c r="E3083" s="3">
        <v>0</v>
      </c>
      <c r="F3083" t="s">
        <v>45</v>
      </c>
      <c r="G3083" s="3">
        <f t="shared" si="362"/>
        <v>-1970.6938999999998</v>
      </c>
      <c r="H3083" s="3">
        <f t="shared" si="363"/>
        <v>1970.6938999999998</v>
      </c>
      <c r="I3083" s="5" t="str">
        <f t="shared" si="364"/>
        <v>016</v>
      </c>
      <c r="J3083" s="5" t="str">
        <f t="shared" si="365"/>
        <v>2100</v>
      </c>
      <c r="K3083" s="5" t="str">
        <f t="shared" si="366"/>
        <v>000</v>
      </c>
      <c r="L3083" s="5">
        <f t="shared" si="367"/>
        <v>7</v>
      </c>
      <c r="M3083" s="5">
        <f t="shared" si="368"/>
        <v>2012</v>
      </c>
    </row>
    <row r="3084" spans="1:13" ht="17.45" customHeight="1" x14ac:dyDescent="0.25">
      <c r="A3084" s="1">
        <f>DATE(2012,7,16)</f>
        <v>41106</v>
      </c>
      <c r="B3084" t="s">
        <v>12</v>
      </c>
      <c r="C3084" t="s">
        <v>8</v>
      </c>
      <c r="D3084" s="3">
        <v>580.04100000000005</v>
      </c>
      <c r="E3084" s="3">
        <v>0</v>
      </c>
      <c r="F3084" t="s">
        <v>45</v>
      </c>
      <c r="G3084" s="3">
        <f t="shared" si="362"/>
        <v>-580.04100000000005</v>
      </c>
      <c r="H3084" s="3">
        <f t="shared" si="363"/>
        <v>580.04100000000005</v>
      </c>
      <c r="I3084" s="5" t="str">
        <f t="shared" si="364"/>
        <v>016</v>
      </c>
      <c r="J3084" s="5" t="str">
        <f t="shared" si="365"/>
        <v>2210</v>
      </c>
      <c r="K3084" s="5" t="str">
        <f t="shared" si="366"/>
        <v>000</v>
      </c>
      <c r="L3084" s="5">
        <f t="shared" si="367"/>
        <v>7</v>
      </c>
      <c r="M3084" s="5">
        <f t="shared" si="368"/>
        <v>2012</v>
      </c>
    </row>
    <row r="3085" spans="1:13" ht="17.45" customHeight="1" x14ac:dyDescent="0.25">
      <c r="A3085" s="1">
        <f>DATE(2012,7,16)</f>
        <v>41106</v>
      </c>
      <c r="B3085" t="s">
        <v>13</v>
      </c>
      <c r="C3085" t="s">
        <v>9</v>
      </c>
      <c r="D3085" s="3">
        <v>143.09100000000001</v>
      </c>
      <c r="E3085" s="3">
        <v>0</v>
      </c>
      <c r="F3085" t="s">
        <v>45</v>
      </c>
      <c r="G3085" s="3">
        <f t="shared" si="362"/>
        <v>-143.09100000000001</v>
      </c>
      <c r="H3085" s="3">
        <f t="shared" si="363"/>
        <v>143.09100000000001</v>
      </c>
      <c r="I3085" s="5" t="str">
        <f t="shared" si="364"/>
        <v>016</v>
      </c>
      <c r="J3085" s="5" t="str">
        <f t="shared" si="365"/>
        <v>2220</v>
      </c>
      <c r="K3085" s="5" t="str">
        <f t="shared" si="366"/>
        <v>000</v>
      </c>
      <c r="L3085" s="5">
        <f t="shared" si="367"/>
        <v>7</v>
      </c>
      <c r="M3085" s="5">
        <f t="shared" si="368"/>
        <v>2012</v>
      </c>
    </row>
    <row r="3086" spans="1:13" ht="17.45" customHeight="1" x14ac:dyDescent="0.25">
      <c r="A3086" s="1">
        <f>DATE(2012,7,16)</f>
        <v>41106</v>
      </c>
      <c r="B3086" t="s">
        <v>14</v>
      </c>
      <c r="C3086" t="s">
        <v>10</v>
      </c>
      <c r="D3086" s="3">
        <v>34.555500000000002</v>
      </c>
      <c r="E3086" s="3">
        <v>0</v>
      </c>
      <c r="F3086" t="s">
        <v>45</v>
      </c>
      <c r="G3086" s="3">
        <f t="shared" si="362"/>
        <v>-34.555500000000002</v>
      </c>
      <c r="H3086" s="3">
        <f t="shared" si="363"/>
        <v>34.555500000000002</v>
      </c>
      <c r="I3086" s="5" t="str">
        <f t="shared" si="364"/>
        <v>016</v>
      </c>
      <c r="J3086" s="5" t="str">
        <f t="shared" si="365"/>
        <v>2230</v>
      </c>
      <c r="K3086" s="5" t="str">
        <f t="shared" si="366"/>
        <v>000</v>
      </c>
      <c r="L3086" s="5">
        <f t="shared" si="367"/>
        <v>7</v>
      </c>
      <c r="M3086" s="5">
        <f t="shared" si="368"/>
        <v>2012</v>
      </c>
    </row>
    <row r="3087" spans="1:13" ht="17.45" customHeight="1" x14ac:dyDescent="0.25">
      <c r="A3087" s="1">
        <f>DATE(2012,7,17)</f>
        <v>41107</v>
      </c>
      <c r="B3087" t="s">
        <v>11</v>
      </c>
      <c r="C3087" t="s">
        <v>6</v>
      </c>
      <c r="D3087" s="3">
        <v>4745.8356000000003</v>
      </c>
      <c r="E3087" s="3">
        <v>0</v>
      </c>
      <c r="F3087" t="s">
        <v>45</v>
      </c>
      <c r="G3087" s="3">
        <f t="shared" si="362"/>
        <v>-4745.8356000000003</v>
      </c>
      <c r="H3087" s="3">
        <f t="shared" si="363"/>
        <v>4745.8356000000003</v>
      </c>
      <c r="I3087" s="5" t="str">
        <f t="shared" si="364"/>
        <v>016</v>
      </c>
      <c r="J3087" s="5" t="str">
        <f t="shared" si="365"/>
        <v>2100</v>
      </c>
      <c r="K3087" s="5" t="str">
        <f t="shared" si="366"/>
        <v>000</v>
      </c>
      <c r="L3087" s="5">
        <f t="shared" si="367"/>
        <v>7</v>
      </c>
      <c r="M3087" s="5">
        <f t="shared" si="368"/>
        <v>2012</v>
      </c>
    </row>
    <row r="3088" spans="1:13" ht="17.45" customHeight="1" x14ac:dyDescent="0.25">
      <c r="A3088" s="1">
        <f>DATE(2012,7,17)</f>
        <v>41107</v>
      </c>
      <c r="B3088" t="s">
        <v>12</v>
      </c>
      <c r="C3088" t="s">
        <v>8</v>
      </c>
      <c r="D3088" s="3">
        <v>1951.2639999999999</v>
      </c>
      <c r="E3088" s="3">
        <v>0</v>
      </c>
      <c r="F3088" t="s">
        <v>45</v>
      </c>
      <c r="G3088" s="3">
        <f t="shared" si="362"/>
        <v>-1951.2639999999999</v>
      </c>
      <c r="H3088" s="3">
        <f t="shared" si="363"/>
        <v>1951.2639999999999</v>
      </c>
      <c r="I3088" s="5" t="str">
        <f t="shared" si="364"/>
        <v>016</v>
      </c>
      <c r="J3088" s="5" t="str">
        <f t="shared" si="365"/>
        <v>2210</v>
      </c>
      <c r="K3088" s="5" t="str">
        <f t="shared" si="366"/>
        <v>000</v>
      </c>
      <c r="L3088" s="5">
        <f t="shared" si="367"/>
        <v>7</v>
      </c>
      <c r="M3088" s="5">
        <f t="shared" si="368"/>
        <v>2012</v>
      </c>
    </row>
    <row r="3089" spans="1:13" ht="17.45" customHeight="1" x14ac:dyDescent="0.25">
      <c r="A3089" s="1">
        <f>DATE(2012,7,17)</f>
        <v>41107</v>
      </c>
      <c r="B3089" t="s">
        <v>13</v>
      </c>
      <c r="C3089" t="s">
        <v>9</v>
      </c>
      <c r="D3089" s="3">
        <v>497.11799999999999</v>
      </c>
      <c r="E3089" s="3">
        <v>0</v>
      </c>
      <c r="F3089" t="s">
        <v>45</v>
      </c>
      <c r="G3089" s="3">
        <f t="shared" si="362"/>
        <v>-497.11799999999999</v>
      </c>
      <c r="H3089" s="3">
        <f t="shared" si="363"/>
        <v>497.11799999999999</v>
      </c>
      <c r="I3089" s="5" t="str">
        <f t="shared" si="364"/>
        <v>016</v>
      </c>
      <c r="J3089" s="5" t="str">
        <f t="shared" si="365"/>
        <v>2220</v>
      </c>
      <c r="K3089" s="5" t="str">
        <f t="shared" si="366"/>
        <v>000</v>
      </c>
      <c r="L3089" s="5">
        <f t="shared" si="367"/>
        <v>7</v>
      </c>
      <c r="M3089" s="5">
        <f t="shared" si="368"/>
        <v>2012</v>
      </c>
    </row>
    <row r="3090" spans="1:13" ht="17.45" customHeight="1" x14ac:dyDescent="0.25">
      <c r="A3090" s="1">
        <f>DATE(2012,7,17)</f>
        <v>41107</v>
      </c>
      <c r="B3090" t="s">
        <v>14</v>
      </c>
      <c r="C3090" t="s">
        <v>10</v>
      </c>
      <c r="D3090" s="3">
        <v>145.43550000000002</v>
      </c>
      <c r="E3090" s="3">
        <v>0</v>
      </c>
      <c r="F3090" t="s">
        <v>45</v>
      </c>
      <c r="G3090" s="3">
        <f t="shared" si="362"/>
        <v>-145.43550000000002</v>
      </c>
      <c r="H3090" s="3">
        <f t="shared" si="363"/>
        <v>145.43550000000002</v>
      </c>
      <c r="I3090" s="5" t="str">
        <f t="shared" si="364"/>
        <v>016</v>
      </c>
      <c r="J3090" s="5" t="str">
        <f t="shared" si="365"/>
        <v>2230</v>
      </c>
      <c r="K3090" s="5" t="str">
        <f t="shared" si="366"/>
        <v>000</v>
      </c>
      <c r="L3090" s="5">
        <f t="shared" si="367"/>
        <v>7</v>
      </c>
      <c r="M3090" s="5">
        <f t="shared" si="368"/>
        <v>2012</v>
      </c>
    </row>
    <row r="3091" spans="1:13" ht="17.45" customHeight="1" x14ac:dyDescent="0.25">
      <c r="A3091" s="1">
        <f>DATE(2012,7,18)</f>
        <v>41108</v>
      </c>
      <c r="B3091" t="s">
        <v>11</v>
      </c>
      <c r="C3091" t="s">
        <v>6</v>
      </c>
      <c r="D3091" s="3">
        <v>3520.9098000000004</v>
      </c>
      <c r="E3091" s="3">
        <v>0</v>
      </c>
      <c r="F3091" t="s">
        <v>45</v>
      </c>
      <c r="G3091" s="3">
        <f t="shared" si="362"/>
        <v>-3520.9098000000004</v>
      </c>
      <c r="H3091" s="3">
        <f t="shared" si="363"/>
        <v>3520.9098000000004</v>
      </c>
      <c r="I3091" s="5" t="str">
        <f t="shared" si="364"/>
        <v>016</v>
      </c>
      <c r="J3091" s="5" t="str">
        <f t="shared" si="365"/>
        <v>2100</v>
      </c>
      <c r="K3091" s="5" t="str">
        <f t="shared" si="366"/>
        <v>000</v>
      </c>
      <c r="L3091" s="5">
        <f t="shared" si="367"/>
        <v>7</v>
      </c>
      <c r="M3091" s="5">
        <f t="shared" si="368"/>
        <v>2012</v>
      </c>
    </row>
    <row r="3092" spans="1:13" ht="17.45" customHeight="1" x14ac:dyDescent="0.25">
      <c r="A3092" s="1">
        <f>DATE(2012,7,18)</f>
        <v>41108</v>
      </c>
      <c r="B3092" t="s">
        <v>12</v>
      </c>
      <c r="C3092" t="s">
        <v>8</v>
      </c>
      <c r="D3092" s="3">
        <v>848.99700000000007</v>
      </c>
      <c r="E3092" s="3">
        <v>0</v>
      </c>
      <c r="F3092" t="s">
        <v>45</v>
      </c>
      <c r="G3092" s="3">
        <f t="shared" si="362"/>
        <v>-848.99700000000007</v>
      </c>
      <c r="H3092" s="3">
        <f t="shared" si="363"/>
        <v>848.99700000000007</v>
      </c>
      <c r="I3092" s="5" t="str">
        <f t="shared" si="364"/>
        <v>016</v>
      </c>
      <c r="J3092" s="5" t="str">
        <f t="shared" si="365"/>
        <v>2210</v>
      </c>
      <c r="K3092" s="5" t="str">
        <f t="shared" si="366"/>
        <v>000</v>
      </c>
      <c r="L3092" s="5">
        <f t="shared" si="367"/>
        <v>7</v>
      </c>
      <c r="M3092" s="5">
        <f t="shared" si="368"/>
        <v>2012</v>
      </c>
    </row>
    <row r="3093" spans="1:13" ht="17.45" customHeight="1" x14ac:dyDescent="0.25">
      <c r="A3093" s="1">
        <f>DATE(2012,7,18)</f>
        <v>41108</v>
      </c>
      <c r="B3093" t="s">
        <v>13</v>
      </c>
      <c r="C3093" t="s">
        <v>9</v>
      </c>
      <c r="D3093" s="3">
        <v>158.286</v>
      </c>
      <c r="E3093" s="3">
        <v>0</v>
      </c>
      <c r="F3093" t="s">
        <v>45</v>
      </c>
      <c r="G3093" s="3">
        <f t="shared" si="362"/>
        <v>-158.286</v>
      </c>
      <c r="H3093" s="3">
        <f t="shared" si="363"/>
        <v>158.286</v>
      </c>
      <c r="I3093" s="5" t="str">
        <f t="shared" si="364"/>
        <v>016</v>
      </c>
      <c r="J3093" s="5" t="str">
        <f t="shared" si="365"/>
        <v>2220</v>
      </c>
      <c r="K3093" s="5" t="str">
        <f t="shared" si="366"/>
        <v>000</v>
      </c>
      <c r="L3093" s="5">
        <f t="shared" si="367"/>
        <v>7</v>
      </c>
      <c r="M3093" s="5">
        <f t="shared" si="368"/>
        <v>2012</v>
      </c>
    </row>
    <row r="3094" spans="1:13" ht="17.45" customHeight="1" x14ac:dyDescent="0.25">
      <c r="A3094" s="1">
        <f>DATE(2012,7,18)</f>
        <v>41108</v>
      </c>
      <c r="B3094" t="s">
        <v>14</v>
      </c>
      <c r="C3094" t="s">
        <v>10</v>
      </c>
      <c r="D3094" s="3">
        <v>37.219000000000001</v>
      </c>
      <c r="E3094" s="3">
        <v>0</v>
      </c>
      <c r="F3094" t="s">
        <v>45</v>
      </c>
      <c r="G3094" s="3">
        <f t="shared" si="362"/>
        <v>-37.219000000000001</v>
      </c>
      <c r="H3094" s="3">
        <f t="shared" si="363"/>
        <v>37.219000000000001</v>
      </c>
      <c r="I3094" s="5" t="str">
        <f t="shared" si="364"/>
        <v>016</v>
      </c>
      <c r="J3094" s="5" t="str">
        <f t="shared" si="365"/>
        <v>2230</v>
      </c>
      <c r="K3094" s="5" t="str">
        <f t="shared" si="366"/>
        <v>000</v>
      </c>
      <c r="L3094" s="5">
        <f t="shared" si="367"/>
        <v>7</v>
      </c>
      <c r="M3094" s="5">
        <f t="shared" si="368"/>
        <v>2012</v>
      </c>
    </row>
    <row r="3095" spans="1:13" ht="17.45" customHeight="1" x14ac:dyDescent="0.25">
      <c r="A3095" s="1">
        <f>DATE(2012,7,19)</f>
        <v>41109</v>
      </c>
      <c r="B3095" t="s">
        <v>11</v>
      </c>
      <c r="C3095" t="s">
        <v>6</v>
      </c>
      <c r="D3095" s="3">
        <v>3785.3274000000001</v>
      </c>
      <c r="E3095" s="3">
        <v>0</v>
      </c>
      <c r="F3095" t="s">
        <v>45</v>
      </c>
      <c r="G3095" s="3">
        <f t="shared" si="362"/>
        <v>-3785.3274000000001</v>
      </c>
      <c r="H3095" s="3">
        <f t="shared" si="363"/>
        <v>3785.3274000000001</v>
      </c>
      <c r="I3095" s="5" t="str">
        <f t="shared" si="364"/>
        <v>016</v>
      </c>
      <c r="J3095" s="5" t="str">
        <f t="shared" si="365"/>
        <v>2100</v>
      </c>
      <c r="K3095" s="5" t="str">
        <f t="shared" si="366"/>
        <v>000</v>
      </c>
      <c r="L3095" s="5">
        <f t="shared" si="367"/>
        <v>7</v>
      </c>
      <c r="M3095" s="5">
        <f t="shared" si="368"/>
        <v>2012</v>
      </c>
    </row>
    <row r="3096" spans="1:13" ht="17.45" customHeight="1" x14ac:dyDescent="0.25">
      <c r="A3096" s="1">
        <f>DATE(2012,7,19)</f>
        <v>41109</v>
      </c>
      <c r="B3096" t="s">
        <v>12</v>
      </c>
      <c r="C3096" t="s">
        <v>8</v>
      </c>
      <c r="D3096" s="3">
        <v>1148.3995</v>
      </c>
      <c r="E3096" s="3">
        <v>0</v>
      </c>
      <c r="F3096" t="s">
        <v>45</v>
      </c>
      <c r="G3096" s="3">
        <f t="shared" si="362"/>
        <v>-1148.3995</v>
      </c>
      <c r="H3096" s="3">
        <f t="shared" si="363"/>
        <v>1148.3995</v>
      </c>
      <c r="I3096" s="5" t="str">
        <f t="shared" si="364"/>
        <v>016</v>
      </c>
      <c r="J3096" s="5" t="str">
        <f t="shared" si="365"/>
        <v>2210</v>
      </c>
      <c r="K3096" s="5" t="str">
        <f t="shared" si="366"/>
        <v>000</v>
      </c>
      <c r="L3096" s="5">
        <f t="shared" si="367"/>
        <v>7</v>
      </c>
      <c r="M3096" s="5">
        <f t="shared" si="368"/>
        <v>2012</v>
      </c>
    </row>
    <row r="3097" spans="1:13" ht="17.45" customHeight="1" x14ac:dyDescent="0.25">
      <c r="A3097" s="1">
        <f>DATE(2012,7,19)</f>
        <v>41109</v>
      </c>
      <c r="B3097" t="s">
        <v>13</v>
      </c>
      <c r="C3097" t="s">
        <v>9</v>
      </c>
      <c r="D3097" s="3">
        <v>214.60560000000001</v>
      </c>
      <c r="E3097" s="3">
        <v>0</v>
      </c>
      <c r="F3097" t="s">
        <v>45</v>
      </c>
      <c r="G3097" s="3">
        <f t="shared" si="362"/>
        <v>-214.60560000000001</v>
      </c>
      <c r="H3097" s="3">
        <f t="shared" si="363"/>
        <v>214.60560000000001</v>
      </c>
      <c r="I3097" s="5" t="str">
        <f t="shared" si="364"/>
        <v>016</v>
      </c>
      <c r="J3097" s="5" t="str">
        <f t="shared" si="365"/>
        <v>2220</v>
      </c>
      <c r="K3097" s="5" t="str">
        <f t="shared" si="366"/>
        <v>000</v>
      </c>
      <c r="L3097" s="5">
        <f t="shared" si="367"/>
        <v>7</v>
      </c>
      <c r="M3097" s="5">
        <f t="shared" si="368"/>
        <v>2012</v>
      </c>
    </row>
    <row r="3098" spans="1:13" ht="17.45" customHeight="1" x14ac:dyDescent="0.25">
      <c r="A3098" s="1">
        <f>DATE(2012,7,19)</f>
        <v>41109</v>
      </c>
      <c r="B3098" t="s">
        <v>14</v>
      </c>
      <c r="C3098" t="s">
        <v>10</v>
      </c>
      <c r="D3098" s="3">
        <v>66.12</v>
      </c>
      <c r="E3098" s="3">
        <v>0</v>
      </c>
      <c r="F3098" t="s">
        <v>45</v>
      </c>
      <c r="G3098" s="3">
        <f t="shared" si="362"/>
        <v>-66.12</v>
      </c>
      <c r="H3098" s="3">
        <f t="shared" si="363"/>
        <v>66.12</v>
      </c>
      <c r="I3098" s="5" t="str">
        <f t="shared" si="364"/>
        <v>016</v>
      </c>
      <c r="J3098" s="5" t="str">
        <f t="shared" si="365"/>
        <v>2230</v>
      </c>
      <c r="K3098" s="5" t="str">
        <f t="shared" si="366"/>
        <v>000</v>
      </c>
      <c r="L3098" s="5">
        <f t="shared" si="367"/>
        <v>7</v>
      </c>
      <c r="M3098" s="5">
        <f t="shared" si="368"/>
        <v>2012</v>
      </c>
    </row>
    <row r="3099" spans="1:13" ht="17.45" customHeight="1" x14ac:dyDescent="0.25">
      <c r="A3099" s="1">
        <f>DATE(2012,7,20)</f>
        <v>41110</v>
      </c>
      <c r="B3099" t="s">
        <v>11</v>
      </c>
      <c r="C3099" t="s">
        <v>6</v>
      </c>
      <c r="D3099" s="3">
        <v>5896.6566000000003</v>
      </c>
      <c r="E3099" s="3">
        <v>0</v>
      </c>
      <c r="F3099" t="s">
        <v>45</v>
      </c>
      <c r="G3099" s="3">
        <f t="shared" si="362"/>
        <v>-5896.6566000000003</v>
      </c>
      <c r="H3099" s="3">
        <f t="shared" si="363"/>
        <v>5896.6566000000003</v>
      </c>
      <c r="I3099" s="5" t="str">
        <f t="shared" si="364"/>
        <v>016</v>
      </c>
      <c r="J3099" s="5" t="str">
        <f t="shared" si="365"/>
        <v>2100</v>
      </c>
      <c r="K3099" s="5" t="str">
        <f t="shared" si="366"/>
        <v>000</v>
      </c>
      <c r="L3099" s="5">
        <f t="shared" si="367"/>
        <v>7</v>
      </c>
      <c r="M3099" s="5">
        <f t="shared" si="368"/>
        <v>2012</v>
      </c>
    </row>
    <row r="3100" spans="1:13" ht="17.45" customHeight="1" x14ac:dyDescent="0.25">
      <c r="A3100" s="1">
        <f>DATE(2012,7,20)</f>
        <v>41110</v>
      </c>
      <c r="B3100" t="s">
        <v>12</v>
      </c>
      <c r="C3100" t="s">
        <v>8</v>
      </c>
      <c r="D3100" s="3">
        <v>2347.8200000000002</v>
      </c>
      <c r="E3100" s="3">
        <v>0</v>
      </c>
      <c r="F3100" t="s">
        <v>45</v>
      </c>
      <c r="G3100" s="3">
        <f t="shared" si="362"/>
        <v>-2347.8200000000002</v>
      </c>
      <c r="H3100" s="3">
        <f t="shared" si="363"/>
        <v>2347.8200000000002</v>
      </c>
      <c r="I3100" s="5" t="str">
        <f t="shared" si="364"/>
        <v>016</v>
      </c>
      <c r="J3100" s="5" t="str">
        <f t="shared" si="365"/>
        <v>2210</v>
      </c>
      <c r="K3100" s="5" t="str">
        <f t="shared" si="366"/>
        <v>000</v>
      </c>
      <c r="L3100" s="5">
        <f t="shared" si="367"/>
        <v>7</v>
      </c>
      <c r="M3100" s="5">
        <f t="shared" si="368"/>
        <v>2012</v>
      </c>
    </row>
    <row r="3101" spans="1:13" ht="17.45" customHeight="1" x14ac:dyDescent="0.25">
      <c r="A3101" s="1">
        <f>DATE(2012,7,20)</f>
        <v>41110</v>
      </c>
      <c r="B3101" t="s">
        <v>13</v>
      </c>
      <c r="C3101" t="s">
        <v>9</v>
      </c>
      <c r="D3101" s="3">
        <v>345.31199999999995</v>
      </c>
      <c r="E3101" s="3">
        <v>0</v>
      </c>
      <c r="F3101" t="s">
        <v>45</v>
      </c>
      <c r="G3101" s="3">
        <f t="shared" si="362"/>
        <v>-345.31199999999995</v>
      </c>
      <c r="H3101" s="3">
        <f t="shared" si="363"/>
        <v>345.31199999999995</v>
      </c>
      <c r="I3101" s="5" t="str">
        <f t="shared" si="364"/>
        <v>016</v>
      </c>
      <c r="J3101" s="5" t="str">
        <f t="shared" si="365"/>
        <v>2220</v>
      </c>
      <c r="K3101" s="5" t="str">
        <f t="shared" si="366"/>
        <v>000</v>
      </c>
      <c r="L3101" s="5">
        <f t="shared" si="367"/>
        <v>7</v>
      </c>
      <c r="M3101" s="5">
        <f t="shared" si="368"/>
        <v>2012</v>
      </c>
    </row>
    <row r="3102" spans="1:13" ht="17.45" customHeight="1" x14ac:dyDescent="0.25">
      <c r="A3102" s="1">
        <f>DATE(2012,7,20)</f>
        <v>41110</v>
      </c>
      <c r="B3102" t="s">
        <v>14</v>
      </c>
      <c r="C3102" t="s">
        <v>10</v>
      </c>
      <c r="D3102" s="3">
        <v>86.570000000000007</v>
      </c>
      <c r="E3102" s="3">
        <v>0</v>
      </c>
      <c r="F3102" t="s">
        <v>45</v>
      </c>
      <c r="G3102" s="3">
        <f t="shared" si="362"/>
        <v>-86.570000000000007</v>
      </c>
      <c r="H3102" s="3">
        <f t="shared" si="363"/>
        <v>86.570000000000007</v>
      </c>
      <c r="I3102" s="5" t="str">
        <f t="shared" si="364"/>
        <v>016</v>
      </c>
      <c r="J3102" s="5" t="str">
        <f t="shared" si="365"/>
        <v>2230</v>
      </c>
      <c r="K3102" s="5" t="str">
        <f t="shared" si="366"/>
        <v>000</v>
      </c>
      <c r="L3102" s="5">
        <f t="shared" si="367"/>
        <v>7</v>
      </c>
      <c r="M3102" s="5">
        <f t="shared" si="368"/>
        <v>2012</v>
      </c>
    </row>
    <row r="3103" spans="1:13" ht="17.45" customHeight="1" x14ac:dyDescent="0.25">
      <c r="A3103" s="1">
        <f t="shared" ref="A3103:A3106" si="369">DATE(2012,7,21)</f>
        <v>41111</v>
      </c>
      <c r="B3103" t="s">
        <v>11</v>
      </c>
      <c r="C3103" t="s">
        <v>6</v>
      </c>
      <c r="D3103" s="3">
        <v>9787.9336000000003</v>
      </c>
      <c r="E3103" s="3">
        <v>0</v>
      </c>
      <c r="F3103" t="s">
        <v>45</v>
      </c>
      <c r="G3103" s="3">
        <f t="shared" si="362"/>
        <v>-9787.9336000000003</v>
      </c>
      <c r="H3103" s="3">
        <f t="shared" si="363"/>
        <v>9787.9336000000003</v>
      </c>
      <c r="I3103" s="5" t="str">
        <f t="shared" si="364"/>
        <v>016</v>
      </c>
      <c r="J3103" s="5" t="str">
        <f t="shared" si="365"/>
        <v>2100</v>
      </c>
      <c r="K3103" s="5" t="str">
        <f t="shared" si="366"/>
        <v>000</v>
      </c>
      <c r="L3103" s="5">
        <f t="shared" si="367"/>
        <v>7</v>
      </c>
      <c r="M3103" s="5">
        <f t="shared" si="368"/>
        <v>2012</v>
      </c>
    </row>
    <row r="3104" spans="1:13" ht="17.45" customHeight="1" x14ac:dyDescent="0.25">
      <c r="A3104" s="1">
        <f t="shared" si="369"/>
        <v>41111</v>
      </c>
      <c r="B3104" t="s">
        <v>12</v>
      </c>
      <c r="C3104" t="s">
        <v>8</v>
      </c>
      <c r="D3104" s="3">
        <v>2734.6501999999996</v>
      </c>
      <c r="E3104" s="3">
        <v>0</v>
      </c>
      <c r="F3104" t="s">
        <v>45</v>
      </c>
      <c r="G3104" s="3">
        <f t="shared" si="362"/>
        <v>-2734.6501999999996</v>
      </c>
      <c r="H3104" s="3">
        <f t="shared" si="363"/>
        <v>2734.6501999999996</v>
      </c>
      <c r="I3104" s="5" t="str">
        <f t="shared" si="364"/>
        <v>016</v>
      </c>
      <c r="J3104" s="5" t="str">
        <f t="shared" si="365"/>
        <v>2210</v>
      </c>
      <c r="K3104" s="5" t="str">
        <f t="shared" si="366"/>
        <v>000</v>
      </c>
      <c r="L3104" s="5">
        <f t="shared" si="367"/>
        <v>7</v>
      </c>
      <c r="M3104" s="5">
        <f t="shared" si="368"/>
        <v>2012</v>
      </c>
    </row>
    <row r="3105" spans="1:13" ht="17.45" customHeight="1" x14ac:dyDescent="0.25">
      <c r="A3105" s="1">
        <f t="shared" si="369"/>
        <v>41111</v>
      </c>
      <c r="B3105" t="s">
        <v>13</v>
      </c>
      <c r="C3105" t="s">
        <v>9</v>
      </c>
      <c r="D3105" s="3">
        <v>398.51550000000003</v>
      </c>
      <c r="E3105" s="3">
        <v>0</v>
      </c>
      <c r="F3105" t="s">
        <v>45</v>
      </c>
      <c r="G3105" s="3">
        <f t="shared" si="362"/>
        <v>-398.51550000000003</v>
      </c>
      <c r="H3105" s="3">
        <f t="shared" si="363"/>
        <v>398.51550000000003</v>
      </c>
      <c r="I3105" s="5" t="str">
        <f t="shared" si="364"/>
        <v>016</v>
      </c>
      <c r="J3105" s="5" t="str">
        <f t="shared" si="365"/>
        <v>2220</v>
      </c>
      <c r="K3105" s="5" t="str">
        <f t="shared" si="366"/>
        <v>000</v>
      </c>
      <c r="L3105" s="5">
        <f t="shared" si="367"/>
        <v>7</v>
      </c>
      <c r="M3105" s="5">
        <f t="shared" si="368"/>
        <v>2012</v>
      </c>
    </row>
    <row r="3106" spans="1:13" ht="17.45" customHeight="1" x14ac:dyDescent="0.25">
      <c r="A3106" s="1">
        <f t="shared" si="369"/>
        <v>41111</v>
      </c>
      <c r="B3106" t="s">
        <v>14</v>
      </c>
      <c r="C3106" t="s">
        <v>10</v>
      </c>
      <c r="D3106" s="3">
        <v>232.01499999999999</v>
      </c>
      <c r="E3106" s="3">
        <v>0</v>
      </c>
      <c r="F3106" t="s">
        <v>45</v>
      </c>
      <c r="G3106" s="3">
        <f t="shared" si="362"/>
        <v>-232.01499999999999</v>
      </c>
      <c r="H3106" s="3">
        <f t="shared" si="363"/>
        <v>232.01499999999999</v>
      </c>
      <c r="I3106" s="5" t="str">
        <f t="shared" si="364"/>
        <v>016</v>
      </c>
      <c r="J3106" s="5" t="str">
        <f t="shared" si="365"/>
        <v>2230</v>
      </c>
      <c r="K3106" s="5" t="str">
        <f t="shared" si="366"/>
        <v>000</v>
      </c>
      <c r="L3106" s="5">
        <f t="shared" si="367"/>
        <v>7</v>
      </c>
      <c r="M3106" s="5">
        <f t="shared" si="368"/>
        <v>2012</v>
      </c>
    </row>
    <row r="3107" spans="1:13" ht="17.45" customHeight="1" x14ac:dyDescent="0.25">
      <c r="A3107" s="1">
        <f>DATE(2012,7,22)</f>
        <v>41112</v>
      </c>
      <c r="B3107" t="s">
        <v>11</v>
      </c>
      <c r="C3107" t="s">
        <v>6</v>
      </c>
      <c r="D3107" s="3">
        <v>4574.3098999999993</v>
      </c>
      <c r="E3107" s="3">
        <v>0</v>
      </c>
      <c r="F3107" t="s">
        <v>45</v>
      </c>
      <c r="G3107" s="3">
        <f t="shared" si="362"/>
        <v>-4574.3098999999993</v>
      </c>
      <c r="H3107" s="3">
        <f t="shared" si="363"/>
        <v>4574.3098999999993</v>
      </c>
      <c r="I3107" s="5" t="str">
        <f t="shared" si="364"/>
        <v>016</v>
      </c>
      <c r="J3107" s="5" t="str">
        <f t="shared" si="365"/>
        <v>2100</v>
      </c>
      <c r="K3107" s="5" t="str">
        <f t="shared" si="366"/>
        <v>000</v>
      </c>
      <c r="L3107" s="5">
        <f t="shared" si="367"/>
        <v>7</v>
      </c>
      <c r="M3107" s="5">
        <f t="shared" si="368"/>
        <v>2012</v>
      </c>
    </row>
    <row r="3108" spans="1:13" ht="17.45" customHeight="1" x14ac:dyDescent="0.25">
      <c r="A3108" s="1">
        <f>DATE(2012,7,22)</f>
        <v>41112</v>
      </c>
      <c r="B3108" t="s">
        <v>12</v>
      </c>
      <c r="C3108" t="s">
        <v>8</v>
      </c>
      <c r="D3108" s="3">
        <v>967.24200000000008</v>
      </c>
      <c r="E3108" s="3">
        <v>0</v>
      </c>
      <c r="F3108" t="s">
        <v>45</v>
      </c>
      <c r="G3108" s="3">
        <f t="shared" si="362"/>
        <v>-967.24200000000008</v>
      </c>
      <c r="H3108" s="3">
        <f t="shared" si="363"/>
        <v>967.24200000000008</v>
      </c>
      <c r="I3108" s="5" t="str">
        <f t="shared" si="364"/>
        <v>016</v>
      </c>
      <c r="J3108" s="5" t="str">
        <f t="shared" si="365"/>
        <v>2210</v>
      </c>
      <c r="K3108" s="5" t="str">
        <f t="shared" si="366"/>
        <v>000</v>
      </c>
      <c r="L3108" s="5">
        <f t="shared" si="367"/>
        <v>7</v>
      </c>
      <c r="M3108" s="5">
        <f t="shared" si="368"/>
        <v>2012</v>
      </c>
    </row>
    <row r="3109" spans="1:13" ht="17.45" customHeight="1" x14ac:dyDescent="0.25">
      <c r="A3109" s="1">
        <f>DATE(2012,7,22)</f>
        <v>41112</v>
      </c>
      <c r="B3109" t="s">
        <v>13</v>
      </c>
      <c r="C3109" t="s">
        <v>9</v>
      </c>
      <c r="D3109" s="3">
        <v>139.04999999999998</v>
      </c>
      <c r="E3109" s="3">
        <v>0</v>
      </c>
      <c r="F3109" t="s">
        <v>45</v>
      </c>
      <c r="G3109" s="3">
        <f t="shared" si="362"/>
        <v>-139.04999999999998</v>
      </c>
      <c r="H3109" s="3">
        <f t="shared" si="363"/>
        <v>139.04999999999998</v>
      </c>
      <c r="I3109" s="5" t="str">
        <f t="shared" si="364"/>
        <v>016</v>
      </c>
      <c r="J3109" s="5" t="str">
        <f t="shared" si="365"/>
        <v>2220</v>
      </c>
      <c r="K3109" s="5" t="str">
        <f t="shared" si="366"/>
        <v>000</v>
      </c>
      <c r="L3109" s="5">
        <f t="shared" si="367"/>
        <v>7</v>
      </c>
      <c r="M3109" s="5">
        <f t="shared" si="368"/>
        <v>2012</v>
      </c>
    </row>
    <row r="3110" spans="1:13" ht="17.45" customHeight="1" x14ac:dyDescent="0.25">
      <c r="A3110" s="1">
        <f>DATE(2012,7,22)</f>
        <v>41112</v>
      </c>
      <c r="B3110" t="s">
        <v>14</v>
      </c>
      <c r="C3110" t="s">
        <v>10</v>
      </c>
      <c r="D3110" s="3">
        <v>25.296000000000003</v>
      </c>
      <c r="E3110" s="3">
        <v>0</v>
      </c>
      <c r="F3110" t="s">
        <v>45</v>
      </c>
      <c r="G3110" s="3">
        <f t="shared" si="362"/>
        <v>-25.296000000000003</v>
      </c>
      <c r="H3110" s="3">
        <f t="shared" si="363"/>
        <v>25.296000000000003</v>
      </c>
      <c r="I3110" s="5" t="str">
        <f t="shared" si="364"/>
        <v>016</v>
      </c>
      <c r="J3110" s="5" t="str">
        <f t="shared" si="365"/>
        <v>2230</v>
      </c>
      <c r="K3110" s="5" t="str">
        <f t="shared" si="366"/>
        <v>000</v>
      </c>
      <c r="L3110" s="5">
        <f t="shared" si="367"/>
        <v>7</v>
      </c>
      <c r="M3110" s="5">
        <f t="shared" si="368"/>
        <v>2012</v>
      </c>
    </row>
    <row r="3111" spans="1:13" ht="17.45" customHeight="1" x14ac:dyDescent="0.25">
      <c r="A3111" s="1">
        <f>DATE(2012,7,16)</f>
        <v>41106</v>
      </c>
      <c r="B3111" t="s">
        <v>15</v>
      </c>
      <c r="C3111" t="s">
        <v>6</v>
      </c>
      <c r="D3111" s="3">
        <v>4053.0839999999998</v>
      </c>
      <c r="E3111" s="3">
        <v>0</v>
      </c>
      <c r="F3111" t="s">
        <v>45</v>
      </c>
      <c r="G3111" s="3">
        <f t="shared" si="362"/>
        <v>-4053.0839999999998</v>
      </c>
      <c r="H3111" s="3">
        <f t="shared" si="363"/>
        <v>4053.0839999999998</v>
      </c>
      <c r="I3111" s="5" t="str">
        <f t="shared" si="364"/>
        <v>017</v>
      </c>
      <c r="J3111" s="5" t="str">
        <f t="shared" si="365"/>
        <v>2100</v>
      </c>
      <c r="K3111" s="5" t="str">
        <f t="shared" si="366"/>
        <v>000</v>
      </c>
      <c r="L3111" s="5">
        <f t="shared" si="367"/>
        <v>7</v>
      </c>
      <c r="M3111" s="5">
        <f t="shared" si="368"/>
        <v>2012</v>
      </c>
    </row>
    <row r="3112" spans="1:13" ht="17.45" customHeight="1" x14ac:dyDescent="0.25">
      <c r="A3112" s="1">
        <f>DATE(2012,7,16)</f>
        <v>41106</v>
      </c>
      <c r="B3112" t="s">
        <v>16</v>
      </c>
      <c r="C3112" t="s">
        <v>8</v>
      </c>
      <c r="D3112" s="3">
        <v>1368.2375</v>
      </c>
      <c r="E3112" s="3">
        <v>0</v>
      </c>
      <c r="F3112" t="s">
        <v>45</v>
      </c>
      <c r="G3112" s="3">
        <f t="shared" si="362"/>
        <v>-1368.2375</v>
      </c>
      <c r="H3112" s="3">
        <f t="shared" si="363"/>
        <v>1368.2375</v>
      </c>
      <c r="I3112" s="5" t="str">
        <f t="shared" si="364"/>
        <v>017</v>
      </c>
      <c r="J3112" s="5" t="str">
        <f t="shared" si="365"/>
        <v>2210</v>
      </c>
      <c r="K3112" s="5" t="str">
        <f t="shared" si="366"/>
        <v>000</v>
      </c>
      <c r="L3112" s="5">
        <f t="shared" si="367"/>
        <v>7</v>
      </c>
      <c r="M3112" s="5">
        <f t="shared" si="368"/>
        <v>2012</v>
      </c>
    </row>
    <row r="3113" spans="1:13" ht="17.45" customHeight="1" x14ac:dyDescent="0.25">
      <c r="A3113" s="1">
        <f>DATE(2012,7,16)</f>
        <v>41106</v>
      </c>
      <c r="B3113" t="s">
        <v>17</v>
      </c>
      <c r="C3113" t="s">
        <v>9</v>
      </c>
      <c r="D3113" s="3">
        <v>276.64</v>
      </c>
      <c r="E3113" s="3">
        <v>0</v>
      </c>
      <c r="F3113" t="s">
        <v>45</v>
      </c>
      <c r="G3113" s="3">
        <f t="shared" si="362"/>
        <v>-276.64</v>
      </c>
      <c r="H3113" s="3">
        <f t="shared" si="363"/>
        <v>276.64</v>
      </c>
      <c r="I3113" s="5" t="str">
        <f t="shared" si="364"/>
        <v>017</v>
      </c>
      <c r="J3113" s="5" t="str">
        <f t="shared" si="365"/>
        <v>2220</v>
      </c>
      <c r="K3113" s="5" t="str">
        <f t="shared" si="366"/>
        <v>000</v>
      </c>
      <c r="L3113" s="5">
        <f t="shared" si="367"/>
        <v>7</v>
      </c>
      <c r="M3113" s="5">
        <f t="shared" si="368"/>
        <v>2012</v>
      </c>
    </row>
    <row r="3114" spans="1:13" ht="17.45" customHeight="1" x14ac:dyDescent="0.25">
      <c r="A3114" s="1">
        <f>DATE(2012,7,16)</f>
        <v>41106</v>
      </c>
      <c r="B3114" t="s">
        <v>18</v>
      </c>
      <c r="C3114" t="s">
        <v>10</v>
      </c>
      <c r="D3114" s="3">
        <v>111.07949999999998</v>
      </c>
      <c r="E3114" s="3">
        <v>0</v>
      </c>
      <c r="F3114" t="s">
        <v>45</v>
      </c>
      <c r="G3114" s="3">
        <f t="shared" si="362"/>
        <v>-111.07949999999998</v>
      </c>
      <c r="H3114" s="3">
        <f t="shared" si="363"/>
        <v>111.07949999999998</v>
      </c>
      <c r="I3114" s="5" t="str">
        <f t="shared" si="364"/>
        <v>017</v>
      </c>
      <c r="J3114" s="5" t="str">
        <f t="shared" si="365"/>
        <v>2230</v>
      </c>
      <c r="K3114" s="5" t="str">
        <f t="shared" si="366"/>
        <v>000</v>
      </c>
      <c r="L3114" s="5">
        <f t="shared" si="367"/>
        <v>7</v>
      </c>
      <c r="M3114" s="5">
        <f t="shared" si="368"/>
        <v>2012</v>
      </c>
    </row>
    <row r="3115" spans="1:13" ht="17.45" customHeight="1" x14ac:dyDescent="0.25">
      <c r="A3115" s="1">
        <f>DATE(2012,7,17)</f>
        <v>41107</v>
      </c>
      <c r="B3115" t="s">
        <v>15</v>
      </c>
      <c r="C3115" t="s">
        <v>6</v>
      </c>
      <c r="D3115" s="3">
        <v>7341.5409999999993</v>
      </c>
      <c r="E3115" s="3">
        <v>0</v>
      </c>
      <c r="F3115" t="s">
        <v>45</v>
      </c>
      <c r="G3115" s="3">
        <f t="shared" si="362"/>
        <v>-7341.5409999999993</v>
      </c>
      <c r="H3115" s="3">
        <f t="shared" si="363"/>
        <v>7341.5409999999993</v>
      </c>
      <c r="I3115" s="5" t="str">
        <f t="shared" si="364"/>
        <v>017</v>
      </c>
      <c r="J3115" s="5" t="str">
        <f t="shared" si="365"/>
        <v>2100</v>
      </c>
      <c r="K3115" s="5" t="str">
        <f t="shared" si="366"/>
        <v>000</v>
      </c>
      <c r="L3115" s="5">
        <f t="shared" si="367"/>
        <v>7</v>
      </c>
      <c r="M3115" s="5">
        <f t="shared" si="368"/>
        <v>2012</v>
      </c>
    </row>
    <row r="3116" spans="1:13" ht="17.45" customHeight="1" x14ac:dyDescent="0.25">
      <c r="A3116" s="1">
        <f>DATE(2012,7,17)</f>
        <v>41107</v>
      </c>
      <c r="B3116" t="s">
        <v>16</v>
      </c>
      <c r="C3116" t="s">
        <v>8</v>
      </c>
      <c r="D3116" s="3">
        <v>1593.9970000000001</v>
      </c>
      <c r="E3116" s="3">
        <v>0</v>
      </c>
      <c r="F3116" t="s">
        <v>45</v>
      </c>
      <c r="G3116" s="3">
        <f t="shared" si="362"/>
        <v>-1593.9970000000001</v>
      </c>
      <c r="H3116" s="3">
        <f t="shared" si="363"/>
        <v>1593.9970000000001</v>
      </c>
      <c r="I3116" s="5" t="str">
        <f t="shared" si="364"/>
        <v>017</v>
      </c>
      <c r="J3116" s="5" t="str">
        <f t="shared" si="365"/>
        <v>2210</v>
      </c>
      <c r="K3116" s="5" t="str">
        <f t="shared" si="366"/>
        <v>000</v>
      </c>
      <c r="L3116" s="5">
        <f t="shared" si="367"/>
        <v>7</v>
      </c>
      <c r="M3116" s="5">
        <f t="shared" si="368"/>
        <v>2012</v>
      </c>
    </row>
    <row r="3117" spans="1:13" ht="17.45" customHeight="1" x14ac:dyDescent="0.25">
      <c r="A3117" s="1">
        <f>DATE(2012,7,17)</f>
        <v>41107</v>
      </c>
      <c r="B3117" t="s">
        <v>17</v>
      </c>
      <c r="C3117" t="s">
        <v>9</v>
      </c>
      <c r="D3117" s="3">
        <v>608.16</v>
      </c>
      <c r="E3117" s="3">
        <v>0</v>
      </c>
      <c r="F3117" t="s">
        <v>45</v>
      </c>
      <c r="G3117" s="3">
        <f t="shared" si="362"/>
        <v>-608.16</v>
      </c>
      <c r="H3117" s="3">
        <f t="shared" si="363"/>
        <v>608.16</v>
      </c>
      <c r="I3117" s="5" t="str">
        <f t="shared" si="364"/>
        <v>017</v>
      </c>
      <c r="J3117" s="5" t="str">
        <f t="shared" si="365"/>
        <v>2220</v>
      </c>
      <c r="K3117" s="5" t="str">
        <f t="shared" si="366"/>
        <v>000</v>
      </c>
      <c r="L3117" s="5">
        <f t="shared" si="367"/>
        <v>7</v>
      </c>
      <c r="M3117" s="5">
        <f t="shared" si="368"/>
        <v>2012</v>
      </c>
    </row>
    <row r="3118" spans="1:13" ht="17.45" customHeight="1" x14ac:dyDescent="0.25">
      <c r="A3118" s="1">
        <f>DATE(2012,7,17)</f>
        <v>41107</v>
      </c>
      <c r="B3118" t="s">
        <v>18</v>
      </c>
      <c r="C3118" t="s">
        <v>10</v>
      </c>
      <c r="D3118" s="3">
        <v>223.81350000000003</v>
      </c>
      <c r="E3118" s="3">
        <v>0</v>
      </c>
      <c r="F3118" t="s">
        <v>45</v>
      </c>
      <c r="G3118" s="3">
        <f t="shared" si="362"/>
        <v>-223.81350000000003</v>
      </c>
      <c r="H3118" s="3">
        <f t="shared" si="363"/>
        <v>223.81350000000003</v>
      </c>
      <c r="I3118" s="5" t="str">
        <f t="shared" si="364"/>
        <v>017</v>
      </c>
      <c r="J3118" s="5" t="str">
        <f t="shared" si="365"/>
        <v>2230</v>
      </c>
      <c r="K3118" s="5" t="str">
        <f t="shared" si="366"/>
        <v>000</v>
      </c>
      <c r="L3118" s="5">
        <f t="shared" si="367"/>
        <v>7</v>
      </c>
      <c r="M3118" s="5">
        <f t="shared" si="368"/>
        <v>2012</v>
      </c>
    </row>
    <row r="3119" spans="1:13" ht="17.45" customHeight="1" x14ac:dyDescent="0.25">
      <c r="A3119" s="1">
        <f>DATE(2012,7,18)</f>
        <v>41108</v>
      </c>
      <c r="B3119" t="s">
        <v>15</v>
      </c>
      <c r="C3119" t="s">
        <v>6</v>
      </c>
      <c r="D3119" s="3">
        <v>5640.9607999999998</v>
      </c>
      <c r="E3119" s="3">
        <v>0</v>
      </c>
      <c r="F3119" t="s">
        <v>45</v>
      </c>
      <c r="G3119" s="3">
        <f t="shared" si="362"/>
        <v>-5640.9607999999998</v>
      </c>
      <c r="H3119" s="3">
        <f t="shared" si="363"/>
        <v>5640.9607999999998</v>
      </c>
      <c r="I3119" s="5" t="str">
        <f t="shared" si="364"/>
        <v>017</v>
      </c>
      <c r="J3119" s="5" t="str">
        <f t="shared" si="365"/>
        <v>2100</v>
      </c>
      <c r="K3119" s="5" t="str">
        <f t="shared" si="366"/>
        <v>000</v>
      </c>
      <c r="L3119" s="5">
        <f t="shared" si="367"/>
        <v>7</v>
      </c>
      <c r="M3119" s="5">
        <f t="shared" si="368"/>
        <v>2012</v>
      </c>
    </row>
    <row r="3120" spans="1:13" ht="17.45" customHeight="1" x14ac:dyDescent="0.25">
      <c r="A3120" s="1">
        <f>DATE(2012,7,18)</f>
        <v>41108</v>
      </c>
      <c r="B3120" t="s">
        <v>16</v>
      </c>
      <c r="C3120" t="s">
        <v>8</v>
      </c>
      <c r="D3120" s="3">
        <v>1588.704</v>
      </c>
      <c r="E3120" s="3">
        <v>0</v>
      </c>
      <c r="F3120" t="s">
        <v>45</v>
      </c>
      <c r="G3120" s="3">
        <f t="shared" si="362"/>
        <v>-1588.704</v>
      </c>
      <c r="H3120" s="3">
        <f t="shared" si="363"/>
        <v>1588.704</v>
      </c>
      <c r="I3120" s="5" t="str">
        <f t="shared" si="364"/>
        <v>017</v>
      </c>
      <c r="J3120" s="5" t="str">
        <f t="shared" si="365"/>
        <v>2210</v>
      </c>
      <c r="K3120" s="5" t="str">
        <f t="shared" si="366"/>
        <v>000</v>
      </c>
      <c r="L3120" s="5">
        <f t="shared" si="367"/>
        <v>7</v>
      </c>
      <c r="M3120" s="5">
        <f t="shared" si="368"/>
        <v>2012</v>
      </c>
    </row>
    <row r="3121" spans="1:13" ht="17.45" customHeight="1" x14ac:dyDescent="0.25">
      <c r="A3121" s="1">
        <f>DATE(2012,7,18)</f>
        <v>41108</v>
      </c>
      <c r="B3121" t="s">
        <v>17</v>
      </c>
      <c r="C3121" t="s">
        <v>9</v>
      </c>
      <c r="D3121" s="3">
        <v>421.75</v>
      </c>
      <c r="E3121" s="3">
        <v>0</v>
      </c>
      <c r="F3121" t="s">
        <v>45</v>
      </c>
      <c r="G3121" s="3">
        <f t="shared" si="362"/>
        <v>-421.75</v>
      </c>
      <c r="H3121" s="3">
        <f t="shared" si="363"/>
        <v>421.75</v>
      </c>
      <c r="I3121" s="5" t="str">
        <f t="shared" si="364"/>
        <v>017</v>
      </c>
      <c r="J3121" s="5" t="str">
        <f t="shared" si="365"/>
        <v>2220</v>
      </c>
      <c r="K3121" s="5" t="str">
        <f t="shared" si="366"/>
        <v>000</v>
      </c>
      <c r="L3121" s="5">
        <f t="shared" si="367"/>
        <v>7</v>
      </c>
      <c r="M3121" s="5">
        <f t="shared" si="368"/>
        <v>2012</v>
      </c>
    </row>
    <row r="3122" spans="1:13" ht="17.45" customHeight="1" x14ac:dyDescent="0.25">
      <c r="A3122" s="1">
        <f>DATE(2012,7,18)</f>
        <v>41108</v>
      </c>
      <c r="B3122" t="s">
        <v>18</v>
      </c>
      <c r="C3122" t="s">
        <v>10</v>
      </c>
      <c r="D3122" s="3">
        <v>113.03599999999999</v>
      </c>
      <c r="E3122" s="3">
        <v>0</v>
      </c>
      <c r="F3122" t="s">
        <v>45</v>
      </c>
      <c r="G3122" s="3">
        <f t="shared" si="362"/>
        <v>-113.03599999999999</v>
      </c>
      <c r="H3122" s="3">
        <f t="shared" si="363"/>
        <v>113.03599999999999</v>
      </c>
      <c r="I3122" s="5" t="str">
        <f t="shared" si="364"/>
        <v>017</v>
      </c>
      <c r="J3122" s="5" t="str">
        <f t="shared" si="365"/>
        <v>2230</v>
      </c>
      <c r="K3122" s="5" t="str">
        <f t="shared" si="366"/>
        <v>000</v>
      </c>
      <c r="L3122" s="5">
        <f t="shared" si="367"/>
        <v>7</v>
      </c>
      <c r="M3122" s="5">
        <f t="shared" si="368"/>
        <v>2012</v>
      </c>
    </row>
    <row r="3123" spans="1:13" ht="17.45" customHeight="1" x14ac:dyDescent="0.25">
      <c r="A3123" s="1">
        <f>DATE(2012,7,19)</f>
        <v>41109</v>
      </c>
      <c r="B3123" t="s">
        <v>15</v>
      </c>
      <c r="C3123" t="s">
        <v>6</v>
      </c>
      <c r="D3123" s="3">
        <v>4500.0074999999997</v>
      </c>
      <c r="E3123" s="3">
        <v>0</v>
      </c>
      <c r="F3123" t="s">
        <v>45</v>
      </c>
      <c r="G3123" s="3">
        <f t="shared" si="362"/>
        <v>-4500.0074999999997</v>
      </c>
      <c r="H3123" s="3">
        <f t="shared" si="363"/>
        <v>4500.0074999999997</v>
      </c>
      <c r="I3123" s="5" t="str">
        <f t="shared" si="364"/>
        <v>017</v>
      </c>
      <c r="J3123" s="5" t="str">
        <f t="shared" si="365"/>
        <v>2100</v>
      </c>
      <c r="K3123" s="5" t="str">
        <f t="shared" si="366"/>
        <v>000</v>
      </c>
      <c r="L3123" s="5">
        <f t="shared" si="367"/>
        <v>7</v>
      </c>
      <c r="M3123" s="5">
        <f t="shared" si="368"/>
        <v>2012</v>
      </c>
    </row>
    <row r="3124" spans="1:13" ht="17.45" customHeight="1" x14ac:dyDescent="0.25">
      <c r="A3124" s="1">
        <f>DATE(2012,7,19)</f>
        <v>41109</v>
      </c>
      <c r="B3124" t="s">
        <v>16</v>
      </c>
      <c r="C3124" t="s">
        <v>8</v>
      </c>
      <c r="D3124" s="3">
        <v>1196.2874999999999</v>
      </c>
      <c r="E3124" s="3">
        <v>0</v>
      </c>
      <c r="F3124" t="s">
        <v>45</v>
      </c>
      <c r="G3124" s="3">
        <f t="shared" si="362"/>
        <v>-1196.2874999999999</v>
      </c>
      <c r="H3124" s="3">
        <f t="shared" si="363"/>
        <v>1196.2874999999999</v>
      </c>
      <c r="I3124" s="5" t="str">
        <f t="shared" si="364"/>
        <v>017</v>
      </c>
      <c r="J3124" s="5" t="str">
        <f t="shared" si="365"/>
        <v>2210</v>
      </c>
      <c r="K3124" s="5" t="str">
        <f t="shared" si="366"/>
        <v>000</v>
      </c>
      <c r="L3124" s="5">
        <f t="shared" si="367"/>
        <v>7</v>
      </c>
      <c r="M3124" s="5">
        <f t="shared" si="368"/>
        <v>2012</v>
      </c>
    </row>
    <row r="3125" spans="1:13" ht="17.45" customHeight="1" x14ac:dyDescent="0.25">
      <c r="A3125" s="1">
        <f>DATE(2012,7,19)</f>
        <v>41109</v>
      </c>
      <c r="B3125" t="s">
        <v>17</v>
      </c>
      <c r="C3125" t="s">
        <v>9</v>
      </c>
      <c r="D3125" s="3">
        <v>466.65249999999997</v>
      </c>
      <c r="E3125" s="3">
        <v>0</v>
      </c>
      <c r="F3125" t="s">
        <v>45</v>
      </c>
      <c r="G3125" s="3">
        <f t="shared" si="362"/>
        <v>-466.65249999999997</v>
      </c>
      <c r="H3125" s="3">
        <f t="shared" si="363"/>
        <v>466.65249999999997</v>
      </c>
      <c r="I3125" s="5" t="str">
        <f t="shared" si="364"/>
        <v>017</v>
      </c>
      <c r="J3125" s="5" t="str">
        <f t="shared" si="365"/>
        <v>2220</v>
      </c>
      <c r="K3125" s="5" t="str">
        <f t="shared" si="366"/>
        <v>000</v>
      </c>
      <c r="L3125" s="5">
        <f t="shared" si="367"/>
        <v>7</v>
      </c>
      <c r="M3125" s="5">
        <f t="shared" si="368"/>
        <v>2012</v>
      </c>
    </row>
    <row r="3126" spans="1:13" ht="17.45" customHeight="1" x14ac:dyDescent="0.25">
      <c r="A3126" s="1">
        <f>DATE(2012,7,19)</f>
        <v>41109</v>
      </c>
      <c r="B3126" t="s">
        <v>18</v>
      </c>
      <c r="C3126" t="s">
        <v>10</v>
      </c>
      <c r="D3126" s="3">
        <v>123.11999999999999</v>
      </c>
      <c r="E3126" s="3">
        <v>0</v>
      </c>
      <c r="F3126" t="s">
        <v>45</v>
      </c>
      <c r="G3126" s="3">
        <f t="shared" si="362"/>
        <v>-123.11999999999999</v>
      </c>
      <c r="H3126" s="3">
        <f t="shared" si="363"/>
        <v>123.11999999999999</v>
      </c>
      <c r="I3126" s="5" t="str">
        <f t="shared" si="364"/>
        <v>017</v>
      </c>
      <c r="J3126" s="5" t="str">
        <f t="shared" si="365"/>
        <v>2230</v>
      </c>
      <c r="K3126" s="5" t="str">
        <f t="shared" si="366"/>
        <v>000</v>
      </c>
      <c r="L3126" s="5">
        <f t="shared" si="367"/>
        <v>7</v>
      </c>
      <c r="M3126" s="5">
        <f t="shared" si="368"/>
        <v>2012</v>
      </c>
    </row>
    <row r="3127" spans="1:13" ht="17.45" customHeight="1" x14ac:dyDescent="0.25">
      <c r="A3127" s="1">
        <f>DATE(2012,7,20)</f>
        <v>41110</v>
      </c>
      <c r="B3127" t="s">
        <v>15</v>
      </c>
      <c r="C3127" t="s">
        <v>6</v>
      </c>
      <c r="D3127" s="3">
        <v>10647.201399999998</v>
      </c>
      <c r="E3127" s="3">
        <v>0</v>
      </c>
      <c r="F3127" t="s">
        <v>45</v>
      </c>
      <c r="G3127" s="3">
        <f t="shared" si="362"/>
        <v>-10647.201399999998</v>
      </c>
      <c r="H3127" s="3">
        <f t="shared" si="363"/>
        <v>10647.201399999998</v>
      </c>
      <c r="I3127" s="5" t="str">
        <f t="shared" si="364"/>
        <v>017</v>
      </c>
      <c r="J3127" s="5" t="str">
        <f t="shared" si="365"/>
        <v>2100</v>
      </c>
      <c r="K3127" s="5" t="str">
        <f t="shared" si="366"/>
        <v>000</v>
      </c>
      <c r="L3127" s="5">
        <f t="shared" si="367"/>
        <v>7</v>
      </c>
      <c r="M3127" s="5">
        <f t="shared" si="368"/>
        <v>2012</v>
      </c>
    </row>
    <row r="3128" spans="1:13" ht="17.45" customHeight="1" x14ac:dyDescent="0.25">
      <c r="A3128" s="1">
        <f>DATE(2012,7,20)</f>
        <v>41110</v>
      </c>
      <c r="B3128" t="s">
        <v>16</v>
      </c>
      <c r="C3128" t="s">
        <v>8</v>
      </c>
      <c r="D3128" s="3">
        <v>2658.7</v>
      </c>
      <c r="E3128" s="3">
        <v>0</v>
      </c>
      <c r="F3128" t="s">
        <v>45</v>
      </c>
      <c r="G3128" s="3">
        <f t="shared" si="362"/>
        <v>-2658.7</v>
      </c>
      <c r="H3128" s="3">
        <f t="shared" si="363"/>
        <v>2658.7</v>
      </c>
      <c r="I3128" s="5" t="str">
        <f t="shared" si="364"/>
        <v>017</v>
      </c>
      <c r="J3128" s="5" t="str">
        <f t="shared" si="365"/>
        <v>2210</v>
      </c>
      <c r="K3128" s="5" t="str">
        <f t="shared" si="366"/>
        <v>000</v>
      </c>
      <c r="L3128" s="5">
        <f t="shared" si="367"/>
        <v>7</v>
      </c>
      <c r="M3128" s="5">
        <f t="shared" si="368"/>
        <v>2012</v>
      </c>
    </row>
    <row r="3129" spans="1:13" ht="17.45" customHeight="1" x14ac:dyDescent="0.25">
      <c r="A3129" s="1">
        <f>DATE(2012,7,20)</f>
        <v>41110</v>
      </c>
      <c r="B3129" t="s">
        <v>17</v>
      </c>
      <c r="C3129" t="s">
        <v>9</v>
      </c>
      <c r="D3129" s="3">
        <v>331.42</v>
      </c>
      <c r="E3129" s="3">
        <v>0</v>
      </c>
      <c r="F3129" t="s">
        <v>45</v>
      </c>
      <c r="G3129" s="3">
        <f t="shared" si="362"/>
        <v>-331.42</v>
      </c>
      <c r="H3129" s="3">
        <f t="shared" si="363"/>
        <v>331.42</v>
      </c>
      <c r="I3129" s="5" t="str">
        <f t="shared" si="364"/>
        <v>017</v>
      </c>
      <c r="J3129" s="5" t="str">
        <f t="shared" si="365"/>
        <v>2220</v>
      </c>
      <c r="K3129" s="5" t="str">
        <f t="shared" si="366"/>
        <v>000</v>
      </c>
      <c r="L3129" s="5">
        <f t="shared" si="367"/>
        <v>7</v>
      </c>
      <c r="M3129" s="5">
        <f t="shared" si="368"/>
        <v>2012</v>
      </c>
    </row>
    <row r="3130" spans="1:13" ht="17.45" customHeight="1" x14ac:dyDescent="0.25">
      <c r="A3130" s="1">
        <f>DATE(2012,7,20)</f>
        <v>41110</v>
      </c>
      <c r="B3130" t="s">
        <v>18</v>
      </c>
      <c r="C3130" t="s">
        <v>10</v>
      </c>
      <c r="D3130" s="3">
        <v>18.299999999999997</v>
      </c>
      <c r="E3130" s="3">
        <v>0</v>
      </c>
      <c r="F3130" t="s">
        <v>45</v>
      </c>
      <c r="G3130" s="3">
        <f t="shared" si="362"/>
        <v>-18.299999999999997</v>
      </c>
      <c r="H3130" s="3">
        <f t="shared" si="363"/>
        <v>18.299999999999997</v>
      </c>
      <c r="I3130" s="5" t="str">
        <f t="shared" si="364"/>
        <v>017</v>
      </c>
      <c r="J3130" s="5" t="str">
        <f t="shared" si="365"/>
        <v>2230</v>
      </c>
      <c r="K3130" s="5" t="str">
        <f t="shared" si="366"/>
        <v>000</v>
      </c>
      <c r="L3130" s="5">
        <f t="shared" si="367"/>
        <v>7</v>
      </c>
      <c r="M3130" s="5">
        <f t="shared" si="368"/>
        <v>2012</v>
      </c>
    </row>
    <row r="3131" spans="1:13" ht="17.45" customHeight="1" x14ac:dyDescent="0.25">
      <c r="A3131" s="1">
        <f>DATE(2012,7,21)</f>
        <v>41111</v>
      </c>
      <c r="B3131" t="s">
        <v>15</v>
      </c>
      <c r="C3131" t="s">
        <v>6</v>
      </c>
      <c r="D3131" s="3">
        <v>7104.6287999999995</v>
      </c>
      <c r="E3131" s="3">
        <v>0</v>
      </c>
      <c r="F3131" t="s">
        <v>45</v>
      </c>
      <c r="G3131" s="3">
        <f t="shared" si="362"/>
        <v>-7104.6287999999995</v>
      </c>
      <c r="H3131" s="3">
        <f t="shared" si="363"/>
        <v>7104.6287999999995</v>
      </c>
      <c r="I3131" s="5" t="str">
        <f t="shared" si="364"/>
        <v>017</v>
      </c>
      <c r="J3131" s="5" t="str">
        <f t="shared" si="365"/>
        <v>2100</v>
      </c>
      <c r="K3131" s="5" t="str">
        <f t="shared" si="366"/>
        <v>000</v>
      </c>
      <c r="L3131" s="5">
        <f t="shared" si="367"/>
        <v>7</v>
      </c>
      <c r="M3131" s="5">
        <f t="shared" si="368"/>
        <v>2012</v>
      </c>
    </row>
    <row r="3132" spans="1:13" ht="17.45" customHeight="1" x14ac:dyDescent="0.25">
      <c r="A3132" s="1">
        <f>DATE(2012,7,21)</f>
        <v>41111</v>
      </c>
      <c r="B3132" t="s">
        <v>16</v>
      </c>
      <c r="C3132" t="s">
        <v>8</v>
      </c>
      <c r="D3132" s="3">
        <v>1883.826</v>
      </c>
      <c r="E3132" s="3">
        <v>0</v>
      </c>
      <c r="F3132" t="s">
        <v>45</v>
      </c>
      <c r="G3132" s="3">
        <f t="shared" si="362"/>
        <v>-1883.826</v>
      </c>
      <c r="H3132" s="3">
        <f t="shared" si="363"/>
        <v>1883.826</v>
      </c>
      <c r="I3132" s="5" t="str">
        <f t="shared" si="364"/>
        <v>017</v>
      </c>
      <c r="J3132" s="5" t="str">
        <f t="shared" si="365"/>
        <v>2210</v>
      </c>
      <c r="K3132" s="5" t="str">
        <f t="shared" si="366"/>
        <v>000</v>
      </c>
      <c r="L3132" s="5">
        <f t="shared" si="367"/>
        <v>7</v>
      </c>
      <c r="M3132" s="5">
        <f t="shared" si="368"/>
        <v>2012</v>
      </c>
    </row>
    <row r="3133" spans="1:13" ht="17.45" customHeight="1" x14ac:dyDescent="0.25">
      <c r="A3133" s="1">
        <f>DATE(2012,7,21)</f>
        <v>41111</v>
      </c>
      <c r="B3133" t="s">
        <v>17</v>
      </c>
      <c r="C3133" t="s">
        <v>9</v>
      </c>
      <c r="D3133" s="3">
        <v>332.08500000000004</v>
      </c>
      <c r="E3133" s="3">
        <v>0</v>
      </c>
      <c r="F3133" t="s">
        <v>45</v>
      </c>
      <c r="G3133" s="3">
        <f t="shared" si="362"/>
        <v>-332.08500000000004</v>
      </c>
      <c r="H3133" s="3">
        <f t="shared" si="363"/>
        <v>332.08500000000004</v>
      </c>
      <c r="I3133" s="5" t="str">
        <f t="shared" si="364"/>
        <v>017</v>
      </c>
      <c r="J3133" s="5" t="str">
        <f t="shared" si="365"/>
        <v>2220</v>
      </c>
      <c r="K3133" s="5" t="str">
        <f t="shared" si="366"/>
        <v>000</v>
      </c>
      <c r="L3133" s="5">
        <f t="shared" si="367"/>
        <v>7</v>
      </c>
      <c r="M3133" s="5">
        <f t="shared" si="368"/>
        <v>2012</v>
      </c>
    </row>
    <row r="3134" spans="1:13" ht="17.45" customHeight="1" x14ac:dyDescent="0.25">
      <c r="A3134" s="1">
        <f>DATE(2012,7,21)</f>
        <v>41111</v>
      </c>
      <c r="B3134" t="s">
        <v>18</v>
      </c>
      <c r="C3134" t="s">
        <v>10</v>
      </c>
      <c r="D3134" s="3">
        <v>77.291999999999987</v>
      </c>
      <c r="E3134" s="3">
        <v>0</v>
      </c>
      <c r="F3134" t="s">
        <v>45</v>
      </c>
      <c r="G3134" s="3">
        <f t="shared" si="362"/>
        <v>-77.291999999999987</v>
      </c>
      <c r="H3134" s="3">
        <f t="shared" si="363"/>
        <v>77.291999999999987</v>
      </c>
      <c r="I3134" s="5" t="str">
        <f t="shared" si="364"/>
        <v>017</v>
      </c>
      <c r="J3134" s="5" t="str">
        <f t="shared" si="365"/>
        <v>2230</v>
      </c>
      <c r="K3134" s="5" t="str">
        <f t="shared" si="366"/>
        <v>000</v>
      </c>
      <c r="L3134" s="5">
        <f t="shared" si="367"/>
        <v>7</v>
      </c>
      <c r="M3134" s="5">
        <f t="shared" si="368"/>
        <v>2012</v>
      </c>
    </row>
    <row r="3135" spans="1:13" ht="17.45" customHeight="1" x14ac:dyDescent="0.25">
      <c r="A3135" s="1">
        <f>DATE(2012,7,22)</f>
        <v>41112</v>
      </c>
      <c r="B3135" t="s">
        <v>15</v>
      </c>
      <c r="C3135" t="s">
        <v>6</v>
      </c>
      <c r="D3135" s="3">
        <v>5540.2098999999998</v>
      </c>
      <c r="E3135" s="3">
        <v>0</v>
      </c>
      <c r="F3135" t="s">
        <v>45</v>
      </c>
      <c r="G3135" s="3">
        <f t="shared" si="362"/>
        <v>-5540.2098999999998</v>
      </c>
      <c r="H3135" s="3">
        <f t="shared" si="363"/>
        <v>5540.2098999999998</v>
      </c>
      <c r="I3135" s="5" t="str">
        <f t="shared" si="364"/>
        <v>017</v>
      </c>
      <c r="J3135" s="5" t="str">
        <f t="shared" si="365"/>
        <v>2100</v>
      </c>
      <c r="K3135" s="5" t="str">
        <f t="shared" si="366"/>
        <v>000</v>
      </c>
      <c r="L3135" s="5">
        <f t="shared" si="367"/>
        <v>7</v>
      </c>
      <c r="M3135" s="5">
        <f t="shared" si="368"/>
        <v>2012</v>
      </c>
    </row>
    <row r="3136" spans="1:13" ht="17.45" customHeight="1" x14ac:dyDescent="0.25">
      <c r="A3136" s="1">
        <f>DATE(2012,7,22)</f>
        <v>41112</v>
      </c>
      <c r="B3136" t="s">
        <v>16</v>
      </c>
      <c r="C3136" t="s">
        <v>8</v>
      </c>
      <c r="D3136" s="3">
        <v>1027.1200000000001</v>
      </c>
      <c r="E3136" s="3">
        <v>0</v>
      </c>
      <c r="F3136" t="s">
        <v>45</v>
      </c>
      <c r="G3136" s="3">
        <f t="shared" si="362"/>
        <v>-1027.1200000000001</v>
      </c>
      <c r="H3136" s="3">
        <f t="shared" si="363"/>
        <v>1027.1200000000001</v>
      </c>
      <c r="I3136" s="5" t="str">
        <f t="shared" si="364"/>
        <v>017</v>
      </c>
      <c r="J3136" s="5" t="str">
        <f t="shared" si="365"/>
        <v>2210</v>
      </c>
      <c r="K3136" s="5" t="str">
        <f t="shared" si="366"/>
        <v>000</v>
      </c>
      <c r="L3136" s="5">
        <f t="shared" si="367"/>
        <v>7</v>
      </c>
      <c r="M3136" s="5">
        <f t="shared" si="368"/>
        <v>2012</v>
      </c>
    </row>
    <row r="3137" spans="1:13" ht="17.45" customHeight="1" x14ac:dyDescent="0.25">
      <c r="A3137" s="1">
        <f>DATE(2012,7,22)</f>
        <v>41112</v>
      </c>
      <c r="B3137" t="s">
        <v>17</v>
      </c>
      <c r="C3137" t="s">
        <v>9</v>
      </c>
      <c r="D3137" s="3">
        <v>142.86250000000001</v>
      </c>
      <c r="E3137" s="3">
        <v>0</v>
      </c>
      <c r="F3137" t="s">
        <v>45</v>
      </c>
      <c r="G3137" s="3">
        <f t="shared" si="362"/>
        <v>-142.86250000000001</v>
      </c>
      <c r="H3137" s="3">
        <f t="shared" si="363"/>
        <v>142.86250000000001</v>
      </c>
      <c r="I3137" s="5" t="str">
        <f t="shared" si="364"/>
        <v>017</v>
      </c>
      <c r="J3137" s="5" t="str">
        <f t="shared" si="365"/>
        <v>2220</v>
      </c>
      <c r="K3137" s="5" t="str">
        <f t="shared" si="366"/>
        <v>000</v>
      </c>
      <c r="L3137" s="5">
        <f t="shared" si="367"/>
        <v>7</v>
      </c>
      <c r="M3137" s="5">
        <f t="shared" si="368"/>
        <v>2012</v>
      </c>
    </row>
    <row r="3138" spans="1:13" ht="17.45" customHeight="1" x14ac:dyDescent="0.25">
      <c r="A3138" s="1">
        <f>DATE(2012,7,22)</f>
        <v>41112</v>
      </c>
      <c r="B3138" t="s">
        <v>18</v>
      </c>
      <c r="C3138" t="s">
        <v>10</v>
      </c>
      <c r="D3138" s="3">
        <v>66.994499999999988</v>
      </c>
      <c r="E3138" s="3">
        <v>0</v>
      </c>
      <c r="F3138" t="s">
        <v>45</v>
      </c>
      <c r="G3138" s="3">
        <f t="shared" ref="G3138:G3201" si="370">E3138-D3138</f>
        <v>-66.994499999999988</v>
      </c>
      <c r="H3138" s="3">
        <f t="shared" ref="H3138:H3201" si="371">ABS(G3138)</f>
        <v>66.994499999999988</v>
      </c>
      <c r="I3138" s="5" t="str">
        <f t="shared" ref="I3138:I3201" si="372">MID(B3138,1,3)</f>
        <v>017</v>
      </c>
      <c r="J3138" s="5" t="str">
        <f t="shared" ref="J3138:J3201" si="373">MID(B3138,5,4)</f>
        <v>2230</v>
      </c>
      <c r="K3138" s="5" t="str">
        <f t="shared" ref="K3138:K3201" si="374">MID(B3138,10,3)</f>
        <v>000</v>
      </c>
      <c r="L3138" s="5">
        <f t="shared" ref="L3138:L3201" si="375">MONTH(A3138)</f>
        <v>7</v>
      </c>
      <c r="M3138" s="5">
        <f t="shared" ref="M3138:M3201" si="376">YEAR(A3138)</f>
        <v>2012</v>
      </c>
    </row>
    <row r="3139" spans="1:13" ht="17.45" customHeight="1" x14ac:dyDescent="0.25">
      <c r="A3139" s="1">
        <f>DATE(2012,7,16)</f>
        <v>41106</v>
      </c>
      <c r="B3139" t="s">
        <v>19</v>
      </c>
      <c r="C3139" t="s">
        <v>6</v>
      </c>
      <c r="D3139" s="3">
        <v>4272.1139999999996</v>
      </c>
      <c r="E3139" s="3">
        <v>0</v>
      </c>
      <c r="F3139" t="s">
        <v>45</v>
      </c>
      <c r="G3139" s="3">
        <f t="shared" si="370"/>
        <v>-4272.1139999999996</v>
      </c>
      <c r="H3139" s="3">
        <f t="shared" si="371"/>
        <v>4272.1139999999996</v>
      </c>
      <c r="I3139" s="5" t="str">
        <f t="shared" si="372"/>
        <v>018</v>
      </c>
      <c r="J3139" s="5" t="str">
        <f t="shared" si="373"/>
        <v>2100</v>
      </c>
      <c r="K3139" s="5" t="str">
        <f t="shared" si="374"/>
        <v>000</v>
      </c>
      <c r="L3139" s="5">
        <f t="shared" si="375"/>
        <v>7</v>
      </c>
      <c r="M3139" s="5">
        <f t="shared" si="376"/>
        <v>2012</v>
      </c>
    </row>
    <row r="3140" spans="1:13" ht="17.45" customHeight="1" x14ac:dyDescent="0.25">
      <c r="A3140" s="1">
        <f>DATE(2012,7,16)</f>
        <v>41106</v>
      </c>
      <c r="B3140" t="s">
        <v>20</v>
      </c>
      <c r="C3140" t="s">
        <v>8</v>
      </c>
      <c r="D3140" s="3">
        <v>506.57999999999993</v>
      </c>
      <c r="E3140" s="3">
        <v>0</v>
      </c>
      <c r="F3140" t="s">
        <v>45</v>
      </c>
      <c r="G3140" s="3">
        <f t="shared" si="370"/>
        <v>-506.57999999999993</v>
      </c>
      <c r="H3140" s="3">
        <f t="shared" si="371"/>
        <v>506.57999999999993</v>
      </c>
      <c r="I3140" s="5" t="str">
        <f t="shared" si="372"/>
        <v>018</v>
      </c>
      <c r="J3140" s="5" t="str">
        <f t="shared" si="373"/>
        <v>2210</v>
      </c>
      <c r="K3140" s="5" t="str">
        <f t="shared" si="374"/>
        <v>000</v>
      </c>
      <c r="L3140" s="5">
        <f t="shared" si="375"/>
        <v>7</v>
      </c>
      <c r="M3140" s="5">
        <f t="shared" si="376"/>
        <v>2012</v>
      </c>
    </row>
    <row r="3141" spans="1:13" ht="17.45" customHeight="1" x14ac:dyDescent="0.25">
      <c r="A3141" s="1">
        <f>DATE(2012,7,16)</f>
        <v>41106</v>
      </c>
      <c r="B3141" t="s">
        <v>21</v>
      </c>
      <c r="C3141" t="s">
        <v>9</v>
      </c>
      <c r="D3141" s="3">
        <v>188.08199999999999</v>
      </c>
      <c r="E3141" s="3">
        <v>0</v>
      </c>
      <c r="F3141" t="s">
        <v>45</v>
      </c>
      <c r="G3141" s="3">
        <f t="shared" si="370"/>
        <v>-188.08199999999999</v>
      </c>
      <c r="H3141" s="3">
        <f t="shared" si="371"/>
        <v>188.08199999999999</v>
      </c>
      <c r="I3141" s="5" t="str">
        <f t="shared" si="372"/>
        <v>018</v>
      </c>
      <c r="J3141" s="5" t="str">
        <f t="shared" si="373"/>
        <v>2220</v>
      </c>
      <c r="K3141" s="5" t="str">
        <f t="shared" si="374"/>
        <v>000</v>
      </c>
      <c r="L3141" s="5">
        <f t="shared" si="375"/>
        <v>7</v>
      </c>
      <c r="M3141" s="5">
        <f t="shared" si="376"/>
        <v>2012</v>
      </c>
    </row>
    <row r="3142" spans="1:13" ht="17.45" customHeight="1" x14ac:dyDescent="0.25">
      <c r="A3142" s="1">
        <f>DATE(2012,7,16)</f>
        <v>41106</v>
      </c>
      <c r="B3142" t="s">
        <v>22</v>
      </c>
      <c r="C3142" t="s">
        <v>10</v>
      </c>
      <c r="D3142" s="3">
        <v>39.835000000000001</v>
      </c>
      <c r="E3142" s="3">
        <v>0</v>
      </c>
      <c r="F3142" t="s">
        <v>45</v>
      </c>
      <c r="G3142" s="3">
        <f t="shared" si="370"/>
        <v>-39.835000000000001</v>
      </c>
      <c r="H3142" s="3">
        <f t="shared" si="371"/>
        <v>39.835000000000001</v>
      </c>
      <c r="I3142" s="5" t="str">
        <f t="shared" si="372"/>
        <v>018</v>
      </c>
      <c r="J3142" s="5" t="str">
        <f t="shared" si="373"/>
        <v>2230</v>
      </c>
      <c r="K3142" s="5" t="str">
        <f t="shared" si="374"/>
        <v>000</v>
      </c>
      <c r="L3142" s="5">
        <f t="shared" si="375"/>
        <v>7</v>
      </c>
      <c r="M3142" s="5">
        <f t="shared" si="376"/>
        <v>2012</v>
      </c>
    </row>
    <row r="3143" spans="1:13" ht="17.45" customHeight="1" x14ac:dyDescent="0.25">
      <c r="A3143" s="1">
        <f>DATE(2012,7,17)</f>
        <v>41107</v>
      </c>
      <c r="B3143" t="s">
        <v>19</v>
      </c>
      <c r="C3143" t="s">
        <v>6</v>
      </c>
      <c r="D3143" s="3">
        <v>4873.8620000000001</v>
      </c>
      <c r="E3143" s="3">
        <v>0</v>
      </c>
      <c r="F3143" t="s">
        <v>45</v>
      </c>
      <c r="G3143" s="3">
        <f t="shared" si="370"/>
        <v>-4873.8620000000001</v>
      </c>
      <c r="H3143" s="3">
        <f t="shared" si="371"/>
        <v>4873.8620000000001</v>
      </c>
      <c r="I3143" s="5" t="str">
        <f t="shared" si="372"/>
        <v>018</v>
      </c>
      <c r="J3143" s="5" t="str">
        <f t="shared" si="373"/>
        <v>2100</v>
      </c>
      <c r="K3143" s="5" t="str">
        <f t="shared" si="374"/>
        <v>000</v>
      </c>
      <c r="L3143" s="5">
        <f t="shared" si="375"/>
        <v>7</v>
      </c>
      <c r="M3143" s="5">
        <f t="shared" si="376"/>
        <v>2012</v>
      </c>
    </row>
    <row r="3144" spans="1:13" ht="17.45" customHeight="1" x14ac:dyDescent="0.25">
      <c r="A3144" s="1">
        <f>DATE(2012,7,17)</f>
        <v>41107</v>
      </c>
      <c r="B3144" t="s">
        <v>20</v>
      </c>
      <c r="C3144" t="s">
        <v>8</v>
      </c>
      <c r="D3144" s="3">
        <v>690.31600000000003</v>
      </c>
      <c r="E3144" s="3">
        <v>0</v>
      </c>
      <c r="F3144" t="s">
        <v>45</v>
      </c>
      <c r="G3144" s="3">
        <f t="shared" si="370"/>
        <v>-690.31600000000003</v>
      </c>
      <c r="H3144" s="3">
        <f t="shared" si="371"/>
        <v>690.31600000000003</v>
      </c>
      <c r="I3144" s="5" t="str">
        <f t="shared" si="372"/>
        <v>018</v>
      </c>
      <c r="J3144" s="5" t="str">
        <f t="shared" si="373"/>
        <v>2210</v>
      </c>
      <c r="K3144" s="5" t="str">
        <f t="shared" si="374"/>
        <v>000</v>
      </c>
      <c r="L3144" s="5">
        <f t="shared" si="375"/>
        <v>7</v>
      </c>
      <c r="M3144" s="5">
        <f t="shared" si="376"/>
        <v>2012</v>
      </c>
    </row>
    <row r="3145" spans="1:13" ht="17.45" customHeight="1" x14ac:dyDescent="0.25">
      <c r="A3145" s="1">
        <f>DATE(2012,7,17)</f>
        <v>41107</v>
      </c>
      <c r="B3145" t="s">
        <v>21</v>
      </c>
      <c r="C3145" t="s">
        <v>9</v>
      </c>
      <c r="D3145" s="3">
        <v>115.25649999999999</v>
      </c>
      <c r="E3145" s="3">
        <v>0</v>
      </c>
      <c r="F3145" t="s">
        <v>45</v>
      </c>
      <c r="G3145" s="3">
        <f t="shared" si="370"/>
        <v>-115.25649999999999</v>
      </c>
      <c r="H3145" s="3">
        <f t="shared" si="371"/>
        <v>115.25649999999999</v>
      </c>
      <c r="I3145" s="5" t="str">
        <f t="shared" si="372"/>
        <v>018</v>
      </c>
      <c r="J3145" s="5" t="str">
        <f t="shared" si="373"/>
        <v>2220</v>
      </c>
      <c r="K3145" s="5" t="str">
        <f t="shared" si="374"/>
        <v>000</v>
      </c>
      <c r="L3145" s="5">
        <f t="shared" si="375"/>
        <v>7</v>
      </c>
      <c r="M3145" s="5">
        <f t="shared" si="376"/>
        <v>2012</v>
      </c>
    </row>
    <row r="3146" spans="1:13" ht="17.45" customHeight="1" x14ac:dyDescent="0.25">
      <c r="A3146" s="1">
        <f>DATE(2012,7,17)</f>
        <v>41107</v>
      </c>
      <c r="B3146" t="s">
        <v>22</v>
      </c>
      <c r="C3146" t="s">
        <v>10</v>
      </c>
      <c r="D3146" s="3">
        <v>15.437999999999999</v>
      </c>
      <c r="E3146" s="3">
        <v>0</v>
      </c>
      <c r="F3146" t="s">
        <v>45</v>
      </c>
      <c r="G3146" s="3">
        <f t="shared" si="370"/>
        <v>-15.437999999999999</v>
      </c>
      <c r="H3146" s="3">
        <f t="shared" si="371"/>
        <v>15.437999999999999</v>
      </c>
      <c r="I3146" s="5" t="str">
        <f t="shared" si="372"/>
        <v>018</v>
      </c>
      <c r="J3146" s="5" t="str">
        <f t="shared" si="373"/>
        <v>2230</v>
      </c>
      <c r="K3146" s="5" t="str">
        <f t="shared" si="374"/>
        <v>000</v>
      </c>
      <c r="L3146" s="5">
        <f t="shared" si="375"/>
        <v>7</v>
      </c>
      <c r="M3146" s="5">
        <f t="shared" si="376"/>
        <v>2012</v>
      </c>
    </row>
    <row r="3147" spans="1:13" ht="17.45" customHeight="1" x14ac:dyDescent="0.25">
      <c r="A3147" s="1">
        <f>DATE(2012,7,18)</f>
        <v>41108</v>
      </c>
      <c r="B3147" t="s">
        <v>19</v>
      </c>
      <c r="C3147" t="s">
        <v>6</v>
      </c>
      <c r="D3147" s="3">
        <v>3720.6122999999998</v>
      </c>
      <c r="E3147" s="3">
        <v>0</v>
      </c>
      <c r="F3147" t="s">
        <v>45</v>
      </c>
      <c r="G3147" s="3">
        <f t="shared" si="370"/>
        <v>-3720.6122999999998</v>
      </c>
      <c r="H3147" s="3">
        <f t="shared" si="371"/>
        <v>3720.6122999999998</v>
      </c>
      <c r="I3147" s="5" t="str">
        <f t="shared" si="372"/>
        <v>018</v>
      </c>
      <c r="J3147" s="5" t="str">
        <f t="shared" si="373"/>
        <v>2100</v>
      </c>
      <c r="K3147" s="5" t="str">
        <f t="shared" si="374"/>
        <v>000</v>
      </c>
      <c r="L3147" s="5">
        <f t="shared" si="375"/>
        <v>7</v>
      </c>
      <c r="M3147" s="5">
        <f t="shared" si="376"/>
        <v>2012</v>
      </c>
    </row>
    <row r="3148" spans="1:13" ht="17.45" customHeight="1" x14ac:dyDescent="0.25">
      <c r="A3148" s="1">
        <f>DATE(2012,7,18)</f>
        <v>41108</v>
      </c>
      <c r="B3148" t="s">
        <v>20</v>
      </c>
      <c r="C3148" t="s">
        <v>8</v>
      </c>
      <c r="D3148" s="3">
        <v>827.54199999999992</v>
      </c>
      <c r="E3148" s="3">
        <v>0</v>
      </c>
      <c r="F3148" t="s">
        <v>45</v>
      </c>
      <c r="G3148" s="3">
        <f t="shared" si="370"/>
        <v>-827.54199999999992</v>
      </c>
      <c r="H3148" s="3">
        <f t="shared" si="371"/>
        <v>827.54199999999992</v>
      </c>
      <c r="I3148" s="5" t="str">
        <f t="shared" si="372"/>
        <v>018</v>
      </c>
      <c r="J3148" s="5" t="str">
        <f t="shared" si="373"/>
        <v>2210</v>
      </c>
      <c r="K3148" s="5" t="str">
        <f t="shared" si="374"/>
        <v>000</v>
      </c>
      <c r="L3148" s="5">
        <f t="shared" si="375"/>
        <v>7</v>
      </c>
      <c r="M3148" s="5">
        <f t="shared" si="376"/>
        <v>2012</v>
      </c>
    </row>
    <row r="3149" spans="1:13" ht="17.45" customHeight="1" x14ac:dyDescent="0.25">
      <c r="A3149" s="1">
        <f>DATE(2012,7,18)</f>
        <v>41108</v>
      </c>
      <c r="B3149" t="s">
        <v>21</v>
      </c>
      <c r="C3149" t="s">
        <v>9</v>
      </c>
      <c r="D3149" s="3">
        <v>236.89799999999997</v>
      </c>
      <c r="E3149" s="3">
        <v>0</v>
      </c>
      <c r="F3149" t="s">
        <v>45</v>
      </c>
      <c r="G3149" s="3">
        <f t="shared" si="370"/>
        <v>-236.89799999999997</v>
      </c>
      <c r="H3149" s="3">
        <f t="shared" si="371"/>
        <v>236.89799999999997</v>
      </c>
      <c r="I3149" s="5" t="str">
        <f t="shared" si="372"/>
        <v>018</v>
      </c>
      <c r="J3149" s="5" t="str">
        <f t="shared" si="373"/>
        <v>2220</v>
      </c>
      <c r="K3149" s="5" t="str">
        <f t="shared" si="374"/>
        <v>000</v>
      </c>
      <c r="L3149" s="5">
        <f t="shared" si="375"/>
        <v>7</v>
      </c>
      <c r="M3149" s="5">
        <f t="shared" si="376"/>
        <v>2012</v>
      </c>
    </row>
    <row r="3150" spans="1:13" ht="17.45" customHeight="1" x14ac:dyDescent="0.25">
      <c r="A3150" s="1">
        <f>DATE(2012,7,18)</f>
        <v>41108</v>
      </c>
      <c r="B3150" t="s">
        <v>22</v>
      </c>
      <c r="C3150" t="s">
        <v>10</v>
      </c>
      <c r="D3150" s="3">
        <v>55.768999999999998</v>
      </c>
      <c r="E3150" s="3">
        <v>0</v>
      </c>
      <c r="F3150" t="s">
        <v>45</v>
      </c>
      <c r="G3150" s="3">
        <f t="shared" si="370"/>
        <v>-55.768999999999998</v>
      </c>
      <c r="H3150" s="3">
        <f t="shared" si="371"/>
        <v>55.768999999999998</v>
      </c>
      <c r="I3150" s="5" t="str">
        <f t="shared" si="372"/>
        <v>018</v>
      </c>
      <c r="J3150" s="5" t="str">
        <f t="shared" si="373"/>
        <v>2230</v>
      </c>
      <c r="K3150" s="5" t="str">
        <f t="shared" si="374"/>
        <v>000</v>
      </c>
      <c r="L3150" s="5">
        <f t="shared" si="375"/>
        <v>7</v>
      </c>
      <c r="M3150" s="5">
        <f t="shared" si="376"/>
        <v>2012</v>
      </c>
    </row>
    <row r="3151" spans="1:13" ht="17.45" customHeight="1" x14ac:dyDescent="0.25">
      <c r="A3151" s="1">
        <f>DATE(2012,7,19)</f>
        <v>41109</v>
      </c>
      <c r="B3151" t="s">
        <v>19</v>
      </c>
      <c r="C3151" t="s">
        <v>6</v>
      </c>
      <c r="D3151" s="3">
        <v>7648.3757999999989</v>
      </c>
      <c r="E3151" s="3">
        <v>0</v>
      </c>
      <c r="F3151" t="s">
        <v>45</v>
      </c>
      <c r="G3151" s="3">
        <f t="shared" si="370"/>
        <v>-7648.3757999999989</v>
      </c>
      <c r="H3151" s="3">
        <f t="shared" si="371"/>
        <v>7648.3757999999989</v>
      </c>
      <c r="I3151" s="5" t="str">
        <f t="shared" si="372"/>
        <v>018</v>
      </c>
      <c r="J3151" s="5" t="str">
        <f t="shared" si="373"/>
        <v>2100</v>
      </c>
      <c r="K3151" s="5" t="str">
        <f t="shared" si="374"/>
        <v>000</v>
      </c>
      <c r="L3151" s="5">
        <f t="shared" si="375"/>
        <v>7</v>
      </c>
      <c r="M3151" s="5">
        <f t="shared" si="376"/>
        <v>2012</v>
      </c>
    </row>
    <row r="3152" spans="1:13" ht="17.45" customHeight="1" x14ac:dyDescent="0.25">
      <c r="A3152" s="1">
        <f>DATE(2012,7,19)</f>
        <v>41109</v>
      </c>
      <c r="B3152" t="s">
        <v>20</v>
      </c>
      <c r="C3152" t="s">
        <v>8</v>
      </c>
      <c r="D3152" s="3">
        <v>1010.9099999999999</v>
      </c>
      <c r="E3152" s="3">
        <v>0</v>
      </c>
      <c r="F3152" t="s">
        <v>45</v>
      </c>
      <c r="G3152" s="3">
        <f t="shared" si="370"/>
        <v>-1010.9099999999999</v>
      </c>
      <c r="H3152" s="3">
        <f t="shared" si="371"/>
        <v>1010.9099999999999</v>
      </c>
      <c r="I3152" s="5" t="str">
        <f t="shared" si="372"/>
        <v>018</v>
      </c>
      <c r="J3152" s="5" t="str">
        <f t="shared" si="373"/>
        <v>2210</v>
      </c>
      <c r="K3152" s="5" t="str">
        <f t="shared" si="374"/>
        <v>000</v>
      </c>
      <c r="L3152" s="5">
        <f t="shared" si="375"/>
        <v>7</v>
      </c>
      <c r="M3152" s="5">
        <f t="shared" si="376"/>
        <v>2012</v>
      </c>
    </row>
    <row r="3153" spans="1:13" ht="17.45" customHeight="1" x14ac:dyDescent="0.25">
      <c r="A3153" s="1">
        <f>DATE(2012,7,19)</f>
        <v>41109</v>
      </c>
      <c r="B3153" t="s">
        <v>21</v>
      </c>
      <c r="C3153" t="s">
        <v>9</v>
      </c>
      <c r="D3153" s="3">
        <v>262.20799999999997</v>
      </c>
      <c r="E3153" s="3">
        <v>0</v>
      </c>
      <c r="F3153" t="s">
        <v>45</v>
      </c>
      <c r="G3153" s="3">
        <f t="shared" si="370"/>
        <v>-262.20799999999997</v>
      </c>
      <c r="H3153" s="3">
        <f t="shared" si="371"/>
        <v>262.20799999999997</v>
      </c>
      <c r="I3153" s="5" t="str">
        <f t="shared" si="372"/>
        <v>018</v>
      </c>
      <c r="J3153" s="5" t="str">
        <f t="shared" si="373"/>
        <v>2220</v>
      </c>
      <c r="K3153" s="5" t="str">
        <f t="shared" si="374"/>
        <v>000</v>
      </c>
      <c r="L3153" s="5">
        <f t="shared" si="375"/>
        <v>7</v>
      </c>
      <c r="M3153" s="5">
        <f t="shared" si="376"/>
        <v>2012</v>
      </c>
    </row>
    <row r="3154" spans="1:13" ht="17.45" customHeight="1" x14ac:dyDescent="0.25">
      <c r="A3154" s="1">
        <f>DATE(2012,7,19)</f>
        <v>41109</v>
      </c>
      <c r="B3154" t="s">
        <v>22</v>
      </c>
      <c r="C3154" t="s">
        <v>10</v>
      </c>
      <c r="D3154" s="3">
        <v>93.600000000000009</v>
      </c>
      <c r="E3154" s="3">
        <v>0</v>
      </c>
      <c r="F3154" t="s">
        <v>45</v>
      </c>
      <c r="G3154" s="3">
        <f t="shared" si="370"/>
        <v>-93.600000000000009</v>
      </c>
      <c r="H3154" s="3">
        <f t="shared" si="371"/>
        <v>93.600000000000009</v>
      </c>
      <c r="I3154" s="5" t="str">
        <f t="shared" si="372"/>
        <v>018</v>
      </c>
      <c r="J3154" s="5" t="str">
        <f t="shared" si="373"/>
        <v>2230</v>
      </c>
      <c r="K3154" s="5" t="str">
        <f t="shared" si="374"/>
        <v>000</v>
      </c>
      <c r="L3154" s="5">
        <f t="shared" si="375"/>
        <v>7</v>
      </c>
      <c r="M3154" s="5">
        <f t="shared" si="376"/>
        <v>2012</v>
      </c>
    </row>
    <row r="3155" spans="1:13" ht="17.45" customHeight="1" x14ac:dyDescent="0.25">
      <c r="A3155" s="1">
        <f>DATE(2012,7,20)</f>
        <v>41110</v>
      </c>
      <c r="B3155" t="s">
        <v>19</v>
      </c>
      <c r="C3155" t="s">
        <v>6</v>
      </c>
      <c r="D3155" s="3">
        <v>8034.7302000000009</v>
      </c>
      <c r="E3155" s="3">
        <v>0</v>
      </c>
      <c r="F3155" t="s">
        <v>45</v>
      </c>
      <c r="G3155" s="3">
        <f t="shared" si="370"/>
        <v>-8034.7302000000009</v>
      </c>
      <c r="H3155" s="3">
        <f t="shared" si="371"/>
        <v>8034.7302000000009</v>
      </c>
      <c r="I3155" s="5" t="str">
        <f t="shared" si="372"/>
        <v>018</v>
      </c>
      <c r="J3155" s="5" t="str">
        <f t="shared" si="373"/>
        <v>2100</v>
      </c>
      <c r="K3155" s="5" t="str">
        <f t="shared" si="374"/>
        <v>000</v>
      </c>
      <c r="L3155" s="5">
        <f t="shared" si="375"/>
        <v>7</v>
      </c>
      <c r="M3155" s="5">
        <f t="shared" si="376"/>
        <v>2012</v>
      </c>
    </row>
    <row r="3156" spans="1:13" ht="17.45" customHeight="1" x14ac:dyDescent="0.25">
      <c r="A3156" s="1">
        <f>DATE(2012,7,20)</f>
        <v>41110</v>
      </c>
      <c r="B3156" t="s">
        <v>20</v>
      </c>
      <c r="C3156" t="s">
        <v>8</v>
      </c>
      <c r="D3156" s="3">
        <v>2064.1039999999998</v>
      </c>
      <c r="E3156" s="3">
        <v>0</v>
      </c>
      <c r="F3156" t="s">
        <v>45</v>
      </c>
      <c r="G3156" s="3">
        <f t="shared" si="370"/>
        <v>-2064.1039999999998</v>
      </c>
      <c r="H3156" s="3">
        <f t="shared" si="371"/>
        <v>2064.1039999999998</v>
      </c>
      <c r="I3156" s="5" t="str">
        <f t="shared" si="372"/>
        <v>018</v>
      </c>
      <c r="J3156" s="5" t="str">
        <f t="shared" si="373"/>
        <v>2210</v>
      </c>
      <c r="K3156" s="5" t="str">
        <f t="shared" si="374"/>
        <v>000</v>
      </c>
      <c r="L3156" s="5">
        <f t="shared" si="375"/>
        <v>7</v>
      </c>
      <c r="M3156" s="5">
        <f t="shared" si="376"/>
        <v>2012</v>
      </c>
    </row>
    <row r="3157" spans="1:13" ht="17.45" customHeight="1" x14ac:dyDescent="0.25">
      <c r="A3157" s="1">
        <f>DATE(2012,7,20)</f>
        <v>41110</v>
      </c>
      <c r="B3157" t="s">
        <v>21</v>
      </c>
      <c r="C3157" t="s">
        <v>9</v>
      </c>
      <c r="D3157" s="3">
        <v>360.29699999999997</v>
      </c>
      <c r="E3157" s="3">
        <v>0</v>
      </c>
      <c r="F3157" t="s">
        <v>45</v>
      </c>
      <c r="G3157" s="3">
        <f t="shared" si="370"/>
        <v>-360.29699999999997</v>
      </c>
      <c r="H3157" s="3">
        <f t="shared" si="371"/>
        <v>360.29699999999997</v>
      </c>
      <c r="I3157" s="5" t="str">
        <f t="shared" si="372"/>
        <v>018</v>
      </c>
      <c r="J3157" s="5" t="str">
        <f t="shared" si="373"/>
        <v>2220</v>
      </c>
      <c r="K3157" s="5" t="str">
        <f t="shared" si="374"/>
        <v>000</v>
      </c>
      <c r="L3157" s="5">
        <f t="shared" si="375"/>
        <v>7</v>
      </c>
      <c r="M3157" s="5">
        <f t="shared" si="376"/>
        <v>2012</v>
      </c>
    </row>
    <row r="3158" spans="1:13" ht="17.45" customHeight="1" x14ac:dyDescent="0.25">
      <c r="A3158" s="1">
        <f>DATE(2012,7,20)</f>
        <v>41110</v>
      </c>
      <c r="B3158" t="s">
        <v>22</v>
      </c>
      <c r="C3158" t="s">
        <v>10</v>
      </c>
      <c r="D3158" s="3">
        <v>75.167999999999992</v>
      </c>
      <c r="E3158" s="3">
        <v>0</v>
      </c>
      <c r="F3158" t="s">
        <v>45</v>
      </c>
      <c r="G3158" s="3">
        <f t="shared" si="370"/>
        <v>-75.167999999999992</v>
      </c>
      <c r="H3158" s="3">
        <f t="shared" si="371"/>
        <v>75.167999999999992</v>
      </c>
      <c r="I3158" s="5" t="str">
        <f t="shared" si="372"/>
        <v>018</v>
      </c>
      <c r="J3158" s="5" t="str">
        <f t="shared" si="373"/>
        <v>2230</v>
      </c>
      <c r="K3158" s="5" t="str">
        <f t="shared" si="374"/>
        <v>000</v>
      </c>
      <c r="L3158" s="5">
        <f t="shared" si="375"/>
        <v>7</v>
      </c>
      <c r="M3158" s="5">
        <f t="shared" si="376"/>
        <v>2012</v>
      </c>
    </row>
    <row r="3159" spans="1:13" ht="17.45" customHeight="1" x14ac:dyDescent="0.25">
      <c r="A3159" s="1">
        <f>DATE(2012,7,21)</f>
        <v>41111</v>
      </c>
      <c r="B3159" t="s">
        <v>19</v>
      </c>
      <c r="C3159" t="s">
        <v>6</v>
      </c>
      <c r="D3159" s="3">
        <v>9549.1530000000002</v>
      </c>
      <c r="E3159" s="3">
        <v>0</v>
      </c>
      <c r="F3159" t="s">
        <v>45</v>
      </c>
      <c r="G3159" s="3">
        <f t="shared" si="370"/>
        <v>-9549.1530000000002</v>
      </c>
      <c r="H3159" s="3">
        <f t="shared" si="371"/>
        <v>9549.1530000000002</v>
      </c>
      <c r="I3159" s="5" t="str">
        <f t="shared" si="372"/>
        <v>018</v>
      </c>
      <c r="J3159" s="5" t="str">
        <f t="shared" si="373"/>
        <v>2100</v>
      </c>
      <c r="K3159" s="5" t="str">
        <f t="shared" si="374"/>
        <v>000</v>
      </c>
      <c r="L3159" s="5">
        <f t="shared" si="375"/>
        <v>7</v>
      </c>
      <c r="M3159" s="5">
        <f t="shared" si="376"/>
        <v>2012</v>
      </c>
    </row>
    <row r="3160" spans="1:13" ht="17.45" customHeight="1" x14ac:dyDescent="0.25">
      <c r="A3160" s="1">
        <f>DATE(2012,7,21)</f>
        <v>41111</v>
      </c>
      <c r="B3160" t="s">
        <v>20</v>
      </c>
      <c r="C3160" t="s">
        <v>8</v>
      </c>
      <c r="D3160" s="3">
        <v>3704.2875000000004</v>
      </c>
      <c r="E3160" s="3">
        <v>0</v>
      </c>
      <c r="F3160" t="s">
        <v>45</v>
      </c>
      <c r="G3160" s="3">
        <f t="shared" si="370"/>
        <v>-3704.2875000000004</v>
      </c>
      <c r="H3160" s="3">
        <f t="shared" si="371"/>
        <v>3704.2875000000004</v>
      </c>
      <c r="I3160" s="5" t="str">
        <f t="shared" si="372"/>
        <v>018</v>
      </c>
      <c r="J3160" s="5" t="str">
        <f t="shared" si="373"/>
        <v>2210</v>
      </c>
      <c r="K3160" s="5" t="str">
        <f t="shared" si="374"/>
        <v>000</v>
      </c>
      <c r="L3160" s="5">
        <f t="shared" si="375"/>
        <v>7</v>
      </c>
      <c r="M3160" s="5">
        <f t="shared" si="376"/>
        <v>2012</v>
      </c>
    </row>
    <row r="3161" spans="1:13" ht="17.45" customHeight="1" x14ac:dyDescent="0.25">
      <c r="A3161" s="1">
        <f>DATE(2012,7,21)</f>
        <v>41111</v>
      </c>
      <c r="B3161" t="s">
        <v>21</v>
      </c>
      <c r="C3161" t="s">
        <v>9</v>
      </c>
      <c r="D3161" s="3">
        <v>974.74950000000001</v>
      </c>
      <c r="E3161" s="3">
        <v>0</v>
      </c>
      <c r="F3161" t="s">
        <v>45</v>
      </c>
      <c r="G3161" s="3">
        <f t="shared" si="370"/>
        <v>-974.74950000000001</v>
      </c>
      <c r="H3161" s="3">
        <f t="shared" si="371"/>
        <v>974.74950000000001</v>
      </c>
      <c r="I3161" s="5" t="str">
        <f t="shared" si="372"/>
        <v>018</v>
      </c>
      <c r="J3161" s="5" t="str">
        <f t="shared" si="373"/>
        <v>2220</v>
      </c>
      <c r="K3161" s="5" t="str">
        <f t="shared" si="374"/>
        <v>000</v>
      </c>
      <c r="L3161" s="5">
        <f t="shared" si="375"/>
        <v>7</v>
      </c>
      <c r="M3161" s="5">
        <f t="shared" si="376"/>
        <v>2012</v>
      </c>
    </row>
    <row r="3162" spans="1:13" ht="17.45" customHeight="1" x14ac:dyDescent="0.25">
      <c r="A3162" s="1">
        <f>DATE(2012,7,21)</f>
        <v>41111</v>
      </c>
      <c r="B3162" t="s">
        <v>22</v>
      </c>
      <c r="C3162" t="s">
        <v>10</v>
      </c>
      <c r="D3162" s="3">
        <v>140.23100000000002</v>
      </c>
      <c r="E3162" s="3">
        <v>0</v>
      </c>
      <c r="F3162" t="s">
        <v>45</v>
      </c>
      <c r="G3162" s="3">
        <f t="shared" si="370"/>
        <v>-140.23100000000002</v>
      </c>
      <c r="H3162" s="3">
        <f t="shared" si="371"/>
        <v>140.23100000000002</v>
      </c>
      <c r="I3162" s="5" t="str">
        <f t="shared" si="372"/>
        <v>018</v>
      </c>
      <c r="J3162" s="5" t="str">
        <f t="shared" si="373"/>
        <v>2230</v>
      </c>
      <c r="K3162" s="5" t="str">
        <f t="shared" si="374"/>
        <v>000</v>
      </c>
      <c r="L3162" s="5">
        <f t="shared" si="375"/>
        <v>7</v>
      </c>
      <c r="M3162" s="5">
        <f t="shared" si="376"/>
        <v>2012</v>
      </c>
    </row>
    <row r="3163" spans="1:13" ht="17.45" customHeight="1" x14ac:dyDescent="0.25">
      <c r="A3163" s="1">
        <f>DATE(2012,7,22)</f>
        <v>41112</v>
      </c>
      <c r="B3163" t="s">
        <v>19</v>
      </c>
      <c r="C3163" t="s">
        <v>6</v>
      </c>
      <c r="D3163" s="3">
        <v>8254.6380000000008</v>
      </c>
      <c r="E3163" s="3">
        <v>0</v>
      </c>
      <c r="F3163" t="s">
        <v>45</v>
      </c>
      <c r="G3163" s="3">
        <f t="shared" si="370"/>
        <v>-8254.6380000000008</v>
      </c>
      <c r="H3163" s="3">
        <f t="shared" si="371"/>
        <v>8254.6380000000008</v>
      </c>
      <c r="I3163" s="5" t="str">
        <f t="shared" si="372"/>
        <v>018</v>
      </c>
      <c r="J3163" s="5" t="str">
        <f t="shared" si="373"/>
        <v>2100</v>
      </c>
      <c r="K3163" s="5" t="str">
        <f t="shared" si="374"/>
        <v>000</v>
      </c>
      <c r="L3163" s="5">
        <f t="shared" si="375"/>
        <v>7</v>
      </c>
      <c r="M3163" s="5">
        <f t="shared" si="376"/>
        <v>2012</v>
      </c>
    </row>
    <row r="3164" spans="1:13" ht="17.45" customHeight="1" x14ac:dyDescent="0.25">
      <c r="A3164" s="1">
        <f>DATE(2012,7,22)</f>
        <v>41112</v>
      </c>
      <c r="B3164" t="s">
        <v>20</v>
      </c>
      <c r="C3164" t="s">
        <v>8</v>
      </c>
      <c r="D3164" s="3">
        <v>1227.1659999999999</v>
      </c>
      <c r="E3164" s="3">
        <v>0</v>
      </c>
      <c r="F3164" t="s">
        <v>45</v>
      </c>
      <c r="G3164" s="3">
        <f t="shared" si="370"/>
        <v>-1227.1659999999999</v>
      </c>
      <c r="H3164" s="3">
        <f t="shared" si="371"/>
        <v>1227.1659999999999</v>
      </c>
      <c r="I3164" s="5" t="str">
        <f t="shared" si="372"/>
        <v>018</v>
      </c>
      <c r="J3164" s="5" t="str">
        <f t="shared" si="373"/>
        <v>2210</v>
      </c>
      <c r="K3164" s="5" t="str">
        <f t="shared" si="374"/>
        <v>000</v>
      </c>
      <c r="L3164" s="5">
        <f t="shared" si="375"/>
        <v>7</v>
      </c>
      <c r="M3164" s="5">
        <f t="shared" si="376"/>
        <v>2012</v>
      </c>
    </row>
    <row r="3165" spans="1:13" ht="17.45" customHeight="1" x14ac:dyDescent="0.25">
      <c r="A3165" s="1">
        <f>DATE(2012,7,22)</f>
        <v>41112</v>
      </c>
      <c r="B3165" t="s">
        <v>21</v>
      </c>
      <c r="C3165" t="s">
        <v>9</v>
      </c>
      <c r="D3165" s="3">
        <v>266.91299999999995</v>
      </c>
      <c r="E3165" s="3">
        <v>0</v>
      </c>
      <c r="F3165" t="s">
        <v>45</v>
      </c>
      <c r="G3165" s="3">
        <f t="shared" si="370"/>
        <v>-266.91299999999995</v>
      </c>
      <c r="H3165" s="3">
        <f t="shared" si="371"/>
        <v>266.91299999999995</v>
      </c>
      <c r="I3165" s="5" t="str">
        <f t="shared" si="372"/>
        <v>018</v>
      </c>
      <c r="J3165" s="5" t="str">
        <f t="shared" si="373"/>
        <v>2220</v>
      </c>
      <c r="K3165" s="5" t="str">
        <f t="shared" si="374"/>
        <v>000</v>
      </c>
      <c r="L3165" s="5">
        <f t="shared" si="375"/>
        <v>7</v>
      </c>
      <c r="M3165" s="5">
        <f t="shared" si="376"/>
        <v>2012</v>
      </c>
    </row>
    <row r="3166" spans="1:13" ht="17.45" customHeight="1" x14ac:dyDescent="0.25">
      <c r="A3166" s="1">
        <f>DATE(2012,7,22)</f>
        <v>41112</v>
      </c>
      <c r="B3166" t="s">
        <v>22</v>
      </c>
      <c r="C3166" t="s">
        <v>10</v>
      </c>
      <c r="D3166" s="3">
        <v>56.101500000000001</v>
      </c>
      <c r="E3166" s="3">
        <v>0</v>
      </c>
      <c r="F3166" t="s">
        <v>45</v>
      </c>
      <c r="G3166" s="3">
        <f t="shared" si="370"/>
        <v>-56.101500000000001</v>
      </c>
      <c r="H3166" s="3">
        <f t="shared" si="371"/>
        <v>56.101500000000001</v>
      </c>
      <c r="I3166" s="5" t="str">
        <f t="shared" si="372"/>
        <v>018</v>
      </c>
      <c r="J3166" s="5" t="str">
        <f t="shared" si="373"/>
        <v>2230</v>
      </c>
      <c r="K3166" s="5" t="str">
        <f t="shared" si="374"/>
        <v>000</v>
      </c>
      <c r="L3166" s="5">
        <f t="shared" si="375"/>
        <v>7</v>
      </c>
      <c r="M3166" s="5">
        <f t="shared" si="376"/>
        <v>2012</v>
      </c>
    </row>
    <row r="3167" spans="1:13" ht="17.45" customHeight="1" x14ac:dyDescent="0.25">
      <c r="A3167" s="1">
        <f>DATE(2012,7,23)</f>
        <v>41113</v>
      </c>
      <c r="B3167" t="s">
        <v>11</v>
      </c>
      <c r="C3167" t="s">
        <v>6</v>
      </c>
      <c r="D3167" s="3">
        <v>1288.3308</v>
      </c>
      <c r="E3167" s="3">
        <v>0</v>
      </c>
      <c r="F3167" t="s">
        <v>45</v>
      </c>
      <c r="G3167" s="3">
        <f t="shared" si="370"/>
        <v>-1288.3308</v>
      </c>
      <c r="H3167" s="3">
        <f t="shared" si="371"/>
        <v>1288.3308</v>
      </c>
      <c r="I3167" s="5" t="str">
        <f t="shared" si="372"/>
        <v>016</v>
      </c>
      <c r="J3167" s="5" t="str">
        <f t="shared" si="373"/>
        <v>2100</v>
      </c>
      <c r="K3167" s="5" t="str">
        <f t="shared" si="374"/>
        <v>000</v>
      </c>
      <c r="L3167" s="5">
        <f t="shared" si="375"/>
        <v>7</v>
      </c>
      <c r="M3167" s="5">
        <f t="shared" si="376"/>
        <v>2012</v>
      </c>
    </row>
    <row r="3168" spans="1:13" ht="17.45" customHeight="1" x14ac:dyDescent="0.25">
      <c r="A3168" s="1">
        <f>DATE(2012,7,23)</f>
        <v>41113</v>
      </c>
      <c r="B3168" t="s">
        <v>12</v>
      </c>
      <c r="C3168" t="s">
        <v>8</v>
      </c>
      <c r="D3168" s="3">
        <v>345.28999999999996</v>
      </c>
      <c r="E3168" s="3">
        <v>0</v>
      </c>
      <c r="F3168" t="s">
        <v>45</v>
      </c>
      <c r="G3168" s="3">
        <f t="shared" si="370"/>
        <v>-345.28999999999996</v>
      </c>
      <c r="H3168" s="3">
        <f t="shared" si="371"/>
        <v>345.28999999999996</v>
      </c>
      <c r="I3168" s="5" t="str">
        <f t="shared" si="372"/>
        <v>016</v>
      </c>
      <c r="J3168" s="5" t="str">
        <f t="shared" si="373"/>
        <v>2210</v>
      </c>
      <c r="K3168" s="5" t="str">
        <f t="shared" si="374"/>
        <v>000</v>
      </c>
      <c r="L3168" s="5">
        <f t="shared" si="375"/>
        <v>7</v>
      </c>
      <c r="M3168" s="5">
        <f t="shared" si="376"/>
        <v>2012</v>
      </c>
    </row>
    <row r="3169" spans="1:13" ht="17.45" customHeight="1" x14ac:dyDescent="0.25">
      <c r="A3169" s="1">
        <f>DATE(2012,7,23)</f>
        <v>41113</v>
      </c>
      <c r="B3169" t="s">
        <v>13</v>
      </c>
      <c r="C3169" t="s">
        <v>9</v>
      </c>
      <c r="D3169" s="3">
        <v>35.04</v>
      </c>
      <c r="E3169" s="3">
        <v>0</v>
      </c>
      <c r="F3169" t="s">
        <v>45</v>
      </c>
      <c r="G3169" s="3">
        <f t="shared" si="370"/>
        <v>-35.04</v>
      </c>
      <c r="H3169" s="3">
        <f t="shared" si="371"/>
        <v>35.04</v>
      </c>
      <c r="I3169" s="5" t="str">
        <f t="shared" si="372"/>
        <v>016</v>
      </c>
      <c r="J3169" s="5" t="str">
        <f t="shared" si="373"/>
        <v>2220</v>
      </c>
      <c r="K3169" s="5" t="str">
        <f t="shared" si="374"/>
        <v>000</v>
      </c>
      <c r="L3169" s="5">
        <f t="shared" si="375"/>
        <v>7</v>
      </c>
      <c r="M3169" s="5">
        <f t="shared" si="376"/>
        <v>2012</v>
      </c>
    </row>
    <row r="3170" spans="1:13" ht="17.45" customHeight="1" x14ac:dyDescent="0.25">
      <c r="A3170" s="1">
        <f>DATE(2012,7,23)</f>
        <v>41113</v>
      </c>
      <c r="B3170" t="s">
        <v>14</v>
      </c>
      <c r="C3170" t="s">
        <v>10</v>
      </c>
      <c r="D3170" s="3">
        <v>25.063500000000001</v>
      </c>
      <c r="E3170" s="3">
        <v>0</v>
      </c>
      <c r="F3170" t="s">
        <v>45</v>
      </c>
      <c r="G3170" s="3">
        <f t="shared" si="370"/>
        <v>-25.063500000000001</v>
      </c>
      <c r="H3170" s="3">
        <f t="shared" si="371"/>
        <v>25.063500000000001</v>
      </c>
      <c r="I3170" s="5" t="str">
        <f t="shared" si="372"/>
        <v>016</v>
      </c>
      <c r="J3170" s="5" t="str">
        <f t="shared" si="373"/>
        <v>2230</v>
      </c>
      <c r="K3170" s="5" t="str">
        <f t="shared" si="374"/>
        <v>000</v>
      </c>
      <c r="L3170" s="5">
        <f t="shared" si="375"/>
        <v>7</v>
      </c>
      <c r="M3170" s="5">
        <f t="shared" si="376"/>
        <v>2012</v>
      </c>
    </row>
    <row r="3171" spans="1:13" ht="17.45" customHeight="1" x14ac:dyDescent="0.25">
      <c r="A3171" s="1">
        <f>DATE(2012,7,24)</f>
        <v>41114</v>
      </c>
      <c r="B3171" t="s">
        <v>11</v>
      </c>
      <c r="C3171" t="s">
        <v>6</v>
      </c>
      <c r="D3171" s="3">
        <v>3957.0832000000005</v>
      </c>
      <c r="E3171" s="3">
        <v>0</v>
      </c>
      <c r="F3171" t="s">
        <v>45</v>
      </c>
      <c r="G3171" s="3">
        <f t="shared" si="370"/>
        <v>-3957.0832000000005</v>
      </c>
      <c r="H3171" s="3">
        <f t="shared" si="371"/>
        <v>3957.0832000000005</v>
      </c>
      <c r="I3171" s="5" t="str">
        <f t="shared" si="372"/>
        <v>016</v>
      </c>
      <c r="J3171" s="5" t="str">
        <f t="shared" si="373"/>
        <v>2100</v>
      </c>
      <c r="K3171" s="5" t="str">
        <f t="shared" si="374"/>
        <v>000</v>
      </c>
      <c r="L3171" s="5">
        <f t="shared" si="375"/>
        <v>7</v>
      </c>
      <c r="M3171" s="5">
        <f t="shared" si="376"/>
        <v>2012</v>
      </c>
    </row>
    <row r="3172" spans="1:13" ht="17.45" customHeight="1" x14ac:dyDescent="0.25">
      <c r="A3172" s="1">
        <f>DATE(2012,7,24)</f>
        <v>41114</v>
      </c>
      <c r="B3172" t="s">
        <v>12</v>
      </c>
      <c r="C3172" t="s">
        <v>8</v>
      </c>
      <c r="D3172" s="3">
        <v>2833.5501000000004</v>
      </c>
      <c r="E3172" s="3">
        <v>0</v>
      </c>
      <c r="F3172" t="s">
        <v>45</v>
      </c>
      <c r="G3172" s="3">
        <f t="shared" si="370"/>
        <v>-2833.5501000000004</v>
      </c>
      <c r="H3172" s="3">
        <f t="shared" si="371"/>
        <v>2833.5501000000004</v>
      </c>
      <c r="I3172" s="5" t="str">
        <f t="shared" si="372"/>
        <v>016</v>
      </c>
      <c r="J3172" s="5" t="str">
        <f t="shared" si="373"/>
        <v>2210</v>
      </c>
      <c r="K3172" s="5" t="str">
        <f t="shared" si="374"/>
        <v>000</v>
      </c>
      <c r="L3172" s="5">
        <f t="shared" si="375"/>
        <v>7</v>
      </c>
      <c r="M3172" s="5">
        <f t="shared" si="376"/>
        <v>2012</v>
      </c>
    </row>
    <row r="3173" spans="1:13" ht="17.45" customHeight="1" x14ac:dyDescent="0.25">
      <c r="A3173" s="1">
        <f>DATE(2012,7,24)</f>
        <v>41114</v>
      </c>
      <c r="B3173" t="s">
        <v>13</v>
      </c>
      <c r="C3173" t="s">
        <v>9</v>
      </c>
      <c r="D3173" s="3">
        <v>558.65940000000012</v>
      </c>
      <c r="E3173" s="3">
        <v>0</v>
      </c>
      <c r="F3173" t="s">
        <v>45</v>
      </c>
      <c r="G3173" s="3">
        <f t="shared" si="370"/>
        <v>-558.65940000000012</v>
      </c>
      <c r="H3173" s="3">
        <f t="shared" si="371"/>
        <v>558.65940000000012</v>
      </c>
      <c r="I3173" s="5" t="str">
        <f t="shared" si="372"/>
        <v>016</v>
      </c>
      <c r="J3173" s="5" t="str">
        <f t="shared" si="373"/>
        <v>2220</v>
      </c>
      <c r="K3173" s="5" t="str">
        <f t="shared" si="374"/>
        <v>000</v>
      </c>
      <c r="L3173" s="5">
        <f t="shared" si="375"/>
        <v>7</v>
      </c>
      <c r="M3173" s="5">
        <f t="shared" si="376"/>
        <v>2012</v>
      </c>
    </row>
    <row r="3174" spans="1:13" ht="17.45" customHeight="1" x14ac:dyDescent="0.25">
      <c r="A3174" s="1">
        <f>DATE(2012,7,24)</f>
        <v>41114</v>
      </c>
      <c r="B3174" t="s">
        <v>14</v>
      </c>
      <c r="C3174" t="s">
        <v>10</v>
      </c>
      <c r="D3174" s="3">
        <v>149.036</v>
      </c>
      <c r="E3174" s="3">
        <v>0</v>
      </c>
      <c r="F3174" t="s">
        <v>45</v>
      </c>
      <c r="G3174" s="3">
        <f t="shared" si="370"/>
        <v>-149.036</v>
      </c>
      <c r="H3174" s="3">
        <f t="shared" si="371"/>
        <v>149.036</v>
      </c>
      <c r="I3174" s="5" t="str">
        <f t="shared" si="372"/>
        <v>016</v>
      </c>
      <c r="J3174" s="5" t="str">
        <f t="shared" si="373"/>
        <v>2230</v>
      </c>
      <c r="K3174" s="5" t="str">
        <f t="shared" si="374"/>
        <v>000</v>
      </c>
      <c r="L3174" s="5">
        <f t="shared" si="375"/>
        <v>7</v>
      </c>
      <c r="M3174" s="5">
        <f t="shared" si="376"/>
        <v>2012</v>
      </c>
    </row>
    <row r="3175" spans="1:13" ht="17.45" customHeight="1" x14ac:dyDescent="0.25">
      <c r="A3175" s="1">
        <f t="shared" ref="A3175:A3178" si="377">DATE(2012,7,25)</f>
        <v>41115</v>
      </c>
      <c r="B3175" t="s">
        <v>11</v>
      </c>
      <c r="C3175" t="s">
        <v>6</v>
      </c>
      <c r="D3175" s="3">
        <v>2318.5920000000001</v>
      </c>
      <c r="E3175" s="3">
        <v>0</v>
      </c>
      <c r="F3175" t="s">
        <v>45</v>
      </c>
      <c r="G3175" s="3">
        <f t="shared" si="370"/>
        <v>-2318.5920000000001</v>
      </c>
      <c r="H3175" s="3">
        <f t="shared" si="371"/>
        <v>2318.5920000000001</v>
      </c>
      <c r="I3175" s="5" t="str">
        <f t="shared" si="372"/>
        <v>016</v>
      </c>
      <c r="J3175" s="5" t="str">
        <f t="shared" si="373"/>
        <v>2100</v>
      </c>
      <c r="K3175" s="5" t="str">
        <f t="shared" si="374"/>
        <v>000</v>
      </c>
      <c r="L3175" s="5">
        <f t="shared" si="375"/>
        <v>7</v>
      </c>
      <c r="M3175" s="5">
        <f t="shared" si="376"/>
        <v>2012</v>
      </c>
    </row>
    <row r="3176" spans="1:13" ht="17.45" customHeight="1" x14ac:dyDescent="0.25">
      <c r="A3176" s="1">
        <f t="shared" si="377"/>
        <v>41115</v>
      </c>
      <c r="B3176" t="s">
        <v>12</v>
      </c>
      <c r="C3176" t="s">
        <v>8</v>
      </c>
      <c r="D3176" s="3">
        <v>1015.7460000000001</v>
      </c>
      <c r="E3176" s="3">
        <v>0</v>
      </c>
      <c r="F3176" t="s">
        <v>45</v>
      </c>
      <c r="G3176" s="3">
        <f t="shared" si="370"/>
        <v>-1015.7460000000001</v>
      </c>
      <c r="H3176" s="3">
        <f t="shared" si="371"/>
        <v>1015.7460000000001</v>
      </c>
      <c r="I3176" s="5" t="str">
        <f t="shared" si="372"/>
        <v>016</v>
      </c>
      <c r="J3176" s="5" t="str">
        <f t="shared" si="373"/>
        <v>2210</v>
      </c>
      <c r="K3176" s="5" t="str">
        <f t="shared" si="374"/>
        <v>000</v>
      </c>
      <c r="L3176" s="5">
        <f t="shared" si="375"/>
        <v>7</v>
      </c>
      <c r="M3176" s="5">
        <f t="shared" si="376"/>
        <v>2012</v>
      </c>
    </row>
    <row r="3177" spans="1:13" ht="17.45" customHeight="1" x14ac:dyDescent="0.25">
      <c r="A3177" s="1">
        <f t="shared" si="377"/>
        <v>41115</v>
      </c>
      <c r="B3177" t="s">
        <v>13</v>
      </c>
      <c r="C3177" t="s">
        <v>9</v>
      </c>
      <c r="D3177" s="3">
        <v>262.20599999999996</v>
      </c>
      <c r="E3177" s="3">
        <v>0</v>
      </c>
      <c r="F3177" t="s">
        <v>45</v>
      </c>
      <c r="G3177" s="3">
        <f t="shared" si="370"/>
        <v>-262.20599999999996</v>
      </c>
      <c r="H3177" s="3">
        <f t="shared" si="371"/>
        <v>262.20599999999996</v>
      </c>
      <c r="I3177" s="5" t="str">
        <f t="shared" si="372"/>
        <v>016</v>
      </c>
      <c r="J3177" s="5" t="str">
        <f t="shared" si="373"/>
        <v>2220</v>
      </c>
      <c r="K3177" s="5" t="str">
        <f t="shared" si="374"/>
        <v>000</v>
      </c>
      <c r="L3177" s="5">
        <f t="shared" si="375"/>
        <v>7</v>
      </c>
      <c r="M3177" s="5">
        <f t="shared" si="376"/>
        <v>2012</v>
      </c>
    </row>
    <row r="3178" spans="1:13" ht="17.45" customHeight="1" x14ac:dyDescent="0.25">
      <c r="A3178" s="1">
        <f t="shared" si="377"/>
        <v>41115</v>
      </c>
      <c r="B3178" t="s">
        <v>14</v>
      </c>
      <c r="C3178" t="s">
        <v>10</v>
      </c>
      <c r="D3178" s="3">
        <v>37.417000000000002</v>
      </c>
      <c r="E3178" s="3">
        <v>0</v>
      </c>
      <c r="F3178" t="s">
        <v>45</v>
      </c>
      <c r="G3178" s="3">
        <f t="shared" si="370"/>
        <v>-37.417000000000002</v>
      </c>
      <c r="H3178" s="3">
        <f t="shared" si="371"/>
        <v>37.417000000000002</v>
      </c>
      <c r="I3178" s="5" t="str">
        <f t="shared" si="372"/>
        <v>016</v>
      </c>
      <c r="J3178" s="5" t="str">
        <f t="shared" si="373"/>
        <v>2230</v>
      </c>
      <c r="K3178" s="5" t="str">
        <f t="shared" si="374"/>
        <v>000</v>
      </c>
      <c r="L3178" s="5">
        <f t="shared" si="375"/>
        <v>7</v>
      </c>
      <c r="M3178" s="5">
        <f t="shared" si="376"/>
        <v>2012</v>
      </c>
    </row>
    <row r="3179" spans="1:13" ht="17.45" customHeight="1" x14ac:dyDescent="0.25">
      <c r="A3179" s="1">
        <f>DATE(2012,7,26)</f>
        <v>41116</v>
      </c>
      <c r="B3179" t="s">
        <v>11</v>
      </c>
      <c r="C3179" t="s">
        <v>6</v>
      </c>
      <c r="D3179" s="3">
        <v>3946.0230000000001</v>
      </c>
      <c r="E3179" s="3">
        <v>0</v>
      </c>
      <c r="F3179" t="s">
        <v>45</v>
      </c>
      <c r="G3179" s="3">
        <f t="shared" si="370"/>
        <v>-3946.0230000000001</v>
      </c>
      <c r="H3179" s="3">
        <f t="shared" si="371"/>
        <v>3946.0230000000001</v>
      </c>
      <c r="I3179" s="5" t="str">
        <f t="shared" si="372"/>
        <v>016</v>
      </c>
      <c r="J3179" s="5" t="str">
        <f t="shared" si="373"/>
        <v>2100</v>
      </c>
      <c r="K3179" s="5" t="str">
        <f t="shared" si="374"/>
        <v>000</v>
      </c>
      <c r="L3179" s="5">
        <f t="shared" si="375"/>
        <v>7</v>
      </c>
      <c r="M3179" s="5">
        <f t="shared" si="376"/>
        <v>2012</v>
      </c>
    </row>
    <row r="3180" spans="1:13" ht="17.45" customHeight="1" x14ac:dyDescent="0.25">
      <c r="A3180" s="1">
        <f>DATE(2012,7,26)</f>
        <v>41116</v>
      </c>
      <c r="B3180" t="s">
        <v>12</v>
      </c>
      <c r="C3180" t="s">
        <v>8</v>
      </c>
      <c r="D3180" s="3">
        <v>925.96199999999999</v>
      </c>
      <c r="E3180" s="3">
        <v>0</v>
      </c>
      <c r="F3180" t="s">
        <v>45</v>
      </c>
      <c r="G3180" s="3">
        <f t="shared" si="370"/>
        <v>-925.96199999999999</v>
      </c>
      <c r="H3180" s="3">
        <f t="shared" si="371"/>
        <v>925.96199999999999</v>
      </c>
      <c r="I3180" s="5" t="str">
        <f t="shared" si="372"/>
        <v>016</v>
      </c>
      <c r="J3180" s="5" t="str">
        <f t="shared" si="373"/>
        <v>2210</v>
      </c>
      <c r="K3180" s="5" t="str">
        <f t="shared" si="374"/>
        <v>000</v>
      </c>
      <c r="L3180" s="5">
        <f t="shared" si="375"/>
        <v>7</v>
      </c>
      <c r="M3180" s="5">
        <f t="shared" si="376"/>
        <v>2012</v>
      </c>
    </row>
    <row r="3181" spans="1:13" ht="17.45" customHeight="1" x14ac:dyDescent="0.25">
      <c r="A3181" s="1">
        <f>DATE(2012,7,26)</f>
        <v>41116</v>
      </c>
      <c r="B3181" t="s">
        <v>13</v>
      </c>
      <c r="C3181" t="s">
        <v>9</v>
      </c>
      <c r="D3181" s="3">
        <v>196.977</v>
      </c>
      <c r="E3181" s="3">
        <v>0</v>
      </c>
      <c r="F3181" t="s">
        <v>45</v>
      </c>
      <c r="G3181" s="3">
        <f t="shared" si="370"/>
        <v>-196.977</v>
      </c>
      <c r="H3181" s="3">
        <f t="shared" si="371"/>
        <v>196.977</v>
      </c>
      <c r="I3181" s="5" t="str">
        <f t="shared" si="372"/>
        <v>016</v>
      </c>
      <c r="J3181" s="5" t="str">
        <f t="shared" si="373"/>
        <v>2220</v>
      </c>
      <c r="K3181" s="5" t="str">
        <f t="shared" si="374"/>
        <v>000</v>
      </c>
      <c r="L3181" s="5">
        <f t="shared" si="375"/>
        <v>7</v>
      </c>
      <c r="M3181" s="5">
        <f t="shared" si="376"/>
        <v>2012</v>
      </c>
    </row>
    <row r="3182" spans="1:13" ht="17.45" customHeight="1" x14ac:dyDescent="0.25">
      <c r="A3182" s="1">
        <f>DATE(2012,7,26)</f>
        <v>41116</v>
      </c>
      <c r="B3182" t="s">
        <v>14</v>
      </c>
      <c r="C3182" t="s">
        <v>10</v>
      </c>
      <c r="D3182" s="3">
        <v>35.539500000000004</v>
      </c>
      <c r="E3182" s="3">
        <v>0</v>
      </c>
      <c r="F3182" t="s">
        <v>45</v>
      </c>
      <c r="G3182" s="3">
        <f t="shared" si="370"/>
        <v>-35.539500000000004</v>
      </c>
      <c r="H3182" s="3">
        <f t="shared" si="371"/>
        <v>35.539500000000004</v>
      </c>
      <c r="I3182" s="5" t="str">
        <f t="shared" si="372"/>
        <v>016</v>
      </c>
      <c r="J3182" s="5" t="str">
        <f t="shared" si="373"/>
        <v>2230</v>
      </c>
      <c r="K3182" s="5" t="str">
        <f t="shared" si="374"/>
        <v>000</v>
      </c>
      <c r="L3182" s="5">
        <f t="shared" si="375"/>
        <v>7</v>
      </c>
      <c r="M3182" s="5">
        <f t="shared" si="376"/>
        <v>2012</v>
      </c>
    </row>
    <row r="3183" spans="1:13" ht="17.45" customHeight="1" x14ac:dyDescent="0.25">
      <c r="A3183" s="1">
        <f>DATE(2012,7,27)</f>
        <v>41117</v>
      </c>
      <c r="B3183" t="s">
        <v>11</v>
      </c>
      <c r="C3183" t="s">
        <v>6</v>
      </c>
      <c r="D3183" s="3">
        <v>9319.5360000000001</v>
      </c>
      <c r="E3183" s="3">
        <v>0</v>
      </c>
      <c r="F3183" t="s">
        <v>45</v>
      </c>
      <c r="G3183" s="3">
        <f t="shared" si="370"/>
        <v>-9319.5360000000001</v>
      </c>
      <c r="H3183" s="3">
        <f t="shared" si="371"/>
        <v>9319.5360000000001</v>
      </c>
      <c r="I3183" s="5" t="str">
        <f t="shared" si="372"/>
        <v>016</v>
      </c>
      <c r="J3183" s="5" t="str">
        <f t="shared" si="373"/>
        <v>2100</v>
      </c>
      <c r="K3183" s="5" t="str">
        <f t="shared" si="374"/>
        <v>000</v>
      </c>
      <c r="L3183" s="5">
        <f t="shared" si="375"/>
        <v>7</v>
      </c>
      <c r="M3183" s="5">
        <f t="shared" si="376"/>
        <v>2012</v>
      </c>
    </row>
    <row r="3184" spans="1:13" ht="17.45" customHeight="1" x14ac:dyDescent="0.25">
      <c r="A3184" s="1">
        <f>DATE(2012,7,27)</f>
        <v>41117</v>
      </c>
      <c r="B3184" t="s">
        <v>12</v>
      </c>
      <c r="C3184" t="s">
        <v>8</v>
      </c>
      <c r="D3184" s="3">
        <v>3007.4830000000002</v>
      </c>
      <c r="E3184" s="3">
        <v>0</v>
      </c>
      <c r="F3184" t="s">
        <v>45</v>
      </c>
      <c r="G3184" s="3">
        <f t="shared" si="370"/>
        <v>-3007.4830000000002</v>
      </c>
      <c r="H3184" s="3">
        <f t="shared" si="371"/>
        <v>3007.4830000000002</v>
      </c>
      <c r="I3184" s="5" t="str">
        <f t="shared" si="372"/>
        <v>016</v>
      </c>
      <c r="J3184" s="5" t="str">
        <f t="shared" si="373"/>
        <v>2210</v>
      </c>
      <c r="K3184" s="5" t="str">
        <f t="shared" si="374"/>
        <v>000</v>
      </c>
      <c r="L3184" s="5">
        <f t="shared" si="375"/>
        <v>7</v>
      </c>
      <c r="M3184" s="5">
        <f t="shared" si="376"/>
        <v>2012</v>
      </c>
    </row>
    <row r="3185" spans="1:13" ht="17.45" customHeight="1" x14ac:dyDescent="0.25">
      <c r="A3185" s="1">
        <f>DATE(2012,7,27)</f>
        <v>41117</v>
      </c>
      <c r="B3185" t="s">
        <v>13</v>
      </c>
      <c r="C3185" t="s">
        <v>9</v>
      </c>
      <c r="D3185" s="3">
        <v>890.04449999999997</v>
      </c>
      <c r="E3185" s="3">
        <v>0</v>
      </c>
      <c r="F3185" t="s">
        <v>45</v>
      </c>
      <c r="G3185" s="3">
        <f t="shared" si="370"/>
        <v>-890.04449999999997</v>
      </c>
      <c r="H3185" s="3">
        <f t="shared" si="371"/>
        <v>890.04449999999997</v>
      </c>
      <c r="I3185" s="5" t="str">
        <f t="shared" si="372"/>
        <v>016</v>
      </c>
      <c r="J3185" s="5" t="str">
        <f t="shared" si="373"/>
        <v>2220</v>
      </c>
      <c r="K3185" s="5" t="str">
        <f t="shared" si="374"/>
        <v>000</v>
      </c>
      <c r="L3185" s="5">
        <f t="shared" si="375"/>
        <v>7</v>
      </c>
      <c r="M3185" s="5">
        <f t="shared" si="376"/>
        <v>2012</v>
      </c>
    </row>
    <row r="3186" spans="1:13" ht="17.45" customHeight="1" x14ac:dyDescent="0.25">
      <c r="A3186" s="1">
        <f>DATE(2012,7,27)</f>
        <v>41117</v>
      </c>
      <c r="B3186" t="s">
        <v>14</v>
      </c>
      <c r="C3186" t="s">
        <v>10</v>
      </c>
      <c r="D3186" s="3">
        <v>248.20250000000001</v>
      </c>
      <c r="E3186" s="3">
        <v>0</v>
      </c>
      <c r="F3186" t="s">
        <v>45</v>
      </c>
      <c r="G3186" s="3">
        <f t="shared" si="370"/>
        <v>-248.20250000000001</v>
      </c>
      <c r="H3186" s="3">
        <f t="shared" si="371"/>
        <v>248.20250000000001</v>
      </c>
      <c r="I3186" s="5" t="str">
        <f t="shared" si="372"/>
        <v>016</v>
      </c>
      <c r="J3186" s="5" t="str">
        <f t="shared" si="373"/>
        <v>2230</v>
      </c>
      <c r="K3186" s="5" t="str">
        <f t="shared" si="374"/>
        <v>000</v>
      </c>
      <c r="L3186" s="5">
        <f t="shared" si="375"/>
        <v>7</v>
      </c>
      <c r="M3186" s="5">
        <f t="shared" si="376"/>
        <v>2012</v>
      </c>
    </row>
    <row r="3187" spans="1:13" ht="17.45" customHeight="1" x14ac:dyDescent="0.25">
      <c r="A3187" s="1">
        <f>DATE(2012,7,28)</f>
        <v>41118</v>
      </c>
      <c r="B3187" t="s">
        <v>11</v>
      </c>
      <c r="C3187" t="s">
        <v>6</v>
      </c>
      <c r="D3187" s="3">
        <v>6131.0700000000006</v>
      </c>
      <c r="E3187" s="3">
        <v>0</v>
      </c>
      <c r="F3187" t="s">
        <v>45</v>
      </c>
      <c r="G3187" s="3">
        <f t="shared" si="370"/>
        <v>-6131.0700000000006</v>
      </c>
      <c r="H3187" s="3">
        <f t="shared" si="371"/>
        <v>6131.0700000000006</v>
      </c>
      <c r="I3187" s="5" t="str">
        <f t="shared" si="372"/>
        <v>016</v>
      </c>
      <c r="J3187" s="5" t="str">
        <f t="shared" si="373"/>
        <v>2100</v>
      </c>
      <c r="K3187" s="5" t="str">
        <f t="shared" si="374"/>
        <v>000</v>
      </c>
      <c r="L3187" s="5">
        <f t="shared" si="375"/>
        <v>7</v>
      </c>
      <c r="M3187" s="5">
        <f t="shared" si="376"/>
        <v>2012</v>
      </c>
    </row>
    <row r="3188" spans="1:13" ht="17.45" customHeight="1" x14ac:dyDescent="0.25">
      <c r="A3188" s="1">
        <f>DATE(2012,7,28)</f>
        <v>41118</v>
      </c>
      <c r="B3188" t="s">
        <v>12</v>
      </c>
      <c r="C3188" t="s">
        <v>8</v>
      </c>
      <c r="D3188" s="3">
        <v>2902.4380000000001</v>
      </c>
      <c r="E3188" s="3">
        <v>0</v>
      </c>
      <c r="F3188" t="s">
        <v>45</v>
      </c>
      <c r="G3188" s="3">
        <f t="shared" si="370"/>
        <v>-2902.4380000000001</v>
      </c>
      <c r="H3188" s="3">
        <f t="shared" si="371"/>
        <v>2902.4380000000001</v>
      </c>
      <c r="I3188" s="5" t="str">
        <f t="shared" si="372"/>
        <v>016</v>
      </c>
      <c r="J3188" s="5" t="str">
        <f t="shared" si="373"/>
        <v>2210</v>
      </c>
      <c r="K3188" s="5" t="str">
        <f t="shared" si="374"/>
        <v>000</v>
      </c>
      <c r="L3188" s="5">
        <f t="shared" si="375"/>
        <v>7</v>
      </c>
      <c r="M3188" s="5">
        <f t="shared" si="376"/>
        <v>2012</v>
      </c>
    </row>
    <row r="3189" spans="1:13" ht="17.45" customHeight="1" x14ac:dyDescent="0.25">
      <c r="A3189" s="1">
        <f>DATE(2012,7,28)</f>
        <v>41118</v>
      </c>
      <c r="B3189" t="s">
        <v>13</v>
      </c>
      <c r="C3189" t="s">
        <v>9</v>
      </c>
      <c r="D3189" s="3">
        <v>520.65</v>
      </c>
      <c r="E3189" s="3">
        <v>0</v>
      </c>
      <c r="F3189" t="s">
        <v>45</v>
      </c>
      <c r="G3189" s="3">
        <f t="shared" si="370"/>
        <v>-520.65</v>
      </c>
      <c r="H3189" s="3">
        <f t="shared" si="371"/>
        <v>520.65</v>
      </c>
      <c r="I3189" s="5" t="str">
        <f t="shared" si="372"/>
        <v>016</v>
      </c>
      <c r="J3189" s="5" t="str">
        <f t="shared" si="373"/>
        <v>2220</v>
      </c>
      <c r="K3189" s="5" t="str">
        <f t="shared" si="374"/>
        <v>000</v>
      </c>
      <c r="L3189" s="5">
        <f t="shared" si="375"/>
        <v>7</v>
      </c>
      <c r="M3189" s="5">
        <f t="shared" si="376"/>
        <v>2012</v>
      </c>
    </row>
    <row r="3190" spans="1:13" ht="17.45" customHeight="1" x14ac:dyDescent="0.25">
      <c r="A3190" s="1">
        <f>DATE(2012,7,28)</f>
        <v>41118</v>
      </c>
      <c r="B3190" t="s">
        <v>14</v>
      </c>
      <c r="C3190" t="s">
        <v>10</v>
      </c>
      <c r="D3190" s="3">
        <v>142.00200000000001</v>
      </c>
      <c r="E3190" s="3">
        <v>0</v>
      </c>
      <c r="F3190" t="s">
        <v>45</v>
      </c>
      <c r="G3190" s="3">
        <f t="shared" si="370"/>
        <v>-142.00200000000001</v>
      </c>
      <c r="H3190" s="3">
        <f t="shared" si="371"/>
        <v>142.00200000000001</v>
      </c>
      <c r="I3190" s="5" t="str">
        <f t="shared" si="372"/>
        <v>016</v>
      </c>
      <c r="J3190" s="5" t="str">
        <f t="shared" si="373"/>
        <v>2230</v>
      </c>
      <c r="K3190" s="5" t="str">
        <f t="shared" si="374"/>
        <v>000</v>
      </c>
      <c r="L3190" s="5">
        <f t="shared" si="375"/>
        <v>7</v>
      </c>
      <c r="M3190" s="5">
        <f t="shared" si="376"/>
        <v>2012</v>
      </c>
    </row>
    <row r="3191" spans="1:13" ht="17.45" customHeight="1" x14ac:dyDescent="0.25">
      <c r="A3191" s="1">
        <f>DATE(2012,7,29)</f>
        <v>41119</v>
      </c>
      <c r="B3191" t="s">
        <v>11</v>
      </c>
      <c r="C3191" t="s">
        <v>6</v>
      </c>
      <c r="D3191" s="3">
        <v>5426.9182000000001</v>
      </c>
      <c r="E3191" s="3">
        <v>0</v>
      </c>
      <c r="F3191" t="s">
        <v>45</v>
      </c>
      <c r="G3191" s="3">
        <f t="shared" si="370"/>
        <v>-5426.9182000000001</v>
      </c>
      <c r="H3191" s="3">
        <f t="shared" si="371"/>
        <v>5426.9182000000001</v>
      </c>
      <c r="I3191" s="5" t="str">
        <f t="shared" si="372"/>
        <v>016</v>
      </c>
      <c r="J3191" s="5" t="str">
        <f t="shared" si="373"/>
        <v>2100</v>
      </c>
      <c r="K3191" s="5" t="str">
        <f t="shared" si="374"/>
        <v>000</v>
      </c>
      <c r="L3191" s="5">
        <f t="shared" si="375"/>
        <v>7</v>
      </c>
      <c r="M3191" s="5">
        <f t="shared" si="376"/>
        <v>2012</v>
      </c>
    </row>
    <row r="3192" spans="1:13" ht="17.45" customHeight="1" x14ac:dyDescent="0.25">
      <c r="A3192" s="1">
        <f>DATE(2012,7,29)</f>
        <v>41119</v>
      </c>
      <c r="B3192" t="s">
        <v>12</v>
      </c>
      <c r="C3192" t="s">
        <v>8</v>
      </c>
      <c r="D3192" s="3">
        <v>1459.1999999999998</v>
      </c>
      <c r="E3192" s="3">
        <v>0</v>
      </c>
      <c r="F3192" t="s">
        <v>45</v>
      </c>
      <c r="G3192" s="3">
        <f t="shared" si="370"/>
        <v>-1459.1999999999998</v>
      </c>
      <c r="H3192" s="3">
        <f t="shared" si="371"/>
        <v>1459.1999999999998</v>
      </c>
      <c r="I3192" s="5" t="str">
        <f t="shared" si="372"/>
        <v>016</v>
      </c>
      <c r="J3192" s="5" t="str">
        <f t="shared" si="373"/>
        <v>2210</v>
      </c>
      <c r="K3192" s="5" t="str">
        <f t="shared" si="374"/>
        <v>000</v>
      </c>
      <c r="L3192" s="5">
        <f t="shared" si="375"/>
        <v>7</v>
      </c>
      <c r="M3192" s="5">
        <f t="shared" si="376"/>
        <v>2012</v>
      </c>
    </row>
    <row r="3193" spans="1:13" ht="17.45" customHeight="1" x14ac:dyDescent="0.25">
      <c r="A3193" s="1">
        <f>DATE(2012,7,29)</f>
        <v>41119</v>
      </c>
      <c r="B3193" t="s">
        <v>13</v>
      </c>
      <c r="C3193" t="s">
        <v>9</v>
      </c>
      <c r="D3193" s="3">
        <v>144.44999999999999</v>
      </c>
      <c r="E3193" s="3">
        <v>0</v>
      </c>
      <c r="F3193" t="s">
        <v>45</v>
      </c>
      <c r="G3193" s="3">
        <f t="shared" si="370"/>
        <v>-144.44999999999999</v>
      </c>
      <c r="H3193" s="3">
        <f t="shared" si="371"/>
        <v>144.44999999999999</v>
      </c>
      <c r="I3193" s="5" t="str">
        <f t="shared" si="372"/>
        <v>016</v>
      </c>
      <c r="J3193" s="5" t="str">
        <f t="shared" si="373"/>
        <v>2220</v>
      </c>
      <c r="K3193" s="5" t="str">
        <f t="shared" si="374"/>
        <v>000</v>
      </c>
      <c r="L3193" s="5">
        <f t="shared" si="375"/>
        <v>7</v>
      </c>
      <c r="M3193" s="5">
        <f t="shared" si="376"/>
        <v>2012</v>
      </c>
    </row>
    <row r="3194" spans="1:13" ht="17.45" customHeight="1" x14ac:dyDescent="0.25">
      <c r="A3194" s="1">
        <f>DATE(2012,7,29)</f>
        <v>41119</v>
      </c>
      <c r="B3194" t="s">
        <v>14</v>
      </c>
      <c r="C3194" t="s">
        <v>10</v>
      </c>
      <c r="D3194" s="3">
        <v>115.623</v>
      </c>
      <c r="E3194" s="3">
        <v>0</v>
      </c>
      <c r="F3194" t="s">
        <v>45</v>
      </c>
      <c r="G3194" s="3">
        <f t="shared" si="370"/>
        <v>-115.623</v>
      </c>
      <c r="H3194" s="3">
        <f t="shared" si="371"/>
        <v>115.623</v>
      </c>
      <c r="I3194" s="5" t="str">
        <f t="shared" si="372"/>
        <v>016</v>
      </c>
      <c r="J3194" s="5" t="str">
        <f t="shared" si="373"/>
        <v>2230</v>
      </c>
      <c r="K3194" s="5" t="str">
        <f t="shared" si="374"/>
        <v>000</v>
      </c>
      <c r="L3194" s="5">
        <f t="shared" si="375"/>
        <v>7</v>
      </c>
      <c r="M3194" s="5">
        <f t="shared" si="376"/>
        <v>2012</v>
      </c>
    </row>
    <row r="3195" spans="1:13" ht="17.45" customHeight="1" x14ac:dyDescent="0.25">
      <c r="A3195" s="1">
        <f>DATE(2012,7,23)</f>
        <v>41113</v>
      </c>
      <c r="B3195" t="s">
        <v>15</v>
      </c>
      <c r="C3195" t="s">
        <v>6</v>
      </c>
      <c r="D3195" s="3">
        <v>6407.5192999999999</v>
      </c>
      <c r="E3195" s="3">
        <v>0</v>
      </c>
      <c r="F3195" t="s">
        <v>45</v>
      </c>
      <c r="G3195" s="3">
        <f t="shared" si="370"/>
        <v>-6407.5192999999999</v>
      </c>
      <c r="H3195" s="3">
        <f t="shared" si="371"/>
        <v>6407.5192999999999</v>
      </c>
      <c r="I3195" s="5" t="str">
        <f t="shared" si="372"/>
        <v>017</v>
      </c>
      <c r="J3195" s="5" t="str">
        <f t="shared" si="373"/>
        <v>2100</v>
      </c>
      <c r="K3195" s="5" t="str">
        <f t="shared" si="374"/>
        <v>000</v>
      </c>
      <c r="L3195" s="5">
        <f t="shared" si="375"/>
        <v>7</v>
      </c>
      <c r="M3195" s="5">
        <f t="shared" si="376"/>
        <v>2012</v>
      </c>
    </row>
    <row r="3196" spans="1:13" ht="17.45" customHeight="1" x14ac:dyDescent="0.25">
      <c r="A3196" s="1">
        <f>DATE(2012,7,23)</f>
        <v>41113</v>
      </c>
      <c r="B3196" t="s">
        <v>16</v>
      </c>
      <c r="C3196" t="s">
        <v>8</v>
      </c>
      <c r="D3196" s="3">
        <v>1038.3100000000002</v>
      </c>
      <c r="E3196" s="3">
        <v>0</v>
      </c>
      <c r="F3196" t="s">
        <v>45</v>
      </c>
      <c r="G3196" s="3">
        <f t="shared" si="370"/>
        <v>-1038.3100000000002</v>
      </c>
      <c r="H3196" s="3">
        <f t="shared" si="371"/>
        <v>1038.3100000000002</v>
      </c>
      <c r="I3196" s="5" t="str">
        <f t="shared" si="372"/>
        <v>017</v>
      </c>
      <c r="J3196" s="5" t="str">
        <f t="shared" si="373"/>
        <v>2210</v>
      </c>
      <c r="K3196" s="5" t="str">
        <f t="shared" si="374"/>
        <v>000</v>
      </c>
      <c r="L3196" s="5">
        <f t="shared" si="375"/>
        <v>7</v>
      </c>
      <c r="M3196" s="5">
        <f t="shared" si="376"/>
        <v>2012</v>
      </c>
    </row>
    <row r="3197" spans="1:13" ht="17.45" customHeight="1" x14ac:dyDescent="0.25">
      <c r="A3197" s="1">
        <f>DATE(2012,7,23)</f>
        <v>41113</v>
      </c>
      <c r="B3197" t="s">
        <v>17</v>
      </c>
      <c r="C3197" t="s">
        <v>9</v>
      </c>
      <c r="D3197" s="3">
        <v>372</v>
      </c>
      <c r="E3197" s="3">
        <v>0</v>
      </c>
      <c r="F3197" t="s">
        <v>45</v>
      </c>
      <c r="G3197" s="3">
        <f t="shared" si="370"/>
        <v>-372</v>
      </c>
      <c r="H3197" s="3">
        <f t="shared" si="371"/>
        <v>372</v>
      </c>
      <c r="I3197" s="5" t="str">
        <f t="shared" si="372"/>
        <v>017</v>
      </c>
      <c r="J3197" s="5" t="str">
        <f t="shared" si="373"/>
        <v>2220</v>
      </c>
      <c r="K3197" s="5" t="str">
        <f t="shared" si="374"/>
        <v>000</v>
      </c>
      <c r="L3197" s="5">
        <f t="shared" si="375"/>
        <v>7</v>
      </c>
      <c r="M3197" s="5">
        <f t="shared" si="376"/>
        <v>2012</v>
      </c>
    </row>
    <row r="3198" spans="1:13" ht="17.45" customHeight="1" x14ac:dyDescent="0.25">
      <c r="A3198" s="1">
        <f>DATE(2012,7,23)</f>
        <v>41113</v>
      </c>
      <c r="B3198" t="s">
        <v>18</v>
      </c>
      <c r="C3198" t="s">
        <v>10</v>
      </c>
      <c r="D3198" s="3">
        <v>68.841500000000011</v>
      </c>
      <c r="E3198" s="3">
        <v>0</v>
      </c>
      <c r="F3198" t="s">
        <v>45</v>
      </c>
      <c r="G3198" s="3">
        <f t="shared" si="370"/>
        <v>-68.841500000000011</v>
      </c>
      <c r="H3198" s="3">
        <f t="shared" si="371"/>
        <v>68.841500000000011</v>
      </c>
      <c r="I3198" s="5" t="str">
        <f t="shared" si="372"/>
        <v>017</v>
      </c>
      <c r="J3198" s="5" t="str">
        <f t="shared" si="373"/>
        <v>2230</v>
      </c>
      <c r="K3198" s="5" t="str">
        <f t="shared" si="374"/>
        <v>000</v>
      </c>
      <c r="L3198" s="5">
        <f t="shared" si="375"/>
        <v>7</v>
      </c>
      <c r="M3198" s="5">
        <f t="shared" si="376"/>
        <v>2012</v>
      </c>
    </row>
    <row r="3199" spans="1:13" ht="17.45" customHeight="1" x14ac:dyDescent="0.25">
      <c r="A3199" s="1">
        <f>DATE(2012,7,24)</f>
        <v>41114</v>
      </c>
      <c r="B3199" t="s">
        <v>15</v>
      </c>
      <c r="C3199" t="s">
        <v>6</v>
      </c>
      <c r="D3199" s="3">
        <v>10632.0669</v>
      </c>
      <c r="E3199" s="3">
        <v>0</v>
      </c>
      <c r="F3199" t="s">
        <v>45</v>
      </c>
      <c r="G3199" s="3">
        <f t="shared" si="370"/>
        <v>-10632.0669</v>
      </c>
      <c r="H3199" s="3">
        <f t="shared" si="371"/>
        <v>10632.0669</v>
      </c>
      <c r="I3199" s="5" t="str">
        <f t="shared" si="372"/>
        <v>017</v>
      </c>
      <c r="J3199" s="5" t="str">
        <f t="shared" si="373"/>
        <v>2100</v>
      </c>
      <c r="K3199" s="5" t="str">
        <f t="shared" si="374"/>
        <v>000</v>
      </c>
      <c r="L3199" s="5">
        <f t="shared" si="375"/>
        <v>7</v>
      </c>
      <c r="M3199" s="5">
        <f t="shared" si="376"/>
        <v>2012</v>
      </c>
    </row>
    <row r="3200" spans="1:13" ht="17.45" customHeight="1" x14ac:dyDescent="0.25">
      <c r="A3200" s="1">
        <f>DATE(2012,7,24)</f>
        <v>41114</v>
      </c>
      <c r="B3200" t="s">
        <v>16</v>
      </c>
      <c r="C3200" t="s">
        <v>8</v>
      </c>
      <c r="D3200" s="3">
        <v>3140.0669999999996</v>
      </c>
      <c r="E3200" s="3">
        <v>0</v>
      </c>
      <c r="F3200" t="s">
        <v>45</v>
      </c>
      <c r="G3200" s="3">
        <f t="shared" si="370"/>
        <v>-3140.0669999999996</v>
      </c>
      <c r="H3200" s="3">
        <f t="shared" si="371"/>
        <v>3140.0669999999996</v>
      </c>
      <c r="I3200" s="5" t="str">
        <f t="shared" si="372"/>
        <v>017</v>
      </c>
      <c r="J3200" s="5" t="str">
        <f t="shared" si="373"/>
        <v>2210</v>
      </c>
      <c r="K3200" s="5" t="str">
        <f t="shared" si="374"/>
        <v>000</v>
      </c>
      <c r="L3200" s="5">
        <f t="shared" si="375"/>
        <v>7</v>
      </c>
      <c r="M3200" s="5">
        <f t="shared" si="376"/>
        <v>2012</v>
      </c>
    </row>
    <row r="3201" spans="1:13" ht="17.45" customHeight="1" x14ac:dyDescent="0.25">
      <c r="A3201" s="1">
        <f>DATE(2012,7,24)</f>
        <v>41114</v>
      </c>
      <c r="B3201" t="s">
        <v>17</v>
      </c>
      <c r="C3201" t="s">
        <v>9</v>
      </c>
      <c r="D3201" s="3">
        <v>721.80000000000007</v>
      </c>
      <c r="E3201" s="3">
        <v>0</v>
      </c>
      <c r="F3201" t="s">
        <v>45</v>
      </c>
      <c r="G3201" s="3">
        <f t="shared" si="370"/>
        <v>-721.80000000000007</v>
      </c>
      <c r="H3201" s="3">
        <f t="shared" si="371"/>
        <v>721.80000000000007</v>
      </c>
      <c r="I3201" s="5" t="str">
        <f t="shared" si="372"/>
        <v>017</v>
      </c>
      <c r="J3201" s="5" t="str">
        <f t="shared" si="373"/>
        <v>2220</v>
      </c>
      <c r="K3201" s="5" t="str">
        <f t="shared" si="374"/>
        <v>000</v>
      </c>
      <c r="L3201" s="5">
        <f t="shared" si="375"/>
        <v>7</v>
      </c>
      <c r="M3201" s="5">
        <f t="shared" si="376"/>
        <v>2012</v>
      </c>
    </row>
    <row r="3202" spans="1:13" ht="17.45" customHeight="1" x14ac:dyDescent="0.25">
      <c r="A3202" s="1">
        <f>DATE(2012,7,24)</f>
        <v>41114</v>
      </c>
      <c r="B3202" t="s">
        <v>18</v>
      </c>
      <c r="C3202" t="s">
        <v>10</v>
      </c>
      <c r="D3202" s="3">
        <v>110.6545</v>
      </c>
      <c r="E3202" s="3">
        <v>0</v>
      </c>
      <c r="F3202" t="s">
        <v>45</v>
      </c>
      <c r="G3202" s="3">
        <f t="shared" ref="G3202:G3265" si="378">E3202-D3202</f>
        <v>-110.6545</v>
      </c>
      <c r="H3202" s="3">
        <f t="shared" ref="H3202:H3265" si="379">ABS(G3202)</f>
        <v>110.6545</v>
      </c>
      <c r="I3202" s="5" t="str">
        <f t="shared" ref="I3202:I3265" si="380">MID(B3202,1,3)</f>
        <v>017</v>
      </c>
      <c r="J3202" s="5" t="str">
        <f t="shared" ref="J3202:J3265" si="381">MID(B3202,5,4)</f>
        <v>2230</v>
      </c>
      <c r="K3202" s="5" t="str">
        <f t="shared" ref="K3202:K3265" si="382">MID(B3202,10,3)</f>
        <v>000</v>
      </c>
      <c r="L3202" s="5">
        <f t="shared" ref="L3202:L3265" si="383">MONTH(A3202)</f>
        <v>7</v>
      </c>
      <c r="M3202" s="5">
        <f t="shared" ref="M3202:M3265" si="384">YEAR(A3202)</f>
        <v>2012</v>
      </c>
    </row>
    <row r="3203" spans="1:13" ht="17.45" customHeight="1" x14ac:dyDescent="0.25">
      <c r="A3203" s="1">
        <f>DATE(2012,7,25)</f>
        <v>41115</v>
      </c>
      <c r="B3203" t="s">
        <v>15</v>
      </c>
      <c r="C3203" t="s">
        <v>6</v>
      </c>
      <c r="D3203" s="3">
        <v>6049.5383999999995</v>
      </c>
      <c r="E3203" s="3">
        <v>0</v>
      </c>
      <c r="F3203" t="s">
        <v>45</v>
      </c>
      <c r="G3203" s="3">
        <f t="shared" si="378"/>
        <v>-6049.5383999999995</v>
      </c>
      <c r="H3203" s="3">
        <f t="shared" si="379"/>
        <v>6049.5383999999995</v>
      </c>
      <c r="I3203" s="5" t="str">
        <f t="shared" si="380"/>
        <v>017</v>
      </c>
      <c r="J3203" s="5" t="str">
        <f t="shared" si="381"/>
        <v>2100</v>
      </c>
      <c r="K3203" s="5" t="str">
        <f t="shared" si="382"/>
        <v>000</v>
      </c>
      <c r="L3203" s="5">
        <f t="shared" si="383"/>
        <v>7</v>
      </c>
      <c r="M3203" s="5">
        <f t="shared" si="384"/>
        <v>2012</v>
      </c>
    </row>
    <row r="3204" spans="1:13" ht="17.45" customHeight="1" x14ac:dyDescent="0.25">
      <c r="A3204" s="1">
        <f>DATE(2012,7,25)</f>
        <v>41115</v>
      </c>
      <c r="B3204" t="s">
        <v>16</v>
      </c>
      <c r="C3204" t="s">
        <v>8</v>
      </c>
      <c r="D3204" s="3">
        <v>1584.4360000000001</v>
      </c>
      <c r="E3204" s="3">
        <v>0</v>
      </c>
      <c r="F3204" t="s">
        <v>45</v>
      </c>
      <c r="G3204" s="3">
        <f t="shared" si="378"/>
        <v>-1584.4360000000001</v>
      </c>
      <c r="H3204" s="3">
        <f t="shared" si="379"/>
        <v>1584.4360000000001</v>
      </c>
      <c r="I3204" s="5" t="str">
        <f t="shared" si="380"/>
        <v>017</v>
      </c>
      <c r="J3204" s="5" t="str">
        <f t="shared" si="381"/>
        <v>2210</v>
      </c>
      <c r="K3204" s="5" t="str">
        <f t="shared" si="382"/>
        <v>000</v>
      </c>
      <c r="L3204" s="5">
        <f t="shared" si="383"/>
        <v>7</v>
      </c>
      <c r="M3204" s="5">
        <f t="shared" si="384"/>
        <v>2012</v>
      </c>
    </row>
    <row r="3205" spans="1:13" ht="17.45" customHeight="1" x14ac:dyDescent="0.25">
      <c r="A3205" s="1">
        <f>DATE(2012,7,25)</f>
        <v>41115</v>
      </c>
      <c r="B3205" t="s">
        <v>17</v>
      </c>
      <c r="C3205" t="s">
        <v>9</v>
      </c>
      <c r="D3205" s="3">
        <v>497.75249999999994</v>
      </c>
      <c r="E3205" s="3">
        <v>0</v>
      </c>
      <c r="F3205" t="s">
        <v>45</v>
      </c>
      <c r="G3205" s="3">
        <f t="shared" si="378"/>
        <v>-497.75249999999994</v>
      </c>
      <c r="H3205" s="3">
        <f t="shared" si="379"/>
        <v>497.75249999999994</v>
      </c>
      <c r="I3205" s="5" t="str">
        <f t="shared" si="380"/>
        <v>017</v>
      </c>
      <c r="J3205" s="5" t="str">
        <f t="shared" si="381"/>
        <v>2220</v>
      </c>
      <c r="K3205" s="5" t="str">
        <f t="shared" si="382"/>
        <v>000</v>
      </c>
      <c r="L3205" s="5">
        <f t="shared" si="383"/>
        <v>7</v>
      </c>
      <c r="M3205" s="5">
        <f t="shared" si="384"/>
        <v>2012</v>
      </c>
    </row>
    <row r="3206" spans="1:13" ht="17.45" customHeight="1" x14ac:dyDescent="0.25">
      <c r="A3206" s="1">
        <f>DATE(2012,7,25)</f>
        <v>41115</v>
      </c>
      <c r="B3206" t="s">
        <v>18</v>
      </c>
      <c r="C3206" t="s">
        <v>10</v>
      </c>
      <c r="D3206" s="3">
        <v>121.29</v>
      </c>
      <c r="E3206" s="3">
        <v>0</v>
      </c>
      <c r="F3206" t="s">
        <v>45</v>
      </c>
      <c r="G3206" s="3">
        <f t="shared" si="378"/>
        <v>-121.29</v>
      </c>
      <c r="H3206" s="3">
        <f t="shared" si="379"/>
        <v>121.29</v>
      </c>
      <c r="I3206" s="5" t="str">
        <f t="shared" si="380"/>
        <v>017</v>
      </c>
      <c r="J3206" s="5" t="str">
        <f t="shared" si="381"/>
        <v>2230</v>
      </c>
      <c r="K3206" s="5" t="str">
        <f t="shared" si="382"/>
        <v>000</v>
      </c>
      <c r="L3206" s="5">
        <f t="shared" si="383"/>
        <v>7</v>
      </c>
      <c r="M3206" s="5">
        <f t="shared" si="384"/>
        <v>2012</v>
      </c>
    </row>
    <row r="3207" spans="1:13" ht="17.45" customHeight="1" x14ac:dyDescent="0.25">
      <c r="A3207" s="1">
        <f>DATE(2012,7,26)</f>
        <v>41116</v>
      </c>
      <c r="B3207" t="s">
        <v>15</v>
      </c>
      <c r="C3207" t="s">
        <v>6</v>
      </c>
      <c r="D3207" s="3">
        <v>4673.8859999999995</v>
      </c>
      <c r="E3207" s="3">
        <v>0</v>
      </c>
      <c r="F3207" t="s">
        <v>45</v>
      </c>
      <c r="G3207" s="3">
        <f t="shared" si="378"/>
        <v>-4673.8859999999995</v>
      </c>
      <c r="H3207" s="3">
        <f t="shared" si="379"/>
        <v>4673.8859999999995</v>
      </c>
      <c r="I3207" s="5" t="str">
        <f t="shared" si="380"/>
        <v>017</v>
      </c>
      <c r="J3207" s="5" t="str">
        <f t="shared" si="381"/>
        <v>2100</v>
      </c>
      <c r="K3207" s="5" t="str">
        <f t="shared" si="382"/>
        <v>000</v>
      </c>
      <c r="L3207" s="5">
        <f t="shared" si="383"/>
        <v>7</v>
      </c>
      <c r="M3207" s="5">
        <f t="shared" si="384"/>
        <v>2012</v>
      </c>
    </row>
    <row r="3208" spans="1:13" ht="17.45" customHeight="1" x14ac:dyDescent="0.25">
      <c r="A3208" s="1">
        <f>DATE(2012,7,26)</f>
        <v>41116</v>
      </c>
      <c r="B3208" t="s">
        <v>16</v>
      </c>
      <c r="C3208" t="s">
        <v>8</v>
      </c>
      <c r="D3208" s="3">
        <v>2816.9820000000004</v>
      </c>
      <c r="E3208" s="3">
        <v>0</v>
      </c>
      <c r="F3208" t="s">
        <v>45</v>
      </c>
      <c r="G3208" s="3">
        <f t="shared" si="378"/>
        <v>-2816.9820000000004</v>
      </c>
      <c r="H3208" s="3">
        <f t="shared" si="379"/>
        <v>2816.9820000000004</v>
      </c>
      <c r="I3208" s="5" t="str">
        <f t="shared" si="380"/>
        <v>017</v>
      </c>
      <c r="J3208" s="5" t="str">
        <f t="shared" si="381"/>
        <v>2210</v>
      </c>
      <c r="K3208" s="5" t="str">
        <f t="shared" si="382"/>
        <v>000</v>
      </c>
      <c r="L3208" s="5">
        <f t="shared" si="383"/>
        <v>7</v>
      </c>
      <c r="M3208" s="5">
        <f t="shared" si="384"/>
        <v>2012</v>
      </c>
    </row>
    <row r="3209" spans="1:13" ht="17.45" customHeight="1" x14ac:dyDescent="0.25">
      <c r="A3209" s="1">
        <f>DATE(2012,7,26)</f>
        <v>41116</v>
      </c>
      <c r="B3209" t="s">
        <v>17</v>
      </c>
      <c r="C3209" t="s">
        <v>9</v>
      </c>
      <c r="D3209" s="3">
        <v>587.57499999999993</v>
      </c>
      <c r="E3209" s="3">
        <v>0</v>
      </c>
      <c r="F3209" t="s">
        <v>45</v>
      </c>
      <c r="G3209" s="3">
        <f t="shared" si="378"/>
        <v>-587.57499999999993</v>
      </c>
      <c r="H3209" s="3">
        <f t="shared" si="379"/>
        <v>587.57499999999993</v>
      </c>
      <c r="I3209" s="5" t="str">
        <f t="shared" si="380"/>
        <v>017</v>
      </c>
      <c r="J3209" s="5" t="str">
        <f t="shared" si="381"/>
        <v>2220</v>
      </c>
      <c r="K3209" s="5" t="str">
        <f t="shared" si="382"/>
        <v>000</v>
      </c>
      <c r="L3209" s="5">
        <f t="shared" si="383"/>
        <v>7</v>
      </c>
      <c r="M3209" s="5">
        <f t="shared" si="384"/>
        <v>2012</v>
      </c>
    </row>
    <row r="3210" spans="1:13" ht="17.45" customHeight="1" x14ac:dyDescent="0.25">
      <c r="A3210" s="1">
        <f>DATE(2012,7,26)</f>
        <v>41116</v>
      </c>
      <c r="B3210" t="s">
        <v>18</v>
      </c>
      <c r="C3210" t="s">
        <v>10</v>
      </c>
      <c r="D3210" s="3">
        <v>153.30149999999998</v>
      </c>
      <c r="E3210" s="3">
        <v>0</v>
      </c>
      <c r="F3210" t="s">
        <v>45</v>
      </c>
      <c r="G3210" s="3">
        <f t="shared" si="378"/>
        <v>-153.30149999999998</v>
      </c>
      <c r="H3210" s="3">
        <f t="shared" si="379"/>
        <v>153.30149999999998</v>
      </c>
      <c r="I3210" s="5" t="str">
        <f t="shared" si="380"/>
        <v>017</v>
      </c>
      <c r="J3210" s="5" t="str">
        <f t="shared" si="381"/>
        <v>2230</v>
      </c>
      <c r="K3210" s="5" t="str">
        <f t="shared" si="382"/>
        <v>000</v>
      </c>
      <c r="L3210" s="5">
        <f t="shared" si="383"/>
        <v>7</v>
      </c>
      <c r="M3210" s="5">
        <f t="shared" si="384"/>
        <v>2012</v>
      </c>
    </row>
    <row r="3211" spans="1:13" ht="17.45" customHeight="1" x14ac:dyDescent="0.25">
      <c r="A3211" s="1">
        <f>DATE(2012,7,27)</f>
        <v>41117</v>
      </c>
      <c r="B3211" t="s">
        <v>15</v>
      </c>
      <c r="C3211" t="s">
        <v>6</v>
      </c>
      <c r="D3211" s="3">
        <v>9358.9721000000009</v>
      </c>
      <c r="E3211" s="3">
        <v>0</v>
      </c>
      <c r="F3211" t="s">
        <v>45</v>
      </c>
      <c r="G3211" s="3">
        <f t="shared" si="378"/>
        <v>-9358.9721000000009</v>
      </c>
      <c r="H3211" s="3">
        <f t="shared" si="379"/>
        <v>9358.9721000000009</v>
      </c>
      <c r="I3211" s="5" t="str">
        <f t="shared" si="380"/>
        <v>017</v>
      </c>
      <c r="J3211" s="5" t="str">
        <f t="shared" si="381"/>
        <v>2100</v>
      </c>
      <c r="K3211" s="5" t="str">
        <f t="shared" si="382"/>
        <v>000</v>
      </c>
      <c r="L3211" s="5">
        <f t="shared" si="383"/>
        <v>7</v>
      </c>
      <c r="M3211" s="5">
        <f t="shared" si="384"/>
        <v>2012</v>
      </c>
    </row>
    <row r="3212" spans="1:13" ht="17.45" customHeight="1" x14ac:dyDescent="0.25">
      <c r="A3212" s="1">
        <f>DATE(2012,7,27)</f>
        <v>41117</v>
      </c>
      <c r="B3212" t="s">
        <v>16</v>
      </c>
      <c r="C3212" t="s">
        <v>8</v>
      </c>
      <c r="D3212" s="3">
        <v>1443.31</v>
      </c>
      <c r="E3212" s="3">
        <v>0</v>
      </c>
      <c r="F3212" t="s">
        <v>45</v>
      </c>
      <c r="G3212" s="3">
        <f t="shared" si="378"/>
        <v>-1443.31</v>
      </c>
      <c r="H3212" s="3">
        <f t="shared" si="379"/>
        <v>1443.31</v>
      </c>
      <c r="I3212" s="5" t="str">
        <f t="shared" si="380"/>
        <v>017</v>
      </c>
      <c r="J3212" s="5" t="str">
        <f t="shared" si="381"/>
        <v>2210</v>
      </c>
      <c r="K3212" s="5" t="str">
        <f t="shared" si="382"/>
        <v>000</v>
      </c>
      <c r="L3212" s="5">
        <f t="shared" si="383"/>
        <v>7</v>
      </c>
      <c r="M3212" s="5">
        <f t="shared" si="384"/>
        <v>2012</v>
      </c>
    </row>
    <row r="3213" spans="1:13" ht="17.45" customHeight="1" x14ac:dyDescent="0.25">
      <c r="A3213" s="1">
        <f>DATE(2012,7,27)</f>
        <v>41117</v>
      </c>
      <c r="B3213" t="s">
        <v>17</v>
      </c>
      <c r="C3213" t="s">
        <v>9</v>
      </c>
      <c r="D3213" s="3">
        <v>358.78500000000003</v>
      </c>
      <c r="E3213" s="3">
        <v>0</v>
      </c>
      <c r="F3213" t="s">
        <v>45</v>
      </c>
      <c r="G3213" s="3">
        <f t="shared" si="378"/>
        <v>-358.78500000000003</v>
      </c>
      <c r="H3213" s="3">
        <f t="shared" si="379"/>
        <v>358.78500000000003</v>
      </c>
      <c r="I3213" s="5" t="str">
        <f t="shared" si="380"/>
        <v>017</v>
      </c>
      <c r="J3213" s="5" t="str">
        <f t="shared" si="381"/>
        <v>2220</v>
      </c>
      <c r="K3213" s="5" t="str">
        <f t="shared" si="382"/>
        <v>000</v>
      </c>
      <c r="L3213" s="5">
        <f t="shared" si="383"/>
        <v>7</v>
      </c>
      <c r="M3213" s="5">
        <f t="shared" si="384"/>
        <v>2012</v>
      </c>
    </row>
    <row r="3214" spans="1:13" ht="17.45" customHeight="1" x14ac:dyDescent="0.25">
      <c r="A3214" s="1">
        <f>DATE(2012,7,27)</f>
        <v>41117</v>
      </c>
      <c r="B3214" t="s">
        <v>18</v>
      </c>
      <c r="C3214" t="s">
        <v>10</v>
      </c>
      <c r="D3214" s="3">
        <v>82.237500000000011</v>
      </c>
      <c r="E3214" s="3">
        <v>0</v>
      </c>
      <c r="F3214" t="s">
        <v>45</v>
      </c>
      <c r="G3214" s="3">
        <f t="shared" si="378"/>
        <v>-82.237500000000011</v>
      </c>
      <c r="H3214" s="3">
        <f t="shared" si="379"/>
        <v>82.237500000000011</v>
      </c>
      <c r="I3214" s="5" t="str">
        <f t="shared" si="380"/>
        <v>017</v>
      </c>
      <c r="J3214" s="5" t="str">
        <f t="shared" si="381"/>
        <v>2230</v>
      </c>
      <c r="K3214" s="5" t="str">
        <f t="shared" si="382"/>
        <v>000</v>
      </c>
      <c r="L3214" s="5">
        <f t="shared" si="383"/>
        <v>7</v>
      </c>
      <c r="M3214" s="5">
        <f t="shared" si="384"/>
        <v>2012</v>
      </c>
    </row>
    <row r="3215" spans="1:13" ht="17.45" customHeight="1" x14ac:dyDescent="0.25">
      <c r="A3215" s="1">
        <f>DATE(2012,7,28)</f>
        <v>41118</v>
      </c>
      <c r="B3215" t="s">
        <v>15</v>
      </c>
      <c r="C3215" t="s">
        <v>6</v>
      </c>
      <c r="D3215" s="3">
        <v>6582.7876000000006</v>
      </c>
      <c r="E3215" s="3">
        <v>0</v>
      </c>
      <c r="F3215" t="s">
        <v>45</v>
      </c>
      <c r="G3215" s="3">
        <f t="shared" si="378"/>
        <v>-6582.7876000000006</v>
      </c>
      <c r="H3215" s="3">
        <f t="shared" si="379"/>
        <v>6582.7876000000006</v>
      </c>
      <c r="I3215" s="5" t="str">
        <f t="shared" si="380"/>
        <v>017</v>
      </c>
      <c r="J3215" s="5" t="str">
        <f t="shared" si="381"/>
        <v>2100</v>
      </c>
      <c r="K3215" s="5" t="str">
        <f t="shared" si="382"/>
        <v>000</v>
      </c>
      <c r="L3215" s="5">
        <f t="shared" si="383"/>
        <v>7</v>
      </c>
      <c r="M3215" s="5">
        <f t="shared" si="384"/>
        <v>2012</v>
      </c>
    </row>
    <row r="3216" spans="1:13" ht="17.45" customHeight="1" x14ac:dyDescent="0.25">
      <c r="A3216" s="1">
        <f>DATE(2012,7,28)</f>
        <v>41118</v>
      </c>
      <c r="B3216" t="s">
        <v>16</v>
      </c>
      <c r="C3216" t="s">
        <v>8</v>
      </c>
      <c r="D3216" s="3">
        <v>2124.36</v>
      </c>
      <c r="E3216" s="3">
        <v>0</v>
      </c>
      <c r="F3216" t="s">
        <v>45</v>
      </c>
      <c r="G3216" s="3">
        <f t="shared" si="378"/>
        <v>-2124.36</v>
      </c>
      <c r="H3216" s="3">
        <f t="shared" si="379"/>
        <v>2124.36</v>
      </c>
      <c r="I3216" s="5" t="str">
        <f t="shared" si="380"/>
        <v>017</v>
      </c>
      <c r="J3216" s="5" t="str">
        <f t="shared" si="381"/>
        <v>2210</v>
      </c>
      <c r="K3216" s="5" t="str">
        <f t="shared" si="382"/>
        <v>000</v>
      </c>
      <c r="L3216" s="5">
        <f t="shared" si="383"/>
        <v>7</v>
      </c>
      <c r="M3216" s="5">
        <f t="shared" si="384"/>
        <v>2012</v>
      </c>
    </row>
    <row r="3217" spans="1:13" ht="17.45" customHeight="1" x14ac:dyDescent="0.25">
      <c r="A3217" s="1">
        <f>DATE(2012,7,28)</f>
        <v>41118</v>
      </c>
      <c r="B3217" t="s">
        <v>17</v>
      </c>
      <c r="C3217" t="s">
        <v>9</v>
      </c>
      <c r="D3217" s="3">
        <v>319.90000000000003</v>
      </c>
      <c r="E3217" s="3">
        <v>0</v>
      </c>
      <c r="F3217" t="s">
        <v>45</v>
      </c>
      <c r="G3217" s="3">
        <f t="shared" si="378"/>
        <v>-319.90000000000003</v>
      </c>
      <c r="H3217" s="3">
        <f t="shared" si="379"/>
        <v>319.90000000000003</v>
      </c>
      <c r="I3217" s="5" t="str">
        <f t="shared" si="380"/>
        <v>017</v>
      </c>
      <c r="J3217" s="5" t="str">
        <f t="shared" si="381"/>
        <v>2220</v>
      </c>
      <c r="K3217" s="5" t="str">
        <f t="shared" si="382"/>
        <v>000</v>
      </c>
      <c r="L3217" s="5">
        <f t="shared" si="383"/>
        <v>7</v>
      </c>
      <c r="M3217" s="5">
        <f t="shared" si="384"/>
        <v>2012</v>
      </c>
    </row>
    <row r="3218" spans="1:13" ht="17.45" customHeight="1" x14ac:dyDescent="0.25">
      <c r="A3218" s="1">
        <f>DATE(2012,7,28)</f>
        <v>41118</v>
      </c>
      <c r="B3218" t="s">
        <v>18</v>
      </c>
      <c r="C3218" t="s">
        <v>10</v>
      </c>
      <c r="D3218" s="3">
        <v>95.175000000000011</v>
      </c>
      <c r="E3218" s="3">
        <v>0</v>
      </c>
      <c r="F3218" t="s">
        <v>45</v>
      </c>
      <c r="G3218" s="3">
        <f t="shared" si="378"/>
        <v>-95.175000000000011</v>
      </c>
      <c r="H3218" s="3">
        <f t="shared" si="379"/>
        <v>95.175000000000011</v>
      </c>
      <c r="I3218" s="5" t="str">
        <f t="shared" si="380"/>
        <v>017</v>
      </c>
      <c r="J3218" s="5" t="str">
        <f t="shared" si="381"/>
        <v>2230</v>
      </c>
      <c r="K3218" s="5" t="str">
        <f t="shared" si="382"/>
        <v>000</v>
      </c>
      <c r="L3218" s="5">
        <f t="shared" si="383"/>
        <v>7</v>
      </c>
      <c r="M3218" s="5">
        <f t="shared" si="384"/>
        <v>2012</v>
      </c>
    </row>
    <row r="3219" spans="1:13" ht="17.45" customHeight="1" x14ac:dyDescent="0.25">
      <c r="A3219" s="1">
        <f>DATE(2012,7,29)</f>
        <v>41119</v>
      </c>
      <c r="B3219" t="s">
        <v>15</v>
      </c>
      <c r="C3219" t="s">
        <v>6</v>
      </c>
      <c r="D3219" s="3">
        <v>6103.6830000000009</v>
      </c>
      <c r="E3219" s="3">
        <v>0</v>
      </c>
      <c r="F3219" t="s">
        <v>45</v>
      </c>
      <c r="G3219" s="3">
        <f t="shared" si="378"/>
        <v>-6103.6830000000009</v>
      </c>
      <c r="H3219" s="3">
        <f t="shared" si="379"/>
        <v>6103.6830000000009</v>
      </c>
      <c r="I3219" s="5" t="str">
        <f t="shared" si="380"/>
        <v>017</v>
      </c>
      <c r="J3219" s="5" t="str">
        <f t="shared" si="381"/>
        <v>2100</v>
      </c>
      <c r="K3219" s="5" t="str">
        <f t="shared" si="382"/>
        <v>000</v>
      </c>
      <c r="L3219" s="5">
        <f t="shared" si="383"/>
        <v>7</v>
      </c>
      <c r="M3219" s="5">
        <f t="shared" si="384"/>
        <v>2012</v>
      </c>
    </row>
    <row r="3220" spans="1:13" ht="17.45" customHeight="1" x14ac:dyDescent="0.25">
      <c r="A3220" s="1">
        <f>DATE(2012,7,29)</f>
        <v>41119</v>
      </c>
      <c r="B3220" t="s">
        <v>16</v>
      </c>
      <c r="C3220" t="s">
        <v>8</v>
      </c>
      <c r="D3220" s="3">
        <v>817.54200000000003</v>
      </c>
      <c r="E3220" s="3">
        <v>0</v>
      </c>
      <c r="F3220" t="s">
        <v>45</v>
      </c>
      <c r="G3220" s="3">
        <f t="shared" si="378"/>
        <v>-817.54200000000003</v>
      </c>
      <c r="H3220" s="3">
        <f t="shared" si="379"/>
        <v>817.54200000000003</v>
      </c>
      <c r="I3220" s="5" t="str">
        <f t="shared" si="380"/>
        <v>017</v>
      </c>
      <c r="J3220" s="5" t="str">
        <f t="shared" si="381"/>
        <v>2210</v>
      </c>
      <c r="K3220" s="5" t="str">
        <f t="shared" si="382"/>
        <v>000</v>
      </c>
      <c r="L3220" s="5">
        <f t="shared" si="383"/>
        <v>7</v>
      </c>
      <c r="M3220" s="5">
        <f t="shared" si="384"/>
        <v>2012</v>
      </c>
    </row>
    <row r="3221" spans="1:13" ht="17.45" customHeight="1" x14ac:dyDescent="0.25">
      <c r="A3221" s="1">
        <f>DATE(2012,7,29)</f>
        <v>41119</v>
      </c>
      <c r="B3221" t="s">
        <v>17</v>
      </c>
      <c r="C3221" t="s">
        <v>9</v>
      </c>
      <c r="D3221" s="3">
        <v>129.375</v>
      </c>
      <c r="E3221" s="3">
        <v>0</v>
      </c>
      <c r="F3221" t="s">
        <v>45</v>
      </c>
      <c r="G3221" s="3">
        <f t="shared" si="378"/>
        <v>-129.375</v>
      </c>
      <c r="H3221" s="3">
        <f t="shared" si="379"/>
        <v>129.375</v>
      </c>
      <c r="I3221" s="5" t="str">
        <f t="shared" si="380"/>
        <v>017</v>
      </c>
      <c r="J3221" s="5" t="str">
        <f t="shared" si="381"/>
        <v>2220</v>
      </c>
      <c r="K3221" s="5" t="str">
        <f t="shared" si="382"/>
        <v>000</v>
      </c>
      <c r="L3221" s="5">
        <f t="shared" si="383"/>
        <v>7</v>
      </c>
      <c r="M3221" s="5">
        <f t="shared" si="384"/>
        <v>2012</v>
      </c>
    </row>
    <row r="3222" spans="1:13" ht="17.45" customHeight="1" x14ac:dyDescent="0.25">
      <c r="A3222" s="1">
        <f>DATE(2012,7,29)</f>
        <v>41119</v>
      </c>
      <c r="B3222" t="s">
        <v>18</v>
      </c>
      <c r="C3222" t="s">
        <v>10</v>
      </c>
      <c r="D3222" s="3">
        <v>91.085999999999999</v>
      </c>
      <c r="E3222" s="3">
        <v>0</v>
      </c>
      <c r="F3222" t="s">
        <v>45</v>
      </c>
      <c r="G3222" s="3">
        <f t="shared" si="378"/>
        <v>-91.085999999999999</v>
      </c>
      <c r="H3222" s="3">
        <f t="shared" si="379"/>
        <v>91.085999999999999</v>
      </c>
      <c r="I3222" s="5" t="str">
        <f t="shared" si="380"/>
        <v>017</v>
      </c>
      <c r="J3222" s="5" t="str">
        <f t="shared" si="381"/>
        <v>2230</v>
      </c>
      <c r="K3222" s="5" t="str">
        <f t="shared" si="382"/>
        <v>000</v>
      </c>
      <c r="L3222" s="5">
        <f t="shared" si="383"/>
        <v>7</v>
      </c>
      <c r="M3222" s="5">
        <f t="shared" si="384"/>
        <v>2012</v>
      </c>
    </row>
    <row r="3223" spans="1:13" ht="17.45" customHeight="1" x14ac:dyDescent="0.25">
      <c r="A3223" s="1">
        <f>DATE(2012,7,23)</f>
        <v>41113</v>
      </c>
      <c r="B3223" t="s">
        <v>19</v>
      </c>
      <c r="C3223" t="s">
        <v>6</v>
      </c>
      <c r="D3223" s="3">
        <v>4700.3149999999996</v>
      </c>
      <c r="E3223" s="3">
        <v>0</v>
      </c>
      <c r="F3223" t="s">
        <v>45</v>
      </c>
      <c r="G3223" s="3">
        <f t="shared" si="378"/>
        <v>-4700.3149999999996</v>
      </c>
      <c r="H3223" s="3">
        <f t="shared" si="379"/>
        <v>4700.3149999999996</v>
      </c>
      <c r="I3223" s="5" t="str">
        <f t="shared" si="380"/>
        <v>018</v>
      </c>
      <c r="J3223" s="5" t="str">
        <f t="shared" si="381"/>
        <v>2100</v>
      </c>
      <c r="K3223" s="5" t="str">
        <f t="shared" si="382"/>
        <v>000</v>
      </c>
      <c r="L3223" s="5">
        <f t="shared" si="383"/>
        <v>7</v>
      </c>
      <c r="M3223" s="5">
        <f t="shared" si="384"/>
        <v>2012</v>
      </c>
    </row>
    <row r="3224" spans="1:13" ht="17.45" customHeight="1" x14ac:dyDescent="0.25">
      <c r="A3224" s="1">
        <f>DATE(2012,7,23)</f>
        <v>41113</v>
      </c>
      <c r="B3224" t="s">
        <v>20</v>
      </c>
      <c r="C3224" t="s">
        <v>8</v>
      </c>
      <c r="D3224" s="3">
        <v>809.48099999999988</v>
      </c>
      <c r="E3224" s="3">
        <v>0</v>
      </c>
      <c r="F3224" t="s">
        <v>45</v>
      </c>
      <c r="G3224" s="3">
        <f t="shared" si="378"/>
        <v>-809.48099999999988</v>
      </c>
      <c r="H3224" s="3">
        <f t="shared" si="379"/>
        <v>809.48099999999988</v>
      </c>
      <c r="I3224" s="5" t="str">
        <f t="shared" si="380"/>
        <v>018</v>
      </c>
      <c r="J3224" s="5" t="str">
        <f t="shared" si="381"/>
        <v>2210</v>
      </c>
      <c r="K3224" s="5" t="str">
        <f t="shared" si="382"/>
        <v>000</v>
      </c>
      <c r="L3224" s="5">
        <f t="shared" si="383"/>
        <v>7</v>
      </c>
      <c r="M3224" s="5">
        <f t="shared" si="384"/>
        <v>2012</v>
      </c>
    </row>
    <row r="3225" spans="1:13" ht="17.45" customHeight="1" x14ac:dyDescent="0.25">
      <c r="A3225" s="1">
        <f>DATE(2012,7,23)</f>
        <v>41113</v>
      </c>
      <c r="B3225" t="s">
        <v>21</v>
      </c>
      <c r="C3225" t="s">
        <v>9</v>
      </c>
      <c r="D3225" s="3">
        <v>263.50399999999996</v>
      </c>
      <c r="E3225" s="3">
        <v>0</v>
      </c>
      <c r="F3225" t="s">
        <v>45</v>
      </c>
      <c r="G3225" s="3">
        <f t="shared" si="378"/>
        <v>-263.50399999999996</v>
      </c>
      <c r="H3225" s="3">
        <f t="shared" si="379"/>
        <v>263.50399999999996</v>
      </c>
      <c r="I3225" s="5" t="str">
        <f t="shared" si="380"/>
        <v>018</v>
      </c>
      <c r="J3225" s="5" t="str">
        <f t="shared" si="381"/>
        <v>2220</v>
      </c>
      <c r="K3225" s="5" t="str">
        <f t="shared" si="382"/>
        <v>000</v>
      </c>
      <c r="L3225" s="5">
        <f t="shared" si="383"/>
        <v>7</v>
      </c>
      <c r="M3225" s="5">
        <f t="shared" si="384"/>
        <v>2012</v>
      </c>
    </row>
    <row r="3226" spans="1:13" ht="17.45" customHeight="1" x14ac:dyDescent="0.25">
      <c r="A3226" s="1">
        <f>DATE(2012,7,23)</f>
        <v>41113</v>
      </c>
      <c r="B3226" t="s">
        <v>22</v>
      </c>
      <c r="C3226" t="s">
        <v>10</v>
      </c>
      <c r="D3226" s="3">
        <v>42.77</v>
      </c>
      <c r="E3226" s="3">
        <v>0</v>
      </c>
      <c r="F3226" t="s">
        <v>45</v>
      </c>
      <c r="G3226" s="3">
        <f t="shared" si="378"/>
        <v>-42.77</v>
      </c>
      <c r="H3226" s="3">
        <f t="shared" si="379"/>
        <v>42.77</v>
      </c>
      <c r="I3226" s="5" t="str">
        <f t="shared" si="380"/>
        <v>018</v>
      </c>
      <c r="J3226" s="5" t="str">
        <f t="shared" si="381"/>
        <v>2230</v>
      </c>
      <c r="K3226" s="5" t="str">
        <f t="shared" si="382"/>
        <v>000</v>
      </c>
      <c r="L3226" s="5">
        <f t="shared" si="383"/>
        <v>7</v>
      </c>
      <c r="M3226" s="5">
        <f t="shared" si="384"/>
        <v>2012</v>
      </c>
    </row>
    <row r="3227" spans="1:13" ht="17.45" customHeight="1" x14ac:dyDescent="0.25">
      <c r="A3227" s="1">
        <f>DATE(2012,7,24)</f>
        <v>41114</v>
      </c>
      <c r="B3227" t="s">
        <v>19</v>
      </c>
      <c r="C3227" t="s">
        <v>6</v>
      </c>
      <c r="D3227" s="3">
        <v>5357.1419999999998</v>
      </c>
      <c r="E3227" s="3">
        <v>0</v>
      </c>
      <c r="F3227" t="s">
        <v>45</v>
      </c>
      <c r="G3227" s="3">
        <f t="shared" si="378"/>
        <v>-5357.1419999999998</v>
      </c>
      <c r="H3227" s="3">
        <f t="shared" si="379"/>
        <v>5357.1419999999998</v>
      </c>
      <c r="I3227" s="5" t="str">
        <f t="shared" si="380"/>
        <v>018</v>
      </c>
      <c r="J3227" s="5" t="str">
        <f t="shared" si="381"/>
        <v>2100</v>
      </c>
      <c r="K3227" s="5" t="str">
        <f t="shared" si="382"/>
        <v>000</v>
      </c>
      <c r="L3227" s="5">
        <f t="shared" si="383"/>
        <v>7</v>
      </c>
      <c r="M3227" s="5">
        <f t="shared" si="384"/>
        <v>2012</v>
      </c>
    </row>
    <row r="3228" spans="1:13" ht="17.45" customHeight="1" x14ac:dyDescent="0.25">
      <c r="A3228" s="1">
        <f>DATE(2012,7,24)</f>
        <v>41114</v>
      </c>
      <c r="B3228" t="s">
        <v>20</v>
      </c>
      <c r="C3228" t="s">
        <v>8</v>
      </c>
      <c r="D3228" s="3">
        <v>503.65199999999999</v>
      </c>
      <c r="E3228" s="3">
        <v>0</v>
      </c>
      <c r="F3228" t="s">
        <v>45</v>
      </c>
      <c r="G3228" s="3">
        <f t="shared" si="378"/>
        <v>-503.65199999999999</v>
      </c>
      <c r="H3228" s="3">
        <f t="shared" si="379"/>
        <v>503.65199999999999</v>
      </c>
      <c r="I3228" s="5" t="str">
        <f t="shared" si="380"/>
        <v>018</v>
      </c>
      <c r="J3228" s="5" t="str">
        <f t="shared" si="381"/>
        <v>2210</v>
      </c>
      <c r="K3228" s="5" t="str">
        <f t="shared" si="382"/>
        <v>000</v>
      </c>
      <c r="L3228" s="5">
        <f t="shared" si="383"/>
        <v>7</v>
      </c>
      <c r="M3228" s="5">
        <f t="shared" si="384"/>
        <v>2012</v>
      </c>
    </row>
    <row r="3229" spans="1:13" ht="17.45" customHeight="1" x14ac:dyDescent="0.25">
      <c r="A3229" s="1">
        <f>DATE(2012,7,24)</f>
        <v>41114</v>
      </c>
      <c r="B3229" t="s">
        <v>21</v>
      </c>
      <c r="C3229" t="s">
        <v>9</v>
      </c>
      <c r="D3229" s="3">
        <v>173.21249999999998</v>
      </c>
      <c r="E3229" s="3">
        <v>0</v>
      </c>
      <c r="F3229" t="s">
        <v>45</v>
      </c>
      <c r="G3229" s="3">
        <f t="shared" si="378"/>
        <v>-173.21249999999998</v>
      </c>
      <c r="H3229" s="3">
        <f t="shared" si="379"/>
        <v>173.21249999999998</v>
      </c>
      <c r="I3229" s="5" t="str">
        <f t="shared" si="380"/>
        <v>018</v>
      </c>
      <c r="J3229" s="5" t="str">
        <f t="shared" si="381"/>
        <v>2220</v>
      </c>
      <c r="K3229" s="5" t="str">
        <f t="shared" si="382"/>
        <v>000</v>
      </c>
      <c r="L3229" s="5">
        <f t="shared" si="383"/>
        <v>7</v>
      </c>
      <c r="M3229" s="5">
        <f t="shared" si="384"/>
        <v>2012</v>
      </c>
    </row>
    <row r="3230" spans="1:13" ht="17.45" customHeight="1" x14ac:dyDescent="0.25">
      <c r="A3230" s="1">
        <f>DATE(2012,7,24)</f>
        <v>41114</v>
      </c>
      <c r="B3230" t="s">
        <v>22</v>
      </c>
      <c r="C3230" t="s">
        <v>10</v>
      </c>
      <c r="D3230" s="3">
        <v>76.760000000000005</v>
      </c>
      <c r="E3230" s="3">
        <v>0</v>
      </c>
      <c r="F3230" t="s">
        <v>45</v>
      </c>
      <c r="G3230" s="3">
        <f t="shared" si="378"/>
        <v>-76.760000000000005</v>
      </c>
      <c r="H3230" s="3">
        <f t="shared" si="379"/>
        <v>76.760000000000005</v>
      </c>
      <c r="I3230" s="5" t="str">
        <f t="shared" si="380"/>
        <v>018</v>
      </c>
      <c r="J3230" s="5" t="str">
        <f t="shared" si="381"/>
        <v>2230</v>
      </c>
      <c r="K3230" s="5" t="str">
        <f t="shared" si="382"/>
        <v>000</v>
      </c>
      <c r="L3230" s="5">
        <f t="shared" si="383"/>
        <v>7</v>
      </c>
      <c r="M3230" s="5">
        <f t="shared" si="384"/>
        <v>2012</v>
      </c>
    </row>
    <row r="3231" spans="1:13" ht="17.45" customHeight="1" x14ac:dyDescent="0.25">
      <c r="A3231" s="1">
        <f>DATE(2012,7,25)</f>
        <v>41115</v>
      </c>
      <c r="B3231" t="s">
        <v>19</v>
      </c>
      <c r="C3231" t="s">
        <v>6</v>
      </c>
      <c r="D3231" s="3">
        <v>5319.0619999999999</v>
      </c>
      <c r="E3231" s="3">
        <v>0</v>
      </c>
      <c r="F3231" t="s">
        <v>45</v>
      </c>
      <c r="G3231" s="3">
        <f t="shared" si="378"/>
        <v>-5319.0619999999999</v>
      </c>
      <c r="H3231" s="3">
        <f t="shared" si="379"/>
        <v>5319.0619999999999</v>
      </c>
      <c r="I3231" s="5" t="str">
        <f t="shared" si="380"/>
        <v>018</v>
      </c>
      <c r="J3231" s="5" t="str">
        <f t="shared" si="381"/>
        <v>2100</v>
      </c>
      <c r="K3231" s="5" t="str">
        <f t="shared" si="382"/>
        <v>000</v>
      </c>
      <c r="L3231" s="5">
        <f t="shared" si="383"/>
        <v>7</v>
      </c>
      <c r="M3231" s="5">
        <f t="shared" si="384"/>
        <v>2012</v>
      </c>
    </row>
    <row r="3232" spans="1:13" ht="17.45" customHeight="1" x14ac:dyDescent="0.25">
      <c r="A3232" s="1">
        <f>DATE(2012,7,25)</f>
        <v>41115</v>
      </c>
      <c r="B3232" t="s">
        <v>20</v>
      </c>
      <c r="C3232" t="s">
        <v>8</v>
      </c>
      <c r="D3232" s="3">
        <v>1061.0720000000001</v>
      </c>
      <c r="E3232" s="3">
        <v>0</v>
      </c>
      <c r="F3232" t="s">
        <v>45</v>
      </c>
      <c r="G3232" s="3">
        <f t="shared" si="378"/>
        <v>-1061.0720000000001</v>
      </c>
      <c r="H3232" s="3">
        <f t="shared" si="379"/>
        <v>1061.0720000000001</v>
      </c>
      <c r="I3232" s="5" t="str">
        <f t="shared" si="380"/>
        <v>018</v>
      </c>
      <c r="J3232" s="5" t="str">
        <f t="shared" si="381"/>
        <v>2210</v>
      </c>
      <c r="K3232" s="5" t="str">
        <f t="shared" si="382"/>
        <v>000</v>
      </c>
      <c r="L3232" s="5">
        <f t="shared" si="383"/>
        <v>7</v>
      </c>
      <c r="M3232" s="5">
        <f t="shared" si="384"/>
        <v>2012</v>
      </c>
    </row>
    <row r="3233" spans="1:13" ht="17.45" customHeight="1" x14ac:dyDescent="0.25">
      <c r="A3233" s="1">
        <f>DATE(2012,7,25)</f>
        <v>41115</v>
      </c>
      <c r="B3233" t="s">
        <v>21</v>
      </c>
      <c r="C3233" t="s">
        <v>9</v>
      </c>
      <c r="D3233" s="3">
        <v>140.89600000000002</v>
      </c>
      <c r="E3233" s="3">
        <v>0</v>
      </c>
      <c r="F3233" t="s">
        <v>45</v>
      </c>
      <c r="G3233" s="3">
        <f t="shared" si="378"/>
        <v>-140.89600000000002</v>
      </c>
      <c r="H3233" s="3">
        <f t="shared" si="379"/>
        <v>140.89600000000002</v>
      </c>
      <c r="I3233" s="5" t="str">
        <f t="shared" si="380"/>
        <v>018</v>
      </c>
      <c r="J3233" s="5" t="str">
        <f t="shared" si="381"/>
        <v>2220</v>
      </c>
      <c r="K3233" s="5" t="str">
        <f t="shared" si="382"/>
        <v>000</v>
      </c>
      <c r="L3233" s="5">
        <f t="shared" si="383"/>
        <v>7</v>
      </c>
      <c r="M3233" s="5">
        <f t="shared" si="384"/>
        <v>2012</v>
      </c>
    </row>
    <row r="3234" spans="1:13" ht="17.45" customHeight="1" x14ac:dyDescent="0.25">
      <c r="A3234" s="1">
        <f>DATE(2012,7,25)</f>
        <v>41115</v>
      </c>
      <c r="B3234" t="s">
        <v>22</v>
      </c>
      <c r="C3234" t="s">
        <v>10</v>
      </c>
      <c r="D3234" s="3">
        <v>29.23</v>
      </c>
      <c r="E3234" s="3">
        <v>0</v>
      </c>
      <c r="F3234" t="s">
        <v>45</v>
      </c>
      <c r="G3234" s="3">
        <f t="shared" si="378"/>
        <v>-29.23</v>
      </c>
      <c r="H3234" s="3">
        <f t="shared" si="379"/>
        <v>29.23</v>
      </c>
      <c r="I3234" s="5" t="str">
        <f t="shared" si="380"/>
        <v>018</v>
      </c>
      <c r="J3234" s="5" t="str">
        <f t="shared" si="381"/>
        <v>2230</v>
      </c>
      <c r="K3234" s="5" t="str">
        <f t="shared" si="382"/>
        <v>000</v>
      </c>
      <c r="L3234" s="5">
        <f t="shared" si="383"/>
        <v>7</v>
      </c>
      <c r="M3234" s="5">
        <f t="shared" si="384"/>
        <v>2012</v>
      </c>
    </row>
    <row r="3235" spans="1:13" ht="17.45" customHeight="1" x14ac:dyDescent="0.25">
      <c r="A3235" s="1">
        <f>DATE(2012,7,26)</f>
        <v>41116</v>
      </c>
      <c r="B3235" t="s">
        <v>19</v>
      </c>
      <c r="C3235" t="s">
        <v>6</v>
      </c>
      <c r="D3235" s="3">
        <v>3843.5650000000005</v>
      </c>
      <c r="E3235" s="3">
        <v>0</v>
      </c>
      <c r="F3235" t="s">
        <v>45</v>
      </c>
      <c r="G3235" s="3">
        <f t="shared" si="378"/>
        <v>-3843.5650000000005</v>
      </c>
      <c r="H3235" s="3">
        <f t="shared" si="379"/>
        <v>3843.5650000000005</v>
      </c>
      <c r="I3235" s="5" t="str">
        <f t="shared" si="380"/>
        <v>018</v>
      </c>
      <c r="J3235" s="5" t="str">
        <f t="shared" si="381"/>
        <v>2100</v>
      </c>
      <c r="K3235" s="5" t="str">
        <f t="shared" si="382"/>
        <v>000</v>
      </c>
      <c r="L3235" s="5">
        <f t="shared" si="383"/>
        <v>7</v>
      </c>
      <c r="M3235" s="5">
        <f t="shared" si="384"/>
        <v>2012</v>
      </c>
    </row>
    <row r="3236" spans="1:13" ht="17.45" customHeight="1" x14ac:dyDescent="0.25">
      <c r="A3236" s="1">
        <f>DATE(2012,7,26)</f>
        <v>41116</v>
      </c>
      <c r="B3236" t="s">
        <v>20</v>
      </c>
      <c r="C3236" t="s">
        <v>8</v>
      </c>
      <c r="D3236" s="3">
        <v>1619.8105</v>
      </c>
      <c r="E3236" s="3">
        <v>0</v>
      </c>
      <c r="F3236" t="s">
        <v>45</v>
      </c>
      <c r="G3236" s="3">
        <f t="shared" si="378"/>
        <v>-1619.8105</v>
      </c>
      <c r="H3236" s="3">
        <f t="shared" si="379"/>
        <v>1619.8105</v>
      </c>
      <c r="I3236" s="5" t="str">
        <f t="shared" si="380"/>
        <v>018</v>
      </c>
      <c r="J3236" s="5" t="str">
        <f t="shared" si="381"/>
        <v>2210</v>
      </c>
      <c r="K3236" s="5" t="str">
        <f t="shared" si="382"/>
        <v>000</v>
      </c>
      <c r="L3236" s="5">
        <f t="shared" si="383"/>
        <v>7</v>
      </c>
      <c r="M3236" s="5">
        <f t="shared" si="384"/>
        <v>2012</v>
      </c>
    </row>
    <row r="3237" spans="1:13" ht="17.45" customHeight="1" x14ac:dyDescent="0.25">
      <c r="A3237" s="1">
        <f>DATE(2012,7,26)</f>
        <v>41116</v>
      </c>
      <c r="B3237" t="s">
        <v>21</v>
      </c>
      <c r="C3237" t="s">
        <v>9</v>
      </c>
      <c r="D3237" s="3">
        <v>448.30650000000003</v>
      </c>
      <c r="E3237" s="3">
        <v>0</v>
      </c>
      <c r="F3237" t="s">
        <v>45</v>
      </c>
      <c r="G3237" s="3">
        <f t="shared" si="378"/>
        <v>-448.30650000000003</v>
      </c>
      <c r="H3237" s="3">
        <f t="shared" si="379"/>
        <v>448.30650000000003</v>
      </c>
      <c r="I3237" s="5" t="str">
        <f t="shared" si="380"/>
        <v>018</v>
      </c>
      <c r="J3237" s="5" t="str">
        <f t="shared" si="381"/>
        <v>2220</v>
      </c>
      <c r="K3237" s="5" t="str">
        <f t="shared" si="382"/>
        <v>000</v>
      </c>
      <c r="L3237" s="5">
        <f t="shared" si="383"/>
        <v>7</v>
      </c>
      <c r="M3237" s="5">
        <f t="shared" si="384"/>
        <v>2012</v>
      </c>
    </row>
    <row r="3238" spans="1:13" ht="17.45" customHeight="1" x14ac:dyDescent="0.25">
      <c r="A3238" s="1">
        <f>DATE(2012,7,26)</f>
        <v>41116</v>
      </c>
      <c r="B3238" t="s">
        <v>22</v>
      </c>
      <c r="C3238" t="s">
        <v>10</v>
      </c>
      <c r="D3238" s="3">
        <v>38.625500000000002</v>
      </c>
      <c r="E3238" s="3">
        <v>0</v>
      </c>
      <c r="F3238" t="s">
        <v>45</v>
      </c>
      <c r="G3238" s="3">
        <f t="shared" si="378"/>
        <v>-38.625500000000002</v>
      </c>
      <c r="H3238" s="3">
        <f t="shared" si="379"/>
        <v>38.625500000000002</v>
      </c>
      <c r="I3238" s="5" t="str">
        <f t="shared" si="380"/>
        <v>018</v>
      </c>
      <c r="J3238" s="5" t="str">
        <f t="shared" si="381"/>
        <v>2230</v>
      </c>
      <c r="K3238" s="5" t="str">
        <f t="shared" si="382"/>
        <v>000</v>
      </c>
      <c r="L3238" s="5">
        <f t="shared" si="383"/>
        <v>7</v>
      </c>
      <c r="M3238" s="5">
        <f t="shared" si="384"/>
        <v>2012</v>
      </c>
    </row>
    <row r="3239" spans="1:13" ht="17.45" customHeight="1" x14ac:dyDescent="0.25">
      <c r="A3239" s="1">
        <f>DATE(2012,7,27)</f>
        <v>41117</v>
      </c>
      <c r="B3239" t="s">
        <v>19</v>
      </c>
      <c r="C3239" t="s">
        <v>6</v>
      </c>
      <c r="D3239" s="3">
        <v>10551.325199999999</v>
      </c>
      <c r="E3239" s="3">
        <v>0</v>
      </c>
      <c r="F3239" t="s">
        <v>45</v>
      </c>
      <c r="G3239" s="3">
        <f t="shared" si="378"/>
        <v>-10551.325199999999</v>
      </c>
      <c r="H3239" s="3">
        <f t="shared" si="379"/>
        <v>10551.325199999999</v>
      </c>
      <c r="I3239" s="5" t="str">
        <f t="shared" si="380"/>
        <v>018</v>
      </c>
      <c r="J3239" s="5" t="str">
        <f t="shared" si="381"/>
        <v>2100</v>
      </c>
      <c r="K3239" s="5" t="str">
        <f t="shared" si="382"/>
        <v>000</v>
      </c>
      <c r="L3239" s="5">
        <f t="shared" si="383"/>
        <v>7</v>
      </c>
      <c r="M3239" s="5">
        <f t="shared" si="384"/>
        <v>2012</v>
      </c>
    </row>
    <row r="3240" spans="1:13" ht="17.45" customHeight="1" x14ac:dyDescent="0.25">
      <c r="A3240" s="1">
        <f>DATE(2012,7,27)</f>
        <v>41117</v>
      </c>
      <c r="B3240" t="s">
        <v>20</v>
      </c>
      <c r="C3240" t="s">
        <v>8</v>
      </c>
      <c r="D3240" s="3">
        <v>1807.5215000000001</v>
      </c>
      <c r="E3240" s="3">
        <v>0</v>
      </c>
      <c r="F3240" t="s">
        <v>45</v>
      </c>
      <c r="G3240" s="3">
        <f t="shared" si="378"/>
        <v>-1807.5215000000001</v>
      </c>
      <c r="H3240" s="3">
        <f t="shared" si="379"/>
        <v>1807.5215000000001</v>
      </c>
      <c r="I3240" s="5" t="str">
        <f t="shared" si="380"/>
        <v>018</v>
      </c>
      <c r="J3240" s="5" t="str">
        <f t="shared" si="381"/>
        <v>2210</v>
      </c>
      <c r="K3240" s="5" t="str">
        <f t="shared" si="382"/>
        <v>000</v>
      </c>
      <c r="L3240" s="5">
        <f t="shared" si="383"/>
        <v>7</v>
      </c>
      <c r="M3240" s="5">
        <f t="shared" si="384"/>
        <v>2012</v>
      </c>
    </row>
    <row r="3241" spans="1:13" ht="17.45" customHeight="1" x14ac:dyDescent="0.25">
      <c r="A3241" s="1">
        <f>DATE(2012,7,27)</f>
        <v>41117</v>
      </c>
      <c r="B3241" t="s">
        <v>21</v>
      </c>
      <c r="C3241" t="s">
        <v>9</v>
      </c>
      <c r="D3241" s="3">
        <v>821.04</v>
      </c>
      <c r="E3241" s="3">
        <v>0</v>
      </c>
      <c r="F3241" t="s">
        <v>45</v>
      </c>
      <c r="G3241" s="3">
        <f t="shared" si="378"/>
        <v>-821.04</v>
      </c>
      <c r="H3241" s="3">
        <f t="shared" si="379"/>
        <v>821.04</v>
      </c>
      <c r="I3241" s="5" t="str">
        <f t="shared" si="380"/>
        <v>018</v>
      </c>
      <c r="J3241" s="5" t="str">
        <f t="shared" si="381"/>
        <v>2220</v>
      </c>
      <c r="K3241" s="5" t="str">
        <f t="shared" si="382"/>
        <v>000</v>
      </c>
      <c r="L3241" s="5">
        <f t="shared" si="383"/>
        <v>7</v>
      </c>
      <c r="M3241" s="5">
        <f t="shared" si="384"/>
        <v>2012</v>
      </c>
    </row>
    <row r="3242" spans="1:13" ht="17.45" customHeight="1" x14ac:dyDescent="0.25">
      <c r="A3242" s="1">
        <f>DATE(2012,7,27)</f>
        <v>41117</v>
      </c>
      <c r="B3242" t="s">
        <v>22</v>
      </c>
      <c r="C3242" t="s">
        <v>10</v>
      </c>
      <c r="D3242" s="3">
        <v>95.004000000000019</v>
      </c>
      <c r="E3242" s="3">
        <v>0</v>
      </c>
      <c r="F3242" t="s">
        <v>45</v>
      </c>
      <c r="G3242" s="3">
        <f t="shared" si="378"/>
        <v>-95.004000000000019</v>
      </c>
      <c r="H3242" s="3">
        <f t="shared" si="379"/>
        <v>95.004000000000019</v>
      </c>
      <c r="I3242" s="5" t="str">
        <f t="shared" si="380"/>
        <v>018</v>
      </c>
      <c r="J3242" s="5" t="str">
        <f t="shared" si="381"/>
        <v>2230</v>
      </c>
      <c r="K3242" s="5" t="str">
        <f t="shared" si="382"/>
        <v>000</v>
      </c>
      <c r="L3242" s="5">
        <f t="shared" si="383"/>
        <v>7</v>
      </c>
      <c r="M3242" s="5">
        <f t="shared" si="384"/>
        <v>2012</v>
      </c>
    </row>
    <row r="3243" spans="1:13" ht="17.45" customHeight="1" x14ac:dyDescent="0.25">
      <c r="A3243" s="1">
        <f>DATE(2012,7,28)</f>
        <v>41118</v>
      </c>
      <c r="B3243" t="s">
        <v>19</v>
      </c>
      <c r="C3243" t="s">
        <v>6</v>
      </c>
      <c r="D3243" s="3">
        <v>13903.279999999999</v>
      </c>
      <c r="E3243" s="3">
        <v>0</v>
      </c>
      <c r="F3243" t="s">
        <v>45</v>
      </c>
      <c r="G3243" s="3">
        <f t="shared" si="378"/>
        <v>-13903.279999999999</v>
      </c>
      <c r="H3243" s="3">
        <f t="shared" si="379"/>
        <v>13903.279999999999</v>
      </c>
      <c r="I3243" s="5" t="str">
        <f t="shared" si="380"/>
        <v>018</v>
      </c>
      <c r="J3243" s="5" t="str">
        <f t="shared" si="381"/>
        <v>2100</v>
      </c>
      <c r="K3243" s="5" t="str">
        <f t="shared" si="382"/>
        <v>000</v>
      </c>
      <c r="L3243" s="5">
        <f t="shared" si="383"/>
        <v>7</v>
      </c>
      <c r="M3243" s="5">
        <f t="shared" si="384"/>
        <v>2012</v>
      </c>
    </row>
    <row r="3244" spans="1:13" ht="17.45" customHeight="1" x14ac:dyDescent="0.25">
      <c r="A3244" s="1">
        <f>DATE(2012,7,28)</f>
        <v>41118</v>
      </c>
      <c r="B3244" t="s">
        <v>20</v>
      </c>
      <c r="C3244" t="s">
        <v>8</v>
      </c>
      <c r="D3244" s="3">
        <v>2685.8799999999997</v>
      </c>
      <c r="E3244" s="3">
        <v>0</v>
      </c>
      <c r="F3244" t="s">
        <v>45</v>
      </c>
      <c r="G3244" s="3">
        <f t="shared" si="378"/>
        <v>-2685.8799999999997</v>
      </c>
      <c r="H3244" s="3">
        <f t="shared" si="379"/>
        <v>2685.8799999999997</v>
      </c>
      <c r="I3244" s="5" t="str">
        <f t="shared" si="380"/>
        <v>018</v>
      </c>
      <c r="J3244" s="5" t="str">
        <f t="shared" si="381"/>
        <v>2210</v>
      </c>
      <c r="K3244" s="5" t="str">
        <f t="shared" si="382"/>
        <v>000</v>
      </c>
      <c r="L3244" s="5">
        <f t="shared" si="383"/>
        <v>7</v>
      </c>
      <c r="M3244" s="5">
        <f t="shared" si="384"/>
        <v>2012</v>
      </c>
    </row>
    <row r="3245" spans="1:13" ht="17.45" customHeight="1" x14ac:dyDescent="0.25">
      <c r="A3245" s="1">
        <f>DATE(2012,7,28)</f>
        <v>41118</v>
      </c>
      <c r="B3245" t="s">
        <v>21</v>
      </c>
      <c r="C3245" t="s">
        <v>9</v>
      </c>
      <c r="D3245" s="3">
        <v>385.315</v>
      </c>
      <c r="E3245" s="3">
        <v>0</v>
      </c>
      <c r="F3245" t="s">
        <v>45</v>
      </c>
      <c r="G3245" s="3">
        <f t="shared" si="378"/>
        <v>-385.315</v>
      </c>
      <c r="H3245" s="3">
        <f t="shared" si="379"/>
        <v>385.315</v>
      </c>
      <c r="I3245" s="5" t="str">
        <f t="shared" si="380"/>
        <v>018</v>
      </c>
      <c r="J3245" s="5" t="str">
        <f t="shared" si="381"/>
        <v>2220</v>
      </c>
      <c r="K3245" s="5" t="str">
        <f t="shared" si="382"/>
        <v>000</v>
      </c>
      <c r="L3245" s="5">
        <f t="shared" si="383"/>
        <v>7</v>
      </c>
      <c r="M3245" s="5">
        <f t="shared" si="384"/>
        <v>2012</v>
      </c>
    </row>
    <row r="3246" spans="1:13" ht="17.45" customHeight="1" x14ac:dyDescent="0.25">
      <c r="A3246" s="1">
        <f>DATE(2012,7,28)</f>
        <v>41118</v>
      </c>
      <c r="B3246" t="s">
        <v>22</v>
      </c>
      <c r="C3246" t="s">
        <v>10</v>
      </c>
      <c r="D3246" s="3">
        <v>75.890999999999991</v>
      </c>
      <c r="E3246" s="3">
        <v>0</v>
      </c>
      <c r="F3246" t="s">
        <v>45</v>
      </c>
      <c r="G3246" s="3">
        <f t="shared" si="378"/>
        <v>-75.890999999999991</v>
      </c>
      <c r="H3246" s="3">
        <f t="shared" si="379"/>
        <v>75.890999999999991</v>
      </c>
      <c r="I3246" s="5" t="str">
        <f t="shared" si="380"/>
        <v>018</v>
      </c>
      <c r="J3246" s="5" t="str">
        <f t="shared" si="381"/>
        <v>2230</v>
      </c>
      <c r="K3246" s="5" t="str">
        <f t="shared" si="382"/>
        <v>000</v>
      </c>
      <c r="L3246" s="5">
        <f t="shared" si="383"/>
        <v>7</v>
      </c>
      <c r="M3246" s="5">
        <f t="shared" si="384"/>
        <v>2012</v>
      </c>
    </row>
    <row r="3247" spans="1:13" ht="17.45" customHeight="1" x14ac:dyDescent="0.25">
      <c r="A3247" s="1">
        <f>DATE(2012,7,29)</f>
        <v>41119</v>
      </c>
      <c r="B3247" t="s">
        <v>19</v>
      </c>
      <c r="C3247" t="s">
        <v>6</v>
      </c>
      <c r="D3247" s="3">
        <v>7422.8220000000001</v>
      </c>
      <c r="E3247" s="3">
        <v>0</v>
      </c>
      <c r="F3247" t="s">
        <v>45</v>
      </c>
      <c r="G3247" s="3">
        <f t="shared" si="378"/>
        <v>-7422.8220000000001</v>
      </c>
      <c r="H3247" s="3">
        <f t="shared" si="379"/>
        <v>7422.8220000000001</v>
      </c>
      <c r="I3247" s="5" t="str">
        <f t="shared" si="380"/>
        <v>018</v>
      </c>
      <c r="J3247" s="5" t="str">
        <f t="shared" si="381"/>
        <v>2100</v>
      </c>
      <c r="K3247" s="5" t="str">
        <f t="shared" si="382"/>
        <v>000</v>
      </c>
      <c r="L3247" s="5">
        <f t="shared" si="383"/>
        <v>7</v>
      </c>
      <c r="M3247" s="5">
        <f t="shared" si="384"/>
        <v>2012</v>
      </c>
    </row>
    <row r="3248" spans="1:13" ht="17.45" customHeight="1" x14ac:dyDescent="0.25">
      <c r="A3248" s="1">
        <f>DATE(2012,7,29)</f>
        <v>41119</v>
      </c>
      <c r="B3248" t="s">
        <v>20</v>
      </c>
      <c r="C3248" t="s">
        <v>8</v>
      </c>
      <c r="D3248" s="3">
        <v>1083.7450000000001</v>
      </c>
      <c r="E3248" s="3">
        <v>0</v>
      </c>
      <c r="F3248" t="s">
        <v>45</v>
      </c>
      <c r="G3248" s="3">
        <f t="shared" si="378"/>
        <v>-1083.7450000000001</v>
      </c>
      <c r="H3248" s="3">
        <f t="shared" si="379"/>
        <v>1083.7450000000001</v>
      </c>
      <c r="I3248" s="5" t="str">
        <f t="shared" si="380"/>
        <v>018</v>
      </c>
      <c r="J3248" s="5" t="str">
        <f t="shared" si="381"/>
        <v>2210</v>
      </c>
      <c r="K3248" s="5" t="str">
        <f t="shared" si="382"/>
        <v>000</v>
      </c>
      <c r="L3248" s="5">
        <f t="shared" si="383"/>
        <v>7</v>
      </c>
      <c r="M3248" s="5">
        <f t="shared" si="384"/>
        <v>2012</v>
      </c>
    </row>
    <row r="3249" spans="1:13" ht="17.45" customHeight="1" x14ac:dyDescent="0.25">
      <c r="A3249" s="1">
        <f>DATE(2012,7,29)</f>
        <v>41119</v>
      </c>
      <c r="B3249" t="s">
        <v>21</v>
      </c>
      <c r="C3249" t="s">
        <v>9</v>
      </c>
      <c r="D3249" s="3">
        <v>367.49700000000001</v>
      </c>
      <c r="E3249" s="3">
        <v>0</v>
      </c>
      <c r="F3249" t="s">
        <v>45</v>
      </c>
      <c r="G3249" s="3">
        <f t="shared" si="378"/>
        <v>-367.49700000000001</v>
      </c>
      <c r="H3249" s="3">
        <f t="shared" si="379"/>
        <v>367.49700000000001</v>
      </c>
      <c r="I3249" s="5" t="str">
        <f t="shared" si="380"/>
        <v>018</v>
      </c>
      <c r="J3249" s="5" t="str">
        <f t="shared" si="381"/>
        <v>2220</v>
      </c>
      <c r="K3249" s="5" t="str">
        <f t="shared" si="382"/>
        <v>000</v>
      </c>
      <c r="L3249" s="5">
        <f t="shared" si="383"/>
        <v>7</v>
      </c>
      <c r="M3249" s="5">
        <f t="shared" si="384"/>
        <v>2012</v>
      </c>
    </row>
    <row r="3250" spans="1:13" ht="17.45" customHeight="1" x14ac:dyDescent="0.25">
      <c r="A3250" s="1">
        <f>DATE(2012,7,29)</f>
        <v>41119</v>
      </c>
      <c r="B3250" t="s">
        <v>22</v>
      </c>
      <c r="C3250" t="s">
        <v>10</v>
      </c>
      <c r="D3250" s="3">
        <v>51.611000000000004</v>
      </c>
      <c r="E3250" s="3">
        <v>0</v>
      </c>
      <c r="F3250" t="s">
        <v>45</v>
      </c>
      <c r="G3250" s="3">
        <f t="shared" si="378"/>
        <v>-51.611000000000004</v>
      </c>
      <c r="H3250" s="3">
        <f t="shared" si="379"/>
        <v>51.611000000000004</v>
      </c>
      <c r="I3250" s="5" t="str">
        <f t="shared" si="380"/>
        <v>018</v>
      </c>
      <c r="J3250" s="5" t="str">
        <f t="shared" si="381"/>
        <v>2230</v>
      </c>
      <c r="K3250" s="5" t="str">
        <f t="shared" si="382"/>
        <v>000</v>
      </c>
      <c r="L3250" s="5">
        <f t="shared" si="383"/>
        <v>7</v>
      </c>
      <c r="M3250" s="5">
        <f t="shared" si="384"/>
        <v>2012</v>
      </c>
    </row>
    <row r="3251" spans="1:13" ht="17.45" customHeight="1" x14ac:dyDescent="0.25">
      <c r="A3251" s="1">
        <f>DATE(2012,7,30)</f>
        <v>41120</v>
      </c>
      <c r="B3251" t="s">
        <v>11</v>
      </c>
      <c r="C3251" t="s">
        <v>6</v>
      </c>
      <c r="D3251" s="3">
        <v>3370.0211999999997</v>
      </c>
      <c r="E3251" s="3">
        <v>0</v>
      </c>
      <c r="F3251" t="s">
        <v>45</v>
      </c>
      <c r="G3251" s="3">
        <f t="shared" si="378"/>
        <v>-3370.0211999999997</v>
      </c>
      <c r="H3251" s="3">
        <f t="shared" si="379"/>
        <v>3370.0211999999997</v>
      </c>
      <c r="I3251" s="5" t="str">
        <f t="shared" si="380"/>
        <v>016</v>
      </c>
      <c r="J3251" s="5" t="str">
        <f t="shared" si="381"/>
        <v>2100</v>
      </c>
      <c r="K3251" s="5" t="str">
        <f t="shared" si="382"/>
        <v>000</v>
      </c>
      <c r="L3251" s="5">
        <f t="shared" si="383"/>
        <v>7</v>
      </c>
      <c r="M3251" s="5">
        <f t="shared" si="384"/>
        <v>2012</v>
      </c>
    </row>
    <row r="3252" spans="1:13" ht="17.45" customHeight="1" x14ac:dyDescent="0.25">
      <c r="A3252" s="1">
        <f>DATE(2012,7,30)</f>
        <v>41120</v>
      </c>
      <c r="B3252" t="s">
        <v>12</v>
      </c>
      <c r="C3252" t="s">
        <v>8</v>
      </c>
      <c r="D3252" s="3">
        <v>553.11300000000006</v>
      </c>
      <c r="E3252" s="3">
        <v>0</v>
      </c>
      <c r="F3252" t="s">
        <v>45</v>
      </c>
      <c r="G3252" s="3">
        <f t="shared" si="378"/>
        <v>-553.11300000000006</v>
      </c>
      <c r="H3252" s="3">
        <f t="shared" si="379"/>
        <v>553.11300000000006</v>
      </c>
      <c r="I3252" s="5" t="str">
        <f t="shared" si="380"/>
        <v>016</v>
      </c>
      <c r="J3252" s="5" t="str">
        <f t="shared" si="381"/>
        <v>2210</v>
      </c>
      <c r="K3252" s="5" t="str">
        <f t="shared" si="382"/>
        <v>000</v>
      </c>
      <c r="L3252" s="5">
        <f t="shared" si="383"/>
        <v>7</v>
      </c>
      <c r="M3252" s="5">
        <f t="shared" si="384"/>
        <v>2012</v>
      </c>
    </row>
    <row r="3253" spans="1:13" ht="17.45" customHeight="1" x14ac:dyDescent="0.25">
      <c r="A3253" s="1">
        <f>DATE(2012,7,30)</f>
        <v>41120</v>
      </c>
      <c r="B3253" t="s">
        <v>13</v>
      </c>
      <c r="C3253" t="s">
        <v>9</v>
      </c>
      <c r="D3253" s="3">
        <v>175.98749999999998</v>
      </c>
      <c r="E3253" s="3">
        <v>0</v>
      </c>
      <c r="F3253" t="s">
        <v>45</v>
      </c>
      <c r="G3253" s="3">
        <f t="shared" si="378"/>
        <v>-175.98749999999998</v>
      </c>
      <c r="H3253" s="3">
        <f t="shared" si="379"/>
        <v>175.98749999999998</v>
      </c>
      <c r="I3253" s="5" t="str">
        <f t="shared" si="380"/>
        <v>016</v>
      </c>
      <c r="J3253" s="5" t="str">
        <f t="shared" si="381"/>
        <v>2220</v>
      </c>
      <c r="K3253" s="5" t="str">
        <f t="shared" si="382"/>
        <v>000</v>
      </c>
      <c r="L3253" s="5">
        <f t="shared" si="383"/>
        <v>7</v>
      </c>
      <c r="M3253" s="5">
        <f t="shared" si="384"/>
        <v>2012</v>
      </c>
    </row>
    <row r="3254" spans="1:13" ht="17.45" customHeight="1" x14ac:dyDescent="0.25">
      <c r="A3254" s="1">
        <f>DATE(2012,7,30)</f>
        <v>41120</v>
      </c>
      <c r="B3254" t="s">
        <v>14</v>
      </c>
      <c r="C3254" t="s">
        <v>10</v>
      </c>
      <c r="D3254" s="3">
        <v>140.55599999999998</v>
      </c>
      <c r="E3254" s="3">
        <v>0</v>
      </c>
      <c r="F3254" t="s">
        <v>45</v>
      </c>
      <c r="G3254" s="3">
        <f t="shared" si="378"/>
        <v>-140.55599999999998</v>
      </c>
      <c r="H3254" s="3">
        <f t="shared" si="379"/>
        <v>140.55599999999998</v>
      </c>
      <c r="I3254" s="5" t="str">
        <f t="shared" si="380"/>
        <v>016</v>
      </c>
      <c r="J3254" s="5" t="str">
        <f t="shared" si="381"/>
        <v>2230</v>
      </c>
      <c r="K3254" s="5" t="str">
        <f t="shared" si="382"/>
        <v>000</v>
      </c>
      <c r="L3254" s="5">
        <f t="shared" si="383"/>
        <v>7</v>
      </c>
      <c r="M3254" s="5">
        <f t="shared" si="384"/>
        <v>2012</v>
      </c>
    </row>
    <row r="3255" spans="1:13" ht="17.45" customHeight="1" x14ac:dyDescent="0.25">
      <c r="A3255" s="1">
        <f>DATE(2012,7,31)</f>
        <v>41121</v>
      </c>
      <c r="B3255" t="s">
        <v>11</v>
      </c>
      <c r="C3255" t="s">
        <v>6</v>
      </c>
      <c r="D3255" s="3">
        <v>4577.4560000000001</v>
      </c>
      <c r="E3255" s="3">
        <v>0</v>
      </c>
      <c r="F3255" t="s">
        <v>45</v>
      </c>
      <c r="G3255" s="3">
        <f t="shared" si="378"/>
        <v>-4577.4560000000001</v>
      </c>
      <c r="H3255" s="3">
        <f t="shared" si="379"/>
        <v>4577.4560000000001</v>
      </c>
      <c r="I3255" s="5" t="str">
        <f t="shared" si="380"/>
        <v>016</v>
      </c>
      <c r="J3255" s="5" t="str">
        <f t="shared" si="381"/>
        <v>2100</v>
      </c>
      <c r="K3255" s="5" t="str">
        <f t="shared" si="382"/>
        <v>000</v>
      </c>
      <c r="L3255" s="5">
        <f t="shared" si="383"/>
        <v>7</v>
      </c>
      <c r="M3255" s="5">
        <f t="shared" si="384"/>
        <v>2012</v>
      </c>
    </row>
    <row r="3256" spans="1:13" ht="17.45" customHeight="1" x14ac:dyDescent="0.25">
      <c r="A3256" s="1">
        <f>DATE(2012,7,31)</f>
        <v>41121</v>
      </c>
      <c r="B3256" t="s">
        <v>12</v>
      </c>
      <c r="C3256" t="s">
        <v>8</v>
      </c>
      <c r="D3256" s="3">
        <v>2534.6000000000004</v>
      </c>
      <c r="E3256" s="3">
        <v>0</v>
      </c>
      <c r="F3256" t="s">
        <v>45</v>
      </c>
      <c r="G3256" s="3">
        <f t="shared" si="378"/>
        <v>-2534.6000000000004</v>
      </c>
      <c r="H3256" s="3">
        <f t="shared" si="379"/>
        <v>2534.6000000000004</v>
      </c>
      <c r="I3256" s="5" t="str">
        <f t="shared" si="380"/>
        <v>016</v>
      </c>
      <c r="J3256" s="5" t="str">
        <f t="shared" si="381"/>
        <v>2210</v>
      </c>
      <c r="K3256" s="5" t="str">
        <f t="shared" si="382"/>
        <v>000</v>
      </c>
      <c r="L3256" s="5">
        <f t="shared" si="383"/>
        <v>7</v>
      </c>
      <c r="M3256" s="5">
        <f t="shared" si="384"/>
        <v>2012</v>
      </c>
    </row>
    <row r="3257" spans="1:13" ht="17.45" customHeight="1" x14ac:dyDescent="0.25">
      <c r="A3257" s="1">
        <f>DATE(2012,7,31)</f>
        <v>41121</v>
      </c>
      <c r="B3257" t="s">
        <v>13</v>
      </c>
      <c r="C3257" t="s">
        <v>9</v>
      </c>
      <c r="D3257" s="3">
        <v>494.17860000000007</v>
      </c>
      <c r="E3257" s="3">
        <v>0</v>
      </c>
      <c r="F3257" t="s">
        <v>45</v>
      </c>
      <c r="G3257" s="3">
        <f t="shared" si="378"/>
        <v>-494.17860000000007</v>
      </c>
      <c r="H3257" s="3">
        <f t="shared" si="379"/>
        <v>494.17860000000007</v>
      </c>
      <c r="I3257" s="5" t="str">
        <f t="shared" si="380"/>
        <v>016</v>
      </c>
      <c r="J3257" s="5" t="str">
        <f t="shared" si="381"/>
        <v>2220</v>
      </c>
      <c r="K3257" s="5" t="str">
        <f t="shared" si="382"/>
        <v>000</v>
      </c>
      <c r="L3257" s="5">
        <f t="shared" si="383"/>
        <v>7</v>
      </c>
      <c r="M3257" s="5">
        <f t="shared" si="384"/>
        <v>2012</v>
      </c>
    </row>
    <row r="3258" spans="1:13" ht="17.45" customHeight="1" x14ac:dyDescent="0.25">
      <c r="A3258" s="1">
        <f>DATE(2012,7,31)</f>
        <v>41121</v>
      </c>
      <c r="B3258" t="s">
        <v>14</v>
      </c>
      <c r="C3258" t="s">
        <v>10</v>
      </c>
      <c r="D3258" s="3">
        <v>142.10350000000003</v>
      </c>
      <c r="E3258" s="3">
        <v>0</v>
      </c>
      <c r="F3258" t="s">
        <v>45</v>
      </c>
      <c r="G3258" s="3">
        <f t="shared" si="378"/>
        <v>-142.10350000000003</v>
      </c>
      <c r="H3258" s="3">
        <f t="shared" si="379"/>
        <v>142.10350000000003</v>
      </c>
      <c r="I3258" s="5" t="str">
        <f t="shared" si="380"/>
        <v>016</v>
      </c>
      <c r="J3258" s="5" t="str">
        <f t="shared" si="381"/>
        <v>2230</v>
      </c>
      <c r="K3258" s="5" t="str">
        <f t="shared" si="382"/>
        <v>000</v>
      </c>
      <c r="L3258" s="5">
        <f t="shared" si="383"/>
        <v>7</v>
      </c>
      <c r="M3258" s="5">
        <f t="shared" si="384"/>
        <v>2012</v>
      </c>
    </row>
    <row r="3259" spans="1:13" ht="17.45" customHeight="1" x14ac:dyDescent="0.25">
      <c r="A3259" s="1">
        <f>DATE(2012,8,1)</f>
        <v>41122</v>
      </c>
      <c r="B3259" t="s">
        <v>11</v>
      </c>
      <c r="C3259" t="s">
        <v>6</v>
      </c>
      <c r="D3259" s="3">
        <v>3260.9265000000005</v>
      </c>
      <c r="E3259" s="3">
        <v>0</v>
      </c>
      <c r="F3259" t="s">
        <v>45</v>
      </c>
      <c r="G3259" s="3">
        <f t="shared" si="378"/>
        <v>-3260.9265000000005</v>
      </c>
      <c r="H3259" s="3">
        <f t="shared" si="379"/>
        <v>3260.9265000000005</v>
      </c>
      <c r="I3259" s="5" t="str">
        <f t="shared" si="380"/>
        <v>016</v>
      </c>
      <c r="J3259" s="5" t="str">
        <f t="shared" si="381"/>
        <v>2100</v>
      </c>
      <c r="K3259" s="5" t="str">
        <f t="shared" si="382"/>
        <v>000</v>
      </c>
      <c r="L3259" s="5">
        <f t="shared" si="383"/>
        <v>8</v>
      </c>
      <c r="M3259" s="5">
        <f t="shared" si="384"/>
        <v>2012</v>
      </c>
    </row>
    <row r="3260" spans="1:13" ht="17.45" customHeight="1" x14ac:dyDescent="0.25">
      <c r="A3260" s="1">
        <f>DATE(2012,8,1)</f>
        <v>41122</v>
      </c>
      <c r="B3260" t="s">
        <v>12</v>
      </c>
      <c r="C3260" t="s">
        <v>8</v>
      </c>
      <c r="D3260" s="3">
        <v>1054.0620000000001</v>
      </c>
      <c r="E3260" s="3">
        <v>0</v>
      </c>
      <c r="F3260" t="s">
        <v>45</v>
      </c>
      <c r="G3260" s="3">
        <f t="shared" si="378"/>
        <v>-1054.0620000000001</v>
      </c>
      <c r="H3260" s="3">
        <f t="shared" si="379"/>
        <v>1054.0620000000001</v>
      </c>
      <c r="I3260" s="5" t="str">
        <f t="shared" si="380"/>
        <v>016</v>
      </c>
      <c r="J3260" s="5" t="str">
        <f t="shared" si="381"/>
        <v>2210</v>
      </c>
      <c r="K3260" s="5" t="str">
        <f t="shared" si="382"/>
        <v>000</v>
      </c>
      <c r="L3260" s="5">
        <f t="shared" si="383"/>
        <v>8</v>
      </c>
      <c r="M3260" s="5">
        <f t="shared" si="384"/>
        <v>2012</v>
      </c>
    </row>
    <row r="3261" spans="1:13" ht="17.45" customHeight="1" x14ac:dyDescent="0.25">
      <c r="A3261" s="1">
        <f>DATE(2012,8,1)</f>
        <v>41122</v>
      </c>
      <c r="B3261" t="s">
        <v>13</v>
      </c>
      <c r="C3261" t="s">
        <v>9</v>
      </c>
      <c r="D3261" s="3">
        <v>174.804</v>
      </c>
      <c r="E3261" s="3">
        <v>0</v>
      </c>
      <c r="F3261" t="s">
        <v>45</v>
      </c>
      <c r="G3261" s="3">
        <f t="shared" si="378"/>
        <v>-174.804</v>
      </c>
      <c r="H3261" s="3">
        <f t="shared" si="379"/>
        <v>174.804</v>
      </c>
      <c r="I3261" s="5" t="str">
        <f t="shared" si="380"/>
        <v>016</v>
      </c>
      <c r="J3261" s="5" t="str">
        <f t="shared" si="381"/>
        <v>2220</v>
      </c>
      <c r="K3261" s="5" t="str">
        <f t="shared" si="382"/>
        <v>000</v>
      </c>
      <c r="L3261" s="5">
        <f t="shared" si="383"/>
        <v>8</v>
      </c>
      <c r="M3261" s="5">
        <f t="shared" si="384"/>
        <v>2012</v>
      </c>
    </row>
    <row r="3262" spans="1:13" ht="17.45" customHeight="1" x14ac:dyDescent="0.25">
      <c r="A3262" s="1">
        <f>DATE(2012,8,1)</f>
        <v>41122</v>
      </c>
      <c r="B3262" t="s">
        <v>14</v>
      </c>
      <c r="C3262" t="s">
        <v>10</v>
      </c>
      <c r="D3262" s="3">
        <v>79.264799999999994</v>
      </c>
      <c r="E3262" s="3">
        <v>0</v>
      </c>
      <c r="F3262" t="s">
        <v>45</v>
      </c>
      <c r="G3262" s="3">
        <f t="shared" si="378"/>
        <v>-79.264799999999994</v>
      </c>
      <c r="H3262" s="3">
        <f t="shared" si="379"/>
        <v>79.264799999999994</v>
      </c>
      <c r="I3262" s="5" t="str">
        <f t="shared" si="380"/>
        <v>016</v>
      </c>
      <c r="J3262" s="5" t="str">
        <f t="shared" si="381"/>
        <v>2230</v>
      </c>
      <c r="K3262" s="5" t="str">
        <f t="shared" si="382"/>
        <v>000</v>
      </c>
      <c r="L3262" s="5">
        <f t="shared" si="383"/>
        <v>8</v>
      </c>
      <c r="M3262" s="5">
        <f t="shared" si="384"/>
        <v>2012</v>
      </c>
    </row>
    <row r="3263" spans="1:13" ht="17.45" customHeight="1" x14ac:dyDescent="0.25">
      <c r="A3263" s="1">
        <f t="shared" ref="A3263:A3266" si="385">DATE(2012,8,2)</f>
        <v>41123</v>
      </c>
      <c r="B3263" t="s">
        <v>11</v>
      </c>
      <c r="C3263" t="s">
        <v>6</v>
      </c>
      <c r="D3263" s="3">
        <v>2467.413</v>
      </c>
      <c r="E3263" s="3">
        <v>0</v>
      </c>
      <c r="F3263" t="s">
        <v>45</v>
      </c>
      <c r="G3263" s="3">
        <f t="shared" si="378"/>
        <v>-2467.413</v>
      </c>
      <c r="H3263" s="3">
        <f t="shared" si="379"/>
        <v>2467.413</v>
      </c>
      <c r="I3263" s="5" t="str">
        <f t="shared" si="380"/>
        <v>016</v>
      </c>
      <c r="J3263" s="5" t="str">
        <f t="shared" si="381"/>
        <v>2100</v>
      </c>
      <c r="K3263" s="5" t="str">
        <f t="shared" si="382"/>
        <v>000</v>
      </c>
      <c r="L3263" s="5">
        <f t="shared" si="383"/>
        <v>8</v>
      </c>
      <c r="M3263" s="5">
        <f t="shared" si="384"/>
        <v>2012</v>
      </c>
    </row>
    <row r="3264" spans="1:13" ht="17.45" customHeight="1" x14ac:dyDescent="0.25">
      <c r="A3264" s="1">
        <f t="shared" si="385"/>
        <v>41123</v>
      </c>
      <c r="B3264" t="s">
        <v>12</v>
      </c>
      <c r="C3264" t="s">
        <v>8</v>
      </c>
      <c r="D3264" s="3">
        <v>846.28449999999998</v>
      </c>
      <c r="E3264" s="3">
        <v>0</v>
      </c>
      <c r="F3264" t="s">
        <v>45</v>
      </c>
      <c r="G3264" s="3">
        <f t="shared" si="378"/>
        <v>-846.28449999999998</v>
      </c>
      <c r="H3264" s="3">
        <f t="shared" si="379"/>
        <v>846.28449999999998</v>
      </c>
      <c r="I3264" s="5" t="str">
        <f t="shared" si="380"/>
        <v>016</v>
      </c>
      <c r="J3264" s="5" t="str">
        <f t="shared" si="381"/>
        <v>2210</v>
      </c>
      <c r="K3264" s="5" t="str">
        <f t="shared" si="382"/>
        <v>000</v>
      </c>
      <c r="L3264" s="5">
        <f t="shared" si="383"/>
        <v>8</v>
      </c>
      <c r="M3264" s="5">
        <f t="shared" si="384"/>
        <v>2012</v>
      </c>
    </row>
    <row r="3265" spans="1:13" ht="17.45" customHeight="1" x14ac:dyDescent="0.25">
      <c r="A3265" s="1">
        <f t="shared" si="385"/>
        <v>41123</v>
      </c>
      <c r="B3265" t="s">
        <v>13</v>
      </c>
      <c r="C3265" t="s">
        <v>9</v>
      </c>
      <c r="D3265" s="3">
        <v>56.595000000000006</v>
      </c>
      <c r="E3265" s="3">
        <v>0</v>
      </c>
      <c r="F3265" t="s">
        <v>45</v>
      </c>
      <c r="G3265" s="3">
        <f t="shared" si="378"/>
        <v>-56.595000000000006</v>
      </c>
      <c r="H3265" s="3">
        <f t="shared" si="379"/>
        <v>56.595000000000006</v>
      </c>
      <c r="I3265" s="5" t="str">
        <f t="shared" si="380"/>
        <v>016</v>
      </c>
      <c r="J3265" s="5" t="str">
        <f t="shared" si="381"/>
        <v>2220</v>
      </c>
      <c r="K3265" s="5" t="str">
        <f t="shared" si="382"/>
        <v>000</v>
      </c>
      <c r="L3265" s="5">
        <f t="shared" si="383"/>
        <v>8</v>
      </c>
      <c r="M3265" s="5">
        <f t="shared" si="384"/>
        <v>2012</v>
      </c>
    </row>
    <row r="3266" spans="1:13" ht="17.45" customHeight="1" x14ac:dyDescent="0.25">
      <c r="A3266" s="1">
        <f t="shared" si="385"/>
        <v>41123</v>
      </c>
      <c r="B3266" t="s">
        <v>14</v>
      </c>
      <c r="C3266" t="s">
        <v>10</v>
      </c>
      <c r="D3266" s="3">
        <v>18.154499999999999</v>
      </c>
      <c r="E3266" s="3">
        <v>0</v>
      </c>
      <c r="F3266" t="s">
        <v>45</v>
      </c>
      <c r="G3266" s="3">
        <f t="shared" ref="G3266:G3329" si="386">E3266-D3266</f>
        <v>-18.154499999999999</v>
      </c>
      <c r="H3266" s="3">
        <f t="shared" ref="H3266:H3329" si="387">ABS(G3266)</f>
        <v>18.154499999999999</v>
      </c>
      <c r="I3266" s="5" t="str">
        <f t="shared" ref="I3266:I3329" si="388">MID(B3266,1,3)</f>
        <v>016</v>
      </c>
      <c r="J3266" s="5" t="str">
        <f t="shared" ref="J3266:J3329" si="389">MID(B3266,5,4)</f>
        <v>2230</v>
      </c>
      <c r="K3266" s="5" t="str">
        <f t="shared" ref="K3266:K3329" si="390">MID(B3266,10,3)</f>
        <v>000</v>
      </c>
      <c r="L3266" s="5">
        <f t="shared" ref="L3266:L3329" si="391">MONTH(A3266)</f>
        <v>8</v>
      </c>
      <c r="M3266" s="5">
        <f t="shared" ref="M3266:M3329" si="392">YEAR(A3266)</f>
        <v>2012</v>
      </c>
    </row>
    <row r="3267" spans="1:13" ht="17.45" customHeight="1" x14ac:dyDescent="0.25">
      <c r="A3267" s="1">
        <f>DATE(2012,8,3)</f>
        <v>41124</v>
      </c>
      <c r="B3267" t="s">
        <v>11</v>
      </c>
      <c r="C3267" t="s">
        <v>6</v>
      </c>
      <c r="D3267" s="3">
        <v>5487.9632999999994</v>
      </c>
      <c r="E3267" s="3">
        <v>0</v>
      </c>
      <c r="F3267" t="s">
        <v>45</v>
      </c>
      <c r="G3267" s="3">
        <f t="shared" si="386"/>
        <v>-5487.9632999999994</v>
      </c>
      <c r="H3267" s="3">
        <f t="shared" si="387"/>
        <v>5487.9632999999994</v>
      </c>
      <c r="I3267" s="5" t="str">
        <f t="shared" si="388"/>
        <v>016</v>
      </c>
      <c r="J3267" s="5" t="str">
        <f t="shared" si="389"/>
        <v>2100</v>
      </c>
      <c r="K3267" s="5" t="str">
        <f t="shared" si="390"/>
        <v>000</v>
      </c>
      <c r="L3267" s="5">
        <f t="shared" si="391"/>
        <v>8</v>
      </c>
      <c r="M3267" s="5">
        <f t="shared" si="392"/>
        <v>2012</v>
      </c>
    </row>
    <row r="3268" spans="1:13" ht="17.45" customHeight="1" x14ac:dyDescent="0.25">
      <c r="A3268" s="1">
        <f>DATE(2012,8,3)</f>
        <v>41124</v>
      </c>
      <c r="B3268" t="s">
        <v>12</v>
      </c>
      <c r="C3268" t="s">
        <v>8</v>
      </c>
      <c r="D3268" s="3">
        <v>1794.8519999999999</v>
      </c>
      <c r="E3268" s="3">
        <v>0</v>
      </c>
      <c r="F3268" t="s">
        <v>45</v>
      </c>
      <c r="G3268" s="3">
        <f t="shared" si="386"/>
        <v>-1794.8519999999999</v>
      </c>
      <c r="H3268" s="3">
        <f t="shared" si="387"/>
        <v>1794.8519999999999</v>
      </c>
      <c r="I3268" s="5" t="str">
        <f t="shared" si="388"/>
        <v>016</v>
      </c>
      <c r="J3268" s="5" t="str">
        <f t="shared" si="389"/>
        <v>2210</v>
      </c>
      <c r="K3268" s="5" t="str">
        <f t="shared" si="390"/>
        <v>000</v>
      </c>
      <c r="L3268" s="5">
        <f t="shared" si="391"/>
        <v>8</v>
      </c>
      <c r="M3268" s="5">
        <f t="shared" si="392"/>
        <v>2012</v>
      </c>
    </row>
    <row r="3269" spans="1:13" ht="17.45" customHeight="1" x14ac:dyDescent="0.25">
      <c r="A3269" s="1">
        <f>DATE(2012,8,3)</f>
        <v>41124</v>
      </c>
      <c r="B3269" t="s">
        <v>13</v>
      </c>
      <c r="C3269" t="s">
        <v>9</v>
      </c>
      <c r="D3269" s="3">
        <v>591.18150000000003</v>
      </c>
      <c r="E3269" s="3">
        <v>0</v>
      </c>
      <c r="F3269" t="s">
        <v>45</v>
      </c>
      <c r="G3269" s="3">
        <f t="shared" si="386"/>
        <v>-591.18150000000003</v>
      </c>
      <c r="H3269" s="3">
        <f t="shared" si="387"/>
        <v>591.18150000000003</v>
      </c>
      <c r="I3269" s="5" t="str">
        <f t="shared" si="388"/>
        <v>016</v>
      </c>
      <c r="J3269" s="5" t="str">
        <f t="shared" si="389"/>
        <v>2220</v>
      </c>
      <c r="K3269" s="5" t="str">
        <f t="shared" si="390"/>
        <v>000</v>
      </c>
      <c r="L3269" s="5">
        <f t="shared" si="391"/>
        <v>8</v>
      </c>
      <c r="M3269" s="5">
        <f t="shared" si="392"/>
        <v>2012</v>
      </c>
    </row>
    <row r="3270" spans="1:13" ht="17.45" customHeight="1" x14ac:dyDescent="0.25">
      <c r="A3270" s="1">
        <f>DATE(2012,8,3)</f>
        <v>41124</v>
      </c>
      <c r="B3270" t="s">
        <v>14</v>
      </c>
      <c r="C3270" t="s">
        <v>10</v>
      </c>
      <c r="D3270" s="3">
        <v>204.732</v>
      </c>
      <c r="E3270" s="3">
        <v>0</v>
      </c>
      <c r="F3270" t="s">
        <v>45</v>
      </c>
      <c r="G3270" s="3">
        <f t="shared" si="386"/>
        <v>-204.732</v>
      </c>
      <c r="H3270" s="3">
        <f t="shared" si="387"/>
        <v>204.732</v>
      </c>
      <c r="I3270" s="5" t="str">
        <f t="shared" si="388"/>
        <v>016</v>
      </c>
      <c r="J3270" s="5" t="str">
        <f t="shared" si="389"/>
        <v>2230</v>
      </c>
      <c r="K3270" s="5" t="str">
        <f t="shared" si="390"/>
        <v>000</v>
      </c>
      <c r="L3270" s="5">
        <f t="shared" si="391"/>
        <v>8</v>
      </c>
      <c r="M3270" s="5">
        <f t="shared" si="392"/>
        <v>2012</v>
      </c>
    </row>
    <row r="3271" spans="1:13" ht="17.45" customHeight="1" x14ac:dyDescent="0.25">
      <c r="A3271" s="1">
        <f t="shared" ref="A3271:A3274" si="393">DATE(2012,8,4)</f>
        <v>41125</v>
      </c>
      <c r="B3271" t="s">
        <v>11</v>
      </c>
      <c r="C3271" t="s">
        <v>6</v>
      </c>
      <c r="D3271" s="3">
        <v>6579.3500999999997</v>
      </c>
      <c r="E3271" s="3">
        <v>0</v>
      </c>
      <c r="F3271" t="s">
        <v>45</v>
      </c>
      <c r="G3271" s="3">
        <f t="shared" si="386"/>
        <v>-6579.3500999999997</v>
      </c>
      <c r="H3271" s="3">
        <f t="shared" si="387"/>
        <v>6579.3500999999997</v>
      </c>
      <c r="I3271" s="5" t="str">
        <f t="shared" si="388"/>
        <v>016</v>
      </c>
      <c r="J3271" s="5" t="str">
        <f t="shared" si="389"/>
        <v>2100</v>
      </c>
      <c r="K3271" s="5" t="str">
        <f t="shared" si="390"/>
        <v>000</v>
      </c>
      <c r="L3271" s="5">
        <f t="shared" si="391"/>
        <v>8</v>
      </c>
      <c r="M3271" s="5">
        <f t="shared" si="392"/>
        <v>2012</v>
      </c>
    </row>
    <row r="3272" spans="1:13" ht="17.45" customHeight="1" x14ac:dyDescent="0.25">
      <c r="A3272" s="1">
        <f t="shared" si="393"/>
        <v>41125</v>
      </c>
      <c r="B3272" t="s">
        <v>12</v>
      </c>
      <c r="C3272" t="s">
        <v>8</v>
      </c>
      <c r="D3272" s="3">
        <v>1986.6869999999999</v>
      </c>
      <c r="E3272" s="3">
        <v>0</v>
      </c>
      <c r="F3272" t="s">
        <v>45</v>
      </c>
      <c r="G3272" s="3">
        <f t="shared" si="386"/>
        <v>-1986.6869999999999</v>
      </c>
      <c r="H3272" s="3">
        <f t="shared" si="387"/>
        <v>1986.6869999999999</v>
      </c>
      <c r="I3272" s="5" t="str">
        <f t="shared" si="388"/>
        <v>016</v>
      </c>
      <c r="J3272" s="5" t="str">
        <f t="shared" si="389"/>
        <v>2210</v>
      </c>
      <c r="K3272" s="5" t="str">
        <f t="shared" si="390"/>
        <v>000</v>
      </c>
      <c r="L3272" s="5">
        <f t="shared" si="391"/>
        <v>8</v>
      </c>
      <c r="M3272" s="5">
        <f t="shared" si="392"/>
        <v>2012</v>
      </c>
    </row>
    <row r="3273" spans="1:13" ht="17.45" customHeight="1" x14ac:dyDescent="0.25">
      <c r="A3273" s="1">
        <f t="shared" si="393"/>
        <v>41125</v>
      </c>
      <c r="B3273" t="s">
        <v>13</v>
      </c>
      <c r="C3273" t="s">
        <v>9</v>
      </c>
      <c r="D3273" s="3">
        <v>523.85969999999998</v>
      </c>
      <c r="E3273" s="3">
        <v>0</v>
      </c>
      <c r="F3273" t="s">
        <v>45</v>
      </c>
      <c r="G3273" s="3">
        <f t="shared" si="386"/>
        <v>-523.85969999999998</v>
      </c>
      <c r="H3273" s="3">
        <f t="shared" si="387"/>
        <v>523.85969999999998</v>
      </c>
      <c r="I3273" s="5" t="str">
        <f t="shared" si="388"/>
        <v>016</v>
      </c>
      <c r="J3273" s="5" t="str">
        <f t="shared" si="389"/>
        <v>2220</v>
      </c>
      <c r="K3273" s="5" t="str">
        <f t="shared" si="390"/>
        <v>000</v>
      </c>
      <c r="L3273" s="5">
        <f t="shared" si="391"/>
        <v>8</v>
      </c>
      <c r="M3273" s="5">
        <f t="shared" si="392"/>
        <v>2012</v>
      </c>
    </row>
    <row r="3274" spans="1:13" ht="17.45" customHeight="1" x14ac:dyDescent="0.25">
      <c r="A3274" s="1">
        <f t="shared" si="393"/>
        <v>41125</v>
      </c>
      <c r="B3274" t="s">
        <v>14</v>
      </c>
      <c r="C3274" t="s">
        <v>10</v>
      </c>
      <c r="D3274" s="3">
        <v>155.88199999999998</v>
      </c>
      <c r="E3274" s="3">
        <v>0</v>
      </c>
      <c r="F3274" t="s">
        <v>45</v>
      </c>
      <c r="G3274" s="3">
        <f t="shared" si="386"/>
        <v>-155.88199999999998</v>
      </c>
      <c r="H3274" s="3">
        <f t="shared" si="387"/>
        <v>155.88199999999998</v>
      </c>
      <c r="I3274" s="5" t="str">
        <f t="shared" si="388"/>
        <v>016</v>
      </c>
      <c r="J3274" s="5" t="str">
        <f t="shared" si="389"/>
        <v>2230</v>
      </c>
      <c r="K3274" s="5" t="str">
        <f t="shared" si="390"/>
        <v>000</v>
      </c>
      <c r="L3274" s="5">
        <f t="shared" si="391"/>
        <v>8</v>
      </c>
      <c r="M3274" s="5">
        <f t="shared" si="392"/>
        <v>2012</v>
      </c>
    </row>
    <row r="3275" spans="1:13" ht="17.45" customHeight="1" x14ac:dyDescent="0.25">
      <c r="A3275" s="1">
        <f>DATE(2012,8,5)</f>
        <v>41126</v>
      </c>
      <c r="B3275" t="s">
        <v>11</v>
      </c>
      <c r="C3275" t="s">
        <v>6</v>
      </c>
      <c r="D3275" s="3">
        <v>4223.9356000000007</v>
      </c>
      <c r="E3275" s="3">
        <v>0</v>
      </c>
      <c r="F3275" t="s">
        <v>45</v>
      </c>
      <c r="G3275" s="3">
        <f t="shared" si="386"/>
        <v>-4223.9356000000007</v>
      </c>
      <c r="H3275" s="3">
        <f t="shared" si="387"/>
        <v>4223.9356000000007</v>
      </c>
      <c r="I3275" s="5" t="str">
        <f t="shared" si="388"/>
        <v>016</v>
      </c>
      <c r="J3275" s="5" t="str">
        <f t="shared" si="389"/>
        <v>2100</v>
      </c>
      <c r="K3275" s="5" t="str">
        <f t="shared" si="390"/>
        <v>000</v>
      </c>
      <c r="L3275" s="5">
        <f t="shared" si="391"/>
        <v>8</v>
      </c>
      <c r="M3275" s="5">
        <f t="shared" si="392"/>
        <v>2012</v>
      </c>
    </row>
    <row r="3276" spans="1:13" ht="17.45" customHeight="1" x14ac:dyDescent="0.25">
      <c r="A3276" s="1">
        <f>DATE(2012,8,5)</f>
        <v>41126</v>
      </c>
      <c r="B3276" t="s">
        <v>12</v>
      </c>
      <c r="C3276" t="s">
        <v>8</v>
      </c>
      <c r="D3276" s="3">
        <v>1324.0559999999998</v>
      </c>
      <c r="E3276" s="3">
        <v>0</v>
      </c>
      <c r="F3276" t="s">
        <v>45</v>
      </c>
      <c r="G3276" s="3">
        <f t="shared" si="386"/>
        <v>-1324.0559999999998</v>
      </c>
      <c r="H3276" s="3">
        <f t="shared" si="387"/>
        <v>1324.0559999999998</v>
      </c>
      <c r="I3276" s="5" t="str">
        <f t="shared" si="388"/>
        <v>016</v>
      </c>
      <c r="J3276" s="5" t="str">
        <f t="shared" si="389"/>
        <v>2210</v>
      </c>
      <c r="K3276" s="5" t="str">
        <f t="shared" si="390"/>
        <v>000</v>
      </c>
      <c r="L3276" s="5">
        <f t="shared" si="391"/>
        <v>8</v>
      </c>
      <c r="M3276" s="5">
        <f t="shared" si="392"/>
        <v>2012</v>
      </c>
    </row>
    <row r="3277" spans="1:13" ht="17.45" customHeight="1" x14ac:dyDescent="0.25">
      <c r="A3277" s="1">
        <f>DATE(2012,8,5)</f>
        <v>41126</v>
      </c>
      <c r="B3277" t="s">
        <v>13</v>
      </c>
      <c r="C3277" t="s">
        <v>9</v>
      </c>
      <c r="D3277" s="3">
        <v>153.21600000000004</v>
      </c>
      <c r="E3277" s="3">
        <v>0</v>
      </c>
      <c r="F3277" t="s">
        <v>45</v>
      </c>
      <c r="G3277" s="3">
        <f t="shared" si="386"/>
        <v>-153.21600000000004</v>
      </c>
      <c r="H3277" s="3">
        <f t="shared" si="387"/>
        <v>153.21600000000004</v>
      </c>
      <c r="I3277" s="5" t="str">
        <f t="shared" si="388"/>
        <v>016</v>
      </c>
      <c r="J3277" s="5" t="str">
        <f t="shared" si="389"/>
        <v>2220</v>
      </c>
      <c r="K3277" s="5" t="str">
        <f t="shared" si="390"/>
        <v>000</v>
      </c>
      <c r="L3277" s="5">
        <f t="shared" si="391"/>
        <v>8</v>
      </c>
      <c r="M3277" s="5">
        <f t="shared" si="392"/>
        <v>2012</v>
      </c>
    </row>
    <row r="3278" spans="1:13" ht="17.45" customHeight="1" x14ac:dyDescent="0.25">
      <c r="A3278" s="1">
        <f>DATE(2012,8,5)</f>
        <v>41126</v>
      </c>
      <c r="B3278" t="s">
        <v>14</v>
      </c>
      <c r="C3278" t="s">
        <v>10</v>
      </c>
      <c r="D3278" s="3">
        <v>23.997999999999998</v>
      </c>
      <c r="E3278" s="3">
        <v>0</v>
      </c>
      <c r="F3278" t="s">
        <v>45</v>
      </c>
      <c r="G3278" s="3">
        <f t="shared" si="386"/>
        <v>-23.997999999999998</v>
      </c>
      <c r="H3278" s="3">
        <f t="shared" si="387"/>
        <v>23.997999999999998</v>
      </c>
      <c r="I3278" s="5" t="str">
        <f t="shared" si="388"/>
        <v>016</v>
      </c>
      <c r="J3278" s="5" t="str">
        <f t="shared" si="389"/>
        <v>2230</v>
      </c>
      <c r="K3278" s="5" t="str">
        <f t="shared" si="390"/>
        <v>000</v>
      </c>
      <c r="L3278" s="5">
        <f t="shared" si="391"/>
        <v>8</v>
      </c>
      <c r="M3278" s="5">
        <f t="shared" si="392"/>
        <v>2012</v>
      </c>
    </row>
    <row r="3279" spans="1:13" ht="17.45" customHeight="1" x14ac:dyDescent="0.25">
      <c r="A3279" s="1">
        <f>DATE(2012,7,30)</f>
        <v>41120</v>
      </c>
      <c r="B3279" t="s">
        <v>15</v>
      </c>
      <c r="C3279" t="s">
        <v>6</v>
      </c>
      <c r="D3279" s="3">
        <v>3639.5226000000002</v>
      </c>
      <c r="E3279" s="3">
        <v>0</v>
      </c>
      <c r="F3279" t="s">
        <v>45</v>
      </c>
      <c r="G3279" s="3">
        <f t="shared" si="386"/>
        <v>-3639.5226000000002</v>
      </c>
      <c r="H3279" s="3">
        <f t="shared" si="387"/>
        <v>3639.5226000000002</v>
      </c>
      <c r="I3279" s="5" t="str">
        <f t="shared" si="388"/>
        <v>017</v>
      </c>
      <c r="J3279" s="5" t="str">
        <f t="shared" si="389"/>
        <v>2100</v>
      </c>
      <c r="K3279" s="5" t="str">
        <f t="shared" si="390"/>
        <v>000</v>
      </c>
      <c r="L3279" s="5">
        <f t="shared" si="391"/>
        <v>7</v>
      </c>
      <c r="M3279" s="5">
        <f t="shared" si="392"/>
        <v>2012</v>
      </c>
    </row>
    <row r="3280" spans="1:13" ht="17.45" customHeight="1" x14ac:dyDescent="0.25">
      <c r="A3280" s="1">
        <f>DATE(2012,7,30)</f>
        <v>41120</v>
      </c>
      <c r="B3280" t="s">
        <v>16</v>
      </c>
      <c r="C3280" t="s">
        <v>8</v>
      </c>
      <c r="D3280" s="3">
        <v>905.25000000000011</v>
      </c>
      <c r="E3280" s="3">
        <v>0</v>
      </c>
      <c r="F3280" t="s">
        <v>45</v>
      </c>
      <c r="G3280" s="3">
        <f t="shared" si="386"/>
        <v>-905.25000000000011</v>
      </c>
      <c r="H3280" s="3">
        <f t="shared" si="387"/>
        <v>905.25000000000011</v>
      </c>
      <c r="I3280" s="5" t="str">
        <f t="shared" si="388"/>
        <v>017</v>
      </c>
      <c r="J3280" s="5" t="str">
        <f t="shared" si="389"/>
        <v>2210</v>
      </c>
      <c r="K3280" s="5" t="str">
        <f t="shared" si="390"/>
        <v>000</v>
      </c>
      <c r="L3280" s="5">
        <f t="shared" si="391"/>
        <v>7</v>
      </c>
      <c r="M3280" s="5">
        <f t="shared" si="392"/>
        <v>2012</v>
      </c>
    </row>
    <row r="3281" spans="1:13" ht="17.45" customHeight="1" x14ac:dyDescent="0.25">
      <c r="A3281" s="1">
        <f>DATE(2012,7,30)</f>
        <v>41120</v>
      </c>
      <c r="B3281" t="s">
        <v>17</v>
      </c>
      <c r="C3281" t="s">
        <v>9</v>
      </c>
      <c r="D3281" s="3">
        <v>227.01</v>
      </c>
      <c r="E3281" s="3">
        <v>0</v>
      </c>
      <c r="F3281" t="s">
        <v>45</v>
      </c>
      <c r="G3281" s="3">
        <f t="shared" si="386"/>
        <v>-227.01</v>
      </c>
      <c r="H3281" s="3">
        <f t="shared" si="387"/>
        <v>227.01</v>
      </c>
      <c r="I3281" s="5" t="str">
        <f t="shared" si="388"/>
        <v>017</v>
      </c>
      <c r="J3281" s="5" t="str">
        <f t="shared" si="389"/>
        <v>2220</v>
      </c>
      <c r="K3281" s="5" t="str">
        <f t="shared" si="390"/>
        <v>000</v>
      </c>
      <c r="L3281" s="5">
        <f t="shared" si="391"/>
        <v>7</v>
      </c>
      <c r="M3281" s="5">
        <f t="shared" si="392"/>
        <v>2012</v>
      </c>
    </row>
    <row r="3282" spans="1:13" ht="17.45" customHeight="1" x14ac:dyDescent="0.25">
      <c r="A3282" s="1">
        <f>DATE(2012,7,30)</f>
        <v>41120</v>
      </c>
      <c r="B3282" t="s">
        <v>18</v>
      </c>
      <c r="C3282" t="s">
        <v>10</v>
      </c>
      <c r="D3282" s="3">
        <v>58.025999999999996</v>
      </c>
      <c r="E3282" s="3">
        <v>0</v>
      </c>
      <c r="F3282" t="s">
        <v>45</v>
      </c>
      <c r="G3282" s="3">
        <f t="shared" si="386"/>
        <v>-58.025999999999996</v>
      </c>
      <c r="H3282" s="3">
        <f t="shared" si="387"/>
        <v>58.025999999999996</v>
      </c>
      <c r="I3282" s="5" t="str">
        <f t="shared" si="388"/>
        <v>017</v>
      </c>
      <c r="J3282" s="5" t="str">
        <f t="shared" si="389"/>
        <v>2230</v>
      </c>
      <c r="K3282" s="5" t="str">
        <f t="shared" si="390"/>
        <v>000</v>
      </c>
      <c r="L3282" s="5">
        <f t="shared" si="391"/>
        <v>7</v>
      </c>
      <c r="M3282" s="5">
        <f t="shared" si="392"/>
        <v>2012</v>
      </c>
    </row>
    <row r="3283" spans="1:13" ht="17.45" customHeight="1" x14ac:dyDescent="0.25">
      <c r="A3283" s="1">
        <f>DATE(2012,7,31)</f>
        <v>41121</v>
      </c>
      <c r="B3283" t="s">
        <v>15</v>
      </c>
      <c r="C3283" t="s">
        <v>6</v>
      </c>
      <c r="D3283" s="3">
        <v>5580.4800999999998</v>
      </c>
      <c r="E3283" s="3">
        <v>0</v>
      </c>
      <c r="F3283" t="s">
        <v>45</v>
      </c>
      <c r="G3283" s="3">
        <f t="shared" si="386"/>
        <v>-5580.4800999999998</v>
      </c>
      <c r="H3283" s="3">
        <f t="shared" si="387"/>
        <v>5580.4800999999998</v>
      </c>
      <c r="I3283" s="5" t="str">
        <f t="shared" si="388"/>
        <v>017</v>
      </c>
      <c r="J3283" s="5" t="str">
        <f t="shared" si="389"/>
        <v>2100</v>
      </c>
      <c r="K3283" s="5" t="str">
        <f t="shared" si="390"/>
        <v>000</v>
      </c>
      <c r="L3283" s="5">
        <f t="shared" si="391"/>
        <v>7</v>
      </c>
      <c r="M3283" s="5">
        <f t="shared" si="392"/>
        <v>2012</v>
      </c>
    </row>
    <row r="3284" spans="1:13" ht="17.45" customHeight="1" x14ac:dyDescent="0.25">
      <c r="A3284" s="1">
        <f>DATE(2012,7,31)</f>
        <v>41121</v>
      </c>
      <c r="B3284" t="s">
        <v>16</v>
      </c>
      <c r="C3284" t="s">
        <v>8</v>
      </c>
      <c r="D3284" s="3">
        <v>1145.1445000000001</v>
      </c>
      <c r="E3284" s="3">
        <v>0</v>
      </c>
      <c r="F3284" t="s">
        <v>45</v>
      </c>
      <c r="G3284" s="3">
        <f t="shared" si="386"/>
        <v>-1145.1445000000001</v>
      </c>
      <c r="H3284" s="3">
        <f t="shared" si="387"/>
        <v>1145.1445000000001</v>
      </c>
      <c r="I3284" s="5" t="str">
        <f t="shared" si="388"/>
        <v>017</v>
      </c>
      <c r="J3284" s="5" t="str">
        <f t="shared" si="389"/>
        <v>2210</v>
      </c>
      <c r="K3284" s="5" t="str">
        <f t="shared" si="390"/>
        <v>000</v>
      </c>
      <c r="L3284" s="5">
        <f t="shared" si="391"/>
        <v>7</v>
      </c>
      <c r="M3284" s="5">
        <f t="shared" si="392"/>
        <v>2012</v>
      </c>
    </row>
    <row r="3285" spans="1:13" ht="17.45" customHeight="1" x14ac:dyDescent="0.25">
      <c r="A3285" s="1">
        <f>DATE(2012,7,31)</f>
        <v>41121</v>
      </c>
      <c r="B3285" t="s">
        <v>17</v>
      </c>
      <c r="C3285" t="s">
        <v>9</v>
      </c>
      <c r="D3285" s="3">
        <v>223.3</v>
      </c>
      <c r="E3285" s="3">
        <v>0</v>
      </c>
      <c r="F3285" t="s">
        <v>45</v>
      </c>
      <c r="G3285" s="3">
        <f t="shared" si="386"/>
        <v>-223.3</v>
      </c>
      <c r="H3285" s="3">
        <f t="shared" si="387"/>
        <v>223.3</v>
      </c>
      <c r="I3285" s="5" t="str">
        <f t="shared" si="388"/>
        <v>017</v>
      </c>
      <c r="J3285" s="5" t="str">
        <f t="shared" si="389"/>
        <v>2220</v>
      </c>
      <c r="K3285" s="5" t="str">
        <f t="shared" si="390"/>
        <v>000</v>
      </c>
      <c r="L3285" s="5">
        <f t="shared" si="391"/>
        <v>7</v>
      </c>
      <c r="M3285" s="5">
        <f t="shared" si="392"/>
        <v>2012</v>
      </c>
    </row>
    <row r="3286" spans="1:13" ht="17.45" customHeight="1" x14ac:dyDescent="0.25">
      <c r="A3286" s="1">
        <f>DATE(2012,7,31)</f>
        <v>41121</v>
      </c>
      <c r="B3286" t="s">
        <v>18</v>
      </c>
      <c r="C3286" t="s">
        <v>10</v>
      </c>
      <c r="D3286" s="3">
        <v>72.189000000000007</v>
      </c>
      <c r="E3286" s="3">
        <v>0</v>
      </c>
      <c r="F3286" t="s">
        <v>45</v>
      </c>
      <c r="G3286" s="3">
        <f t="shared" si="386"/>
        <v>-72.189000000000007</v>
      </c>
      <c r="H3286" s="3">
        <f t="shared" si="387"/>
        <v>72.189000000000007</v>
      </c>
      <c r="I3286" s="5" t="str">
        <f t="shared" si="388"/>
        <v>017</v>
      </c>
      <c r="J3286" s="5" t="str">
        <f t="shared" si="389"/>
        <v>2230</v>
      </c>
      <c r="K3286" s="5" t="str">
        <f t="shared" si="390"/>
        <v>000</v>
      </c>
      <c r="L3286" s="5">
        <f t="shared" si="391"/>
        <v>7</v>
      </c>
      <c r="M3286" s="5">
        <f t="shared" si="392"/>
        <v>2012</v>
      </c>
    </row>
    <row r="3287" spans="1:13" ht="17.45" customHeight="1" x14ac:dyDescent="0.25">
      <c r="A3287" s="1">
        <f>DATE(2012,8,1)</f>
        <v>41122</v>
      </c>
      <c r="B3287" t="s">
        <v>15</v>
      </c>
      <c r="C3287" t="s">
        <v>6</v>
      </c>
      <c r="D3287" s="3">
        <v>7644.2168000000001</v>
      </c>
      <c r="E3287" s="3">
        <v>0</v>
      </c>
      <c r="F3287" t="s">
        <v>45</v>
      </c>
      <c r="G3287" s="3">
        <f t="shared" si="386"/>
        <v>-7644.2168000000001</v>
      </c>
      <c r="H3287" s="3">
        <f t="shared" si="387"/>
        <v>7644.2168000000001</v>
      </c>
      <c r="I3287" s="5" t="str">
        <f t="shared" si="388"/>
        <v>017</v>
      </c>
      <c r="J3287" s="5" t="str">
        <f t="shared" si="389"/>
        <v>2100</v>
      </c>
      <c r="K3287" s="5" t="str">
        <f t="shared" si="390"/>
        <v>000</v>
      </c>
      <c r="L3287" s="5">
        <f t="shared" si="391"/>
        <v>8</v>
      </c>
      <c r="M3287" s="5">
        <f t="shared" si="392"/>
        <v>2012</v>
      </c>
    </row>
    <row r="3288" spans="1:13" ht="17.45" customHeight="1" x14ac:dyDescent="0.25">
      <c r="A3288" s="1">
        <f>DATE(2012,8,1)</f>
        <v>41122</v>
      </c>
      <c r="B3288" t="s">
        <v>16</v>
      </c>
      <c r="C3288" t="s">
        <v>8</v>
      </c>
      <c r="D3288" s="3">
        <v>1782.9519999999998</v>
      </c>
      <c r="E3288" s="3">
        <v>0</v>
      </c>
      <c r="F3288" t="s">
        <v>45</v>
      </c>
      <c r="G3288" s="3">
        <f t="shared" si="386"/>
        <v>-1782.9519999999998</v>
      </c>
      <c r="H3288" s="3">
        <f t="shared" si="387"/>
        <v>1782.9519999999998</v>
      </c>
      <c r="I3288" s="5" t="str">
        <f t="shared" si="388"/>
        <v>017</v>
      </c>
      <c r="J3288" s="5" t="str">
        <f t="shared" si="389"/>
        <v>2210</v>
      </c>
      <c r="K3288" s="5" t="str">
        <f t="shared" si="390"/>
        <v>000</v>
      </c>
      <c r="L3288" s="5">
        <f t="shared" si="391"/>
        <v>8</v>
      </c>
      <c r="M3288" s="5">
        <f t="shared" si="392"/>
        <v>2012</v>
      </c>
    </row>
    <row r="3289" spans="1:13" ht="17.45" customHeight="1" x14ac:dyDescent="0.25">
      <c r="A3289" s="1">
        <f>DATE(2012,8,1)</f>
        <v>41122</v>
      </c>
      <c r="B3289" t="s">
        <v>17</v>
      </c>
      <c r="C3289" t="s">
        <v>9</v>
      </c>
      <c r="D3289" s="3">
        <v>581.59</v>
      </c>
      <c r="E3289" s="3">
        <v>0</v>
      </c>
      <c r="F3289" t="s">
        <v>45</v>
      </c>
      <c r="G3289" s="3">
        <f t="shared" si="386"/>
        <v>-581.59</v>
      </c>
      <c r="H3289" s="3">
        <f t="shared" si="387"/>
        <v>581.59</v>
      </c>
      <c r="I3289" s="5" t="str">
        <f t="shared" si="388"/>
        <v>017</v>
      </c>
      <c r="J3289" s="5" t="str">
        <f t="shared" si="389"/>
        <v>2220</v>
      </c>
      <c r="K3289" s="5" t="str">
        <f t="shared" si="390"/>
        <v>000</v>
      </c>
      <c r="L3289" s="5">
        <f t="shared" si="391"/>
        <v>8</v>
      </c>
      <c r="M3289" s="5">
        <f t="shared" si="392"/>
        <v>2012</v>
      </c>
    </row>
    <row r="3290" spans="1:13" ht="17.45" customHeight="1" x14ac:dyDescent="0.25">
      <c r="A3290" s="1">
        <f>DATE(2012,8,1)</f>
        <v>41122</v>
      </c>
      <c r="B3290" t="s">
        <v>18</v>
      </c>
      <c r="C3290" t="s">
        <v>10</v>
      </c>
      <c r="D3290" s="3">
        <v>79.952999999999989</v>
      </c>
      <c r="E3290" s="3">
        <v>0</v>
      </c>
      <c r="F3290" t="s">
        <v>45</v>
      </c>
      <c r="G3290" s="3">
        <f t="shared" si="386"/>
        <v>-79.952999999999989</v>
      </c>
      <c r="H3290" s="3">
        <f t="shared" si="387"/>
        <v>79.952999999999989</v>
      </c>
      <c r="I3290" s="5" t="str">
        <f t="shared" si="388"/>
        <v>017</v>
      </c>
      <c r="J3290" s="5" t="str">
        <f t="shared" si="389"/>
        <v>2230</v>
      </c>
      <c r="K3290" s="5" t="str">
        <f t="shared" si="390"/>
        <v>000</v>
      </c>
      <c r="L3290" s="5">
        <f t="shared" si="391"/>
        <v>8</v>
      </c>
      <c r="M3290" s="5">
        <f t="shared" si="392"/>
        <v>2012</v>
      </c>
    </row>
    <row r="3291" spans="1:13" ht="17.45" customHeight="1" x14ac:dyDescent="0.25">
      <c r="A3291" s="1">
        <f>DATE(2012,8,2)</f>
        <v>41123</v>
      </c>
      <c r="B3291" t="s">
        <v>15</v>
      </c>
      <c r="C3291" t="s">
        <v>6</v>
      </c>
      <c r="D3291" s="3">
        <v>5065.7046</v>
      </c>
      <c r="E3291" s="3">
        <v>0</v>
      </c>
      <c r="F3291" t="s">
        <v>45</v>
      </c>
      <c r="G3291" s="3">
        <f t="shared" si="386"/>
        <v>-5065.7046</v>
      </c>
      <c r="H3291" s="3">
        <f t="shared" si="387"/>
        <v>5065.7046</v>
      </c>
      <c r="I3291" s="5" t="str">
        <f t="shared" si="388"/>
        <v>017</v>
      </c>
      <c r="J3291" s="5" t="str">
        <f t="shared" si="389"/>
        <v>2100</v>
      </c>
      <c r="K3291" s="5" t="str">
        <f t="shared" si="390"/>
        <v>000</v>
      </c>
      <c r="L3291" s="5">
        <f t="shared" si="391"/>
        <v>8</v>
      </c>
      <c r="M3291" s="5">
        <f t="shared" si="392"/>
        <v>2012</v>
      </c>
    </row>
    <row r="3292" spans="1:13" ht="17.45" customHeight="1" x14ac:dyDescent="0.25">
      <c r="A3292" s="1">
        <f>DATE(2012,8,2)</f>
        <v>41123</v>
      </c>
      <c r="B3292" t="s">
        <v>16</v>
      </c>
      <c r="C3292" t="s">
        <v>8</v>
      </c>
      <c r="D3292" s="3">
        <v>1590.4449999999999</v>
      </c>
      <c r="E3292" s="3">
        <v>0</v>
      </c>
      <c r="F3292" t="s">
        <v>45</v>
      </c>
      <c r="G3292" s="3">
        <f t="shared" si="386"/>
        <v>-1590.4449999999999</v>
      </c>
      <c r="H3292" s="3">
        <f t="shared" si="387"/>
        <v>1590.4449999999999</v>
      </c>
      <c r="I3292" s="5" t="str">
        <f t="shared" si="388"/>
        <v>017</v>
      </c>
      <c r="J3292" s="5" t="str">
        <f t="shared" si="389"/>
        <v>2210</v>
      </c>
      <c r="K3292" s="5" t="str">
        <f t="shared" si="390"/>
        <v>000</v>
      </c>
      <c r="L3292" s="5">
        <f t="shared" si="391"/>
        <v>8</v>
      </c>
      <c r="M3292" s="5">
        <f t="shared" si="392"/>
        <v>2012</v>
      </c>
    </row>
    <row r="3293" spans="1:13" ht="17.45" customHeight="1" x14ac:dyDescent="0.25">
      <c r="A3293" s="1">
        <f>DATE(2012,8,2)</f>
        <v>41123</v>
      </c>
      <c r="B3293" t="s">
        <v>17</v>
      </c>
      <c r="C3293" t="s">
        <v>9</v>
      </c>
      <c r="D3293" s="3">
        <v>399.73500000000001</v>
      </c>
      <c r="E3293" s="3">
        <v>0</v>
      </c>
      <c r="F3293" t="s">
        <v>45</v>
      </c>
      <c r="G3293" s="3">
        <f t="shared" si="386"/>
        <v>-399.73500000000001</v>
      </c>
      <c r="H3293" s="3">
        <f t="shared" si="387"/>
        <v>399.73500000000001</v>
      </c>
      <c r="I3293" s="5" t="str">
        <f t="shared" si="388"/>
        <v>017</v>
      </c>
      <c r="J3293" s="5" t="str">
        <f t="shared" si="389"/>
        <v>2220</v>
      </c>
      <c r="K3293" s="5" t="str">
        <f t="shared" si="390"/>
        <v>000</v>
      </c>
      <c r="L3293" s="5">
        <f t="shared" si="391"/>
        <v>8</v>
      </c>
      <c r="M3293" s="5">
        <f t="shared" si="392"/>
        <v>2012</v>
      </c>
    </row>
    <row r="3294" spans="1:13" ht="17.45" customHeight="1" x14ac:dyDescent="0.25">
      <c r="A3294" s="1">
        <f>DATE(2012,8,2)</f>
        <v>41123</v>
      </c>
      <c r="B3294" t="s">
        <v>18</v>
      </c>
      <c r="C3294" t="s">
        <v>10</v>
      </c>
      <c r="D3294" s="3">
        <v>189.99900000000002</v>
      </c>
      <c r="E3294" s="3">
        <v>0</v>
      </c>
      <c r="F3294" t="s">
        <v>45</v>
      </c>
      <c r="G3294" s="3">
        <f t="shared" si="386"/>
        <v>-189.99900000000002</v>
      </c>
      <c r="H3294" s="3">
        <f t="shared" si="387"/>
        <v>189.99900000000002</v>
      </c>
      <c r="I3294" s="5" t="str">
        <f t="shared" si="388"/>
        <v>017</v>
      </c>
      <c r="J3294" s="5" t="str">
        <f t="shared" si="389"/>
        <v>2230</v>
      </c>
      <c r="K3294" s="5" t="str">
        <f t="shared" si="390"/>
        <v>000</v>
      </c>
      <c r="L3294" s="5">
        <f t="shared" si="391"/>
        <v>8</v>
      </c>
      <c r="M3294" s="5">
        <f t="shared" si="392"/>
        <v>2012</v>
      </c>
    </row>
    <row r="3295" spans="1:13" ht="17.45" customHeight="1" x14ac:dyDescent="0.25">
      <c r="A3295" s="1">
        <f t="shared" ref="A3295:A3298" si="394">DATE(2012,8,3)</f>
        <v>41124</v>
      </c>
      <c r="B3295" t="s">
        <v>15</v>
      </c>
      <c r="C3295" t="s">
        <v>6</v>
      </c>
      <c r="D3295" s="3">
        <v>5978.442</v>
      </c>
      <c r="E3295" s="3">
        <v>0</v>
      </c>
      <c r="F3295" t="s">
        <v>45</v>
      </c>
      <c r="G3295" s="3">
        <f t="shared" si="386"/>
        <v>-5978.442</v>
      </c>
      <c r="H3295" s="3">
        <f t="shared" si="387"/>
        <v>5978.442</v>
      </c>
      <c r="I3295" s="5" t="str">
        <f t="shared" si="388"/>
        <v>017</v>
      </c>
      <c r="J3295" s="5" t="str">
        <f t="shared" si="389"/>
        <v>2100</v>
      </c>
      <c r="K3295" s="5" t="str">
        <f t="shared" si="390"/>
        <v>000</v>
      </c>
      <c r="L3295" s="5">
        <f t="shared" si="391"/>
        <v>8</v>
      </c>
      <c r="M3295" s="5">
        <f t="shared" si="392"/>
        <v>2012</v>
      </c>
    </row>
    <row r="3296" spans="1:13" ht="17.45" customHeight="1" x14ac:dyDescent="0.25">
      <c r="A3296" s="1">
        <f t="shared" si="394"/>
        <v>41124</v>
      </c>
      <c r="B3296" t="s">
        <v>16</v>
      </c>
      <c r="C3296" t="s">
        <v>8</v>
      </c>
      <c r="D3296" s="3">
        <v>2803.7745</v>
      </c>
      <c r="E3296" s="3">
        <v>0</v>
      </c>
      <c r="F3296" t="s">
        <v>45</v>
      </c>
      <c r="G3296" s="3">
        <f t="shared" si="386"/>
        <v>-2803.7745</v>
      </c>
      <c r="H3296" s="3">
        <f t="shared" si="387"/>
        <v>2803.7745</v>
      </c>
      <c r="I3296" s="5" t="str">
        <f t="shared" si="388"/>
        <v>017</v>
      </c>
      <c r="J3296" s="5" t="str">
        <f t="shared" si="389"/>
        <v>2210</v>
      </c>
      <c r="K3296" s="5" t="str">
        <f t="shared" si="390"/>
        <v>000</v>
      </c>
      <c r="L3296" s="5">
        <f t="shared" si="391"/>
        <v>8</v>
      </c>
      <c r="M3296" s="5">
        <f t="shared" si="392"/>
        <v>2012</v>
      </c>
    </row>
    <row r="3297" spans="1:13" ht="17.45" customHeight="1" x14ac:dyDescent="0.25">
      <c r="A3297" s="1">
        <f t="shared" si="394"/>
        <v>41124</v>
      </c>
      <c r="B3297" t="s">
        <v>17</v>
      </c>
      <c r="C3297" t="s">
        <v>9</v>
      </c>
      <c r="D3297" s="3">
        <v>275.5</v>
      </c>
      <c r="E3297" s="3">
        <v>0</v>
      </c>
      <c r="F3297" t="s">
        <v>45</v>
      </c>
      <c r="G3297" s="3">
        <f t="shared" si="386"/>
        <v>-275.5</v>
      </c>
      <c r="H3297" s="3">
        <f t="shared" si="387"/>
        <v>275.5</v>
      </c>
      <c r="I3297" s="5" t="str">
        <f t="shared" si="388"/>
        <v>017</v>
      </c>
      <c r="J3297" s="5" t="str">
        <f t="shared" si="389"/>
        <v>2220</v>
      </c>
      <c r="K3297" s="5" t="str">
        <f t="shared" si="390"/>
        <v>000</v>
      </c>
      <c r="L3297" s="5">
        <f t="shared" si="391"/>
        <v>8</v>
      </c>
      <c r="M3297" s="5">
        <f t="shared" si="392"/>
        <v>2012</v>
      </c>
    </row>
    <row r="3298" spans="1:13" ht="17.45" customHeight="1" x14ac:dyDescent="0.25">
      <c r="A3298" s="1">
        <f t="shared" si="394"/>
        <v>41124</v>
      </c>
      <c r="B3298" t="s">
        <v>18</v>
      </c>
      <c r="C3298" t="s">
        <v>10</v>
      </c>
      <c r="D3298" s="3">
        <v>135.93799999999999</v>
      </c>
      <c r="E3298" s="3">
        <v>0</v>
      </c>
      <c r="F3298" t="s">
        <v>45</v>
      </c>
      <c r="G3298" s="3">
        <f t="shared" si="386"/>
        <v>-135.93799999999999</v>
      </c>
      <c r="H3298" s="3">
        <f t="shared" si="387"/>
        <v>135.93799999999999</v>
      </c>
      <c r="I3298" s="5" t="str">
        <f t="shared" si="388"/>
        <v>017</v>
      </c>
      <c r="J3298" s="5" t="str">
        <f t="shared" si="389"/>
        <v>2230</v>
      </c>
      <c r="K3298" s="5" t="str">
        <f t="shared" si="390"/>
        <v>000</v>
      </c>
      <c r="L3298" s="5">
        <f t="shared" si="391"/>
        <v>8</v>
      </c>
      <c r="M3298" s="5">
        <f t="shared" si="392"/>
        <v>2012</v>
      </c>
    </row>
    <row r="3299" spans="1:13" ht="17.45" customHeight="1" x14ac:dyDescent="0.25">
      <c r="A3299" s="1">
        <f>DATE(2012,8,4)</f>
        <v>41125</v>
      </c>
      <c r="B3299" t="s">
        <v>15</v>
      </c>
      <c r="C3299" t="s">
        <v>6</v>
      </c>
      <c r="D3299" s="3">
        <v>6283.9348999999993</v>
      </c>
      <c r="E3299" s="3">
        <v>0</v>
      </c>
      <c r="F3299" t="s">
        <v>45</v>
      </c>
      <c r="G3299" s="3">
        <f t="shared" si="386"/>
        <v>-6283.9348999999993</v>
      </c>
      <c r="H3299" s="3">
        <f t="shared" si="387"/>
        <v>6283.9348999999993</v>
      </c>
      <c r="I3299" s="5" t="str">
        <f t="shared" si="388"/>
        <v>017</v>
      </c>
      <c r="J3299" s="5" t="str">
        <f t="shared" si="389"/>
        <v>2100</v>
      </c>
      <c r="K3299" s="5" t="str">
        <f t="shared" si="390"/>
        <v>000</v>
      </c>
      <c r="L3299" s="5">
        <f t="shared" si="391"/>
        <v>8</v>
      </c>
      <c r="M3299" s="5">
        <f t="shared" si="392"/>
        <v>2012</v>
      </c>
    </row>
    <row r="3300" spans="1:13" ht="17.45" customHeight="1" x14ac:dyDescent="0.25">
      <c r="A3300" s="1">
        <f>DATE(2012,8,4)</f>
        <v>41125</v>
      </c>
      <c r="B3300" t="s">
        <v>16</v>
      </c>
      <c r="C3300" t="s">
        <v>8</v>
      </c>
      <c r="D3300" s="3">
        <v>1355.3095000000001</v>
      </c>
      <c r="E3300" s="3">
        <v>0</v>
      </c>
      <c r="F3300" t="s">
        <v>45</v>
      </c>
      <c r="G3300" s="3">
        <f t="shared" si="386"/>
        <v>-1355.3095000000001</v>
      </c>
      <c r="H3300" s="3">
        <f t="shared" si="387"/>
        <v>1355.3095000000001</v>
      </c>
      <c r="I3300" s="5" t="str">
        <f t="shared" si="388"/>
        <v>017</v>
      </c>
      <c r="J3300" s="5" t="str">
        <f t="shared" si="389"/>
        <v>2210</v>
      </c>
      <c r="K3300" s="5" t="str">
        <f t="shared" si="390"/>
        <v>000</v>
      </c>
      <c r="L3300" s="5">
        <f t="shared" si="391"/>
        <v>8</v>
      </c>
      <c r="M3300" s="5">
        <f t="shared" si="392"/>
        <v>2012</v>
      </c>
    </row>
    <row r="3301" spans="1:13" ht="17.45" customHeight="1" x14ac:dyDescent="0.25">
      <c r="A3301" s="1">
        <f>DATE(2012,8,4)</f>
        <v>41125</v>
      </c>
      <c r="B3301" t="s">
        <v>17</v>
      </c>
      <c r="C3301" t="s">
        <v>9</v>
      </c>
      <c r="D3301" s="3">
        <v>391.565</v>
      </c>
      <c r="E3301" s="3">
        <v>0</v>
      </c>
      <c r="F3301" t="s">
        <v>45</v>
      </c>
      <c r="G3301" s="3">
        <f t="shared" si="386"/>
        <v>-391.565</v>
      </c>
      <c r="H3301" s="3">
        <f t="shared" si="387"/>
        <v>391.565</v>
      </c>
      <c r="I3301" s="5" t="str">
        <f t="shared" si="388"/>
        <v>017</v>
      </c>
      <c r="J3301" s="5" t="str">
        <f t="shared" si="389"/>
        <v>2220</v>
      </c>
      <c r="K3301" s="5" t="str">
        <f t="shared" si="390"/>
        <v>000</v>
      </c>
      <c r="L3301" s="5">
        <f t="shared" si="391"/>
        <v>8</v>
      </c>
      <c r="M3301" s="5">
        <f t="shared" si="392"/>
        <v>2012</v>
      </c>
    </row>
    <row r="3302" spans="1:13" ht="17.45" customHeight="1" x14ac:dyDescent="0.25">
      <c r="A3302" s="1">
        <f>DATE(2012,8,4)</f>
        <v>41125</v>
      </c>
      <c r="B3302" t="s">
        <v>18</v>
      </c>
      <c r="C3302" t="s">
        <v>10</v>
      </c>
      <c r="D3302" s="3">
        <v>63.755999999999993</v>
      </c>
      <c r="E3302" s="3">
        <v>0</v>
      </c>
      <c r="F3302" t="s">
        <v>45</v>
      </c>
      <c r="G3302" s="3">
        <f t="shared" si="386"/>
        <v>-63.755999999999993</v>
      </c>
      <c r="H3302" s="3">
        <f t="shared" si="387"/>
        <v>63.755999999999993</v>
      </c>
      <c r="I3302" s="5" t="str">
        <f t="shared" si="388"/>
        <v>017</v>
      </c>
      <c r="J3302" s="5" t="str">
        <f t="shared" si="389"/>
        <v>2230</v>
      </c>
      <c r="K3302" s="5" t="str">
        <f t="shared" si="390"/>
        <v>000</v>
      </c>
      <c r="L3302" s="5">
        <f t="shared" si="391"/>
        <v>8</v>
      </c>
      <c r="M3302" s="5">
        <f t="shared" si="392"/>
        <v>2012</v>
      </c>
    </row>
    <row r="3303" spans="1:13" ht="17.45" customHeight="1" x14ac:dyDescent="0.25">
      <c r="A3303" s="1">
        <f>DATE(2012,8,5)</f>
        <v>41126</v>
      </c>
      <c r="B3303" t="s">
        <v>15</v>
      </c>
      <c r="C3303" t="s">
        <v>6</v>
      </c>
      <c r="D3303" s="3">
        <v>3570.6440000000002</v>
      </c>
      <c r="E3303" s="3">
        <v>0</v>
      </c>
      <c r="F3303" t="s">
        <v>45</v>
      </c>
      <c r="G3303" s="3">
        <f t="shared" si="386"/>
        <v>-3570.6440000000002</v>
      </c>
      <c r="H3303" s="3">
        <f t="shared" si="387"/>
        <v>3570.6440000000002</v>
      </c>
      <c r="I3303" s="5" t="str">
        <f t="shared" si="388"/>
        <v>017</v>
      </c>
      <c r="J3303" s="5" t="str">
        <f t="shared" si="389"/>
        <v>2100</v>
      </c>
      <c r="K3303" s="5" t="str">
        <f t="shared" si="390"/>
        <v>000</v>
      </c>
      <c r="L3303" s="5">
        <f t="shared" si="391"/>
        <v>8</v>
      </c>
      <c r="M3303" s="5">
        <f t="shared" si="392"/>
        <v>2012</v>
      </c>
    </row>
    <row r="3304" spans="1:13" ht="17.45" customHeight="1" x14ac:dyDescent="0.25">
      <c r="A3304" s="1">
        <f>DATE(2012,8,5)</f>
        <v>41126</v>
      </c>
      <c r="B3304" t="s">
        <v>16</v>
      </c>
      <c r="C3304" t="s">
        <v>8</v>
      </c>
      <c r="D3304" s="3">
        <v>762.32299999999987</v>
      </c>
      <c r="E3304" s="3">
        <v>0</v>
      </c>
      <c r="F3304" t="s">
        <v>45</v>
      </c>
      <c r="G3304" s="3">
        <f t="shared" si="386"/>
        <v>-762.32299999999987</v>
      </c>
      <c r="H3304" s="3">
        <f t="shared" si="387"/>
        <v>762.32299999999987</v>
      </c>
      <c r="I3304" s="5" t="str">
        <f t="shared" si="388"/>
        <v>017</v>
      </c>
      <c r="J3304" s="5" t="str">
        <f t="shared" si="389"/>
        <v>2210</v>
      </c>
      <c r="K3304" s="5" t="str">
        <f t="shared" si="390"/>
        <v>000</v>
      </c>
      <c r="L3304" s="5">
        <f t="shared" si="391"/>
        <v>8</v>
      </c>
      <c r="M3304" s="5">
        <f t="shared" si="392"/>
        <v>2012</v>
      </c>
    </row>
    <row r="3305" spans="1:13" ht="17.45" customHeight="1" x14ac:dyDescent="0.25">
      <c r="A3305" s="1">
        <f>DATE(2012,8,5)</f>
        <v>41126</v>
      </c>
      <c r="B3305" t="s">
        <v>17</v>
      </c>
      <c r="C3305" t="s">
        <v>9</v>
      </c>
      <c r="D3305" s="3">
        <v>239.70000000000002</v>
      </c>
      <c r="E3305" s="3">
        <v>0</v>
      </c>
      <c r="F3305" t="s">
        <v>45</v>
      </c>
      <c r="G3305" s="3">
        <f t="shared" si="386"/>
        <v>-239.70000000000002</v>
      </c>
      <c r="H3305" s="3">
        <f t="shared" si="387"/>
        <v>239.70000000000002</v>
      </c>
      <c r="I3305" s="5" t="str">
        <f t="shared" si="388"/>
        <v>017</v>
      </c>
      <c r="J3305" s="5" t="str">
        <f t="shared" si="389"/>
        <v>2220</v>
      </c>
      <c r="K3305" s="5" t="str">
        <f t="shared" si="390"/>
        <v>000</v>
      </c>
      <c r="L3305" s="5">
        <f t="shared" si="391"/>
        <v>8</v>
      </c>
      <c r="M3305" s="5">
        <f t="shared" si="392"/>
        <v>2012</v>
      </c>
    </row>
    <row r="3306" spans="1:13" ht="17.45" customHeight="1" x14ac:dyDescent="0.25">
      <c r="A3306" s="1">
        <f>DATE(2012,8,5)</f>
        <v>41126</v>
      </c>
      <c r="B3306" t="s">
        <v>18</v>
      </c>
      <c r="C3306" t="s">
        <v>10</v>
      </c>
      <c r="D3306" s="3">
        <v>50.75</v>
      </c>
      <c r="E3306" s="3">
        <v>0</v>
      </c>
      <c r="F3306" t="s">
        <v>45</v>
      </c>
      <c r="G3306" s="3">
        <f t="shared" si="386"/>
        <v>-50.75</v>
      </c>
      <c r="H3306" s="3">
        <f t="shared" si="387"/>
        <v>50.75</v>
      </c>
      <c r="I3306" s="5" t="str">
        <f t="shared" si="388"/>
        <v>017</v>
      </c>
      <c r="J3306" s="5" t="str">
        <f t="shared" si="389"/>
        <v>2230</v>
      </c>
      <c r="K3306" s="5" t="str">
        <f t="shared" si="390"/>
        <v>000</v>
      </c>
      <c r="L3306" s="5">
        <f t="shared" si="391"/>
        <v>8</v>
      </c>
      <c r="M3306" s="5">
        <f t="shared" si="392"/>
        <v>2012</v>
      </c>
    </row>
    <row r="3307" spans="1:13" ht="17.45" customHeight="1" x14ac:dyDescent="0.25">
      <c r="A3307" s="1">
        <f>DATE(2012,7,30)</f>
        <v>41120</v>
      </c>
      <c r="B3307" t="s">
        <v>19</v>
      </c>
      <c r="C3307" t="s">
        <v>6</v>
      </c>
      <c r="D3307" s="3">
        <v>3520.4560000000001</v>
      </c>
      <c r="E3307" s="3">
        <v>0</v>
      </c>
      <c r="F3307" t="s">
        <v>45</v>
      </c>
      <c r="G3307" s="3">
        <f t="shared" si="386"/>
        <v>-3520.4560000000001</v>
      </c>
      <c r="H3307" s="3">
        <f t="shared" si="387"/>
        <v>3520.4560000000001</v>
      </c>
      <c r="I3307" s="5" t="str">
        <f t="shared" si="388"/>
        <v>018</v>
      </c>
      <c r="J3307" s="5" t="str">
        <f t="shared" si="389"/>
        <v>2100</v>
      </c>
      <c r="K3307" s="5" t="str">
        <f t="shared" si="390"/>
        <v>000</v>
      </c>
      <c r="L3307" s="5">
        <f t="shared" si="391"/>
        <v>7</v>
      </c>
      <c r="M3307" s="5">
        <f t="shared" si="392"/>
        <v>2012</v>
      </c>
    </row>
    <row r="3308" spans="1:13" ht="17.45" customHeight="1" x14ac:dyDescent="0.25">
      <c r="A3308" s="1">
        <f>DATE(2012,7,30)</f>
        <v>41120</v>
      </c>
      <c r="B3308" t="s">
        <v>20</v>
      </c>
      <c r="C3308" t="s">
        <v>8</v>
      </c>
      <c r="D3308" s="3">
        <v>574.82650000000001</v>
      </c>
      <c r="E3308" s="3">
        <v>0</v>
      </c>
      <c r="F3308" t="s">
        <v>45</v>
      </c>
      <c r="G3308" s="3">
        <f t="shared" si="386"/>
        <v>-574.82650000000001</v>
      </c>
      <c r="H3308" s="3">
        <f t="shared" si="387"/>
        <v>574.82650000000001</v>
      </c>
      <c r="I3308" s="5" t="str">
        <f t="shared" si="388"/>
        <v>018</v>
      </c>
      <c r="J3308" s="5" t="str">
        <f t="shared" si="389"/>
        <v>2210</v>
      </c>
      <c r="K3308" s="5" t="str">
        <f t="shared" si="390"/>
        <v>000</v>
      </c>
      <c r="L3308" s="5">
        <f t="shared" si="391"/>
        <v>7</v>
      </c>
      <c r="M3308" s="5">
        <f t="shared" si="392"/>
        <v>2012</v>
      </c>
    </row>
    <row r="3309" spans="1:13" ht="17.45" customHeight="1" x14ac:dyDescent="0.25">
      <c r="A3309" s="1">
        <f>DATE(2012,7,30)</f>
        <v>41120</v>
      </c>
      <c r="B3309" t="s">
        <v>21</v>
      </c>
      <c r="C3309" t="s">
        <v>9</v>
      </c>
      <c r="D3309" s="3">
        <v>174.62449999999998</v>
      </c>
      <c r="E3309" s="3">
        <v>0</v>
      </c>
      <c r="F3309" t="s">
        <v>45</v>
      </c>
      <c r="G3309" s="3">
        <f t="shared" si="386"/>
        <v>-174.62449999999998</v>
      </c>
      <c r="H3309" s="3">
        <f t="shared" si="387"/>
        <v>174.62449999999998</v>
      </c>
      <c r="I3309" s="5" t="str">
        <f t="shared" si="388"/>
        <v>018</v>
      </c>
      <c r="J3309" s="5" t="str">
        <f t="shared" si="389"/>
        <v>2220</v>
      </c>
      <c r="K3309" s="5" t="str">
        <f t="shared" si="390"/>
        <v>000</v>
      </c>
      <c r="L3309" s="5">
        <f t="shared" si="391"/>
        <v>7</v>
      </c>
      <c r="M3309" s="5">
        <f t="shared" si="392"/>
        <v>2012</v>
      </c>
    </row>
    <row r="3310" spans="1:13" ht="17.45" customHeight="1" x14ac:dyDescent="0.25">
      <c r="A3310" s="1">
        <f>DATE(2012,7,30)</f>
        <v>41120</v>
      </c>
      <c r="B3310" t="s">
        <v>22</v>
      </c>
      <c r="C3310" t="s">
        <v>10</v>
      </c>
      <c r="D3310" s="3">
        <v>47.400000000000006</v>
      </c>
      <c r="E3310" s="3">
        <v>0</v>
      </c>
      <c r="F3310" t="s">
        <v>45</v>
      </c>
      <c r="G3310" s="3">
        <f t="shared" si="386"/>
        <v>-47.400000000000006</v>
      </c>
      <c r="H3310" s="3">
        <f t="shared" si="387"/>
        <v>47.400000000000006</v>
      </c>
      <c r="I3310" s="5" t="str">
        <f t="shared" si="388"/>
        <v>018</v>
      </c>
      <c r="J3310" s="5" t="str">
        <f t="shared" si="389"/>
        <v>2230</v>
      </c>
      <c r="K3310" s="5" t="str">
        <f t="shared" si="390"/>
        <v>000</v>
      </c>
      <c r="L3310" s="5">
        <f t="shared" si="391"/>
        <v>7</v>
      </c>
      <c r="M3310" s="5">
        <f t="shared" si="392"/>
        <v>2012</v>
      </c>
    </row>
    <row r="3311" spans="1:13" ht="17.45" customHeight="1" x14ac:dyDescent="0.25">
      <c r="A3311" s="1">
        <f>DATE(2012,7,31)</f>
        <v>41121</v>
      </c>
      <c r="B3311" t="s">
        <v>19</v>
      </c>
      <c r="C3311" t="s">
        <v>6</v>
      </c>
      <c r="D3311" s="3">
        <v>4105.4080000000004</v>
      </c>
      <c r="E3311" s="3">
        <v>0</v>
      </c>
      <c r="F3311" t="s">
        <v>45</v>
      </c>
      <c r="G3311" s="3">
        <f t="shared" si="386"/>
        <v>-4105.4080000000004</v>
      </c>
      <c r="H3311" s="3">
        <f t="shared" si="387"/>
        <v>4105.4080000000004</v>
      </c>
      <c r="I3311" s="5" t="str">
        <f t="shared" si="388"/>
        <v>018</v>
      </c>
      <c r="J3311" s="5" t="str">
        <f t="shared" si="389"/>
        <v>2100</v>
      </c>
      <c r="K3311" s="5" t="str">
        <f t="shared" si="390"/>
        <v>000</v>
      </c>
      <c r="L3311" s="5">
        <f t="shared" si="391"/>
        <v>7</v>
      </c>
      <c r="M3311" s="5">
        <f t="shared" si="392"/>
        <v>2012</v>
      </c>
    </row>
    <row r="3312" spans="1:13" ht="17.45" customHeight="1" x14ac:dyDescent="0.25">
      <c r="A3312" s="1">
        <f>DATE(2012,7,31)</f>
        <v>41121</v>
      </c>
      <c r="B3312" t="s">
        <v>20</v>
      </c>
      <c r="C3312" t="s">
        <v>8</v>
      </c>
      <c r="D3312" s="3">
        <v>1320.8010000000002</v>
      </c>
      <c r="E3312" s="3">
        <v>0</v>
      </c>
      <c r="F3312" t="s">
        <v>45</v>
      </c>
      <c r="G3312" s="3">
        <f t="shared" si="386"/>
        <v>-1320.8010000000002</v>
      </c>
      <c r="H3312" s="3">
        <f t="shared" si="387"/>
        <v>1320.8010000000002</v>
      </c>
      <c r="I3312" s="5" t="str">
        <f t="shared" si="388"/>
        <v>018</v>
      </c>
      <c r="J3312" s="5" t="str">
        <f t="shared" si="389"/>
        <v>2210</v>
      </c>
      <c r="K3312" s="5" t="str">
        <f t="shared" si="390"/>
        <v>000</v>
      </c>
      <c r="L3312" s="5">
        <f t="shared" si="391"/>
        <v>7</v>
      </c>
      <c r="M3312" s="5">
        <f t="shared" si="392"/>
        <v>2012</v>
      </c>
    </row>
    <row r="3313" spans="1:13" ht="17.45" customHeight="1" x14ac:dyDescent="0.25">
      <c r="A3313" s="1">
        <f>DATE(2012,7,31)</f>
        <v>41121</v>
      </c>
      <c r="B3313" t="s">
        <v>21</v>
      </c>
      <c r="C3313" t="s">
        <v>9</v>
      </c>
      <c r="D3313" s="3">
        <v>189.92600000000002</v>
      </c>
      <c r="E3313" s="3">
        <v>0</v>
      </c>
      <c r="F3313" t="s">
        <v>45</v>
      </c>
      <c r="G3313" s="3">
        <f t="shared" si="386"/>
        <v>-189.92600000000002</v>
      </c>
      <c r="H3313" s="3">
        <f t="shared" si="387"/>
        <v>189.92600000000002</v>
      </c>
      <c r="I3313" s="5" t="str">
        <f t="shared" si="388"/>
        <v>018</v>
      </c>
      <c r="J3313" s="5" t="str">
        <f t="shared" si="389"/>
        <v>2220</v>
      </c>
      <c r="K3313" s="5" t="str">
        <f t="shared" si="390"/>
        <v>000</v>
      </c>
      <c r="L3313" s="5">
        <f t="shared" si="391"/>
        <v>7</v>
      </c>
      <c r="M3313" s="5">
        <f t="shared" si="392"/>
        <v>2012</v>
      </c>
    </row>
    <row r="3314" spans="1:13" ht="17.45" customHeight="1" x14ac:dyDescent="0.25">
      <c r="A3314" s="1">
        <f>DATE(2012,7,31)</f>
        <v>41121</v>
      </c>
      <c r="B3314" t="s">
        <v>22</v>
      </c>
      <c r="C3314" t="s">
        <v>10</v>
      </c>
      <c r="D3314" s="3">
        <v>28.924000000000003</v>
      </c>
      <c r="E3314" s="3">
        <v>0</v>
      </c>
      <c r="F3314" t="s">
        <v>45</v>
      </c>
      <c r="G3314" s="3">
        <f t="shared" si="386"/>
        <v>-28.924000000000003</v>
      </c>
      <c r="H3314" s="3">
        <f t="shared" si="387"/>
        <v>28.924000000000003</v>
      </c>
      <c r="I3314" s="5" t="str">
        <f t="shared" si="388"/>
        <v>018</v>
      </c>
      <c r="J3314" s="5" t="str">
        <f t="shared" si="389"/>
        <v>2230</v>
      </c>
      <c r="K3314" s="5" t="str">
        <f t="shared" si="390"/>
        <v>000</v>
      </c>
      <c r="L3314" s="5">
        <f t="shared" si="391"/>
        <v>7</v>
      </c>
      <c r="M3314" s="5">
        <f t="shared" si="392"/>
        <v>2012</v>
      </c>
    </row>
    <row r="3315" spans="1:13" ht="17.45" customHeight="1" x14ac:dyDescent="0.25">
      <c r="A3315" s="1">
        <f>DATE(2012,8,1)</f>
        <v>41122</v>
      </c>
      <c r="B3315" t="s">
        <v>19</v>
      </c>
      <c r="C3315" t="s">
        <v>6</v>
      </c>
      <c r="D3315" s="3">
        <v>5899.8938000000007</v>
      </c>
      <c r="E3315" s="3">
        <v>0</v>
      </c>
      <c r="F3315" t="s">
        <v>45</v>
      </c>
      <c r="G3315" s="3">
        <f t="shared" si="386"/>
        <v>-5899.8938000000007</v>
      </c>
      <c r="H3315" s="3">
        <f t="shared" si="387"/>
        <v>5899.8938000000007</v>
      </c>
      <c r="I3315" s="5" t="str">
        <f t="shared" si="388"/>
        <v>018</v>
      </c>
      <c r="J3315" s="5" t="str">
        <f t="shared" si="389"/>
        <v>2100</v>
      </c>
      <c r="K3315" s="5" t="str">
        <f t="shared" si="390"/>
        <v>000</v>
      </c>
      <c r="L3315" s="5">
        <f t="shared" si="391"/>
        <v>8</v>
      </c>
      <c r="M3315" s="5">
        <f t="shared" si="392"/>
        <v>2012</v>
      </c>
    </row>
    <row r="3316" spans="1:13" ht="17.45" customHeight="1" x14ac:dyDescent="0.25">
      <c r="A3316" s="1">
        <f>DATE(2012,8,1)</f>
        <v>41122</v>
      </c>
      <c r="B3316" t="s">
        <v>20</v>
      </c>
      <c r="C3316" t="s">
        <v>8</v>
      </c>
      <c r="D3316" s="3">
        <v>633.42500000000007</v>
      </c>
      <c r="E3316" s="3">
        <v>0</v>
      </c>
      <c r="F3316" t="s">
        <v>45</v>
      </c>
      <c r="G3316" s="3">
        <f t="shared" si="386"/>
        <v>-633.42500000000007</v>
      </c>
      <c r="H3316" s="3">
        <f t="shared" si="387"/>
        <v>633.42500000000007</v>
      </c>
      <c r="I3316" s="5" t="str">
        <f t="shared" si="388"/>
        <v>018</v>
      </c>
      <c r="J3316" s="5" t="str">
        <f t="shared" si="389"/>
        <v>2210</v>
      </c>
      <c r="K3316" s="5" t="str">
        <f t="shared" si="390"/>
        <v>000</v>
      </c>
      <c r="L3316" s="5">
        <f t="shared" si="391"/>
        <v>8</v>
      </c>
      <c r="M3316" s="5">
        <f t="shared" si="392"/>
        <v>2012</v>
      </c>
    </row>
    <row r="3317" spans="1:13" ht="17.45" customHeight="1" x14ac:dyDescent="0.25">
      <c r="A3317" s="1">
        <f>DATE(2012,8,1)</f>
        <v>41122</v>
      </c>
      <c r="B3317" t="s">
        <v>21</v>
      </c>
      <c r="C3317" t="s">
        <v>9</v>
      </c>
      <c r="D3317" s="3">
        <v>222.71200000000002</v>
      </c>
      <c r="E3317" s="3">
        <v>0</v>
      </c>
      <c r="F3317" t="s">
        <v>45</v>
      </c>
      <c r="G3317" s="3">
        <f t="shared" si="386"/>
        <v>-222.71200000000002</v>
      </c>
      <c r="H3317" s="3">
        <f t="shared" si="387"/>
        <v>222.71200000000002</v>
      </c>
      <c r="I3317" s="5" t="str">
        <f t="shared" si="388"/>
        <v>018</v>
      </c>
      <c r="J3317" s="5" t="str">
        <f t="shared" si="389"/>
        <v>2220</v>
      </c>
      <c r="K3317" s="5" t="str">
        <f t="shared" si="390"/>
        <v>000</v>
      </c>
      <c r="L3317" s="5">
        <f t="shared" si="391"/>
        <v>8</v>
      </c>
      <c r="M3317" s="5">
        <f t="shared" si="392"/>
        <v>2012</v>
      </c>
    </row>
    <row r="3318" spans="1:13" ht="17.45" customHeight="1" x14ac:dyDescent="0.25">
      <c r="A3318" s="1">
        <f>DATE(2012,8,1)</f>
        <v>41122</v>
      </c>
      <c r="B3318" t="s">
        <v>22</v>
      </c>
      <c r="C3318" t="s">
        <v>10</v>
      </c>
      <c r="D3318" s="3">
        <v>41.754999999999995</v>
      </c>
      <c r="E3318" s="3">
        <v>0</v>
      </c>
      <c r="F3318" t="s">
        <v>45</v>
      </c>
      <c r="G3318" s="3">
        <f t="shared" si="386"/>
        <v>-41.754999999999995</v>
      </c>
      <c r="H3318" s="3">
        <f t="shared" si="387"/>
        <v>41.754999999999995</v>
      </c>
      <c r="I3318" s="5" t="str">
        <f t="shared" si="388"/>
        <v>018</v>
      </c>
      <c r="J3318" s="5" t="str">
        <f t="shared" si="389"/>
        <v>2230</v>
      </c>
      <c r="K3318" s="5" t="str">
        <f t="shared" si="390"/>
        <v>000</v>
      </c>
      <c r="L3318" s="5">
        <f t="shared" si="391"/>
        <v>8</v>
      </c>
      <c r="M3318" s="5">
        <f t="shared" si="392"/>
        <v>2012</v>
      </c>
    </row>
    <row r="3319" spans="1:13" ht="17.45" customHeight="1" x14ac:dyDescent="0.25">
      <c r="A3319" s="1">
        <f>DATE(2012,8,2)</f>
        <v>41123</v>
      </c>
      <c r="B3319" t="s">
        <v>19</v>
      </c>
      <c r="C3319" t="s">
        <v>6</v>
      </c>
      <c r="D3319" s="3">
        <v>5428.6100000000006</v>
      </c>
      <c r="E3319" s="3">
        <v>0</v>
      </c>
      <c r="F3319" t="s">
        <v>45</v>
      </c>
      <c r="G3319" s="3">
        <f t="shared" si="386"/>
        <v>-5428.6100000000006</v>
      </c>
      <c r="H3319" s="3">
        <f t="shared" si="387"/>
        <v>5428.6100000000006</v>
      </c>
      <c r="I3319" s="5" t="str">
        <f t="shared" si="388"/>
        <v>018</v>
      </c>
      <c r="J3319" s="5" t="str">
        <f t="shared" si="389"/>
        <v>2100</v>
      </c>
      <c r="K3319" s="5" t="str">
        <f t="shared" si="390"/>
        <v>000</v>
      </c>
      <c r="L3319" s="5">
        <f t="shared" si="391"/>
        <v>8</v>
      </c>
      <c r="M3319" s="5">
        <f t="shared" si="392"/>
        <v>2012</v>
      </c>
    </row>
    <row r="3320" spans="1:13" ht="17.45" customHeight="1" x14ac:dyDescent="0.25">
      <c r="A3320" s="1">
        <f>DATE(2012,8,2)</f>
        <v>41123</v>
      </c>
      <c r="B3320" t="s">
        <v>20</v>
      </c>
      <c r="C3320" t="s">
        <v>8</v>
      </c>
      <c r="D3320" s="3">
        <v>831.65600000000006</v>
      </c>
      <c r="E3320" s="3">
        <v>0</v>
      </c>
      <c r="F3320" t="s">
        <v>45</v>
      </c>
      <c r="G3320" s="3">
        <f t="shared" si="386"/>
        <v>-831.65600000000006</v>
      </c>
      <c r="H3320" s="3">
        <f t="shared" si="387"/>
        <v>831.65600000000006</v>
      </c>
      <c r="I3320" s="5" t="str">
        <f t="shared" si="388"/>
        <v>018</v>
      </c>
      <c r="J3320" s="5" t="str">
        <f t="shared" si="389"/>
        <v>2210</v>
      </c>
      <c r="K3320" s="5" t="str">
        <f t="shared" si="390"/>
        <v>000</v>
      </c>
      <c r="L3320" s="5">
        <f t="shared" si="391"/>
        <v>8</v>
      </c>
      <c r="M3320" s="5">
        <f t="shared" si="392"/>
        <v>2012</v>
      </c>
    </row>
    <row r="3321" spans="1:13" ht="17.45" customHeight="1" x14ac:dyDescent="0.25">
      <c r="A3321" s="1">
        <f>DATE(2012,8,2)</f>
        <v>41123</v>
      </c>
      <c r="B3321" t="s">
        <v>21</v>
      </c>
      <c r="C3321" t="s">
        <v>9</v>
      </c>
      <c r="D3321" s="3">
        <v>331.12799999999999</v>
      </c>
      <c r="E3321" s="3">
        <v>0</v>
      </c>
      <c r="F3321" t="s">
        <v>45</v>
      </c>
      <c r="G3321" s="3">
        <f t="shared" si="386"/>
        <v>-331.12799999999999</v>
      </c>
      <c r="H3321" s="3">
        <f t="shared" si="387"/>
        <v>331.12799999999999</v>
      </c>
      <c r="I3321" s="5" t="str">
        <f t="shared" si="388"/>
        <v>018</v>
      </c>
      <c r="J3321" s="5" t="str">
        <f t="shared" si="389"/>
        <v>2220</v>
      </c>
      <c r="K3321" s="5" t="str">
        <f t="shared" si="390"/>
        <v>000</v>
      </c>
      <c r="L3321" s="5">
        <f t="shared" si="391"/>
        <v>8</v>
      </c>
      <c r="M3321" s="5">
        <f t="shared" si="392"/>
        <v>2012</v>
      </c>
    </row>
    <row r="3322" spans="1:13" ht="17.45" customHeight="1" x14ac:dyDescent="0.25">
      <c r="A3322" s="1">
        <f>DATE(2012,8,2)</f>
        <v>41123</v>
      </c>
      <c r="B3322" t="s">
        <v>22</v>
      </c>
      <c r="C3322" t="s">
        <v>10</v>
      </c>
      <c r="D3322" s="3">
        <v>11.4245</v>
      </c>
      <c r="E3322" s="3">
        <v>0</v>
      </c>
      <c r="F3322" t="s">
        <v>45</v>
      </c>
      <c r="G3322" s="3">
        <f t="shared" si="386"/>
        <v>-11.4245</v>
      </c>
      <c r="H3322" s="3">
        <f t="shared" si="387"/>
        <v>11.4245</v>
      </c>
      <c r="I3322" s="5" t="str">
        <f t="shared" si="388"/>
        <v>018</v>
      </c>
      <c r="J3322" s="5" t="str">
        <f t="shared" si="389"/>
        <v>2230</v>
      </c>
      <c r="K3322" s="5" t="str">
        <f t="shared" si="390"/>
        <v>000</v>
      </c>
      <c r="L3322" s="5">
        <f t="shared" si="391"/>
        <v>8</v>
      </c>
      <c r="M3322" s="5">
        <f t="shared" si="392"/>
        <v>2012</v>
      </c>
    </row>
    <row r="3323" spans="1:13" ht="17.45" customHeight="1" x14ac:dyDescent="0.25">
      <c r="A3323" s="1">
        <f>DATE(2012,8,3)</f>
        <v>41124</v>
      </c>
      <c r="B3323" t="s">
        <v>19</v>
      </c>
      <c r="C3323" t="s">
        <v>6</v>
      </c>
      <c r="D3323" s="3">
        <v>12184.0695</v>
      </c>
      <c r="E3323" s="3">
        <v>0</v>
      </c>
      <c r="F3323" t="s">
        <v>45</v>
      </c>
      <c r="G3323" s="3">
        <f t="shared" si="386"/>
        <v>-12184.0695</v>
      </c>
      <c r="H3323" s="3">
        <f t="shared" si="387"/>
        <v>12184.0695</v>
      </c>
      <c r="I3323" s="5" t="str">
        <f t="shared" si="388"/>
        <v>018</v>
      </c>
      <c r="J3323" s="5" t="str">
        <f t="shared" si="389"/>
        <v>2100</v>
      </c>
      <c r="K3323" s="5" t="str">
        <f t="shared" si="390"/>
        <v>000</v>
      </c>
      <c r="L3323" s="5">
        <f t="shared" si="391"/>
        <v>8</v>
      </c>
      <c r="M3323" s="5">
        <f t="shared" si="392"/>
        <v>2012</v>
      </c>
    </row>
    <row r="3324" spans="1:13" ht="17.45" customHeight="1" x14ac:dyDescent="0.25">
      <c r="A3324" s="1">
        <f>DATE(2012,8,3)</f>
        <v>41124</v>
      </c>
      <c r="B3324" t="s">
        <v>20</v>
      </c>
      <c r="C3324" t="s">
        <v>8</v>
      </c>
      <c r="D3324" s="3">
        <v>2242.1439999999998</v>
      </c>
      <c r="E3324" s="3">
        <v>0</v>
      </c>
      <c r="F3324" t="s">
        <v>45</v>
      </c>
      <c r="G3324" s="3">
        <f t="shared" si="386"/>
        <v>-2242.1439999999998</v>
      </c>
      <c r="H3324" s="3">
        <f t="shared" si="387"/>
        <v>2242.1439999999998</v>
      </c>
      <c r="I3324" s="5" t="str">
        <f t="shared" si="388"/>
        <v>018</v>
      </c>
      <c r="J3324" s="5" t="str">
        <f t="shared" si="389"/>
        <v>2210</v>
      </c>
      <c r="K3324" s="5" t="str">
        <f t="shared" si="390"/>
        <v>000</v>
      </c>
      <c r="L3324" s="5">
        <f t="shared" si="391"/>
        <v>8</v>
      </c>
      <c r="M3324" s="5">
        <f t="shared" si="392"/>
        <v>2012</v>
      </c>
    </row>
    <row r="3325" spans="1:13" ht="17.45" customHeight="1" x14ac:dyDescent="0.25">
      <c r="A3325" s="1">
        <f>DATE(2012,8,3)</f>
        <v>41124</v>
      </c>
      <c r="B3325" t="s">
        <v>21</v>
      </c>
      <c r="C3325" t="s">
        <v>9</v>
      </c>
      <c r="D3325" s="3">
        <v>510.69599999999997</v>
      </c>
      <c r="E3325" s="3">
        <v>0</v>
      </c>
      <c r="F3325" t="s">
        <v>45</v>
      </c>
      <c r="G3325" s="3">
        <f t="shared" si="386"/>
        <v>-510.69599999999997</v>
      </c>
      <c r="H3325" s="3">
        <f t="shared" si="387"/>
        <v>510.69599999999997</v>
      </c>
      <c r="I3325" s="5" t="str">
        <f t="shared" si="388"/>
        <v>018</v>
      </c>
      <c r="J3325" s="5" t="str">
        <f t="shared" si="389"/>
        <v>2220</v>
      </c>
      <c r="K3325" s="5" t="str">
        <f t="shared" si="390"/>
        <v>000</v>
      </c>
      <c r="L3325" s="5">
        <f t="shared" si="391"/>
        <v>8</v>
      </c>
      <c r="M3325" s="5">
        <f t="shared" si="392"/>
        <v>2012</v>
      </c>
    </row>
    <row r="3326" spans="1:13" ht="17.45" customHeight="1" x14ac:dyDescent="0.25">
      <c r="A3326" s="1">
        <f>DATE(2012,8,3)</f>
        <v>41124</v>
      </c>
      <c r="B3326" t="s">
        <v>22</v>
      </c>
      <c r="C3326" t="s">
        <v>10</v>
      </c>
      <c r="D3326" s="3">
        <v>81.244</v>
      </c>
      <c r="E3326" s="3">
        <v>0</v>
      </c>
      <c r="F3326" t="s">
        <v>45</v>
      </c>
      <c r="G3326" s="3">
        <f t="shared" si="386"/>
        <v>-81.244</v>
      </c>
      <c r="H3326" s="3">
        <f t="shared" si="387"/>
        <v>81.244</v>
      </c>
      <c r="I3326" s="5" t="str">
        <f t="shared" si="388"/>
        <v>018</v>
      </c>
      <c r="J3326" s="5" t="str">
        <f t="shared" si="389"/>
        <v>2230</v>
      </c>
      <c r="K3326" s="5" t="str">
        <f t="shared" si="390"/>
        <v>000</v>
      </c>
      <c r="L3326" s="5">
        <f t="shared" si="391"/>
        <v>8</v>
      </c>
      <c r="M3326" s="5">
        <f t="shared" si="392"/>
        <v>2012</v>
      </c>
    </row>
    <row r="3327" spans="1:13" ht="17.45" customHeight="1" x14ac:dyDescent="0.25">
      <c r="A3327" s="1">
        <f>DATE(2012,8,4)</f>
        <v>41125</v>
      </c>
      <c r="B3327" t="s">
        <v>19</v>
      </c>
      <c r="C3327" t="s">
        <v>6</v>
      </c>
      <c r="D3327" s="3">
        <v>10685.949500000001</v>
      </c>
      <c r="E3327" s="3">
        <v>0</v>
      </c>
      <c r="F3327" t="s">
        <v>45</v>
      </c>
      <c r="G3327" s="3">
        <f t="shared" si="386"/>
        <v>-10685.949500000001</v>
      </c>
      <c r="H3327" s="3">
        <f t="shared" si="387"/>
        <v>10685.949500000001</v>
      </c>
      <c r="I3327" s="5" t="str">
        <f t="shared" si="388"/>
        <v>018</v>
      </c>
      <c r="J3327" s="5" t="str">
        <f t="shared" si="389"/>
        <v>2100</v>
      </c>
      <c r="K3327" s="5" t="str">
        <f t="shared" si="390"/>
        <v>000</v>
      </c>
      <c r="L3327" s="5">
        <f t="shared" si="391"/>
        <v>8</v>
      </c>
      <c r="M3327" s="5">
        <f t="shared" si="392"/>
        <v>2012</v>
      </c>
    </row>
    <row r="3328" spans="1:13" ht="17.45" customHeight="1" x14ac:dyDescent="0.25">
      <c r="A3328" s="1">
        <f>DATE(2012,8,4)</f>
        <v>41125</v>
      </c>
      <c r="B3328" t="s">
        <v>20</v>
      </c>
      <c r="C3328" t="s">
        <v>8</v>
      </c>
      <c r="D3328" s="3">
        <v>3475.9215000000004</v>
      </c>
      <c r="E3328" s="3">
        <v>0</v>
      </c>
      <c r="F3328" t="s">
        <v>45</v>
      </c>
      <c r="G3328" s="3">
        <f t="shared" si="386"/>
        <v>-3475.9215000000004</v>
      </c>
      <c r="H3328" s="3">
        <f t="shared" si="387"/>
        <v>3475.9215000000004</v>
      </c>
      <c r="I3328" s="5" t="str">
        <f t="shared" si="388"/>
        <v>018</v>
      </c>
      <c r="J3328" s="5" t="str">
        <f t="shared" si="389"/>
        <v>2210</v>
      </c>
      <c r="K3328" s="5" t="str">
        <f t="shared" si="390"/>
        <v>000</v>
      </c>
      <c r="L3328" s="5">
        <f t="shared" si="391"/>
        <v>8</v>
      </c>
      <c r="M3328" s="5">
        <f t="shared" si="392"/>
        <v>2012</v>
      </c>
    </row>
    <row r="3329" spans="1:13" ht="17.45" customHeight="1" x14ac:dyDescent="0.25">
      <c r="A3329" s="1">
        <f>DATE(2012,8,4)</f>
        <v>41125</v>
      </c>
      <c r="B3329" t="s">
        <v>21</v>
      </c>
      <c r="C3329" t="s">
        <v>9</v>
      </c>
      <c r="D3329" s="3">
        <v>825.55199999999991</v>
      </c>
      <c r="E3329" s="3">
        <v>0</v>
      </c>
      <c r="F3329" t="s">
        <v>45</v>
      </c>
      <c r="G3329" s="3">
        <f t="shared" si="386"/>
        <v>-825.55199999999991</v>
      </c>
      <c r="H3329" s="3">
        <f t="shared" si="387"/>
        <v>825.55199999999991</v>
      </c>
      <c r="I3329" s="5" t="str">
        <f t="shared" si="388"/>
        <v>018</v>
      </c>
      <c r="J3329" s="5" t="str">
        <f t="shared" si="389"/>
        <v>2220</v>
      </c>
      <c r="K3329" s="5" t="str">
        <f t="shared" si="390"/>
        <v>000</v>
      </c>
      <c r="L3329" s="5">
        <f t="shared" si="391"/>
        <v>8</v>
      </c>
      <c r="M3329" s="5">
        <f t="shared" si="392"/>
        <v>2012</v>
      </c>
    </row>
    <row r="3330" spans="1:13" ht="17.45" customHeight="1" x14ac:dyDescent="0.25">
      <c r="A3330" s="1">
        <f>DATE(2012,8,4)</f>
        <v>41125</v>
      </c>
      <c r="B3330" t="s">
        <v>22</v>
      </c>
      <c r="C3330" t="s">
        <v>10</v>
      </c>
      <c r="D3330" s="3">
        <v>88.44</v>
      </c>
      <c r="E3330" s="3">
        <v>0</v>
      </c>
      <c r="F3330" t="s">
        <v>45</v>
      </c>
      <c r="G3330" s="3">
        <f t="shared" ref="G3330:G3393" si="395">E3330-D3330</f>
        <v>-88.44</v>
      </c>
      <c r="H3330" s="3">
        <f t="shared" ref="H3330:H3393" si="396">ABS(G3330)</f>
        <v>88.44</v>
      </c>
      <c r="I3330" s="5" t="str">
        <f t="shared" ref="I3330:I3393" si="397">MID(B3330,1,3)</f>
        <v>018</v>
      </c>
      <c r="J3330" s="5" t="str">
        <f t="shared" ref="J3330:J3393" si="398">MID(B3330,5,4)</f>
        <v>2230</v>
      </c>
      <c r="K3330" s="5" t="str">
        <f t="shared" ref="K3330:K3393" si="399">MID(B3330,10,3)</f>
        <v>000</v>
      </c>
      <c r="L3330" s="5">
        <f t="shared" ref="L3330:L3393" si="400">MONTH(A3330)</f>
        <v>8</v>
      </c>
      <c r="M3330" s="5">
        <f t="shared" ref="M3330:M3393" si="401">YEAR(A3330)</f>
        <v>2012</v>
      </c>
    </row>
    <row r="3331" spans="1:13" ht="17.45" customHeight="1" x14ac:dyDescent="0.25">
      <c r="A3331" s="1">
        <f>DATE(2012,8,5)</f>
        <v>41126</v>
      </c>
      <c r="B3331" t="s">
        <v>19</v>
      </c>
      <c r="C3331" t="s">
        <v>6</v>
      </c>
      <c r="D3331" s="3">
        <v>7021.3450000000003</v>
      </c>
      <c r="E3331" s="3">
        <v>0</v>
      </c>
      <c r="F3331" t="s">
        <v>45</v>
      </c>
      <c r="G3331" s="3">
        <f t="shared" si="395"/>
        <v>-7021.3450000000003</v>
      </c>
      <c r="H3331" s="3">
        <f t="shared" si="396"/>
        <v>7021.3450000000003</v>
      </c>
      <c r="I3331" s="5" t="str">
        <f t="shared" si="397"/>
        <v>018</v>
      </c>
      <c r="J3331" s="5" t="str">
        <f t="shared" si="398"/>
        <v>2100</v>
      </c>
      <c r="K3331" s="5" t="str">
        <f t="shared" si="399"/>
        <v>000</v>
      </c>
      <c r="L3331" s="5">
        <f t="shared" si="400"/>
        <v>8</v>
      </c>
      <c r="M3331" s="5">
        <f t="shared" si="401"/>
        <v>2012</v>
      </c>
    </row>
    <row r="3332" spans="1:13" ht="17.45" customHeight="1" x14ac:dyDescent="0.25">
      <c r="A3332" s="1">
        <f>DATE(2012,8,5)</f>
        <v>41126</v>
      </c>
      <c r="B3332" t="s">
        <v>20</v>
      </c>
      <c r="C3332" t="s">
        <v>8</v>
      </c>
      <c r="D3332" s="3">
        <v>1395.6670000000001</v>
      </c>
      <c r="E3332" s="3">
        <v>0</v>
      </c>
      <c r="F3332" t="s">
        <v>45</v>
      </c>
      <c r="G3332" s="3">
        <f t="shared" si="395"/>
        <v>-1395.6670000000001</v>
      </c>
      <c r="H3332" s="3">
        <f t="shared" si="396"/>
        <v>1395.6670000000001</v>
      </c>
      <c r="I3332" s="5" t="str">
        <f t="shared" si="397"/>
        <v>018</v>
      </c>
      <c r="J3332" s="5" t="str">
        <f t="shared" si="398"/>
        <v>2210</v>
      </c>
      <c r="K3332" s="5" t="str">
        <f t="shared" si="399"/>
        <v>000</v>
      </c>
      <c r="L3332" s="5">
        <f t="shared" si="400"/>
        <v>8</v>
      </c>
      <c r="M3332" s="5">
        <f t="shared" si="401"/>
        <v>2012</v>
      </c>
    </row>
    <row r="3333" spans="1:13" ht="17.45" customHeight="1" x14ac:dyDescent="0.25">
      <c r="A3333" s="1">
        <f>DATE(2012,8,5)</f>
        <v>41126</v>
      </c>
      <c r="B3333" t="s">
        <v>21</v>
      </c>
      <c r="C3333" t="s">
        <v>9</v>
      </c>
      <c r="D3333" s="3">
        <v>315.68400000000003</v>
      </c>
      <c r="E3333" s="3">
        <v>0</v>
      </c>
      <c r="F3333" t="s">
        <v>45</v>
      </c>
      <c r="G3333" s="3">
        <f t="shared" si="395"/>
        <v>-315.68400000000003</v>
      </c>
      <c r="H3333" s="3">
        <f t="shared" si="396"/>
        <v>315.68400000000003</v>
      </c>
      <c r="I3333" s="5" t="str">
        <f t="shared" si="397"/>
        <v>018</v>
      </c>
      <c r="J3333" s="5" t="str">
        <f t="shared" si="398"/>
        <v>2220</v>
      </c>
      <c r="K3333" s="5" t="str">
        <f t="shared" si="399"/>
        <v>000</v>
      </c>
      <c r="L3333" s="5">
        <f t="shared" si="400"/>
        <v>8</v>
      </c>
      <c r="M3333" s="5">
        <f t="shared" si="401"/>
        <v>2012</v>
      </c>
    </row>
    <row r="3334" spans="1:13" ht="17.45" customHeight="1" x14ac:dyDescent="0.25">
      <c r="A3334" s="1">
        <f>DATE(2012,8,5)</f>
        <v>41126</v>
      </c>
      <c r="B3334" t="s">
        <v>22</v>
      </c>
      <c r="C3334" t="s">
        <v>10</v>
      </c>
      <c r="D3334" s="3">
        <v>44.075000000000003</v>
      </c>
      <c r="E3334" s="3">
        <v>0</v>
      </c>
      <c r="F3334" t="s">
        <v>45</v>
      </c>
      <c r="G3334" s="3">
        <f t="shared" si="395"/>
        <v>-44.075000000000003</v>
      </c>
      <c r="H3334" s="3">
        <f t="shared" si="396"/>
        <v>44.075000000000003</v>
      </c>
      <c r="I3334" s="5" t="str">
        <f t="shared" si="397"/>
        <v>018</v>
      </c>
      <c r="J3334" s="5" t="str">
        <f t="shared" si="398"/>
        <v>2230</v>
      </c>
      <c r="K3334" s="5" t="str">
        <f t="shared" si="399"/>
        <v>000</v>
      </c>
      <c r="L3334" s="5">
        <f t="shared" si="400"/>
        <v>8</v>
      </c>
      <c r="M3334" s="5">
        <f t="shared" si="401"/>
        <v>2012</v>
      </c>
    </row>
    <row r="3335" spans="1:13" ht="17.45" customHeight="1" x14ac:dyDescent="0.25">
      <c r="A3335" s="1">
        <f>DATE(2012,8,6)</f>
        <v>41127</v>
      </c>
      <c r="B3335" t="s">
        <v>11</v>
      </c>
      <c r="C3335" t="s">
        <v>6</v>
      </c>
      <c r="D3335" s="3">
        <v>2851.8217</v>
      </c>
      <c r="E3335" s="3">
        <v>0</v>
      </c>
      <c r="F3335" t="s">
        <v>45</v>
      </c>
      <c r="G3335" s="3">
        <f t="shared" si="395"/>
        <v>-2851.8217</v>
      </c>
      <c r="H3335" s="3">
        <f t="shared" si="396"/>
        <v>2851.8217</v>
      </c>
      <c r="I3335" s="5" t="str">
        <f t="shared" si="397"/>
        <v>016</v>
      </c>
      <c r="J3335" s="5" t="str">
        <f t="shared" si="398"/>
        <v>2100</v>
      </c>
      <c r="K3335" s="5" t="str">
        <f t="shared" si="399"/>
        <v>000</v>
      </c>
      <c r="L3335" s="5">
        <f t="shared" si="400"/>
        <v>8</v>
      </c>
      <c r="M3335" s="5">
        <f t="shared" si="401"/>
        <v>2012</v>
      </c>
    </row>
    <row r="3336" spans="1:13" ht="17.45" customHeight="1" x14ac:dyDescent="0.25">
      <c r="A3336" s="1">
        <f>DATE(2012,8,6)</f>
        <v>41127</v>
      </c>
      <c r="B3336" t="s">
        <v>12</v>
      </c>
      <c r="C3336" t="s">
        <v>8</v>
      </c>
      <c r="D3336" s="3">
        <v>661.47900000000004</v>
      </c>
      <c r="E3336" s="3">
        <v>0</v>
      </c>
      <c r="F3336" t="s">
        <v>45</v>
      </c>
      <c r="G3336" s="3">
        <f t="shared" si="395"/>
        <v>-661.47900000000004</v>
      </c>
      <c r="H3336" s="3">
        <f t="shared" si="396"/>
        <v>661.47900000000004</v>
      </c>
      <c r="I3336" s="5" t="str">
        <f t="shared" si="397"/>
        <v>016</v>
      </c>
      <c r="J3336" s="5" t="str">
        <f t="shared" si="398"/>
        <v>2210</v>
      </c>
      <c r="K3336" s="5" t="str">
        <f t="shared" si="399"/>
        <v>000</v>
      </c>
      <c r="L3336" s="5">
        <f t="shared" si="400"/>
        <v>8</v>
      </c>
      <c r="M3336" s="5">
        <f t="shared" si="401"/>
        <v>2012</v>
      </c>
    </row>
    <row r="3337" spans="1:13" ht="17.45" customHeight="1" x14ac:dyDescent="0.25">
      <c r="A3337" s="1">
        <f>DATE(2012,8,6)</f>
        <v>41127</v>
      </c>
      <c r="B3337" t="s">
        <v>13</v>
      </c>
      <c r="C3337" t="s">
        <v>9</v>
      </c>
      <c r="D3337" s="3">
        <v>61.236000000000004</v>
      </c>
      <c r="E3337" s="3">
        <v>0</v>
      </c>
      <c r="F3337" t="s">
        <v>45</v>
      </c>
      <c r="G3337" s="3">
        <f t="shared" si="395"/>
        <v>-61.236000000000004</v>
      </c>
      <c r="H3337" s="3">
        <f t="shared" si="396"/>
        <v>61.236000000000004</v>
      </c>
      <c r="I3337" s="5" t="str">
        <f t="shared" si="397"/>
        <v>016</v>
      </c>
      <c r="J3337" s="5" t="str">
        <f t="shared" si="398"/>
        <v>2220</v>
      </c>
      <c r="K3337" s="5" t="str">
        <f t="shared" si="399"/>
        <v>000</v>
      </c>
      <c r="L3337" s="5">
        <f t="shared" si="400"/>
        <v>8</v>
      </c>
      <c r="M3337" s="5">
        <f t="shared" si="401"/>
        <v>2012</v>
      </c>
    </row>
    <row r="3338" spans="1:13" ht="17.45" customHeight="1" x14ac:dyDescent="0.25">
      <c r="A3338" s="1">
        <f>DATE(2012,8,6)</f>
        <v>41127</v>
      </c>
      <c r="B3338" t="s">
        <v>14</v>
      </c>
      <c r="C3338" t="s">
        <v>10</v>
      </c>
      <c r="D3338" s="3">
        <v>42.808500000000002</v>
      </c>
      <c r="E3338" s="3">
        <v>0</v>
      </c>
      <c r="F3338" t="s">
        <v>45</v>
      </c>
      <c r="G3338" s="3">
        <f t="shared" si="395"/>
        <v>-42.808500000000002</v>
      </c>
      <c r="H3338" s="3">
        <f t="shared" si="396"/>
        <v>42.808500000000002</v>
      </c>
      <c r="I3338" s="5" t="str">
        <f t="shared" si="397"/>
        <v>016</v>
      </c>
      <c r="J3338" s="5" t="str">
        <f t="shared" si="398"/>
        <v>2230</v>
      </c>
      <c r="K3338" s="5" t="str">
        <f t="shared" si="399"/>
        <v>000</v>
      </c>
      <c r="L3338" s="5">
        <f t="shared" si="400"/>
        <v>8</v>
      </c>
      <c r="M3338" s="5">
        <f t="shared" si="401"/>
        <v>2012</v>
      </c>
    </row>
    <row r="3339" spans="1:13" ht="17.45" customHeight="1" x14ac:dyDescent="0.25">
      <c r="A3339" s="1">
        <f>DATE(2012,8,7)</f>
        <v>41128</v>
      </c>
      <c r="B3339" t="s">
        <v>11</v>
      </c>
      <c r="C3339" t="s">
        <v>6</v>
      </c>
      <c r="D3339" s="3">
        <v>4157.9364999999998</v>
      </c>
      <c r="E3339" s="3">
        <v>0</v>
      </c>
      <c r="F3339" t="s">
        <v>45</v>
      </c>
      <c r="G3339" s="3">
        <f t="shared" si="395"/>
        <v>-4157.9364999999998</v>
      </c>
      <c r="H3339" s="3">
        <f t="shared" si="396"/>
        <v>4157.9364999999998</v>
      </c>
      <c r="I3339" s="5" t="str">
        <f t="shared" si="397"/>
        <v>016</v>
      </c>
      <c r="J3339" s="5" t="str">
        <f t="shared" si="398"/>
        <v>2100</v>
      </c>
      <c r="K3339" s="5" t="str">
        <f t="shared" si="399"/>
        <v>000</v>
      </c>
      <c r="L3339" s="5">
        <f t="shared" si="400"/>
        <v>8</v>
      </c>
      <c r="M3339" s="5">
        <f t="shared" si="401"/>
        <v>2012</v>
      </c>
    </row>
    <row r="3340" spans="1:13" ht="17.45" customHeight="1" x14ac:dyDescent="0.25">
      <c r="A3340" s="1">
        <f>DATE(2012,8,7)</f>
        <v>41128</v>
      </c>
      <c r="B3340" t="s">
        <v>12</v>
      </c>
      <c r="C3340" t="s">
        <v>8</v>
      </c>
      <c r="D3340" s="3">
        <v>1852.48</v>
      </c>
      <c r="E3340" s="3">
        <v>0</v>
      </c>
      <c r="F3340" t="s">
        <v>45</v>
      </c>
      <c r="G3340" s="3">
        <f t="shared" si="395"/>
        <v>-1852.48</v>
      </c>
      <c r="H3340" s="3">
        <f t="shared" si="396"/>
        <v>1852.48</v>
      </c>
      <c r="I3340" s="5" t="str">
        <f t="shared" si="397"/>
        <v>016</v>
      </c>
      <c r="J3340" s="5" t="str">
        <f t="shared" si="398"/>
        <v>2210</v>
      </c>
      <c r="K3340" s="5" t="str">
        <f t="shared" si="399"/>
        <v>000</v>
      </c>
      <c r="L3340" s="5">
        <f t="shared" si="400"/>
        <v>8</v>
      </c>
      <c r="M3340" s="5">
        <f t="shared" si="401"/>
        <v>2012</v>
      </c>
    </row>
    <row r="3341" spans="1:13" ht="17.45" customHeight="1" x14ac:dyDescent="0.25">
      <c r="A3341" s="1">
        <f>DATE(2012,8,7)</f>
        <v>41128</v>
      </c>
      <c r="B3341" t="s">
        <v>13</v>
      </c>
      <c r="C3341" t="s">
        <v>9</v>
      </c>
      <c r="D3341" s="3">
        <v>618.51599999999996</v>
      </c>
      <c r="E3341" s="3">
        <v>0</v>
      </c>
      <c r="F3341" t="s">
        <v>45</v>
      </c>
      <c r="G3341" s="3">
        <f t="shared" si="395"/>
        <v>-618.51599999999996</v>
      </c>
      <c r="H3341" s="3">
        <f t="shared" si="396"/>
        <v>618.51599999999996</v>
      </c>
      <c r="I3341" s="5" t="str">
        <f t="shared" si="397"/>
        <v>016</v>
      </c>
      <c r="J3341" s="5" t="str">
        <f t="shared" si="398"/>
        <v>2220</v>
      </c>
      <c r="K3341" s="5" t="str">
        <f t="shared" si="399"/>
        <v>000</v>
      </c>
      <c r="L3341" s="5">
        <f t="shared" si="400"/>
        <v>8</v>
      </c>
      <c r="M3341" s="5">
        <f t="shared" si="401"/>
        <v>2012</v>
      </c>
    </row>
    <row r="3342" spans="1:13" ht="17.45" customHeight="1" x14ac:dyDescent="0.25">
      <c r="A3342" s="1">
        <f>DATE(2012,8,7)</f>
        <v>41128</v>
      </c>
      <c r="B3342" t="s">
        <v>14</v>
      </c>
      <c r="C3342" t="s">
        <v>10</v>
      </c>
      <c r="D3342" s="3">
        <v>119.59499999999998</v>
      </c>
      <c r="E3342" s="3">
        <v>0</v>
      </c>
      <c r="F3342" t="s">
        <v>45</v>
      </c>
      <c r="G3342" s="3">
        <f t="shared" si="395"/>
        <v>-119.59499999999998</v>
      </c>
      <c r="H3342" s="3">
        <f t="shared" si="396"/>
        <v>119.59499999999998</v>
      </c>
      <c r="I3342" s="5" t="str">
        <f t="shared" si="397"/>
        <v>016</v>
      </c>
      <c r="J3342" s="5" t="str">
        <f t="shared" si="398"/>
        <v>2230</v>
      </c>
      <c r="K3342" s="5" t="str">
        <f t="shared" si="399"/>
        <v>000</v>
      </c>
      <c r="L3342" s="5">
        <f t="shared" si="400"/>
        <v>8</v>
      </c>
      <c r="M3342" s="5">
        <f t="shared" si="401"/>
        <v>2012</v>
      </c>
    </row>
    <row r="3343" spans="1:13" ht="17.45" customHeight="1" x14ac:dyDescent="0.25">
      <c r="A3343" s="1">
        <f>DATE(2012,8,8)</f>
        <v>41129</v>
      </c>
      <c r="B3343" t="s">
        <v>11</v>
      </c>
      <c r="C3343" t="s">
        <v>6</v>
      </c>
      <c r="D3343" s="3">
        <v>4385.7773999999999</v>
      </c>
      <c r="E3343" s="3">
        <v>0</v>
      </c>
      <c r="F3343" t="s">
        <v>45</v>
      </c>
      <c r="G3343" s="3">
        <f t="shared" si="395"/>
        <v>-4385.7773999999999</v>
      </c>
      <c r="H3343" s="3">
        <f t="shared" si="396"/>
        <v>4385.7773999999999</v>
      </c>
      <c r="I3343" s="5" t="str">
        <f t="shared" si="397"/>
        <v>016</v>
      </c>
      <c r="J3343" s="5" t="str">
        <f t="shared" si="398"/>
        <v>2100</v>
      </c>
      <c r="K3343" s="5" t="str">
        <f t="shared" si="399"/>
        <v>000</v>
      </c>
      <c r="L3343" s="5">
        <f t="shared" si="400"/>
        <v>8</v>
      </c>
      <c r="M3343" s="5">
        <f t="shared" si="401"/>
        <v>2012</v>
      </c>
    </row>
    <row r="3344" spans="1:13" ht="17.45" customHeight="1" x14ac:dyDescent="0.25">
      <c r="A3344" s="1">
        <f>DATE(2012,8,8)</f>
        <v>41129</v>
      </c>
      <c r="B3344" t="s">
        <v>12</v>
      </c>
      <c r="C3344" t="s">
        <v>8</v>
      </c>
      <c r="D3344" s="3">
        <v>1256.4974999999999</v>
      </c>
      <c r="E3344" s="3">
        <v>0</v>
      </c>
      <c r="F3344" t="s">
        <v>45</v>
      </c>
      <c r="G3344" s="3">
        <f t="shared" si="395"/>
        <v>-1256.4974999999999</v>
      </c>
      <c r="H3344" s="3">
        <f t="shared" si="396"/>
        <v>1256.4974999999999</v>
      </c>
      <c r="I3344" s="5" t="str">
        <f t="shared" si="397"/>
        <v>016</v>
      </c>
      <c r="J3344" s="5" t="str">
        <f t="shared" si="398"/>
        <v>2210</v>
      </c>
      <c r="K3344" s="5" t="str">
        <f t="shared" si="399"/>
        <v>000</v>
      </c>
      <c r="L3344" s="5">
        <f t="shared" si="400"/>
        <v>8</v>
      </c>
      <c r="M3344" s="5">
        <f t="shared" si="401"/>
        <v>2012</v>
      </c>
    </row>
    <row r="3345" spans="1:13" ht="17.45" customHeight="1" x14ac:dyDescent="0.25">
      <c r="A3345" s="1">
        <f>DATE(2012,8,8)</f>
        <v>41129</v>
      </c>
      <c r="B3345" t="s">
        <v>13</v>
      </c>
      <c r="C3345" t="s">
        <v>9</v>
      </c>
      <c r="D3345" s="3">
        <v>206.33759999999998</v>
      </c>
      <c r="E3345" s="3">
        <v>0</v>
      </c>
      <c r="F3345" t="s">
        <v>45</v>
      </c>
      <c r="G3345" s="3">
        <f t="shared" si="395"/>
        <v>-206.33759999999998</v>
      </c>
      <c r="H3345" s="3">
        <f t="shared" si="396"/>
        <v>206.33759999999998</v>
      </c>
      <c r="I3345" s="5" t="str">
        <f t="shared" si="397"/>
        <v>016</v>
      </c>
      <c r="J3345" s="5" t="str">
        <f t="shared" si="398"/>
        <v>2220</v>
      </c>
      <c r="K3345" s="5" t="str">
        <f t="shared" si="399"/>
        <v>000</v>
      </c>
      <c r="L3345" s="5">
        <f t="shared" si="400"/>
        <v>8</v>
      </c>
      <c r="M3345" s="5">
        <f t="shared" si="401"/>
        <v>2012</v>
      </c>
    </row>
    <row r="3346" spans="1:13" ht="17.45" customHeight="1" x14ac:dyDescent="0.25">
      <c r="A3346" s="1">
        <f>DATE(2012,8,8)</f>
        <v>41129</v>
      </c>
      <c r="B3346" t="s">
        <v>14</v>
      </c>
      <c r="C3346" t="s">
        <v>10</v>
      </c>
      <c r="D3346" s="3">
        <v>122.11199999999999</v>
      </c>
      <c r="E3346" s="3">
        <v>0</v>
      </c>
      <c r="F3346" t="s">
        <v>45</v>
      </c>
      <c r="G3346" s="3">
        <f t="shared" si="395"/>
        <v>-122.11199999999999</v>
      </c>
      <c r="H3346" s="3">
        <f t="shared" si="396"/>
        <v>122.11199999999999</v>
      </c>
      <c r="I3346" s="5" t="str">
        <f t="shared" si="397"/>
        <v>016</v>
      </c>
      <c r="J3346" s="5" t="str">
        <f t="shared" si="398"/>
        <v>2230</v>
      </c>
      <c r="K3346" s="5" t="str">
        <f t="shared" si="399"/>
        <v>000</v>
      </c>
      <c r="L3346" s="5">
        <f t="shared" si="400"/>
        <v>8</v>
      </c>
      <c r="M3346" s="5">
        <f t="shared" si="401"/>
        <v>2012</v>
      </c>
    </row>
    <row r="3347" spans="1:13" ht="17.45" customHeight="1" x14ac:dyDescent="0.25">
      <c r="A3347" s="1">
        <f>DATE(2012,8,9)</f>
        <v>41130</v>
      </c>
      <c r="B3347" t="s">
        <v>11</v>
      </c>
      <c r="C3347" t="s">
        <v>6</v>
      </c>
      <c r="D3347" s="3">
        <v>4156.7927999999993</v>
      </c>
      <c r="E3347" s="3">
        <v>0</v>
      </c>
      <c r="F3347" t="s">
        <v>45</v>
      </c>
      <c r="G3347" s="3">
        <f t="shared" si="395"/>
        <v>-4156.7927999999993</v>
      </c>
      <c r="H3347" s="3">
        <f t="shared" si="396"/>
        <v>4156.7927999999993</v>
      </c>
      <c r="I3347" s="5" t="str">
        <f t="shared" si="397"/>
        <v>016</v>
      </c>
      <c r="J3347" s="5" t="str">
        <f t="shared" si="398"/>
        <v>2100</v>
      </c>
      <c r="K3347" s="5" t="str">
        <f t="shared" si="399"/>
        <v>000</v>
      </c>
      <c r="L3347" s="5">
        <f t="shared" si="400"/>
        <v>8</v>
      </c>
      <c r="M3347" s="5">
        <f t="shared" si="401"/>
        <v>2012</v>
      </c>
    </row>
    <row r="3348" spans="1:13" ht="17.45" customHeight="1" x14ac:dyDescent="0.25">
      <c r="A3348" s="1">
        <f>DATE(2012,8,9)</f>
        <v>41130</v>
      </c>
      <c r="B3348" t="s">
        <v>12</v>
      </c>
      <c r="C3348" t="s">
        <v>8</v>
      </c>
      <c r="D3348" s="3">
        <v>1011.7549999999999</v>
      </c>
      <c r="E3348" s="3">
        <v>0</v>
      </c>
      <c r="F3348" t="s">
        <v>45</v>
      </c>
      <c r="G3348" s="3">
        <f t="shared" si="395"/>
        <v>-1011.7549999999999</v>
      </c>
      <c r="H3348" s="3">
        <f t="shared" si="396"/>
        <v>1011.7549999999999</v>
      </c>
      <c r="I3348" s="5" t="str">
        <f t="shared" si="397"/>
        <v>016</v>
      </c>
      <c r="J3348" s="5" t="str">
        <f t="shared" si="398"/>
        <v>2210</v>
      </c>
      <c r="K3348" s="5" t="str">
        <f t="shared" si="399"/>
        <v>000</v>
      </c>
      <c r="L3348" s="5">
        <f t="shared" si="400"/>
        <v>8</v>
      </c>
      <c r="M3348" s="5">
        <f t="shared" si="401"/>
        <v>2012</v>
      </c>
    </row>
    <row r="3349" spans="1:13" ht="17.45" customHeight="1" x14ac:dyDescent="0.25">
      <c r="A3349" s="1">
        <f>DATE(2012,8,9)</f>
        <v>41130</v>
      </c>
      <c r="B3349" t="s">
        <v>13</v>
      </c>
      <c r="C3349" t="s">
        <v>9</v>
      </c>
      <c r="D3349" s="3">
        <v>157.74749999999997</v>
      </c>
      <c r="E3349" s="3">
        <v>0</v>
      </c>
      <c r="F3349" t="s">
        <v>45</v>
      </c>
      <c r="G3349" s="3">
        <f t="shared" si="395"/>
        <v>-157.74749999999997</v>
      </c>
      <c r="H3349" s="3">
        <f t="shared" si="396"/>
        <v>157.74749999999997</v>
      </c>
      <c r="I3349" s="5" t="str">
        <f t="shared" si="397"/>
        <v>016</v>
      </c>
      <c r="J3349" s="5" t="str">
        <f t="shared" si="398"/>
        <v>2220</v>
      </c>
      <c r="K3349" s="5" t="str">
        <f t="shared" si="399"/>
        <v>000</v>
      </c>
      <c r="L3349" s="5">
        <f t="shared" si="400"/>
        <v>8</v>
      </c>
      <c r="M3349" s="5">
        <f t="shared" si="401"/>
        <v>2012</v>
      </c>
    </row>
    <row r="3350" spans="1:13" ht="17.45" customHeight="1" x14ac:dyDescent="0.25">
      <c r="A3350" s="1">
        <f>DATE(2012,8,9)</f>
        <v>41130</v>
      </c>
      <c r="B3350" t="s">
        <v>14</v>
      </c>
      <c r="C3350" t="s">
        <v>10</v>
      </c>
      <c r="D3350" s="3">
        <v>22.33</v>
      </c>
      <c r="E3350" s="3">
        <v>0</v>
      </c>
      <c r="F3350" t="s">
        <v>45</v>
      </c>
      <c r="G3350" s="3">
        <f t="shared" si="395"/>
        <v>-22.33</v>
      </c>
      <c r="H3350" s="3">
        <f t="shared" si="396"/>
        <v>22.33</v>
      </c>
      <c r="I3350" s="5" t="str">
        <f t="shared" si="397"/>
        <v>016</v>
      </c>
      <c r="J3350" s="5" t="str">
        <f t="shared" si="398"/>
        <v>2230</v>
      </c>
      <c r="K3350" s="5" t="str">
        <f t="shared" si="399"/>
        <v>000</v>
      </c>
      <c r="L3350" s="5">
        <f t="shared" si="400"/>
        <v>8</v>
      </c>
      <c r="M3350" s="5">
        <f t="shared" si="401"/>
        <v>2012</v>
      </c>
    </row>
    <row r="3351" spans="1:13" ht="17.45" customHeight="1" x14ac:dyDescent="0.25">
      <c r="A3351" s="1">
        <f>DATE(2012,8,10)</f>
        <v>41131</v>
      </c>
      <c r="B3351" t="s">
        <v>11</v>
      </c>
      <c r="C3351" t="s">
        <v>6</v>
      </c>
      <c r="D3351" s="3">
        <v>5086.4519999999993</v>
      </c>
      <c r="E3351" s="3">
        <v>0</v>
      </c>
      <c r="F3351" t="s">
        <v>45</v>
      </c>
      <c r="G3351" s="3">
        <f t="shared" si="395"/>
        <v>-5086.4519999999993</v>
      </c>
      <c r="H3351" s="3">
        <f t="shared" si="396"/>
        <v>5086.4519999999993</v>
      </c>
      <c r="I3351" s="5" t="str">
        <f t="shared" si="397"/>
        <v>016</v>
      </c>
      <c r="J3351" s="5" t="str">
        <f t="shared" si="398"/>
        <v>2100</v>
      </c>
      <c r="K3351" s="5" t="str">
        <f t="shared" si="399"/>
        <v>000</v>
      </c>
      <c r="L3351" s="5">
        <f t="shared" si="400"/>
        <v>8</v>
      </c>
      <c r="M3351" s="5">
        <f t="shared" si="401"/>
        <v>2012</v>
      </c>
    </row>
    <row r="3352" spans="1:13" ht="17.45" customHeight="1" x14ac:dyDescent="0.25">
      <c r="A3352" s="1">
        <f>DATE(2012,8,10)</f>
        <v>41131</v>
      </c>
      <c r="B3352" t="s">
        <v>12</v>
      </c>
      <c r="C3352" t="s">
        <v>8</v>
      </c>
      <c r="D3352" s="3">
        <v>2502.11</v>
      </c>
      <c r="E3352" s="3">
        <v>0</v>
      </c>
      <c r="F3352" t="s">
        <v>45</v>
      </c>
      <c r="G3352" s="3">
        <f t="shared" si="395"/>
        <v>-2502.11</v>
      </c>
      <c r="H3352" s="3">
        <f t="shared" si="396"/>
        <v>2502.11</v>
      </c>
      <c r="I3352" s="5" t="str">
        <f t="shared" si="397"/>
        <v>016</v>
      </c>
      <c r="J3352" s="5" t="str">
        <f t="shared" si="398"/>
        <v>2210</v>
      </c>
      <c r="K3352" s="5" t="str">
        <f t="shared" si="399"/>
        <v>000</v>
      </c>
      <c r="L3352" s="5">
        <f t="shared" si="400"/>
        <v>8</v>
      </c>
      <c r="M3352" s="5">
        <f t="shared" si="401"/>
        <v>2012</v>
      </c>
    </row>
    <row r="3353" spans="1:13" ht="17.45" customHeight="1" x14ac:dyDescent="0.25">
      <c r="A3353" s="1">
        <f>DATE(2012,8,10)</f>
        <v>41131</v>
      </c>
      <c r="B3353" t="s">
        <v>13</v>
      </c>
      <c r="C3353" t="s">
        <v>9</v>
      </c>
      <c r="D3353" s="3">
        <v>307.69200000000001</v>
      </c>
      <c r="E3353" s="3">
        <v>0</v>
      </c>
      <c r="F3353" t="s">
        <v>45</v>
      </c>
      <c r="G3353" s="3">
        <f t="shared" si="395"/>
        <v>-307.69200000000001</v>
      </c>
      <c r="H3353" s="3">
        <f t="shared" si="396"/>
        <v>307.69200000000001</v>
      </c>
      <c r="I3353" s="5" t="str">
        <f t="shared" si="397"/>
        <v>016</v>
      </c>
      <c r="J3353" s="5" t="str">
        <f t="shared" si="398"/>
        <v>2220</v>
      </c>
      <c r="K3353" s="5" t="str">
        <f t="shared" si="399"/>
        <v>000</v>
      </c>
      <c r="L3353" s="5">
        <f t="shared" si="400"/>
        <v>8</v>
      </c>
      <c r="M3353" s="5">
        <f t="shared" si="401"/>
        <v>2012</v>
      </c>
    </row>
    <row r="3354" spans="1:13" ht="17.45" customHeight="1" x14ac:dyDescent="0.25">
      <c r="A3354" s="1">
        <f>DATE(2012,8,10)</f>
        <v>41131</v>
      </c>
      <c r="B3354" t="s">
        <v>14</v>
      </c>
      <c r="C3354" t="s">
        <v>10</v>
      </c>
      <c r="D3354" s="3">
        <v>181.46299999999999</v>
      </c>
      <c r="E3354" s="3">
        <v>0</v>
      </c>
      <c r="F3354" t="s">
        <v>45</v>
      </c>
      <c r="G3354" s="3">
        <f t="shared" si="395"/>
        <v>-181.46299999999999</v>
      </c>
      <c r="H3354" s="3">
        <f t="shared" si="396"/>
        <v>181.46299999999999</v>
      </c>
      <c r="I3354" s="5" t="str">
        <f t="shared" si="397"/>
        <v>016</v>
      </c>
      <c r="J3354" s="5" t="str">
        <f t="shared" si="398"/>
        <v>2230</v>
      </c>
      <c r="K3354" s="5" t="str">
        <f t="shared" si="399"/>
        <v>000</v>
      </c>
      <c r="L3354" s="5">
        <f t="shared" si="400"/>
        <v>8</v>
      </c>
      <c r="M3354" s="5">
        <f t="shared" si="401"/>
        <v>2012</v>
      </c>
    </row>
    <row r="3355" spans="1:13" ht="17.45" customHeight="1" x14ac:dyDescent="0.25">
      <c r="A3355" s="1">
        <f>DATE(2012,8,11)</f>
        <v>41132</v>
      </c>
      <c r="B3355" t="s">
        <v>11</v>
      </c>
      <c r="C3355" t="s">
        <v>6</v>
      </c>
      <c r="D3355" s="3">
        <v>5095.3971000000001</v>
      </c>
      <c r="E3355" s="3">
        <v>0</v>
      </c>
      <c r="F3355" t="s">
        <v>45</v>
      </c>
      <c r="G3355" s="3">
        <f t="shared" si="395"/>
        <v>-5095.3971000000001</v>
      </c>
      <c r="H3355" s="3">
        <f t="shared" si="396"/>
        <v>5095.3971000000001</v>
      </c>
      <c r="I3355" s="5" t="str">
        <f t="shared" si="397"/>
        <v>016</v>
      </c>
      <c r="J3355" s="5" t="str">
        <f t="shared" si="398"/>
        <v>2100</v>
      </c>
      <c r="K3355" s="5" t="str">
        <f t="shared" si="399"/>
        <v>000</v>
      </c>
      <c r="L3355" s="5">
        <f t="shared" si="400"/>
        <v>8</v>
      </c>
      <c r="M3355" s="5">
        <f t="shared" si="401"/>
        <v>2012</v>
      </c>
    </row>
    <row r="3356" spans="1:13" ht="17.45" customHeight="1" x14ac:dyDescent="0.25">
      <c r="A3356" s="1">
        <f>DATE(2012,8,11)</f>
        <v>41132</v>
      </c>
      <c r="B3356" t="s">
        <v>12</v>
      </c>
      <c r="C3356" t="s">
        <v>8</v>
      </c>
      <c r="D3356" s="3">
        <v>2618.4674</v>
      </c>
      <c r="E3356" s="3">
        <v>0</v>
      </c>
      <c r="F3356" t="s">
        <v>45</v>
      </c>
      <c r="G3356" s="3">
        <f t="shared" si="395"/>
        <v>-2618.4674</v>
      </c>
      <c r="H3356" s="3">
        <f t="shared" si="396"/>
        <v>2618.4674</v>
      </c>
      <c r="I3356" s="5" t="str">
        <f t="shared" si="397"/>
        <v>016</v>
      </c>
      <c r="J3356" s="5" t="str">
        <f t="shared" si="398"/>
        <v>2210</v>
      </c>
      <c r="K3356" s="5" t="str">
        <f t="shared" si="399"/>
        <v>000</v>
      </c>
      <c r="L3356" s="5">
        <f t="shared" si="400"/>
        <v>8</v>
      </c>
      <c r="M3356" s="5">
        <f t="shared" si="401"/>
        <v>2012</v>
      </c>
    </row>
    <row r="3357" spans="1:13" ht="17.45" customHeight="1" x14ac:dyDescent="0.25">
      <c r="A3357" s="1">
        <f>DATE(2012,8,11)</f>
        <v>41132</v>
      </c>
      <c r="B3357" t="s">
        <v>13</v>
      </c>
      <c r="C3357" t="s">
        <v>9</v>
      </c>
      <c r="D3357" s="3">
        <v>284.54400000000004</v>
      </c>
      <c r="E3357" s="3">
        <v>0</v>
      </c>
      <c r="F3357" t="s">
        <v>45</v>
      </c>
      <c r="G3357" s="3">
        <f t="shared" si="395"/>
        <v>-284.54400000000004</v>
      </c>
      <c r="H3357" s="3">
        <f t="shared" si="396"/>
        <v>284.54400000000004</v>
      </c>
      <c r="I3357" s="5" t="str">
        <f t="shared" si="397"/>
        <v>016</v>
      </c>
      <c r="J3357" s="5" t="str">
        <f t="shared" si="398"/>
        <v>2220</v>
      </c>
      <c r="K3357" s="5" t="str">
        <f t="shared" si="399"/>
        <v>000</v>
      </c>
      <c r="L3357" s="5">
        <f t="shared" si="400"/>
        <v>8</v>
      </c>
      <c r="M3357" s="5">
        <f t="shared" si="401"/>
        <v>2012</v>
      </c>
    </row>
    <row r="3358" spans="1:13" ht="17.45" customHeight="1" x14ac:dyDescent="0.25">
      <c r="A3358" s="1">
        <f>DATE(2012,8,11)</f>
        <v>41132</v>
      </c>
      <c r="B3358" t="s">
        <v>14</v>
      </c>
      <c r="C3358" t="s">
        <v>10</v>
      </c>
      <c r="D3358" s="3">
        <v>160.97899999999998</v>
      </c>
      <c r="E3358" s="3">
        <v>0</v>
      </c>
      <c r="F3358" t="s">
        <v>45</v>
      </c>
      <c r="G3358" s="3">
        <f t="shared" si="395"/>
        <v>-160.97899999999998</v>
      </c>
      <c r="H3358" s="3">
        <f t="shared" si="396"/>
        <v>160.97899999999998</v>
      </c>
      <c r="I3358" s="5" t="str">
        <f t="shared" si="397"/>
        <v>016</v>
      </c>
      <c r="J3358" s="5" t="str">
        <f t="shared" si="398"/>
        <v>2230</v>
      </c>
      <c r="K3358" s="5" t="str">
        <f t="shared" si="399"/>
        <v>000</v>
      </c>
      <c r="L3358" s="5">
        <f t="shared" si="400"/>
        <v>8</v>
      </c>
      <c r="M3358" s="5">
        <f t="shared" si="401"/>
        <v>2012</v>
      </c>
    </row>
    <row r="3359" spans="1:13" ht="17.45" customHeight="1" x14ac:dyDescent="0.25">
      <c r="A3359" s="1">
        <f>DATE(2012,8,12)</f>
        <v>41133</v>
      </c>
      <c r="B3359" t="s">
        <v>11</v>
      </c>
      <c r="C3359" t="s">
        <v>6</v>
      </c>
      <c r="D3359" s="3">
        <v>2882.6134999999999</v>
      </c>
      <c r="E3359" s="3">
        <v>0</v>
      </c>
      <c r="F3359" t="s">
        <v>45</v>
      </c>
      <c r="G3359" s="3">
        <f t="shared" si="395"/>
        <v>-2882.6134999999999</v>
      </c>
      <c r="H3359" s="3">
        <f t="shared" si="396"/>
        <v>2882.6134999999999</v>
      </c>
      <c r="I3359" s="5" t="str">
        <f t="shared" si="397"/>
        <v>016</v>
      </c>
      <c r="J3359" s="5" t="str">
        <f t="shared" si="398"/>
        <v>2100</v>
      </c>
      <c r="K3359" s="5" t="str">
        <f t="shared" si="399"/>
        <v>000</v>
      </c>
      <c r="L3359" s="5">
        <f t="shared" si="400"/>
        <v>8</v>
      </c>
      <c r="M3359" s="5">
        <f t="shared" si="401"/>
        <v>2012</v>
      </c>
    </row>
    <row r="3360" spans="1:13" ht="17.45" customHeight="1" x14ac:dyDescent="0.25">
      <c r="A3360" s="1">
        <f>DATE(2012,8,12)</f>
        <v>41133</v>
      </c>
      <c r="B3360" t="s">
        <v>12</v>
      </c>
      <c r="C3360" t="s">
        <v>8</v>
      </c>
      <c r="D3360" s="3">
        <v>453.58199999999999</v>
      </c>
      <c r="E3360" s="3">
        <v>0</v>
      </c>
      <c r="F3360" t="s">
        <v>45</v>
      </c>
      <c r="G3360" s="3">
        <f t="shared" si="395"/>
        <v>-453.58199999999999</v>
      </c>
      <c r="H3360" s="3">
        <f t="shared" si="396"/>
        <v>453.58199999999999</v>
      </c>
      <c r="I3360" s="5" t="str">
        <f t="shared" si="397"/>
        <v>016</v>
      </c>
      <c r="J3360" s="5" t="str">
        <f t="shared" si="398"/>
        <v>2210</v>
      </c>
      <c r="K3360" s="5" t="str">
        <f t="shared" si="399"/>
        <v>000</v>
      </c>
      <c r="L3360" s="5">
        <f t="shared" si="400"/>
        <v>8</v>
      </c>
      <c r="M3360" s="5">
        <f t="shared" si="401"/>
        <v>2012</v>
      </c>
    </row>
    <row r="3361" spans="1:13" ht="17.45" customHeight="1" x14ac:dyDescent="0.25">
      <c r="A3361" s="1">
        <f>DATE(2012,8,12)</f>
        <v>41133</v>
      </c>
      <c r="B3361" t="s">
        <v>13</v>
      </c>
      <c r="C3361" t="s">
        <v>9</v>
      </c>
      <c r="D3361" s="3">
        <v>95.50800000000001</v>
      </c>
      <c r="E3361" s="3">
        <v>0</v>
      </c>
      <c r="F3361" t="s">
        <v>45</v>
      </c>
      <c r="G3361" s="3">
        <f t="shared" si="395"/>
        <v>-95.50800000000001</v>
      </c>
      <c r="H3361" s="3">
        <f t="shared" si="396"/>
        <v>95.50800000000001</v>
      </c>
      <c r="I3361" s="5" t="str">
        <f t="shared" si="397"/>
        <v>016</v>
      </c>
      <c r="J3361" s="5" t="str">
        <f t="shared" si="398"/>
        <v>2220</v>
      </c>
      <c r="K3361" s="5" t="str">
        <f t="shared" si="399"/>
        <v>000</v>
      </c>
      <c r="L3361" s="5">
        <f t="shared" si="400"/>
        <v>8</v>
      </c>
      <c r="M3361" s="5">
        <f t="shared" si="401"/>
        <v>2012</v>
      </c>
    </row>
    <row r="3362" spans="1:13" ht="17.45" customHeight="1" x14ac:dyDescent="0.25">
      <c r="A3362" s="1">
        <f>DATE(2012,8,12)</f>
        <v>41133</v>
      </c>
      <c r="B3362" t="s">
        <v>14</v>
      </c>
      <c r="C3362" t="s">
        <v>10</v>
      </c>
      <c r="D3362" s="3">
        <v>41.800000000000004</v>
      </c>
      <c r="E3362" s="3">
        <v>0</v>
      </c>
      <c r="F3362" t="s">
        <v>45</v>
      </c>
      <c r="G3362" s="3">
        <f t="shared" si="395"/>
        <v>-41.800000000000004</v>
      </c>
      <c r="H3362" s="3">
        <f t="shared" si="396"/>
        <v>41.800000000000004</v>
      </c>
      <c r="I3362" s="5" t="str">
        <f t="shared" si="397"/>
        <v>016</v>
      </c>
      <c r="J3362" s="5" t="str">
        <f t="shared" si="398"/>
        <v>2230</v>
      </c>
      <c r="K3362" s="5" t="str">
        <f t="shared" si="399"/>
        <v>000</v>
      </c>
      <c r="L3362" s="5">
        <f t="shared" si="400"/>
        <v>8</v>
      </c>
      <c r="M3362" s="5">
        <f t="shared" si="401"/>
        <v>2012</v>
      </c>
    </row>
    <row r="3363" spans="1:13" ht="17.45" customHeight="1" x14ac:dyDescent="0.25">
      <c r="A3363" s="1">
        <f>DATE(2012,8,6)</f>
        <v>41127</v>
      </c>
      <c r="B3363" t="s">
        <v>15</v>
      </c>
      <c r="C3363" t="s">
        <v>6</v>
      </c>
      <c r="D3363" s="3">
        <v>3574.1238000000003</v>
      </c>
      <c r="E3363" s="3">
        <v>0</v>
      </c>
      <c r="F3363" t="s">
        <v>45</v>
      </c>
      <c r="G3363" s="3">
        <f t="shared" si="395"/>
        <v>-3574.1238000000003</v>
      </c>
      <c r="H3363" s="3">
        <f t="shared" si="396"/>
        <v>3574.1238000000003</v>
      </c>
      <c r="I3363" s="5" t="str">
        <f t="shared" si="397"/>
        <v>017</v>
      </c>
      <c r="J3363" s="5" t="str">
        <f t="shared" si="398"/>
        <v>2100</v>
      </c>
      <c r="K3363" s="5" t="str">
        <f t="shared" si="399"/>
        <v>000</v>
      </c>
      <c r="L3363" s="5">
        <f t="shared" si="400"/>
        <v>8</v>
      </c>
      <c r="M3363" s="5">
        <f t="shared" si="401"/>
        <v>2012</v>
      </c>
    </row>
    <row r="3364" spans="1:13" ht="17.45" customHeight="1" x14ac:dyDescent="0.25">
      <c r="A3364" s="1">
        <f>DATE(2012,8,6)</f>
        <v>41127</v>
      </c>
      <c r="B3364" t="s">
        <v>16</v>
      </c>
      <c r="C3364" t="s">
        <v>8</v>
      </c>
      <c r="D3364" s="3">
        <v>552.53800000000001</v>
      </c>
      <c r="E3364" s="3">
        <v>0</v>
      </c>
      <c r="F3364" t="s">
        <v>45</v>
      </c>
      <c r="G3364" s="3">
        <f t="shared" si="395"/>
        <v>-552.53800000000001</v>
      </c>
      <c r="H3364" s="3">
        <f t="shared" si="396"/>
        <v>552.53800000000001</v>
      </c>
      <c r="I3364" s="5" t="str">
        <f t="shared" si="397"/>
        <v>017</v>
      </c>
      <c r="J3364" s="5" t="str">
        <f t="shared" si="398"/>
        <v>2210</v>
      </c>
      <c r="K3364" s="5" t="str">
        <f t="shared" si="399"/>
        <v>000</v>
      </c>
      <c r="L3364" s="5">
        <f t="shared" si="400"/>
        <v>8</v>
      </c>
      <c r="M3364" s="5">
        <f t="shared" si="401"/>
        <v>2012</v>
      </c>
    </row>
    <row r="3365" spans="1:13" ht="17.45" customHeight="1" x14ac:dyDescent="0.25">
      <c r="A3365" s="1">
        <f>DATE(2012,8,6)</f>
        <v>41127</v>
      </c>
      <c r="B3365" t="s">
        <v>17</v>
      </c>
      <c r="C3365" t="s">
        <v>9</v>
      </c>
      <c r="D3365" s="3">
        <v>206.90999999999997</v>
      </c>
      <c r="E3365" s="3">
        <v>0</v>
      </c>
      <c r="F3365" t="s">
        <v>45</v>
      </c>
      <c r="G3365" s="3">
        <f t="shared" si="395"/>
        <v>-206.90999999999997</v>
      </c>
      <c r="H3365" s="3">
        <f t="shared" si="396"/>
        <v>206.90999999999997</v>
      </c>
      <c r="I3365" s="5" t="str">
        <f t="shared" si="397"/>
        <v>017</v>
      </c>
      <c r="J3365" s="5" t="str">
        <f t="shared" si="398"/>
        <v>2220</v>
      </c>
      <c r="K3365" s="5" t="str">
        <f t="shared" si="399"/>
        <v>000</v>
      </c>
      <c r="L3365" s="5">
        <f t="shared" si="400"/>
        <v>8</v>
      </c>
      <c r="M3365" s="5">
        <f t="shared" si="401"/>
        <v>2012</v>
      </c>
    </row>
    <row r="3366" spans="1:13" ht="17.45" customHeight="1" x14ac:dyDescent="0.25">
      <c r="A3366" s="1">
        <f>DATE(2012,8,6)</f>
        <v>41127</v>
      </c>
      <c r="B3366" t="s">
        <v>18</v>
      </c>
      <c r="C3366" t="s">
        <v>10</v>
      </c>
      <c r="D3366" s="3">
        <v>191.0085</v>
      </c>
      <c r="E3366" s="3">
        <v>0</v>
      </c>
      <c r="F3366" t="s">
        <v>45</v>
      </c>
      <c r="G3366" s="3">
        <f t="shared" si="395"/>
        <v>-191.0085</v>
      </c>
      <c r="H3366" s="3">
        <f t="shared" si="396"/>
        <v>191.0085</v>
      </c>
      <c r="I3366" s="5" t="str">
        <f t="shared" si="397"/>
        <v>017</v>
      </c>
      <c r="J3366" s="5" t="str">
        <f t="shared" si="398"/>
        <v>2230</v>
      </c>
      <c r="K3366" s="5" t="str">
        <f t="shared" si="399"/>
        <v>000</v>
      </c>
      <c r="L3366" s="5">
        <f t="shared" si="400"/>
        <v>8</v>
      </c>
      <c r="M3366" s="5">
        <f t="shared" si="401"/>
        <v>2012</v>
      </c>
    </row>
    <row r="3367" spans="1:13" ht="17.45" customHeight="1" x14ac:dyDescent="0.25">
      <c r="A3367" s="1">
        <f>DATE(2012,8,7)</f>
        <v>41128</v>
      </c>
      <c r="B3367" t="s">
        <v>15</v>
      </c>
      <c r="C3367" t="s">
        <v>6</v>
      </c>
      <c r="D3367" s="3">
        <v>4924.6361999999999</v>
      </c>
      <c r="E3367" s="3">
        <v>0</v>
      </c>
      <c r="F3367" t="s">
        <v>45</v>
      </c>
      <c r="G3367" s="3">
        <f t="shared" si="395"/>
        <v>-4924.6361999999999</v>
      </c>
      <c r="H3367" s="3">
        <f t="shared" si="396"/>
        <v>4924.6361999999999</v>
      </c>
      <c r="I3367" s="5" t="str">
        <f t="shared" si="397"/>
        <v>017</v>
      </c>
      <c r="J3367" s="5" t="str">
        <f t="shared" si="398"/>
        <v>2100</v>
      </c>
      <c r="K3367" s="5" t="str">
        <f t="shared" si="399"/>
        <v>000</v>
      </c>
      <c r="L3367" s="5">
        <f t="shared" si="400"/>
        <v>8</v>
      </c>
      <c r="M3367" s="5">
        <f t="shared" si="401"/>
        <v>2012</v>
      </c>
    </row>
    <row r="3368" spans="1:13" ht="17.45" customHeight="1" x14ac:dyDescent="0.25">
      <c r="A3368" s="1">
        <f>DATE(2012,8,7)</f>
        <v>41128</v>
      </c>
      <c r="B3368" t="s">
        <v>16</v>
      </c>
      <c r="C3368" t="s">
        <v>8</v>
      </c>
      <c r="D3368" s="3">
        <v>1574.415</v>
      </c>
      <c r="E3368" s="3">
        <v>0</v>
      </c>
      <c r="F3368" t="s">
        <v>45</v>
      </c>
      <c r="G3368" s="3">
        <f t="shared" si="395"/>
        <v>-1574.415</v>
      </c>
      <c r="H3368" s="3">
        <f t="shared" si="396"/>
        <v>1574.415</v>
      </c>
      <c r="I3368" s="5" t="str">
        <f t="shared" si="397"/>
        <v>017</v>
      </c>
      <c r="J3368" s="5" t="str">
        <f t="shared" si="398"/>
        <v>2210</v>
      </c>
      <c r="K3368" s="5" t="str">
        <f t="shared" si="399"/>
        <v>000</v>
      </c>
      <c r="L3368" s="5">
        <f t="shared" si="400"/>
        <v>8</v>
      </c>
      <c r="M3368" s="5">
        <f t="shared" si="401"/>
        <v>2012</v>
      </c>
    </row>
    <row r="3369" spans="1:13" ht="17.45" customHeight="1" x14ac:dyDescent="0.25">
      <c r="A3369" s="1">
        <f>DATE(2012,8,7)</f>
        <v>41128</v>
      </c>
      <c r="B3369" t="s">
        <v>17</v>
      </c>
      <c r="C3369" t="s">
        <v>9</v>
      </c>
      <c r="D3369" s="3">
        <v>312.46000000000004</v>
      </c>
      <c r="E3369" s="3">
        <v>0</v>
      </c>
      <c r="F3369" t="s">
        <v>45</v>
      </c>
      <c r="G3369" s="3">
        <f t="shared" si="395"/>
        <v>-312.46000000000004</v>
      </c>
      <c r="H3369" s="3">
        <f t="shared" si="396"/>
        <v>312.46000000000004</v>
      </c>
      <c r="I3369" s="5" t="str">
        <f t="shared" si="397"/>
        <v>017</v>
      </c>
      <c r="J3369" s="5" t="str">
        <f t="shared" si="398"/>
        <v>2220</v>
      </c>
      <c r="K3369" s="5" t="str">
        <f t="shared" si="399"/>
        <v>000</v>
      </c>
      <c r="L3369" s="5">
        <f t="shared" si="400"/>
        <v>8</v>
      </c>
      <c r="M3369" s="5">
        <f t="shared" si="401"/>
        <v>2012</v>
      </c>
    </row>
    <row r="3370" spans="1:13" ht="17.45" customHeight="1" x14ac:dyDescent="0.25">
      <c r="A3370" s="1">
        <f>DATE(2012,8,7)</f>
        <v>41128</v>
      </c>
      <c r="B3370" t="s">
        <v>18</v>
      </c>
      <c r="C3370" t="s">
        <v>10</v>
      </c>
      <c r="D3370" s="3">
        <v>97.209000000000003</v>
      </c>
      <c r="E3370" s="3">
        <v>0</v>
      </c>
      <c r="F3370" t="s">
        <v>45</v>
      </c>
      <c r="G3370" s="3">
        <f t="shared" si="395"/>
        <v>-97.209000000000003</v>
      </c>
      <c r="H3370" s="3">
        <f t="shared" si="396"/>
        <v>97.209000000000003</v>
      </c>
      <c r="I3370" s="5" t="str">
        <f t="shared" si="397"/>
        <v>017</v>
      </c>
      <c r="J3370" s="5" t="str">
        <f t="shared" si="398"/>
        <v>2230</v>
      </c>
      <c r="K3370" s="5" t="str">
        <f t="shared" si="399"/>
        <v>000</v>
      </c>
      <c r="L3370" s="5">
        <f t="shared" si="400"/>
        <v>8</v>
      </c>
      <c r="M3370" s="5">
        <f t="shared" si="401"/>
        <v>2012</v>
      </c>
    </row>
    <row r="3371" spans="1:13" ht="17.45" customHeight="1" x14ac:dyDescent="0.25">
      <c r="A3371" s="1">
        <f>DATE(2012,8,8)</f>
        <v>41129</v>
      </c>
      <c r="B3371" t="s">
        <v>15</v>
      </c>
      <c r="C3371" t="s">
        <v>6</v>
      </c>
      <c r="D3371" s="3">
        <v>6326.5754999999999</v>
      </c>
      <c r="E3371" s="3">
        <v>0</v>
      </c>
      <c r="F3371" t="s">
        <v>45</v>
      </c>
      <c r="G3371" s="3">
        <f t="shared" si="395"/>
        <v>-6326.5754999999999</v>
      </c>
      <c r="H3371" s="3">
        <f t="shared" si="396"/>
        <v>6326.5754999999999</v>
      </c>
      <c r="I3371" s="5" t="str">
        <f t="shared" si="397"/>
        <v>017</v>
      </c>
      <c r="J3371" s="5" t="str">
        <f t="shared" si="398"/>
        <v>2100</v>
      </c>
      <c r="K3371" s="5" t="str">
        <f t="shared" si="399"/>
        <v>000</v>
      </c>
      <c r="L3371" s="5">
        <f t="shared" si="400"/>
        <v>8</v>
      </c>
      <c r="M3371" s="5">
        <f t="shared" si="401"/>
        <v>2012</v>
      </c>
    </row>
    <row r="3372" spans="1:13" ht="17.45" customHeight="1" x14ac:dyDescent="0.25">
      <c r="A3372" s="1">
        <f>DATE(2012,8,8)</f>
        <v>41129</v>
      </c>
      <c r="B3372" t="s">
        <v>16</v>
      </c>
      <c r="C3372" t="s">
        <v>8</v>
      </c>
      <c r="D3372" s="3">
        <v>1862.4775</v>
      </c>
      <c r="E3372" s="3">
        <v>0</v>
      </c>
      <c r="F3372" t="s">
        <v>45</v>
      </c>
      <c r="G3372" s="3">
        <f t="shared" si="395"/>
        <v>-1862.4775</v>
      </c>
      <c r="H3372" s="3">
        <f t="shared" si="396"/>
        <v>1862.4775</v>
      </c>
      <c r="I3372" s="5" t="str">
        <f t="shared" si="397"/>
        <v>017</v>
      </c>
      <c r="J3372" s="5" t="str">
        <f t="shared" si="398"/>
        <v>2210</v>
      </c>
      <c r="K3372" s="5" t="str">
        <f t="shared" si="399"/>
        <v>000</v>
      </c>
      <c r="L3372" s="5">
        <f t="shared" si="400"/>
        <v>8</v>
      </c>
      <c r="M3372" s="5">
        <f t="shared" si="401"/>
        <v>2012</v>
      </c>
    </row>
    <row r="3373" spans="1:13" ht="17.45" customHeight="1" x14ac:dyDescent="0.25">
      <c r="A3373" s="1">
        <f>DATE(2012,8,8)</f>
        <v>41129</v>
      </c>
      <c r="B3373" t="s">
        <v>17</v>
      </c>
      <c r="C3373" t="s">
        <v>9</v>
      </c>
      <c r="D3373" s="3">
        <v>397.44</v>
      </c>
      <c r="E3373" s="3">
        <v>0</v>
      </c>
      <c r="F3373" t="s">
        <v>45</v>
      </c>
      <c r="G3373" s="3">
        <f t="shared" si="395"/>
        <v>-397.44</v>
      </c>
      <c r="H3373" s="3">
        <f t="shared" si="396"/>
        <v>397.44</v>
      </c>
      <c r="I3373" s="5" t="str">
        <f t="shared" si="397"/>
        <v>017</v>
      </c>
      <c r="J3373" s="5" t="str">
        <f t="shared" si="398"/>
        <v>2220</v>
      </c>
      <c r="K3373" s="5" t="str">
        <f t="shared" si="399"/>
        <v>000</v>
      </c>
      <c r="L3373" s="5">
        <f t="shared" si="400"/>
        <v>8</v>
      </c>
      <c r="M3373" s="5">
        <f t="shared" si="401"/>
        <v>2012</v>
      </c>
    </row>
    <row r="3374" spans="1:13" ht="17.45" customHeight="1" x14ac:dyDescent="0.25">
      <c r="A3374" s="1">
        <f>DATE(2012,8,8)</f>
        <v>41129</v>
      </c>
      <c r="B3374" t="s">
        <v>18</v>
      </c>
      <c r="C3374" t="s">
        <v>10</v>
      </c>
      <c r="D3374" s="3">
        <v>82.842500000000001</v>
      </c>
      <c r="E3374" s="3">
        <v>0</v>
      </c>
      <c r="F3374" t="s">
        <v>45</v>
      </c>
      <c r="G3374" s="3">
        <f t="shared" si="395"/>
        <v>-82.842500000000001</v>
      </c>
      <c r="H3374" s="3">
        <f t="shared" si="396"/>
        <v>82.842500000000001</v>
      </c>
      <c r="I3374" s="5" t="str">
        <f t="shared" si="397"/>
        <v>017</v>
      </c>
      <c r="J3374" s="5" t="str">
        <f t="shared" si="398"/>
        <v>2230</v>
      </c>
      <c r="K3374" s="5" t="str">
        <f t="shared" si="399"/>
        <v>000</v>
      </c>
      <c r="L3374" s="5">
        <f t="shared" si="400"/>
        <v>8</v>
      </c>
      <c r="M3374" s="5">
        <f t="shared" si="401"/>
        <v>2012</v>
      </c>
    </row>
    <row r="3375" spans="1:13" ht="17.45" customHeight="1" x14ac:dyDescent="0.25">
      <c r="A3375" s="1">
        <f>DATE(2012,8,9)</f>
        <v>41130</v>
      </c>
      <c r="B3375" t="s">
        <v>15</v>
      </c>
      <c r="C3375" t="s">
        <v>6</v>
      </c>
      <c r="D3375" s="3">
        <v>5263.8651</v>
      </c>
      <c r="E3375" s="3">
        <v>0</v>
      </c>
      <c r="F3375" t="s">
        <v>45</v>
      </c>
      <c r="G3375" s="3">
        <f t="shared" si="395"/>
        <v>-5263.8651</v>
      </c>
      <c r="H3375" s="3">
        <f t="shared" si="396"/>
        <v>5263.8651</v>
      </c>
      <c r="I3375" s="5" t="str">
        <f t="shared" si="397"/>
        <v>017</v>
      </c>
      <c r="J3375" s="5" t="str">
        <f t="shared" si="398"/>
        <v>2100</v>
      </c>
      <c r="K3375" s="5" t="str">
        <f t="shared" si="399"/>
        <v>000</v>
      </c>
      <c r="L3375" s="5">
        <f t="shared" si="400"/>
        <v>8</v>
      </c>
      <c r="M3375" s="5">
        <f t="shared" si="401"/>
        <v>2012</v>
      </c>
    </row>
    <row r="3376" spans="1:13" ht="17.45" customHeight="1" x14ac:dyDescent="0.25">
      <c r="A3376" s="1">
        <f>DATE(2012,8,9)</f>
        <v>41130</v>
      </c>
      <c r="B3376" t="s">
        <v>16</v>
      </c>
      <c r="C3376" t="s">
        <v>8</v>
      </c>
      <c r="D3376" s="3">
        <v>1403.3534999999999</v>
      </c>
      <c r="E3376" s="3">
        <v>0</v>
      </c>
      <c r="F3376" t="s">
        <v>45</v>
      </c>
      <c r="G3376" s="3">
        <f t="shared" si="395"/>
        <v>-1403.3534999999999</v>
      </c>
      <c r="H3376" s="3">
        <f t="shared" si="396"/>
        <v>1403.3534999999999</v>
      </c>
      <c r="I3376" s="5" t="str">
        <f t="shared" si="397"/>
        <v>017</v>
      </c>
      <c r="J3376" s="5" t="str">
        <f t="shared" si="398"/>
        <v>2210</v>
      </c>
      <c r="K3376" s="5" t="str">
        <f t="shared" si="399"/>
        <v>000</v>
      </c>
      <c r="L3376" s="5">
        <f t="shared" si="400"/>
        <v>8</v>
      </c>
      <c r="M3376" s="5">
        <f t="shared" si="401"/>
        <v>2012</v>
      </c>
    </row>
    <row r="3377" spans="1:13" ht="17.45" customHeight="1" x14ac:dyDescent="0.25">
      <c r="A3377" s="1">
        <f>DATE(2012,8,9)</f>
        <v>41130</v>
      </c>
      <c r="B3377" t="s">
        <v>17</v>
      </c>
      <c r="C3377" t="s">
        <v>9</v>
      </c>
      <c r="D3377" s="3">
        <v>474.59250000000003</v>
      </c>
      <c r="E3377" s="3">
        <v>0</v>
      </c>
      <c r="F3377" t="s">
        <v>45</v>
      </c>
      <c r="G3377" s="3">
        <f t="shared" si="395"/>
        <v>-474.59250000000003</v>
      </c>
      <c r="H3377" s="3">
        <f t="shared" si="396"/>
        <v>474.59250000000003</v>
      </c>
      <c r="I3377" s="5" t="str">
        <f t="shared" si="397"/>
        <v>017</v>
      </c>
      <c r="J3377" s="5" t="str">
        <f t="shared" si="398"/>
        <v>2220</v>
      </c>
      <c r="K3377" s="5" t="str">
        <f t="shared" si="399"/>
        <v>000</v>
      </c>
      <c r="L3377" s="5">
        <f t="shared" si="400"/>
        <v>8</v>
      </c>
      <c r="M3377" s="5">
        <f t="shared" si="401"/>
        <v>2012</v>
      </c>
    </row>
    <row r="3378" spans="1:13" ht="17.45" customHeight="1" x14ac:dyDescent="0.25">
      <c r="A3378" s="1">
        <f>DATE(2012,8,9)</f>
        <v>41130</v>
      </c>
      <c r="B3378" t="s">
        <v>18</v>
      </c>
      <c r="C3378" t="s">
        <v>10</v>
      </c>
      <c r="D3378" s="3">
        <v>69.055499999999995</v>
      </c>
      <c r="E3378" s="3">
        <v>0</v>
      </c>
      <c r="F3378" t="s">
        <v>45</v>
      </c>
      <c r="G3378" s="3">
        <f t="shared" si="395"/>
        <v>-69.055499999999995</v>
      </c>
      <c r="H3378" s="3">
        <f t="shared" si="396"/>
        <v>69.055499999999995</v>
      </c>
      <c r="I3378" s="5" t="str">
        <f t="shared" si="397"/>
        <v>017</v>
      </c>
      <c r="J3378" s="5" t="str">
        <f t="shared" si="398"/>
        <v>2230</v>
      </c>
      <c r="K3378" s="5" t="str">
        <f t="shared" si="399"/>
        <v>000</v>
      </c>
      <c r="L3378" s="5">
        <f t="shared" si="400"/>
        <v>8</v>
      </c>
      <c r="M3378" s="5">
        <f t="shared" si="401"/>
        <v>2012</v>
      </c>
    </row>
    <row r="3379" spans="1:13" ht="17.45" customHeight="1" x14ac:dyDescent="0.25">
      <c r="A3379" s="1">
        <f>DATE(2012,8,10)</f>
        <v>41131</v>
      </c>
      <c r="B3379" t="s">
        <v>15</v>
      </c>
      <c r="C3379" t="s">
        <v>6</v>
      </c>
      <c r="D3379" s="3">
        <v>7057.7474000000002</v>
      </c>
      <c r="E3379" s="3">
        <v>0</v>
      </c>
      <c r="F3379" t="s">
        <v>45</v>
      </c>
      <c r="G3379" s="3">
        <f t="shared" si="395"/>
        <v>-7057.7474000000002</v>
      </c>
      <c r="H3379" s="3">
        <f t="shared" si="396"/>
        <v>7057.7474000000002</v>
      </c>
      <c r="I3379" s="5" t="str">
        <f t="shared" si="397"/>
        <v>017</v>
      </c>
      <c r="J3379" s="5" t="str">
        <f t="shared" si="398"/>
        <v>2100</v>
      </c>
      <c r="K3379" s="5" t="str">
        <f t="shared" si="399"/>
        <v>000</v>
      </c>
      <c r="L3379" s="5">
        <f t="shared" si="400"/>
        <v>8</v>
      </c>
      <c r="M3379" s="5">
        <f t="shared" si="401"/>
        <v>2012</v>
      </c>
    </row>
    <row r="3380" spans="1:13" ht="17.45" customHeight="1" x14ac:dyDescent="0.25">
      <c r="A3380" s="1">
        <f>DATE(2012,8,10)</f>
        <v>41131</v>
      </c>
      <c r="B3380" t="s">
        <v>16</v>
      </c>
      <c r="C3380" t="s">
        <v>8</v>
      </c>
      <c r="D3380" s="3">
        <v>2749.0994999999998</v>
      </c>
      <c r="E3380" s="3">
        <v>0</v>
      </c>
      <c r="F3380" t="s">
        <v>45</v>
      </c>
      <c r="G3380" s="3">
        <f t="shared" si="395"/>
        <v>-2749.0994999999998</v>
      </c>
      <c r="H3380" s="3">
        <f t="shared" si="396"/>
        <v>2749.0994999999998</v>
      </c>
      <c r="I3380" s="5" t="str">
        <f t="shared" si="397"/>
        <v>017</v>
      </c>
      <c r="J3380" s="5" t="str">
        <f t="shared" si="398"/>
        <v>2210</v>
      </c>
      <c r="K3380" s="5" t="str">
        <f t="shared" si="399"/>
        <v>000</v>
      </c>
      <c r="L3380" s="5">
        <f t="shared" si="400"/>
        <v>8</v>
      </c>
      <c r="M3380" s="5">
        <f t="shared" si="401"/>
        <v>2012</v>
      </c>
    </row>
    <row r="3381" spans="1:13" ht="17.45" customHeight="1" x14ac:dyDescent="0.25">
      <c r="A3381" s="1">
        <f>DATE(2012,8,10)</f>
        <v>41131</v>
      </c>
      <c r="B3381" t="s">
        <v>17</v>
      </c>
      <c r="C3381" t="s">
        <v>9</v>
      </c>
      <c r="D3381" s="3">
        <v>771.66750000000002</v>
      </c>
      <c r="E3381" s="3">
        <v>0</v>
      </c>
      <c r="F3381" t="s">
        <v>45</v>
      </c>
      <c r="G3381" s="3">
        <f t="shared" si="395"/>
        <v>-771.66750000000002</v>
      </c>
      <c r="H3381" s="3">
        <f t="shared" si="396"/>
        <v>771.66750000000002</v>
      </c>
      <c r="I3381" s="5" t="str">
        <f t="shared" si="397"/>
        <v>017</v>
      </c>
      <c r="J3381" s="5" t="str">
        <f t="shared" si="398"/>
        <v>2220</v>
      </c>
      <c r="K3381" s="5" t="str">
        <f t="shared" si="399"/>
        <v>000</v>
      </c>
      <c r="L3381" s="5">
        <f t="shared" si="400"/>
        <v>8</v>
      </c>
      <c r="M3381" s="5">
        <f t="shared" si="401"/>
        <v>2012</v>
      </c>
    </row>
    <row r="3382" spans="1:13" ht="17.45" customHeight="1" x14ac:dyDescent="0.25">
      <c r="A3382" s="1">
        <f>DATE(2012,8,10)</f>
        <v>41131</v>
      </c>
      <c r="B3382" t="s">
        <v>18</v>
      </c>
      <c r="C3382" t="s">
        <v>10</v>
      </c>
      <c r="D3382" s="3">
        <v>107.1</v>
      </c>
      <c r="E3382" s="3">
        <v>0</v>
      </c>
      <c r="F3382" t="s">
        <v>45</v>
      </c>
      <c r="G3382" s="3">
        <f t="shared" si="395"/>
        <v>-107.1</v>
      </c>
      <c r="H3382" s="3">
        <f t="shared" si="396"/>
        <v>107.1</v>
      </c>
      <c r="I3382" s="5" t="str">
        <f t="shared" si="397"/>
        <v>017</v>
      </c>
      <c r="J3382" s="5" t="str">
        <f t="shared" si="398"/>
        <v>2230</v>
      </c>
      <c r="K3382" s="5" t="str">
        <f t="shared" si="399"/>
        <v>000</v>
      </c>
      <c r="L3382" s="5">
        <f t="shared" si="400"/>
        <v>8</v>
      </c>
      <c r="M3382" s="5">
        <f t="shared" si="401"/>
        <v>2012</v>
      </c>
    </row>
    <row r="3383" spans="1:13" ht="17.45" customHeight="1" x14ac:dyDescent="0.25">
      <c r="A3383" s="1">
        <f>DATE(2012,8,11)</f>
        <v>41132</v>
      </c>
      <c r="B3383" t="s">
        <v>15</v>
      </c>
      <c r="C3383" t="s">
        <v>6</v>
      </c>
      <c r="D3383" s="3">
        <v>9082.1040000000012</v>
      </c>
      <c r="E3383" s="3">
        <v>0</v>
      </c>
      <c r="F3383" t="s">
        <v>45</v>
      </c>
      <c r="G3383" s="3">
        <f t="shared" si="395"/>
        <v>-9082.1040000000012</v>
      </c>
      <c r="H3383" s="3">
        <f t="shared" si="396"/>
        <v>9082.1040000000012</v>
      </c>
      <c r="I3383" s="5" t="str">
        <f t="shared" si="397"/>
        <v>017</v>
      </c>
      <c r="J3383" s="5" t="str">
        <f t="shared" si="398"/>
        <v>2100</v>
      </c>
      <c r="K3383" s="5" t="str">
        <f t="shared" si="399"/>
        <v>000</v>
      </c>
      <c r="L3383" s="5">
        <f t="shared" si="400"/>
        <v>8</v>
      </c>
      <c r="M3383" s="5">
        <f t="shared" si="401"/>
        <v>2012</v>
      </c>
    </row>
    <row r="3384" spans="1:13" ht="17.45" customHeight="1" x14ac:dyDescent="0.25">
      <c r="A3384" s="1">
        <f>DATE(2012,8,11)</f>
        <v>41132</v>
      </c>
      <c r="B3384" t="s">
        <v>16</v>
      </c>
      <c r="C3384" t="s">
        <v>8</v>
      </c>
      <c r="D3384" s="3">
        <v>2791.8319999999999</v>
      </c>
      <c r="E3384" s="3">
        <v>0</v>
      </c>
      <c r="F3384" t="s">
        <v>45</v>
      </c>
      <c r="G3384" s="3">
        <f t="shared" si="395"/>
        <v>-2791.8319999999999</v>
      </c>
      <c r="H3384" s="3">
        <f t="shared" si="396"/>
        <v>2791.8319999999999</v>
      </c>
      <c r="I3384" s="5" t="str">
        <f t="shared" si="397"/>
        <v>017</v>
      </c>
      <c r="J3384" s="5" t="str">
        <f t="shared" si="398"/>
        <v>2210</v>
      </c>
      <c r="K3384" s="5" t="str">
        <f t="shared" si="399"/>
        <v>000</v>
      </c>
      <c r="L3384" s="5">
        <f t="shared" si="400"/>
        <v>8</v>
      </c>
      <c r="M3384" s="5">
        <f t="shared" si="401"/>
        <v>2012</v>
      </c>
    </row>
    <row r="3385" spans="1:13" ht="17.45" customHeight="1" x14ac:dyDescent="0.25">
      <c r="A3385" s="1">
        <f>DATE(2012,8,11)</f>
        <v>41132</v>
      </c>
      <c r="B3385" t="s">
        <v>17</v>
      </c>
      <c r="C3385" t="s">
        <v>9</v>
      </c>
      <c r="D3385" s="3">
        <v>574.86</v>
      </c>
      <c r="E3385" s="3">
        <v>0</v>
      </c>
      <c r="F3385" t="s">
        <v>45</v>
      </c>
      <c r="G3385" s="3">
        <f t="shared" si="395"/>
        <v>-574.86</v>
      </c>
      <c r="H3385" s="3">
        <f t="shared" si="396"/>
        <v>574.86</v>
      </c>
      <c r="I3385" s="5" t="str">
        <f t="shared" si="397"/>
        <v>017</v>
      </c>
      <c r="J3385" s="5" t="str">
        <f t="shared" si="398"/>
        <v>2220</v>
      </c>
      <c r="K3385" s="5" t="str">
        <f t="shared" si="399"/>
        <v>000</v>
      </c>
      <c r="L3385" s="5">
        <f t="shared" si="400"/>
        <v>8</v>
      </c>
      <c r="M3385" s="5">
        <f t="shared" si="401"/>
        <v>2012</v>
      </c>
    </row>
    <row r="3386" spans="1:13" ht="17.45" customHeight="1" x14ac:dyDescent="0.25">
      <c r="A3386" s="1">
        <f>DATE(2012,8,11)</f>
        <v>41132</v>
      </c>
      <c r="B3386" t="s">
        <v>18</v>
      </c>
      <c r="C3386" t="s">
        <v>10</v>
      </c>
      <c r="D3386" s="3">
        <v>240.51300000000001</v>
      </c>
      <c r="E3386" s="3">
        <v>0</v>
      </c>
      <c r="F3386" t="s">
        <v>45</v>
      </c>
      <c r="G3386" s="3">
        <f t="shared" si="395"/>
        <v>-240.51300000000001</v>
      </c>
      <c r="H3386" s="3">
        <f t="shared" si="396"/>
        <v>240.51300000000001</v>
      </c>
      <c r="I3386" s="5" t="str">
        <f t="shared" si="397"/>
        <v>017</v>
      </c>
      <c r="J3386" s="5" t="str">
        <f t="shared" si="398"/>
        <v>2230</v>
      </c>
      <c r="K3386" s="5" t="str">
        <f t="shared" si="399"/>
        <v>000</v>
      </c>
      <c r="L3386" s="5">
        <f t="shared" si="400"/>
        <v>8</v>
      </c>
      <c r="M3386" s="5">
        <f t="shared" si="401"/>
        <v>2012</v>
      </c>
    </row>
    <row r="3387" spans="1:13" ht="17.45" customHeight="1" x14ac:dyDescent="0.25">
      <c r="A3387" s="1">
        <f>DATE(2012,8,12)</f>
        <v>41133</v>
      </c>
      <c r="B3387" t="s">
        <v>15</v>
      </c>
      <c r="C3387" t="s">
        <v>6</v>
      </c>
      <c r="D3387" s="3">
        <v>5544.8951999999999</v>
      </c>
      <c r="E3387" s="3">
        <v>0</v>
      </c>
      <c r="F3387" t="s">
        <v>45</v>
      </c>
      <c r="G3387" s="3">
        <f t="shared" si="395"/>
        <v>-5544.8951999999999</v>
      </c>
      <c r="H3387" s="3">
        <f t="shared" si="396"/>
        <v>5544.8951999999999</v>
      </c>
      <c r="I3387" s="5" t="str">
        <f t="shared" si="397"/>
        <v>017</v>
      </c>
      <c r="J3387" s="5" t="str">
        <f t="shared" si="398"/>
        <v>2100</v>
      </c>
      <c r="K3387" s="5" t="str">
        <f t="shared" si="399"/>
        <v>000</v>
      </c>
      <c r="L3387" s="5">
        <f t="shared" si="400"/>
        <v>8</v>
      </c>
      <c r="M3387" s="5">
        <f t="shared" si="401"/>
        <v>2012</v>
      </c>
    </row>
    <row r="3388" spans="1:13" ht="17.45" customHeight="1" x14ac:dyDescent="0.25">
      <c r="A3388" s="1">
        <f>DATE(2012,8,12)</f>
        <v>41133</v>
      </c>
      <c r="B3388" t="s">
        <v>16</v>
      </c>
      <c r="C3388" t="s">
        <v>8</v>
      </c>
      <c r="D3388" s="3">
        <v>1342.442</v>
      </c>
      <c r="E3388" s="3">
        <v>0</v>
      </c>
      <c r="F3388" t="s">
        <v>45</v>
      </c>
      <c r="G3388" s="3">
        <f t="shared" si="395"/>
        <v>-1342.442</v>
      </c>
      <c r="H3388" s="3">
        <f t="shared" si="396"/>
        <v>1342.442</v>
      </c>
      <c r="I3388" s="5" t="str">
        <f t="shared" si="397"/>
        <v>017</v>
      </c>
      <c r="J3388" s="5" t="str">
        <f t="shared" si="398"/>
        <v>2210</v>
      </c>
      <c r="K3388" s="5" t="str">
        <f t="shared" si="399"/>
        <v>000</v>
      </c>
      <c r="L3388" s="5">
        <f t="shared" si="400"/>
        <v>8</v>
      </c>
      <c r="M3388" s="5">
        <f t="shared" si="401"/>
        <v>2012</v>
      </c>
    </row>
    <row r="3389" spans="1:13" ht="17.45" customHeight="1" x14ac:dyDescent="0.25">
      <c r="A3389" s="1">
        <f>DATE(2012,8,12)</f>
        <v>41133</v>
      </c>
      <c r="B3389" t="s">
        <v>17</v>
      </c>
      <c r="C3389" t="s">
        <v>9</v>
      </c>
      <c r="D3389" s="3">
        <v>146.4675</v>
      </c>
      <c r="E3389" s="3">
        <v>0</v>
      </c>
      <c r="F3389" t="s">
        <v>45</v>
      </c>
      <c r="G3389" s="3">
        <f t="shared" si="395"/>
        <v>-146.4675</v>
      </c>
      <c r="H3389" s="3">
        <f t="shared" si="396"/>
        <v>146.4675</v>
      </c>
      <c r="I3389" s="5" t="str">
        <f t="shared" si="397"/>
        <v>017</v>
      </c>
      <c r="J3389" s="5" t="str">
        <f t="shared" si="398"/>
        <v>2220</v>
      </c>
      <c r="K3389" s="5" t="str">
        <f t="shared" si="399"/>
        <v>000</v>
      </c>
      <c r="L3389" s="5">
        <f t="shared" si="400"/>
        <v>8</v>
      </c>
      <c r="M3389" s="5">
        <f t="shared" si="401"/>
        <v>2012</v>
      </c>
    </row>
    <row r="3390" spans="1:13" ht="17.45" customHeight="1" x14ac:dyDescent="0.25">
      <c r="A3390" s="1">
        <f>DATE(2012,8,12)</f>
        <v>41133</v>
      </c>
      <c r="B3390" t="s">
        <v>18</v>
      </c>
      <c r="C3390" t="s">
        <v>10</v>
      </c>
      <c r="D3390" s="3">
        <v>30.849</v>
      </c>
      <c r="E3390" s="3">
        <v>0</v>
      </c>
      <c r="F3390" t="s">
        <v>45</v>
      </c>
      <c r="G3390" s="3">
        <f t="shared" si="395"/>
        <v>-30.849</v>
      </c>
      <c r="H3390" s="3">
        <f t="shared" si="396"/>
        <v>30.849</v>
      </c>
      <c r="I3390" s="5" t="str">
        <f t="shared" si="397"/>
        <v>017</v>
      </c>
      <c r="J3390" s="5" t="str">
        <f t="shared" si="398"/>
        <v>2230</v>
      </c>
      <c r="K3390" s="5" t="str">
        <f t="shared" si="399"/>
        <v>000</v>
      </c>
      <c r="L3390" s="5">
        <f t="shared" si="400"/>
        <v>8</v>
      </c>
      <c r="M3390" s="5">
        <f t="shared" si="401"/>
        <v>2012</v>
      </c>
    </row>
    <row r="3391" spans="1:13" ht="17.45" customHeight="1" x14ac:dyDescent="0.25">
      <c r="A3391" s="1">
        <f>DATE(2012,8,6)</f>
        <v>41127</v>
      </c>
      <c r="B3391" t="s">
        <v>19</v>
      </c>
      <c r="C3391" t="s">
        <v>6</v>
      </c>
      <c r="D3391" s="3">
        <v>3411.1672000000003</v>
      </c>
      <c r="E3391" s="3">
        <v>0</v>
      </c>
      <c r="F3391" t="s">
        <v>45</v>
      </c>
      <c r="G3391" s="3">
        <f t="shared" si="395"/>
        <v>-3411.1672000000003</v>
      </c>
      <c r="H3391" s="3">
        <f t="shared" si="396"/>
        <v>3411.1672000000003</v>
      </c>
      <c r="I3391" s="5" t="str">
        <f t="shared" si="397"/>
        <v>018</v>
      </c>
      <c r="J3391" s="5" t="str">
        <f t="shared" si="398"/>
        <v>2100</v>
      </c>
      <c r="K3391" s="5" t="str">
        <f t="shared" si="399"/>
        <v>000</v>
      </c>
      <c r="L3391" s="5">
        <f t="shared" si="400"/>
        <v>8</v>
      </c>
      <c r="M3391" s="5">
        <f t="shared" si="401"/>
        <v>2012</v>
      </c>
    </row>
    <row r="3392" spans="1:13" ht="17.45" customHeight="1" x14ac:dyDescent="0.25">
      <c r="A3392" s="1">
        <f>DATE(2012,8,6)</f>
        <v>41127</v>
      </c>
      <c r="B3392" t="s">
        <v>20</v>
      </c>
      <c r="C3392" t="s">
        <v>8</v>
      </c>
      <c r="D3392" s="3">
        <v>744.04899999999986</v>
      </c>
      <c r="E3392" s="3">
        <v>0</v>
      </c>
      <c r="F3392" t="s">
        <v>45</v>
      </c>
      <c r="G3392" s="3">
        <f t="shared" si="395"/>
        <v>-744.04899999999986</v>
      </c>
      <c r="H3392" s="3">
        <f t="shared" si="396"/>
        <v>744.04899999999986</v>
      </c>
      <c r="I3392" s="5" t="str">
        <f t="shared" si="397"/>
        <v>018</v>
      </c>
      <c r="J3392" s="5" t="str">
        <f t="shared" si="398"/>
        <v>2210</v>
      </c>
      <c r="K3392" s="5" t="str">
        <f t="shared" si="399"/>
        <v>000</v>
      </c>
      <c r="L3392" s="5">
        <f t="shared" si="400"/>
        <v>8</v>
      </c>
      <c r="M3392" s="5">
        <f t="shared" si="401"/>
        <v>2012</v>
      </c>
    </row>
    <row r="3393" spans="1:13" ht="17.45" customHeight="1" x14ac:dyDescent="0.25">
      <c r="A3393" s="1">
        <f>DATE(2012,8,6)</f>
        <v>41127</v>
      </c>
      <c r="B3393" t="s">
        <v>21</v>
      </c>
      <c r="C3393" t="s">
        <v>9</v>
      </c>
      <c r="D3393" s="3">
        <v>239.74199999999999</v>
      </c>
      <c r="E3393" s="3">
        <v>0</v>
      </c>
      <c r="F3393" t="s">
        <v>45</v>
      </c>
      <c r="G3393" s="3">
        <f t="shared" si="395"/>
        <v>-239.74199999999999</v>
      </c>
      <c r="H3393" s="3">
        <f t="shared" si="396"/>
        <v>239.74199999999999</v>
      </c>
      <c r="I3393" s="5" t="str">
        <f t="shared" si="397"/>
        <v>018</v>
      </c>
      <c r="J3393" s="5" t="str">
        <f t="shared" si="398"/>
        <v>2220</v>
      </c>
      <c r="K3393" s="5" t="str">
        <f t="shared" si="399"/>
        <v>000</v>
      </c>
      <c r="L3393" s="5">
        <f t="shared" si="400"/>
        <v>8</v>
      </c>
      <c r="M3393" s="5">
        <f t="shared" si="401"/>
        <v>2012</v>
      </c>
    </row>
    <row r="3394" spans="1:13" ht="17.45" customHeight="1" x14ac:dyDescent="0.25">
      <c r="A3394" s="1">
        <f>DATE(2012,8,6)</f>
        <v>41127</v>
      </c>
      <c r="B3394" t="s">
        <v>22</v>
      </c>
      <c r="C3394" t="s">
        <v>10</v>
      </c>
      <c r="D3394" s="3">
        <v>53.465999999999994</v>
      </c>
      <c r="E3394" s="3">
        <v>0</v>
      </c>
      <c r="F3394" t="s">
        <v>45</v>
      </c>
      <c r="G3394" s="3">
        <f t="shared" ref="G3394:G3457" si="402">E3394-D3394</f>
        <v>-53.465999999999994</v>
      </c>
      <c r="H3394" s="3">
        <f t="shared" ref="H3394:H3457" si="403">ABS(G3394)</f>
        <v>53.465999999999994</v>
      </c>
      <c r="I3394" s="5" t="str">
        <f t="shared" ref="I3394:I3457" si="404">MID(B3394,1,3)</f>
        <v>018</v>
      </c>
      <c r="J3394" s="5" t="str">
        <f t="shared" ref="J3394:J3457" si="405">MID(B3394,5,4)</f>
        <v>2230</v>
      </c>
      <c r="K3394" s="5" t="str">
        <f t="shared" ref="K3394:K3457" si="406">MID(B3394,10,3)</f>
        <v>000</v>
      </c>
      <c r="L3394" s="5">
        <f t="shared" ref="L3394:L3457" si="407">MONTH(A3394)</f>
        <v>8</v>
      </c>
      <c r="M3394" s="5">
        <f t="shared" ref="M3394:M3457" si="408">YEAR(A3394)</f>
        <v>2012</v>
      </c>
    </row>
    <row r="3395" spans="1:13" ht="17.45" customHeight="1" x14ac:dyDescent="0.25">
      <c r="A3395" s="1">
        <f>DATE(2012,8,7)</f>
        <v>41128</v>
      </c>
      <c r="B3395" t="s">
        <v>19</v>
      </c>
      <c r="C3395" t="s">
        <v>6</v>
      </c>
      <c r="D3395" s="3">
        <v>4496.3599999999997</v>
      </c>
      <c r="E3395" s="3">
        <v>0</v>
      </c>
      <c r="F3395" t="s">
        <v>45</v>
      </c>
      <c r="G3395" s="3">
        <f t="shared" si="402"/>
        <v>-4496.3599999999997</v>
      </c>
      <c r="H3395" s="3">
        <f t="shared" si="403"/>
        <v>4496.3599999999997</v>
      </c>
      <c r="I3395" s="5" t="str">
        <f t="shared" si="404"/>
        <v>018</v>
      </c>
      <c r="J3395" s="5" t="str">
        <f t="shared" si="405"/>
        <v>2100</v>
      </c>
      <c r="K3395" s="5" t="str">
        <f t="shared" si="406"/>
        <v>000</v>
      </c>
      <c r="L3395" s="5">
        <f t="shared" si="407"/>
        <v>8</v>
      </c>
      <c r="M3395" s="5">
        <f t="shared" si="408"/>
        <v>2012</v>
      </c>
    </row>
    <row r="3396" spans="1:13" ht="17.45" customHeight="1" x14ac:dyDescent="0.25">
      <c r="A3396" s="1">
        <f>DATE(2012,8,7)</f>
        <v>41128</v>
      </c>
      <c r="B3396" t="s">
        <v>20</v>
      </c>
      <c r="C3396" t="s">
        <v>8</v>
      </c>
      <c r="D3396" s="3">
        <v>661.22699999999986</v>
      </c>
      <c r="E3396" s="3">
        <v>0</v>
      </c>
      <c r="F3396" t="s">
        <v>45</v>
      </c>
      <c r="G3396" s="3">
        <f t="shared" si="402"/>
        <v>-661.22699999999986</v>
      </c>
      <c r="H3396" s="3">
        <f t="shared" si="403"/>
        <v>661.22699999999986</v>
      </c>
      <c r="I3396" s="5" t="str">
        <f t="shared" si="404"/>
        <v>018</v>
      </c>
      <c r="J3396" s="5" t="str">
        <f t="shared" si="405"/>
        <v>2210</v>
      </c>
      <c r="K3396" s="5" t="str">
        <f t="shared" si="406"/>
        <v>000</v>
      </c>
      <c r="L3396" s="5">
        <f t="shared" si="407"/>
        <v>8</v>
      </c>
      <c r="M3396" s="5">
        <f t="shared" si="408"/>
        <v>2012</v>
      </c>
    </row>
    <row r="3397" spans="1:13" ht="17.45" customHeight="1" x14ac:dyDescent="0.25">
      <c r="A3397" s="1">
        <f>DATE(2012,8,7)</f>
        <v>41128</v>
      </c>
      <c r="B3397" t="s">
        <v>21</v>
      </c>
      <c r="C3397" t="s">
        <v>9</v>
      </c>
      <c r="D3397" s="3">
        <v>124.63749999999999</v>
      </c>
      <c r="E3397" s="3">
        <v>0</v>
      </c>
      <c r="F3397" t="s">
        <v>45</v>
      </c>
      <c r="G3397" s="3">
        <f t="shared" si="402"/>
        <v>-124.63749999999999</v>
      </c>
      <c r="H3397" s="3">
        <f t="shared" si="403"/>
        <v>124.63749999999999</v>
      </c>
      <c r="I3397" s="5" t="str">
        <f t="shared" si="404"/>
        <v>018</v>
      </c>
      <c r="J3397" s="5" t="str">
        <f t="shared" si="405"/>
        <v>2220</v>
      </c>
      <c r="K3397" s="5" t="str">
        <f t="shared" si="406"/>
        <v>000</v>
      </c>
      <c r="L3397" s="5">
        <f t="shared" si="407"/>
        <v>8</v>
      </c>
      <c r="M3397" s="5">
        <f t="shared" si="408"/>
        <v>2012</v>
      </c>
    </row>
    <row r="3398" spans="1:13" ht="17.45" customHeight="1" x14ac:dyDescent="0.25">
      <c r="A3398" s="1">
        <f>DATE(2012,8,7)</f>
        <v>41128</v>
      </c>
      <c r="B3398" t="s">
        <v>22</v>
      </c>
      <c r="C3398" t="s">
        <v>10</v>
      </c>
      <c r="D3398" s="3">
        <v>43.418000000000006</v>
      </c>
      <c r="E3398" s="3">
        <v>0</v>
      </c>
      <c r="F3398" t="s">
        <v>45</v>
      </c>
      <c r="G3398" s="3">
        <f t="shared" si="402"/>
        <v>-43.418000000000006</v>
      </c>
      <c r="H3398" s="3">
        <f t="shared" si="403"/>
        <v>43.418000000000006</v>
      </c>
      <c r="I3398" s="5" t="str">
        <f t="shared" si="404"/>
        <v>018</v>
      </c>
      <c r="J3398" s="5" t="str">
        <f t="shared" si="405"/>
        <v>2230</v>
      </c>
      <c r="K3398" s="5" t="str">
        <f t="shared" si="406"/>
        <v>000</v>
      </c>
      <c r="L3398" s="5">
        <f t="shared" si="407"/>
        <v>8</v>
      </c>
      <c r="M3398" s="5">
        <f t="shared" si="408"/>
        <v>2012</v>
      </c>
    </row>
    <row r="3399" spans="1:13" ht="17.45" customHeight="1" x14ac:dyDescent="0.25">
      <c r="A3399" s="1">
        <f>DATE(2012,8,8)</f>
        <v>41129</v>
      </c>
      <c r="B3399" t="s">
        <v>19</v>
      </c>
      <c r="C3399" t="s">
        <v>6</v>
      </c>
      <c r="D3399" s="3">
        <v>3825.3319999999994</v>
      </c>
      <c r="E3399" s="3">
        <v>0</v>
      </c>
      <c r="F3399" t="s">
        <v>45</v>
      </c>
      <c r="G3399" s="3">
        <f t="shared" si="402"/>
        <v>-3825.3319999999994</v>
      </c>
      <c r="H3399" s="3">
        <f t="shared" si="403"/>
        <v>3825.3319999999994</v>
      </c>
      <c r="I3399" s="5" t="str">
        <f t="shared" si="404"/>
        <v>018</v>
      </c>
      <c r="J3399" s="5" t="str">
        <f t="shared" si="405"/>
        <v>2100</v>
      </c>
      <c r="K3399" s="5" t="str">
        <f t="shared" si="406"/>
        <v>000</v>
      </c>
      <c r="L3399" s="5">
        <f t="shared" si="407"/>
        <v>8</v>
      </c>
      <c r="M3399" s="5">
        <f t="shared" si="408"/>
        <v>2012</v>
      </c>
    </row>
    <row r="3400" spans="1:13" ht="17.45" customHeight="1" x14ac:dyDescent="0.25">
      <c r="A3400" s="1">
        <f>DATE(2012,8,8)</f>
        <v>41129</v>
      </c>
      <c r="B3400" t="s">
        <v>20</v>
      </c>
      <c r="C3400" t="s">
        <v>8</v>
      </c>
      <c r="D3400" s="3">
        <v>1091.306</v>
      </c>
      <c r="E3400" s="3">
        <v>0</v>
      </c>
      <c r="F3400" t="s">
        <v>45</v>
      </c>
      <c r="G3400" s="3">
        <f t="shared" si="402"/>
        <v>-1091.306</v>
      </c>
      <c r="H3400" s="3">
        <f t="shared" si="403"/>
        <v>1091.306</v>
      </c>
      <c r="I3400" s="5" t="str">
        <f t="shared" si="404"/>
        <v>018</v>
      </c>
      <c r="J3400" s="5" t="str">
        <f t="shared" si="405"/>
        <v>2210</v>
      </c>
      <c r="K3400" s="5" t="str">
        <f t="shared" si="406"/>
        <v>000</v>
      </c>
      <c r="L3400" s="5">
        <f t="shared" si="407"/>
        <v>8</v>
      </c>
      <c r="M3400" s="5">
        <f t="shared" si="408"/>
        <v>2012</v>
      </c>
    </row>
    <row r="3401" spans="1:13" ht="17.45" customHeight="1" x14ac:dyDescent="0.25">
      <c r="A3401" s="1">
        <f>DATE(2012,8,8)</f>
        <v>41129</v>
      </c>
      <c r="B3401" t="s">
        <v>21</v>
      </c>
      <c r="C3401" t="s">
        <v>9</v>
      </c>
      <c r="D3401" s="3">
        <v>195.61399999999998</v>
      </c>
      <c r="E3401" s="3">
        <v>0</v>
      </c>
      <c r="F3401" t="s">
        <v>45</v>
      </c>
      <c r="G3401" s="3">
        <f t="shared" si="402"/>
        <v>-195.61399999999998</v>
      </c>
      <c r="H3401" s="3">
        <f t="shared" si="403"/>
        <v>195.61399999999998</v>
      </c>
      <c r="I3401" s="5" t="str">
        <f t="shared" si="404"/>
        <v>018</v>
      </c>
      <c r="J3401" s="5" t="str">
        <f t="shared" si="405"/>
        <v>2220</v>
      </c>
      <c r="K3401" s="5" t="str">
        <f t="shared" si="406"/>
        <v>000</v>
      </c>
      <c r="L3401" s="5">
        <f t="shared" si="407"/>
        <v>8</v>
      </c>
      <c r="M3401" s="5">
        <f t="shared" si="408"/>
        <v>2012</v>
      </c>
    </row>
    <row r="3402" spans="1:13" ht="17.45" customHeight="1" x14ac:dyDescent="0.25">
      <c r="A3402" s="1">
        <f>DATE(2012,8,8)</f>
        <v>41129</v>
      </c>
      <c r="B3402" t="s">
        <v>22</v>
      </c>
      <c r="C3402" t="s">
        <v>10</v>
      </c>
      <c r="D3402" s="3">
        <v>63.595000000000006</v>
      </c>
      <c r="E3402" s="3">
        <v>0</v>
      </c>
      <c r="F3402" t="s">
        <v>45</v>
      </c>
      <c r="G3402" s="3">
        <f t="shared" si="402"/>
        <v>-63.595000000000006</v>
      </c>
      <c r="H3402" s="3">
        <f t="shared" si="403"/>
        <v>63.595000000000006</v>
      </c>
      <c r="I3402" s="5" t="str">
        <f t="shared" si="404"/>
        <v>018</v>
      </c>
      <c r="J3402" s="5" t="str">
        <f t="shared" si="405"/>
        <v>2230</v>
      </c>
      <c r="K3402" s="5" t="str">
        <f t="shared" si="406"/>
        <v>000</v>
      </c>
      <c r="L3402" s="5">
        <f t="shared" si="407"/>
        <v>8</v>
      </c>
      <c r="M3402" s="5">
        <f t="shared" si="408"/>
        <v>2012</v>
      </c>
    </row>
    <row r="3403" spans="1:13" ht="17.45" customHeight="1" x14ac:dyDescent="0.25">
      <c r="A3403" s="1">
        <f>DATE(2012,8,9)</f>
        <v>41130</v>
      </c>
      <c r="B3403" t="s">
        <v>19</v>
      </c>
      <c r="C3403" t="s">
        <v>6</v>
      </c>
      <c r="D3403" s="3">
        <v>4532.9759999999997</v>
      </c>
      <c r="E3403" s="3">
        <v>0</v>
      </c>
      <c r="F3403" t="s">
        <v>45</v>
      </c>
      <c r="G3403" s="3">
        <f t="shared" si="402"/>
        <v>-4532.9759999999997</v>
      </c>
      <c r="H3403" s="3">
        <f t="shared" si="403"/>
        <v>4532.9759999999997</v>
      </c>
      <c r="I3403" s="5" t="str">
        <f t="shared" si="404"/>
        <v>018</v>
      </c>
      <c r="J3403" s="5" t="str">
        <f t="shared" si="405"/>
        <v>2100</v>
      </c>
      <c r="K3403" s="5" t="str">
        <f t="shared" si="406"/>
        <v>000</v>
      </c>
      <c r="L3403" s="5">
        <f t="shared" si="407"/>
        <v>8</v>
      </c>
      <c r="M3403" s="5">
        <f t="shared" si="408"/>
        <v>2012</v>
      </c>
    </row>
    <row r="3404" spans="1:13" ht="17.45" customHeight="1" x14ac:dyDescent="0.25">
      <c r="A3404" s="1">
        <f>DATE(2012,8,9)</f>
        <v>41130</v>
      </c>
      <c r="B3404" t="s">
        <v>20</v>
      </c>
      <c r="C3404" t="s">
        <v>8</v>
      </c>
      <c r="D3404" s="3">
        <v>1089.9679999999998</v>
      </c>
      <c r="E3404" s="3">
        <v>0</v>
      </c>
      <c r="F3404" t="s">
        <v>45</v>
      </c>
      <c r="G3404" s="3">
        <f t="shared" si="402"/>
        <v>-1089.9679999999998</v>
      </c>
      <c r="H3404" s="3">
        <f t="shared" si="403"/>
        <v>1089.9679999999998</v>
      </c>
      <c r="I3404" s="5" t="str">
        <f t="shared" si="404"/>
        <v>018</v>
      </c>
      <c r="J3404" s="5" t="str">
        <f t="shared" si="405"/>
        <v>2210</v>
      </c>
      <c r="K3404" s="5" t="str">
        <f t="shared" si="406"/>
        <v>000</v>
      </c>
      <c r="L3404" s="5">
        <f t="shared" si="407"/>
        <v>8</v>
      </c>
      <c r="M3404" s="5">
        <f t="shared" si="408"/>
        <v>2012</v>
      </c>
    </row>
    <row r="3405" spans="1:13" ht="17.45" customHeight="1" x14ac:dyDescent="0.25">
      <c r="A3405" s="1">
        <f>DATE(2012,8,9)</f>
        <v>41130</v>
      </c>
      <c r="B3405" t="s">
        <v>21</v>
      </c>
      <c r="C3405" t="s">
        <v>9</v>
      </c>
      <c r="D3405" s="3">
        <v>162.86949999999999</v>
      </c>
      <c r="E3405" s="3">
        <v>0</v>
      </c>
      <c r="F3405" t="s">
        <v>45</v>
      </c>
      <c r="G3405" s="3">
        <f t="shared" si="402"/>
        <v>-162.86949999999999</v>
      </c>
      <c r="H3405" s="3">
        <f t="shared" si="403"/>
        <v>162.86949999999999</v>
      </c>
      <c r="I3405" s="5" t="str">
        <f t="shared" si="404"/>
        <v>018</v>
      </c>
      <c r="J3405" s="5" t="str">
        <f t="shared" si="405"/>
        <v>2220</v>
      </c>
      <c r="K3405" s="5" t="str">
        <f t="shared" si="406"/>
        <v>000</v>
      </c>
      <c r="L3405" s="5">
        <f t="shared" si="407"/>
        <v>8</v>
      </c>
      <c r="M3405" s="5">
        <f t="shared" si="408"/>
        <v>2012</v>
      </c>
    </row>
    <row r="3406" spans="1:13" ht="17.45" customHeight="1" x14ac:dyDescent="0.25">
      <c r="A3406" s="1">
        <f>DATE(2012,8,9)</f>
        <v>41130</v>
      </c>
      <c r="B3406" t="s">
        <v>22</v>
      </c>
      <c r="C3406" t="s">
        <v>10</v>
      </c>
      <c r="D3406" s="3">
        <v>40.947500000000005</v>
      </c>
      <c r="E3406" s="3">
        <v>0</v>
      </c>
      <c r="F3406" t="s">
        <v>45</v>
      </c>
      <c r="G3406" s="3">
        <f t="shared" si="402"/>
        <v>-40.947500000000005</v>
      </c>
      <c r="H3406" s="3">
        <f t="shared" si="403"/>
        <v>40.947500000000005</v>
      </c>
      <c r="I3406" s="5" t="str">
        <f t="shared" si="404"/>
        <v>018</v>
      </c>
      <c r="J3406" s="5" t="str">
        <f t="shared" si="405"/>
        <v>2230</v>
      </c>
      <c r="K3406" s="5" t="str">
        <f t="shared" si="406"/>
        <v>000</v>
      </c>
      <c r="L3406" s="5">
        <f t="shared" si="407"/>
        <v>8</v>
      </c>
      <c r="M3406" s="5">
        <f t="shared" si="408"/>
        <v>2012</v>
      </c>
    </row>
    <row r="3407" spans="1:13" ht="17.45" customHeight="1" x14ac:dyDescent="0.25">
      <c r="A3407" s="1">
        <f>DATE(2012,8,10)</f>
        <v>41131</v>
      </c>
      <c r="B3407" t="s">
        <v>19</v>
      </c>
      <c r="C3407" t="s">
        <v>6</v>
      </c>
      <c r="D3407" s="3">
        <v>12332.205000000002</v>
      </c>
      <c r="E3407" s="3">
        <v>0</v>
      </c>
      <c r="F3407" t="s">
        <v>45</v>
      </c>
      <c r="G3407" s="3">
        <f t="shared" si="402"/>
        <v>-12332.205000000002</v>
      </c>
      <c r="H3407" s="3">
        <f t="shared" si="403"/>
        <v>12332.205000000002</v>
      </c>
      <c r="I3407" s="5" t="str">
        <f t="shared" si="404"/>
        <v>018</v>
      </c>
      <c r="J3407" s="5" t="str">
        <f t="shared" si="405"/>
        <v>2100</v>
      </c>
      <c r="K3407" s="5" t="str">
        <f t="shared" si="406"/>
        <v>000</v>
      </c>
      <c r="L3407" s="5">
        <f t="shared" si="407"/>
        <v>8</v>
      </c>
      <c r="M3407" s="5">
        <f t="shared" si="408"/>
        <v>2012</v>
      </c>
    </row>
    <row r="3408" spans="1:13" ht="17.45" customHeight="1" x14ac:dyDescent="0.25">
      <c r="A3408" s="1">
        <f>DATE(2012,8,10)</f>
        <v>41131</v>
      </c>
      <c r="B3408" t="s">
        <v>20</v>
      </c>
      <c r="C3408" t="s">
        <v>8</v>
      </c>
      <c r="D3408" s="3">
        <v>3622.4874999999997</v>
      </c>
      <c r="E3408" s="3">
        <v>0</v>
      </c>
      <c r="F3408" t="s">
        <v>45</v>
      </c>
      <c r="G3408" s="3">
        <f t="shared" si="402"/>
        <v>-3622.4874999999997</v>
      </c>
      <c r="H3408" s="3">
        <f t="shared" si="403"/>
        <v>3622.4874999999997</v>
      </c>
      <c r="I3408" s="5" t="str">
        <f t="shared" si="404"/>
        <v>018</v>
      </c>
      <c r="J3408" s="5" t="str">
        <f t="shared" si="405"/>
        <v>2210</v>
      </c>
      <c r="K3408" s="5" t="str">
        <f t="shared" si="406"/>
        <v>000</v>
      </c>
      <c r="L3408" s="5">
        <f t="shared" si="407"/>
        <v>8</v>
      </c>
      <c r="M3408" s="5">
        <f t="shared" si="408"/>
        <v>2012</v>
      </c>
    </row>
    <row r="3409" spans="1:13" ht="17.45" customHeight="1" x14ac:dyDescent="0.25">
      <c r="A3409" s="1">
        <f>DATE(2012,8,10)</f>
        <v>41131</v>
      </c>
      <c r="B3409" t="s">
        <v>21</v>
      </c>
      <c r="C3409" t="s">
        <v>9</v>
      </c>
      <c r="D3409" s="3">
        <v>526.79</v>
      </c>
      <c r="E3409" s="3">
        <v>0</v>
      </c>
      <c r="F3409" t="s">
        <v>45</v>
      </c>
      <c r="G3409" s="3">
        <f t="shared" si="402"/>
        <v>-526.79</v>
      </c>
      <c r="H3409" s="3">
        <f t="shared" si="403"/>
        <v>526.79</v>
      </c>
      <c r="I3409" s="5" t="str">
        <f t="shared" si="404"/>
        <v>018</v>
      </c>
      <c r="J3409" s="5" t="str">
        <f t="shared" si="405"/>
        <v>2220</v>
      </c>
      <c r="K3409" s="5" t="str">
        <f t="shared" si="406"/>
        <v>000</v>
      </c>
      <c r="L3409" s="5">
        <f t="shared" si="407"/>
        <v>8</v>
      </c>
      <c r="M3409" s="5">
        <f t="shared" si="408"/>
        <v>2012</v>
      </c>
    </row>
    <row r="3410" spans="1:13" ht="17.45" customHeight="1" x14ac:dyDescent="0.25">
      <c r="A3410" s="1">
        <f>DATE(2012,8,10)</f>
        <v>41131</v>
      </c>
      <c r="B3410" t="s">
        <v>22</v>
      </c>
      <c r="C3410" t="s">
        <v>10</v>
      </c>
      <c r="D3410" s="3">
        <v>70.55</v>
      </c>
      <c r="E3410" s="3">
        <v>0</v>
      </c>
      <c r="F3410" t="s">
        <v>45</v>
      </c>
      <c r="G3410" s="3">
        <f t="shared" si="402"/>
        <v>-70.55</v>
      </c>
      <c r="H3410" s="3">
        <f t="shared" si="403"/>
        <v>70.55</v>
      </c>
      <c r="I3410" s="5" t="str">
        <f t="shared" si="404"/>
        <v>018</v>
      </c>
      <c r="J3410" s="5" t="str">
        <f t="shared" si="405"/>
        <v>2230</v>
      </c>
      <c r="K3410" s="5" t="str">
        <f t="shared" si="406"/>
        <v>000</v>
      </c>
      <c r="L3410" s="5">
        <f t="shared" si="407"/>
        <v>8</v>
      </c>
      <c r="M3410" s="5">
        <f t="shared" si="408"/>
        <v>2012</v>
      </c>
    </row>
    <row r="3411" spans="1:13" ht="17.45" customHeight="1" x14ac:dyDescent="0.25">
      <c r="A3411" s="1">
        <f>DATE(2012,8,11)</f>
        <v>41132</v>
      </c>
      <c r="B3411" t="s">
        <v>19</v>
      </c>
      <c r="C3411" t="s">
        <v>6</v>
      </c>
      <c r="D3411" s="3">
        <v>11139.36</v>
      </c>
      <c r="E3411" s="3">
        <v>0</v>
      </c>
      <c r="F3411" t="s">
        <v>45</v>
      </c>
      <c r="G3411" s="3">
        <f t="shared" si="402"/>
        <v>-11139.36</v>
      </c>
      <c r="H3411" s="3">
        <f t="shared" si="403"/>
        <v>11139.36</v>
      </c>
      <c r="I3411" s="5" t="str">
        <f t="shared" si="404"/>
        <v>018</v>
      </c>
      <c r="J3411" s="5" t="str">
        <f t="shared" si="405"/>
        <v>2100</v>
      </c>
      <c r="K3411" s="5" t="str">
        <f t="shared" si="406"/>
        <v>000</v>
      </c>
      <c r="L3411" s="5">
        <f t="shared" si="407"/>
        <v>8</v>
      </c>
      <c r="M3411" s="5">
        <f t="shared" si="408"/>
        <v>2012</v>
      </c>
    </row>
    <row r="3412" spans="1:13" ht="17.45" customHeight="1" x14ac:dyDescent="0.25">
      <c r="A3412" s="1">
        <f>DATE(2012,8,11)</f>
        <v>41132</v>
      </c>
      <c r="B3412" t="s">
        <v>20</v>
      </c>
      <c r="C3412" t="s">
        <v>8</v>
      </c>
      <c r="D3412" s="3">
        <v>2035.6460000000002</v>
      </c>
      <c r="E3412" s="3">
        <v>0</v>
      </c>
      <c r="F3412" t="s">
        <v>45</v>
      </c>
      <c r="G3412" s="3">
        <f t="shared" si="402"/>
        <v>-2035.6460000000002</v>
      </c>
      <c r="H3412" s="3">
        <f t="shared" si="403"/>
        <v>2035.6460000000002</v>
      </c>
      <c r="I3412" s="5" t="str">
        <f t="shared" si="404"/>
        <v>018</v>
      </c>
      <c r="J3412" s="5" t="str">
        <f t="shared" si="405"/>
        <v>2210</v>
      </c>
      <c r="K3412" s="5" t="str">
        <f t="shared" si="406"/>
        <v>000</v>
      </c>
      <c r="L3412" s="5">
        <f t="shared" si="407"/>
        <v>8</v>
      </c>
      <c r="M3412" s="5">
        <f t="shared" si="408"/>
        <v>2012</v>
      </c>
    </row>
    <row r="3413" spans="1:13" ht="17.45" customHeight="1" x14ac:dyDescent="0.25">
      <c r="A3413" s="1">
        <f>DATE(2012,8,11)</f>
        <v>41132</v>
      </c>
      <c r="B3413" t="s">
        <v>21</v>
      </c>
      <c r="C3413" t="s">
        <v>9</v>
      </c>
      <c r="D3413" s="3">
        <v>663.6869999999999</v>
      </c>
      <c r="E3413" s="3">
        <v>0</v>
      </c>
      <c r="F3413" t="s">
        <v>45</v>
      </c>
      <c r="G3413" s="3">
        <f t="shared" si="402"/>
        <v>-663.6869999999999</v>
      </c>
      <c r="H3413" s="3">
        <f t="shared" si="403"/>
        <v>663.6869999999999</v>
      </c>
      <c r="I3413" s="5" t="str">
        <f t="shared" si="404"/>
        <v>018</v>
      </c>
      <c r="J3413" s="5" t="str">
        <f t="shared" si="405"/>
        <v>2220</v>
      </c>
      <c r="K3413" s="5" t="str">
        <f t="shared" si="406"/>
        <v>000</v>
      </c>
      <c r="L3413" s="5">
        <f t="shared" si="407"/>
        <v>8</v>
      </c>
      <c r="M3413" s="5">
        <f t="shared" si="408"/>
        <v>2012</v>
      </c>
    </row>
    <row r="3414" spans="1:13" ht="17.45" customHeight="1" x14ac:dyDescent="0.25">
      <c r="A3414" s="1">
        <f>DATE(2012,8,11)</f>
        <v>41132</v>
      </c>
      <c r="B3414" t="s">
        <v>22</v>
      </c>
      <c r="C3414" t="s">
        <v>10</v>
      </c>
      <c r="D3414" s="3">
        <v>99.151499999999984</v>
      </c>
      <c r="E3414" s="3">
        <v>0</v>
      </c>
      <c r="F3414" t="s">
        <v>45</v>
      </c>
      <c r="G3414" s="3">
        <f t="shared" si="402"/>
        <v>-99.151499999999984</v>
      </c>
      <c r="H3414" s="3">
        <f t="shared" si="403"/>
        <v>99.151499999999984</v>
      </c>
      <c r="I3414" s="5" t="str">
        <f t="shared" si="404"/>
        <v>018</v>
      </c>
      <c r="J3414" s="5" t="str">
        <f t="shared" si="405"/>
        <v>2230</v>
      </c>
      <c r="K3414" s="5" t="str">
        <f t="shared" si="406"/>
        <v>000</v>
      </c>
      <c r="L3414" s="5">
        <f t="shared" si="407"/>
        <v>8</v>
      </c>
      <c r="M3414" s="5">
        <f t="shared" si="408"/>
        <v>2012</v>
      </c>
    </row>
    <row r="3415" spans="1:13" ht="17.45" customHeight="1" x14ac:dyDescent="0.25">
      <c r="A3415" s="1">
        <f>DATE(2012,8,12)</f>
        <v>41133</v>
      </c>
      <c r="B3415" t="s">
        <v>19</v>
      </c>
      <c r="C3415" t="s">
        <v>6</v>
      </c>
      <c r="D3415" s="3">
        <v>8815.3742000000002</v>
      </c>
      <c r="E3415" s="3">
        <v>0</v>
      </c>
      <c r="F3415" t="s">
        <v>45</v>
      </c>
      <c r="G3415" s="3">
        <f t="shared" si="402"/>
        <v>-8815.3742000000002</v>
      </c>
      <c r="H3415" s="3">
        <f t="shared" si="403"/>
        <v>8815.3742000000002</v>
      </c>
      <c r="I3415" s="5" t="str">
        <f t="shared" si="404"/>
        <v>018</v>
      </c>
      <c r="J3415" s="5" t="str">
        <f t="shared" si="405"/>
        <v>2100</v>
      </c>
      <c r="K3415" s="5" t="str">
        <f t="shared" si="406"/>
        <v>000</v>
      </c>
      <c r="L3415" s="5">
        <f t="shared" si="407"/>
        <v>8</v>
      </c>
      <c r="M3415" s="5">
        <f t="shared" si="408"/>
        <v>2012</v>
      </c>
    </row>
    <row r="3416" spans="1:13" ht="17.45" customHeight="1" x14ac:dyDescent="0.25">
      <c r="A3416" s="1">
        <f>DATE(2012,8,12)</f>
        <v>41133</v>
      </c>
      <c r="B3416" t="s">
        <v>20</v>
      </c>
      <c r="C3416" t="s">
        <v>8</v>
      </c>
      <c r="D3416" s="3">
        <v>1319.8020000000001</v>
      </c>
      <c r="E3416" s="3">
        <v>0</v>
      </c>
      <c r="F3416" t="s">
        <v>45</v>
      </c>
      <c r="G3416" s="3">
        <f t="shared" si="402"/>
        <v>-1319.8020000000001</v>
      </c>
      <c r="H3416" s="3">
        <f t="shared" si="403"/>
        <v>1319.8020000000001</v>
      </c>
      <c r="I3416" s="5" t="str">
        <f t="shared" si="404"/>
        <v>018</v>
      </c>
      <c r="J3416" s="5" t="str">
        <f t="shared" si="405"/>
        <v>2210</v>
      </c>
      <c r="K3416" s="5" t="str">
        <f t="shared" si="406"/>
        <v>000</v>
      </c>
      <c r="L3416" s="5">
        <f t="shared" si="407"/>
        <v>8</v>
      </c>
      <c r="M3416" s="5">
        <f t="shared" si="408"/>
        <v>2012</v>
      </c>
    </row>
    <row r="3417" spans="1:13" ht="17.45" customHeight="1" x14ac:dyDescent="0.25">
      <c r="A3417" s="1">
        <f>DATE(2012,8,12)</f>
        <v>41133</v>
      </c>
      <c r="B3417" t="s">
        <v>21</v>
      </c>
      <c r="C3417" t="s">
        <v>9</v>
      </c>
      <c r="D3417" s="3">
        <v>288.23099999999999</v>
      </c>
      <c r="E3417" s="3">
        <v>0</v>
      </c>
      <c r="F3417" t="s">
        <v>45</v>
      </c>
      <c r="G3417" s="3">
        <f t="shared" si="402"/>
        <v>-288.23099999999999</v>
      </c>
      <c r="H3417" s="3">
        <f t="shared" si="403"/>
        <v>288.23099999999999</v>
      </c>
      <c r="I3417" s="5" t="str">
        <f t="shared" si="404"/>
        <v>018</v>
      </c>
      <c r="J3417" s="5" t="str">
        <f t="shared" si="405"/>
        <v>2220</v>
      </c>
      <c r="K3417" s="5" t="str">
        <f t="shared" si="406"/>
        <v>000</v>
      </c>
      <c r="L3417" s="5">
        <f t="shared" si="407"/>
        <v>8</v>
      </c>
      <c r="M3417" s="5">
        <f t="shared" si="408"/>
        <v>2012</v>
      </c>
    </row>
    <row r="3418" spans="1:13" ht="17.45" customHeight="1" x14ac:dyDescent="0.25">
      <c r="A3418" s="1">
        <f>DATE(2012,8,12)</f>
        <v>41133</v>
      </c>
      <c r="B3418" t="s">
        <v>22</v>
      </c>
      <c r="C3418" t="s">
        <v>10</v>
      </c>
      <c r="D3418" s="3">
        <v>110.52799999999999</v>
      </c>
      <c r="E3418" s="3">
        <v>0</v>
      </c>
      <c r="F3418" t="s">
        <v>45</v>
      </c>
      <c r="G3418" s="3">
        <f t="shared" si="402"/>
        <v>-110.52799999999999</v>
      </c>
      <c r="H3418" s="3">
        <f t="shared" si="403"/>
        <v>110.52799999999999</v>
      </c>
      <c r="I3418" s="5" t="str">
        <f t="shared" si="404"/>
        <v>018</v>
      </c>
      <c r="J3418" s="5" t="str">
        <f t="shared" si="405"/>
        <v>2230</v>
      </c>
      <c r="K3418" s="5" t="str">
        <f t="shared" si="406"/>
        <v>000</v>
      </c>
      <c r="L3418" s="5">
        <f t="shared" si="407"/>
        <v>8</v>
      </c>
      <c r="M3418" s="5">
        <f t="shared" si="408"/>
        <v>2012</v>
      </c>
    </row>
    <row r="3419" spans="1:13" ht="17.45" customHeight="1" x14ac:dyDescent="0.25">
      <c r="A3419" s="1">
        <f>DATE(2012,8,13)</f>
        <v>41134</v>
      </c>
      <c r="B3419" t="s">
        <v>11</v>
      </c>
      <c r="C3419" t="s">
        <v>6</v>
      </c>
      <c r="D3419" s="3">
        <v>2757.2532000000001</v>
      </c>
      <c r="E3419" s="3">
        <v>0</v>
      </c>
      <c r="F3419" t="s">
        <v>45</v>
      </c>
      <c r="G3419" s="3">
        <f t="shared" si="402"/>
        <v>-2757.2532000000001</v>
      </c>
      <c r="H3419" s="3">
        <f t="shared" si="403"/>
        <v>2757.2532000000001</v>
      </c>
      <c r="I3419" s="5" t="str">
        <f t="shared" si="404"/>
        <v>016</v>
      </c>
      <c r="J3419" s="5" t="str">
        <f t="shared" si="405"/>
        <v>2100</v>
      </c>
      <c r="K3419" s="5" t="str">
        <f t="shared" si="406"/>
        <v>000</v>
      </c>
      <c r="L3419" s="5">
        <f t="shared" si="407"/>
        <v>8</v>
      </c>
      <c r="M3419" s="5">
        <f t="shared" si="408"/>
        <v>2012</v>
      </c>
    </row>
    <row r="3420" spans="1:13" ht="17.45" customHeight="1" x14ac:dyDescent="0.25">
      <c r="A3420" s="1">
        <f>DATE(2012,8,13)</f>
        <v>41134</v>
      </c>
      <c r="B3420" t="s">
        <v>12</v>
      </c>
      <c r="C3420" t="s">
        <v>8</v>
      </c>
      <c r="D3420" s="3">
        <v>561.17880000000002</v>
      </c>
      <c r="E3420" s="3">
        <v>0</v>
      </c>
      <c r="F3420" t="s">
        <v>45</v>
      </c>
      <c r="G3420" s="3">
        <f t="shared" si="402"/>
        <v>-561.17880000000002</v>
      </c>
      <c r="H3420" s="3">
        <f t="shared" si="403"/>
        <v>561.17880000000002</v>
      </c>
      <c r="I3420" s="5" t="str">
        <f t="shared" si="404"/>
        <v>016</v>
      </c>
      <c r="J3420" s="5" t="str">
        <f t="shared" si="405"/>
        <v>2210</v>
      </c>
      <c r="K3420" s="5" t="str">
        <f t="shared" si="406"/>
        <v>000</v>
      </c>
      <c r="L3420" s="5">
        <f t="shared" si="407"/>
        <v>8</v>
      </c>
      <c r="M3420" s="5">
        <f t="shared" si="408"/>
        <v>2012</v>
      </c>
    </row>
    <row r="3421" spans="1:13" ht="17.45" customHeight="1" x14ac:dyDescent="0.25">
      <c r="A3421" s="1">
        <f>DATE(2012,8,13)</f>
        <v>41134</v>
      </c>
      <c r="B3421" t="s">
        <v>13</v>
      </c>
      <c r="C3421" t="s">
        <v>9</v>
      </c>
      <c r="D3421" s="3">
        <v>126.67500000000001</v>
      </c>
      <c r="E3421" s="3">
        <v>0</v>
      </c>
      <c r="F3421" t="s">
        <v>45</v>
      </c>
      <c r="G3421" s="3">
        <f t="shared" si="402"/>
        <v>-126.67500000000001</v>
      </c>
      <c r="H3421" s="3">
        <f t="shared" si="403"/>
        <v>126.67500000000001</v>
      </c>
      <c r="I3421" s="5" t="str">
        <f t="shared" si="404"/>
        <v>016</v>
      </c>
      <c r="J3421" s="5" t="str">
        <f t="shared" si="405"/>
        <v>2220</v>
      </c>
      <c r="K3421" s="5" t="str">
        <f t="shared" si="406"/>
        <v>000</v>
      </c>
      <c r="L3421" s="5">
        <f t="shared" si="407"/>
        <v>8</v>
      </c>
      <c r="M3421" s="5">
        <f t="shared" si="408"/>
        <v>2012</v>
      </c>
    </row>
    <row r="3422" spans="1:13" ht="17.45" customHeight="1" x14ac:dyDescent="0.25">
      <c r="A3422" s="1">
        <f>DATE(2012,8,13)</f>
        <v>41134</v>
      </c>
      <c r="B3422" t="s">
        <v>14</v>
      </c>
      <c r="C3422" t="s">
        <v>10</v>
      </c>
      <c r="D3422" s="3">
        <v>16.218000000000004</v>
      </c>
      <c r="E3422" s="3">
        <v>0</v>
      </c>
      <c r="F3422" t="s">
        <v>45</v>
      </c>
      <c r="G3422" s="3">
        <f t="shared" si="402"/>
        <v>-16.218000000000004</v>
      </c>
      <c r="H3422" s="3">
        <f t="shared" si="403"/>
        <v>16.218000000000004</v>
      </c>
      <c r="I3422" s="5" t="str">
        <f t="shared" si="404"/>
        <v>016</v>
      </c>
      <c r="J3422" s="5" t="str">
        <f t="shared" si="405"/>
        <v>2230</v>
      </c>
      <c r="K3422" s="5" t="str">
        <f t="shared" si="406"/>
        <v>000</v>
      </c>
      <c r="L3422" s="5">
        <f t="shared" si="407"/>
        <v>8</v>
      </c>
      <c r="M3422" s="5">
        <f t="shared" si="408"/>
        <v>2012</v>
      </c>
    </row>
    <row r="3423" spans="1:13" ht="17.45" customHeight="1" x14ac:dyDescent="0.25">
      <c r="A3423" s="1">
        <f>DATE(2012,8,14)</f>
        <v>41135</v>
      </c>
      <c r="B3423" t="s">
        <v>11</v>
      </c>
      <c r="C3423" t="s">
        <v>6</v>
      </c>
      <c r="D3423" s="3">
        <v>5783.2709999999997</v>
      </c>
      <c r="E3423" s="3">
        <v>0</v>
      </c>
      <c r="F3423" t="s">
        <v>45</v>
      </c>
      <c r="G3423" s="3">
        <f t="shared" si="402"/>
        <v>-5783.2709999999997</v>
      </c>
      <c r="H3423" s="3">
        <f t="shared" si="403"/>
        <v>5783.2709999999997</v>
      </c>
      <c r="I3423" s="5" t="str">
        <f t="shared" si="404"/>
        <v>016</v>
      </c>
      <c r="J3423" s="5" t="str">
        <f t="shared" si="405"/>
        <v>2100</v>
      </c>
      <c r="K3423" s="5" t="str">
        <f t="shared" si="406"/>
        <v>000</v>
      </c>
      <c r="L3423" s="5">
        <f t="shared" si="407"/>
        <v>8</v>
      </c>
      <c r="M3423" s="5">
        <f t="shared" si="408"/>
        <v>2012</v>
      </c>
    </row>
    <row r="3424" spans="1:13" ht="17.45" customHeight="1" x14ac:dyDescent="0.25">
      <c r="A3424" s="1">
        <f>DATE(2012,8,14)</f>
        <v>41135</v>
      </c>
      <c r="B3424" t="s">
        <v>12</v>
      </c>
      <c r="C3424" t="s">
        <v>8</v>
      </c>
      <c r="D3424" s="3">
        <v>1661.1645000000001</v>
      </c>
      <c r="E3424" s="3">
        <v>0</v>
      </c>
      <c r="F3424" t="s">
        <v>45</v>
      </c>
      <c r="G3424" s="3">
        <f t="shared" si="402"/>
        <v>-1661.1645000000001</v>
      </c>
      <c r="H3424" s="3">
        <f t="shared" si="403"/>
        <v>1661.1645000000001</v>
      </c>
      <c r="I3424" s="5" t="str">
        <f t="shared" si="404"/>
        <v>016</v>
      </c>
      <c r="J3424" s="5" t="str">
        <f t="shared" si="405"/>
        <v>2210</v>
      </c>
      <c r="K3424" s="5" t="str">
        <f t="shared" si="406"/>
        <v>000</v>
      </c>
      <c r="L3424" s="5">
        <f t="shared" si="407"/>
        <v>8</v>
      </c>
      <c r="M3424" s="5">
        <f t="shared" si="408"/>
        <v>2012</v>
      </c>
    </row>
    <row r="3425" spans="1:13" ht="17.45" customHeight="1" x14ac:dyDescent="0.25">
      <c r="A3425" s="1">
        <f>DATE(2012,8,14)</f>
        <v>41135</v>
      </c>
      <c r="B3425" t="s">
        <v>13</v>
      </c>
      <c r="C3425" t="s">
        <v>9</v>
      </c>
      <c r="D3425" s="3">
        <v>588.39300000000003</v>
      </c>
      <c r="E3425" s="3">
        <v>0</v>
      </c>
      <c r="F3425" t="s">
        <v>45</v>
      </c>
      <c r="G3425" s="3">
        <f t="shared" si="402"/>
        <v>-588.39300000000003</v>
      </c>
      <c r="H3425" s="3">
        <f t="shared" si="403"/>
        <v>588.39300000000003</v>
      </c>
      <c r="I3425" s="5" t="str">
        <f t="shared" si="404"/>
        <v>016</v>
      </c>
      <c r="J3425" s="5" t="str">
        <f t="shared" si="405"/>
        <v>2220</v>
      </c>
      <c r="K3425" s="5" t="str">
        <f t="shared" si="406"/>
        <v>000</v>
      </c>
      <c r="L3425" s="5">
        <f t="shared" si="407"/>
        <v>8</v>
      </c>
      <c r="M3425" s="5">
        <f t="shared" si="408"/>
        <v>2012</v>
      </c>
    </row>
    <row r="3426" spans="1:13" ht="17.45" customHeight="1" x14ac:dyDescent="0.25">
      <c r="A3426" s="1">
        <f>DATE(2012,8,14)</f>
        <v>41135</v>
      </c>
      <c r="B3426" t="s">
        <v>14</v>
      </c>
      <c r="C3426" t="s">
        <v>10</v>
      </c>
      <c r="D3426" s="3">
        <v>197.73599999999999</v>
      </c>
      <c r="E3426" s="3">
        <v>0</v>
      </c>
      <c r="F3426" t="s">
        <v>45</v>
      </c>
      <c r="G3426" s="3">
        <f t="shared" si="402"/>
        <v>-197.73599999999999</v>
      </c>
      <c r="H3426" s="3">
        <f t="shared" si="403"/>
        <v>197.73599999999999</v>
      </c>
      <c r="I3426" s="5" t="str">
        <f t="shared" si="404"/>
        <v>016</v>
      </c>
      <c r="J3426" s="5" t="str">
        <f t="shared" si="405"/>
        <v>2230</v>
      </c>
      <c r="K3426" s="5" t="str">
        <f t="shared" si="406"/>
        <v>000</v>
      </c>
      <c r="L3426" s="5">
        <f t="shared" si="407"/>
        <v>8</v>
      </c>
      <c r="M3426" s="5">
        <f t="shared" si="408"/>
        <v>2012</v>
      </c>
    </row>
    <row r="3427" spans="1:13" ht="17.45" customHeight="1" x14ac:dyDescent="0.25">
      <c r="A3427" s="1">
        <f>DATE(2012,8,15)</f>
        <v>41136</v>
      </c>
      <c r="B3427" t="s">
        <v>11</v>
      </c>
      <c r="C3427" t="s">
        <v>6</v>
      </c>
      <c r="D3427" s="3">
        <v>4406.1284000000005</v>
      </c>
      <c r="E3427" s="3">
        <v>0</v>
      </c>
      <c r="F3427" t="s">
        <v>45</v>
      </c>
      <c r="G3427" s="3">
        <f t="shared" si="402"/>
        <v>-4406.1284000000005</v>
      </c>
      <c r="H3427" s="3">
        <f t="shared" si="403"/>
        <v>4406.1284000000005</v>
      </c>
      <c r="I3427" s="5" t="str">
        <f t="shared" si="404"/>
        <v>016</v>
      </c>
      <c r="J3427" s="5" t="str">
        <f t="shared" si="405"/>
        <v>2100</v>
      </c>
      <c r="K3427" s="5" t="str">
        <f t="shared" si="406"/>
        <v>000</v>
      </c>
      <c r="L3427" s="5">
        <f t="shared" si="407"/>
        <v>8</v>
      </c>
      <c r="M3427" s="5">
        <f t="shared" si="408"/>
        <v>2012</v>
      </c>
    </row>
    <row r="3428" spans="1:13" ht="17.45" customHeight="1" x14ac:dyDescent="0.25">
      <c r="A3428" s="1">
        <f>DATE(2012,8,15)</f>
        <v>41136</v>
      </c>
      <c r="B3428" t="s">
        <v>12</v>
      </c>
      <c r="C3428" t="s">
        <v>8</v>
      </c>
      <c r="D3428" s="3">
        <v>929.99400000000003</v>
      </c>
      <c r="E3428" s="3">
        <v>0</v>
      </c>
      <c r="F3428" t="s">
        <v>45</v>
      </c>
      <c r="G3428" s="3">
        <f t="shared" si="402"/>
        <v>-929.99400000000003</v>
      </c>
      <c r="H3428" s="3">
        <f t="shared" si="403"/>
        <v>929.99400000000003</v>
      </c>
      <c r="I3428" s="5" t="str">
        <f t="shared" si="404"/>
        <v>016</v>
      </c>
      <c r="J3428" s="5" t="str">
        <f t="shared" si="405"/>
        <v>2210</v>
      </c>
      <c r="K3428" s="5" t="str">
        <f t="shared" si="406"/>
        <v>000</v>
      </c>
      <c r="L3428" s="5">
        <f t="shared" si="407"/>
        <v>8</v>
      </c>
      <c r="M3428" s="5">
        <f t="shared" si="408"/>
        <v>2012</v>
      </c>
    </row>
    <row r="3429" spans="1:13" ht="17.45" customHeight="1" x14ac:dyDescent="0.25">
      <c r="A3429" s="1">
        <f>DATE(2012,8,15)</f>
        <v>41136</v>
      </c>
      <c r="B3429" t="s">
        <v>13</v>
      </c>
      <c r="C3429" t="s">
        <v>9</v>
      </c>
      <c r="D3429" s="3">
        <v>124.52399999999999</v>
      </c>
      <c r="E3429" s="3">
        <v>0</v>
      </c>
      <c r="F3429" t="s">
        <v>45</v>
      </c>
      <c r="G3429" s="3">
        <f t="shared" si="402"/>
        <v>-124.52399999999999</v>
      </c>
      <c r="H3429" s="3">
        <f t="shared" si="403"/>
        <v>124.52399999999999</v>
      </c>
      <c r="I3429" s="5" t="str">
        <f t="shared" si="404"/>
        <v>016</v>
      </c>
      <c r="J3429" s="5" t="str">
        <f t="shared" si="405"/>
        <v>2220</v>
      </c>
      <c r="K3429" s="5" t="str">
        <f t="shared" si="406"/>
        <v>000</v>
      </c>
      <c r="L3429" s="5">
        <f t="shared" si="407"/>
        <v>8</v>
      </c>
      <c r="M3429" s="5">
        <f t="shared" si="408"/>
        <v>2012</v>
      </c>
    </row>
    <row r="3430" spans="1:13" ht="17.45" customHeight="1" x14ac:dyDescent="0.25">
      <c r="A3430" s="1">
        <f>DATE(2012,8,15)</f>
        <v>41136</v>
      </c>
      <c r="B3430" t="s">
        <v>14</v>
      </c>
      <c r="C3430" t="s">
        <v>10</v>
      </c>
      <c r="D3430" s="3">
        <v>75.037499999999994</v>
      </c>
      <c r="E3430" s="3">
        <v>0</v>
      </c>
      <c r="F3430" t="s">
        <v>45</v>
      </c>
      <c r="G3430" s="3">
        <f t="shared" si="402"/>
        <v>-75.037499999999994</v>
      </c>
      <c r="H3430" s="3">
        <f t="shared" si="403"/>
        <v>75.037499999999994</v>
      </c>
      <c r="I3430" s="5" t="str">
        <f t="shared" si="404"/>
        <v>016</v>
      </c>
      <c r="J3430" s="5" t="str">
        <f t="shared" si="405"/>
        <v>2230</v>
      </c>
      <c r="K3430" s="5" t="str">
        <f t="shared" si="406"/>
        <v>000</v>
      </c>
      <c r="L3430" s="5">
        <f t="shared" si="407"/>
        <v>8</v>
      </c>
      <c r="M3430" s="5">
        <f t="shared" si="408"/>
        <v>2012</v>
      </c>
    </row>
    <row r="3431" spans="1:13" ht="17.45" customHeight="1" x14ac:dyDescent="0.25">
      <c r="A3431" s="1">
        <f>DATE(2012,8,16)</f>
        <v>41137</v>
      </c>
      <c r="B3431" t="s">
        <v>11</v>
      </c>
      <c r="C3431" t="s">
        <v>6</v>
      </c>
      <c r="D3431" s="3">
        <v>4602.0990000000002</v>
      </c>
      <c r="E3431" s="3">
        <v>0</v>
      </c>
      <c r="F3431" t="s">
        <v>45</v>
      </c>
      <c r="G3431" s="3">
        <f t="shared" si="402"/>
        <v>-4602.0990000000002</v>
      </c>
      <c r="H3431" s="3">
        <f t="shared" si="403"/>
        <v>4602.0990000000002</v>
      </c>
      <c r="I3431" s="5" t="str">
        <f t="shared" si="404"/>
        <v>016</v>
      </c>
      <c r="J3431" s="5" t="str">
        <f t="shared" si="405"/>
        <v>2100</v>
      </c>
      <c r="K3431" s="5" t="str">
        <f t="shared" si="406"/>
        <v>000</v>
      </c>
      <c r="L3431" s="5">
        <f t="shared" si="407"/>
        <v>8</v>
      </c>
      <c r="M3431" s="5">
        <f t="shared" si="408"/>
        <v>2012</v>
      </c>
    </row>
    <row r="3432" spans="1:13" ht="17.45" customHeight="1" x14ac:dyDescent="0.25">
      <c r="A3432" s="1">
        <f>DATE(2012,8,16)</f>
        <v>41137</v>
      </c>
      <c r="B3432" t="s">
        <v>12</v>
      </c>
      <c r="C3432" t="s">
        <v>8</v>
      </c>
      <c r="D3432" s="3">
        <v>1738.8150000000001</v>
      </c>
      <c r="E3432" s="3">
        <v>0</v>
      </c>
      <c r="F3432" t="s">
        <v>45</v>
      </c>
      <c r="G3432" s="3">
        <f t="shared" si="402"/>
        <v>-1738.8150000000001</v>
      </c>
      <c r="H3432" s="3">
        <f t="shared" si="403"/>
        <v>1738.8150000000001</v>
      </c>
      <c r="I3432" s="5" t="str">
        <f t="shared" si="404"/>
        <v>016</v>
      </c>
      <c r="J3432" s="5" t="str">
        <f t="shared" si="405"/>
        <v>2210</v>
      </c>
      <c r="K3432" s="5" t="str">
        <f t="shared" si="406"/>
        <v>000</v>
      </c>
      <c r="L3432" s="5">
        <f t="shared" si="407"/>
        <v>8</v>
      </c>
      <c r="M3432" s="5">
        <f t="shared" si="408"/>
        <v>2012</v>
      </c>
    </row>
    <row r="3433" spans="1:13" ht="17.45" customHeight="1" x14ac:dyDescent="0.25">
      <c r="A3433" s="1">
        <f>DATE(2012,8,16)</f>
        <v>41137</v>
      </c>
      <c r="B3433" t="s">
        <v>13</v>
      </c>
      <c r="C3433" t="s">
        <v>9</v>
      </c>
      <c r="D3433" s="3">
        <v>246.57599999999999</v>
      </c>
      <c r="E3433" s="3">
        <v>0</v>
      </c>
      <c r="F3433" t="s">
        <v>45</v>
      </c>
      <c r="G3433" s="3">
        <f t="shared" si="402"/>
        <v>-246.57599999999999</v>
      </c>
      <c r="H3433" s="3">
        <f t="shared" si="403"/>
        <v>246.57599999999999</v>
      </c>
      <c r="I3433" s="5" t="str">
        <f t="shared" si="404"/>
        <v>016</v>
      </c>
      <c r="J3433" s="5" t="str">
        <f t="shared" si="405"/>
        <v>2220</v>
      </c>
      <c r="K3433" s="5" t="str">
        <f t="shared" si="406"/>
        <v>000</v>
      </c>
      <c r="L3433" s="5">
        <f t="shared" si="407"/>
        <v>8</v>
      </c>
      <c r="M3433" s="5">
        <f t="shared" si="408"/>
        <v>2012</v>
      </c>
    </row>
    <row r="3434" spans="1:13" ht="17.45" customHeight="1" x14ac:dyDescent="0.25">
      <c r="A3434" s="1">
        <f>DATE(2012,8,16)</f>
        <v>41137</v>
      </c>
      <c r="B3434" t="s">
        <v>14</v>
      </c>
      <c r="C3434" t="s">
        <v>10</v>
      </c>
      <c r="D3434" s="3">
        <v>103.791</v>
      </c>
      <c r="E3434" s="3">
        <v>0</v>
      </c>
      <c r="F3434" t="s">
        <v>45</v>
      </c>
      <c r="G3434" s="3">
        <f t="shared" si="402"/>
        <v>-103.791</v>
      </c>
      <c r="H3434" s="3">
        <f t="shared" si="403"/>
        <v>103.791</v>
      </c>
      <c r="I3434" s="5" t="str">
        <f t="shared" si="404"/>
        <v>016</v>
      </c>
      <c r="J3434" s="5" t="str">
        <f t="shared" si="405"/>
        <v>2230</v>
      </c>
      <c r="K3434" s="5" t="str">
        <f t="shared" si="406"/>
        <v>000</v>
      </c>
      <c r="L3434" s="5">
        <f t="shared" si="407"/>
        <v>8</v>
      </c>
      <c r="M3434" s="5">
        <f t="shared" si="408"/>
        <v>2012</v>
      </c>
    </row>
    <row r="3435" spans="1:13" ht="17.45" customHeight="1" x14ac:dyDescent="0.25">
      <c r="A3435" s="1">
        <f>DATE(2012,8,17)</f>
        <v>41138</v>
      </c>
      <c r="B3435" t="s">
        <v>11</v>
      </c>
      <c r="C3435" t="s">
        <v>6</v>
      </c>
      <c r="D3435" s="3">
        <v>6646.6781999999994</v>
      </c>
      <c r="E3435" s="3">
        <v>0</v>
      </c>
      <c r="F3435" t="s">
        <v>45</v>
      </c>
      <c r="G3435" s="3">
        <f t="shared" si="402"/>
        <v>-6646.6781999999994</v>
      </c>
      <c r="H3435" s="3">
        <f t="shared" si="403"/>
        <v>6646.6781999999994</v>
      </c>
      <c r="I3435" s="5" t="str">
        <f t="shared" si="404"/>
        <v>016</v>
      </c>
      <c r="J3435" s="5" t="str">
        <f t="shared" si="405"/>
        <v>2100</v>
      </c>
      <c r="K3435" s="5" t="str">
        <f t="shared" si="406"/>
        <v>000</v>
      </c>
      <c r="L3435" s="5">
        <f t="shared" si="407"/>
        <v>8</v>
      </c>
      <c r="M3435" s="5">
        <f t="shared" si="408"/>
        <v>2012</v>
      </c>
    </row>
    <row r="3436" spans="1:13" ht="17.45" customHeight="1" x14ac:dyDescent="0.25">
      <c r="A3436" s="1">
        <f>DATE(2012,8,17)</f>
        <v>41138</v>
      </c>
      <c r="B3436" t="s">
        <v>12</v>
      </c>
      <c r="C3436" t="s">
        <v>8</v>
      </c>
      <c r="D3436" s="3">
        <v>2007.48</v>
      </c>
      <c r="E3436" s="3">
        <v>0</v>
      </c>
      <c r="F3436" t="s">
        <v>45</v>
      </c>
      <c r="G3436" s="3">
        <f t="shared" si="402"/>
        <v>-2007.48</v>
      </c>
      <c r="H3436" s="3">
        <f t="shared" si="403"/>
        <v>2007.48</v>
      </c>
      <c r="I3436" s="5" t="str">
        <f t="shared" si="404"/>
        <v>016</v>
      </c>
      <c r="J3436" s="5" t="str">
        <f t="shared" si="405"/>
        <v>2210</v>
      </c>
      <c r="K3436" s="5" t="str">
        <f t="shared" si="406"/>
        <v>000</v>
      </c>
      <c r="L3436" s="5">
        <f t="shared" si="407"/>
        <v>8</v>
      </c>
      <c r="M3436" s="5">
        <f t="shared" si="408"/>
        <v>2012</v>
      </c>
    </row>
    <row r="3437" spans="1:13" ht="17.45" customHeight="1" x14ac:dyDescent="0.25">
      <c r="A3437" s="1">
        <f>DATE(2012,8,17)</f>
        <v>41138</v>
      </c>
      <c r="B3437" t="s">
        <v>13</v>
      </c>
      <c r="C3437" t="s">
        <v>9</v>
      </c>
      <c r="D3437" s="3">
        <v>276.13799999999998</v>
      </c>
      <c r="E3437" s="3">
        <v>0</v>
      </c>
      <c r="F3437" t="s">
        <v>45</v>
      </c>
      <c r="G3437" s="3">
        <f t="shared" si="402"/>
        <v>-276.13799999999998</v>
      </c>
      <c r="H3437" s="3">
        <f t="shared" si="403"/>
        <v>276.13799999999998</v>
      </c>
      <c r="I3437" s="5" t="str">
        <f t="shared" si="404"/>
        <v>016</v>
      </c>
      <c r="J3437" s="5" t="str">
        <f t="shared" si="405"/>
        <v>2220</v>
      </c>
      <c r="K3437" s="5" t="str">
        <f t="shared" si="406"/>
        <v>000</v>
      </c>
      <c r="L3437" s="5">
        <f t="shared" si="407"/>
        <v>8</v>
      </c>
      <c r="M3437" s="5">
        <f t="shared" si="408"/>
        <v>2012</v>
      </c>
    </row>
    <row r="3438" spans="1:13" ht="17.45" customHeight="1" x14ac:dyDescent="0.25">
      <c r="A3438" s="1">
        <f>DATE(2012,8,17)</f>
        <v>41138</v>
      </c>
      <c r="B3438" t="s">
        <v>14</v>
      </c>
      <c r="C3438" t="s">
        <v>10</v>
      </c>
      <c r="D3438" s="3">
        <v>89.662499999999994</v>
      </c>
      <c r="E3438" s="3">
        <v>0</v>
      </c>
      <c r="F3438" t="s">
        <v>45</v>
      </c>
      <c r="G3438" s="3">
        <f t="shared" si="402"/>
        <v>-89.662499999999994</v>
      </c>
      <c r="H3438" s="3">
        <f t="shared" si="403"/>
        <v>89.662499999999994</v>
      </c>
      <c r="I3438" s="5" t="str">
        <f t="shared" si="404"/>
        <v>016</v>
      </c>
      <c r="J3438" s="5" t="str">
        <f t="shared" si="405"/>
        <v>2230</v>
      </c>
      <c r="K3438" s="5" t="str">
        <f t="shared" si="406"/>
        <v>000</v>
      </c>
      <c r="L3438" s="5">
        <f t="shared" si="407"/>
        <v>8</v>
      </c>
      <c r="M3438" s="5">
        <f t="shared" si="408"/>
        <v>2012</v>
      </c>
    </row>
    <row r="3439" spans="1:13" ht="17.45" customHeight="1" x14ac:dyDescent="0.25">
      <c r="A3439" s="1">
        <f>DATE(2012,8,18)</f>
        <v>41139</v>
      </c>
      <c r="B3439" t="s">
        <v>11</v>
      </c>
      <c r="C3439" t="s">
        <v>6</v>
      </c>
      <c r="D3439" s="3">
        <v>5853.2025000000003</v>
      </c>
      <c r="E3439" s="3">
        <v>0</v>
      </c>
      <c r="F3439" t="s">
        <v>45</v>
      </c>
      <c r="G3439" s="3">
        <f t="shared" si="402"/>
        <v>-5853.2025000000003</v>
      </c>
      <c r="H3439" s="3">
        <f t="shared" si="403"/>
        <v>5853.2025000000003</v>
      </c>
      <c r="I3439" s="5" t="str">
        <f t="shared" si="404"/>
        <v>016</v>
      </c>
      <c r="J3439" s="5" t="str">
        <f t="shared" si="405"/>
        <v>2100</v>
      </c>
      <c r="K3439" s="5" t="str">
        <f t="shared" si="406"/>
        <v>000</v>
      </c>
      <c r="L3439" s="5">
        <f t="shared" si="407"/>
        <v>8</v>
      </c>
      <c r="M3439" s="5">
        <f t="shared" si="408"/>
        <v>2012</v>
      </c>
    </row>
    <row r="3440" spans="1:13" ht="17.45" customHeight="1" x14ac:dyDescent="0.25">
      <c r="A3440" s="1">
        <f>DATE(2012,8,18)</f>
        <v>41139</v>
      </c>
      <c r="B3440" t="s">
        <v>12</v>
      </c>
      <c r="C3440" t="s">
        <v>8</v>
      </c>
      <c r="D3440" s="3">
        <v>1669.068</v>
      </c>
      <c r="E3440" s="3">
        <v>0</v>
      </c>
      <c r="F3440" t="s">
        <v>45</v>
      </c>
      <c r="G3440" s="3">
        <f t="shared" si="402"/>
        <v>-1669.068</v>
      </c>
      <c r="H3440" s="3">
        <f t="shared" si="403"/>
        <v>1669.068</v>
      </c>
      <c r="I3440" s="5" t="str">
        <f t="shared" si="404"/>
        <v>016</v>
      </c>
      <c r="J3440" s="5" t="str">
        <f t="shared" si="405"/>
        <v>2210</v>
      </c>
      <c r="K3440" s="5" t="str">
        <f t="shared" si="406"/>
        <v>000</v>
      </c>
      <c r="L3440" s="5">
        <f t="shared" si="407"/>
        <v>8</v>
      </c>
      <c r="M3440" s="5">
        <f t="shared" si="408"/>
        <v>2012</v>
      </c>
    </row>
    <row r="3441" spans="1:13" ht="17.45" customHeight="1" x14ac:dyDescent="0.25">
      <c r="A3441" s="1">
        <f>DATE(2012,8,18)</f>
        <v>41139</v>
      </c>
      <c r="B3441" t="s">
        <v>13</v>
      </c>
      <c r="C3441" t="s">
        <v>9</v>
      </c>
      <c r="D3441" s="3">
        <v>210.33</v>
      </c>
      <c r="E3441" s="3">
        <v>0</v>
      </c>
      <c r="F3441" t="s">
        <v>45</v>
      </c>
      <c r="G3441" s="3">
        <f t="shared" si="402"/>
        <v>-210.33</v>
      </c>
      <c r="H3441" s="3">
        <f t="shared" si="403"/>
        <v>210.33</v>
      </c>
      <c r="I3441" s="5" t="str">
        <f t="shared" si="404"/>
        <v>016</v>
      </c>
      <c r="J3441" s="5" t="str">
        <f t="shared" si="405"/>
        <v>2220</v>
      </c>
      <c r="K3441" s="5" t="str">
        <f t="shared" si="406"/>
        <v>000</v>
      </c>
      <c r="L3441" s="5">
        <f t="shared" si="407"/>
        <v>8</v>
      </c>
      <c r="M3441" s="5">
        <f t="shared" si="408"/>
        <v>2012</v>
      </c>
    </row>
    <row r="3442" spans="1:13" ht="17.45" customHeight="1" x14ac:dyDescent="0.25">
      <c r="A3442" s="1">
        <f>DATE(2012,8,18)</f>
        <v>41139</v>
      </c>
      <c r="B3442" t="s">
        <v>14</v>
      </c>
      <c r="C3442" t="s">
        <v>10</v>
      </c>
      <c r="D3442" s="3">
        <v>69.45</v>
      </c>
      <c r="E3442" s="3">
        <v>0</v>
      </c>
      <c r="F3442" t="s">
        <v>45</v>
      </c>
      <c r="G3442" s="3">
        <f t="shared" si="402"/>
        <v>-69.45</v>
      </c>
      <c r="H3442" s="3">
        <f t="shared" si="403"/>
        <v>69.45</v>
      </c>
      <c r="I3442" s="5" t="str">
        <f t="shared" si="404"/>
        <v>016</v>
      </c>
      <c r="J3442" s="5" t="str">
        <f t="shared" si="405"/>
        <v>2230</v>
      </c>
      <c r="K3442" s="5" t="str">
        <f t="shared" si="406"/>
        <v>000</v>
      </c>
      <c r="L3442" s="5">
        <f t="shared" si="407"/>
        <v>8</v>
      </c>
      <c r="M3442" s="5">
        <f t="shared" si="408"/>
        <v>2012</v>
      </c>
    </row>
    <row r="3443" spans="1:13" ht="17.45" customHeight="1" x14ac:dyDescent="0.25">
      <c r="A3443" s="1">
        <f>DATE(2012,8,19)</f>
        <v>41140</v>
      </c>
      <c r="B3443" t="s">
        <v>11</v>
      </c>
      <c r="C3443" t="s">
        <v>6</v>
      </c>
      <c r="D3443" s="3">
        <v>5909.6400999999996</v>
      </c>
      <c r="E3443" s="3">
        <v>0</v>
      </c>
      <c r="F3443" t="s">
        <v>45</v>
      </c>
      <c r="G3443" s="3">
        <f t="shared" si="402"/>
        <v>-5909.6400999999996</v>
      </c>
      <c r="H3443" s="3">
        <f t="shared" si="403"/>
        <v>5909.6400999999996</v>
      </c>
      <c r="I3443" s="5" t="str">
        <f t="shared" si="404"/>
        <v>016</v>
      </c>
      <c r="J3443" s="5" t="str">
        <f t="shared" si="405"/>
        <v>2100</v>
      </c>
      <c r="K3443" s="5" t="str">
        <f t="shared" si="406"/>
        <v>000</v>
      </c>
      <c r="L3443" s="5">
        <f t="shared" si="407"/>
        <v>8</v>
      </c>
      <c r="M3443" s="5">
        <f t="shared" si="408"/>
        <v>2012</v>
      </c>
    </row>
    <row r="3444" spans="1:13" ht="17.45" customHeight="1" x14ac:dyDescent="0.25">
      <c r="A3444" s="1">
        <f>DATE(2012,8,19)</f>
        <v>41140</v>
      </c>
      <c r="B3444" t="s">
        <v>12</v>
      </c>
      <c r="C3444" t="s">
        <v>8</v>
      </c>
      <c r="D3444" s="3">
        <v>1150.7650000000001</v>
      </c>
      <c r="E3444" s="3">
        <v>0</v>
      </c>
      <c r="F3444" t="s">
        <v>45</v>
      </c>
      <c r="G3444" s="3">
        <f t="shared" si="402"/>
        <v>-1150.7650000000001</v>
      </c>
      <c r="H3444" s="3">
        <f t="shared" si="403"/>
        <v>1150.7650000000001</v>
      </c>
      <c r="I3444" s="5" t="str">
        <f t="shared" si="404"/>
        <v>016</v>
      </c>
      <c r="J3444" s="5" t="str">
        <f t="shared" si="405"/>
        <v>2210</v>
      </c>
      <c r="K3444" s="5" t="str">
        <f t="shared" si="406"/>
        <v>000</v>
      </c>
      <c r="L3444" s="5">
        <f t="shared" si="407"/>
        <v>8</v>
      </c>
      <c r="M3444" s="5">
        <f t="shared" si="408"/>
        <v>2012</v>
      </c>
    </row>
    <row r="3445" spans="1:13" ht="17.45" customHeight="1" x14ac:dyDescent="0.25">
      <c r="A3445" s="1">
        <f>DATE(2012,8,19)</f>
        <v>41140</v>
      </c>
      <c r="B3445" t="s">
        <v>13</v>
      </c>
      <c r="C3445" t="s">
        <v>9</v>
      </c>
      <c r="D3445" s="3">
        <v>258.78149999999999</v>
      </c>
      <c r="E3445" s="3">
        <v>0</v>
      </c>
      <c r="F3445" t="s">
        <v>45</v>
      </c>
      <c r="G3445" s="3">
        <f t="shared" si="402"/>
        <v>-258.78149999999999</v>
      </c>
      <c r="H3445" s="3">
        <f t="shared" si="403"/>
        <v>258.78149999999999</v>
      </c>
      <c r="I3445" s="5" t="str">
        <f t="shared" si="404"/>
        <v>016</v>
      </c>
      <c r="J3445" s="5" t="str">
        <f t="shared" si="405"/>
        <v>2220</v>
      </c>
      <c r="K3445" s="5" t="str">
        <f t="shared" si="406"/>
        <v>000</v>
      </c>
      <c r="L3445" s="5">
        <f t="shared" si="407"/>
        <v>8</v>
      </c>
      <c r="M3445" s="5">
        <f t="shared" si="408"/>
        <v>2012</v>
      </c>
    </row>
    <row r="3446" spans="1:13" ht="17.45" customHeight="1" x14ac:dyDescent="0.25">
      <c r="A3446" s="1">
        <f>DATE(2012,8,19)</f>
        <v>41140</v>
      </c>
      <c r="B3446" t="s">
        <v>14</v>
      </c>
      <c r="C3446" t="s">
        <v>10</v>
      </c>
      <c r="D3446" s="3">
        <v>38.556000000000004</v>
      </c>
      <c r="E3446" s="3">
        <v>0</v>
      </c>
      <c r="F3446" t="s">
        <v>45</v>
      </c>
      <c r="G3446" s="3">
        <f t="shared" si="402"/>
        <v>-38.556000000000004</v>
      </c>
      <c r="H3446" s="3">
        <f t="shared" si="403"/>
        <v>38.556000000000004</v>
      </c>
      <c r="I3446" s="5" t="str">
        <f t="shared" si="404"/>
        <v>016</v>
      </c>
      <c r="J3446" s="5" t="str">
        <f t="shared" si="405"/>
        <v>2230</v>
      </c>
      <c r="K3446" s="5" t="str">
        <f t="shared" si="406"/>
        <v>000</v>
      </c>
      <c r="L3446" s="5">
        <f t="shared" si="407"/>
        <v>8</v>
      </c>
      <c r="M3446" s="5">
        <f t="shared" si="408"/>
        <v>2012</v>
      </c>
    </row>
    <row r="3447" spans="1:13" ht="17.45" customHeight="1" x14ac:dyDescent="0.25">
      <c r="A3447" s="1">
        <f>DATE(2012,8,13)</f>
        <v>41134</v>
      </c>
      <c r="B3447" t="s">
        <v>15</v>
      </c>
      <c r="C3447" t="s">
        <v>6</v>
      </c>
      <c r="D3447" s="3">
        <v>3159.4626000000003</v>
      </c>
      <c r="E3447" s="3">
        <v>0</v>
      </c>
      <c r="F3447" t="s">
        <v>45</v>
      </c>
      <c r="G3447" s="3">
        <f t="shared" si="402"/>
        <v>-3159.4626000000003</v>
      </c>
      <c r="H3447" s="3">
        <f t="shared" si="403"/>
        <v>3159.4626000000003</v>
      </c>
      <c r="I3447" s="5" t="str">
        <f t="shared" si="404"/>
        <v>017</v>
      </c>
      <c r="J3447" s="5" t="str">
        <f t="shared" si="405"/>
        <v>2100</v>
      </c>
      <c r="K3447" s="5" t="str">
        <f t="shared" si="406"/>
        <v>000</v>
      </c>
      <c r="L3447" s="5">
        <f t="shared" si="407"/>
        <v>8</v>
      </c>
      <c r="M3447" s="5">
        <f t="shared" si="408"/>
        <v>2012</v>
      </c>
    </row>
    <row r="3448" spans="1:13" ht="17.45" customHeight="1" x14ac:dyDescent="0.25">
      <c r="A3448" s="1">
        <f>DATE(2012,8,13)</f>
        <v>41134</v>
      </c>
      <c r="B3448" t="s">
        <v>16</v>
      </c>
      <c r="C3448" t="s">
        <v>8</v>
      </c>
      <c r="D3448" s="3">
        <v>749.67200000000003</v>
      </c>
      <c r="E3448" s="3">
        <v>0</v>
      </c>
      <c r="F3448" t="s">
        <v>45</v>
      </c>
      <c r="G3448" s="3">
        <f t="shared" si="402"/>
        <v>-749.67200000000003</v>
      </c>
      <c r="H3448" s="3">
        <f t="shared" si="403"/>
        <v>749.67200000000003</v>
      </c>
      <c r="I3448" s="5" t="str">
        <f t="shared" si="404"/>
        <v>017</v>
      </c>
      <c r="J3448" s="5" t="str">
        <f t="shared" si="405"/>
        <v>2210</v>
      </c>
      <c r="K3448" s="5" t="str">
        <f t="shared" si="406"/>
        <v>000</v>
      </c>
      <c r="L3448" s="5">
        <f t="shared" si="407"/>
        <v>8</v>
      </c>
      <c r="M3448" s="5">
        <f t="shared" si="408"/>
        <v>2012</v>
      </c>
    </row>
    <row r="3449" spans="1:13" ht="17.45" customHeight="1" x14ac:dyDescent="0.25">
      <c r="A3449" s="1">
        <f>DATE(2012,8,13)</f>
        <v>41134</v>
      </c>
      <c r="B3449" t="s">
        <v>17</v>
      </c>
      <c r="C3449" t="s">
        <v>9</v>
      </c>
      <c r="D3449" s="3">
        <v>209.02</v>
      </c>
      <c r="E3449" s="3">
        <v>0</v>
      </c>
      <c r="F3449" t="s">
        <v>45</v>
      </c>
      <c r="G3449" s="3">
        <f t="shared" si="402"/>
        <v>-209.02</v>
      </c>
      <c r="H3449" s="3">
        <f t="shared" si="403"/>
        <v>209.02</v>
      </c>
      <c r="I3449" s="5" t="str">
        <f t="shared" si="404"/>
        <v>017</v>
      </c>
      <c r="J3449" s="5" t="str">
        <f t="shared" si="405"/>
        <v>2220</v>
      </c>
      <c r="K3449" s="5" t="str">
        <f t="shared" si="406"/>
        <v>000</v>
      </c>
      <c r="L3449" s="5">
        <f t="shared" si="407"/>
        <v>8</v>
      </c>
      <c r="M3449" s="5">
        <f t="shared" si="408"/>
        <v>2012</v>
      </c>
    </row>
    <row r="3450" spans="1:13" ht="17.45" customHeight="1" x14ac:dyDescent="0.25">
      <c r="A3450" s="1">
        <f>DATE(2012,8,13)</f>
        <v>41134</v>
      </c>
      <c r="B3450" t="s">
        <v>18</v>
      </c>
      <c r="C3450" t="s">
        <v>10</v>
      </c>
      <c r="D3450" s="3">
        <v>34.125</v>
      </c>
      <c r="E3450" s="3">
        <v>0</v>
      </c>
      <c r="F3450" t="s">
        <v>45</v>
      </c>
      <c r="G3450" s="3">
        <f t="shared" si="402"/>
        <v>-34.125</v>
      </c>
      <c r="H3450" s="3">
        <f t="shared" si="403"/>
        <v>34.125</v>
      </c>
      <c r="I3450" s="5" t="str">
        <f t="shared" si="404"/>
        <v>017</v>
      </c>
      <c r="J3450" s="5" t="str">
        <f t="shared" si="405"/>
        <v>2230</v>
      </c>
      <c r="K3450" s="5" t="str">
        <f t="shared" si="406"/>
        <v>000</v>
      </c>
      <c r="L3450" s="5">
        <f t="shared" si="407"/>
        <v>8</v>
      </c>
      <c r="M3450" s="5">
        <f t="shared" si="408"/>
        <v>2012</v>
      </c>
    </row>
    <row r="3451" spans="1:13" ht="17.45" customHeight="1" x14ac:dyDescent="0.25">
      <c r="A3451" s="1">
        <f>DATE(2012,8,14)</f>
        <v>41135</v>
      </c>
      <c r="B3451" t="s">
        <v>15</v>
      </c>
      <c r="C3451" t="s">
        <v>6</v>
      </c>
      <c r="D3451" s="3">
        <v>5734.085</v>
      </c>
      <c r="E3451" s="3">
        <v>0</v>
      </c>
      <c r="F3451" t="s">
        <v>45</v>
      </c>
      <c r="G3451" s="3">
        <f t="shared" si="402"/>
        <v>-5734.085</v>
      </c>
      <c r="H3451" s="3">
        <f t="shared" si="403"/>
        <v>5734.085</v>
      </c>
      <c r="I3451" s="5" t="str">
        <f t="shared" si="404"/>
        <v>017</v>
      </c>
      <c r="J3451" s="5" t="str">
        <f t="shared" si="405"/>
        <v>2100</v>
      </c>
      <c r="K3451" s="5" t="str">
        <f t="shared" si="406"/>
        <v>000</v>
      </c>
      <c r="L3451" s="5">
        <f t="shared" si="407"/>
        <v>8</v>
      </c>
      <c r="M3451" s="5">
        <f t="shared" si="408"/>
        <v>2012</v>
      </c>
    </row>
    <row r="3452" spans="1:13" ht="17.45" customHeight="1" x14ac:dyDescent="0.25">
      <c r="A3452" s="1">
        <f>DATE(2012,8,14)</f>
        <v>41135</v>
      </c>
      <c r="B3452" t="s">
        <v>16</v>
      </c>
      <c r="C3452" t="s">
        <v>8</v>
      </c>
      <c r="D3452" s="3">
        <v>2144.6999999999998</v>
      </c>
      <c r="E3452" s="3">
        <v>0</v>
      </c>
      <c r="F3452" t="s">
        <v>45</v>
      </c>
      <c r="G3452" s="3">
        <f t="shared" si="402"/>
        <v>-2144.6999999999998</v>
      </c>
      <c r="H3452" s="3">
        <f t="shared" si="403"/>
        <v>2144.6999999999998</v>
      </c>
      <c r="I3452" s="5" t="str">
        <f t="shared" si="404"/>
        <v>017</v>
      </c>
      <c r="J3452" s="5" t="str">
        <f t="shared" si="405"/>
        <v>2210</v>
      </c>
      <c r="K3452" s="5" t="str">
        <f t="shared" si="406"/>
        <v>000</v>
      </c>
      <c r="L3452" s="5">
        <f t="shared" si="407"/>
        <v>8</v>
      </c>
      <c r="M3452" s="5">
        <f t="shared" si="408"/>
        <v>2012</v>
      </c>
    </row>
    <row r="3453" spans="1:13" ht="17.45" customHeight="1" x14ac:dyDescent="0.25">
      <c r="A3453" s="1">
        <f>DATE(2012,8,14)</f>
        <v>41135</v>
      </c>
      <c r="B3453" t="s">
        <v>17</v>
      </c>
      <c r="C3453" t="s">
        <v>9</v>
      </c>
      <c r="D3453" s="3">
        <v>625.6</v>
      </c>
      <c r="E3453" s="3">
        <v>0</v>
      </c>
      <c r="F3453" t="s">
        <v>45</v>
      </c>
      <c r="G3453" s="3">
        <f t="shared" si="402"/>
        <v>-625.6</v>
      </c>
      <c r="H3453" s="3">
        <f t="shared" si="403"/>
        <v>625.6</v>
      </c>
      <c r="I3453" s="5" t="str">
        <f t="shared" si="404"/>
        <v>017</v>
      </c>
      <c r="J3453" s="5" t="str">
        <f t="shared" si="405"/>
        <v>2220</v>
      </c>
      <c r="K3453" s="5" t="str">
        <f t="shared" si="406"/>
        <v>000</v>
      </c>
      <c r="L3453" s="5">
        <f t="shared" si="407"/>
        <v>8</v>
      </c>
      <c r="M3453" s="5">
        <f t="shared" si="408"/>
        <v>2012</v>
      </c>
    </row>
    <row r="3454" spans="1:13" ht="17.45" customHeight="1" x14ac:dyDescent="0.25">
      <c r="A3454" s="1">
        <f>DATE(2012,8,14)</f>
        <v>41135</v>
      </c>
      <c r="B3454" t="s">
        <v>18</v>
      </c>
      <c r="C3454" t="s">
        <v>10</v>
      </c>
      <c r="D3454" s="3">
        <v>374.09850000000006</v>
      </c>
      <c r="E3454" s="3">
        <v>0</v>
      </c>
      <c r="F3454" t="s">
        <v>45</v>
      </c>
      <c r="G3454" s="3">
        <f t="shared" si="402"/>
        <v>-374.09850000000006</v>
      </c>
      <c r="H3454" s="3">
        <f t="shared" si="403"/>
        <v>374.09850000000006</v>
      </c>
      <c r="I3454" s="5" t="str">
        <f t="shared" si="404"/>
        <v>017</v>
      </c>
      <c r="J3454" s="5" t="str">
        <f t="shared" si="405"/>
        <v>2230</v>
      </c>
      <c r="K3454" s="5" t="str">
        <f t="shared" si="406"/>
        <v>000</v>
      </c>
      <c r="L3454" s="5">
        <f t="shared" si="407"/>
        <v>8</v>
      </c>
      <c r="M3454" s="5">
        <f t="shared" si="408"/>
        <v>2012</v>
      </c>
    </row>
    <row r="3455" spans="1:13" ht="17.45" customHeight="1" x14ac:dyDescent="0.25">
      <c r="A3455" s="1">
        <f>DATE(2012,8,15)</f>
        <v>41136</v>
      </c>
      <c r="B3455" t="s">
        <v>15</v>
      </c>
      <c r="C3455" t="s">
        <v>6</v>
      </c>
      <c r="D3455" s="3">
        <v>6525.0612000000001</v>
      </c>
      <c r="E3455" s="3">
        <v>0</v>
      </c>
      <c r="F3455" t="s">
        <v>45</v>
      </c>
      <c r="G3455" s="3">
        <f t="shared" si="402"/>
        <v>-6525.0612000000001</v>
      </c>
      <c r="H3455" s="3">
        <f t="shared" si="403"/>
        <v>6525.0612000000001</v>
      </c>
      <c r="I3455" s="5" t="str">
        <f t="shared" si="404"/>
        <v>017</v>
      </c>
      <c r="J3455" s="5" t="str">
        <f t="shared" si="405"/>
        <v>2100</v>
      </c>
      <c r="K3455" s="5" t="str">
        <f t="shared" si="406"/>
        <v>000</v>
      </c>
      <c r="L3455" s="5">
        <f t="shared" si="407"/>
        <v>8</v>
      </c>
      <c r="M3455" s="5">
        <f t="shared" si="408"/>
        <v>2012</v>
      </c>
    </row>
    <row r="3456" spans="1:13" ht="17.45" customHeight="1" x14ac:dyDescent="0.25">
      <c r="A3456" s="1">
        <f>DATE(2012,8,15)</f>
        <v>41136</v>
      </c>
      <c r="B3456" t="s">
        <v>16</v>
      </c>
      <c r="C3456" t="s">
        <v>8</v>
      </c>
      <c r="D3456" s="3">
        <v>2069.6879999999996</v>
      </c>
      <c r="E3456" s="3">
        <v>0</v>
      </c>
      <c r="F3456" t="s">
        <v>45</v>
      </c>
      <c r="G3456" s="3">
        <f t="shared" si="402"/>
        <v>-2069.6879999999996</v>
      </c>
      <c r="H3456" s="3">
        <f t="shared" si="403"/>
        <v>2069.6879999999996</v>
      </c>
      <c r="I3456" s="5" t="str">
        <f t="shared" si="404"/>
        <v>017</v>
      </c>
      <c r="J3456" s="5" t="str">
        <f t="shared" si="405"/>
        <v>2210</v>
      </c>
      <c r="K3456" s="5" t="str">
        <f t="shared" si="406"/>
        <v>000</v>
      </c>
      <c r="L3456" s="5">
        <f t="shared" si="407"/>
        <v>8</v>
      </c>
      <c r="M3456" s="5">
        <f t="shared" si="408"/>
        <v>2012</v>
      </c>
    </row>
    <row r="3457" spans="1:13" ht="17.45" customHeight="1" x14ac:dyDescent="0.25">
      <c r="A3457" s="1">
        <f>DATE(2012,8,15)</f>
        <v>41136</v>
      </c>
      <c r="B3457" t="s">
        <v>17</v>
      </c>
      <c r="C3457" t="s">
        <v>9</v>
      </c>
      <c r="D3457" s="3">
        <v>436.38000000000005</v>
      </c>
      <c r="E3457" s="3">
        <v>0</v>
      </c>
      <c r="F3457" t="s">
        <v>45</v>
      </c>
      <c r="G3457" s="3">
        <f t="shared" si="402"/>
        <v>-436.38000000000005</v>
      </c>
      <c r="H3457" s="3">
        <f t="shared" si="403"/>
        <v>436.38000000000005</v>
      </c>
      <c r="I3457" s="5" t="str">
        <f t="shared" si="404"/>
        <v>017</v>
      </c>
      <c r="J3457" s="5" t="str">
        <f t="shared" si="405"/>
        <v>2220</v>
      </c>
      <c r="K3457" s="5" t="str">
        <f t="shared" si="406"/>
        <v>000</v>
      </c>
      <c r="L3457" s="5">
        <f t="shared" si="407"/>
        <v>8</v>
      </c>
      <c r="M3457" s="5">
        <f t="shared" si="408"/>
        <v>2012</v>
      </c>
    </row>
    <row r="3458" spans="1:13" ht="17.45" customHeight="1" x14ac:dyDescent="0.25">
      <c r="A3458" s="1">
        <f>DATE(2012,8,15)</f>
        <v>41136</v>
      </c>
      <c r="B3458" t="s">
        <v>18</v>
      </c>
      <c r="C3458" t="s">
        <v>10</v>
      </c>
      <c r="D3458" s="3">
        <v>180.726</v>
      </c>
      <c r="E3458" s="3">
        <v>0</v>
      </c>
      <c r="F3458" t="s">
        <v>45</v>
      </c>
      <c r="G3458" s="3">
        <f t="shared" ref="G3458:G3521" si="409">E3458-D3458</f>
        <v>-180.726</v>
      </c>
      <c r="H3458" s="3">
        <f t="shared" ref="H3458:H3521" si="410">ABS(G3458)</f>
        <v>180.726</v>
      </c>
      <c r="I3458" s="5" t="str">
        <f t="shared" ref="I3458:I3521" si="411">MID(B3458,1,3)</f>
        <v>017</v>
      </c>
      <c r="J3458" s="5" t="str">
        <f t="shared" ref="J3458:J3521" si="412">MID(B3458,5,4)</f>
        <v>2230</v>
      </c>
      <c r="K3458" s="5" t="str">
        <f t="shared" ref="K3458:K3521" si="413">MID(B3458,10,3)</f>
        <v>000</v>
      </c>
      <c r="L3458" s="5">
        <f t="shared" ref="L3458:L3521" si="414">MONTH(A3458)</f>
        <v>8</v>
      </c>
      <c r="M3458" s="5">
        <f t="shared" ref="M3458:M3521" si="415">YEAR(A3458)</f>
        <v>2012</v>
      </c>
    </row>
    <row r="3459" spans="1:13" ht="17.45" customHeight="1" x14ac:dyDescent="0.25">
      <c r="A3459" s="1">
        <f>DATE(2012,8,16)</f>
        <v>41137</v>
      </c>
      <c r="B3459" t="s">
        <v>15</v>
      </c>
      <c r="C3459" t="s">
        <v>6</v>
      </c>
      <c r="D3459" s="3">
        <v>5008.25</v>
      </c>
      <c r="E3459" s="3">
        <v>0</v>
      </c>
      <c r="F3459" t="s">
        <v>45</v>
      </c>
      <c r="G3459" s="3">
        <f t="shared" si="409"/>
        <v>-5008.25</v>
      </c>
      <c r="H3459" s="3">
        <f t="shared" si="410"/>
        <v>5008.25</v>
      </c>
      <c r="I3459" s="5" t="str">
        <f t="shared" si="411"/>
        <v>017</v>
      </c>
      <c r="J3459" s="5" t="str">
        <f t="shared" si="412"/>
        <v>2100</v>
      </c>
      <c r="K3459" s="5" t="str">
        <f t="shared" si="413"/>
        <v>000</v>
      </c>
      <c r="L3459" s="5">
        <f t="shared" si="414"/>
        <v>8</v>
      </c>
      <c r="M3459" s="5">
        <f t="shared" si="415"/>
        <v>2012</v>
      </c>
    </row>
    <row r="3460" spans="1:13" ht="17.45" customHeight="1" x14ac:dyDescent="0.25">
      <c r="A3460" s="1">
        <f>DATE(2012,8,16)</f>
        <v>41137</v>
      </c>
      <c r="B3460" t="s">
        <v>16</v>
      </c>
      <c r="C3460" t="s">
        <v>8</v>
      </c>
      <c r="D3460" s="3">
        <v>1656.18</v>
      </c>
      <c r="E3460" s="3">
        <v>0</v>
      </c>
      <c r="F3460" t="s">
        <v>45</v>
      </c>
      <c r="G3460" s="3">
        <f t="shared" si="409"/>
        <v>-1656.18</v>
      </c>
      <c r="H3460" s="3">
        <f t="shared" si="410"/>
        <v>1656.18</v>
      </c>
      <c r="I3460" s="5" t="str">
        <f t="shared" si="411"/>
        <v>017</v>
      </c>
      <c r="J3460" s="5" t="str">
        <f t="shared" si="412"/>
        <v>2210</v>
      </c>
      <c r="K3460" s="5" t="str">
        <f t="shared" si="413"/>
        <v>000</v>
      </c>
      <c r="L3460" s="5">
        <f t="shared" si="414"/>
        <v>8</v>
      </c>
      <c r="M3460" s="5">
        <f t="shared" si="415"/>
        <v>2012</v>
      </c>
    </row>
    <row r="3461" spans="1:13" ht="17.45" customHeight="1" x14ac:dyDescent="0.25">
      <c r="A3461" s="1">
        <f>DATE(2012,8,16)</f>
        <v>41137</v>
      </c>
      <c r="B3461" t="s">
        <v>17</v>
      </c>
      <c r="C3461" t="s">
        <v>9</v>
      </c>
      <c r="D3461" s="3">
        <v>420.53749999999997</v>
      </c>
      <c r="E3461" s="3">
        <v>0</v>
      </c>
      <c r="F3461" t="s">
        <v>45</v>
      </c>
      <c r="G3461" s="3">
        <f t="shared" si="409"/>
        <v>-420.53749999999997</v>
      </c>
      <c r="H3461" s="3">
        <f t="shared" si="410"/>
        <v>420.53749999999997</v>
      </c>
      <c r="I3461" s="5" t="str">
        <f t="shared" si="411"/>
        <v>017</v>
      </c>
      <c r="J3461" s="5" t="str">
        <f t="shared" si="412"/>
        <v>2220</v>
      </c>
      <c r="K3461" s="5" t="str">
        <f t="shared" si="413"/>
        <v>000</v>
      </c>
      <c r="L3461" s="5">
        <f t="shared" si="414"/>
        <v>8</v>
      </c>
      <c r="M3461" s="5">
        <f t="shared" si="415"/>
        <v>2012</v>
      </c>
    </row>
    <row r="3462" spans="1:13" ht="17.45" customHeight="1" x14ac:dyDescent="0.25">
      <c r="A3462" s="1">
        <f>DATE(2012,8,16)</f>
        <v>41137</v>
      </c>
      <c r="B3462" t="s">
        <v>18</v>
      </c>
      <c r="C3462" t="s">
        <v>10</v>
      </c>
      <c r="D3462" s="3">
        <v>45.827999999999996</v>
      </c>
      <c r="E3462" s="3">
        <v>0</v>
      </c>
      <c r="F3462" t="s">
        <v>45</v>
      </c>
      <c r="G3462" s="3">
        <f t="shared" si="409"/>
        <v>-45.827999999999996</v>
      </c>
      <c r="H3462" s="3">
        <f t="shared" si="410"/>
        <v>45.827999999999996</v>
      </c>
      <c r="I3462" s="5" t="str">
        <f t="shared" si="411"/>
        <v>017</v>
      </c>
      <c r="J3462" s="5" t="str">
        <f t="shared" si="412"/>
        <v>2230</v>
      </c>
      <c r="K3462" s="5" t="str">
        <f t="shared" si="413"/>
        <v>000</v>
      </c>
      <c r="L3462" s="5">
        <f t="shared" si="414"/>
        <v>8</v>
      </c>
      <c r="M3462" s="5">
        <f t="shared" si="415"/>
        <v>2012</v>
      </c>
    </row>
    <row r="3463" spans="1:13" ht="17.45" customHeight="1" x14ac:dyDescent="0.25">
      <c r="A3463" s="1">
        <f>DATE(2012,8,17)</f>
        <v>41138</v>
      </c>
      <c r="B3463" t="s">
        <v>15</v>
      </c>
      <c r="C3463" t="s">
        <v>6</v>
      </c>
      <c r="D3463" s="3">
        <v>6012.2535000000007</v>
      </c>
      <c r="E3463" s="3">
        <v>0</v>
      </c>
      <c r="F3463" t="s">
        <v>45</v>
      </c>
      <c r="G3463" s="3">
        <f t="shared" si="409"/>
        <v>-6012.2535000000007</v>
      </c>
      <c r="H3463" s="3">
        <f t="shared" si="410"/>
        <v>6012.2535000000007</v>
      </c>
      <c r="I3463" s="5" t="str">
        <f t="shared" si="411"/>
        <v>017</v>
      </c>
      <c r="J3463" s="5" t="str">
        <f t="shared" si="412"/>
        <v>2100</v>
      </c>
      <c r="K3463" s="5" t="str">
        <f t="shared" si="413"/>
        <v>000</v>
      </c>
      <c r="L3463" s="5">
        <f t="shared" si="414"/>
        <v>8</v>
      </c>
      <c r="M3463" s="5">
        <f t="shared" si="415"/>
        <v>2012</v>
      </c>
    </row>
    <row r="3464" spans="1:13" ht="17.45" customHeight="1" x14ac:dyDescent="0.25">
      <c r="A3464" s="1">
        <f>DATE(2012,8,17)</f>
        <v>41138</v>
      </c>
      <c r="B3464" t="s">
        <v>16</v>
      </c>
      <c r="C3464" t="s">
        <v>8</v>
      </c>
      <c r="D3464" s="3">
        <v>1906.2720000000002</v>
      </c>
      <c r="E3464" s="3">
        <v>0</v>
      </c>
      <c r="F3464" t="s">
        <v>45</v>
      </c>
      <c r="G3464" s="3">
        <f t="shared" si="409"/>
        <v>-1906.2720000000002</v>
      </c>
      <c r="H3464" s="3">
        <f t="shared" si="410"/>
        <v>1906.2720000000002</v>
      </c>
      <c r="I3464" s="5" t="str">
        <f t="shared" si="411"/>
        <v>017</v>
      </c>
      <c r="J3464" s="5" t="str">
        <f t="shared" si="412"/>
        <v>2210</v>
      </c>
      <c r="K3464" s="5" t="str">
        <f t="shared" si="413"/>
        <v>000</v>
      </c>
      <c r="L3464" s="5">
        <f t="shared" si="414"/>
        <v>8</v>
      </c>
      <c r="M3464" s="5">
        <f t="shared" si="415"/>
        <v>2012</v>
      </c>
    </row>
    <row r="3465" spans="1:13" ht="17.45" customHeight="1" x14ac:dyDescent="0.25">
      <c r="A3465" s="1">
        <f>DATE(2012,8,17)</f>
        <v>41138</v>
      </c>
      <c r="B3465" t="s">
        <v>17</v>
      </c>
      <c r="C3465" t="s">
        <v>9</v>
      </c>
      <c r="D3465" s="3">
        <v>478.55500000000001</v>
      </c>
      <c r="E3465" s="3">
        <v>0</v>
      </c>
      <c r="F3465" t="s">
        <v>45</v>
      </c>
      <c r="G3465" s="3">
        <f t="shared" si="409"/>
        <v>-478.55500000000001</v>
      </c>
      <c r="H3465" s="3">
        <f t="shared" si="410"/>
        <v>478.55500000000001</v>
      </c>
      <c r="I3465" s="5" t="str">
        <f t="shared" si="411"/>
        <v>017</v>
      </c>
      <c r="J3465" s="5" t="str">
        <f t="shared" si="412"/>
        <v>2220</v>
      </c>
      <c r="K3465" s="5" t="str">
        <f t="shared" si="413"/>
        <v>000</v>
      </c>
      <c r="L3465" s="5">
        <f t="shared" si="414"/>
        <v>8</v>
      </c>
      <c r="M3465" s="5">
        <f t="shared" si="415"/>
        <v>2012</v>
      </c>
    </row>
    <row r="3466" spans="1:13" ht="17.45" customHeight="1" x14ac:dyDescent="0.25">
      <c r="A3466" s="1">
        <f>DATE(2012,8,17)</f>
        <v>41138</v>
      </c>
      <c r="B3466" t="s">
        <v>18</v>
      </c>
      <c r="C3466" t="s">
        <v>10</v>
      </c>
      <c r="D3466" s="3">
        <v>109.34000000000002</v>
      </c>
      <c r="E3466" s="3">
        <v>0</v>
      </c>
      <c r="F3466" t="s">
        <v>45</v>
      </c>
      <c r="G3466" s="3">
        <f t="shared" si="409"/>
        <v>-109.34000000000002</v>
      </c>
      <c r="H3466" s="3">
        <f t="shared" si="410"/>
        <v>109.34000000000002</v>
      </c>
      <c r="I3466" s="5" t="str">
        <f t="shared" si="411"/>
        <v>017</v>
      </c>
      <c r="J3466" s="5" t="str">
        <f t="shared" si="412"/>
        <v>2230</v>
      </c>
      <c r="K3466" s="5" t="str">
        <f t="shared" si="413"/>
        <v>000</v>
      </c>
      <c r="L3466" s="5">
        <f t="shared" si="414"/>
        <v>8</v>
      </c>
      <c r="M3466" s="5">
        <f t="shared" si="415"/>
        <v>2012</v>
      </c>
    </row>
    <row r="3467" spans="1:13" ht="17.45" customHeight="1" x14ac:dyDescent="0.25">
      <c r="A3467" s="1">
        <f>DATE(2012,8,18)</f>
        <v>41139</v>
      </c>
      <c r="B3467" t="s">
        <v>15</v>
      </c>
      <c r="C3467" t="s">
        <v>6</v>
      </c>
      <c r="D3467" s="3">
        <v>5159.1819999999998</v>
      </c>
      <c r="E3467" s="3">
        <v>0</v>
      </c>
      <c r="F3467" t="s">
        <v>45</v>
      </c>
      <c r="G3467" s="3">
        <f t="shared" si="409"/>
        <v>-5159.1819999999998</v>
      </c>
      <c r="H3467" s="3">
        <f t="shared" si="410"/>
        <v>5159.1819999999998</v>
      </c>
      <c r="I3467" s="5" t="str">
        <f t="shared" si="411"/>
        <v>017</v>
      </c>
      <c r="J3467" s="5" t="str">
        <f t="shared" si="412"/>
        <v>2100</v>
      </c>
      <c r="K3467" s="5" t="str">
        <f t="shared" si="413"/>
        <v>000</v>
      </c>
      <c r="L3467" s="5">
        <f t="shared" si="414"/>
        <v>8</v>
      </c>
      <c r="M3467" s="5">
        <f t="shared" si="415"/>
        <v>2012</v>
      </c>
    </row>
    <row r="3468" spans="1:13" ht="17.45" customHeight="1" x14ac:dyDescent="0.25">
      <c r="A3468" s="1">
        <f>DATE(2012,8,18)</f>
        <v>41139</v>
      </c>
      <c r="B3468" t="s">
        <v>16</v>
      </c>
      <c r="C3468" t="s">
        <v>8</v>
      </c>
      <c r="D3468" s="3">
        <v>1206.576</v>
      </c>
      <c r="E3468" s="3">
        <v>0</v>
      </c>
      <c r="F3468" t="s">
        <v>45</v>
      </c>
      <c r="G3468" s="3">
        <f t="shared" si="409"/>
        <v>-1206.576</v>
      </c>
      <c r="H3468" s="3">
        <f t="shared" si="410"/>
        <v>1206.576</v>
      </c>
      <c r="I3468" s="5" t="str">
        <f t="shared" si="411"/>
        <v>017</v>
      </c>
      <c r="J3468" s="5" t="str">
        <f t="shared" si="412"/>
        <v>2210</v>
      </c>
      <c r="K3468" s="5" t="str">
        <f t="shared" si="413"/>
        <v>000</v>
      </c>
      <c r="L3468" s="5">
        <f t="shared" si="414"/>
        <v>8</v>
      </c>
      <c r="M3468" s="5">
        <f t="shared" si="415"/>
        <v>2012</v>
      </c>
    </row>
    <row r="3469" spans="1:13" ht="17.45" customHeight="1" x14ac:dyDescent="0.25">
      <c r="A3469" s="1">
        <f>DATE(2012,8,18)</f>
        <v>41139</v>
      </c>
      <c r="B3469" t="s">
        <v>17</v>
      </c>
      <c r="C3469" t="s">
        <v>9</v>
      </c>
      <c r="D3469" s="3">
        <v>205.05749999999998</v>
      </c>
      <c r="E3469" s="3">
        <v>0</v>
      </c>
      <c r="F3469" t="s">
        <v>45</v>
      </c>
      <c r="G3469" s="3">
        <f t="shared" si="409"/>
        <v>-205.05749999999998</v>
      </c>
      <c r="H3469" s="3">
        <f t="shared" si="410"/>
        <v>205.05749999999998</v>
      </c>
      <c r="I3469" s="5" t="str">
        <f t="shared" si="411"/>
        <v>017</v>
      </c>
      <c r="J3469" s="5" t="str">
        <f t="shared" si="412"/>
        <v>2220</v>
      </c>
      <c r="K3469" s="5" t="str">
        <f t="shared" si="413"/>
        <v>000</v>
      </c>
      <c r="L3469" s="5">
        <f t="shared" si="414"/>
        <v>8</v>
      </c>
      <c r="M3469" s="5">
        <f t="shared" si="415"/>
        <v>2012</v>
      </c>
    </row>
    <row r="3470" spans="1:13" ht="17.45" customHeight="1" x14ac:dyDescent="0.25">
      <c r="A3470" s="1">
        <f>DATE(2012,8,18)</f>
        <v>41139</v>
      </c>
      <c r="B3470" t="s">
        <v>18</v>
      </c>
      <c r="C3470" t="s">
        <v>10</v>
      </c>
      <c r="D3470" s="3">
        <v>54.904499999999999</v>
      </c>
      <c r="E3470" s="3">
        <v>0</v>
      </c>
      <c r="F3470" t="s">
        <v>45</v>
      </c>
      <c r="G3470" s="3">
        <f t="shared" si="409"/>
        <v>-54.904499999999999</v>
      </c>
      <c r="H3470" s="3">
        <f t="shared" si="410"/>
        <v>54.904499999999999</v>
      </c>
      <c r="I3470" s="5" t="str">
        <f t="shared" si="411"/>
        <v>017</v>
      </c>
      <c r="J3470" s="5" t="str">
        <f t="shared" si="412"/>
        <v>2230</v>
      </c>
      <c r="K3470" s="5" t="str">
        <f t="shared" si="413"/>
        <v>000</v>
      </c>
      <c r="L3470" s="5">
        <f t="shared" si="414"/>
        <v>8</v>
      </c>
      <c r="M3470" s="5">
        <f t="shared" si="415"/>
        <v>2012</v>
      </c>
    </row>
    <row r="3471" spans="1:13" ht="17.45" customHeight="1" x14ac:dyDescent="0.25">
      <c r="A3471" s="1">
        <f>DATE(2012,8,19)</f>
        <v>41140</v>
      </c>
      <c r="B3471" t="s">
        <v>15</v>
      </c>
      <c r="C3471" t="s">
        <v>6</v>
      </c>
      <c r="D3471" s="3">
        <v>3726.2040000000002</v>
      </c>
      <c r="E3471" s="3">
        <v>0</v>
      </c>
      <c r="F3471" t="s">
        <v>45</v>
      </c>
      <c r="G3471" s="3">
        <f t="shared" si="409"/>
        <v>-3726.2040000000002</v>
      </c>
      <c r="H3471" s="3">
        <f t="shared" si="410"/>
        <v>3726.2040000000002</v>
      </c>
      <c r="I3471" s="5" t="str">
        <f t="shared" si="411"/>
        <v>017</v>
      </c>
      <c r="J3471" s="5" t="str">
        <f t="shared" si="412"/>
        <v>2100</v>
      </c>
      <c r="K3471" s="5" t="str">
        <f t="shared" si="413"/>
        <v>000</v>
      </c>
      <c r="L3471" s="5">
        <f t="shared" si="414"/>
        <v>8</v>
      </c>
      <c r="M3471" s="5">
        <f t="shared" si="415"/>
        <v>2012</v>
      </c>
    </row>
    <row r="3472" spans="1:13" ht="17.45" customHeight="1" x14ac:dyDescent="0.25">
      <c r="A3472" s="1">
        <f>DATE(2012,8,19)</f>
        <v>41140</v>
      </c>
      <c r="B3472" t="s">
        <v>16</v>
      </c>
      <c r="C3472" t="s">
        <v>8</v>
      </c>
      <c r="D3472" s="3">
        <v>930.85199999999986</v>
      </c>
      <c r="E3472" s="3">
        <v>0</v>
      </c>
      <c r="F3472" t="s">
        <v>45</v>
      </c>
      <c r="G3472" s="3">
        <f t="shared" si="409"/>
        <v>-930.85199999999986</v>
      </c>
      <c r="H3472" s="3">
        <f t="shared" si="410"/>
        <v>930.85199999999986</v>
      </c>
      <c r="I3472" s="5" t="str">
        <f t="shared" si="411"/>
        <v>017</v>
      </c>
      <c r="J3472" s="5" t="str">
        <f t="shared" si="412"/>
        <v>2210</v>
      </c>
      <c r="K3472" s="5" t="str">
        <f t="shared" si="413"/>
        <v>000</v>
      </c>
      <c r="L3472" s="5">
        <f t="shared" si="414"/>
        <v>8</v>
      </c>
      <c r="M3472" s="5">
        <f t="shared" si="415"/>
        <v>2012</v>
      </c>
    </row>
    <row r="3473" spans="1:13" ht="17.45" customHeight="1" x14ac:dyDescent="0.25">
      <c r="A3473" s="1">
        <f>DATE(2012,8,19)</f>
        <v>41140</v>
      </c>
      <c r="B3473" t="s">
        <v>17</v>
      </c>
      <c r="C3473" t="s">
        <v>9</v>
      </c>
      <c r="D3473" s="3">
        <v>260.97499999999997</v>
      </c>
      <c r="E3473" s="3">
        <v>0</v>
      </c>
      <c r="F3473" t="s">
        <v>45</v>
      </c>
      <c r="G3473" s="3">
        <f t="shared" si="409"/>
        <v>-260.97499999999997</v>
      </c>
      <c r="H3473" s="3">
        <f t="shared" si="410"/>
        <v>260.97499999999997</v>
      </c>
      <c r="I3473" s="5" t="str">
        <f t="shared" si="411"/>
        <v>017</v>
      </c>
      <c r="J3473" s="5" t="str">
        <f t="shared" si="412"/>
        <v>2220</v>
      </c>
      <c r="K3473" s="5" t="str">
        <f t="shared" si="413"/>
        <v>000</v>
      </c>
      <c r="L3473" s="5">
        <f t="shared" si="414"/>
        <v>8</v>
      </c>
      <c r="M3473" s="5">
        <f t="shared" si="415"/>
        <v>2012</v>
      </c>
    </row>
    <row r="3474" spans="1:13" ht="17.45" customHeight="1" x14ac:dyDescent="0.25">
      <c r="A3474" s="1">
        <f>DATE(2012,8,19)</f>
        <v>41140</v>
      </c>
      <c r="B3474" t="s">
        <v>18</v>
      </c>
      <c r="C3474" t="s">
        <v>10</v>
      </c>
      <c r="D3474" s="3">
        <v>62.648000000000003</v>
      </c>
      <c r="E3474" s="3">
        <v>0</v>
      </c>
      <c r="F3474" t="s">
        <v>45</v>
      </c>
      <c r="G3474" s="3">
        <f t="shared" si="409"/>
        <v>-62.648000000000003</v>
      </c>
      <c r="H3474" s="3">
        <f t="shared" si="410"/>
        <v>62.648000000000003</v>
      </c>
      <c r="I3474" s="5" t="str">
        <f t="shared" si="411"/>
        <v>017</v>
      </c>
      <c r="J3474" s="5" t="str">
        <f t="shared" si="412"/>
        <v>2230</v>
      </c>
      <c r="K3474" s="5" t="str">
        <f t="shared" si="413"/>
        <v>000</v>
      </c>
      <c r="L3474" s="5">
        <f t="shared" si="414"/>
        <v>8</v>
      </c>
      <c r="M3474" s="5">
        <f t="shared" si="415"/>
        <v>2012</v>
      </c>
    </row>
    <row r="3475" spans="1:13" ht="17.45" customHeight="1" x14ac:dyDescent="0.25">
      <c r="A3475" s="1">
        <f>DATE(2012,8,13)</f>
        <v>41134</v>
      </c>
      <c r="B3475" t="s">
        <v>19</v>
      </c>
      <c r="C3475" t="s">
        <v>6</v>
      </c>
      <c r="D3475" s="3">
        <v>4509.0583999999999</v>
      </c>
      <c r="E3475" s="3">
        <v>0</v>
      </c>
      <c r="F3475" t="s">
        <v>45</v>
      </c>
      <c r="G3475" s="3">
        <f t="shared" si="409"/>
        <v>-4509.0583999999999</v>
      </c>
      <c r="H3475" s="3">
        <f t="shared" si="410"/>
        <v>4509.0583999999999</v>
      </c>
      <c r="I3475" s="5" t="str">
        <f t="shared" si="411"/>
        <v>018</v>
      </c>
      <c r="J3475" s="5" t="str">
        <f t="shared" si="412"/>
        <v>2100</v>
      </c>
      <c r="K3475" s="5" t="str">
        <f t="shared" si="413"/>
        <v>000</v>
      </c>
      <c r="L3475" s="5">
        <f t="shared" si="414"/>
        <v>8</v>
      </c>
      <c r="M3475" s="5">
        <f t="shared" si="415"/>
        <v>2012</v>
      </c>
    </row>
    <row r="3476" spans="1:13" ht="17.45" customHeight="1" x14ac:dyDescent="0.25">
      <c r="A3476" s="1">
        <f>DATE(2012,8,13)</f>
        <v>41134</v>
      </c>
      <c r="B3476" t="s">
        <v>20</v>
      </c>
      <c r="C3476" t="s">
        <v>8</v>
      </c>
      <c r="D3476" s="3">
        <v>705.91500000000008</v>
      </c>
      <c r="E3476" s="3">
        <v>0</v>
      </c>
      <c r="F3476" t="s">
        <v>45</v>
      </c>
      <c r="G3476" s="3">
        <f t="shared" si="409"/>
        <v>-705.91500000000008</v>
      </c>
      <c r="H3476" s="3">
        <f t="shared" si="410"/>
        <v>705.91500000000008</v>
      </c>
      <c r="I3476" s="5" t="str">
        <f t="shared" si="411"/>
        <v>018</v>
      </c>
      <c r="J3476" s="5" t="str">
        <f t="shared" si="412"/>
        <v>2210</v>
      </c>
      <c r="K3476" s="5" t="str">
        <f t="shared" si="413"/>
        <v>000</v>
      </c>
      <c r="L3476" s="5">
        <f t="shared" si="414"/>
        <v>8</v>
      </c>
      <c r="M3476" s="5">
        <f t="shared" si="415"/>
        <v>2012</v>
      </c>
    </row>
    <row r="3477" spans="1:13" ht="17.45" customHeight="1" x14ac:dyDescent="0.25">
      <c r="A3477" s="1">
        <f>DATE(2012,8,13)</f>
        <v>41134</v>
      </c>
      <c r="B3477" t="s">
        <v>21</v>
      </c>
      <c r="C3477" t="s">
        <v>9</v>
      </c>
      <c r="D3477" s="3">
        <v>113.664</v>
      </c>
      <c r="E3477" s="3">
        <v>0</v>
      </c>
      <c r="F3477" t="s">
        <v>45</v>
      </c>
      <c r="G3477" s="3">
        <f t="shared" si="409"/>
        <v>-113.664</v>
      </c>
      <c r="H3477" s="3">
        <f t="shared" si="410"/>
        <v>113.664</v>
      </c>
      <c r="I3477" s="5" t="str">
        <f t="shared" si="411"/>
        <v>018</v>
      </c>
      <c r="J3477" s="5" t="str">
        <f t="shared" si="412"/>
        <v>2220</v>
      </c>
      <c r="K3477" s="5" t="str">
        <f t="shared" si="413"/>
        <v>000</v>
      </c>
      <c r="L3477" s="5">
        <f t="shared" si="414"/>
        <v>8</v>
      </c>
      <c r="M3477" s="5">
        <f t="shared" si="415"/>
        <v>2012</v>
      </c>
    </row>
    <row r="3478" spans="1:13" ht="17.45" customHeight="1" x14ac:dyDescent="0.25">
      <c r="A3478" s="1">
        <f>DATE(2012,8,13)</f>
        <v>41134</v>
      </c>
      <c r="B3478" t="s">
        <v>22</v>
      </c>
      <c r="C3478" t="s">
        <v>10</v>
      </c>
      <c r="D3478" s="3">
        <v>36.887999999999998</v>
      </c>
      <c r="E3478" s="3">
        <v>0</v>
      </c>
      <c r="F3478" t="s">
        <v>45</v>
      </c>
      <c r="G3478" s="3">
        <f t="shared" si="409"/>
        <v>-36.887999999999998</v>
      </c>
      <c r="H3478" s="3">
        <f t="shared" si="410"/>
        <v>36.887999999999998</v>
      </c>
      <c r="I3478" s="5" t="str">
        <f t="shared" si="411"/>
        <v>018</v>
      </c>
      <c r="J3478" s="5" t="str">
        <f t="shared" si="412"/>
        <v>2230</v>
      </c>
      <c r="K3478" s="5" t="str">
        <f t="shared" si="413"/>
        <v>000</v>
      </c>
      <c r="L3478" s="5">
        <f t="shared" si="414"/>
        <v>8</v>
      </c>
      <c r="M3478" s="5">
        <f t="shared" si="415"/>
        <v>2012</v>
      </c>
    </row>
    <row r="3479" spans="1:13" ht="17.45" customHeight="1" x14ac:dyDescent="0.25">
      <c r="A3479" s="1">
        <f>DATE(2012,8,14)</f>
        <v>41135</v>
      </c>
      <c r="B3479" t="s">
        <v>19</v>
      </c>
      <c r="C3479" t="s">
        <v>6</v>
      </c>
      <c r="D3479" s="3">
        <v>5592.3174999999992</v>
      </c>
      <c r="E3479" s="3">
        <v>0</v>
      </c>
      <c r="F3479" t="s">
        <v>45</v>
      </c>
      <c r="G3479" s="3">
        <f t="shared" si="409"/>
        <v>-5592.3174999999992</v>
      </c>
      <c r="H3479" s="3">
        <f t="shared" si="410"/>
        <v>5592.3174999999992</v>
      </c>
      <c r="I3479" s="5" t="str">
        <f t="shared" si="411"/>
        <v>018</v>
      </c>
      <c r="J3479" s="5" t="str">
        <f t="shared" si="412"/>
        <v>2100</v>
      </c>
      <c r="K3479" s="5" t="str">
        <f t="shared" si="413"/>
        <v>000</v>
      </c>
      <c r="L3479" s="5">
        <f t="shared" si="414"/>
        <v>8</v>
      </c>
      <c r="M3479" s="5">
        <f t="shared" si="415"/>
        <v>2012</v>
      </c>
    </row>
    <row r="3480" spans="1:13" ht="17.45" customHeight="1" x14ac:dyDescent="0.25">
      <c r="A3480" s="1">
        <f>DATE(2012,8,14)</f>
        <v>41135</v>
      </c>
      <c r="B3480" t="s">
        <v>20</v>
      </c>
      <c r="C3480" t="s">
        <v>8</v>
      </c>
      <c r="D3480" s="3">
        <v>1104.7590000000002</v>
      </c>
      <c r="E3480" s="3">
        <v>0</v>
      </c>
      <c r="F3480" t="s">
        <v>45</v>
      </c>
      <c r="G3480" s="3">
        <f t="shared" si="409"/>
        <v>-1104.7590000000002</v>
      </c>
      <c r="H3480" s="3">
        <f t="shared" si="410"/>
        <v>1104.7590000000002</v>
      </c>
      <c r="I3480" s="5" t="str">
        <f t="shared" si="411"/>
        <v>018</v>
      </c>
      <c r="J3480" s="5" t="str">
        <f t="shared" si="412"/>
        <v>2210</v>
      </c>
      <c r="K3480" s="5" t="str">
        <f t="shared" si="413"/>
        <v>000</v>
      </c>
      <c r="L3480" s="5">
        <f t="shared" si="414"/>
        <v>8</v>
      </c>
      <c r="M3480" s="5">
        <f t="shared" si="415"/>
        <v>2012</v>
      </c>
    </row>
    <row r="3481" spans="1:13" ht="17.45" customHeight="1" x14ac:dyDescent="0.25">
      <c r="A3481" s="1">
        <f>DATE(2012,8,14)</f>
        <v>41135</v>
      </c>
      <c r="B3481" t="s">
        <v>21</v>
      </c>
      <c r="C3481" t="s">
        <v>9</v>
      </c>
      <c r="D3481" s="3">
        <v>147.71549999999999</v>
      </c>
      <c r="E3481" s="3">
        <v>0</v>
      </c>
      <c r="F3481" t="s">
        <v>45</v>
      </c>
      <c r="G3481" s="3">
        <f t="shared" si="409"/>
        <v>-147.71549999999999</v>
      </c>
      <c r="H3481" s="3">
        <f t="shared" si="410"/>
        <v>147.71549999999999</v>
      </c>
      <c r="I3481" s="5" t="str">
        <f t="shared" si="411"/>
        <v>018</v>
      </c>
      <c r="J3481" s="5" t="str">
        <f t="shared" si="412"/>
        <v>2220</v>
      </c>
      <c r="K3481" s="5" t="str">
        <f t="shared" si="413"/>
        <v>000</v>
      </c>
      <c r="L3481" s="5">
        <f t="shared" si="414"/>
        <v>8</v>
      </c>
      <c r="M3481" s="5">
        <f t="shared" si="415"/>
        <v>2012</v>
      </c>
    </row>
    <row r="3482" spans="1:13" ht="17.45" customHeight="1" x14ac:dyDescent="0.25">
      <c r="A3482" s="1">
        <f>DATE(2012,8,14)</f>
        <v>41135</v>
      </c>
      <c r="B3482" t="s">
        <v>22</v>
      </c>
      <c r="C3482" t="s">
        <v>10</v>
      </c>
      <c r="D3482" s="3">
        <v>65.454999999999998</v>
      </c>
      <c r="E3482" s="3">
        <v>0</v>
      </c>
      <c r="F3482" t="s">
        <v>45</v>
      </c>
      <c r="G3482" s="3">
        <f t="shared" si="409"/>
        <v>-65.454999999999998</v>
      </c>
      <c r="H3482" s="3">
        <f t="shared" si="410"/>
        <v>65.454999999999998</v>
      </c>
      <c r="I3482" s="5" t="str">
        <f t="shared" si="411"/>
        <v>018</v>
      </c>
      <c r="J3482" s="5" t="str">
        <f t="shared" si="412"/>
        <v>2230</v>
      </c>
      <c r="K3482" s="5" t="str">
        <f t="shared" si="413"/>
        <v>000</v>
      </c>
      <c r="L3482" s="5">
        <f t="shared" si="414"/>
        <v>8</v>
      </c>
      <c r="M3482" s="5">
        <f t="shared" si="415"/>
        <v>2012</v>
      </c>
    </row>
    <row r="3483" spans="1:13" ht="17.45" customHeight="1" x14ac:dyDescent="0.25">
      <c r="A3483" s="1">
        <f>DATE(2012,8,15)</f>
        <v>41136</v>
      </c>
      <c r="B3483" t="s">
        <v>19</v>
      </c>
      <c r="C3483" t="s">
        <v>6</v>
      </c>
      <c r="D3483" s="3">
        <v>4389.7246999999998</v>
      </c>
      <c r="E3483" s="3">
        <v>0</v>
      </c>
      <c r="F3483" t="s">
        <v>45</v>
      </c>
      <c r="G3483" s="3">
        <f t="shared" si="409"/>
        <v>-4389.7246999999998</v>
      </c>
      <c r="H3483" s="3">
        <f t="shared" si="410"/>
        <v>4389.7246999999998</v>
      </c>
      <c r="I3483" s="5" t="str">
        <f t="shared" si="411"/>
        <v>018</v>
      </c>
      <c r="J3483" s="5" t="str">
        <f t="shared" si="412"/>
        <v>2100</v>
      </c>
      <c r="K3483" s="5" t="str">
        <f t="shared" si="413"/>
        <v>000</v>
      </c>
      <c r="L3483" s="5">
        <f t="shared" si="414"/>
        <v>8</v>
      </c>
      <c r="M3483" s="5">
        <f t="shared" si="415"/>
        <v>2012</v>
      </c>
    </row>
    <row r="3484" spans="1:13" ht="17.45" customHeight="1" x14ac:dyDescent="0.25">
      <c r="A3484" s="1">
        <f>DATE(2012,8,15)</f>
        <v>41136</v>
      </c>
      <c r="B3484" t="s">
        <v>20</v>
      </c>
      <c r="C3484" t="s">
        <v>8</v>
      </c>
      <c r="D3484" s="3">
        <v>2001.0435000000002</v>
      </c>
      <c r="E3484" s="3">
        <v>0</v>
      </c>
      <c r="F3484" t="s">
        <v>45</v>
      </c>
      <c r="G3484" s="3">
        <f t="shared" si="409"/>
        <v>-2001.0435000000002</v>
      </c>
      <c r="H3484" s="3">
        <f t="shared" si="410"/>
        <v>2001.0435000000002</v>
      </c>
      <c r="I3484" s="5" t="str">
        <f t="shared" si="411"/>
        <v>018</v>
      </c>
      <c r="J3484" s="5" t="str">
        <f t="shared" si="412"/>
        <v>2210</v>
      </c>
      <c r="K3484" s="5" t="str">
        <f t="shared" si="413"/>
        <v>000</v>
      </c>
      <c r="L3484" s="5">
        <f t="shared" si="414"/>
        <v>8</v>
      </c>
      <c r="M3484" s="5">
        <f t="shared" si="415"/>
        <v>2012</v>
      </c>
    </row>
    <row r="3485" spans="1:13" ht="17.45" customHeight="1" x14ac:dyDescent="0.25">
      <c r="A3485" s="1">
        <f>DATE(2012,8,15)</f>
        <v>41136</v>
      </c>
      <c r="B3485" t="s">
        <v>21</v>
      </c>
      <c r="C3485" t="s">
        <v>9</v>
      </c>
      <c r="D3485" s="3">
        <v>387.65999999999997</v>
      </c>
      <c r="E3485" s="3">
        <v>0</v>
      </c>
      <c r="F3485" t="s">
        <v>45</v>
      </c>
      <c r="G3485" s="3">
        <f t="shared" si="409"/>
        <v>-387.65999999999997</v>
      </c>
      <c r="H3485" s="3">
        <f t="shared" si="410"/>
        <v>387.65999999999997</v>
      </c>
      <c r="I3485" s="5" t="str">
        <f t="shared" si="411"/>
        <v>018</v>
      </c>
      <c r="J3485" s="5" t="str">
        <f t="shared" si="412"/>
        <v>2220</v>
      </c>
      <c r="K3485" s="5" t="str">
        <f t="shared" si="413"/>
        <v>000</v>
      </c>
      <c r="L3485" s="5">
        <f t="shared" si="414"/>
        <v>8</v>
      </c>
      <c r="M3485" s="5">
        <f t="shared" si="415"/>
        <v>2012</v>
      </c>
    </row>
    <row r="3486" spans="1:13" ht="17.45" customHeight="1" x14ac:dyDescent="0.25">
      <c r="A3486" s="1">
        <f>DATE(2012,8,15)</f>
        <v>41136</v>
      </c>
      <c r="B3486" t="s">
        <v>22</v>
      </c>
      <c r="C3486" t="s">
        <v>10</v>
      </c>
      <c r="D3486" s="3">
        <v>44.900500000000001</v>
      </c>
      <c r="E3486" s="3">
        <v>0</v>
      </c>
      <c r="F3486" t="s">
        <v>45</v>
      </c>
      <c r="G3486" s="3">
        <f t="shared" si="409"/>
        <v>-44.900500000000001</v>
      </c>
      <c r="H3486" s="3">
        <f t="shared" si="410"/>
        <v>44.900500000000001</v>
      </c>
      <c r="I3486" s="5" t="str">
        <f t="shared" si="411"/>
        <v>018</v>
      </c>
      <c r="J3486" s="5" t="str">
        <f t="shared" si="412"/>
        <v>2230</v>
      </c>
      <c r="K3486" s="5" t="str">
        <f t="shared" si="413"/>
        <v>000</v>
      </c>
      <c r="L3486" s="5">
        <f t="shared" si="414"/>
        <v>8</v>
      </c>
      <c r="M3486" s="5">
        <f t="shared" si="415"/>
        <v>2012</v>
      </c>
    </row>
    <row r="3487" spans="1:13" ht="17.45" customHeight="1" x14ac:dyDescent="0.25">
      <c r="A3487" s="1">
        <f>DATE(2012,8,16)</f>
        <v>41137</v>
      </c>
      <c r="B3487" t="s">
        <v>19</v>
      </c>
      <c r="C3487" t="s">
        <v>6</v>
      </c>
      <c r="D3487" s="3">
        <v>5592.96</v>
      </c>
      <c r="E3487" s="3">
        <v>0</v>
      </c>
      <c r="F3487" t="s">
        <v>45</v>
      </c>
      <c r="G3487" s="3">
        <f t="shared" si="409"/>
        <v>-5592.96</v>
      </c>
      <c r="H3487" s="3">
        <f t="shared" si="410"/>
        <v>5592.96</v>
      </c>
      <c r="I3487" s="5" t="str">
        <f t="shared" si="411"/>
        <v>018</v>
      </c>
      <c r="J3487" s="5" t="str">
        <f t="shared" si="412"/>
        <v>2100</v>
      </c>
      <c r="K3487" s="5" t="str">
        <f t="shared" si="413"/>
        <v>000</v>
      </c>
      <c r="L3487" s="5">
        <f t="shared" si="414"/>
        <v>8</v>
      </c>
      <c r="M3487" s="5">
        <f t="shared" si="415"/>
        <v>2012</v>
      </c>
    </row>
    <row r="3488" spans="1:13" ht="17.45" customHeight="1" x14ac:dyDescent="0.25">
      <c r="A3488" s="1">
        <f>DATE(2012,8,16)</f>
        <v>41137</v>
      </c>
      <c r="B3488" t="s">
        <v>20</v>
      </c>
      <c r="C3488" t="s">
        <v>8</v>
      </c>
      <c r="D3488" s="3">
        <v>1185.182</v>
      </c>
      <c r="E3488" s="3">
        <v>0</v>
      </c>
      <c r="F3488" t="s">
        <v>45</v>
      </c>
      <c r="G3488" s="3">
        <f t="shared" si="409"/>
        <v>-1185.182</v>
      </c>
      <c r="H3488" s="3">
        <f t="shared" si="410"/>
        <v>1185.182</v>
      </c>
      <c r="I3488" s="5" t="str">
        <f t="shared" si="411"/>
        <v>018</v>
      </c>
      <c r="J3488" s="5" t="str">
        <f t="shared" si="412"/>
        <v>2210</v>
      </c>
      <c r="K3488" s="5" t="str">
        <f t="shared" si="413"/>
        <v>000</v>
      </c>
      <c r="L3488" s="5">
        <f t="shared" si="414"/>
        <v>8</v>
      </c>
      <c r="M3488" s="5">
        <f t="shared" si="415"/>
        <v>2012</v>
      </c>
    </row>
    <row r="3489" spans="1:13" ht="17.45" customHeight="1" x14ac:dyDescent="0.25">
      <c r="A3489" s="1">
        <f>DATE(2012,8,16)</f>
        <v>41137</v>
      </c>
      <c r="B3489" t="s">
        <v>21</v>
      </c>
      <c r="C3489" t="s">
        <v>9</v>
      </c>
      <c r="D3489" s="3">
        <v>313.02600000000001</v>
      </c>
      <c r="E3489" s="3">
        <v>0</v>
      </c>
      <c r="F3489" t="s">
        <v>45</v>
      </c>
      <c r="G3489" s="3">
        <f t="shared" si="409"/>
        <v>-313.02600000000001</v>
      </c>
      <c r="H3489" s="3">
        <f t="shared" si="410"/>
        <v>313.02600000000001</v>
      </c>
      <c r="I3489" s="5" t="str">
        <f t="shared" si="411"/>
        <v>018</v>
      </c>
      <c r="J3489" s="5" t="str">
        <f t="shared" si="412"/>
        <v>2220</v>
      </c>
      <c r="K3489" s="5" t="str">
        <f t="shared" si="413"/>
        <v>000</v>
      </c>
      <c r="L3489" s="5">
        <f t="shared" si="414"/>
        <v>8</v>
      </c>
      <c r="M3489" s="5">
        <f t="shared" si="415"/>
        <v>2012</v>
      </c>
    </row>
    <row r="3490" spans="1:13" ht="17.45" customHeight="1" x14ac:dyDescent="0.25">
      <c r="A3490" s="1">
        <f>DATE(2012,8,16)</f>
        <v>41137</v>
      </c>
      <c r="B3490" t="s">
        <v>22</v>
      </c>
      <c r="C3490" t="s">
        <v>10</v>
      </c>
      <c r="D3490" s="3">
        <v>59.364000000000004</v>
      </c>
      <c r="E3490" s="3">
        <v>0</v>
      </c>
      <c r="F3490" t="s">
        <v>45</v>
      </c>
      <c r="G3490" s="3">
        <f t="shared" si="409"/>
        <v>-59.364000000000004</v>
      </c>
      <c r="H3490" s="3">
        <f t="shared" si="410"/>
        <v>59.364000000000004</v>
      </c>
      <c r="I3490" s="5" t="str">
        <f t="shared" si="411"/>
        <v>018</v>
      </c>
      <c r="J3490" s="5" t="str">
        <f t="shared" si="412"/>
        <v>2230</v>
      </c>
      <c r="K3490" s="5" t="str">
        <f t="shared" si="413"/>
        <v>000</v>
      </c>
      <c r="L3490" s="5">
        <f t="shared" si="414"/>
        <v>8</v>
      </c>
      <c r="M3490" s="5">
        <f t="shared" si="415"/>
        <v>2012</v>
      </c>
    </row>
    <row r="3491" spans="1:13" ht="17.45" customHeight="1" x14ac:dyDescent="0.25">
      <c r="A3491" s="1">
        <f>DATE(2012,8,17)</f>
        <v>41138</v>
      </c>
      <c r="B3491" t="s">
        <v>19</v>
      </c>
      <c r="C3491" t="s">
        <v>6</v>
      </c>
      <c r="D3491" s="3">
        <v>12479.657500000001</v>
      </c>
      <c r="E3491" s="3">
        <v>0</v>
      </c>
      <c r="F3491" t="s">
        <v>45</v>
      </c>
      <c r="G3491" s="3">
        <f t="shared" si="409"/>
        <v>-12479.657500000001</v>
      </c>
      <c r="H3491" s="3">
        <f t="shared" si="410"/>
        <v>12479.657500000001</v>
      </c>
      <c r="I3491" s="5" t="str">
        <f t="shared" si="411"/>
        <v>018</v>
      </c>
      <c r="J3491" s="5" t="str">
        <f t="shared" si="412"/>
        <v>2100</v>
      </c>
      <c r="K3491" s="5" t="str">
        <f t="shared" si="413"/>
        <v>000</v>
      </c>
      <c r="L3491" s="5">
        <f t="shared" si="414"/>
        <v>8</v>
      </c>
      <c r="M3491" s="5">
        <f t="shared" si="415"/>
        <v>2012</v>
      </c>
    </row>
    <row r="3492" spans="1:13" ht="17.45" customHeight="1" x14ac:dyDescent="0.25">
      <c r="A3492" s="1">
        <f>DATE(2012,8,17)</f>
        <v>41138</v>
      </c>
      <c r="B3492" t="s">
        <v>20</v>
      </c>
      <c r="C3492" t="s">
        <v>8</v>
      </c>
      <c r="D3492" s="3">
        <v>1827.36</v>
      </c>
      <c r="E3492" s="3">
        <v>0</v>
      </c>
      <c r="F3492" t="s">
        <v>45</v>
      </c>
      <c r="G3492" s="3">
        <f t="shared" si="409"/>
        <v>-1827.36</v>
      </c>
      <c r="H3492" s="3">
        <f t="shared" si="410"/>
        <v>1827.36</v>
      </c>
      <c r="I3492" s="5" t="str">
        <f t="shared" si="411"/>
        <v>018</v>
      </c>
      <c r="J3492" s="5" t="str">
        <f t="shared" si="412"/>
        <v>2210</v>
      </c>
      <c r="K3492" s="5" t="str">
        <f t="shared" si="413"/>
        <v>000</v>
      </c>
      <c r="L3492" s="5">
        <f t="shared" si="414"/>
        <v>8</v>
      </c>
      <c r="M3492" s="5">
        <f t="shared" si="415"/>
        <v>2012</v>
      </c>
    </row>
    <row r="3493" spans="1:13" ht="17.45" customHeight="1" x14ac:dyDescent="0.25">
      <c r="A3493" s="1">
        <f>DATE(2012,8,17)</f>
        <v>41138</v>
      </c>
      <c r="B3493" t="s">
        <v>21</v>
      </c>
      <c r="C3493" t="s">
        <v>9</v>
      </c>
      <c r="D3493" s="3">
        <v>705.83400000000006</v>
      </c>
      <c r="E3493" s="3">
        <v>0</v>
      </c>
      <c r="F3493" t="s">
        <v>45</v>
      </c>
      <c r="G3493" s="3">
        <f t="shared" si="409"/>
        <v>-705.83400000000006</v>
      </c>
      <c r="H3493" s="3">
        <f t="shared" si="410"/>
        <v>705.83400000000006</v>
      </c>
      <c r="I3493" s="5" t="str">
        <f t="shared" si="411"/>
        <v>018</v>
      </c>
      <c r="J3493" s="5" t="str">
        <f t="shared" si="412"/>
        <v>2220</v>
      </c>
      <c r="K3493" s="5" t="str">
        <f t="shared" si="413"/>
        <v>000</v>
      </c>
      <c r="L3493" s="5">
        <f t="shared" si="414"/>
        <v>8</v>
      </c>
      <c r="M3493" s="5">
        <f t="shared" si="415"/>
        <v>2012</v>
      </c>
    </row>
    <row r="3494" spans="1:13" ht="17.45" customHeight="1" x14ac:dyDescent="0.25">
      <c r="A3494" s="1">
        <f>DATE(2012,8,17)</f>
        <v>41138</v>
      </c>
      <c r="B3494" t="s">
        <v>22</v>
      </c>
      <c r="C3494" t="s">
        <v>10</v>
      </c>
      <c r="D3494" s="3">
        <v>140.31</v>
      </c>
      <c r="E3494" s="3">
        <v>0</v>
      </c>
      <c r="F3494" t="s">
        <v>45</v>
      </c>
      <c r="G3494" s="3">
        <f t="shared" si="409"/>
        <v>-140.31</v>
      </c>
      <c r="H3494" s="3">
        <f t="shared" si="410"/>
        <v>140.31</v>
      </c>
      <c r="I3494" s="5" t="str">
        <f t="shared" si="411"/>
        <v>018</v>
      </c>
      <c r="J3494" s="5" t="str">
        <f t="shared" si="412"/>
        <v>2230</v>
      </c>
      <c r="K3494" s="5" t="str">
        <f t="shared" si="413"/>
        <v>000</v>
      </c>
      <c r="L3494" s="5">
        <f t="shared" si="414"/>
        <v>8</v>
      </c>
      <c r="M3494" s="5">
        <f t="shared" si="415"/>
        <v>2012</v>
      </c>
    </row>
    <row r="3495" spans="1:13" ht="17.45" customHeight="1" x14ac:dyDescent="0.25">
      <c r="A3495" s="1">
        <f>DATE(2012,8,18)</f>
        <v>41139</v>
      </c>
      <c r="B3495" t="s">
        <v>19</v>
      </c>
      <c r="C3495" t="s">
        <v>6</v>
      </c>
      <c r="D3495" s="3">
        <v>13647.647999999999</v>
      </c>
      <c r="E3495" s="3">
        <v>0</v>
      </c>
      <c r="F3495" t="s">
        <v>45</v>
      </c>
      <c r="G3495" s="3">
        <f t="shared" si="409"/>
        <v>-13647.647999999999</v>
      </c>
      <c r="H3495" s="3">
        <f t="shared" si="410"/>
        <v>13647.647999999999</v>
      </c>
      <c r="I3495" s="5" t="str">
        <f t="shared" si="411"/>
        <v>018</v>
      </c>
      <c r="J3495" s="5" t="str">
        <f t="shared" si="412"/>
        <v>2100</v>
      </c>
      <c r="K3495" s="5" t="str">
        <f t="shared" si="413"/>
        <v>000</v>
      </c>
      <c r="L3495" s="5">
        <f t="shared" si="414"/>
        <v>8</v>
      </c>
      <c r="M3495" s="5">
        <f t="shared" si="415"/>
        <v>2012</v>
      </c>
    </row>
    <row r="3496" spans="1:13" ht="17.45" customHeight="1" x14ac:dyDescent="0.25">
      <c r="A3496" s="1">
        <f>DATE(2012,8,18)</f>
        <v>41139</v>
      </c>
      <c r="B3496" t="s">
        <v>20</v>
      </c>
      <c r="C3496" t="s">
        <v>8</v>
      </c>
      <c r="D3496" s="3">
        <v>2451.8074999999999</v>
      </c>
      <c r="E3496" s="3">
        <v>0</v>
      </c>
      <c r="F3496" t="s">
        <v>45</v>
      </c>
      <c r="G3496" s="3">
        <f t="shared" si="409"/>
        <v>-2451.8074999999999</v>
      </c>
      <c r="H3496" s="3">
        <f t="shared" si="410"/>
        <v>2451.8074999999999</v>
      </c>
      <c r="I3496" s="5" t="str">
        <f t="shared" si="411"/>
        <v>018</v>
      </c>
      <c r="J3496" s="5" t="str">
        <f t="shared" si="412"/>
        <v>2210</v>
      </c>
      <c r="K3496" s="5" t="str">
        <f t="shared" si="413"/>
        <v>000</v>
      </c>
      <c r="L3496" s="5">
        <f t="shared" si="414"/>
        <v>8</v>
      </c>
      <c r="M3496" s="5">
        <f t="shared" si="415"/>
        <v>2012</v>
      </c>
    </row>
    <row r="3497" spans="1:13" ht="17.45" customHeight="1" x14ac:dyDescent="0.25">
      <c r="A3497" s="1">
        <f>DATE(2012,8,18)</f>
        <v>41139</v>
      </c>
      <c r="B3497" t="s">
        <v>21</v>
      </c>
      <c r="C3497" t="s">
        <v>9</v>
      </c>
      <c r="D3497" s="3">
        <v>576.67949999999996</v>
      </c>
      <c r="E3497" s="3">
        <v>0</v>
      </c>
      <c r="F3497" t="s">
        <v>45</v>
      </c>
      <c r="G3497" s="3">
        <f t="shared" si="409"/>
        <v>-576.67949999999996</v>
      </c>
      <c r="H3497" s="3">
        <f t="shared" si="410"/>
        <v>576.67949999999996</v>
      </c>
      <c r="I3497" s="5" t="str">
        <f t="shared" si="411"/>
        <v>018</v>
      </c>
      <c r="J3497" s="5" t="str">
        <f t="shared" si="412"/>
        <v>2220</v>
      </c>
      <c r="K3497" s="5" t="str">
        <f t="shared" si="413"/>
        <v>000</v>
      </c>
      <c r="L3497" s="5">
        <f t="shared" si="414"/>
        <v>8</v>
      </c>
      <c r="M3497" s="5">
        <f t="shared" si="415"/>
        <v>2012</v>
      </c>
    </row>
    <row r="3498" spans="1:13" ht="17.45" customHeight="1" x14ac:dyDescent="0.25">
      <c r="A3498" s="1">
        <f>DATE(2012,8,18)</f>
        <v>41139</v>
      </c>
      <c r="B3498" t="s">
        <v>22</v>
      </c>
      <c r="C3498" t="s">
        <v>10</v>
      </c>
      <c r="D3498" s="3">
        <v>134.93700000000001</v>
      </c>
      <c r="E3498" s="3">
        <v>0</v>
      </c>
      <c r="F3498" t="s">
        <v>45</v>
      </c>
      <c r="G3498" s="3">
        <f t="shared" si="409"/>
        <v>-134.93700000000001</v>
      </c>
      <c r="H3498" s="3">
        <f t="shared" si="410"/>
        <v>134.93700000000001</v>
      </c>
      <c r="I3498" s="5" t="str">
        <f t="shared" si="411"/>
        <v>018</v>
      </c>
      <c r="J3498" s="5" t="str">
        <f t="shared" si="412"/>
        <v>2230</v>
      </c>
      <c r="K3498" s="5" t="str">
        <f t="shared" si="413"/>
        <v>000</v>
      </c>
      <c r="L3498" s="5">
        <f t="shared" si="414"/>
        <v>8</v>
      </c>
      <c r="M3498" s="5">
        <f t="shared" si="415"/>
        <v>2012</v>
      </c>
    </row>
    <row r="3499" spans="1:13" ht="17.45" customHeight="1" x14ac:dyDescent="0.25">
      <c r="A3499" s="1">
        <f>DATE(2012,8,19)</f>
        <v>41140</v>
      </c>
      <c r="B3499" t="s">
        <v>19</v>
      </c>
      <c r="C3499" t="s">
        <v>6</v>
      </c>
      <c r="D3499" s="3">
        <v>6815.474400000001</v>
      </c>
      <c r="E3499" s="3">
        <v>0</v>
      </c>
      <c r="F3499" t="s">
        <v>45</v>
      </c>
      <c r="G3499" s="3">
        <f t="shared" si="409"/>
        <v>-6815.474400000001</v>
      </c>
      <c r="H3499" s="3">
        <f t="shared" si="410"/>
        <v>6815.474400000001</v>
      </c>
      <c r="I3499" s="5" t="str">
        <f t="shared" si="411"/>
        <v>018</v>
      </c>
      <c r="J3499" s="5" t="str">
        <f t="shared" si="412"/>
        <v>2100</v>
      </c>
      <c r="K3499" s="5" t="str">
        <f t="shared" si="413"/>
        <v>000</v>
      </c>
      <c r="L3499" s="5">
        <f t="shared" si="414"/>
        <v>8</v>
      </c>
      <c r="M3499" s="5">
        <f t="shared" si="415"/>
        <v>2012</v>
      </c>
    </row>
    <row r="3500" spans="1:13" ht="17.45" customHeight="1" x14ac:dyDescent="0.25">
      <c r="A3500" s="1">
        <f>DATE(2012,8,19)</f>
        <v>41140</v>
      </c>
      <c r="B3500" t="s">
        <v>20</v>
      </c>
      <c r="C3500" t="s">
        <v>8</v>
      </c>
      <c r="D3500" s="3">
        <v>1127.6400000000001</v>
      </c>
      <c r="E3500" s="3">
        <v>0</v>
      </c>
      <c r="F3500" t="s">
        <v>45</v>
      </c>
      <c r="G3500" s="3">
        <f t="shared" si="409"/>
        <v>-1127.6400000000001</v>
      </c>
      <c r="H3500" s="3">
        <f t="shared" si="410"/>
        <v>1127.6400000000001</v>
      </c>
      <c r="I3500" s="5" t="str">
        <f t="shared" si="411"/>
        <v>018</v>
      </c>
      <c r="J3500" s="5" t="str">
        <f t="shared" si="412"/>
        <v>2210</v>
      </c>
      <c r="K3500" s="5" t="str">
        <f t="shared" si="413"/>
        <v>000</v>
      </c>
      <c r="L3500" s="5">
        <f t="shared" si="414"/>
        <v>8</v>
      </c>
      <c r="M3500" s="5">
        <f t="shared" si="415"/>
        <v>2012</v>
      </c>
    </row>
    <row r="3501" spans="1:13" ht="17.45" customHeight="1" x14ac:dyDescent="0.25">
      <c r="A3501" s="1">
        <f>DATE(2012,8,19)</f>
        <v>41140</v>
      </c>
      <c r="B3501" t="s">
        <v>21</v>
      </c>
      <c r="C3501" t="s">
        <v>9</v>
      </c>
      <c r="D3501" s="3">
        <v>310.5</v>
      </c>
      <c r="E3501" s="3">
        <v>0</v>
      </c>
      <c r="F3501" t="s">
        <v>45</v>
      </c>
      <c r="G3501" s="3">
        <f t="shared" si="409"/>
        <v>-310.5</v>
      </c>
      <c r="H3501" s="3">
        <f t="shared" si="410"/>
        <v>310.5</v>
      </c>
      <c r="I3501" s="5" t="str">
        <f t="shared" si="411"/>
        <v>018</v>
      </c>
      <c r="J3501" s="5" t="str">
        <f t="shared" si="412"/>
        <v>2220</v>
      </c>
      <c r="K3501" s="5" t="str">
        <f t="shared" si="413"/>
        <v>000</v>
      </c>
      <c r="L3501" s="5">
        <f t="shared" si="414"/>
        <v>8</v>
      </c>
      <c r="M3501" s="5">
        <f t="shared" si="415"/>
        <v>2012</v>
      </c>
    </row>
    <row r="3502" spans="1:13" ht="17.45" customHeight="1" x14ac:dyDescent="0.25">
      <c r="A3502" s="1">
        <f>DATE(2012,8,19)</f>
        <v>41140</v>
      </c>
      <c r="B3502" t="s">
        <v>22</v>
      </c>
      <c r="C3502" t="s">
        <v>10</v>
      </c>
      <c r="D3502" s="3">
        <v>82.45</v>
      </c>
      <c r="E3502" s="3">
        <v>0</v>
      </c>
      <c r="F3502" t="s">
        <v>45</v>
      </c>
      <c r="G3502" s="3">
        <f t="shared" si="409"/>
        <v>-82.45</v>
      </c>
      <c r="H3502" s="3">
        <f t="shared" si="410"/>
        <v>82.45</v>
      </c>
      <c r="I3502" s="5" t="str">
        <f t="shared" si="411"/>
        <v>018</v>
      </c>
      <c r="J3502" s="5" t="str">
        <f t="shared" si="412"/>
        <v>2230</v>
      </c>
      <c r="K3502" s="5" t="str">
        <f t="shared" si="413"/>
        <v>000</v>
      </c>
      <c r="L3502" s="5">
        <f t="shared" si="414"/>
        <v>8</v>
      </c>
      <c r="M3502" s="5">
        <f t="shared" si="415"/>
        <v>2012</v>
      </c>
    </row>
    <row r="3503" spans="1:13" ht="17.45" customHeight="1" x14ac:dyDescent="0.25">
      <c r="A3503" s="1">
        <f>DATE(2012,8,20)</f>
        <v>41141</v>
      </c>
      <c r="B3503" t="s">
        <v>11</v>
      </c>
      <c r="C3503" t="s">
        <v>6</v>
      </c>
      <c r="D3503" s="3">
        <v>1604.2880000000002</v>
      </c>
      <c r="E3503" s="3">
        <v>0</v>
      </c>
      <c r="F3503" t="s">
        <v>45</v>
      </c>
      <c r="G3503" s="3">
        <f t="shared" si="409"/>
        <v>-1604.2880000000002</v>
      </c>
      <c r="H3503" s="3">
        <f t="shared" si="410"/>
        <v>1604.2880000000002</v>
      </c>
      <c r="I3503" s="5" t="str">
        <f t="shared" si="411"/>
        <v>016</v>
      </c>
      <c r="J3503" s="5" t="str">
        <f t="shared" si="412"/>
        <v>2100</v>
      </c>
      <c r="K3503" s="5" t="str">
        <f t="shared" si="413"/>
        <v>000</v>
      </c>
      <c r="L3503" s="5">
        <f t="shared" si="414"/>
        <v>8</v>
      </c>
      <c r="M3503" s="5">
        <f t="shared" si="415"/>
        <v>2012</v>
      </c>
    </row>
    <row r="3504" spans="1:13" ht="17.45" customHeight="1" x14ac:dyDescent="0.25">
      <c r="A3504" s="1">
        <f>DATE(2012,8,20)</f>
        <v>41141</v>
      </c>
      <c r="B3504" t="s">
        <v>12</v>
      </c>
      <c r="C3504" t="s">
        <v>8</v>
      </c>
      <c r="D3504" s="3">
        <v>466.70499999999998</v>
      </c>
      <c r="E3504" s="3">
        <v>0</v>
      </c>
      <c r="F3504" t="s">
        <v>45</v>
      </c>
      <c r="G3504" s="3">
        <f t="shared" si="409"/>
        <v>-466.70499999999998</v>
      </c>
      <c r="H3504" s="3">
        <f t="shared" si="410"/>
        <v>466.70499999999998</v>
      </c>
      <c r="I3504" s="5" t="str">
        <f t="shared" si="411"/>
        <v>016</v>
      </c>
      <c r="J3504" s="5" t="str">
        <f t="shared" si="412"/>
        <v>2210</v>
      </c>
      <c r="K3504" s="5" t="str">
        <f t="shared" si="413"/>
        <v>000</v>
      </c>
      <c r="L3504" s="5">
        <f t="shared" si="414"/>
        <v>8</v>
      </c>
      <c r="M3504" s="5">
        <f t="shared" si="415"/>
        <v>2012</v>
      </c>
    </row>
    <row r="3505" spans="1:13" ht="17.45" customHeight="1" x14ac:dyDescent="0.25">
      <c r="A3505" s="1">
        <f>DATE(2012,8,20)</f>
        <v>41141</v>
      </c>
      <c r="B3505" t="s">
        <v>13</v>
      </c>
      <c r="C3505" t="s">
        <v>9</v>
      </c>
      <c r="D3505" s="3">
        <v>61.792500000000004</v>
      </c>
      <c r="E3505" s="3">
        <v>0</v>
      </c>
      <c r="F3505" t="s">
        <v>45</v>
      </c>
      <c r="G3505" s="3">
        <f t="shared" si="409"/>
        <v>-61.792500000000004</v>
      </c>
      <c r="H3505" s="3">
        <f t="shared" si="410"/>
        <v>61.792500000000004</v>
      </c>
      <c r="I3505" s="5" t="str">
        <f t="shared" si="411"/>
        <v>016</v>
      </c>
      <c r="J3505" s="5" t="str">
        <f t="shared" si="412"/>
        <v>2220</v>
      </c>
      <c r="K3505" s="5" t="str">
        <f t="shared" si="413"/>
        <v>000</v>
      </c>
      <c r="L3505" s="5">
        <f t="shared" si="414"/>
        <v>8</v>
      </c>
      <c r="M3505" s="5">
        <f t="shared" si="415"/>
        <v>2012</v>
      </c>
    </row>
    <row r="3506" spans="1:13" ht="17.45" customHeight="1" x14ac:dyDescent="0.25">
      <c r="A3506" s="1">
        <f>DATE(2012,8,20)</f>
        <v>41141</v>
      </c>
      <c r="B3506" t="s">
        <v>14</v>
      </c>
      <c r="C3506" t="s">
        <v>10</v>
      </c>
      <c r="D3506" s="3">
        <v>120.33</v>
      </c>
      <c r="E3506" s="3">
        <v>0</v>
      </c>
      <c r="F3506" t="s">
        <v>45</v>
      </c>
      <c r="G3506" s="3">
        <f t="shared" si="409"/>
        <v>-120.33</v>
      </c>
      <c r="H3506" s="3">
        <f t="shared" si="410"/>
        <v>120.33</v>
      </c>
      <c r="I3506" s="5" t="str">
        <f t="shared" si="411"/>
        <v>016</v>
      </c>
      <c r="J3506" s="5" t="str">
        <f t="shared" si="412"/>
        <v>2230</v>
      </c>
      <c r="K3506" s="5" t="str">
        <f t="shared" si="413"/>
        <v>000</v>
      </c>
      <c r="L3506" s="5">
        <f t="shared" si="414"/>
        <v>8</v>
      </c>
      <c r="M3506" s="5">
        <f t="shared" si="415"/>
        <v>2012</v>
      </c>
    </row>
    <row r="3507" spans="1:13" ht="17.45" customHeight="1" x14ac:dyDescent="0.25">
      <c r="A3507" s="1">
        <f>DATE(2012,8,21)</f>
        <v>41142</v>
      </c>
      <c r="B3507" t="s">
        <v>11</v>
      </c>
      <c r="C3507" t="s">
        <v>6</v>
      </c>
      <c r="D3507" s="3">
        <v>4874.5917000000009</v>
      </c>
      <c r="E3507" s="3">
        <v>0</v>
      </c>
      <c r="F3507" t="s">
        <v>45</v>
      </c>
      <c r="G3507" s="3">
        <f t="shared" si="409"/>
        <v>-4874.5917000000009</v>
      </c>
      <c r="H3507" s="3">
        <f t="shared" si="410"/>
        <v>4874.5917000000009</v>
      </c>
      <c r="I3507" s="5" t="str">
        <f t="shared" si="411"/>
        <v>016</v>
      </c>
      <c r="J3507" s="5" t="str">
        <f t="shared" si="412"/>
        <v>2100</v>
      </c>
      <c r="K3507" s="5" t="str">
        <f t="shared" si="413"/>
        <v>000</v>
      </c>
      <c r="L3507" s="5">
        <f t="shared" si="414"/>
        <v>8</v>
      </c>
      <c r="M3507" s="5">
        <f t="shared" si="415"/>
        <v>2012</v>
      </c>
    </row>
    <row r="3508" spans="1:13" ht="17.45" customHeight="1" x14ac:dyDescent="0.25">
      <c r="A3508" s="1">
        <f>DATE(2012,8,21)</f>
        <v>41142</v>
      </c>
      <c r="B3508" t="s">
        <v>12</v>
      </c>
      <c r="C3508" t="s">
        <v>8</v>
      </c>
      <c r="D3508" s="3">
        <v>1571.9459999999999</v>
      </c>
      <c r="E3508" s="3">
        <v>0</v>
      </c>
      <c r="F3508" t="s">
        <v>45</v>
      </c>
      <c r="G3508" s="3">
        <f t="shared" si="409"/>
        <v>-1571.9459999999999</v>
      </c>
      <c r="H3508" s="3">
        <f t="shared" si="410"/>
        <v>1571.9459999999999</v>
      </c>
      <c r="I3508" s="5" t="str">
        <f t="shared" si="411"/>
        <v>016</v>
      </c>
      <c r="J3508" s="5" t="str">
        <f t="shared" si="412"/>
        <v>2210</v>
      </c>
      <c r="K3508" s="5" t="str">
        <f t="shared" si="413"/>
        <v>000</v>
      </c>
      <c r="L3508" s="5">
        <f t="shared" si="414"/>
        <v>8</v>
      </c>
      <c r="M3508" s="5">
        <f t="shared" si="415"/>
        <v>2012</v>
      </c>
    </row>
    <row r="3509" spans="1:13" ht="17.45" customHeight="1" x14ac:dyDescent="0.25">
      <c r="A3509" s="1">
        <f>DATE(2012,8,21)</f>
        <v>41142</v>
      </c>
      <c r="B3509" t="s">
        <v>13</v>
      </c>
      <c r="C3509" t="s">
        <v>9</v>
      </c>
      <c r="D3509" s="3">
        <v>704.72609999999997</v>
      </c>
      <c r="E3509" s="3">
        <v>0</v>
      </c>
      <c r="F3509" t="s">
        <v>45</v>
      </c>
      <c r="G3509" s="3">
        <f t="shared" si="409"/>
        <v>-704.72609999999997</v>
      </c>
      <c r="H3509" s="3">
        <f t="shared" si="410"/>
        <v>704.72609999999997</v>
      </c>
      <c r="I3509" s="5" t="str">
        <f t="shared" si="411"/>
        <v>016</v>
      </c>
      <c r="J3509" s="5" t="str">
        <f t="shared" si="412"/>
        <v>2220</v>
      </c>
      <c r="K3509" s="5" t="str">
        <f t="shared" si="413"/>
        <v>000</v>
      </c>
      <c r="L3509" s="5">
        <f t="shared" si="414"/>
        <v>8</v>
      </c>
      <c r="M3509" s="5">
        <f t="shared" si="415"/>
        <v>2012</v>
      </c>
    </row>
    <row r="3510" spans="1:13" ht="17.45" customHeight="1" x14ac:dyDescent="0.25">
      <c r="A3510" s="1">
        <f>DATE(2012,8,21)</f>
        <v>41142</v>
      </c>
      <c r="B3510" t="s">
        <v>14</v>
      </c>
      <c r="C3510" t="s">
        <v>10</v>
      </c>
      <c r="D3510" s="3">
        <v>129.92899999999997</v>
      </c>
      <c r="E3510" s="3">
        <v>0</v>
      </c>
      <c r="F3510" t="s">
        <v>45</v>
      </c>
      <c r="G3510" s="3">
        <f t="shared" si="409"/>
        <v>-129.92899999999997</v>
      </c>
      <c r="H3510" s="3">
        <f t="shared" si="410"/>
        <v>129.92899999999997</v>
      </c>
      <c r="I3510" s="5" t="str">
        <f t="shared" si="411"/>
        <v>016</v>
      </c>
      <c r="J3510" s="5" t="str">
        <f t="shared" si="412"/>
        <v>2230</v>
      </c>
      <c r="K3510" s="5" t="str">
        <f t="shared" si="413"/>
        <v>000</v>
      </c>
      <c r="L3510" s="5">
        <f t="shared" si="414"/>
        <v>8</v>
      </c>
      <c r="M3510" s="5">
        <f t="shared" si="415"/>
        <v>2012</v>
      </c>
    </row>
    <row r="3511" spans="1:13" ht="17.45" customHeight="1" x14ac:dyDescent="0.25">
      <c r="A3511" s="1">
        <f>DATE(2012,8,22)</f>
        <v>41143</v>
      </c>
      <c r="B3511" t="s">
        <v>11</v>
      </c>
      <c r="C3511" t="s">
        <v>6</v>
      </c>
      <c r="D3511" s="3">
        <v>2341.5728999999997</v>
      </c>
      <c r="E3511" s="3">
        <v>0</v>
      </c>
      <c r="F3511" t="s">
        <v>45</v>
      </c>
      <c r="G3511" s="3">
        <f t="shared" si="409"/>
        <v>-2341.5728999999997</v>
      </c>
      <c r="H3511" s="3">
        <f t="shared" si="410"/>
        <v>2341.5728999999997</v>
      </c>
      <c r="I3511" s="5" t="str">
        <f t="shared" si="411"/>
        <v>016</v>
      </c>
      <c r="J3511" s="5" t="str">
        <f t="shared" si="412"/>
        <v>2100</v>
      </c>
      <c r="K3511" s="5" t="str">
        <f t="shared" si="413"/>
        <v>000</v>
      </c>
      <c r="L3511" s="5">
        <f t="shared" si="414"/>
        <v>8</v>
      </c>
      <c r="M3511" s="5">
        <f t="shared" si="415"/>
        <v>2012</v>
      </c>
    </row>
    <row r="3512" spans="1:13" ht="17.45" customHeight="1" x14ac:dyDescent="0.25">
      <c r="A3512" s="1">
        <f>DATE(2012,8,22)</f>
        <v>41143</v>
      </c>
      <c r="B3512" t="s">
        <v>12</v>
      </c>
      <c r="C3512" t="s">
        <v>8</v>
      </c>
      <c r="D3512" s="3">
        <v>1000.9090000000001</v>
      </c>
      <c r="E3512" s="3">
        <v>0</v>
      </c>
      <c r="F3512" t="s">
        <v>45</v>
      </c>
      <c r="G3512" s="3">
        <f t="shared" si="409"/>
        <v>-1000.9090000000001</v>
      </c>
      <c r="H3512" s="3">
        <f t="shared" si="410"/>
        <v>1000.9090000000001</v>
      </c>
      <c r="I3512" s="5" t="str">
        <f t="shared" si="411"/>
        <v>016</v>
      </c>
      <c r="J3512" s="5" t="str">
        <f t="shared" si="412"/>
        <v>2210</v>
      </c>
      <c r="K3512" s="5" t="str">
        <f t="shared" si="413"/>
        <v>000</v>
      </c>
      <c r="L3512" s="5">
        <f t="shared" si="414"/>
        <v>8</v>
      </c>
      <c r="M3512" s="5">
        <f t="shared" si="415"/>
        <v>2012</v>
      </c>
    </row>
    <row r="3513" spans="1:13" ht="17.45" customHeight="1" x14ac:dyDescent="0.25">
      <c r="A3513" s="1">
        <f>DATE(2012,8,22)</f>
        <v>41143</v>
      </c>
      <c r="B3513" t="s">
        <v>13</v>
      </c>
      <c r="C3513" t="s">
        <v>9</v>
      </c>
      <c r="D3513" s="3">
        <v>68.72699999999999</v>
      </c>
      <c r="E3513" s="3">
        <v>0</v>
      </c>
      <c r="F3513" t="s">
        <v>45</v>
      </c>
      <c r="G3513" s="3">
        <f t="shared" si="409"/>
        <v>-68.72699999999999</v>
      </c>
      <c r="H3513" s="3">
        <f t="shared" si="410"/>
        <v>68.72699999999999</v>
      </c>
      <c r="I3513" s="5" t="str">
        <f t="shared" si="411"/>
        <v>016</v>
      </c>
      <c r="J3513" s="5" t="str">
        <f t="shared" si="412"/>
        <v>2220</v>
      </c>
      <c r="K3513" s="5" t="str">
        <f t="shared" si="413"/>
        <v>000</v>
      </c>
      <c r="L3513" s="5">
        <f t="shared" si="414"/>
        <v>8</v>
      </c>
      <c r="M3513" s="5">
        <f t="shared" si="415"/>
        <v>2012</v>
      </c>
    </row>
    <row r="3514" spans="1:13" ht="17.45" customHeight="1" x14ac:dyDescent="0.25">
      <c r="A3514" s="1">
        <f>DATE(2012,8,22)</f>
        <v>41143</v>
      </c>
      <c r="B3514" t="s">
        <v>14</v>
      </c>
      <c r="C3514" t="s">
        <v>10</v>
      </c>
      <c r="D3514" s="3">
        <v>32.064999999999998</v>
      </c>
      <c r="E3514" s="3">
        <v>0</v>
      </c>
      <c r="F3514" t="s">
        <v>45</v>
      </c>
      <c r="G3514" s="3">
        <f t="shared" si="409"/>
        <v>-32.064999999999998</v>
      </c>
      <c r="H3514" s="3">
        <f t="shared" si="410"/>
        <v>32.064999999999998</v>
      </c>
      <c r="I3514" s="5" t="str">
        <f t="shared" si="411"/>
        <v>016</v>
      </c>
      <c r="J3514" s="5" t="str">
        <f t="shared" si="412"/>
        <v>2230</v>
      </c>
      <c r="K3514" s="5" t="str">
        <f t="shared" si="413"/>
        <v>000</v>
      </c>
      <c r="L3514" s="5">
        <f t="shared" si="414"/>
        <v>8</v>
      </c>
      <c r="M3514" s="5">
        <f t="shared" si="415"/>
        <v>2012</v>
      </c>
    </row>
    <row r="3515" spans="1:13" ht="17.45" customHeight="1" x14ac:dyDescent="0.25">
      <c r="A3515" s="1">
        <f>DATE(2012,8,23)</f>
        <v>41144</v>
      </c>
      <c r="B3515" t="s">
        <v>11</v>
      </c>
      <c r="C3515" t="s">
        <v>6</v>
      </c>
      <c r="D3515" s="3">
        <v>3203.0567999999994</v>
      </c>
      <c r="E3515" s="3">
        <v>0</v>
      </c>
      <c r="F3515" t="s">
        <v>45</v>
      </c>
      <c r="G3515" s="3">
        <f t="shared" si="409"/>
        <v>-3203.0567999999994</v>
      </c>
      <c r="H3515" s="3">
        <f t="shared" si="410"/>
        <v>3203.0567999999994</v>
      </c>
      <c r="I3515" s="5" t="str">
        <f t="shared" si="411"/>
        <v>016</v>
      </c>
      <c r="J3515" s="5" t="str">
        <f t="shared" si="412"/>
        <v>2100</v>
      </c>
      <c r="K3515" s="5" t="str">
        <f t="shared" si="413"/>
        <v>000</v>
      </c>
      <c r="L3515" s="5">
        <f t="shared" si="414"/>
        <v>8</v>
      </c>
      <c r="M3515" s="5">
        <f t="shared" si="415"/>
        <v>2012</v>
      </c>
    </row>
    <row r="3516" spans="1:13" ht="17.45" customHeight="1" x14ac:dyDescent="0.25">
      <c r="A3516" s="1">
        <f>DATE(2012,8,23)</f>
        <v>41144</v>
      </c>
      <c r="B3516" t="s">
        <v>12</v>
      </c>
      <c r="C3516" t="s">
        <v>8</v>
      </c>
      <c r="D3516" s="3">
        <v>837.68</v>
      </c>
      <c r="E3516" s="3">
        <v>0</v>
      </c>
      <c r="F3516" t="s">
        <v>45</v>
      </c>
      <c r="G3516" s="3">
        <f t="shared" si="409"/>
        <v>-837.68</v>
      </c>
      <c r="H3516" s="3">
        <f t="shared" si="410"/>
        <v>837.68</v>
      </c>
      <c r="I3516" s="5" t="str">
        <f t="shared" si="411"/>
        <v>016</v>
      </c>
      <c r="J3516" s="5" t="str">
        <f t="shared" si="412"/>
        <v>2210</v>
      </c>
      <c r="K3516" s="5" t="str">
        <f t="shared" si="413"/>
        <v>000</v>
      </c>
      <c r="L3516" s="5">
        <f t="shared" si="414"/>
        <v>8</v>
      </c>
      <c r="M3516" s="5">
        <f t="shared" si="415"/>
        <v>2012</v>
      </c>
    </row>
    <row r="3517" spans="1:13" ht="17.45" customHeight="1" x14ac:dyDescent="0.25">
      <c r="A3517" s="1">
        <f>DATE(2012,8,23)</f>
        <v>41144</v>
      </c>
      <c r="B3517" t="s">
        <v>13</v>
      </c>
      <c r="C3517" t="s">
        <v>9</v>
      </c>
      <c r="D3517" s="3">
        <v>173.988</v>
      </c>
      <c r="E3517" s="3">
        <v>0</v>
      </c>
      <c r="F3517" t="s">
        <v>45</v>
      </c>
      <c r="G3517" s="3">
        <f t="shared" si="409"/>
        <v>-173.988</v>
      </c>
      <c r="H3517" s="3">
        <f t="shared" si="410"/>
        <v>173.988</v>
      </c>
      <c r="I3517" s="5" t="str">
        <f t="shared" si="411"/>
        <v>016</v>
      </c>
      <c r="J3517" s="5" t="str">
        <f t="shared" si="412"/>
        <v>2220</v>
      </c>
      <c r="K3517" s="5" t="str">
        <f t="shared" si="413"/>
        <v>000</v>
      </c>
      <c r="L3517" s="5">
        <f t="shared" si="414"/>
        <v>8</v>
      </c>
      <c r="M3517" s="5">
        <f t="shared" si="415"/>
        <v>2012</v>
      </c>
    </row>
    <row r="3518" spans="1:13" ht="17.45" customHeight="1" x14ac:dyDescent="0.25">
      <c r="A3518" s="1">
        <f>DATE(2012,8,23)</f>
        <v>41144</v>
      </c>
      <c r="B3518" t="s">
        <v>14</v>
      </c>
      <c r="C3518" t="s">
        <v>10</v>
      </c>
      <c r="D3518" s="3">
        <v>125.96999999999998</v>
      </c>
      <c r="E3518" s="3">
        <v>0</v>
      </c>
      <c r="F3518" t="s">
        <v>45</v>
      </c>
      <c r="G3518" s="3">
        <f t="shared" si="409"/>
        <v>-125.96999999999998</v>
      </c>
      <c r="H3518" s="3">
        <f t="shared" si="410"/>
        <v>125.96999999999998</v>
      </c>
      <c r="I3518" s="5" t="str">
        <f t="shared" si="411"/>
        <v>016</v>
      </c>
      <c r="J3518" s="5" t="str">
        <f t="shared" si="412"/>
        <v>2230</v>
      </c>
      <c r="K3518" s="5" t="str">
        <f t="shared" si="413"/>
        <v>000</v>
      </c>
      <c r="L3518" s="5">
        <f t="shared" si="414"/>
        <v>8</v>
      </c>
      <c r="M3518" s="5">
        <f t="shared" si="415"/>
        <v>2012</v>
      </c>
    </row>
    <row r="3519" spans="1:13" ht="17.45" customHeight="1" x14ac:dyDescent="0.25">
      <c r="A3519" s="1">
        <f>DATE(2012,8,24)</f>
        <v>41145</v>
      </c>
      <c r="B3519" t="s">
        <v>11</v>
      </c>
      <c r="C3519" t="s">
        <v>6</v>
      </c>
      <c r="D3519" s="3">
        <v>6012.1838999999991</v>
      </c>
      <c r="E3519" s="3">
        <v>0</v>
      </c>
      <c r="F3519" t="s">
        <v>45</v>
      </c>
      <c r="G3519" s="3">
        <f t="shared" si="409"/>
        <v>-6012.1838999999991</v>
      </c>
      <c r="H3519" s="3">
        <f t="shared" si="410"/>
        <v>6012.1838999999991</v>
      </c>
      <c r="I3519" s="5" t="str">
        <f t="shared" si="411"/>
        <v>016</v>
      </c>
      <c r="J3519" s="5" t="str">
        <f t="shared" si="412"/>
        <v>2100</v>
      </c>
      <c r="K3519" s="5" t="str">
        <f t="shared" si="413"/>
        <v>000</v>
      </c>
      <c r="L3519" s="5">
        <f t="shared" si="414"/>
        <v>8</v>
      </c>
      <c r="M3519" s="5">
        <f t="shared" si="415"/>
        <v>2012</v>
      </c>
    </row>
    <row r="3520" spans="1:13" ht="17.45" customHeight="1" x14ac:dyDescent="0.25">
      <c r="A3520" s="1">
        <f>DATE(2012,8,24)</f>
        <v>41145</v>
      </c>
      <c r="B3520" t="s">
        <v>12</v>
      </c>
      <c r="C3520" t="s">
        <v>8</v>
      </c>
      <c r="D3520" s="3">
        <v>2372.6559999999999</v>
      </c>
      <c r="E3520" s="3">
        <v>0</v>
      </c>
      <c r="F3520" t="s">
        <v>45</v>
      </c>
      <c r="G3520" s="3">
        <f t="shared" si="409"/>
        <v>-2372.6559999999999</v>
      </c>
      <c r="H3520" s="3">
        <f t="shared" si="410"/>
        <v>2372.6559999999999</v>
      </c>
      <c r="I3520" s="5" t="str">
        <f t="shared" si="411"/>
        <v>016</v>
      </c>
      <c r="J3520" s="5" t="str">
        <f t="shared" si="412"/>
        <v>2210</v>
      </c>
      <c r="K3520" s="5" t="str">
        <f t="shared" si="413"/>
        <v>000</v>
      </c>
      <c r="L3520" s="5">
        <f t="shared" si="414"/>
        <v>8</v>
      </c>
      <c r="M3520" s="5">
        <f t="shared" si="415"/>
        <v>2012</v>
      </c>
    </row>
    <row r="3521" spans="1:13" ht="17.45" customHeight="1" x14ac:dyDescent="0.25">
      <c r="A3521" s="1">
        <f>DATE(2012,8,24)</f>
        <v>41145</v>
      </c>
      <c r="B3521" t="s">
        <v>13</v>
      </c>
      <c r="C3521" t="s">
        <v>9</v>
      </c>
      <c r="D3521" s="3">
        <v>559.59749999999997</v>
      </c>
      <c r="E3521" s="3">
        <v>0</v>
      </c>
      <c r="F3521" t="s">
        <v>45</v>
      </c>
      <c r="G3521" s="3">
        <f t="shared" si="409"/>
        <v>-559.59749999999997</v>
      </c>
      <c r="H3521" s="3">
        <f t="shared" si="410"/>
        <v>559.59749999999997</v>
      </c>
      <c r="I3521" s="5" t="str">
        <f t="shared" si="411"/>
        <v>016</v>
      </c>
      <c r="J3521" s="5" t="str">
        <f t="shared" si="412"/>
        <v>2220</v>
      </c>
      <c r="K3521" s="5" t="str">
        <f t="shared" si="413"/>
        <v>000</v>
      </c>
      <c r="L3521" s="5">
        <f t="shared" si="414"/>
        <v>8</v>
      </c>
      <c r="M3521" s="5">
        <f t="shared" si="415"/>
        <v>2012</v>
      </c>
    </row>
    <row r="3522" spans="1:13" ht="17.45" customHeight="1" x14ac:dyDescent="0.25">
      <c r="A3522" s="1">
        <f>DATE(2012,8,24)</f>
        <v>41145</v>
      </c>
      <c r="B3522" t="s">
        <v>14</v>
      </c>
      <c r="C3522" t="s">
        <v>10</v>
      </c>
      <c r="D3522" s="3">
        <v>168.14999999999998</v>
      </c>
      <c r="E3522" s="3">
        <v>0</v>
      </c>
      <c r="F3522" t="s">
        <v>45</v>
      </c>
      <c r="G3522" s="3">
        <f t="shared" ref="G3522:G3585" si="416">E3522-D3522</f>
        <v>-168.14999999999998</v>
      </c>
      <c r="H3522" s="3">
        <f t="shared" ref="H3522:H3585" si="417">ABS(G3522)</f>
        <v>168.14999999999998</v>
      </c>
      <c r="I3522" s="5" t="str">
        <f t="shared" ref="I3522:I3585" si="418">MID(B3522,1,3)</f>
        <v>016</v>
      </c>
      <c r="J3522" s="5" t="str">
        <f t="shared" ref="J3522:J3585" si="419">MID(B3522,5,4)</f>
        <v>2230</v>
      </c>
      <c r="K3522" s="5" t="str">
        <f t="shared" ref="K3522:K3585" si="420">MID(B3522,10,3)</f>
        <v>000</v>
      </c>
      <c r="L3522" s="5">
        <f t="shared" ref="L3522:L3585" si="421">MONTH(A3522)</f>
        <v>8</v>
      </c>
      <c r="M3522" s="5">
        <f t="shared" ref="M3522:M3585" si="422">YEAR(A3522)</f>
        <v>2012</v>
      </c>
    </row>
    <row r="3523" spans="1:13" ht="17.45" customHeight="1" x14ac:dyDescent="0.25">
      <c r="A3523" s="1">
        <f>DATE(2012,8,25)</f>
        <v>41146</v>
      </c>
      <c r="B3523" t="s">
        <v>11</v>
      </c>
      <c r="C3523" t="s">
        <v>6</v>
      </c>
      <c r="D3523" s="3">
        <v>7198.7697000000007</v>
      </c>
      <c r="E3523" s="3">
        <v>0</v>
      </c>
      <c r="F3523" t="s">
        <v>45</v>
      </c>
      <c r="G3523" s="3">
        <f t="shared" si="416"/>
        <v>-7198.7697000000007</v>
      </c>
      <c r="H3523" s="3">
        <f t="shared" si="417"/>
        <v>7198.7697000000007</v>
      </c>
      <c r="I3523" s="5" t="str">
        <f t="shared" si="418"/>
        <v>016</v>
      </c>
      <c r="J3523" s="5" t="str">
        <f t="shared" si="419"/>
        <v>2100</v>
      </c>
      <c r="K3523" s="5" t="str">
        <f t="shared" si="420"/>
        <v>000</v>
      </c>
      <c r="L3523" s="5">
        <f t="shared" si="421"/>
        <v>8</v>
      </c>
      <c r="M3523" s="5">
        <f t="shared" si="422"/>
        <v>2012</v>
      </c>
    </row>
    <row r="3524" spans="1:13" ht="17.45" customHeight="1" x14ac:dyDescent="0.25">
      <c r="A3524" s="1">
        <f>DATE(2012,8,25)</f>
        <v>41146</v>
      </c>
      <c r="B3524" t="s">
        <v>12</v>
      </c>
      <c r="C3524" t="s">
        <v>8</v>
      </c>
      <c r="D3524" s="3">
        <v>2747.6849999999999</v>
      </c>
      <c r="E3524" s="3">
        <v>0</v>
      </c>
      <c r="F3524" t="s">
        <v>45</v>
      </c>
      <c r="G3524" s="3">
        <f t="shared" si="416"/>
        <v>-2747.6849999999999</v>
      </c>
      <c r="H3524" s="3">
        <f t="shared" si="417"/>
        <v>2747.6849999999999</v>
      </c>
      <c r="I3524" s="5" t="str">
        <f t="shared" si="418"/>
        <v>016</v>
      </c>
      <c r="J3524" s="5" t="str">
        <f t="shared" si="419"/>
        <v>2210</v>
      </c>
      <c r="K3524" s="5" t="str">
        <f t="shared" si="420"/>
        <v>000</v>
      </c>
      <c r="L3524" s="5">
        <f t="shared" si="421"/>
        <v>8</v>
      </c>
      <c r="M3524" s="5">
        <f t="shared" si="422"/>
        <v>2012</v>
      </c>
    </row>
    <row r="3525" spans="1:13" ht="17.45" customHeight="1" x14ac:dyDescent="0.25">
      <c r="A3525" s="1">
        <f>DATE(2012,8,25)</f>
        <v>41146</v>
      </c>
      <c r="B3525" t="s">
        <v>13</v>
      </c>
      <c r="C3525" t="s">
        <v>9</v>
      </c>
      <c r="D3525" s="3">
        <v>302.49599999999998</v>
      </c>
      <c r="E3525" s="3">
        <v>0</v>
      </c>
      <c r="F3525" t="s">
        <v>45</v>
      </c>
      <c r="G3525" s="3">
        <f t="shared" si="416"/>
        <v>-302.49599999999998</v>
      </c>
      <c r="H3525" s="3">
        <f t="shared" si="417"/>
        <v>302.49599999999998</v>
      </c>
      <c r="I3525" s="5" t="str">
        <f t="shared" si="418"/>
        <v>016</v>
      </c>
      <c r="J3525" s="5" t="str">
        <f t="shared" si="419"/>
        <v>2220</v>
      </c>
      <c r="K3525" s="5" t="str">
        <f t="shared" si="420"/>
        <v>000</v>
      </c>
      <c r="L3525" s="5">
        <f t="shared" si="421"/>
        <v>8</v>
      </c>
      <c r="M3525" s="5">
        <f t="shared" si="422"/>
        <v>2012</v>
      </c>
    </row>
    <row r="3526" spans="1:13" ht="17.45" customHeight="1" x14ac:dyDescent="0.25">
      <c r="A3526" s="1">
        <f>DATE(2012,8,25)</f>
        <v>41146</v>
      </c>
      <c r="B3526" t="s">
        <v>14</v>
      </c>
      <c r="C3526" t="s">
        <v>10</v>
      </c>
      <c r="D3526" s="3">
        <v>90.847999999999999</v>
      </c>
      <c r="E3526" s="3">
        <v>0</v>
      </c>
      <c r="F3526" t="s">
        <v>45</v>
      </c>
      <c r="G3526" s="3">
        <f t="shared" si="416"/>
        <v>-90.847999999999999</v>
      </c>
      <c r="H3526" s="3">
        <f t="shared" si="417"/>
        <v>90.847999999999999</v>
      </c>
      <c r="I3526" s="5" t="str">
        <f t="shared" si="418"/>
        <v>016</v>
      </c>
      <c r="J3526" s="5" t="str">
        <f t="shared" si="419"/>
        <v>2230</v>
      </c>
      <c r="K3526" s="5" t="str">
        <f t="shared" si="420"/>
        <v>000</v>
      </c>
      <c r="L3526" s="5">
        <f t="shared" si="421"/>
        <v>8</v>
      </c>
      <c r="M3526" s="5">
        <f t="shared" si="422"/>
        <v>2012</v>
      </c>
    </row>
    <row r="3527" spans="1:13" ht="17.45" customHeight="1" x14ac:dyDescent="0.25">
      <c r="A3527" s="1">
        <f>DATE(2012,8,26)</f>
        <v>41147</v>
      </c>
      <c r="B3527" t="s">
        <v>11</v>
      </c>
      <c r="C3527" t="s">
        <v>6</v>
      </c>
      <c r="D3527" s="3">
        <v>1118.2649999999999</v>
      </c>
      <c r="E3527" s="3">
        <v>0</v>
      </c>
      <c r="F3527" t="s">
        <v>45</v>
      </c>
      <c r="G3527" s="3">
        <f t="shared" si="416"/>
        <v>-1118.2649999999999</v>
      </c>
      <c r="H3527" s="3">
        <f t="shared" si="417"/>
        <v>1118.2649999999999</v>
      </c>
      <c r="I3527" s="5" t="str">
        <f t="shared" si="418"/>
        <v>016</v>
      </c>
      <c r="J3527" s="5" t="str">
        <f t="shared" si="419"/>
        <v>2100</v>
      </c>
      <c r="K3527" s="5" t="str">
        <f t="shared" si="420"/>
        <v>000</v>
      </c>
      <c r="L3527" s="5">
        <f t="shared" si="421"/>
        <v>8</v>
      </c>
      <c r="M3527" s="5">
        <f t="shared" si="422"/>
        <v>2012</v>
      </c>
    </row>
    <row r="3528" spans="1:13" ht="17.45" customHeight="1" x14ac:dyDescent="0.25">
      <c r="A3528" s="1">
        <f>DATE(2012,8,26)</f>
        <v>41147</v>
      </c>
      <c r="B3528" t="s">
        <v>12</v>
      </c>
      <c r="C3528" t="s">
        <v>8</v>
      </c>
      <c r="D3528" s="3">
        <v>248.24799999999999</v>
      </c>
      <c r="E3528" s="3">
        <v>0</v>
      </c>
      <c r="F3528" t="s">
        <v>45</v>
      </c>
      <c r="G3528" s="3">
        <f t="shared" si="416"/>
        <v>-248.24799999999999</v>
      </c>
      <c r="H3528" s="3">
        <f t="shared" si="417"/>
        <v>248.24799999999999</v>
      </c>
      <c r="I3528" s="5" t="str">
        <f t="shared" si="418"/>
        <v>016</v>
      </c>
      <c r="J3528" s="5" t="str">
        <f t="shared" si="419"/>
        <v>2210</v>
      </c>
      <c r="K3528" s="5" t="str">
        <f t="shared" si="420"/>
        <v>000</v>
      </c>
      <c r="L3528" s="5">
        <f t="shared" si="421"/>
        <v>8</v>
      </c>
      <c r="M3528" s="5">
        <f t="shared" si="422"/>
        <v>2012</v>
      </c>
    </row>
    <row r="3529" spans="1:13" ht="17.45" customHeight="1" x14ac:dyDescent="0.25">
      <c r="A3529" s="1">
        <f>DATE(2012,8,26)</f>
        <v>41147</v>
      </c>
      <c r="B3529" t="s">
        <v>13</v>
      </c>
      <c r="C3529" t="s">
        <v>9</v>
      </c>
      <c r="D3529" s="3">
        <v>43.375499999999995</v>
      </c>
      <c r="E3529" s="3">
        <v>0</v>
      </c>
      <c r="F3529" t="s">
        <v>45</v>
      </c>
      <c r="G3529" s="3">
        <f t="shared" si="416"/>
        <v>-43.375499999999995</v>
      </c>
      <c r="H3529" s="3">
        <f t="shared" si="417"/>
        <v>43.375499999999995</v>
      </c>
      <c r="I3529" s="5" t="str">
        <f t="shared" si="418"/>
        <v>016</v>
      </c>
      <c r="J3529" s="5" t="str">
        <f t="shared" si="419"/>
        <v>2220</v>
      </c>
      <c r="K3529" s="5" t="str">
        <f t="shared" si="420"/>
        <v>000</v>
      </c>
      <c r="L3529" s="5">
        <f t="shared" si="421"/>
        <v>8</v>
      </c>
      <c r="M3529" s="5">
        <f t="shared" si="422"/>
        <v>2012</v>
      </c>
    </row>
    <row r="3530" spans="1:13" ht="17.45" customHeight="1" x14ac:dyDescent="0.25">
      <c r="A3530" s="1">
        <f>DATE(2012,8,26)</f>
        <v>41147</v>
      </c>
      <c r="B3530" t="s">
        <v>14</v>
      </c>
      <c r="C3530" t="s">
        <v>10</v>
      </c>
      <c r="D3530" s="3">
        <v>21.975999999999999</v>
      </c>
      <c r="E3530" s="3">
        <v>0</v>
      </c>
      <c r="F3530" t="s">
        <v>45</v>
      </c>
      <c r="G3530" s="3">
        <f t="shared" si="416"/>
        <v>-21.975999999999999</v>
      </c>
      <c r="H3530" s="3">
        <f t="shared" si="417"/>
        <v>21.975999999999999</v>
      </c>
      <c r="I3530" s="5" t="str">
        <f t="shared" si="418"/>
        <v>016</v>
      </c>
      <c r="J3530" s="5" t="str">
        <f t="shared" si="419"/>
        <v>2230</v>
      </c>
      <c r="K3530" s="5" t="str">
        <f t="shared" si="420"/>
        <v>000</v>
      </c>
      <c r="L3530" s="5">
        <f t="shared" si="421"/>
        <v>8</v>
      </c>
      <c r="M3530" s="5">
        <f t="shared" si="422"/>
        <v>2012</v>
      </c>
    </row>
    <row r="3531" spans="1:13" ht="17.45" customHeight="1" x14ac:dyDescent="0.25">
      <c r="A3531" s="1">
        <f>DATE(2012,8,20)</f>
        <v>41141</v>
      </c>
      <c r="B3531" t="s">
        <v>15</v>
      </c>
      <c r="C3531" t="s">
        <v>6</v>
      </c>
      <c r="D3531" s="3">
        <v>3340.81</v>
      </c>
      <c r="E3531" s="3">
        <v>0</v>
      </c>
      <c r="F3531" t="s">
        <v>45</v>
      </c>
      <c r="G3531" s="3">
        <f t="shared" si="416"/>
        <v>-3340.81</v>
      </c>
      <c r="H3531" s="3">
        <f t="shared" si="417"/>
        <v>3340.81</v>
      </c>
      <c r="I3531" s="5" t="str">
        <f t="shared" si="418"/>
        <v>017</v>
      </c>
      <c r="J3531" s="5" t="str">
        <f t="shared" si="419"/>
        <v>2100</v>
      </c>
      <c r="K3531" s="5" t="str">
        <f t="shared" si="420"/>
        <v>000</v>
      </c>
      <c r="L3531" s="5">
        <f t="shared" si="421"/>
        <v>8</v>
      </c>
      <c r="M3531" s="5">
        <f t="shared" si="422"/>
        <v>2012</v>
      </c>
    </row>
    <row r="3532" spans="1:13" ht="17.45" customHeight="1" x14ac:dyDescent="0.25">
      <c r="A3532" s="1">
        <f>DATE(2012,8,20)</f>
        <v>41141</v>
      </c>
      <c r="B3532" t="s">
        <v>16</v>
      </c>
      <c r="C3532" t="s">
        <v>8</v>
      </c>
      <c r="D3532" s="3">
        <v>951.048</v>
      </c>
      <c r="E3532" s="3">
        <v>0</v>
      </c>
      <c r="F3532" t="s">
        <v>45</v>
      </c>
      <c r="G3532" s="3">
        <f t="shared" si="416"/>
        <v>-951.048</v>
      </c>
      <c r="H3532" s="3">
        <f t="shared" si="417"/>
        <v>951.048</v>
      </c>
      <c r="I3532" s="5" t="str">
        <f t="shared" si="418"/>
        <v>017</v>
      </c>
      <c r="J3532" s="5" t="str">
        <f t="shared" si="419"/>
        <v>2210</v>
      </c>
      <c r="K3532" s="5" t="str">
        <f t="shared" si="420"/>
        <v>000</v>
      </c>
      <c r="L3532" s="5">
        <f t="shared" si="421"/>
        <v>8</v>
      </c>
      <c r="M3532" s="5">
        <f t="shared" si="422"/>
        <v>2012</v>
      </c>
    </row>
    <row r="3533" spans="1:13" ht="17.45" customHeight="1" x14ac:dyDescent="0.25">
      <c r="A3533" s="1">
        <f>DATE(2012,8,20)</f>
        <v>41141</v>
      </c>
      <c r="B3533" t="s">
        <v>17</v>
      </c>
      <c r="C3533" t="s">
        <v>9</v>
      </c>
      <c r="D3533" s="3">
        <v>229.79999999999998</v>
      </c>
      <c r="E3533" s="3">
        <v>0</v>
      </c>
      <c r="F3533" t="s">
        <v>45</v>
      </c>
      <c r="G3533" s="3">
        <f t="shared" si="416"/>
        <v>-229.79999999999998</v>
      </c>
      <c r="H3533" s="3">
        <f t="shared" si="417"/>
        <v>229.79999999999998</v>
      </c>
      <c r="I3533" s="5" t="str">
        <f t="shared" si="418"/>
        <v>017</v>
      </c>
      <c r="J3533" s="5" t="str">
        <f t="shared" si="419"/>
        <v>2220</v>
      </c>
      <c r="K3533" s="5" t="str">
        <f t="shared" si="420"/>
        <v>000</v>
      </c>
      <c r="L3533" s="5">
        <f t="shared" si="421"/>
        <v>8</v>
      </c>
      <c r="M3533" s="5">
        <f t="shared" si="422"/>
        <v>2012</v>
      </c>
    </row>
    <row r="3534" spans="1:13" ht="17.45" customHeight="1" x14ac:dyDescent="0.25">
      <c r="A3534" s="1">
        <f>DATE(2012,8,20)</f>
        <v>41141</v>
      </c>
      <c r="B3534" t="s">
        <v>18</v>
      </c>
      <c r="C3534" t="s">
        <v>10</v>
      </c>
      <c r="D3534" s="3">
        <v>39.855999999999995</v>
      </c>
      <c r="E3534" s="3">
        <v>0</v>
      </c>
      <c r="F3534" t="s">
        <v>45</v>
      </c>
      <c r="G3534" s="3">
        <f t="shared" si="416"/>
        <v>-39.855999999999995</v>
      </c>
      <c r="H3534" s="3">
        <f t="shared" si="417"/>
        <v>39.855999999999995</v>
      </c>
      <c r="I3534" s="5" t="str">
        <f t="shared" si="418"/>
        <v>017</v>
      </c>
      <c r="J3534" s="5" t="str">
        <f t="shared" si="419"/>
        <v>2230</v>
      </c>
      <c r="K3534" s="5" t="str">
        <f t="shared" si="420"/>
        <v>000</v>
      </c>
      <c r="L3534" s="5">
        <f t="shared" si="421"/>
        <v>8</v>
      </c>
      <c r="M3534" s="5">
        <f t="shared" si="422"/>
        <v>2012</v>
      </c>
    </row>
    <row r="3535" spans="1:13" ht="17.45" customHeight="1" x14ac:dyDescent="0.25">
      <c r="A3535" s="1">
        <f>DATE(2012,8,21)</f>
        <v>41142</v>
      </c>
      <c r="B3535" t="s">
        <v>15</v>
      </c>
      <c r="C3535" t="s">
        <v>6</v>
      </c>
      <c r="D3535" s="3">
        <v>6530.0824999999995</v>
      </c>
      <c r="E3535" s="3">
        <v>0</v>
      </c>
      <c r="F3535" t="s">
        <v>45</v>
      </c>
      <c r="G3535" s="3">
        <f t="shared" si="416"/>
        <v>-6530.0824999999995</v>
      </c>
      <c r="H3535" s="3">
        <f t="shared" si="417"/>
        <v>6530.0824999999995</v>
      </c>
      <c r="I3535" s="5" t="str">
        <f t="shared" si="418"/>
        <v>017</v>
      </c>
      <c r="J3535" s="5" t="str">
        <f t="shared" si="419"/>
        <v>2100</v>
      </c>
      <c r="K3535" s="5" t="str">
        <f t="shared" si="420"/>
        <v>000</v>
      </c>
      <c r="L3535" s="5">
        <f t="shared" si="421"/>
        <v>8</v>
      </c>
      <c r="M3535" s="5">
        <f t="shared" si="422"/>
        <v>2012</v>
      </c>
    </row>
    <row r="3536" spans="1:13" ht="17.45" customHeight="1" x14ac:dyDescent="0.25">
      <c r="A3536" s="1">
        <f>DATE(2012,8,21)</f>
        <v>41142</v>
      </c>
      <c r="B3536" t="s">
        <v>16</v>
      </c>
      <c r="C3536" t="s">
        <v>8</v>
      </c>
      <c r="D3536" s="3">
        <v>2507.9249999999997</v>
      </c>
      <c r="E3536" s="3">
        <v>0</v>
      </c>
      <c r="F3536" t="s">
        <v>45</v>
      </c>
      <c r="G3536" s="3">
        <f t="shared" si="416"/>
        <v>-2507.9249999999997</v>
      </c>
      <c r="H3536" s="3">
        <f t="shared" si="417"/>
        <v>2507.9249999999997</v>
      </c>
      <c r="I3536" s="5" t="str">
        <f t="shared" si="418"/>
        <v>017</v>
      </c>
      <c r="J3536" s="5" t="str">
        <f t="shared" si="419"/>
        <v>2210</v>
      </c>
      <c r="K3536" s="5" t="str">
        <f t="shared" si="420"/>
        <v>000</v>
      </c>
      <c r="L3536" s="5">
        <f t="shared" si="421"/>
        <v>8</v>
      </c>
      <c r="M3536" s="5">
        <f t="shared" si="422"/>
        <v>2012</v>
      </c>
    </row>
    <row r="3537" spans="1:13" ht="17.45" customHeight="1" x14ac:dyDescent="0.25">
      <c r="A3537" s="1">
        <f>DATE(2012,8,21)</f>
        <v>41142</v>
      </c>
      <c r="B3537" t="s">
        <v>17</v>
      </c>
      <c r="C3537" t="s">
        <v>9</v>
      </c>
      <c r="D3537" s="3">
        <v>445.76</v>
      </c>
      <c r="E3537" s="3">
        <v>0</v>
      </c>
      <c r="F3537" t="s">
        <v>45</v>
      </c>
      <c r="G3537" s="3">
        <f t="shared" si="416"/>
        <v>-445.76</v>
      </c>
      <c r="H3537" s="3">
        <f t="shared" si="417"/>
        <v>445.76</v>
      </c>
      <c r="I3537" s="5" t="str">
        <f t="shared" si="418"/>
        <v>017</v>
      </c>
      <c r="J3537" s="5" t="str">
        <f t="shared" si="419"/>
        <v>2220</v>
      </c>
      <c r="K3537" s="5" t="str">
        <f t="shared" si="420"/>
        <v>000</v>
      </c>
      <c r="L3537" s="5">
        <f t="shared" si="421"/>
        <v>8</v>
      </c>
      <c r="M3537" s="5">
        <f t="shared" si="422"/>
        <v>2012</v>
      </c>
    </row>
    <row r="3538" spans="1:13" ht="17.45" customHeight="1" x14ac:dyDescent="0.25">
      <c r="A3538" s="1">
        <f>DATE(2012,8,21)</f>
        <v>41142</v>
      </c>
      <c r="B3538" t="s">
        <v>18</v>
      </c>
      <c r="C3538" t="s">
        <v>10</v>
      </c>
      <c r="D3538" s="3">
        <v>99.179000000000002</v>
      </c>
      <c r="E3538" s="3">
        <v>0</v>
      </c>
      <c r="F3538" t="s">
        <v>45</v>
      </c>
      <c r="G3538" s="3">
        <f t="shared" si="416"/>
        <v>-99.179000000000002</v>
      </c>
      <c r="H3538" s="3">
        <f t="shared" si="417"/>
        <v>99.179000000000002</v>
      </c>
      <c r="I3538" s="5" t="str">
        <f t="shared" si="418"/>
        <v>017</v>
      </c>
      <c r="J3538" s="5" t="str">
        <f t="shared" si="419"/>
        <v>2230</v>
      </c>
      <c r="K3538" s="5" t="str">
        <f t="shared" si="420"/>
        <v>000</v>
      </c>
      <c r="L3538" s="5">
        <f t="shared" si="421"/>
        <v>8</v>
      </c>
      <c r="M3538" s="5">
        <f t="shared" si="422"/>
        <v>2012</v>
      </c>
    </row>
    <row r="3539" spans="1:13" ht="17.45" customHeight="1" x14ac:dyDescent="0.25">
      <c r="A3539" s="1">
        <f>DATE(2012,8,22)</f>
        <v>41143</v>
      </c>
      <c r="B3539" t="s">
        <v>15</v>
      </c>
      <c r="C3539" t="s">
        <v>6</v>
      </c>
      <c r="D3539" s="3">
        <v>8595.2551000000003</v>
      </c>
      <c r="E3539" s="3">
        <v>0</v>
      </c>
      <c r="F3539" t="s">
        <v>45</v>
      </c>
      <c r="G3539" s="3">
        <f t="shared" si="416"/>
        <v>-8595.2551000000003</v>
      </c>
      <c r="H3539" s="3">
        <f t="shared" si="417"/>
        <v>8595.2551000000003</v>
      </c>
      <c r="I3539" s="5" t="str">
        <f t="shared" si="418"/>
        <v>017</v>
      </c>
      <c r="J3539" s="5" t="str">
        <f t="shared" si="419"/>
        <v>2100</v>
      </c>
      <c r="K3539" s="5" t="str">
        <f t="shared" si="420"/>
        <v>000</v>
      </c>
      <c r="L3539" s="5">
        <f t="shared" si="421"/>
        <v>8</v>
      </c>
      <c r="M3539" s="5">
        <f t="shared" si="422"/>
        <v>2012</v>
      </c>
    </row>
    <row r="3540" spans="1:13" ht="17.45" customHeight="1" x14ac:dyDescent="0.25">
      <c r="A3540" s="1">
        <f>DATE(2012,8,22)</f>
        <v>41143</v>
      </c>
      <c r="B3540" t="s">
        <v>16</v>
      </c>
      <c r="C3540" t="s">
        <v>8</v>
      </c>
      <c r="D3540" s="3">
        <v>1628.8219999999999</v>
      </c>
      <c r="E3540" s="3">
        <v>0</v>
      </c>
      <c r="F3540" t="s">
        <v>45</v>
      </c>
      <c r="G3540" s="3">
        <f t="shared" si="416"/>
        <v>-1628.8219999999999</v>
      </c>
      <c r="H3540" s="3">
        <f t="shared" si="417"/>
        <v>1628.8219999999999</v>
      </c>
      <c r="I3540" s="5" t="str">
        <f t="shared" si="418"/>
        <v>017</v>
      </c>
      <c r="J3540" s="5" t="str">
        <f t="shared" si="419"/>
        <v>2210</v>
      </c>
      <c r="K3540" s="5" t="str">
        <f t="shared" si="420"/>
        <v>000</v>
      </c>
      <c r="L3540" s="5">
        <f t="shared" si="421"/>
        <v>8</v>
      </c>
      <c r="M3540" s="5">
        <f t="shared" si="422"/>
        <v>2012</v>
      </c>
    </row>
    <row r="3541" spans="1:13" ht="17.45" customHeight="1" x14ac:dyDescent="0.25">
      <c r="A3541" s="1">
        <f>DATE(2012,8,22)</f>
        <v>41143</v>
      </c>
      <c r="B3541" t="s">
        <v>17</v>
      </c>
      <c r="C3541" t="s">
        <v>9</v>
      </c>
      <c r="D3541" s="3">
        <v>465.79500000000002</v>
      </c>
      <c r="E3541" s="3">
        <v>0</v>
      </c>
      <c r="F3541" t="s">
        <v>45</v>
      </c>
      <c r="G3541" s="3">
        <f t="shared" si="416"/>
        <v>-465.79500000000002</v>
      </c>
      <c r="H3541" s="3">
        <f t="shared" si="417"/>
        <v>465.79500000000002</v>
      </c>
      <c r="I3541" s="5" t="str">
        <f t="shared" si="418"/>
        <v>017</v>
      </c>
      <c r="J3541" s="5" t="str">
        <f t="shared" si="419"/>
        <v>2220</v>
      </c>
      <c r="K3541" s="5" t="str">
        <f t="shared" si="420"/>
        <v>000</v>
      </c>
      <c r="L3541" s="5">
        <f t="shared" si="421"/>
        <v>8</v>
      </c>
      <c r="M3541" s="5">
        <f t="shared" si="422"/>
        <v>2012</v>
      </c>
    </row>
    <row r="3542" spans="1:13" ht="17.45" customHeight="1" x14ac:dyDescent="0.25">
      <c r="A3542" s="1">
        <f>DATE(2012,8,22)</f>
        <v>41143</v>
      </c>
      <c r="B3542" t="s">
        <v>18</v>
      </c>
      <c r="C3542" t="s">
        <v>10</v>
      </c>
      <c r="D3542" s="3">
        <v>73.871999999999986</v>
      </c>
      <c r="E3542" s="3">
        <v>0</v>
      </c>
      <c r="F3542" t="s">
        <v>45</v>
      </c>
      <c r="G3542" s="3">
        <f t="shared" si="416"/>
        <v>-73.871999999999986</v>
      </c>
      <c r="H3542" s="3">
        <f t="shared" si="417"/>
        <v>73.871999999999986</v>
      </c>
      <c r="I3542" s="5" t="str">
        <f t="shared" si="418"/>
        <v>017</v>
      </c>
      <c r="J3542" s="5" t="str">
        <f t="shared" si="419"/>
        <v>2230</v>
      </c>
      <c r="K3542" s="5" t="str">
        <f t="shared" si="420"/>
        <v>000</v>
      </c>
      <c r="L3542" s="5">
        <f t="shared" si="421"/>
        <v>8</v>
      </c>
      <c r="M3542" s="5">
        <f t="shared" si="422"/>
        <v>2012</v>
      </c>
    </row>
    <row r="3543" spans="1:13" ht="17.45" customHeight="1" x14ac:dyDescent="0.25">
      <c r="A3543" s="1">
        <f>DATE(2012,8,23)</f>
        <v>41144</v>
      </c>
      <c r="B3543" t="s">
        <v>15</v>
      </c>
      <c r="C3543" t="s">
        <v>6</v>
      </c>
      <c r="D3543" s="3">
        <v>4142.1819999999998</v>
      </c>
      <c r="E3543" s="3">
        <v>0</v>
      </c>
      <c r="F3543" t="s">
        <v>45</v>
      </c>
      <c r="G3543" s="3">
        <f t="shared" si="416"/>
        <v>-4142.1819999999998</v>
      </c>
      <c r="H3543" s="3">
        <f t="shared" si="417"/>
        <v>4142.1819999999998</v>
      </c>
      <c r="I3543" s="5" t="str">
        <f t="shared" si="418"/>
        <v>017</v>
      </c>
      <c r="J3543" s="5" t="str">
        <f t="shared" si="419"/>
        <v>2100</v>
      </c>
      <c r="K3543" s="5" t="str">
        <f t="shared" si="420"/>
        <v>000</v>
      </c>
      <c r="L3543" s="5">
        <f t="shared" si="421"/>
        <v>8</v>
      </c>
      <c r="M3543" s="5">
        <f t="shared" si="422"/>
        <v>2012</v>
      </c>
    </row>
    <row r="3544" spans="1:13" ht="17.45" customHeight="1" x14ac:dyDescent="0.25">
      <c r="A3544" s="1">
        <f>DATE(2012,8,23)</f>
        <v>41144</v>
      </c>
      <c r="B3544" t="s">
        <v>16</v>
      </c>
      <c r="C3544" t="s">
        <v>8</v>
      </c>
      <c r="D3544" s="3">
        <v>1246.4404999999999</v>
      </c>
      <c r="E3544" s="3">
        <v>0</v>
      </c>
      <c r="F3544" t="s">
        <v>45</v>
      </c>
      <c r="G3544" s="3">
        <f t="shared" si="416"/>
        <v>-1246.4404999999999</v>
      </c>
      <c r="H3544" s="3">
        <f t="shared" si="417"/>
        <v>1246.4404999999999</v>
      </c>
      <c r="I3544" s="5" t="str">
        <f t="shared" si="418"/>
        <v>017</v>
      </c>
      <c r="J3544" s="5" t="str">
        <f t="shared" si="419"/>
        <v>2210</v>
      </c>
      <c r="K3544" s="5" t="str">
        <f t="shared" si="420"/>
        <v>000</v>
      </c>
      <c r="L3544" s="5">
        <f t="shared" si="421"/>
        <v>8</v>
      </c>
      <c r="M3544" s="5">
        <f t="shared" si="422"/>
        <v>2012</v>
      </c>
    </row>
    <row r="3545" spans="1:13" ht="17.45" customHeight="1" x14ac:dyDescent="0.25">
      <c r="A3545" s="1">
        <f>DATE(2012,8,23)</f>
        <v>41144</v>
      </c>
      <c r="B3545" t="s">
        <v>17</v>
      </c>
      <c r="C3545" t="s">
        <v>9</v>
      </c>
      <c r="D3545" s="3">
        <v>559.54999999999995</v>
      </c>
      <c r="E3545" s="3">
        <v>0</v>
      </c>
      <c r="F3545" t="s">
        <v>45</v>
      </c>
      <c r="G3545" s="3">
        <f t="shared" si="416"/>
        <v>-559.54999999999995</v>
      </c>
      <c r="H3545" s="3">
        <f t="shared" si="417"/>
        <v>559.54999999999995</v>
      </c>
      <c r="I3545" s="5" t="str">
        <f t="shared" si="418"/>
        <v>017</v>
      </c>
      <c r="J3545" s="5" t="str">
        <f t="shared" si="419"/>
        <v>2220</v>
      </c>
      <c r="K3545" s="5" t="str">
        <f t="shared" si="420"/>
        <v>000</v>
      </c>
      <c r="L3545" s="5">
        <f t="shared" si="421"/>
        <v>8</v>
      </c>
      <c r="M3545" s="5">
        <f t="shared" si="422"/>
        <v>2012</v>
      </c>
    </row>
    <row r="3546" spans="1:13" ht="17.45" customHeight="1" x14ac:dyDescent="0.25">
      <c r="A3546" s="1">
        <f>DATE(2012,8,23)</f>
        <v>41144</v>
      </c>
      <c r="B3546" t="s">
        <v>18</v>
      </c>
      <c r="C3546" t="s">
        <v>10</v>
      </c>
      <c r="D3546" s="3">
        <v>80.037499999999994</v>
      </c>
      <c r="E3546" s="3">
        <v>0</v>
      </c>
      <c r="F3546" t="s">
        <v>45</v>
      </c>
      <c r="G3546" s="3">
        <f t="shared" si="416"/>
        <v>-80.037499999999994</v>
      </c>
      <c r="H3546" s="3">
        <f t="shared" si="417"/>
        <v>80.037499999999994</v>
      </c>
      <c r="I3546" s="5" t="str">
        <f t="shared" si="418"/>
        <v>017</v>
      </c>
      <c r="J3546" s="5" t="str">
        <f t="shared" si="419"/>
        <v>2230</v>
      </c>
      <c r="K3546" s="5" t="str">
        <f t="shared" si="420"/>
        <v>000</v>
      </c>
      <c r="L3546" s="5">
        <f t="shared" si="421"/>
        <v>8</v>
      </c>
      <c r="M3546" s="5">
        <f t="shared" si="422"/>
        <v>2012</v>
      </c>
    </row>
    <row r="3547" spans="1:13" ht="17.45" customHeight="1" x14ac:dyDescent="0.25">
      <c r="A3547" s="1">
        <f>DATE(2012,8,24)</f>
        <v>41145</v>
      </c>
      <c r="B3547" t="s">
        <v>15</v>
      </c>
      <c r="C3547" t="s">
        <v>6</v>
      </c>
      <c r="D3547" s="3">
        <v>6594.1707999999999</v>
      </c>
      <c r="E3547" s="3">
        <v>0</v>
      </c>
      <c r="F3547" t="s">
        <v>45</v>
      </c>
      <c r="G3547" s="3">
        <f t="shared" si="416"/>
        <v>-6594.1707999999999</v>
      </c>
      <c r="H3547" s="3">
        <f t="shared" si="417"/>
        <v>6594.1707999999999</v>
      </c>
      <c r="I3547" s="5" t="str">
        <f t="shared" si="418"/>
        <v>017</v>
      </c>
      <c r="J3547" s="5" t="str">
        <f t="shared" si="419"/>
        <v>2100</v>
      </c>
      <c r="K3547" s="5" t="str">
        <f t="shared" si="420"/>
        <v>000</v>
      </c>
      <c r="L3547" s="5">
        <f t="shared" si="421"/>
        <v>8</v>
      </c>
      <c r="M3547" s="5">
        <f t="shared" si="422"/>
        <v>2012</v>
      </c>
    </row>
    <row r="3548" spans="1:13" ht="17.45" customHeight="1" x14ac:dyDescent="0.25">
      <c r="A3548" s="1">
        <f>DATE(2012,8,24)</f>
        <v>41145</v>
      </c>
      <c r="B3548" t="s">
        <v>16</v>
      </c>
      <c r="C3548" t="s">
        <v>8</v>
      </c>
      <c r="D3548" s="3">
        <v>2449.48</v>
      </c>
      <c r="E3548" s="3">
        <v>0</v>
      </c>
      <c r="F3548" t="s">
        <v>45</v>
      </c>
      <c r="G3548" s="3">
        <f t="shared" si="416"/>
        <v>-2449.48</v>
      </c>
      <c r="H3548" s="3">
        <f t="shared" si="417"/>
        <v>2449.48</v>
      </c>
      <c r="I3548" s="5" t="str">
        <f t="shared" si="418"/>
        <v>017</v>
      </c>
      <c r="J3548" s="5" t="str">
        <f t="shared" si="419"/>
        <v>2210</v>
      </c>
      <c r="K3548" s="5" t="str">
        <f t="shared" si="420"/>
        <v>000</v>
      </c>
      <c r="L3548" s="5">
        <f t="shared" si="421"/>
        <v>8</v>
      </c>
      <c r="M3548" s="5">
        <f t="shared" si="422"/>
        <v>2012</v>
      </c>
    </row>
    <row r="3549" spans="1:13" ht="17.45" customHeight="1" x14ac:dyDescent="0.25">
      <c r="A3549" s="1">
        <f>DATE(2012,8,24)</f>
        <v>41145</v>
      </c>
      <c r="B3549" t="s">
        <v>17</v>
      </c>
      <c r="C3549" t="s">
        <v>9</v>
      </c>
      <c r="D3549" s="3">
        <v>521.85</v>
      </c>
      <c r="E3549" s="3">
        <v>0</v>
      </c>
      <c r="F3549" t="s">
        <v>45</v>
      </c>
      <c r="G3549" s="3">
        <f t="shared" si="416"/>
        <v>-521.85</v>
      </c>
      <c r="H3549" s="3">
        <f t="shared" si="417"/>
        <v>521.85</v>
      </c>
      <c r="I3549" s="5" t="str">
        <f t="shared" si="418"/>
        <v>017</v>
      </c>
      <c r="J3549" s="5" t="str">
        <f t="shared" si="419"/>
        <v>2220</v>
      </c>
      <c r="K3549" s="5" t="str">
        <f t="shared" si="420"/>
        <v>000</v>
      </c>
      <c r="L3549" s="5">
        <f t="shared" si="421"/>
        <v>8</v>
      </c>
      <c r="M3549" s="5">
        <f t="shared" si="422"/>
        <v>2012</v>
      </c>
    </row>
    <row r="3550" spans="1:13" ht="17.45" customHeight="1" x14ac:dyDescent="0.25">
      <c r="A3550" s="1">
        <f>DATE(2012,8,24)</f>
        <v>41145</v>
      </c>
      <c r="B3550" t="s">
        <v>18</v>
      </c>
      <c r="C3550" t="s">
        <v>10</v>
      </c>
      <c r="D3550" s="3">
        <v>117.40649999999999</v>
      </c>
      <c r="E3550" s="3">
        <v>0</v>
      </c>
      <c r="F3550" t="s">
        <v>45</v>
      </c>
      <c r="G3550" s="3">
        <f t="shared" si="416"/>
        <v>-117.40649999999999</v>
      </c>
      <c r="H3550" s="3">
        <f t="shared" si="417"/>
        <v>117.40649999999999</v>
      </c>
      <c r="I3550" s="5" t="str">
        <f t="shared" si="418"/>
        <v>017</v>
      </c>
      <c r="J3550" s="5" t="str">
        <f t="shared" si="419"/>
        <v>2230</v>
      </c>
      <c r="K3550" s="5" t="str">
        <f t="shared" si="420"/>
        <v>000</v>
      </c>
      <c r="L3550" s="5">
        <f t="shared" si="421"/>
        <v>8</v>
      </c>
      <c r="M3550" s="5">
        <f t="shared" si="422"/>
        <v>2012</v>
      </c>
    </row>
    <row r="3551" spans="1:13" ht="17.45" customHeight="1" x14ac:dyDescent="0.25">
      <c r="A3551" s="1">
        <f>DATE(2012,8,25)</f>
        <v>41146</v>
      </c>
      <c r="B3551" t="s">
        <v>15</v>
      </c>
      <c r="C3551" t="s">
        <v>6</v>
      </c>
      <c r="D3551" s="3">
        <v>6845.4126000000006</v>
      </c>
      <c r="E3551" s="3">
        <v>0</v>
      </c>
      <c r="F3551" t="s">
        <v>45</v>
      </c>
      <c r="G3551" s="3">
        <f t="shared" si="416"/>
        <v>-6845.4126000000006</v>
      </c>
      <c r="H3551" s="3">
        <f t="shared" si="417"/>
        <v>6845.4126000000006</v>
      </c>
      <c r="I3551" s="5" t="str">
        <f t="shared" si="418"/>
        <v>017</v>
      </c>
      <c r="J3551" s="5" t="str">
        <f t="shared" si="419"/>
        <v>2100</v>
      </c>
      <c r="K3551" s="5" t="str">
        <f t="shared" si="420"/>
        <v>000</v>
      </c>
      <c r="L3551" s="5">
        <f t="shared" si="421"/>
        <v>8</v>
      </c>
      <c r="M3551" s="5">
        <f t="shared" si="422"/>
        <v>2012</v>
      </c>
    </row>
    <row r="3552" spans="1:13" ht="17.45" customHeight="1" x14ac:dyDescent="0.25">
      <c r="A3552" s="1">
        <f>DATE(2012,8,25)</f>
        <v>41146</v>
      </c>
      <c r="B3552" t="s">
        <v>16</v>
      </c>
      <c r="C3552" t="s">
        <v>8</v>
      </c>
      <c r="D3552" s="3">
        <v>1441.221</v>
      </c>
      <c r="E3552" s="3">
        <v>0</v>
      </c>
      <c r="F3552" t="s">
        <v>45</v>
      </c>
      <c r="G3552" s="3">
        <f t="shared" si="416"/>
        <v>-1441.221</v>
      </c>
      <c r="H3552" s="3">
        <f t="shared" si="417"/>
        <v>1441.221</v>
      </c>
      <c r="I3552" s="5" t="str">
        <f t="shared" si="418"/>
        <v>017</v>
      </c>
      <c r="J3552" s="5" t="str">
        <f t="shared" si="419"/>
        <v>2210</v>
      </c>
      <c r="K3552" s="5" t="str">
        <f t="shared" si="420"/>
        <v>000</v>
      </c>
      <c r="L3552" s="5">
        <f t="shared" si="421"/>
        <v>8</v>
      </c>
      <c r="M3552" s="5">
        <f t="shared" si="422"/>
        <v>2012</v>
      </c>
    </row>
    <row r="3553" spans="1:13" ht="17.45" customHeight="1" x14ac:dyDescent="0.25">
      <c r="A3553" s="1">
        <f>DATE(2012,8,25)</f>
        <v>41146</v>
      </c>
      <c r="B3553" t="s">
        <v>17</v>
      </c>
      <c r="C3553" t="s">
        <v>9</v>
      </c>
      <c r="D3553" s="3">
        <v>554.32499999999993</v>
      </c>
      <c r="E3553" s="3">
        <v>0</v>
      </c>
      <c r="F3553" t="s">
        <v>45</v>
      </c>
      <c r="G3553" s="3">
        <f t="shared" si="416"/>
        <v>-554.32499999999993</v>
      </c>
      <c r="H3553" s="3">
        <f t="shared" si="417"/>
        <v>554.32499999999993</v>
      </c>
      <c r="I3553" s="5" t="str">
        <f t="shared" si="418"/>
        <v>017</v>
      </c>
      <c r="J3553" s="5" t="str">
        <f t="shared" si="419"/>
        <v>2220</v>
      </c>
      <c r="K3553" s="5" t="str">
        <f t="shared" si="420"/>
        <v>000</v>
      </c>
      <c r="L3553" s="5">
        <f t="shared" si="421"/>
        <v>8</v>
      </c>
      <c r="M3553" s="5">
        <f t="shared" si="422"/>
        <v>2012</v>
      </c>
    </row>
    <row r="3554" spans="1:13" ht="17.45" customHeight="1" x14ac:dyDescent="0.25">
      <c r="A3554" s="1">
        <f>DATE(2012,8,25)</f>
        <v>41146</v>
      </c>
      <c r="B3554" t="s">
        <v>18</v>
      </c>
      <c r="C3554" t="s">
        <v>10</v>
      </c>
      <c r="D3554" s="3">
        <v>111.49199999999999</v>
      </c>
      <c r="E3554" s="3">
        <v>0</v>
      </c>
      <c r="F3554" t="s">
        <v>45</v>
      </c>
      <c r="G3554" s="3">
        <f t="shared" si="416"/>
        <v>-111.49199999999999</v>
      </c>
      <c r="H3554" s="3">
        <f t="shared" si="417"/>
        <v>111.49199999999999</v>
      </c>
      <c r="I3554" s="5" t="str">
        <f t="shared" si="418"/>
        <v>017</v>
      </c>
      <c r="J3554" s="5" t="str">
        <f t="shared" si="419"/>
        <v>2230</v>
      </c>
      <c r="K3554" s="5" t="str">
        <f t="shared" si="420"/>
        <v>000</v>
      </c>
      <c r="L3554" s="5">
        <f t="shared" si="421"/>
        <v>8</v>
      </c>
      <c r="M3554" s="5">
        <f t="shared" si="422"/>
        <v>2012</v>
      </c>
    </row>
    <row r="3555" spans="1:13" ht="17.45" customHeight="1" x14ac:dyDescent="0.25">
      <c r="A3555" s="1">
        <f>DATE(2012,8,26)</f>
        <v>41147</v>
      </c>
      <c r="B3555" t="s">
        <v>15</v>
      </c>
      <c r="C3555" t="s">
        <v>6</v>
      </c>
      <c r="D3555" s="3">
        <v>5692.3923999999997</v>
      </c>
      <c r="E3555" s="3">
        <v>0</v>
      </c>
      <c r="F3555" t="s">
        <v>45</v>
      </c>
      <c r="G3555" s="3">
        <f t="shared" si="416"/>
        <v>-5692.3923999999997</v>
      </c>
      <c r="H3555" s="3">
        <f t="shared" si="417"/>
        <v>5692.3923999999997</v>
      </c>
      <c r="I3555" s="5" t="str">
        <f t="shared" si="418"/>
        <v>017</v>
      </c>
      <c r="J3555" s="5" t="str">
        <f t="shared" si="419"/>
        <v>2100</v>
      </c>
      <c r="K3555" s="5" t="str">
        <f t="shared" si="420"/>
        <v>000</v>
      </c>
      <c r="L3555" s="5">
        <f t="shared" si="421"/>
        <v>8</v>
      </c>
      <c r="M3555" s="5">
        <f t="shared" si="422"/>
        <v>2012</v>
      </c>
    </row>
    <row r="3556" spans="1:13" ht="17.45" customHeight="1" x14ac:dyDescent="0.25">
      <c r="A3556" s="1">
        <f>DATE(2012,8,26)</f>
        <v>41147</v>
      </c>
      <c r="B3556" t="s">
        <v>16</v>
      </c>
      <c r="C3556" t="s">
        <v>8</v>
      </c>
      <c r="D3556" s="3">
        <v>1172.1099999999999</v>
      </c>
      <c r="E3556" s="3">
        <v>0</v>
      </c>
      <c r="F3556" t="s">
        <v>45</v>
      </c>
      <c r="G3556" s="3">
        <f t="shared" si="416"/>
        <v>-1172.1099999999999</v>
      </c>
      <c r="H3556" s="3">
        <f t="shared" si="417"/>
        <v>1172.1099999999999</v>
      </c>
      <c r="I3556" s="5" t="str">
        <f t="shared" si="418"/>
        <v>017</v>
      </c>
      <c r="J3556" s="5" t="str">
        <f t="shared" si="419"/>
        <v>2210</v>
      </c>
      <c r="K3556" s="5" t="str">
        <f t="shared" si="420"/>
        <v>000</v>
      </c>
      <c r="L3556" s="5">
        <f t="shared" si="421"/>
        <v>8</v>
      </c>
      <c r="M3556" s="5">
        <f t="shared" si="422"/>
        <v>2012</v>
      </c>
    </row>
    <row r="3557" spans="1:13" ht="17.45" customHeight="1" x14ac:dyDescent="0.25">
      <c r="A3557" s="1">
        <f>DATE(2012,8,26)</f>
        <v>41147</v>
      </c>
      <c r="B3557" t="s">
        <v>17</v>
      </c>
      <c r="C3557" t="s">
        <v>9</v>
      </c>
      <c r="D3557" s="3">
        <v>144.84</v>
      </c>
      <c r="E3557" s="3">
        <v>0</v>
      </c>
      <c r="F3557" t="s">
        <v>45</v>
      </c>
      <c r="G3557" s="3">
        <f t="shared" si="416"/>
        <v>-144.84</v>
      </c>
      <c r="H3557" s="3">
        <f t="shared" si="417"/>
        <v>144.84</v>
      </c>
      <c r="I3557" s="5" t="str">
        <f t="shared" si="418"/>
        <v>017</v>
      </c>
      <c r="J3557" s="5" t="str">
        <f t="shared" si="419"/>
        <v>2220</v>
      </c>
      <c r="K3557" s="5" t="str">
        <f t="shared" si="420"/>
        <v>000</v>
      </c>
      <c r="L3557" s="5">
        <f t="shared" si="421"/>
        <v>8</v>
      </c>
      <c r="M3557" s="5">
        <f t="shared" si="422"/>
        <v>2012</v>
      </c>
    </row>
    <row r="3558" spans="1:13" ht="17.45" customHeight="1" x14ac:dyDescent="0.25">
      <c r="A3558" s="1">
        <f>DATE(2012,8,26)</f>
        <v>41147</v>
      </c>
      <c r="B3558" t="s">
        <v>18</v>
      </c>
      <c r="C3558" t="s">
        <v>10</v>
      </c>
      <c r="D3558" s="3">
        <v>71.72</v>
      </c>
      <c r="E3558" s="3">
        <v>0</v>
      </c>
      <c r="F3558" t="s">
        <v>45</v>
      </c>
      <c r="G3558" s="3">
        <f t="shared" si="416"/>
        <v>-71.72</v>
      </c>
      <c r="H3558" s="3">
        <f t="shared" si="417"/>
        <v>71.72</v>
      </c>
      <c r="I3558" s="5" t="str">
        <f t="shared" si="418"/>
        <v>017</v>
      </c>
      <c r="J3558" s="5" t="str">
        <f t="shared" si="419"/>
        <v>2230</v>
      </c>
      <c r="K3558" s="5" t="str">
        <f t="shared" si="420"/>
        <v>000</v>
      </c>
      <c r="L3558" s="5">
        <f t="shared" si="421"/>
        <v>8</v>
      </c>
      <c r="M3558" s="5">
        <f t="shared" si="422"/>
        <v>2012</v>
      </c>
    </row>
    <row r="3559" spans="1:13" ht="17.45" customHeight="1" x14ac:dyDescent="0.25">
      <c r="A3559" s="1">
        <f>DATE(2012,8,20)</f>
        <v>41141</v>
      </c>
      <c r="B3559" t="s">
        <v>19</v>
      </c>
      <c r="C3559" t="s">
        <v>6</v>
      </c>
      <c r="D3559" s="3">
        <v>4722.2865999999995</v>
      </c>
      <c r="E3559" s="3">
        <v>0</v>
      </c>
      <c r="F3559" t="s">
        <v>45</v>
      </c>
      <c r="G3559" s="3">
        <f t="shared" si="416"/>
        <v>-4722.2865999999995</v>
      </c>
      <c r="H3559" s="3">
        <f t="shared" si="417"/>
        <v>4722.2865999999995</v>
      </c>
      <c r="I3559" s="5" t="str">
        <f t="shared" si="418"/>
        <v>018</v>
      </c>
      <c r="J3559" s="5" t="str">
        <f t="shared" si="419"/>
        <v>2100</v>
      </c>
      <c r="K3559" s="5" t="str">
        <f t="shared" si="420"/>
        <v>000</v>
      </c>
      <c r="L3559" s="5">
        <f t="shared" si="421"/>
        <v>8</v>
      </c>
      <c r="M3559" s="5">
        <f t="shared" si="422"/>
        <v>2012</v>
      </c>
    </row>
    <row r="3560" spans="1:13" ht="17.45" customHeight="1" x14ac:dyDescent="0.25">
      <c r="A3560" s="1">
        <f>DATE(2012,8,20)</f>
        <v>41141</v>
      </c>
      <c r="B3560" t="s">
        <v>20</v>
      </c>
      <c r="C3560" t="s">
        <v>8</v>
      </c>
      <c r="D3560" s="3">
        <v>751.63199999999995</v>
      </c>
      <c r="E3560" s="3">
        <v>0</v>
      </c>
      <c r="F3560" t="s">
        <v>45</v>
      </c>
      <c r="G3560" s="3">
        <f t="shared" si="416"/>
        <v>-751.63199999999995</v>
      </c>
      <c r="H3560" s="3">
        <f t="shared" si="417"/>
        <v>751.63199999999995</v>
      </c>
      <c r="I3560" s="5" t="str">
        <f t="shared" si="418"/>
        <v>018</v>
      </c>
      <c r="J3560" s="5" t="str">
        <f t="shared" si="419"/>
        <v>2210</v>
      </c>
      <c r="K3560" s="5" t="str">
        <f t="shared" si="420"/>
        <v>000</v>
      </c>
      <c r="L3560" s="5">
        <f t="shared" si="421"/>
        <v>8</v>
      </c>
      <c r="M3560" s="5">
        <f t="shared" si="422"/>
        <v>2012</v>
      </c>
    </row>
    <row r="3561" spans="1:13" ht="17.45" customHeight="1" x14ac:dyDescent="0.25">
      <c r="A3561" s="1">
        <f>DATE(2012,8,20)</f>
        <v>41141</v>
      </c>
      <c r="B3561" t="s">
        <v>21</v>
      </c>
      <c r="C3561" t="s">
        <v>9</v>
      </c>
      <c r="D3561" s="3">
        <v>173.41649999999998</v>
      </c>
      <c r="E3561" s="3">
        <v>0</v>
      </c>
      <c r="F3561" t="s">
        <v>45</v>
      </c>
      <c r="G3561" s="3">
        <f t="shared" si="416"/>
        <v>-173.41649999999998</v>
      </c>
      <c r="H3561" s="3">
        <f t="shared" si="417"/>
        <v>173.41649999999998</v>
      </c>
      <c r="I3561" s="5" t="str">
        <f t="shared" si="418"/>
        <v>018</v>
      </c>
      <c r="J3561" s="5" t="str">
        <f t="shared" si="419"/>
        <v>2220</v>
      </c>
      <c r="K3561" s="5" t="str">
        <f t="shared" si="420"/>
        <v>000</v>
      </c>
      <c r="L3561" s="5">
        <f t="shared" si="421"/>
        <v>8</v>
      </c>
      <c r="M3561" s="5">
        <f t="shared" si="422"/>
        <v>2012</v>
      </c>
    </row>
    <row r="3562" spans="1:13" ht="17.45" customHeight="1" x14ac:dyDescent="0.25">
      <c r="A3562" s="1">
        <f>DATE(2012,8,20)</f>
        <v>41141</v>
      </c>
      <c r="B3562" t="s">
        <v>22</v>
      </c>
      <c r="C3562" t="s">
        <v>10</v>
      </c>
      <c r="D3562" s="3">
        <v>26.076000000000001</v>
      </c>
      <c r="E3562" s="3">
        <v>0</v>
      </c>
      <c r="F3562" t="s">
        <v>45</v>
      </c>
      <c r="G3562" s="3">
        <f t="shared" si="416"/>
        <v>-26.076000000000001</v>
      </c>
      <c r="H3562" s="3">
        <f t="shared" si="417"/>
        <v>26.076000000000001</v>
      </c>
      <c r="I3562" s="5" t="str">
        <f t="shared" si="418"/>
        <v>018</v>
      </c>
      <c r="J3562" s="5" t="str">
        <f t="shared" si="419"/>
        <v>2230</v>
      </c>
      <c r="K3562" s="5" t="str">
        <f t="shared" si="420"/>
        <v>000</v>
      </c>
      <c r="L3562" s="5">
        <f t="shared" si="421"/>
        <v>8</v>
      </c>
      <c r="M3562" s="5">
        <f t="shared" si="422"/>
        <v>2012</v>
      </c>
    </row>
    <row r="3563" spans="1:13" ht="17.45" customHeight="1" x14ac:dyDescent="0.25">
      <c r="A3563" s="1">
        <f>DATE(2012,8,21)</f>
        <v>41142</v>
      </c>
      <c r="B3563" t="s">
        <v>19</v>
      </c>
      <c r="C3563" t="s">
        <v>6</v>
      </c>
      <c r="D3563" s="3">
        <v>4643.8404</v>
      </c>
      <c r="E3563" s="3">
        <v>0</v>
      </c>
      <c r="F3563" t="s">
        <v>45</v>
      </c>
      <c r="G3563" s="3">
        <f t="shared" si="416"/>
        <v>-4643.8404</v>
      </c>
      <c r="H3563" s="3">
        <f t="shared" si="417"/>
        <v>4643.8404</v>
      </c>
      <c r="I3563" s="5" t="str">
        <f t="shared" si="418"/>
        <v>018</v>
      </c>
      <c r="J3563" s="5" t="str">
        <f t="shared" si="419"/>
        <v>2100</v>
      </c>
      <c r="K3563" s="5" t="str">
        <f t="shared" si="420"/>
        <v>000</v>
      </c>
      <c r="L3563" s="5">
        <f t="shared" si="421"/>
        <v>8</v>
      </c>
      <c r="M3563" s="5">
        <f t="shared" si="422"/>
        <v>2012</v>
      </c>
    </row>
    <row r="3564" spans="1:13" ht="17.45" customHeight="1" x14ac:dyDescent="0.25">
      <c r="A3564" s="1">
        <f>DATE(2012,8,21)</f>
        <v>41142</v>
      </c>
      <c r="B3564" t="s">
        <v>20</v>
      </c>
      <c r="C3564" t="s">
        <v>8</v>
      </c>
      <c r="D3564" s="3">
        <v>1109.2279999999998</v>
      </c>
      <c r="E3564" s="3">
        <v>0</v>
      </c>
      <c r="F3564" t="s">
        <v>45</v>
      </c>
      <c r="G3564" s="3">
        <f t="shared" si="416"/>
        <v>-1109.2279999999998</v>
      </c>
      <c r="H3564" s="3">
        <f t="shared" si="417"/>
        <v>1109.2279999999998</v>
      </c>
      <c r="I3564" s="5" t="str">
        <f t="shared" si="418"/>
        <v>018</v>
      </c>
      <c r="J3564" s="5" t="str">
        <f t="shared" si="419"/>
        <v>2210</v>
      </c>
      <c r="K3564" s="5" t="str">
        <f t="shared" si="420"/>
        <v>000</v>
      </c>
      <c r="L3564" s="5">
        <f t="shared" si="421"/>
        <v>8</v>
      </c>
      <c r="M3564" s="5">
        <f t="shared" si="422"/>
        <v>2012</v>
      </c>
    </row>
    <row r="3565" spans="1:13" ht="17.45" customHeight="1" x14ac:dyDescent="0.25">
      <c r="A3565" s="1">
        <f>DATE(2012,8,21)</f>
        <v>41142</v>
      </c>
      <c r="B3565" t="s">
        <v>21</v>
      </c>
      <c r="C3565" t="s">
        <v>9</v>
      </c>
      <c r="D3565" s="3">
        <v>135.72999999999999</v>
      </c>
      <c r="E3565" s="3">
        <v>0</v>
      </c>
      <c r="F3565" t="s">
        <v>45</v>
      </c>
      <c r="G3565" s="3">
        <f t="shared" si="416"/>
        <v>-135.72999999999999</v>
      </c>
      <c r="H3565" s="3">
        <f t="shared" si="417"/>
        <v>135.72999999999999</v>
      </c>
      <c r="I3565" s="5" t="str">
        <f t="shared" si="418"/>
        <v>018</v>
      </c>
      <c r="J3565" s="5" t="str">
        <f t="shared" si="419"/>
        <v>2220</v>
      </c>
      <c r="K3565" s="5" t="str">
        <f t="shared" si="420"/>
        <v>000</v>
      </c>
      <c r="L3565" s="5">
        <f t="shared" si="421"/>
        <v>8</v>
      </c>
      <c r="M3565" s="5">
        <f t="shared" si="422"/>
        <v>2012</v>
      </c>
    </row>
    <row r="3566" spans="1:13" ht="17.45" customHeight="1" x14ac:dyDescent="0.25">
      <c r="A3566" s="1">
        <f>DATE(2012,8,21)</f>
        <v>41142</v>
      </c>
      <c r="B3566" t="s">
        <v>22</v>
      </c>
      <c r="C3566" t="s">
        <v>10</v>
      </c>
      <c r="D3566" s="3">
        <v>49.149000000000001</v>
      </c>
      <c r="E3566" s="3">
        <v>0</v>
      </c>
      <c r="F3566" t="s">
        <v>45</v>
      </c>
      <c r="G3566" s="3">
        <f t="shared" si="416"/>
        <v>-49.149000000000001</v>
      </c>
      <c r="H3566" s="3">
        <f t="shared" si="417"/>
        <v>49.149000000000001</v>
      </c>
      <c r="I3566" s="5" t="str">
        <f t="shared" si="418"/>
        <v>018</v>
      </c>
      <c r="J3566" s="5" t="str">
        <f t="shared" si="419"/>
        <v>2230</v>
      </c>
      <c r="K3566" s="5" t="str">
        <f t="shared" si="420"/>
        <v>000</v>
      </c>
      <c r="L3566" s="5">
        <f t="shared" si="421"/>
        <v>8</v>
      </c>
      <c r="M3566" s="5">
        <f t="shared" si="422"/>
        <v>2012</v>
      </c>
    </row>
    <row r="3567" spans="1:13" ht="17.45" customHeight="1" x14ac:dyDescent="0.25">
      <c r="A3567" s="1">
        <f>DATE(2012,8,22)</f>
        <v>41143</v>
      </c>
      <c r="B3567" t="s">
        <v>19</v>
      </c>
      <c r="C3567" t="s">
        <v>6</v>
      </c>
      <c r="D3567" s="3">
        <v>5580.7887999999994</v>
      </c>
      <c r="E3567" s="3">
        <v>0</v>
      </c>
      <c r="F3567" t="s">
        <v>45</v>
      </c>
      <c r="G3567" s="3">
        <f t="shared" si="416"/>
        <v>-5580.7887999999994</v>
      </c>
      <c r="H3567" s="3">
        <f t="shared" si="417"/>
        <v>5580.7887999999994</v>
      </c>
      <c r="I3567" s="5" t="str">
        <f t="shared" si="418"/>
        <v>018</v>
      </c>
      <c r="J3567" s="5" t="str">
        <f t="shared" si="419"/>
        <v>2100</v>
      </c>
      <c r="K3567" s="5" t="str">
        <f t="shared" si="420"/>
        <v>000</v>
      </c>
      <c r="L3567" s="5">
        <f t="shared" si="421"/>
        <v>8</v>
      </c>
      <c r="M3567" s="5">
        <f t="shared" si="422"/>
        <v>2012</v>
      </c>
    </row>
    <row r="3568" spans="1:13" ht="17.45" customHeight="1" x14ac:dyDescent="0.25">
      <c r="A3568" s="1">
        <f>DATE(2012,8,22)</f>
        <v>41143</v>
      </c>
      <c r="B3568" t="s">
        <v>20</v>
      </c>
      <c r="C3568" t="s">
        <v>8</v>
      </c>
      <c r="D3568" s="3">
        <v>673.93999999999994</v>
      </c>
      <c r="E3568" s="3">
        <v>0</v>
      </c>
      <c r="F3568" t="s">
        <v>45</v>
      </c>
      <c r="G3568" s="3">
        <f t="shared" si="416"/>
        <v>-673.93999999999994</v>
      </c>
      <c r="H3568" s="3">
        <f t="shared" si="417"/>
        <v>673.93999999999994</v>
      </c>
      <c r="I3568" s="5" t="str">
        <f t="shared" si="418"/>
        <v>018</v>
      </c>
      <c r="J3568" s="5" t="str">
        <f t="shared" si="419"/>
        <v>2210</v>
      </c>
      <c r="K3568" s="5" t="str">
        <f t="shared" si="420"/>
        <v>000</v>
      </c>
      <c r="L3568" s="5">
        <f t="shared" si="421"/>
        <v>8</v>
      </c>
      <c r="M3568" s="5">
        <f t="shared" si="422"/>
        <v>2012</v>
      </c>
    </row>
    <row r="3569" spans="1:13" ht="17.45" customHeight="1" x14ac:dyDescent="0.25">
      <c r="A3569" s="1">
        <f>DATE(2012,8,22)</f>
        <v>41143</v>
      </c>
      <c r="B3569" t="s">
        <v>21</v>
      </c>
      <c r="C3569" t="s">
        <v>9</v>
      </c>
      <c r="D3569" s="3">
        <v>165.42000000000002</v>
      </c>
      <c r="E3569" s="3">
        <v>0</v>
      </c>
      <c r="F3569" t="s">
        <v>45</v>
      </c>
      <c r="G3569" s="3">
        <f t="shared" si="416"/>
        <v>-165.42000000000002</v>
      </c>
      <c r="H3569" s="3">
        <f t="shared" si="417"/>
        <v>165.42000000000002</v>
      </c>
      <c r="I3569" s="5" t="str">
        <f t="shared" si="418"/>
        <v>018</v>
      </c>
      <c r="J3569" s="5" t="str">
        <f t="shared" si="419"/>
        <v>2220</v>
      </c>
      <c r="K3569" s="5" t="str">
        <f t="shared" si="420"/>
        <v>000</v>
      </c>
      <c r="L3569" s="5">
        <f t="shared" si="421"/>
        <v>8</v>
      </c>
      <c r="M3569" s="5">
        <f t="shared" si="422"/>
        <v>2012</v>
      </c>
    </row>
    <row r="3570" spans="1:13" ht="17.45" customHeight="1" x14ac:dyDescent="0.25">
      <c r="A3570" s="1">
        <f>DATE(2012,8,22)</f>
        <v>41143</v>
      </c>
      <c r="B3570" t="s">
        <v>22</v>
      </c>
      <c r="C3570" t="s">
        <v>10</v>
      </c>
      <c r="D3570" s="3">
        <v>84.64500000000001</v>
      </c>
      <c r="E3570" s="3">
        <v>0</v>
      </c>
      <c r="F3570" t="s">
        <v>45</v>
      </c>
      <c r="G3570" s="3">
        <f t="shared" si="416"/>
        <v>-84.64500000000001</v>
      </c>
      <c r="H3570" s="3">
        <f t="shared" si="417"/>
        <v>84.64500000000001</v>
      </c>
      <c r="I3570" s="5" t="str">
        <f t="shared" si="418"/>
        <v>018</v>
      </c>
      <c r="J3570" s="5" t="str">
        <f t="shared" si="419"/>
        <v>2230</v>
      </c>
      <c r="K3570" s="5" t="str">
        <f t="shared" si="420"/>
        <v>000</v>
      </c>
      <c r="L3570" s="5">
        <f t="shared" si="421"/>
        <v>8</v>
      </c>
      <c r="M3570" s="5">
        <f t="shared" si="422"/>
        <v>2012</v>
      </c>
    </row>
    <row r="3571" spans="1:13" ht="17.45" customHeight="1" x14ac:dyDescent="0.25">
      <c r="A3571" s="1">
        <f>DATE(2012,8,23)</f>
        <v>41144</v>
      </c>
      <c r="B3571" t="s">
        <v>19</v>
      </c>
      <c r="C3571" t="s">
        <v>6</v>
      </c>
      <c r="D3571" s="3">
        <v>5921.2001</v>
      </c>
      <c r="E3571" s="3">
        <v>0</v>
      </c>
      <c r="F3571" t="s">
        <v>45</v>
      </c>
      <c r="G3571" s="3">
        <f t="shared" si="416"/>
        <v>-5921.2001</v>
      </c>
      <c r="H3571" s="3">
        <f t="shared" si="417"/>
        <v>5921.2001</v>
      </c>
      <c r="I3571" s="5" t="str">
        <f t="shared" si="418"/>
        <v>018</v>
      </c>
      <c r="J3571" s="5" t="str">
        <f t="shared" si="419"/>
        <v>2100</v>
      </c>
      <c r="K3571" s="5" t="str">
        <f t="shared" si="420"/>
        <v>000</v>
      </c>
      <c r="L3571" s="5">
        <f t="shared" si="421"/>
        <v>8</v>
      </c>
      <c r="M3571" s="5">
        <f t="shared" si="422"/>
        <v>2012</v>
      </c>
    </row>
    <row r="3572" spans="1:13" ht="17.45" customHeight="1" x14ac:dyDescent="0.25">
      <c r="A3572" s="1">
        <f>DATE(2012,8,23)</f>
        <v>41144</v>
      </c>
      <c r="B3572" t="s">
        <v>20</v>
      </c>
      <c r="C3572" t="s">
        <v>8</v>
      </c>
      <c r="D3572" s="3">
        <v>1056.9805000000001</v>
      </c>
      <c r="E3572" s="3">
        <v>0</v>
      </c>
      <c r="F3572" t="s">
        <v>45</v>
      </c>
      <c r="G3572" s="3">
        <f t="shared" si="416"/>
        <v>-1056.9805000000001</v>
      </c>
      <c r="H3572" s="3">
        <f t="shared" si="417"/>
        <v>1056.9805000000001</v>
      </c>
      <c r="I3572" s="5" t="str">
        <f t="shared" si="418"/>
        <v>018</v>
      </c>
      <c r="J3572" s="5" t="str">
        <f t="shared" si="419"/>
        <v>2210</v>
      </c>
      <c r="K3572" s="5" t="str">
        <f t="shared" si="420"/>
        <v>000</v>
      </c>
      <c r="L3572" s="5">
        <f t="shared" si="421"/>
        <v>8</v>
      </c>
      <c r="M3572" s="5">
        <f t="shared" si="422"/>
        <v>2012</v>
      </c>
    </row>
    <row r="3573" spans="1:13" ht="17.45" customHeight="1" x14ac:dyDescent="0.25">
      <c r="A3573" s="1">
        <f>DATE(2012,8,23)</f>
        <v>41144</v>
      </c>
      <c r="B3573" t="s">
        <v>21</v>
      </c>
      <c r="C3573" t="s">
        <v>9</v>
      </c>
      <c r="D3573" s="3">
        <v>193.8425</v>
      </c>
      <c r="E3573" s="3">
        <v>0</v>
      </c>
      <c r="F3573" t="s">
        <v>45</v>
      </c>
      <c r="G3573" s="3">
        <f t="shared" si="416"/>
        <v>-193.8425</v>
      </c>
      <c r="H3573" s="3">
        <f t="shared" si="417"/>
        <v>193.8425</v>
      </c>
      <c r="I3573" s="5" t="str">
        <f t="shared" si="418"/>
        <v>018</v>
      </c>
      <c r="J3573" s="5" t="str">
        <f t="shared" si="419"/>
        <v>2220</v>
      </c>
      <c r="K3573" s="5" t="str">
        <f t="shared" si="420"/>
        <v>000</v>
      </c>
      <c r="L3573" s="5">
        <f t="shared" si="421"/>
        <v>8</v>
      </c>
      <c r="M3573" s="5">
        <f t="shared" si="422"/>
        <v>2012</v>
      </c>
    </row>
    <row r="3574" spans="1:13" ht="17.45" customHeight="1" x14ac:dyDescent="0.25">
      <c r="A3574" s="1">
        <f>DATE(2012,8,23)</f>
        <v>41144</v>
      </c>
      <c r="B3574" t="s">
        <v>22</v>
      </c>
      <c r="C3574" t="s">
        <v>10</v>
      </c>
      <c r="D3574" s="3">
        <v>21.713999999999999</v>
      </c>
      <c r="E3574" s="3">
        <v>0</v>
      </c>
      <c r="F3574" t="s">
        <v>45</v>
      </c>
      <c r="G3574" s="3">
        <f t="shared" si="416"/>
        <v>-21.713999999999999</v>
      </c>
      <c r="H3574" s="3">
        <f t="shared" si="417"/>
        <v>21.713999999999999</v>
      </c>
      <c r="I3574" s="5" t="str">
        <f t="shared" si="418"/>
        <v>018</v>
      </c>
      <c r="J3574" s="5" t="str">
        <f t="shared" si="419"/>
        <v>2230</v>
      </c>
      <c r="K3574" s="5" t="str">
        <f t="shared" si="420"/>
        <v>000</v>
      </c>
      <c r="L3574" s="5">
        <f t="shared" si="421"/>
        <v>8</v>
      </c>
      <c r="M3574" s="5">
        <f t="shared" si="422"/>
        <v>2012</v>
      </c>
    </row>
    <row r="3575" spans="1:13" ht="17.45" customHeight="1" x14ac:dyDescent="0.25">
      <c r="A3575" s="1">
        <f>DATE(2012,8,24)</f>
        <v>41145</v>
      </c>
      <c r="B3575" t="s">
        <v>19</v>
      </c>
      <c r="C3575" t="s">
        <v>6</v>
      </c>
      <c r="D3575" s="3">
        <v>10066.039999999999</v>
      </c>
      <c r="E3575" s="3">
        <v>0</v>
      </c>
      <c r="F3575" t="s">
        <v>45</v>
      </c>
      <c r="G3575" s="3">
        <f t="shared" si="416"/>
        <v>-10066.039999999999</v>
      </c>
      <c r="H3575" s="3">
        <f t="shared" si="417"/>
        <v>10066.039999999999</v>
      </c>
      <c r="I3575" s="5" t="str">
        <f t="shared" si="418"/>
        <v>018</v>
      </c>
      <c r="J3575" s="5" t="str">
        <f t="shared" si="419"/>
        <v>2100</v>
      </c>
      <c r="K3575" s="5" t="str">
        <f t="shared" si="420"/>
        <v>000</v>
      </c>
      <c r="L3575" s="5">
        <f t="shared" si="421"/>
        <v>8</v>
      </c>
      <c r="M3575" s="5">
        <f t="shared" si="422"/>
        <v>2012</v>
      </c>
    </row>
    <row r="3576" spans="1:13" ht="17.45" customHeight="1" x14ac:dyDescent="0.25">
      <c r="A3576" s="1">
        <f>DATE(2012,8,24)</f>
        <v>41145</v>
      </c>
      <c r="B3576" t="s">
        <v>20</v>
      </c>
      <c r="C3576" t="s">
        <v>8</v>
      </c>
      <c r="D3576" s="3">
        <v>2254.8015</v>
      </c>
      <c r="E3576" s="3">
        <v>0</v>
      </c>
      <c r="F3576" t="s">
        <v>45</v>
      </c>
      <c r="G3576" s="3">
        <f t="shared" si="416"/>
        <v>-2254.8015</v>
      </c>
      <c r="H3576" s="3">
        <f t="shared" si="417"/>
        <v>2254.8015</v>
      </c>
      <c r="I3576" s="5" t="str">
        <f t="shared" si="418"/>
        <v>018</v>
      </c>
      <c r="J3576" s="5" t="str">
        <f t="shared" si="419"/>
        <v>2210</v>
      </c>
      <c r="K3576" s="5" t="str">
        <f t="shared" si="420"/>
        <v>000</v>
      </c>
      <c r="L3576" s="5">
        <f t="shared" si="421"/>
        <v>8</v>
      </c>
      <c r="M3576" s="5">
        <f t="shared" si="422"/>
        <v>2012</v>
      </c>
    </row>
    <row r="3577" spans="1:13" ht="17.45" customHeight="1" x14ac:dyDescent="0.25">
      <c r="A3577" s="1">
        <f>DATE(2012,8,24)</f>
        <v>41145</v>
      </c>
      <c r="B3577" t="s">
        <v>21</v>
      </c>
      <c r="C3577" t="s">
        <v>9</v>
      </c>
      <c r="D3577" s="3">
        <v>446.66249999999997</v>
      </c>
      <c r="E3577" s="3">
        <v>0</v>
      </c>
      <c r="F3577" t="s">
        <v>45</v>
      </c>
      <c r="G3577" s="3">
        <f t="shared" si="416"/>
        <v>-446.66249999999997</v>
      </c>
      <c r="H3577" s="3">
        <f t="shared" si="417"/>
        <v>446.66249999999997</v>
      </c>
      <c r="I3577" s="5" t="str">
        <f t="shared" si="418"/>
        <v>018</v>
      </c>
      <c r="J3577" s="5" t="str">
        <f t="shared" si="419"/>
        <v>2220</v>
      </c>
      <c r="K3577" s="5" t="str">
        <f t="shared" si="420"/>
        <v>000</v>
      </c>
      <c r="L3577" s="5">
        <f t="shared" si="421"/>
        <v>8</v>
      </c>
      <c r="M3577" s="5">
        <f t="shared" si="422"/>
        <v>2012</v>
      </c>
    </row>
    <row r="3578" spans="1:13" ht="17.45" customHeight="1" x14ac:dyDescent="0.25">
      <c r="A3578" s="1">
        <f>DATE(2012,8,24)</f>
        <v>41145</v>
      </c>
      <c r="B3578" t="s">
        <v>22</v>
      </c>
      <c r="C3578" t="s">
        <v>10</v>
      </c>
      <c r="D3578" s="3">
        <v>47.908000000000001</v>
      </c>
      <c r="E3578" s="3">
        <v>0</v>
      </c>
      <c r="F3578" t="s">
        <v>45</v>
      </c>
      <c r="G3578" s="3">
        <f t="shared" si="416"/>
        <v>-47.908000000000001</v>
      </c>
      <c r="H3578" s="3">
        <f t="shared" si="417"/>
        <v>47.908000000000001</v>
      </c>
      <c r="I3578" s="5" t="str">
        <f t="shared" si="418"/>
        <v>018</v>
      </c>
      <c r="J3578" s="5" t="str">
        <f t="shared" si="419"/>
        <v>2230</v>
      </c>
      <c r="K3578" s="5" t="str">
        <f t="shared" si="420"/>
        <v>000</v>
      </c>
      <c r="L3578" s="5">
        <f t="shared" si="421"/>
        <v>8</v>
      </c>
      <c r="M3578" s="5">
        <f t="shared" si="422"/>
        <v>2012</v>
      </c>
    </row>
    <row r="3579" spans="1:13" ht="17.45" customHeight="1" x14ac:dyDescent="0.25">
      <c r="A3579" s="1">
        <f>DATE(2012,8,25)</f>
        <v>41146</v>
      </c>
      <c r="B3579" t="s">
        <v>19</v>
      </c>
      <c r="C3579" t="s">
        <v>6</v>
      </c>
      <c r="D3579" s="3">
        <v>8671.1827999999987</v>
      </c>
      <c r="E3579" s="3">
        <v>0</v>
      </c>
      <c r="F3579" t="s">
        <v>45</v>
      </c>
      <c r="G3579" s="3">
        <f t="shared" si="416"/>
        <v>-8671.1827999999987</v>
      </c>
      <c r="H3579" s="3">
        <f t="shared" si="417"/>
        <v>8671.1827999999987</v>
      </c>
      <c r="I3579" s="5" t="str">
        <f t="shared" si="418"/>
        <v>018</v>
      </c>
      <c r="J3579" s="5" t="str">
        <f t="shared" si="419"/>
        <v>2100</v>
      </c>
      <c r="K3579" s="5" t="str">
        <f t="shared" si="420"/>
        <v>000</v>
      </c>
      <c r="L3579" s="5">
        <f t="shared" si="421"/>
        <v>8</v>
      </c>
      <c r="M3579" s="5">
        <f t="shared" si="422"/>
        <v>2012</v>
      </c>
    </row>
    <row r="3580" spans="1:13" ht="17.45" customHeight="1" x14ac:dyDescent="0.25">
      <c r="A3580" s="1">
        <f>DATE(2012,8,25)</f>
        <v>41146</v>
      </c>
      <c r="B3580" t="s">
        <v>20</v>
      </c>
      <c r="C3580" t="s">
        <v>8</v>
      </c>
      <c r="D3580" s="3">
        <v>1716.825</v>
      </c>
      <c r="E3580" s="3">
        <v>0</v>
      </c>
      <c r="F3580" t="s">
        <v>45</v>
      </c>
      <c r="G3580" s="3">
        <f t="shared" si="416"/>
        <v>-1716.825</v>
      </c>
      <c r="H3580" s="3">
        <f t="shared" si="417"/>
        <v>1716.825</v>
      </c>
      <c r="I3580" s="5" t="str">
        <f t="shared" si="418"/>
        <v>018</v>
      </c>
      <c r="J3580" s="5" t="str">
        <f t="shared" si="419"/>
        <v>2210</v>
      </c>
      <c r="K3580" s="5" t="str">
        <f t="shared" si="420"/>
        <v>000</v>
      </c>
      <c r="L3580" s="5">
        <f t="shared" si="421"/>
        <v>8</v>
      </c>
      <c r="M3580" s="5">
        <f t="shared" si="422"/>
        <v>2012</v>
      </c>
    </row>
    <row r="3581" spans="1:13" ht="17.45" customHeight="1" x14ac:dyDescent="0.25">
      <c r="A3581" s="1">
        <f>DATE(2012,8,25)</f>
        <v>41146</v>
      </c>
      <c r="B3581" t="s">
        <v>21</v>
      </c>
      <c r="C3581" t="s">
        <v>9</v>
      </c>
      <c r="D3581" s="3">
        <v>468.57600000000002</v>
      </c>
      <c r="E3581" s="3">
        <v>0</v>
      </c>
      <c r="F3581" t="s">
        <v>45</v>
      </c>
      <c r="G3581" s="3">
        <f t="shared" si="416"/>
        <v>-468.57600000000002</v>
      </c>
      <c r="H3581" s="3">
        <f t="shared" si="417"/>
        <v>468.57600000000002</v>
      </c>
      <c r="I3581" s="5" t="str">
        <f t="shared" si="418"/>
        <v>018</v>
      </c>
      <c r="J3581" s="5" t="str">
        <f t="shared" si="419"/>
        <v>2220</v>
      </c>
      <c r="K3581" s="5" t="str">
        <f t="shared" si="420"/>
        <v>000</v>
      </c>
      <c r="L3581" s="5">
        <f t="shared" si="421"/>
        <v>8</v>
      </c>
      <c r="M3581" s="5">
        <f t="shared" si="422"/>
        <v>2012</v>
      </c>
    </row>
    <row r="3582" spans="1:13" ht="17.45" customHeight="1" x14ac:dyDescent="0.25">
      <c r="A3582" s="1">
        <f>DATE(2012,8,25)</f>
        <v>41146</v>
      </c>
      <c r="B3582" t="s">
        <v>22</v>
      </c>
      <c r="C3582" t="s">
        <v>10</v>
      </c>
      <c r="D3582" s="3">
        <v>87.233999999999995</v>
      </c>
      <c r="E3582" s="3">
        <v>0</v>
      </c>
      <c r="F3582" t="s">
        <v>45</v>
      </c>
      <c r="G3582" s="3">
        <f t="shared" si="416"/>
        <v>-87.233999999999995</v>
      </c>
      <c r="H3582" s="3">
        <f t="shared" si="417"/>
        <v>87.233999999999995</v>
      </c>
      <c r="I3582" s="5" t="str">
        <f t="shared" si="418"/>
        <v>018</v>
      </c>
      <c r="J3582" s="5" t="str">
        <f t="shared" si="419"/>
        <v>2230</v>
      </c>
      <c r="K3582" s="5" t="str">
        <f t="shared" si="420"/>
        <v>000</v>
      </c>
      <c r="L3582" s="5">
        <f t="shared" si="421"/>
        <v>8</v>
      </c>
      <c r="M3582" s="5">
        <f t="shared" si="422"/>
        <v>2012</v>
      </c>
    </row>
    <row r="3583" spans="1:13" ht="17.45" customHeight="1" x14ac:dyDescent="0.25">
      <c r="A3583" s="1">
        <f>DATE(2012,8,26)</f>
        <v>41147</v>
      </c>
      <c r="B3583" t="s">
        <v>19</v>
      </c>
      <c r="C3583" t="s">
        <v>6</v>
      </c>
      <c r="D3583" s="3">
        <v>8453.0392000000011</v>
      </c>
      <c r="E3583" s="3">
        <v>0</v>
      </c>
      <c r="F3583" t="s">
        <v>45</v>
      </c>
      <c r="G3583" s="3">
        <f t="shared" si="416"/>
        <v>-8453.0392000000011</v>
      </c>
      <c r="H3583" s="3">
        <f t="shared" si="417"/>
        <v>8453.0392000000011</v>
      </c>
      <c r="I3583" s="5" t="str">
        <f t="shared" si="418"/>
        <v>018</v>
      </c>
      <c r="J3583" s="5" t="str">
        <f t="shared" si="419"/>
        <v>2100</v>
      </c>
      <c r="K3583" s="5" t="str">
        <f t="shared" si="420"/>
        <v>000</v>
      </c>
      <c r="L3583" s="5">
        <f t="shared" si="421"/>
        <v>8</v>
      </c>
      <c r="M3583" s="5">
        <f t="shared" si="422"/>
        <v>2012</v>
      </c>
    </row>
    <row r="3584" spans="1:13" ht="17.45" customHeight="1" x14ac:dyDescent="0.25">
      <c r="A3584" s="1">
        <f>DATE(2012,8,26)</f>
        <v>41147</v>
      </c>
      <c r="B3584" t="s">
        <v>20</v>
      </c>
      <c r="C3584" t="s">
        <v>8</v>
      </c>
      <c r="D3584" s="3">
        <v>1419.5214999999998</v>
      </c>
      <c r="E3584" s="3">
        <v>0</v>
      </c>
      <c r="F3584" t="s">
        <v>45</v>
      </c>
      <c r="G3584" s="3">
        <f t="shared" si="416"/>
        <v>-1419.5214999999998</v>
      </c>
      <c r="H3584" s="3">
        <f t="shared" si="417"/>
        <v>1419.5214999999998</v>
      </c>
      <c r="I3584" s="5" t="str">
        <f t="shared" si="418"/>
        <v>018</v>
      </c>
      <c r="J3584" s="5" t="str">
        <f t="shared" si="419"/>
        <v>2210</v>
      </c>
      <c r="K3584" s="5" t="str">
        <f t="shared" si="420"/>
        <v>000</v>
      </c>
      <c r="L3584" s="5">
        <f t="shared" si="421"/>
        <v>8</v>
      </c>
      <c r="M3584" s="5">
        <f t="shared" si="422"/>
        <v>2012</v>
      </c>
    </row>
    <row r="3585" spans="1:13" ht="17.45" customHeight="1" x14ac:dyDescent="0.25">
      <c r="A3585" s="1">
        <f>DATE(2012,8,26)</f>
        <v>41147</v>
      </c>
      <c r="B3585" t="s">
        <v>21</v>
      </c>
      <c r="C3585" t="s">
        <v>9</v>
      </c>
      <c r="D3585" s="3">
        <v>246.56199999999998</v>
      </c>
      <c r="E3585" s="3">
        <v>0</v>
      </c>
      <c r="F3585" t="s">
        <v>45</v>
      </c>
      <c r="G3585" s="3">
        <f t="shared" si="416"/>
        <v>-246.56199999999998</v>
      </c>
      <c r="H3585" s="3">
        <f t="shared" si="417"/>
        <v>246.56199999999998</v>
      </c>
      <c r="I3585" s="5" t="str">
        <f t="shared" si="418"/>
        <v>018</v>
      </c>
      <c r="J3585" s="5" t="str">
        <f t="shared" si="419"/>
        <v>2220</v>
      </c>
      <c r="K3585" s="5" t="str">
        <f t="shared" si="420"/>
        <v>000</v>
      </c>
      <c r="L3585" s="5">
        <f t="shared" si="421"/>
        <v>8</v>
      </c>
      <c r="M3585" s="5">
        <f t="shared" si="422"/>
        <v>2012</v>
      </c>
    </row>
    <row r="3586" spans="1:13" ht="17.45" customHeight="1" x14ac:dyDescent="0.25">
      <c r="A3586" s="1">
        <f>DATE(2012,8,26)</f>
        <v>41147</v>
      </c>
      <c r="B3586" t="s">
        <v>22</v>
      </c>
      <c r="C3586" t="s">
        <v>10</v>
      </c>
      <c r="D3586" s="3">
        <v>33.515999999999998</v>
      </c>
      <c r="E3586" s="3">
        <v>0</v>
      </c>
      <c r="F3586" t="s">
        <v>45</v>
      </c>
      <c r="G3586" s="3">
        <f t="shared" ref="G3586:G3649" si="423">E3586-D3586</f>
        <v>-33.515999999999998</v>
      </c>
      <c r="H3586" s="3">
        <f t="shared" ref="H3586:H3649" si="424">ABS(G3586)</f>
        <v>33.515999999999998</v>
      </c>
      <c r="I3586" s="5" t="str">
        <f t="shared" ref="I3586:I3649" si="425">MID(B3586,1,3)</f>
        <v>018</v>
      </c>
      <c r="J3586" s="5" t="str">
        <f t="shared" ref="J3586:J3649" si="426">MID(B3586,5,4)</f>
        <v>2230</v>
      </c>
      <c r="K3586" s="5" t="str">
        <f t="shared" ref="K3586:K3649" si="427">MID(B3586,10,3)</f>
        <v>000</v>
      </c>
      <c r="L3586" s="5">
        <f t="shared" ref="L3586:L3649" si="428">MONTH(A3586)</f>
        <v>8</v>
      </c>
      <c r="M3586" s="5">
        <f t="shared" ref="M3586:M3649" si="429">YEAR(A3586)</f>
        <v>2012</v>
      </c>
    </row>
    <row r="3587" spans="1:13" ht="17.45" customHeight="1" x14ac:dyDescent="0.25">
      <c r="A3587" s="1">
        <f>DATE(2012,8,27)</f>
        <v>41148</v>
      </c>
      <c r="B3587" t="s">
        <v>11</v>
      </c>
      <c r="C3587" t="s">
        <v>6</v>
      </c>
      <c r="D3587" s="3">
        <v>2255.7369999999996</v>
      </c>
      <c r="E3587" s="3">
        <v>0</v>
      </c>
      <c r="F3587" t="s">
        <v>45</v>
      </c>
      <c r="G3587" s="3">
        <f t="shared" si="423"/>
        <v>-2255.7369999999996</v>
      </c>
      <c r="H3587" s="3">
        <f t="shared" si="424"/>
        <v>2255.7369999999996</v>
      </c>
      <c r="I3587" s="5" t="str">
        <f t="shared" si="425"/>
        <v>016</v>
      </c>
      <c r="J3587" s="5" t="str">
        <f t="shared" si="426"/>
        <v>2100</v>
      </c>
      <c r="K3587" s="5" t="str">
        <f t="shared" si="427"/>
        <v>000</v>
      </c>
      <c r="L3587" s="5">
        <f t="shared" si="428"/>
        <v>8</v>
      </c>
      <c r="M3587" s="5">
        <f t="shared" si="429"/>
        <v>2012</v>
      </c>
    </row>
    <row r="3588" spans="1:13" ht="17.45" customHeight="1" x14ac:dyDescent="0.25">
      <c r="A3588" s="1">
        <f>DATE(2012,8,27)</f>
        <v>41148</v>
      </c>
      <c r="B3588" t="s">
        <v>12</v>
      </c>
      <c r="C3588" t="s">
        <v>8</v>
      </c>
      <c r="D3588" s="3">
        <v>559.72299999999996</v>
      </c>
      <c r="E3588" s="3">
        <v>0</v>
      </c>
      <c r="F3588" t="s">
        <v>45</v>
      </c>
      <c r="G3588" s="3">
        <f t="shared" si="423"/>
        <v>-559.72299999999996</v>
      </c>
      <c r="H3588" s="3">
        <f t="shared" si="424"/>
        <v>559.72299999999996</v>
      </c>
      <c r="I3588" s="5" t="str">
        <f t="shared" si="425"/>
        <v>016</v>
      </c>
      <c r="J3588" s="5" t="str">
        <f t="shared" si="426"/>
        <v>2210</v>
      </c>
      <c r="K3588" s="5" t="str">
        <f t="shared" si="427"/>
        <v>000</v>
      </c>
      <c r="L3588" s="5">
        <f t="shared" si="428"/>
        <v>8</v>
      </c>
      <c r="M3588" s="5">
        <f t="shared" si="429"/>
        <v>2012</v>
      </c>
    </row>
    <row r="3589" spans="1:13" ht="17.45" customHeight="1" x14ac:dyDescent="0.25">
      <c r="A3589" s="1">
        <f>DATE(2012,8,27)</f>
        <v>41148</v>
      </c>
      <c r="B3589" t="s">
        <v>13</v>
      </c>
      <c r="C3589" t="s">
        <v>9</v>
      </c>
      <c r="D3589" s="3">
        <v>105.651</v>
      </c>
      <c r="E3589" s="3">
        <v>0</v>
      </c>
      <c r="F3589" t="s">
        <v>45</v>
      </c>
      <c r="G3589" s="3">
        <f t="shared" si="423"/>
        <v>-105.651</v>
      </c>
      <c r="H3589" s="3">
        <f t="shared" si="424"/>
        <v>105.651</v>
      </c>
      <c r="I3589" s="5" t="str">
        <f t="shared" si="425"/>
        <v>016</v>
      </c>
      <c r="J3589" s="5" t="str">
        <f t="shared" si="426"/>
        <v>2220</v>
      </c>
      <c r="K3589" s="5" t="str">
        <f t="shared" si="427"/>
        <v>000</v>
      </c>
      <c r="L3589" s="5">
        <f t="shared" si="428"/>
        <v>8</v>
      </c>
      <c r="M3589" s="5">
        <f t="shared" si="429"/>
        <v>2012</v>
      </c>
    </row>
    <row r="3590" spans="1:13" ht="17.45" customHeight="1" x14ac:dyDescent="0.25">
      <c r="A3590" s="1">
        <f>DATE(2012,8,27)</f>
        <v>41148</v>
      </c>
      <c r="B3590" t="s">
        <v>14</v>
      </c>
      <c r="C3590" t="s">
        <v>10</v>
      </c>
      <c r="D3590" s="3">
        <v>21.58</v>
      </c>
      <c r="E3590" s="3">
        <v>0</v>
      </c>
      <c r="F3590" t="s">
        <v>45</v>
      </c>
      <c r="G3590" s="3">
        <f t="shared" si="423"/>
        <v>-21.58</v>
      </c>
      <c r="H3590" s="3">
        <f t="shared" si="424"/>
        <v>21.58</v>
      </c>
      <c r="I3590" s="5" t="str">
        <f t="shared" si="425"/>
        <v>016</v>
      </c>
      <c r="J3590" s="5" t="str">
        <f t="shared" si="426"/>
        <v>2230</v>
      </c>
      <c r="K3590" s="5" t="str">
        <f t="shared" si="427"/>
        <v>000</v>
      </c>
      <c r="L3590" s="5">
        <f t="shared" si="428"/>
        <v>8</v>
      </c>
      <c r="M3590" s="5">
        <f t="shared" si="429"/>
        <v>2012</v>
      </c>
    </row>
    <row r="3591" spans="1:13" ht="17.45" customHeight="1" x14ac:dyDescent="0.25">
      <c r="A3591" s="1">
        <f>DATE(2012,8,28)</f>
        <v>41149</v>
      </c>
      <c r="B3591" t="s">
        <v>11</v>
      </c>
      <c r="C3591" t="s">
        <v>6</v>
      </c>
      <c r="D3591" s="3">
        <v>6101.4096</v>
      </c>
      <c r="E3591" s="3">
        <v>0</v>
      </c>
      <c r="F3591" t="s">
        <v>45</v>
      </c>
      <c r="G3591" s="3">
        <f t="shared" si="423"/>
        <v>-6101.4096</v>
      </c>
      <c r="H3591" s="3">
        <f t="shared" si="424"/>
        <v>6101.4096</v>
      </c>
      <c r="I3591" s="5" t="str">
        <f t="shared" si="425"/>
        <v>016</v>
      </c>
      <c r="J3591" s="5" t="str">
        <f t="shared" si="426"/>
        <v>2100</v>
      </c>
      <c r="K3591" s="5" t="str">
        <f t="shared" si="427"/>
        <v>000</v>
      </c>
      <c r="L3591" s="5">
        <f t="shared" si="428"/>
        <v>8</v>
      </c>
      <c r="M3591" s="5">
        <f t="shared" si="429"/>
        <v>2012</v>
      </c>
    </row>
    <row r="3592" spans="1:13" ht="17.45" customHeight="1" x14ac:dyDescent="0.25">
      <c r="A3592" s="1">
        <f>DATE(2012,8,28)</f>
        <v>41149</v>
      </c>
      <c r="B3592" t="s">
        <v>12</v>
      </c>
      <c r="C3592" t="s">
        <v>8</v>
      </c>
      <c r="D3592" s="3">
        <v>1374.9766</v>
      </c>
      <c r="E3592" s="3">
        <v>0</v>
      </c>
      <c r="F3592" t="s">
        <v>45</v>
      </c>
      <c r="G3592" s="3">
        <f t="shared" si="423"/>
        <v>-1374.9766</v>
      </c>
      <c r="H3592" s="3">
        <f t="shared" si="424"/>
        <v>1374.9766</v>
      </c>
      <c r="I3592" s="5" t="str">
        <f t="shared" si="425"/>
        <v>016</v>
      </c>
      <c r="J3592" s="5" t="str">
        <f t="shared" si="426"/>
        <v>2210</v>
      </c>
      <c r="K3592" s="5" t="str">
        <f t="shared" si="427"/>
        <v>000</v>
      </c>
      <c r="L3592" s="5">
        <f t="shared" si="428"/>
        <v>8</v>
      </c>
      <c r="M3592" s="5">
        <f t="shared" si="429"/>
        <v>2012</v>
      </c>
    </row>
    <row r="3593" spans="1:13" ht="17.45" customHeight="1" x14ac:dyDescent="0.25">
      <c r="A3593" s="1">
        <f>DATE(2012,8,28)</f>
        <v>41149</v>
      </c>
      <c r="B3593" t="s">
        <v>13</v>
      </c>
      <c r="C3593" t="s">
        <v>9</v>
      </c>
      <c r="D3593" s="3">
        <v>535.76909999999998</v>
      </c>
      <c r="E3593" s="3">
        <v>0</v>
      </c>
      <c r="F3593" t="s">
        <v>45</v>
      </c>
      <c r="G3593" s="3">
        <f t="shared" si="423"/>
        <v>-535.76909999999998</v>
      </c>
      <c r="H3593" s="3">
        <f t="shared" si="424"/>
        <v>535.76909999999998</v>
      </c>
      <c r="I3593" s="5" t="str">
        <f t="shared" si="425"/>
        <v>016</v>
      </c>
      <c r="J3593" s="5" t="str">
        <f t="shared" si="426"/>
        <v>2220</v>
      </c>
      <c r="K3593" s="5" t="str">
        <f t="shared" si="427"/>
        <v>000</v>
      </c>
      <c r="L3593" s="5">
        <f t="shared" si="428"/>
        <v>8</v>
      </c>
      <c r="M3593" s="5">
        <f t="shared" si="429"/>
        <v>2012</v>
      </c>
    </row>
    <row r="3594" spans="1:13" ht="17.45" customHeight="1" x14ac:dyDescent="0.25">
      <c r="A3594" s="1">
        <f>DATE(2012,8,28)</f>
        <v>41149</v>
      </c>
      <c r="B3594" t="s">
        <v>14</v>
      </c>
      <c r="C3594" t="s">
        <v>10</v>
      </c>
      <c r="D3594" s="3">
        <v>202.08899999999997</v>
      </c>
      <c r="E3594" s="3">
        <v>0</v>
      </c>
      <c r="F3594" t="s">
        <v>45</v>
      </c>
      <c r="G3594" s="3">
        <f t="shared" si="423"/>
        <v>-202.08899999999997</v>
      </c>
      <c r="H3594" s="3">
        <f t="shared" si="424"/>
        <v>202.08899999999997</v>
      </c>
      <c r="I3594" s="5" t="str">
        <f t="shared" si="425"/>
        <v>016</v>
      </c>
      <c r="J3594" s="5" t="str">
        <f t="shared" si="426"/>
        <v>2230</v>
      </c>
      <c r="K3594" s="5" t="str">
        <f t="shared" si="427"/>
        <v>000</v>
      </c>
      <c r="L3594" s="5">
        <f t="shared" si="428"/>
        <v>8</v>
      </c>
      <c r="M3594" s="5">
        <f t="shared" si="429"/>
        <v>2012</v>
      </c>
    </row>
    <row r="3595" spans="1:13" ht="17.45" customHeight="1" x14ac:dyDescent="0.25">
      <c r="A3595" s="1">
        <f>DATE(2012,8,29)</f>
        <v>41150</v>
      </c>
      <c r="B3595" t="s">
        <v>11</v>
      </c>
      <c r="C3595" t="s">
        <v>6</v>
      </c>
      <c r="D3595" s="3">
        <v>2717.8180000000002</v>
      </c>
      <c r="E3595" s="3">
        <v>0</v>
      </c>
      <c r="F3595" t="s">
        <v>45</v>
      </c>
      <c r="G3595" s="3">
        <f t="shared" si="423"/>
        <v>-2717.8180000000002</v>
      </c>
      <c r="H3595" s="3">
        <f t="shared" si="424"/>
        <v>2717.8180000000002</v>
      </c>
      <c r="I3595" s="5" t="str">
        <f t="shared" si="425"/>
        <v>016</v>
      </c>
      <c r="J3595" s="5" t="str">
        <f t="shared" si="426"/>
        <v>2100</v>
      </c>
      <c r="K3595" s="5" t="str">
        <f t="shared" si="427"/>
        <v>000</v>
      </c>
      <c r="L3595" s="5">
        <f t="shared" si="428"/>
        <v>8</v>
      </c>
      <c r="M3595" s="5">
        <f t="shared" si="429"/>
        <v>2012</v>
      </c>
    </row>
    <row r="3596" spans="1:13" ht="17.45" customHeight="1" x14ac:dyDescent="0.25">
      <c r="A3596" s="1">
        <f>DATE(2012,8,29)</f>
        <v>41150</v>
      </c>
      <c r="B3596" t="s">
        <v>12</v>
      </c>
      <c r="C3596" t="s">
        <v>8</v>
      </c>
      <c r="D3596" s="3">
        <v>507.92999999999995</v>
      </c>
      <c r="E3596" s="3">
        <v>0</v>
      </c>
      <c r="F3596" t="s">
        <v>45</v>
      </c>
      <c r="G3596" s="3">
        <f t="shared" si="423"/>
        <v>-507.92999999999995</v>
      </c>
      <c r="H3596" s="3">
        <f t="shared" si="424"/>
        <v>507.92999999999995</v>
      </c>
      <c r="I3596" s="5" t="str">
        <f t="shared" si="425"/>
        <v>016</v>
      </c>
      <c r="J3596" s="5" t="str">
        <f t="shared" si="426"/>
        <v>2210</v>
      </c>
      <c r="K3596" s="5" t="str">
        <f t="shared" si="427"/>
        <v>000</v>
      </c>
      <c r="L3596" s="5">
        <f t="shared" si="428"/>
        <v>8</v>
      </c>
      <c r="M3596" s="5">
        <f t="shared" si="429"/>
        <v>2012</v>
      </c>
    </row>
    <row r="3597" spans="1:13" ht="17.45" customHeight="1" x14ac:dyDescent="0.25">
      <c r="A3597" s="1">
        <f>DATE(2012,8,29)</f>
        <v>41150</v>
      </c>
      <c r="B3597" t="s">
        <v>13</v>
      </c>
      <c r="C3597" t="s">
        <v>9</v>
      </c>
      <c r="D3597" s="3">
        <v>126.477</v>
      </c>
      <c r="E3597" s="3">
        <v>0</v>
      </c>
      <c r="F3597" t="s">
        <v>45</v>
      </c>
      <c r="G3597" s="3">
        <f t="shared" si="423"/>
        <v>-126.477</v>
      </c>
      <c r="H3597" s="3">
        <f t="shared" si="424"/>
        <v>126.477</v>
      </c>
      <c r="I3597" s="5" t="str">
        <f t="shared" si="425"/>
        <v>016</v>
      </c>
      <c r="J3597" s="5" t="str">
        <f t="shared" si="426"/>
        <v>2220</v>
      </c>
      <c r="K3597" s="5" t="str">
        <f t="shared" si="427"/>
        <v>000</v>
      </c>
      <c r="L3597" s="5">
        <f t="shared" si="428"/>
        <v>8</v>
      </c>
      <c r="M3597" s="5">
        <f t="shared" si="429"/>
        <v>2012</v>
      </c>
    </row>
    <row r="3598" spans="1:13" ht="17.45" customHeight="1" x14ac:dyDescent="0.25">
      <c r="A3598" s="1">
        <f>DATE(2012,8,29)</f>
        <v>41150</v>
      </c>
      <c r="B3598" t="s">
        <v>14</v>
      </c>
      <c r="C3598" t="s">
        <v>10</v>
      </c>
      <c r="D3598" s="3">
        <v>63.637999999999998</v>
      </c>
      <c r="E3598" s="3">
        <v>0</v>
      </c>
      <c r="F3598" t="s">
        <v>45</v>
      </c>
      <c r="G3598" s="3">
        <f t="shared" si="423"/>
        <v>-63.637999999999998</v>
      </c>
      <c r="H3598" s="3">
        <f t="shared" si="424"/>
        <v>63.637999999999998</v>
      </c>
      <c r="I3598" s="5" t="str">
        <f t="shared" si="425"/>
        <v>016</v>
      </c>
      <c r="J3598" s="5" t="str">
        <f t="shared" si="426"/>
        <v>2230</v>
      </c>
      <c r="K3598" s="5" t="str">
        <f t="shared" si="427"/>
        <v>000</v>
      </c>
      <c r="L3598" s="5">
        <f t="shared" si="428"/>
        <v>8</v>
      </c>
      <c r="M3598" s="5">
        <f t="shared" si="429"/>
        <v>2012</v>
      </c>
    </row>
    <row r="3599" spans="1:13" ht="17.45" customHeight="1" x14ac:dyDescent="0.25">
      <c r="A3599" s="1">
        <f>DATE(2012,8,30)</f>
        <v>41151</v>
      </c>
      <c r="B3599" t="s">
        <v>11</v>
      </c>
      <c r="C3599" t="s">
        <v>6</v>
      </c>
      <c r="D3599" s="3">
        <v>2605.1974</v>
      </c>
      <c r="E3599" s="3">
        <v>0</v>
      </c>
      <c r="F3599" t="s">
        <v>45</v>
      </c>
      <c r="G3599" s="3">
        <f t="shared" si="423"/>
        <v>-2605.1974</v>
      </c>
      <c r="H3599" s="3">
        <f t="shared" si="424"/>
        <v>2605.1974</v>
      </c>
      <c r="I3599" s="5" t="str">
        <f t="shared" si="425"/>
        <v>016</v>
      </c>
      <c r="J3599" s="5" t="str">
        <f t="shared" si="426"/>
        <v>2100</v>
      </c>
      <c r="K3599" s="5" t="str">
        <f t="shared" si="427"/>
        <v>000</v>
      </c>
      <c r="L3599" s="5">
        <f t="shared" si="428"/>
        <v>8</v>
      </c>
      <c r="M3599" s="5">
        <f t="shared" si="429"/>
        <v>2012</v>
      </c>
    </row>
    <row r="3600" spans="1:13" ht="17.45" customHeight="1" x14ac:dyDescent="0.25">
      <c r="A3600" s="1">
        <f>DATE(2012,8,30)</f>
        <v>41151</v>
      </c>
      <c r="B3600" t="s">
        <v>12</v>
      </c>
      <c r="C3600" t="s">
        <v>8</v>
      </c>
      <c r="D3600" s="3">
        <v>671.32799999999997</v>
      </c>
      <c r="E3600" s="3">
        <v>0</v>
      </c>
      <c r="F3600" t="s">
        <v>45</v>
      </c>
      <c r="G3600" s="3">
        <f t="shared" si="423"/>
        <v>-671.32799999999997</v>
      </c>
      <c r="H3600" s="3">
        <f t="shared" si="424"/>
        <v>671.32799999999997</v>
      </c>
      <c r="I3600" s="5" t="str">
        <f t="shared" si="425"/>
        <v>016</v>
      </c>
      <c r="J3600" s="5" t="str">
        <f t="shared" si="426"/>
        <v>2210</v>
      </c>
      <c r="K3600" s="5" t="str">
        <f t="shared" si="427"/>
        <v>000</v>
      </c>
      <c r="L3600" s="5">
        <f t="shared" si="428"/>
        <v>8</v>
      </c>
      <c r="M3600" s="5">
        <f t="shared" si="429"/>
        <v>2012</v>
      </c>
    </row>
    <row r="3601" spans="1:13" ht="17.45" customHeight="1" x14ac:dyDescent="0.25">
      <c r="A3601" s="1">
        <f>DATE(2012,8,30)</f>
        <v>41151</v>
      </c>
      <c r="B3601" t="s">
        <v>13</v>
      </c>
      <c r="C3601" t="s">
        <v>9</v>
      </c>
      <c r="D3601" s="3">
        <v>90.349500000000006</v>
      </c>
      <c r="E3601" s="3">
        <v>0</v>
      </c>
      <c r="F3601" t="s">
        <v>45</v>
      </c>
      <c r="G3601" s="3">
        <f t="shared" si="423"/>
        <v>-90.349500000000006</v>
      </c>
      <c r="H3601" s="3">
        <f t="shared" si="424"/>
        <v>90.349500000000006</v>
      </c>
      <c r="I3601" s="5" t="str">
        <f t="shared" si="425"/>
        <v>016</v>
      </c>
      <c r="J3601" s="5" t="str">
        <f t="shared" si="426"/>
        <v>2220</v>
      </c>
      <c r="K3601" s="5" t="str">
        <f t="shared" si="427"/>
        <v>000</v>
      </c>
      <c r="L3601" s="5">
        <f t="shared" si="428"/>
        <v>8</v>
      </c>
      <c r="M3601" s="5">
        <f t="shared" si="429"/>
        <v>2012</v>
      </c>
    </row>
    <row r="3602" spans="1:13" ht="17.45" customHeight="1" x14ac:dyDescent="0.25">
      <c r="A3602" s="1">
        <f>DATE(2012,8,30)</f>
        <v>41151</v>
      </c>
      <c r="B3602" t="s">
        <v>14</v>
      </c>
      <c r="C3602" t="s">
        <v>10</v>
      </c>
      <c r="D3602" s="3">
        <v>40.235999999999997</v>
      </c>
      <c r="E3602" s="3">
        <v>0</v>
      </c>
      <c r="F3602" t="s">
        <v>45</v>
      </c>
      <c r="G3602" s="3">
        <f t="shared" si="423"/>
        <v>-40.235999999999997</v>
      </c>
      <c r="H3602" s="3">
        <f t="shared" si="424"/>
        <v>40.235999999999997</v>
      </c>
      <c r="I3602" s="5" t="str">
        <f t="shared" si="425"/>
        <v>016</v>
      </c>
      <c r="J3602" s="5" t="str">
        <f t="shared" si="426"/>
        <v>2230</v>
      </c>
      <c r="K3602" s="5" t="str">
        <f t="shared" si="427"/>
        <v>000</v>
      </c>
      <c r="L3602" s="5">
        <f t="shared" si="428"/>
        <v>8</v>
      </c>
      <c r="M3602" s="5">
        <f t="shared" si="429"/>
        <v>2012</v>
      </c>
    </row>
    <row r="3603" spans="1:13" ht="17.45" customHeight="1" x14ac:dyDescent="0.25">
      <c r="A3603" s="1">
        <f>DATE(2012,8,31)</f>
        <v>41152</v>
      </c>
      <c r="B3603" t="s">
        <v>11</v>
      </c>
      <c r="C3603" t="s">
        <v>6</v>
      </c>
      <c r="D3603" s="3">
        <v>4576.1201000000001</v>
      </c>
      <c r="E3603" s="3">
        <v>0</v>
      </c>
      <c r="F3603" t="s">
        <v>45</v>
      </c>
      <c r="G3603" s="3">
        <f t="shared" si="423"/>
        <v>-4576.1201000000001</v>
      </c>
      <c r="H3603" s="3">
        <f t="shared" si="424"/>
        <v>4576.1201000000001</v>
      </c>
      <c r="I3603" s="5" t="str">
        <f t="shared" si="425"/>
        <v>016</v>
      </c>
      <c r="J3603" s="5" t="str">
        <f t="shared" si="426"/>
        <v>2100</v>
      </c>
      <c r="K3603" s="5" t="str">
        <f t="shared" si="427"/>
        <v>000</v>
      </c>
      <c r="L3603" s="5">
        <f t="shared" si="428"/>
        <v>8</v>
      </c>
      <c r="M3603" s="5">
        <f t="shared" si="429"/>
        <v>2012</v>
      </c>
    </row>
    <row r="3604" spans="1:13" ht="17.45" customHeight="1" x14ac:dyDescent="0.25">
      <c r="A3604" s="1">
        <f>DATE(2012,8,31)</f>
        <v>41152</v>
      </c>
      <c r="B3604" t="s">
        <v>12</v>
      </c>
      <c r="C3604" t="s">
        <v>8</v>
      </c>
      <c r="D3604" s="3">
        <v>1848.4892999999997</v>
      </c>
      <c r="E3604" s="3">
        <v>0</v>
      </c>
      <c r="F3604" t="s">
        <v>45</v>
      </c>
      <c r="G3604" s="3">
        <f t="shared" si="423"/>
        <v>-1848.4892999999997</v>
      </c>
      <c r="H3604" s="3">
        <f t="shared" si="424"/>
        <v>1848.4892999999997</v>
      </c>
      <c r="I3604" s="5" t="str">
        <f t="shared" si="425"/>
        <v>016</v>
      </c>
      <c r="J3604" s="5" t="str">
        <f t="shared" si="426"/>
        <v>2210</v>
      </c>
      <c r="K3604" s="5" t="str">
        <f t="shared" si="427"/>
        <v>000</v>
      </c>
      <c r="L3604" s="5">
        <f t="shared" si="428"/>
        <v>8</v>
      </c>
      <c r="M3604" s="5">
        <f t="shared" si="429"/>
        <v>2012</v>
      </c>
    </row>
    <row r="3605" spans="1:13" ht="17.45" customHeight="1" x14ac:dyDescent="0.25">
      <c r="A3605" s="1">
        <f>DATE(2012,8,31)</f>
        <v>41152</v>
      </c>
      <c r="B3605" t="s">
        <v>13</v>
      </c>
      <c r="C3605" t="s">
        <v>9</v>
      </c>
      <c r="D3605" s="3">
        <v>398.57400000000001</v>
      </c>
      <c r="E3605" s="3">
        <v>0</v>
      </c>
      <c r="F3605" t="s">
        <v>45</v>
      </c>
      <c r="G3605" s="3">
        <f t="shared" si="423"/>
        <v>-398.57400000000001</v>
      </c>
      <c r="H3605" s="3">
        <f t="shared" si="424"/>
        <v>398.57400000000001</v>
      </c>
      <c r="I3605" s="5" t="str">
        <f t="shared" si="425"/>
        <v>016</v>
      </c>
      <c r="J3605" s="5" t="str">
        <f t="shared" si="426"/>
        <v>2220</v>
      </c>
      <c r="K3605" s="5" t="str">
        <f t="shared" si="427"/>
        <v>000</v>
      </c>
      <c r="L3605" s="5">
        <f t="shared" si="428"/>
        <v>8</v>
      </c>
      <c r="M3605" s="5">
        <f t="shared" si="429"/>
        <v>2012</v>
      </c>
    </row>
    <row r="3606" spans="1:13" ht="17.45" customHeight="1" x14ac:dyDescent="0.25">
      <c r="A3606" s="1">
        <f>DATE(2012,8,31)</f>
        <v>41152</v>
      </c>
      <c r="B3606" t="s">
        <v>14</v>
      </c>
      <c r="C3606" t="s">
        <v>10</v>
      </c>
      <c r="D3606" s="3">
        <v>141.33799999999999</v>
      </c>
      <c r="E3606" s="3">
        <v>0</v>
      </c>
      <c r="F3606" t="s">
        <v>45</v>
      </c>
      <c r="G3606" s="3">
        <f t="shared" si="423"/>
        <v>-141.33799999999999</v>
      </c>
      <c r="H3606" s="3">
        <f t="shared" si="424"/>
        <v>141.33799999999999</v>
      </c>
      <c r="I3606" s="5" t="str">
        <f t="shared" si="425"/>
        <v>016</v>
      </c>
      <c r="J3606" s="5" t="str">
        <f t="shared" si="426"/>
        <v>2230</v>
      </c>
      <c r="K3606" s="5" t="str">
        <f t="shared" si="427"/>
        <v>000</v>
      </c>
      <c r="L3606" s="5">
        <f t="shared" si="428"/>
        <v>8</v>
      </c>
      <c r="M3606" s="5">
        <f t="shared" si="429"/>
        <v>2012</v>
      </c>
    </row>
    <row r="3607" spans="1:13" ht="17.45" customHeight="1" x14ac:dyDescent="0.25">
      <c r="A3607" s="1">
        <f t="shared" ref="A3607:A3610" si="430">DATE(2012,9,1)</f>
        <v>41153</v>
      </c>
      <c r="B3607" t="s">
        <v>11</v>
      </c>
      <c r="C3607" t="s">
        <v>6</v>
      </c>
      <c r="D3607" s="3">
        <v>8144.7678000000005</v>
      </c>
      <c r="E3607" s="3">
        <v>0</v>
      </c>
      <c r="F3607" t="s">
        <v>45</v>
      </c>
      <c r="G3607" s="3">
        <f t="shared" si="423"/>
        <v>-8144.7678000000005</v>
      </c>
      <c r="H3607" s="3">
        <f t="shared" si="424"/>
        <v>8144.7678000000005</v>
      </c>
      <c r="I3607" s="5" t="str">
        <f t="shared" si="425"/>
        <v>016</v>
      </c>
      <c r="J3607" s="5" t="str">
        <f t="shared" si="426"/>
        <v>2100</v>
      </c>
      <c r="K3607" s="5" t="str">
        <f t="shared" si="427"/>
        <v>000</v>
      </c>
      <c r="L3607" s="5">
        <f t="shared" si="428"/>
        <v>9</v>
      </c>
      <c r="M3607" s="5">
        <f t="shared" si="429"/>
        <v>2012</v>
      </c>
    </row>
    <row r="3608" spans="1:13" ht="17.45" customHeight="1" x14ac:dyDescent="0.25">
      <c r="A3608" s="1">
        <f t="shared" si="430"/>
        <v>41153</v>
      </c>
      <c r="B3608" t="s">
        <v>12</v>
      </c>
      <c r="C3608" t="s">
        <v>8</v>
      </c>
      <c r="D3608" s="3">
        <v>1692.6524999999999</v>
      </c>
      <c r="E3608" s="3">
        <v>0</v>
      </c>
      <c r="F3608" t="s">
        <v>45</v>
      </c>
      <c r="G3608" s="3">
        <f t="shared" si="423"/>
        <v>-1692.6524999999999</v>
      </c>
      <c r="H3608" s="3">
        <f t="shared" si="424"/>
        <v>1692.6524999999999</v>
      </c>
      <c r="I3608" s="5" t="str">
        <f t="shared" si="425"/>
        <v>016</v>
      </c>
      <c r="J3608" s="5" t="str">
        <f t="shared" si="426"/>
        <v>2210</v>
      </c>
      <c r="K3608" s="5" t="str">
        <f t="shared" si="427"/>
        <v>000</v>
      </c>
      <c r="L3608" s="5">
        <f t="shared" si="428"/>
        <v>9</v>
      </c>
      <c r="M3608" s="5">
        <f t="shared" si="429"/>
        <v>2012</v>
      </c>
    </row>
    <row r="3609" spans="1:13" ht="17.45" customHeight="1" x14ac:dyDescent="0.25">
      <c r="A3609" s="1">
        <f t="shared" si="430"/>
        <v>41153</v>
      </c>
      <c r="B3609" t="s">
        <v>13</v>
      </c>
      <c r="C3609" t="s">
        <v>9</v>
      </c>
      <c r="D3609" s="3">
        <v>393.32370000000003</v>
      </c>
      <c r="E3609" s="3">
        <v>0</v>
      </c>
      <c r="F3609" t="s">
        <v>45</v>
      </c>
      <c r="G3609" s="3">
        <f t="shared" si="423"/>
        <v>-393.32370000000003</v>
      </c>
      <c r="H3609" s="3">
        <f t="shared" si="424"/>
        <v>393.32370000000003</v>
      </c>
      <c r="I3609" s="5" t="str">
        <f t="shared" si="425"/>
        <v>016</v>
      </c>
      <c r="J3609" s="5" t="str">
        <f t="shared" si="426"/>
        <v>2220</v>
      </c>
      <c r="K3609" s="5" t="str">
        <f t="shared" si="427"/>
        <v>000</v>
      </c>
      <c r="L3609" s="5">
        <f t="shared" si="428"/>
        <v>9</v>
      </c>
      <c r="M3609" s="5">
        <f t="shared" si="429"/>
        <v>2012</v>
      </c>
    </row>
    <row r="3610" spans="1:13" ht="17.45" customHeight="1" x14ac:dyDescent="0.25">
      <c r="A3610" s="1">
        <f t="shared" si="430"/>
        <v>41153</v>
      </c>
      <c r="B3610" t="s">
        <v>14</v>
      </c>
      <c r="C3610" t="s">
        <v>10</v>
      </c>
      <c r="D3610" s="3">
        <v>100.28699999999999</v>
      </c>
      <c r="E3610" s="3">
        <v>0</v>
      </c>
      <c r="F3610" t="s">
        <v>45</v>
      </c>
      <c r="G3610" s="3">
        <f t="shared" si="423"/>
        <v>-100.28699999999999</v>
      </c>
      <c r="H3610" s="3">
        <f t="shared" si="424"/>
        <v>100.28699999999999</v>
      </c>
      <c r="I3610" s="5" t="str">
        <f t="shared" si="425"/>
        <v>016</v>
      </c>
      <c r="J3610" s="5" t="str">
        <f t="shared" si="426"/>
        <v>2230</v>
      </c>
      <c r="K3610" s="5" t="str">
        <f t="shared" si="427"/>
        <v>000</v>
      </c>
      <c r="L3610" s="5">
        <f t="shared" si="428"/>
        <v>9</v>
      </c>
      <c r="M3610" s="5">
        <f t="shared" si="429"/>
        <v>2012</v>
      </c>
    </row>
    <row r="3611" spans="1:13" ht="17.45" customHeight="1" x14ac:dyDescent="0.25">
      <c r="A3611" s="1">
        <f>DATE(2012,9,2)</f>
        <v>41154</v>
      </c>
      <c r="B3611" t="s">
        <v>11</v>
      </c>
      <c r="C3611" t="s">
        <v>6</v>
      </c>
      <c r="D3611" s="3">
        <v>5231.7251999999999</v>
      </c>
      <c r="E3611" s="3">
        <v>0</v>
      </c>
      <c r="F3611" t="s">
        <v>45</v>
      </c>
      <c r="G3611" s="3">
        <f t="shared" si="423"/>
        <v>-5231.7251999999999</v>
      </c>
      <c r="H3611" s="3">
        <f t="shared" si="424"/>
        <v>5231.7251999999999</v>
      </c>
      <c r="I3611" s="5" t="str">
        <f t="shared" si="425"/>
        <v>016</v>
      </c>
      <c r="J3611" s="5" t="str">
        <f t="shared" si="426"/>
        <v>2100</v>
      </c>
      <c r="K3611" s="5" t="str">
        <f t="shared" si="427"/>
        <v>000</v>
      </c>
      <c r="L3611" s="5">
        <f t="shared" si="428"/>
        <v>9</v>
      </c>
      <c r="M3611" s="5">
        <f t="shared" si="429"/>
        <v>2012</v>
      </c>
    </row>
    <row r="3612" spans="1:13" ht="17.45" customHeight="1" x14ac:dyDescent="0.25">
      <c r="A3612" s="1">
        <f>DATE(2012,9,2)</f>
        <v>41154</v>
      </c>
      <c r="B3612" t="s">
        <v>12</v>
      </c>
      <c r="C3612" t="s">
        <v>8</v>
      </c>
      <c r="D3612" s="3">
        <v>1006.226</v>
      </c>
      <c r="E3612" s="3">
        <v>0</v>
      </c>
      <c r="F3612" t="s">
        <v>45</v>
      </c>
      <c r="G3612" s="3">
        <f t="shared" si="423"/>
        <v>-1006.226</v>
      </c>
      <c r="H3612" s="3">
        <f t="shared" si="424"/>
        <v>1006.226</v>
      </c>
      <c r="I3612" s="5" t="str">
        <f t="shared" si="425"/>
        <v>016</v>
      </c>
      <c r="J3612" s="5" t="str">
        <f t="shared" si="426"/>
        <v>2210</v>
      </c>
      <c r="K3612" s="5" t="str">
        <f t="shared" si="427"/>
        <v>000</v>
      </c>
      <c r="L3612" s="5">
        <f t="shared" si="428"/>
        <v>9</v>
      </c>
      <c r="M3612" s="5">
        <f t="shared" si="429"/>
        <v>2012</v>
      </c>
    </row>
    <row r="3613" spans="1:13" ht="17.45" customHeight="1" x14ac:dyDescent="0.25">
      <c r="A3613" s="1">
        <f>DATE(2012,9,2)</f>
        <v>41154</v>
      </c>
      <c r="B3613" t="s">
        <v>13</v>
      </c>
      <c r="C3613" t="s">
        <v>9</v>
      </c>
      <c r="D3613" s="3">
        <v>171.477</v>
      </c>
      <c r="E3613" s="3">
        <v>0</v>
      </c>
      <c r="F3613" t="s">
        <v>45</v>
      </c>
      <c r="G3613" s="3">
        <f t="shared" si="423"/>
        <v>-171.477</v>
      </c>
      <c r="H3613" s="3">
        <f t="shared" si="424"/>
        <v>171.477</v>
      </c>
      <c r="I3613" s="5" t="str">
        <f t="shared" si="425"/>
        <v>016</v>
      </c>
      <c r="J3613" s="5" t="str">
        <f t="shared" si="426"/>
        <v>2220</v>
      </c>
      <c r="K3613" s="5" t="str">
        <f t="shared" si="427"/>
        <v>000</v>
      </c>
      <c r="L3613" s="5">
        <f t="shared" si="428"/>
        <v>9</v>
      </c>
      <c r="M3613" s="5">
        <f t="shared" si="429"/>
        <v>2012</v>
      </c>
    </row>
    <row r="3614" spans="1:13" ht="17.45" customHeight="1" x14ac:dyDescent="0.25">
      <c r="A3614" s="1">
        <f>DATE(2012,9,2)</f>
        <v>41154</v>
      </c>
      <c r="B3614" t="s">
        <v>14</v>
      </c>
      <c r="C3614" t="s">
        <v>10</v>
      </c>
      <c r="D3614" s="3">
        <v>156.97500000000002</v>
      </c>
      <c r="E3614" s="3">
        <v>0</v>
      </c>
      <c r="F3614" t="s">
        <v>45</v>
      </c>
      <c r="G3614" s="3">
        <f t="shared" si="423"/>
        <v>-156.97500000000002</v>
      </c>
      <c r="H3614" s="3">
        <f t="shared" si="424"/>
        <v>156.97500000000002</v>
      </c>
      <c r="I3614" s="5" t="str">
        <f t="shared" si="425"/>
        <v>016</v>
      </c>
      <c r="J3614" s="5" t="str">
        <f t="shared" si="426"/>
        <v>2230</v>
      </c>
      <c r="K3614" s="5" t="str">
        <f t="shared" si="427"/>
        <v>000</v>
      </c>
      <c r="L3614" s="5">
        <f t="shared" si="428"/>
        <v>9</v>
      </c>
      <c r="M3614" s="5">
        <f t="shared" si="429"/>
        <v>2012</v>
      </c>
    </row>
    <row r="3615" spans="1:13" ht="17.45" customHeight="1" x14ac:dyDescent="0.25">
      <c r="A3615" s="1">
        <f>DATE(2012,8,27)</f>
        <v>41148</v>
      </c>
      <c r="B3615" t="s">
        <v>15</v>
      </c>
      <c r="C3615" t="s">
        <v>6</v>
      </c>
      <c r="D3615" s="3">
        <v>4116.6383999999998</v>
      </c>
      <c r="E3615" s="3">
        <v>0</v>
      </c>
      <c r="F3615" t="s">
        <v>45</v>
      </c>
      <c r="G3615" s="3">
        <f t="shared" si="423"/>
        <v>-4116.6383999999998</v>
      </c>
      <c r="H3615" s="3">
        <f t="shared" si="424"/>
        <v>4116.6383999999998</v>
      </c>
      <c r="I3615" s="5" t="str">
        <f t="shared" si="425"/>
        <v>017</v>
      </c>
      <c r="J3615" s="5" t="str">
        <f t="shared" si="426"/>
        <v>2100</v>
      </c>
      <c r="K3615" s="5" t="str">
        <f t="shared" si="427"/>
        <v>000</v>
      </c>
      <c r="L3615" s="5">
        <f t="shared" si="428"/>
        <v>8</v>
      </c>
      <c r="M3615" s="5">
        <f t="shared" si="429"/>
        <v>2012</v>
      </c>
    </row>
    <row r="3616" spans="1:13" ht="17.45" customHeight="1" x14ac:dyDescent="0.25">
      <c r="A3616" s="1">
        <f>DATE(2012,8,27)</f>
        <v>41148</v>
      </c>
      <c r="B3616" t="s">
        <v>16</v>
      </c>
      <c r="C3616" t="s">
        <v>8</v>
      </c>
      <c r="D3616" s="3">
        <v>1081.6715000000002</v>
      </c>
      <c r="E3616" s="3">
        <v>0</v>
      </c>
      <c r="F3616" t="s">
        <v>45</v>
      </c>
      <c r="G3616" s="3">
        <f t="shared" si="423"/>
        <v>-1081.6715000000002</v>
      </c>
      <c r="H3616" s="3">
        <f t="shared" si="424"/>
        <v>1081.6715000000002</v>
      </c>
      <c r="I3616" s="5" t="str">
        <f t="shared" si="425"/>
        <v>017</v>
      </c>
      <c r="J3616" s="5" t="str">
        <f t="shared" si="426"/>
        <v>2210</v>
      </c>
      <c r="K3616" s="5" t="str">
        <f t="shared" si="427"/>
        <v>000</v>
      </c>
      <c r="L3616" s="5">
        <f t="shared" si="428"/>
        <v>8</v>
      </c>
      <c r="M3616" s="5">
        <f t="shared" si="429"/>
        <v>2012</v>
      </c>
    </row>
    <row r="3617" spans="1:13" ht="17.45" customHeight="1" x14ac:dyDescent="0.25">
      <c r="A3617" s="1">
        <f>DATE(2012,8,27)</f>
        <v>41148</v>
      </c>
      <c r="B3617" t="s">
        <v>17</v>
      </c>
      <c r="C3617" t="s">
        <v>9</v>
      </c>
      <c r="D3617" s="3">
        <v>254.54250000000002</v>
      </c>
      <c r="E3617" s="3">
        <v>0</v>
      </c>
      <c r="F3617" t="s">
        <v>45</v>
      </c>
      <c r="G3617" s="3">
        <f t="shared" si="423"/>
        <v>-254.54250000000002</v>
      </c>
      <c r="H3617" s="3">
        <f t="shared" si="424"/>
        <v>254.54250000000002</v>
      </c>
      <c r="I3617" s="5" t="str">
        <f t="shared" si="425"/>
        <v>017</v>
      </c>
      <c r="J3617" s="5" t="str">
        <f t="shared" si="426"/>
        <v>2220</v>
      </c>
      <c r="K3617" s="5" t="str">
        <f t="shared" si="427"/>
        <v>000</v>
      </c>
      <c r="L3617" s="5">
        <f t="shared" si="428"/>
        <v>8</v>
      </c>
      <c r="M3617" s="5">
        <f t="shared" si="429"/>
        <v>2012</v>
      </c>
    </row>
    <row r="3618" spans="1:13" ht="17.45" customHeight="1" x14ac:dyDescent="0.25">
      <c r="A3618" s="1">
        <f>DATE(2012,8,27)</f>
        <v>41148</v>
      </c>
      <c r="B3618" t="s">
        <v>18</v>
      </c>
      <c r="C3618" t="s">
        <v>10</v>
      </c>
      <c r="D3618" s="3">
        <v>24.586000000000002</v>
      </c>
      <c r="E3618" s="3">
        <v>0</v>
      </c>
      <c r="F3618" t="s">
        <v>45</v>
      </c>
      <c r="G3618" s="3">
        <f t="shared" si="423"/>
        <v>-24.586000000000002</v>
      </c>
      <c r="H3618" s="3">
        <f t="shared" si="424"/>
        <v>24.586000000000002</v>
      </c>
      <c r="I3618" s="5" t="str">
        <f t="shared" si="425"/>
        <v>017</v>
      </c>
      <c r="J3618" s="5" t="str">
        <f t="shared" si="426"/>
        <v>2230</v>
      </c>
      <c r="K3618" s="5" t="str">
        <f t="shared" si="427"/>
        <v>000</v>
      </c>
      <c r="L3618" s="5">
        <f t="shared" si="428"/>
        <v>8</v>
      </c>
      <c r="M3618" s="5">
        <f t="shared" si="429"/>
        <v>2012</v>
      </c>
    </row>
    <row r="3619" spans="1:13" ht="17.45" customHeight="1" x14ac:dyDescent="0.25">
      <c r="A3619" s="1">
        <f>DATE(2012,8,28)</f>
        <v>41149</v>
      </c>
      <c r="B3619" t="s">
        <v>15</v>
      </c>
      <c r="C3619" t="s">
        <v>6</v>
      </c>
      <c r="D3619" s="3">
        <v>4617.7349999999997</v>
      </c>
      <c r="E3619" s="3">
        <v>0</v>
      </c>
      <c r="F3619" t="s">
        <v>45</v>
      </c>
      <c r="G3619" s="3">
        <f t="shared" si="423"/>
        <v>-4617.7349999999997</v>
      </c>
      <c r="H3619" s="3">
        <f t="shared" si="424"/>
        <v>4617.7349999999997</v>
      </c>
      <c r="I3619" s="5" t="str">
        <f t="shared" si="425"/>
        <v>017</v>
      </c>
      <c r="J3619" s="5" t="str">
        <f t="shared" si="426"/>
        <v>2100</v>
      </c>
      <c r="K3619" s="5" t="str">
        <f t="shared" si="427"/>
        <v>000</v>
      </c>
      <c r="L3619" s="5">
        <f t="shared" si="428"/>
        <v>8</v>
      </c>
      <c r="M3619" s="5">
        <f t="shared" si="429"/>
        <v>2012</v>
      </c>
    </row>
    <row r="3620" spans="1:13" ht="17.45" customHeight="1" x14ac:dyDescent="0.25">
      <c r="A3620" s="1">
        <f>DATE(2012,8,28)</f>
        <v>41149</v>
      </c>
      <c r="B3620" t="s">
        <v>16</v>
      </c>
      <c r="C3620" t="s">
        <v>8</v>
      </c>
      <c r="D3620" s="3">
        <v>1273.92</v>
      </c>
      <c r="E3620" s="3">
        <v>0</v>
      </c>
      <c r="F3620" t="s">
        <v>45</v>
      </c>
      <c r="G3620" s="3">
        <f t="shared" si="423"/>
        <v>-1273.92</v>
      </c>
      <c r="H3620" s="3">
        <f t="shared" si="424"/>
        <v>1273.92</v>
      </c>
      <c r="I3620" s="5" t="str">
        <f t="shared" si="425"/>
        <v>017</v>
      </c>
      <c r="J3620" s="5" t="str">
        <f t="shared" si="426"/>
        <v>2210</v>
      </c>
      <c r="K3620" s="5" t="str">
        <f t="shared" si="427"/>
        <v>000</v>
      </c>
      <c r="L3620" s="5">
        <f t="shared" si="428"/>
        <v>8</v>
      </c>
      <c r="M3620" s="5">
        <f t="shared" si="429"/>
        <v>2012</v>
      </c>
    </row>
    <row r="3621" spans="1:13" ht="17.45" customHeight="1" x14ac:dyDescent="0.25">
      <c r="A3621" s="1">
        <f>DATE(2012,8,28)</f>
        <v>41149</v>
      </c>
      <c r="B3621" t="s">
        <v>17</v>
      </c>
      <c r="C3621" t="s">
        <v>9</v>
      </c>
      <c r="D3621" s="3">
        <v>262.69749999999999</v>
      </c>
      <c r="E3621" s="3">
        <v>0</v>
      </c>
      <c r="F3621" t="s">
        <v>45</v>
      </c>
      <c r="G3621" s="3">
        <f t="shared" si="423"/>
        <v>-262.69749999999999</v>
      </c>
      <c r="H3621" s="3">
        <f t="shared" si="424"/>
        <v>262.69749999999999</v>
      </c>
      <c r="I3621" s="5" t="str">
        <f t="shared" si="425"/>
        <v>017</v>
      </c>
      <c r="J3621" s="5" t="str">
        <f t="shared" si="426"/>
        <v>2220</v>
      </c>
      <c r="K3621" s="5" t="str">
        <f t="shared" si="427"/>
        <v>000</v>
      </c>
      <c r="L3621" s="5">
        <f t="shared" si="428"/>
        <v>8</v>
      </c>
      <c r="M3621" s="5">
        <f t="shared" si="429"/>
        <v>2012</v>
      </c>
    </row>
    <row r="3622" spans="1:13" ht="17.45" customHeight="1" x14ac:dyDescent="0.25">
      <c r="A3622" s="1">
        <f>DATE(2012,8,28)</f>
        <v>41149</v>
      </c>
      <c r="B3622" t="s">
        <v>18</v>
      </c>
      <c r="C3622" t="s">
        <v>10</v>
      </c>
      <c r="D3622" s="3">
        <v>126.11250000000001</v>
      </c>
      <c r="E3622" s="3">
        <v>0</v>
      </c>
      <c r="F3622" t="s">
        <v>45</v>
      </c>
      <c r="G3622" s="3">
        <f t="shared" si="423"/>
        <v>-126.11250000000001</v>
      </c>
      <c r="H3622" s="3">
        <f t="shared" si="424"/>
        <v>126.11250000000001</v>
      </c>
      <c r="I3622" s="5" t="str">
        <f t="shared" si="425"/>
        <v>017</v>
      </c>
      <c r="J3622" s="5" t="str">
        <f t="shared" si="426"/>
        <v>2230</v>
      </c>
      <c r="K3622" s="5" t="str">
        <f t="shared" si="427"/>
        <v>000</v>
      </c>
      <c r="L3622" s="5">
        <f t="shared" si="428"/>
        <v>8</v>
      </c>
      <c r="M3622" s="5">
        <f t="shared" si="429"/>
        <v>2012</v>
      </c>
    </row>
    <row r="3623" spans="1:13" ht="17.45" customHeight="1" x14ac:dyDescent="0.25">
      <c r="A3623" s="1">
        <f>DATE(2012,8,29)</f>
        <v>41150</v>
      </c>
      <c r="B3623" t="s">
        <v>15</v>
      </c>
      <c r="C3623" t="s">
        <v>6</v>
      </c>
      <c r="D3623" s="3">
        <v>8025.1968000000015</v>
      </c>
      <c r="E3623" s="3">
        <v>0</v>
      </c>
      <c r="F3623" t="s">
        <v>45</v>
      </c>
      <c r="G3623" s="3">
        <f t="shared" si="423"/>
        <v>-8025.1968000000015</v>
      </c>
      <c r="H3623" s="3">
        <f t="shared" si="424"/>
        <v>8025.1968000000015</v>
      </c>
      <c r="I3623" s="5" t="str">
        <f t="shared" si="425"/>
        <v>017</v>
      </c>
      <c r="J3623" s="5" t="str">
        <f t="shared" si="426"/>
        <v>2100</v>
      </c>
      <c r="K3623" s="5" t="str">
        <f t="shared" si="427"/>
        <v>000</v>
      </c>
      <c r="L3623" s="5">
        <f t="shared" si="428"/>
        <v>8</v>
      </c>
      <c r="M3623" s="5">
        <f t="shared" si="429"/>
        <v>2012</v>
      </c>
    </row>
    <row r="3624" spans="1:13" ht="17.45" customHeight="1" x14ac:dyDescent="0.25">
      <c r="A3624" s="1">
        <f>DATE(2012,8,29)</f>
        <v>41150</v>
      </c>
      <c r="B3624" t="s">
        <v>16</v>
      </c>
      <c r="C3624" t="s">
        <v>8</v>
      </c>
      <c r="D3624" s="3">
        <v>1783.7674999999999</v>
      </c>
      <c r="E3624" s="3">
        <v>0</v>
      </c>
      <c r="F3624" t="s">
        <v>45</v>
      </c>
      <c r="G3624" s="3">
        <f t="shared" si="423"/>
        <v>-1783.7674999999999</v>
      </c>
      <c r="H3624" s="3">
        <f t="shared" si="424"/>
        <v>1783.7674999999999</v>
      </c>
      <c r="I3624" s="5" t="str">
        <f t="shared" si="425"/>
        <v>017</v>
      </c>
      <c r="J3624" s="5" t="str">
        <f t="shared" si="426"/>
        <v>2210</v>
      </c>
      <c r="K3624" s="5" t="str">
        <f t="shared" si="427"/>
        <v>000</v>
      </c>
      <c r="L3624" s="5">
        <f t="shared" si="428"/>
        <v>8</v>
      </c>
      <c r="M3624" s="5">
        <f t="shared" si="429"/>
        <v>2012</v>
      </c>
    </row>
    <row r="3625" spans="1:13" ht="17.45" customHeight="1" x14ac:dyDescent="0.25">
      <c r="A3625" s="1">
        <f>DATE(2012,8,29)</f>
        <v>41150</v>
      </c>
      <c r="B3625" t="s">
        <v>17</v>
      </c>
      <c r="C3625" t="s">
        <v>9</v>
      </c>
      <c r="D3625" s="3">
        <v>557.09500000000003</v>
      </c>
      <c r="E3625" s="3">
        <v>0</v>
      </c>
      <c r="F3625" t="s">
        <v>45</v>
      </c>
      <c r="G3625" s="3">
        <f t="shared" si="423"/>
        <v>-557.09500000000003</v>
      </c>
      <c r="H3625" s="3">
        <f t="shared" si="424"/>
        <v>557.09500000000003</v>
      </c>
      <c r="I3625" s="5" t="str">
        <f t="shared" si="425"/>
        <v>017</v>
      </c>
      <c r="J3625" s="5" t="str">
        <f t="shared" si="426"/>
        <v>2220</v>
      </c>
      <c r="K3625" s="5" t="str">
        <f t="shared" si="427"/>
        <v>000</v>
      </c>
      <c r="L3625" s="5">
        <f t="shared" si="428"/>
        <v>8</v>
      </c>
      <c r="M3625" s="5">
        <f t="shared" si="429"/>
        <v>2012</v>
      </c>
    </row>
    <row r="3626" spans="1:13" ht="17.45" customHeight="1" x14ac:dyDescent="0.25">
      <c r="A3626" s="1">
        <f>DATE(2012,8,29)</f>
        <v>41150</v>
      </c>
      <c r="B3626" t="s">
        <v>18</v>
      </c>
      <c r="C3626" t="s">
        <v>10</v>
      </c>
      <c r="D3626" s="3">
        <v>79.18950000000001</v>
      </c>
      <c r="E3626" s="3">
        <v>0</v>
      </c>
      <c r="F3626" t="s">
        <v>45</v>
      </c>
      <c r="G3626" s="3">
        <f t="shared" si="423"/>
        <v>-79.18950000000001</v>
      </c>
      <c r="H3626" s="3">
        <f t="shared" si="424"/>
        <v>79.18950000000001</v>
      </c>
      <c r="I3626" s="5" t="str">
        <f t="shared" si="425"/>
        <v>017</v>
      </c>
      <c r="J3626" s="5" t="str">
        <f t="shared" si="426"/>
        <v>2230</v>
      </c>
      <c r="K3626" s="5" t="str">
        <f t="shared" si="427"/>
        <v>000</v>
      </c>
      <c r="L3626" s="5">
        <f t="shared" si="428"/>
        <v>8</v>
      </c>
      <c r="M3626" s="5">
        <f t="shared" si="429"/>
        <v>2012</v>
      </c>
    </row>
    <row r="3627" spans="1:13" ht="17.45" customHeight="1" x14ac:dyDescent="0.25">
      <c r="A3627" s="1">
        <f>DATE(2012,8,30)</f>
        <v>41151</v>
      </c>
      <c r="B3627" t="s">
        <v>15</v>
      </c>
      <c r="C3627" t="s">
        <v>6</v>
      </c>
      <c r="D3627" s="3">
        <v>4835.1397000000006</v>
      </c>
      <c r="E3627" s="3">
        <v>0</v>
      </c>
      <c r="F3627" t="s">
        <v>45</v>
      </c>
      <c r="G3627" s="3">
        <f t="shared" si="423"/>
        <v>-4835.1397000000006</v>
      </c>
      <c r="H3627" s="3">
        <f t="shared" si="424"/>
        <v>4835.1397000000006</v>
      </c>
      <c r="I3627" s="5" t="str">
        <f t="shared" si="425"/>
        <v>017</v>
      </c>
      <c r="J3627" s="5" t="str">
        <f t="shared" si="426"/>
        <v>2100</v>
      </c>
      <c r="K3627" s="5" t="str">
        <f t="shared" si="427"/>
        <v>000</v>
      </c>
      <c r="L3627" s="5">
        <f t="shared" si="428"/>
        <v>8</v>
      </c>
      <c r="M3627" s="5">
        <f t="shared" si="429"/>
        <v>2012</v>
      </c>
    </row>
    <row r="3628" spans="1:13" ht="17.45" customHeight="1" x14ac:dyDescent="0.25">
      <c r="A3628" s="1">
        <f>DATE(2012,8,30)</f>
        <v>41151</v>
      </c>
      <c r="B3628" t="s">
        <v>16</v>
      </c>
      <c r="C3628" t="s">
        <v>8</v>
      </c>
      <c r="D3628" s="3">
        <v>1474.308</v>
      </c>
      <c r="E3628" s="3">
        <v>0</v>
      </c>
      <c r="F3628" t="s">
        <v>45</v>
      </c>
      <c r="G3628" s="3">
        <f t="shared" si="423"/>
        <v>-1474.308</v>
      </c>
      <c r="H3628" s="3">
        <f t="shared" si="424"/>
        <v>1474.308</v>
      </c>
      <c r="I3628" s="5" t="str">
        <f t="shared" si="425"/>
        <v>017</v>
      </c>
      <c r="J3628" s="5" t="str">
        <f t="shared" si="426"/>
        <v>2210</v>
      </c>
      <c r="K3628" s="5" t="str">
        <f t="shared" si="427"/>
        <v>000</v>
      </c>
      <c r="L3628" s="5">
        <f t="shared" si="428"/>
        <v>8</v>
      </c>
      <c r="M3628" s="5">
        <f t="shared" si="429"/>
        <v>2012</v>
      </c>
    </row>
    <row r="3629" spans="1:13" ht="17.45" customHeight="1" x14ac:dyDescent="0.25">
      <c r="A3629" s="1">
        <f>DATE(2012,8,30)</f>
        <v>41151</v>
      </c>
      <c r="B3629" t="s">
        <v>17</v>
      </c>
      <c r="C3629" t="s">
        <v>9</v>
      </c>
      <c r="D3629" s="3">
        <v>386.82</v>
      </c>
      <c r="E3629" s="3">
        <v>0</v>
      </c>
      <c r="F3629" t="s">
        <v>45</v>
      </c>
      <c r="G3629" s="3">
        <f t="shared" si="423"/>
        <v>-386.82</v>
      </c>
      <c r="H3629" s="3">
        <f t="shared" si="424"/>
        <v>386.82</v>
      </c>
      <c r="I3629" s="5" t="str">
        <f t="shared" si="425"/>
        <v>017</v>
      </c>
      <c r="J3629" s="5" t="str">
        <f t="shared" si="426"/>
        <v>2220</v>
      </c>
      <c r="K3629" s="5" t="str">
        <f t="shared" si="427"/>
        <v>000</v>
      </c>
      <c r="L3629" s="5">
        <f t="shared" si="428"/>
        <v>8</v>
      </c>
      <c r="M3629" s="5">
        <f t="shared" si="429"/>
        <v>2012</v>
      </c>
    </row>
    <row r="3630" spans="1:13" ht="17.45" customHeight="1" x14ac:dyDescent="0.25">
      <c r="A3630" s="1">
        <f>DATE(2012,8,30)</f>
        <v>41151</v>
      </c>
      <c r="B3630" t="s">
        <v>18</v>
      </c>
      <c r="C3630" t="s">
        <v>10</v>
      </c>
      <c r="D3630" s="3">
        <v>88.366500000000002</v>
      </c>
      <c r="E3630" s="3">
        <v>0</v>
      </c>
      <c r="F3630" t="s">
        <v>45</v>
      </c>
      <c r="G3630" s="3">
        <f t="shared" si="423"/>
        <v>-88.366500000000002</v>
      </c>
      <c r="H3630" s="3">
        <f t="shared" si="424"/>
        <v>88.366500000000002</v>
      </c>
      <c r="I3630" s="5" t="str">
        <f t="shared" si="425"/>
        <v>017</v>
      </c>
      <c r="J3630" s="5" t="str">
        <f t="shared" si="426"/>
        <v>2230</v>
      </c>
      <c r="K3630" s="5" t="str">
        <f t="shared" si="427"/>
        <v>000</v>
      </c>
      <c r="L3630" s="5">
        <f t="shared" si="428"/>
        <v>8</v>
      </c>
      <c r="M3630" s="5">
        <f t="shared" si="429"/>
        <v>2012</v>
      </c>
    </row>
    <row r="3631" spans="1:13" ht="17.45" customHeight="1" x14ac:dyDescent="0.25">
      <c r="A3631" s="1">
        <f>DATE(2012,8,31)</f>
        <v>41152</v>
      </c>
      <c r="B3631" t="s">
        <v>15</v>
      </c>
      <c r="C3631" t="s">
        <v>6</v>
      </c>
      <c r="D3631" s="3">
        <v>8633.5580999999984</v>
      </c>
      <c r="E3631" s="3">
        <v>0</v>
      </c>
      <c r="F3631" t="s">
        <v>45</v>
      </c>
      <c r="G3631" s="3">
        <f t="shared" si="423"/>
        <v>-8633.5580999999984</v>
      </c>
      <c r="H3631" s="3">
        <f t="shared" si="424"/>
        <v>8633.5580999999984</v>
      </c>
      <c r="I3631" s="5" t="str">
        <f t="shared" si="425"/>
        <v>017</v>
      </c>
      <c r="J3631" s="5" t="str">
        <f t="shared" si="426"/>
        <v>2100</v>
      </c>
      <c r="K3631" s="5" t="str">
        <f t="shared" si="427"/>
        <v>000</v>
      </c>
      <c r="L3631" s="5">
        <f t="shared" si="428"/>
        <v>8</v>
      </c>
      <c r="M3631" s="5">
        <f t="shared" si="429"/>
        <v>2012</v>
      </c>
    </row>
    <row r="3632" spans="1:13" ht="17.45" customHeight="1" x14ac:dyDescent="0.25">
      <c r="A3632" s="1">
        <f>DATE(2012,8,31)</f>
        <v>41152</v>
      </c>
      <c r="B3632" t="s">
        <v>16</v>
      </c>
      <c r="C3632" t="s">
        <v>8</v>
      </c>
      <c r="D3632" s="3">
        <v>2057.1680000000001</v>
      </c>
      <c r="E3632" s="3">
        <v>0</v>
      </c>
      <c r="F3632" t="s">
        <v>45</v>
      </c>
      <c r="G3632" s="3">
        <f t="shared" si="423"/>
        <v>-2057.1680000000001</v>
      </c>
      <c r="H3632" s="3">
        <f t="shared" si="424"/>
        <v>2057.1680000000001</v>
      </c>
      <c r="I3632" s="5" t="str">
        <f t="shared" si="425"/>
        <v>017</v>
      </c>
      <c r="J3632" s="5" t="str">
        <f t="shared" si="426"/>
        <v>2210</v>
      </c>
      <c r="K3632" s="5" t="str">
        <f t="shared" si="427"/>
        <v>000</v>
      </c>
      <c r="L3632" s="5">
        <f t="shared" si="428"/>
        <v>8</v>
      </c>
      <c r="M3632" s="5">
        <f t="shared" si="429"/>
        <v>2012</v>
      </c>
    </row>
    <row r="3633" spans="1:13" ht="17.45" customHeight="1" x14ac:dyDescent="0.25">
      <c r="A3633" s="1">
        <f>DATE(2012,8,31)</f>
        <v>41152</v>
      </c>
      <c r="B3633" t="s">
        <v>17</v>
      </c>
      <c r="C3633" t="s">
        <v>9</v>
      </c>
      <c r="D3633" s="3">
        <v>563.59249999999997</v>
      </c>
      <c r="E3633" s="3">
        <v>0</v>
      </c>
      <c r="F3633" t="s">
        <v>45</v>
      </c>
      <c r="G3633" s="3">
        <f t="shared" si="423"/>
        <v>-563.59249999999997</v>
      </c>
      <c r="H3633" s="3">
        <f t="shared" si="424"/>
        <v>563.59249999999997</v>
      </c>
      <c r="I3633" s="5" t="str">
        <f t="shared" si="425"/>
        <v>017</v>
      </c>
      <c r="J3633" s="5" t="str">
        <f t="shared" si="426"/>
        <v>2220</v>
      </c>
      <c r="K3633" s="5" t="str">
        <f t="shared" si="427"/>
        <v>000</v>
      </c>
      <c r="L3633" s="5">
        <f t="shared" si="428"/>
        <v>8</v>
      </c>
      <c r="M3633" s="5">
        <f t="shared" si="429"/>
        <v>2012</v>
      </c>
    </row>
    <row r="3634" spans="1:13" ht="17.45" customHeight="1" x14ac:dyDescent="0.25">
      <c r="A3634" s="1">
        <f>DATE(2012,8,31)</f>
        <v>41152</v>
      </c>
      <c r="B3634" t="s">
        <v>18</v>
      </c>
      <c r="C3634" t="s">
        <v>10</v>
      </c>
      <c r="D3634" s="3">
        <v>83.954499999999996</v>
      </c>
      <c r="E3634" s="3">
        <v>0</v>
      </c>
      <c r="F3634" t="s">
        <v>45</v>
      </c>
      <c r="G3634" s="3">
        <f t="shared" si="423"/>
        <v>-83.954499999999996</v>
      </c>
      <c r="H3634" s="3">
        <f t="shared" si="424"/>
        <v>83.954499999999996</v>
      </c>
      <c r="I3634" s="5" t="str">
        <f t="shared" si="425"/>
        <v>017</v>
      </c>
      <c r="J3634" s="5" t="str">
        <f t="shared" si="426"/>
        <v>2230</v>
      </c>
      <c r="K3634" s="5" t="str">
        <f t="shared" si="427"/>
        <v>000</v>
      </c>
      <c r="L3634" s="5">
        <f t="shared" si="428"/>
        <v>8</v>
      </c>
      <c r="M3634" s="5">
        <f t="shared" si="429"/>
        <v>2012</v>
      </c>
    </row>
    <row r="3635" spans="1:13" ht="17.45" customHeight="1" x14ac:dyDescent="0.25">
      <c r="A3635" s="1">
        <f>DATE(2012,9,1)</f>
        <v>41153</v>
      </c>
      <c r="B3635" t="s">
        <v>15</v>
      </c>
      <c r="C3635" t="s">
        <v>6</v>
      </c>
      <c r="D3635" s="3">
        <v>7577.1112000000012</v>
      </c>
      <c r="E3635" s="3">
        <v>0</v>
      </c>
      <c r="F3635" t="s">
        <v>45</v>
      </c>
      <c r="G3635" s="3">
        <f t="shared" si="423"/>
        <v>-7577.1112000000012</v>
      </c>
      <c r="H3635" s="3">
        <f t="shared" si="424"/>
        <v>7577.1112000000012</v>
      </c>
      <c r="I3635" s="5" t="str">
        <f t="shared" si="425"/>
        <v>017</v>
      </c>
      <c r="J3635" s="5" t="str">
        <f t="shared" si="426"/>
        <v>2100</v>
      </c>
      <c r="K3635" s="5" t="str">
        <f t="shared" si="427"/>
        <v>000</v>
      </c>
      <c r="L3635" s="5">
        <f t="shared" si="428"/>
        <v>9</v>
      </c>
      <c r="M3635" s="5">
        <f t="shared" si="429"/>
        <v>2012</v>
      </c>
    </row>
    <row r="3636" spans="1:13" ht="17.45" customHeight="1" x14ac:dyDescent="0.25">
      <c r="A3636" s="1">
        <f>DATE(2012,9,1)</f>
        <v>41153</v>
      </c>
      <c r="B3636" t="s">
        <v>16</v>
      </c>
      <c r="C3636" t="s">
        <v>8</v>
      </c>
      <c r="D3636" s="3">
        <v>2197.6259999999997</v>
      </c>
      <c r="E3636" s="3">
        <v>0</v>
      </c>
      <c r="F3636" t="s">
        <v>45</v>
      </c>
      <c r="G3636" s="3">
        <f t="shared" si="423"/>
        <v>-2197.6259999999997</v>
      </c>
      <c r="H3636" s="3">
        <f t="shared" si="424"/>
        <v>2197.6259999999997</v>
      </c>
      <c r="I3636" s="5" t="str">
        <f t="shared" si="425"/>
        <v>017</v>
      </c>
      <c r="J3636" s="5" t="str">
        <f t="shared" si="426"/>
        <v>2210</v>
      </c>
      <c r="K3636" s="5" t="str">
        <f t="shared" si="427"/>
        <v>000</v>
      </c>
      <c r="L3636" s="5">
        <f t="shared" si="428"/>
        <v>9</v>
      </c>
      <c r="M3636" s="5">
        <f t="shared" si="429"/>
        <v>2012</v>
      </c>
    </row>
    <row r="3637" spans="1:13" ht="17.45" customHeight="1" x14ac:dyDescent="0.25">
      <c r="A3637" s="1">
        <f>DATE(2012,9,1)</f>
        <v>41153</v>
      </c>
      <c r="B3637" t="s">
        <v>17</v>
      </c>
      <c r="C3637" t="s">
        <v>9</v>
      </c>
      <c r="D3637" s="3">
        <v>425.24250000000001</v>
      </c>
      <c r="E3637" s="3">
        <v>0</v>
      </c>
      <c r="F3637" t="s">
        <v>45</v>
      </c>
      <c r="G3637" s="3">
        <f t="shared" si="423"/>
        <v>-425.24250000000001</v>
      </c>
      <c r="H3637" s="3">
        <f t="shared" si="424"/>
        <v>425.24250000000001</v>
      </c>
      <c r="I3637" s="5" t="str">
        <f t="shared" si="425"/>
        <v>017</v>
      </c>
      <c r="J3637" s="5" t="str">
        <f t="shared" si="426"/>
        <v>2220</v>
      </c>
      <c r="K3637" s="5" t="str">
        <f t="shared" si="427"/>
        <v>000</v>
      </c>
      <c r="L3637" s="5">
        <f t="shared" si="428"/>
        <v>9</v>
      </c>
      <c r="M3637" s="5">
        <f t="shared" si="429"/>
        <v>2012</v>
      </c>
    </row>
    <row r="3638" spans="1:13" ht="17.45" customHeight="1" x14ac:dyDescent="0.25">
      <c r="A3638" s="1">
        <f>DATE(2012,9,1)</f>
        <v>41153</v>
      </c>
      <c r="B3638" t="s">
        <v>18</v>
      </c>
      <c r="C3638" t="s">
        <v>10</v>
      </c>
      <c r="D3638" s="3">
        <v>45.941999999999993</v>
      </c>
      <c r="E3638" s="3">
        <v>0</v>
      </c>
      <c r="F3638" t="s">
        <v>45</v>
      </c>
      <c r="G3638" s="3">
        <f t="shared" si="423"/>
        <v>-45.941999999999993</v>
      </c>
      <c r="H3638" s="3">
        <f t="shared" si="424"/>
        <v>45.941999999999993</v>
      </c>
      <c r="I3638" s="5" t="str">
        <f t="shared" si="425"/>
        <v>017</v>
      </c>
      <c r="J3638" s="5" t="str">
        <f t="shared" si="426"/>
        <v>2230</v>
      </c>
      <c r="K3638" s="5" t="str">
        <f t="shared" si="427"/>
        <v>000</v>
      </c>
      <c r="L3638" s="5">
        <f t="shared" si="428"/>
        <v>9</v>
      </c>
      <c r="M3638" s="5">
        <f t="shared" si="429"/>
        <v>2012</v>
      </c>
    </row>
    <row r="3639" spans="1:13" ht="17.45" customHeight="1" x14ac:dyDescent="0.25">
      <c r="A3639" s="1">
        <f>DATE(2012,9,2)</f>
        <v>41154</v>
      </c>
      <c r="B3639" t="s">
        <v>15</v>
      </c>
      <c r="C3639" t="s">
        <v>6</v>
      </c>
      <c r="D3639" s="3">
        <v>5031.5640000000003</v>
      </c>
      <c r="E3639" s="3">
        <v>0</v>
      </c>
      <c r="F3639" t="s">
        <v>45</v>
      </c>
      <c r="G3639" s="3">
        <f t="shared" si="423"/>
        <v>-5031.5640000000003</v>
      </c>
      <c r="H3639" s="3">
        <f t="shared" si="424"/>
        <v>5031.5640000000003</v>
      </c>
      <c r="I3639" s="5" t="str">
        <f t="shared" si="425"/>
        <v>017</v>
      </c>
      <c r="J3639" s="5" t="str">
        <f t="shared" si="426"/>
        <v>2100</v>
      </c>
      <c r="K3639" s="5" t="str">
        <f t="shared" si="427"/>
        <v>000</v>
      </c>
      <c r="L3639" s="5">
        <f t="shared" si="428"/>
        <v>9</v>
      </c>
      <c r="M3639" s="5">
        <f t="shared" si="429"/>
        <v>2012</v>
      </c>
    </row>
    <row r="3640" spans="1:13" ht="17.45" customHeight="1" x14ac:dyDescent="0.25">
      <c r="A3640" s="1">
        <f>DATE(2012,9,2)</f>
        <v>41154</v>
      </c>
      <c r="B3640" t="s">
        <v>16</v>
      </c>
      <c r="C3640" t="s">
        <v>8</v>
      </c>
      <c r="D3640" s="3">
        <v>1275.211</v>
      </c>
      <c r="E3640" s="3">
        <v>0</v>
      </c>
      <c r="F3640" t="s">
        <v>45</v>
      </c>
      <c r="G3640" s="3">
        <f t="shared" si="423"/>
        <v>-1275.211</v>
      </c>
      <c r="H3640" s="3">
        <f t="shared" si="424"/>
        <v>1275.211</v>
      </c>
      <c r="I3640" s="5" t="str">
        <f t="shared" si="425"/>
        <v>017</v>
      </c>
      <c r="J3640" s="5" t="str">
        <f t="shared" si="426"/>
        <v>2210</v>
      </c>
      <c r="K3640" s="5" t="str">
        <f t="shared" si="427"/>
        <v>000</v>
      </c>
      <c r="L3640" s="5">
        <f t="shared" si="428"/>
        <v>9</v>
      </c>
      <c r="M3640" s="5">
        <f t="shared" si="429"/>
        <v>2012</v>
      </c>
    </row>
    <row r="3641" spans="1:13" ht="17.45" customHeight="1" x14ac:dyDescent="0.25">
      <c r="A3641" s="1">
        <f>DATE(2012,9,2)</f>
        <v>41154</v>
      </c>
      <c r="B3641" t="s">
        <v>17</v>
      </c>
      <c r="C3641" t="s">
        <v>9</v>
      </c>
      <c r="D3641" s="3">
        <v>192.76749999999998</v>
      </c>
      <c r="E3641" s="3">
        <v>0</v>
      </c>
      <c r="F3641" t="s">
        <v>45</v>
      </c>
      <c r="G3641" s="3">
        <f t="shared" si="423"/>
        <v>-192.76749999999998</v>
      </c>
      <c r="H3641" s="3">
        <f t="shared" si="424"/>
        <v>192.76749999999998</v>
      </c>
      <c r="I3641" s="5" t="str">
        <f t="shared" si="425"/>
        <v>017</v>
      </c>
      <c r="J3641" s="5" t="str">
        <f t="shared" si="426"/>
        <v>2220</v>
      </c>
      <c r="K3641" s="5" t="str">
        <f t="shared" si="427"/>
        <v>000</v>
      </c>
      <c r="L3641" s="5">
        <f t="shared" si="428"/>
        <v>9</v>
      </c>
      <c r="M3641" s="5">
        <f t="shared" si="429"/>
        <v>2012</v>
      </c>
    </row>
    <row r="3642" spans="1:13" ht="17.45" customHeight="1" x14ac:dyDescent="0.25">
      <c r="A3642" s="1">
        <f>DATE(2012,9,2)</f>
        <v>41154</v>
      </c>
      <c r="B3642" t="s">
        <v>18</v>
      </c>
      <c r="C3642" t="s">
        <v>10</v>
      </c>
      <c r="D3642" s="3">
        <v>12.843999999999999</v>
      </c>
      <c r="E3642" s="3">
        <v>0</v>
      </c>
      <c r="F3642" t="s">
        <v>45</v>
      </c>
      <c r="G3642" s="3">
        <f t="shared" si="423"/>
        <v>-12.843999999999999</v>
      </c>
      <c r="H3642" s="3">
        <f t="shared" si="424"/>
        <v>12.843999999999999</v>
      </c>
      <c r="I3642" s="5" t="str">
        <f t="shared" si="425"/>
        <v>017</v>
      </c>
      <c r="J3642" s="5" t="str">
        <f t="shared" si="426"/>
        <v>2230</v>
      </c>
      <c r="K3642" s="5" t="str">
        <f t="shared" si="427"/>
        <v>000</v>
      </c>
      <c r="L3642" s="5">
        <f t="shared" si="428"/>
        <v>9</v>
      </c>
      <c r="M3642" s="5">
        <f t="shared" si="429"/>
        <v>2012</v>
      </c>
    </row>
    <row r="3643" spans="1:13" ht="17.45" customHeight="1" x14ac:dyDescent="0.25">
      <c r="A3643" s="1">
        <f>DATE(2012,8,27)</f>
        <v>41148</v>
      </c>
      <c r="B3643" t="s">
        <v>19</v>
      </c>
      <c r="C3643" t="s">
        <v>6</v>
      </c>
      <c r="D3643" s="3">
        <v>3878.4960000000001</v>
      </c>
      <c r="E3643" s="3">
        <v>0</v>
      </c>
      <c r="F3643" t="s">
        <v>45</v>
      </c>
      <c r="G3643" s="3">
        <f t="shared" si="423"/>
        <v>-3878.4960000000001</v>
      </c>
      <c r="H3643" s="3">
        <f t="shared" si="424"/>
        <v>3878.4960000000001</v>
      </c>
      <c r="I3643" s="5" t="str">
        <f t="shared" si="425"/>
        <v>018</v>
      </c>
      <c r="J3643" s="5" t="str">
        <f t="shared" si="426"/>
        <v>2100</v>
      </c>
      <c r="K3643" s="5" t="str">
        <f t="shared" si="427"/>
        <v>000</v>
      </c>
      <c r="L3643" s="5">
        <f t="shared" si="428"/>
        <v>8</v>
      </c>
      <c r="M3643" s="5">
        <f t="shared" si="429"/>
        <v>2012</v>
      </c>
    </row>
    <row r="3644" spans="1:13" ht="17.45" customHeight="1" x14ac:dyDescent="0.25">
      <c r="A3644" s="1">
        <f>DATE(2012,8,27)</f>
        <v>41148</v>
      </c>
      <c r="B3644" t="s">
        <v>20</v>
      </c>
      <c r="C3644" t="s">
        <v>8</v>
      </c>
      <c r="D3644" s="3">
        <v>861.678</v>
      </c>
      <c r="E3644" s="3">
        <v>0</v>
      </c>
      <c r="F3644" t="s">
        <v>45</v>
      </c>
      <c r="G3644" s="3">
        <f t="shared" si="423"/>
        <v>-861.678</v>
      </c>
      <c r="H3644" s="3">
        <f t="shared" si="424"/>
        <v>861.678</v>
      </c>
      <c r="I3644" s="5" t="str">
        <f t="shared" si="425"/>
        <v>018</v>
      </c>
      <c r="J3644" s="5" t="str">
        <f t="shared" si="426"/>
        <v>2210</v>
      </c>
      <c r="K3644" s="5" t="str">
        <f t="shared" si="427"/>
        <v>000</v>
      </c>
      <c r="L3644" s="5">
        <f t="shared" si="428"/>
        <v>8</v>
      </c>
      <c r="M3644" s="5">
        <f t="shared" si="429"/>
        <v>2012</v>
      </c>
    </row>
    <row r="3645" spans="1:13" ht="17.45" customHeight="1" x14ac:dyDescent="0.25">
      <c r="A3645" s="1">
        <f>DATE(2012,8,27)</f>
        <v>41148</v>
      </c>
      <c r="B3645" t="s">
        <v>21</v>
      </c>
      <c r="C3645" t="s">
        <v>9</v>
      </c>
      <c r="D3645" s="3">
        <v>184.77550000000002</v>
      </c>
      <c r="E3645" s="3">
        <v>0</v>
      </c>
      <c r="F3645" t="s">
        <v>45</v>
      </c>
      <c r="G3645" s="3">
        <f t="shared" si="423"/>
        <v>-184.77550000000002</v>
      </c>
      <c r="H3645" s="3">
        <f t="shared" si="424"/>
        <v>184.77550000000002</v>
      </c>
      <c r="I3645" s="5" t="str">
        <f t="shared" si="425"/>
        <v>018</v>
      </c>
      <c r="J3645" s="5" t="str">
        <f t="shared" si="426"/>
        <v>2220</v>
      </c>
      <c r="K3645" s="5" t="str">
        <f t="shared" si="427"/>
        <v>000</v>
      </c>
      <c r="L3645" s="5">
        <f t="shared" si="428"/>
        <v>8</v>
      </c>
      <c r="M3645" s="5">
        <f t="shared" si="429"/>
        <v>2012</v>
      </c>
    </row>
    <row r="3646" spans="1:13" ht="17.45" customHeight="1" x14ac:dyDescent="0.25">
      <c r="A3646" s="1">
        <f>DATE(2012,8,27)</f>
        <v>41148</v>
      </c>
      <c r="B3646" t="s">
        <v>22</v>
      </c>
      <c r="C3646" t="s">
        <v>10</v>
      </c>
      <c r="D3646" s="3">
        <v>10.6945</v>
      </c>
      <c r="E3646" s="3">
        <v>0</v>
      </c>
      <c r="F3646" t="s">
        <v>45</v>
      </c>
      <c r="G3646" s="3">
        <f t="shared" si="423"/>
        <v>-10.6945</v>
      </c>
      <c r="H3646" s="3">
        <f t="shared" si="424"/>
        <v>10.6945</v>
      </c>
      <c r="I3646" s="5" t="str">
        <f t="shared" si="425"/>
        <v>018</v>
      </c>
      <c r="J3646" s="5" t="str">
        <f t="shared" si="426"/>
        <v>2230</v>
      </c>
      <c r="K3646" s="5" t="str">
        <f t="shared" si="427"/>
        <v>000</v>
      </c>
      <c r="L3646" s="5">
        <f t="shared" si="428"/>
        <v>8</v>
      </c>
      <c r="M3646" s="5">
        <f t="shared" si="429"/>
        <v>2012</v>
      </c>
    </row>
    <row r="3647" spans="1:13" ht="17.45" customHeight="1" x14ac:dyDescent="0.25">
      <c r="A3647" s="1">
        <f>DATE(2012,8,28)</f>
        <v>41149</v>
      </c>
      <c r="B3647" t="s">
        <v>19</v>
      </c>
      <c r="C3647" t="s">
        <v>6</v>
      </c>
      <c r="D3647" s="3">
        <v>4450.0069999999996</v>
      </c>
      <c r="E3647" s="3">
        <v>0</v>
      </c>
      <c r="F3647" t="s">
        <v>45</v>
      </c>
      <c r="G3647" s="3">
        <f t="shared" si="423"/>
        <v>-4450.0069999999996</v>
      </c>
      <c r="H3647" s="3">
        <f t="shared" si="424"/>
        <v>4450.0069999999996</v>
      </c>
      <c r="I3647" s="5" t="str">
        <f t="shared" si="425"/>
        <v>018</v>
      </c>
      <c r="J3647" s="5" t="str">
        <f t="shared" si="426"/>
        <v>2100</v>
      </c>
      <c r="K3647" s="5" t="str">
        <f t="shared" si="427"/>
        <v>000</v>
      </c>
      <c r="L3647" s="5">
        <f t="shared" si="428"/>
        <v>8</v>
      </c>
      <c r="M3647" s="5">
        <f t="shared" si="429"/>
        <v>2012</v>
      </c>
    </row>
    <row r="3648" spans="1:13" ht="17.45" customHeight="1" x14ac:dyDescent="0.25">
      <c r="A3648" s="1">
        <f>DATE(2012,8,28)</f>
        <v>41149</v>
      </c>
      <c r="B3648" t="s">
        <v>20</v>
      </c>
      <c r="C3648" t="s">
        <v>8</v>
      </c>
      <c r="D3648" s="3">
        <v>1145.4065000000001</v>
      </c>
      <c r="E3648" s="3">
        <v>0</v>
      </c>
      <c r="F3648" t="s">
        <v>45</v>
      </c>
      <c r="G3648" s="3">
        <f t="shared" si="423"/>
        <v>-1145.4065000000001</v>
      </c>
      <c r="H3648" s="3">
        <f t="shared" si="424"/>
        <v>1145.4065000000001</v>
      </c>
      <c r="I3648" s="5" t="str">
        <f t="shared" si="425"/>
        <v>018</v>
      </c>
      <c r="J3648" s="5" t="str">
        <f t="shared" si="426"/>
        <v>2210</v>
      </c>
      <c r="K3648" s="5" t="str">
        <f t="shared" si="427"/>
        <v>000</v>
      </c>
      <c r="L3648" s="5">
        <f t="shared" si="428"/>
        <v>8</v>
      </c>
      <c r="M3648" s="5">
        <f t="shared" si="429"/>
        <v>2012</v>
      </c>
    </row>
    <row r="3649" spans="1:13" ht="17.45" customHeight="1" x14ac:dyDescent="0.25">
      <c r="A3649" s="1">
        <f>DATE(2012,8,28)</f>
        <v>41149</v>
      </c>
      <c r="B3649" t="s">
        <v>21</v>
      </c>
      <c r="C3649" t="s">
        <v>9</v>
      </c>
      <c r="D3649" s="3">
        <v>300.52</v>
      </c>
      <c r="E3649" s="3">
        <v>0</v>
      </c>
      <c r="F3649" t="s">
        <v>45</v>
      </c>
      <c r="G3649" s="3">
        <f t="shared" si="423"/>
        <v>-300.52</v>
      </c>
      <c r="H3649" s="3">
        <f t="shared" si="424"/>
        <v>300.52</v>
      </c>
      <c r="I3649" s="5" t="str">
        <f t="shared" si="425"/>
        <v>018</v>
      </c>
      <c r="J3649" s="5" t="str">
        <f t="shared" si="426"/>
        <v>2220</v>
      </c>
      <c r="K3649" s="5" t="str">
        <f t="shared" si="427"/>
        <v>000</v>
      </c>
      <c r="L3649" s="5">
        <f t="shared" si="428"/>
        <v>8</v>
      </c>
      <c r="M3649" s="5">
        <f t="shared" si="429"/>
        <v>2012</v>
      </c>
    </row>
    <row r="3650" spans="1:13" ht="17.45" customHeight="1" x14ac:dyDescent="0.25">
      <c r="A3650" s="1">
        <f>DATE(2012,8,28)</f>
        <v>41149</v>
      </c>
      <c r="B3650" t="s">
        <v>22</v>
      </c>
      <c r="C3650" t="s">
        <v>10</v>
      </c>
      <c r="D3650" s="3">
        <v>70.644000000000005</v>
      </c>
      <c r="E3650" s="3">
        <v>0</v>
      </c>
      <c r="F3650" t="s">
        <v>45</v>
      </c>
      <c r="G3650" s="3">
        <f t="shared" ref="G3650:G3713" si="431">E3650-D3650</f>
        <v>-70.644000000000005</v>
      </c>
      <c r="H3650" s="3">
        <f t="shared" ref="H3650:H3713" si="432">ABS(G3650)</f>
        <v>70.644000000000005</v>
      </c>
      <c r="I3650" s="5" t="str">
        <f t="shared" ref="I3650:I3713" si="433">MID(B3650,1,3)</f>
        <v>018</v>
      </c>
      <c r="J3650" s="5" t="str">
        <f t="shared" ref="J3650:J3713" si="434">MID(B3650,5,4)</f>
        <v>2230</v>
      </c>
      <c r="K3650" s="5" t="str">
        <f t="shared" ref="K3650:K3713" si="435">MID(B3650,10,3)</f>
        <v>000</v>
      </c>
      <c r="L3650" s="5">
        <f t="shared" ref="L3650:L3713" si="436">MONTH(A3650)</f>
        <v>8</v>
      </c>
      <c r="M3650" s="5">
        <f t="shared" ref="M3650:M3713" si="437">YEAR(A3650)</f>
        <v>2012</v>
      </c>
    </row>
    <row r="3651" spans="1:13" ht="17.45" customHeight="1" x14ac:dyDescent="0.25">
      <c r="A3651" s="1">
        <f>DATE(2012,8,29)</f>
        <v>41150</v>
      </c>
      <c r="B3651" t="s">
        <v>19</v>
      </c>
      <c r="C3651" t="s">
        <v>6</v>
      </c>
      <c r="D3651" s="3">
        <v>4529.8440000000001</v>
      </c>
      <c r="E3651" s="3">
        <v>0</v>
      </c>
      <c r="F3651" t="s">
        <v>45</v>
      </c>
      <c r="G3651" s="3">
        <f t="shared" si="431"/>
        <v>-4529.8440000000001</v>
      </c>
      <c r="H3651" s="3">
        <f t="shared" si="432"/>
        <v>4529.8440000000001</v>
      </c>
      <c r="I3651" s="5" t="str">
        <f t="shared" si="433"/>
        <v>018</v>
      </c>
      <c r="J3651" s="5" t="str">
        <f t="shared" si="434"/>
        <v>2100</v>
      </c>
      <c r="K3651" s="5" t="str">
        <f t="shared" si="435"/>
        <v>000</v>
      </c>
      <c r="L3651" s="5">
        <f t="shared" si="436"/>
        <v>8</v>
      </c>
      <c r="M3651" s="5">
        <f t="shared" si="437"/>
        <v>2012</v>
      </c>
    </row>
    <row r="3652" spans="1:13" ht="17.45" customHeight="1" x14ac:dyDescent="0.25">
      <c r="A3652" s="1">
        <f>DATE(2012,8,29)</f>
        <v>41150</v>
      </c>
      <c r="B3652" t="s">
        <v>20</v>
      </c>
      <c r="C3652" t="s">
        <v>8</v>
      </c>
      <c r="D3652" s="3">
        <v>741.08550000000002</v>
      </c>
      <c r="E3652" s="3">
        <v>0</v>
      </c>
      <c r="F3652" t="s">
        <v>45</v>
      </c>
      <c r="G3652" s="3">
        <f t="shared" si="431"/>
        <v>-741.08550000000002</v>
      </c>
      <c r="H3652" s="3">
        <f t="shared" si="432"/>
        <v>741.08550000000002</v>
      </c>
      <c r="I3652" s="5" t="str">
        <f t="shared" si="433"/>
        <v>018</v>
      </c>
      <c r="J3652" s="5" t="str">
        <f t="shared" si="434"/>
        <v>2210</v>
      </c>
      <c r="K3652" s="5" t="str">
        <f t="shared" si="435"/>
        <v>000</v>
      </c>
      <c r="L3652" s="5">
        <f t="shared" si="436"/>
        <v>8</v>
      </c>
      <c r="M3652" s="5">
        <f t="shared" si="437"/>
        <v>2012</v>
      </c>
    </row>
    <row r="3653" spans="1:13" ht="17.45" customHeight="1" x14ac:dyDescent="0.25">
      <c r="A3653" s="1">
        <f>DATE(2012,8,29)</f>
        <v>41150</v>
      </c>
      <c r="B3653" t="s">
        <v>21</v>
      </c>
      <c r="C3653" t="s">
        <v>9</v>
      </c>
      <c r="D3653" s="3">
        <v>299.80799999999999</v>
      </c>
      <c r="E3653" s="3">
        <v>0</v>
      </c>
      <c r="F3653" t="s">
        <v>45</v>
      </c>
      <c r="G3653" s="3">
        <f t="shared" si="431"/>
        <v>-299.80799999999999</v>
      </c>
      <c r="H3653" s="3">
        <f t="shared" si="432"/>
        <v>299.80799999999999</v>
      </c>
      <c r="I3653" s="5" t="str">
        <f t="shared" si="433"/>
        <v>018</v>
      </c>
      <c r="J3653" s="5" t="str">
        <f t="shared" si="434"/>
        <v>2220</v>
      </c>
      <c r="K3653" s="5" t="str">
        <f t="shared" si="435"/>
        <v>000</v>
      </c>
      <c r="L3653" s="5">
        <f t="shared" si="436"/>
        <v>8</v>
      </c>
      <c r="M3653" s="5">
        <f t="shared" si="437"/>
        <v>2012</v>
      </c>
    </row>
    <row r="3654" spans="1:13" ht="17.45" customHeight="1" x14ac:dyDescent="0.25">
      <c r="A3654" s="1">
        <f>DATE(2012,8,29)</f>
        <v>41150</v>
      </c>
      <c r="B3654" t="s">
        <v>22</v>
      </c>
      <c r="C3654" t="s">
        <v>10</v>
      </c>
      <c r="D3654" s="3">
        <v>43.1145</v>
      </c>
      <c r="E3654" s="3">
        <v>0</v>
      </c>
      <c r="F3654" t="s">
        <v>45</v>
      </c>
      <c r="G3654" s="3">
        <f t="shared" si="431"/>
        <v>-43.1145</v>
      </c>
      <c r="H3654" s="3">
        <f t="shared" si="432"/>
        <v>43.1145</v>
      </c>
      <c r="I3654" s="5" t="str">
        <f t="shared" si="433"/>
        <v>018</v>
      </c>
      <c r="J3654" s="5" t="str">
        <f t="shared" si="434"/>
        <v>2230</v>
      </c>
      <c r="K3654" s="5" t="str">
        <f t="shared" si="435"/>
        <v>000</v>
      </c>
      <c r="L3654" s="5">
        <f t="shared" si="436"/>
        <v>8</v>
      </c>
      <c r="M3654" s="5">
        <f t="shared" si="437"/>
        <v>2012</v>
      </c>
    </row>
    <row r="3655" spans="1:13" ht="17.45" customHeight="1" x14ac:dyDescent="0.25">
      <c r="A3655" s="1">
        <f>DATE(2012,8,30)</f>
        <v>41151</v>
      </c>
      <c r="B3655" t="s">
        <v>19</v>
      </c>
      <c r="C3655" t="s">
        <v>6</v>
      </c>
      <c r="D3655" s="3">
        <v>5217.1350000000002</v>
      </c>
      <c r="E3655" s="3">
        <v>0</v>
      </c>
      <c r="F3655" t="s">
        <v>45</v>
      </c>
      <c r="G3655" s="3">
        <f t="shared" si="431"/>
        <v>-5217.1350000000002</v>
      </c>
      <c r="H3655" s="3">
        <f t="shared" si="432"/>
        <v>5217.1350000000002</v>
      </c>
      <c r="I3655" s="5" t="str">
        <f t="shared" si="433"/>
        <v>018</v>
      </c>
      <c r="J3655" s="5" t="str">
        <f t="shared" si="434"/>
        <v>2100</v>
      </c>
      <c r="K3655" s="5" t="str">
        <f t="shared" si="435"/>
        <v>000</v>
      </c>
      <c r="L3655" s="5">
        <f t="shared" si="436"/>
        <v>8</v>
      </c>
      <c r="M3655" s="5">
        <f t="shared" si="437"/>
        <v>2012</v>
      </c>
    </row>
    <row r="3656" spans="1:13" ht="17.45" customHeight="1" x14ac:dyDescent="0.25">
      <c r="A3656" s="1">
        <f>DATE(2012,8,30)</f>
        <v>41151</v>
      </c>
      <c r="B3656" t="s">
        <v>20</v>
      </c>
      <c r="C3656" t="s">
        <v>8</v>
      </c>
      <c r="D3656" s="3">
        <v>988.04549999999995</v>
      </c>
      <c r="E3656" s="3">
        <v>0</v>
      </c>
      <c r="F3656" t="s">
        <v>45</v>
      </c>
      <c r="G3656" s="3">
        <f t="shared" si="431"/>
        <v>-988.04549999999995</v>
      </c>
      <c r="H3656" s="3">
        <f t="shared" si="432"/>
        <v>988.04549999999995</v>
      </c>
      <c r="I3656" s="5" t="str">
        <f t="shared" si="433"/>
        <v>018</v>
      </c>
      <c r="J3656" s="5" t="str">
        <f t="shared" si="434"/>
        <v>2210</v>
      </c>
      <c r="K3656" s="5" t="str">
        <f t="shared" si="435"/>
        <v>000</v>
      </c>
      <c r="L3656" s="5">
        <f t="shared" si="436"/>
        <v>8</v>
      </c>
      <c r="M3656" s="5">
        <f t="shared" si="437"/>
        <v>2012</v>
      </c>
    </row>
    <row r="3657" spans="1:13" ht="17.45" customHeight="1" x14ac:dyDescent="0.25">
      <c r="A3657" s="1">
        <f>DATE(2012,8,30)</f>
        <v>41151</v>
      </c>
      <c r="B3657" t="s">
        <v>21</v>
      </c>
      <c r="C3657" t="s">
        <v>9</v>
      </c>
      <c r="D3657" s="3">
        <v>240.471</v>
      </c>
      <c r="E3657" s="3">
        <v>0</v>
      </c>
      <c r="F3657" t="s">
        <v>45</v>
      </c>
      <c r="G3657" s="3">
        <f t="shared" si="431"/>
        <v>-240.471</v>
      </c>
      <c r="H3657" s="3">
        <f t="shared" si="432"/>
        <v>240.471</v>
      </c>
      <c r="I3657" s="5" t="str">
        <f t="shared" si="433"/>
        <v>018</v>
      </c>
      <c r="J3657" s="5" t="str">
        <f t="shared" si="434"/>
        <v>2220</v>
      </c>
      <c r="K3657" s="5" t="str">
        <f t="shared" si="435"/>
        <v>000</v>
      </c>
      <c r="L3657" s="5">
        <f t="shared" si="436"/>
        <v>8</v>
      </c>
      <c r="M3657" s="5">
        <f t="shared" si="437"/>
        <v>2012</v>
      </c>
    </row>
    <row r="3658" spans="1:13" ht="17.45" customHeight="1" x14ac:dyDescent="0.25">
      <c r="A3658" s="1">
        <f>DATE(2012,8,30)</f>
        <v>41151</v>
      </c>
      <c r="B3658" t="s">
        <v>22</v>
      </c>
      <c r="C3658" t="s">
        <v>10</v>
      </c>
      <c r="D3658" s="3">
        <v>32.740499999999997</v>
      </c>
      <c r="E3658" s="3">
        <v>0</v>
      </c>
      <c r="F3658" t="s">
        <v>45</v>
      </c>
      <c r="G3658" s="3">
        <f t="shared" si="431"/>
        <v>-32.740499999999997</v>
      </c>
      <c r="H3658" s="3">
        <f t="shared" si="432"/>
        <v>32.740499999999997</v>
      </c>
      <c r="I3658" s="5" t="str">
        <f t="shared" si="433"/>
        <v>018</v>
      </c>
      <c r="J3658" s="5" t="str">
        <f t="shared" si="434"/>
        <v>2230</v>
      </c>
      <c r="K3658" s="5" t="str">
        <f t="shared" si="435"/>
        <v>000</v>
      </c>
      <c r="L3658" s="5">
        <f t="shared" si="436"/>
        <v>8</v>
      </c>
      <c r="M3658" s="5">
        <f t="shared" si="437"/>
        <v>2012</v>
      </c>
    </row>
    <row r="3659" spans="1:13" ht="17.45" customHeight="1" x14ac:dyDescent="0.25">
      <c r="A3659" s="1">
        <f>DATE(2012,8,31)</f>
        <v>41152</v>
      </c>
      <c r="B3659" t="s">
        <v>19</v>
      </c>
      <c r="C3659" t="s">
        <v>6</v>
      </c>
      <c r="D3659" s="3">
        <v>13176.855000000001</v>
      </c>
      <c r="E3659" s="3">
        <v>0</v>
      </c>
      <c r="F3659" t="s">
        <v>45</v>
      </c>
      <c r="G3659" s="3">
        <f t="shared" si="431"/>
        <v>-13176.855000000001</v>
      </c>
      <c r="H3659" s="3">
        <f t="shared" si="432"/>
        <v>13176.855000000001</v>
      </c>
      <c r="I3659" s="5" t="str">
        <f t="shared" si="433"/>
        <v>018</v>
      </c>
      <c r="J3659" s="5" t="str">
        <f t="shared" si="434"/>
        <v>2100</v>
      </c>
      <c r="K3659" s="5" t="str">
        <f t="shared" si="435"/>
        <v>000</v>
      </c>
      <c r="L3659" s="5">
        <f t="shared" si="436"/>
        <v>8</v>
      </c>
      <c r="M3659" s="5">
        <f t="shared" si="437"/>
        <v>2012</v>
      </c>
    </row>
    <row r="3660" spans="1:13" ht="17.45" customHeight="1" x14ac:dyDescent="0.25">
      <c r="A3660" s="1">
        <f>DATE(2012,8,31)</f>
        <v>41152</v>
      </c>
      <c r="B3660" t="s">
        <v>20</v>
      </c>
      <c r="C3660" t="s">
        <v>8</v>
      </c>
      <c r="D3660" s="3">
        <v>2950.5060000000003</v>
      </c>
      <c r="E3660" s="3">
        <v>0</v>
      </c>
      <c r="F3660" t="s">
        <v>45</v>
      </c>
      <c r="G3660" s="3">
        <f t="shared" si="431"/>
        <v>-2950.5060000000003</v>
      </c>
      <c r="H3660" s="3">
        <f t="shared" si="432"/>
        <v>2950.5060000000003</v>
      </c>
      <c r="I3660" s="5" t="str">
        <f t="shared" si="433"/>
        <v>018</v>
      </c>
      <c r="J3660" s="5" t="str">
        <f t="shared" si="434"/>
        <v>2210</v>
      </c>
      <c r="K3660" s="5" t="str">
        <f t="shared" si="435"/>
        <v>000</v>
      </c>
      <c r="L3660" s="5">
        <f t="shared" si="436"/>
        <v>8</v>
      </c>
      <c r="M3660" s="5">
        <f t="shared" si="437"/>
        <v>2012</v>
      </c>
    </row>
    <row r="3661" spans="1:13" ht="17.45" customHeight="1" x14ac:dyDescent="0.25">
      <c r="A3661" s="1">
        <f>DATE(2012,8,31)</f>
        <v>41152</v>
      </c>
      <c r="B3661" t="s">
        <v>21</v>
      </c>
      <c r="C3661" t="s">
        <v>9</v>
      </c>
      <c r="D3661" s="3">
        <v>856.56600000000003</v>
      </c>
      <c r="E3661" s="3">
        <v>0</v>
      </c>
      <c r="F3661" t="s">
        <v>45</v>
      </c>
      <c r="G3661" s="3">
        <f t="shared" si="431"/>
        <v>-856.56600000000003</v>
      </c>
      <c r="H3661" s="3">
        <f t="shared" si="432"/>
        <v>856.56600000000003</v>
      </c>
      <c r="I3661" s="5" t="str">
        <f t="shared" si="433"/>
        <v>018</v>
      </c>
      <c r="J3661" s="5" t="str">
        <f t="shared" si="434"/>
        <v>2220</v>
      </c>
      <c r="K3661" s="5" t="str">
        <f t="shared" si="435"/>
        <v>000</v>
      </c>
      <c r="L3661" s="5">
        <f t="shared" si="436"/>
        <v>8</v>
      </c>
      <c r="M3661" s="5">
        <f t="shared" si="437"/>
        <v>2012</v>
      </c>
    </row>
    <row r="3662" spans="1:13" ht="17.45" customHeight="1" x14ac:dyDescent="0.25">
      <c r="A3662" s="1">
        <f>DATE(2012,8,31)</f>
        <v>41152</v>
      </c>
      <c r="B3662" t="s">
        <v>22</v>
      </c>
      <c r="C3662" t="s">
        <v>10</v>
      </c>
      <c r="D3662" s="3">
        <v>86.35199999999999</v>
      </c>
      <c r="E3662" s="3">
        <v>0</v>
      </c>
      <c r="F3662" t="s">
        <v>45</v>
      </c>
      <c r="G3662" s="3">
        <f t="shared" si="431"/>
        <v>-86.35199999999999</v>
      </c>
      <c r="H3662" s="3">
        <f t="shared" si="432"/>
        <v>86.35199999999999</v>
      </c>
      <c r="I3662" s="5" t="str">
        <f t="shared" si="433"/>
        <v>018</v>
      </c>
      <c r="J3662" s="5" t="str">
        <f t="shared" si="434"/>
        <v>2230</v>
      </c>
      <c r="K3662" s="5" t="str">
        <f t="shared" si="435"/>
        <v>000</v>
      </c>
      <c r="L3662" s="5">
        <f t="shared" si="436"/>
        <v>8</v>
      </c>
      <c r="M3662" s="5">
        <f t="shared" si="437"/>
        <v>2012</v>
      </c>
    </row>
    <row r="3663" spans="1:13" ht="17.45" customHeight="1" x14ac:dyDescent="0.25">
      <c r="A3663" s="1">
        <f>DATE(2012,9,1)</f>
        <v>41153</v>
      </c>
      <c r="B3663" t="s">
        <v>19</v>
      </c>
      <c r="C3663" t="s">
        <v>6</v>
      </c>
      <c r="D3663" s="3">
        <v>13303.522000000001</v>
      </c>
      <c r="E3663" s="3">
        <v>0</v>
      </c>
      <c r="F3663" t="s">
        <v>45</v>
      </c>
      <c r="G3663" s="3">
        <f t="shared" si="431"/>
        <v>-13303.522000000001</v>
      </c>
      <c r="H3663" s="3">
        <f t="shared" si="432"/>
        <v>13303.522000000001</v>
      </c>
      <c r="I3663" s="5" t="str">
        <f t="shared" si="433"/>
        <v>018</v>
      </c>
      <c r="J3663" s="5" t="str">
        <f t="shared" si="434"/>
        <v>2100</v>
      </c>
      <c r="K3663" s="5" t="str">
        <f t="shared" si="435"/>
        <v>000</v>
      </c>
      <c r="L3663" s="5">
        <f t="shared" si="436"/>
        <v>9</v>
      </c>
      <c r="M3663" s="5">
        <f t="shared" si="437"/>
        <v>2012</v>
      </c>
    </row>
    <row r="3664" spans="1:13" ht="17.45" customHeight="1" x14ac:dyDescent="0.25">
      <c r="A3664" s="1">
        <f>DATE(2012,9,1)</f>
        <v>41153</v>
      </c>
      <c r="B3664" t="s">
        <v>20</v>
      </c>
      <c r="C3664" t="s">
        <v>8</v>
      </c>
      <c r="D3664" s="3">
        <v>2638.7679999999996</v>
      </c>
      <c r="E3664" s="3">
        <v>0</v>
      </c>
      <c r="F3664" t="s">
        <v>45</v>
      </c>
      <c r="G3664" s="3">
        <f t="shared" si="431"/>
        <v>-2638.7679999999996</v>
      </c>
      <c r="H3664" s="3">
        <f t="shared" si="432"/>
        <v>2638.7679999999996</v>
      </c>
      <c r="I3664" s="5" t="str">
        <f t="shared" si="433"/>
        <v>018</v>
      </c>
      <c r="J3664" s="5" t="str">
        <f t="shared" si="434"/>
        <v>2210</v>
      </c>
      <c r="K3664" s="5" t="str">
        <f t="shared" si="435"/>
        <v>000</v>
      </c>
      <c r="L3664" s="5">
        <f t="shared" si="436"/>
        <v>9</v>
      </c>
      <c r="M3664" s="5">
        <f t="shared" si="437"/>
        <v>2012</v>
      </c>
    </row>
    <row r="3665" spans="1:13" ht="17.45" customHeight="1" x14ac:dyDescent="0.25">
      <c r="A3665" s="1">
        <f>DATE(2012,9,1)</f>
        <v>41153</v>
      </c>
      <c r="B3665" t="s">
        <v>21</v>
      </c>
      <c r="C3665" t="s">
        <v>9</v>
      </c>
      <c r="D3665" s="3">
        <v>563.61149999999998</v>
      </c>
      <c r="E3665" s="3">
        <v>0</v>
      </c>
      <c r="F3665" t="s">
        <v>45</v>
      </c>
      <c r="G3665" s="3">
        <f t="shared" si="431"/>
        <v>-563.61149999999998</v>
      </c>
      <c r="H3665" s="3">
        <f t="shared" si="432"/>
        <v>563.61149999999998</v>
      </c>
      <c r="I3665" s="5" t="str">
        <f t="shared" si="433"/>
        <v>018</v>
      </c>
      <c r="J3665" s="5" t="str">
        <f t="shared" si="434"/>
        <v>2220</v>
      </c>
      <c r="K3665" s="5" t="str">
        <f t="shared" si="435"/>
        <v>000</v>
      </c>
      <c r="L3665" s="5">
        <f t="shared" si="436"/>
        <v>9</v>
      </c>
      <c r="M3665" s="5">
        <f t="shared" si="437"/>
        <v>2012</v>
      </c>
    </row>
    <row r="3666" spans="1:13" ht="17.45" customHeight="1" x14ac:dyDescent="0.25">
      <c r="A3666" s="1">
        <f>DATE(2012,9,1)</f>
        <v>41153</v>
      </c>
      <c r="B3666" t="s">
        <v>22</v>
      </c>
      <c r="C3666" t="s">
        <v>10</v>
      </c>
      <c r="D3666" s="3">
        <v>91.02</v>
      </c>
      <c r="E3666" s="3">
        <v>0</v>
      </c>
      <c r="F3666" t="s">
        <v>45</v>
      </c>
      <c r="G3666" s="3">
        <f t="shared" si="431"/>
        <v>-91.02</v>
      </c>
      <c r="H3666" s="3">
        <f t="shared" si="432"/>
        <v>91.02</v>
      </c>
      <c r="I3666" s="5" t="str">
        <f t="shared" si="433"/>
        <v>018</v>
      </c>
      <c r="J3666" s="5" t="str">
        <f t="shared" si="434"/>
        <v>2230</v>
      </c>
      <c r="K3666" s="5" t="str">
        <f t="shared" si="435"/>
        <v>000</v>
      </c>
      <c r="L3666" s="5">
        <f t="shared" si="436"/>
        <v>9</v>
      </c>
      <c r="M3666" s="5">
        <f t="shared" si="437"/>
        <v>2012</v>
      </c>
    </row>
    <row r="3667" spans="1:13" ht="17.45" customHeight="1" x14ac:dyDescent="0.25">
      <c r="A3667" s="1">
        <f>DATE(2012,9,2)</f>
        <v>41154</v>
      </c>
      <c r="B3667" t="s">
        <v>19</v>
      </c>
      <c r="C3667" t="s">
        <v>6</v>
      </c>
      <c r="D3667" s="3">
        <v>10379.292000000001</v>
      </c>
      <c r="E3667" s="3">
        <v>0</v>
      </c>
      <c r="F3667" t="s">
        <v>45</v>
      </c>
      <c r="G3667" s="3">
        <f t="shared" si="431"/>
        <v>-10379.292000000001</v>
      </c>
      <c r="H3667" s="3">
        <f t="shared" si="432"/>
        <v>10379.292000000001</v>
      </c>
      <c r="I3667" s="5" t="str">
        <f t="shared" si="433"/>
        <v>018</v>
      </c>
      <c r="J3667" s="5" t="str">
        <f t="shared" si="434"/>
        <v>2100</v>
      </c>
      <c r="K3667" s="5" t="str">
        <f t="shared" si="435"/>
        <v>000</v>
      </c>
      <c r="L3667" s="5">
        <f t="shared" si="436"/>
        <v>9</v>
      </c>
      <c r="M3667" s="5">
        <f t="shared" si="437"/>
        <v>2012</v>
      </c>
    </row>
    <row r="3668" spans="1:13" ht="17.45" customHeight="1" x14ac:dyDescent="0.25">
      <c r="A3668" s="1">
        <f>DATE(2012,9,2)</f>
        <v>41154</v>
      </c>
      <c r="B3668" t="s">
        <v>20</v>
      </c>
      <c r="C3668" t="s">
        <v>8</v>
      </c>
      <c r="D3668" s="3">
        <v>1860.4949999999999</v>
      </c>
      <c r="E3668" s="3">
        <v>0</v>
      </c>
      <c r="F3668" t="s">
        <v>45</v>
      </c>
      <c r="G3668" s="3">
        <f t="shared" si="431"/>
        <v>-1860.4949999999999</v>
      </c>
      <c r="H3668" s="3">
        <f t="shared" si="432"/>
        <v>1860.4949999999999</v>
      </c>
      <c r="I3668" s="5" t="str">
        <f t="shared" si="433"/>
        <v>018</v>
      </c>
      <c r="J3668" s="5" t="str">
        <f t="shared" si="434"/>
        <v>2210</v>
      </c>
      <c r="K3668" s="5" t="str">
        <f t="shared" si="435"/>
        <v>000</v>
      </c>
      <c r="L3668" s="5">
        <f t="shared" si="436"/>
        <v>9</v>
      </c>
      <c r="M3668" s="5">
        <f t="shared" si="437"/>
        <v>2012</v>
      </c>
    </row>
    <row r="3669" spans="1:13" ht="17.45" customHeight="1" x14ac:dyDescent="0.25">
      <c r="A3669" s="1">
        <f>DATE(2012,9,2)</f>
        <v>41154</v>
      </c>
      <c r="B3669" t="s">
        <v>21</v>
      </c>
      <c r="C3669" t="s">
        <v>9</v>
      </c>
      <c r="D3669" s="3">
        <v>482.89349999999996</v>
      </c>
      <c r="E3669" s="3">
        <v>0</v>
      </c>
      <c r="F3669" t="s">
        <v>45</v>
      </c>
      <c r="G3669" s="3">
        <f t="shared" si="431"/>
        <v>-482.89349999999996</v>
      </c>
      <c r="H3669" s="3">
        <f t="shared" si="432"/>
        <v>482.89349999999996</v>
      </c>
      <c r="I3669" s="5" t="str">
        <f t="shared" si="433"/>
        <v>018</v>
      </c>
      <c r="J3669" s="5" t="str">
        <f t="shared" si="434"/>
        <v>2220</v>
      </c>
      <c r="K3669" s="5" t="str">
        <f t="shared" si="435"/>
        <v>000</v>
      </c>
      <c r="L3669" s="5">
        <f t="shared" si="436"/>
        <v>9</v>
      </c>
      <c r="M3669" s="5">
        <f t="shared" si="437"/>
        <v>2012</v>
      </c>
    </row>
    <row r="3670" spans="1:13" ht="17.45" customHeight="1" x14ac:dyDescent="0.25">
      <c r="A3670" s="1">
        <f>DATE(2012,9,2)</f>
        <v>41154</v>
      </c>
      <c r="B3670" t="s">
        <v>22</v>
      </c>
      <c r="C3670" t="s">
        <v>10</v>
      </c>
      <c r="D3670" s="3">
        <v>65.701999999999998</v>
      </c>
      <c r="E3670" s="3">
        <v>0</v>
      </c>
      <c r="F3670" t="s">
        <v>45</v>
      </c>
      <c r="G3670" s="3">
        <f t="shared" si="431"/>
        <v>-65.701999999999998</v>
      </c>
      <c r="H3670" s="3">
        <f t="shared" si="432"/>
        <v>65.701999999999998</v>
      </c>
      <c r="I3670" s="5" t="str">
        <f t="shared" si="433"/>
        <v>018</v>
      </c>
      <c r="J3670" s="5" t="str">
        <f t="shared" si="434"/>
        <v>2230</v>
      </c>
      <c r="K3670" s="5" t="str">
        <f t="shared" si="435"/>
        <v>000</v>
      </c>
      <c r="L3670" s="5">
        <f t="shared" si="436"/>
        <v>9</v>
      </c>
      <c r="M3670" s="5">
        <f t="shared" si="437"/>
        <v>2012</v>
      </c>
    </row>
    <row r="3671" spans="1:13" ht="17.45" customHeight="1" x14ac:dyDescent="0.25">
      <c r="A3671" s="1">
        <f>DATE(2012,9,3)</f>
        <v>41155</v>
      </c>
      <c r="B3671" t="s">
        <v>11</v>
      </c>
      <c r="C3671" t="s">
        <v>6</v>
      </c>
      <c r="D3671" s="3">
        <v>3788.3019999999997</v>
      </c>
      <c r="E3671" s="3">
        <v>0</v>
      </c>
      <c r="F3671" t="s">
        <v>45</v>
      </c>
      <c r="G3671" s="3">
        <f t="shared" si="431"/>
        <v>-3788.3019999999997</v>
      </c>
      <c r="H3671" s="3">
        <f t="shared" si="432"/>
        <v>3788.3019999999997</v>
      </c>
      <c r="I3671" s="5" t="str">
        <f t="shared" si="433"/>
        <v>016</v>
      </c>
      <c r="J3671" s="5" t="str">
        <f t="shared" si="434"/>
        <v>2100</v>
      </c>
      <c r="K3671" s="5" t="str">
        <f t="shared" si="435"/>
        <v>000</v>
      </c>
      <c r="L3671" s="5">
        <f t="shared" si="436"/>
        <v>9</v>
      </c>
      <c r="M3671" s="5">
        <f t="shared" si="437"/>
        <v>2012</v>
      </c>
    </row>
    <row r="3672" spans="1:13" ht="17.45" customHeight="1" x14ac:dyDescent="0.25">
      <c r="A3672" s="1">
        <f>DATE(2012,9,3)</f>
        <v>41155</v>
      </c>
      <c r="B3672" t="s">
        <v>12</v>
      </c>
      <c r="C3672" t="s">
        <v>8</v>
      </c>
      <c r="D3672" s="3">
        <v>988.84500000000003</v>
      </c>
      <c r="E3672" s="3">
        <v>0</v>
      </c>
      <c r="F3672" t="s">
        <v>45</v>
      </c>
      <c r="G3672" s="3">
        <f t="shared" si="431"/>
        <v>-988.84500000000003</v>
      </c>
      <c r="H3672" s="3">
        <f t="shared" si="432"/>
        <v>988.84500000000003</v>
      </c>
      <c r="I3672" s="5" t="str">
        <f t="shared" si="433"/>
        <v>016</v>
      </c>
      <c r="J3672" s="5" t="str">
        <f t="shared" si="434"/>
        <v>2210</v>
      </c>
      <c r="K3672" s="5" t="str">
        <f t="shared" si="435"/>
        <v>000</v>
      </c>
      <c r="L3672" s="5">
        <f t="shared" si="436"/>
        <v>9</v>
      </c>
      <c r="M3672" s="5">
        <f t="shared" si="437"/>
        <v>2012</v>
      </c>
    </row>
    <row r="3673" spans="1:13" ht="17.45" customHeight="1" x14ac:dyDescent="0.25">
      <c r="A3673" s="1">
        <f>DATE(2012,9,3)</f>
        <v>41155</v>
      </c>
      <c r="B3673" t="s">
        <v>13</v>
      </c>
      <c r="C3673" t="s">
        <v>9</v>
      </c>
      <c r="D3673" s="3">
        <v>270.91800000000001</v>
      </c>
      <c r="E3673" s="3">
        <v>0</v>
      </c>
      <c r="F3673" t="s">
        <v>45</v>
      </c>
      <c r="G3673" s="3">
        <f t="shared" si="431"/>
        <v>-270.91800000000001</v>
      </c>
      <c r="H3673" s="3">
        <f t="shared" si="432"/>
        <v>270.91800000000001</v>
      </c>
      <c r="I3673" s="5" t="str">
        <f t="shared" si="433"/>
        <v>016</v>
      </c>
      <c r="J3673" s="5" t="str">
        <f t="shared" si="434"/>
        <v>2220</v>
      </c>
      <c r="K3673" s="5" t="str">
        <f t="shared" si="435"/>
        <v>000</v>
      </c>
      <c r="L3673" s="5">
        <f t="shared" si="436"/>
        <v>9</v>
      </c>
      <c r="M3673" s="5">
        <f t="shared" si="437"/>
        <v>2012</v>
      </c>
    </row>
    <row r="3674" spans="1:13" ht="17.45" customHeight="1" x14ac:dyDescent="0.25">
      <c r="A3674" s="1">
        <f>DATE(2012,9,3)</f>
        <v>41155</v>
      </c>
      <c r="B3674" t="s">
        <v>14</v>
      </c>
      <c r="C3674" t="s">
        <v>10</v>
      </c>
      <c r="D3674" s="3">
        <v>92.644000000000005</v>
      </c>
      <c r="E3674" s="3">
        <v>0</v>
      </c>
      <c r="F3674" t="s">
        <v>45</v>
      </c>
      <c r="G3674" s="3">
        <f t="shared" si="431"/>
        <v>-92.644000000000005</v>
      </c>
      <c r="H3674" s="3">
        <f t="shared" si="432"/>
        <v>92.644000000000005</v>
      </c>
      <c r="I3674" s="5" t="str">
        <f t="shared" si="433"/>
        <v>016</v>
      </c>
      <c r="J3674" s="5" t="str">
        <f t="shared" si="434"/>
        <v>2230</v>
      </c>
      <c r="K3674" s="5" t="str">
        <f t="shared" si="435"/>
        <v>000</v>
      </c>
      <c r="L3674" s="5">
        <f t="shared" si="436"/>
        <v>9</v>
      </c>
      <c r="M3674" s="5">
        <f t="shared" si="437"/>
        <v>2012</v>
      </c>
    </row>
    <row r="3675" spans="1:13" ht="17.45" customHeight="1" x14ac:dyDescent="0.25">
      <c r="A3675" s="1">
        <f>DATE(2012,9,4)</f>
        <v>41156</v>
      </c>
      <c r="B3675" t="s">
        <v>11</v>
      </c>
      <c r="C3675" t="s">
        <v>6</v>
      </c>
      <c r="D3675" s="3">
        <v>3129.6354999999999</v>
      </c>
      <c r="E3675" s="3">
        <v>0</v>
      </c>
      <c r="F3675" t="s">
        <v>45</v>
      </c>
      <c r="G3675" s="3">
        <f t="shared" si="431"/>
        <v>-3129.6354999999999</v>
      </c>
      <c r="H3675" s="3">
        <f t="shared" si="432"/>
        <v>3129.6354999999999</v>
      </c>
      <c r="I3675" s="5" t="str">
        <f t="shared" si="433"/>
        <v>016</v>
      </c>
      <c r="J3675" s="5" t="str">
        <f t="shared" si="434"/>
        <v>2100</v>
      </c>
      <c r="K3675" s="5" t="str">
        <f t="shared" si="435"/>
        <v>000</v>
      </c>
      <c r="L3675" s="5">
        <f t="shared" si="436"/>
        <v>9</v>
      </c>
      <c r="M3675" s="5">
        <f t="shared" si="437"/>
        <v>2012</v>
      </c>
    </row>
    <row r="3676" spans="1:13" ht="17.45" customHeight="1" x14ac:dyDescent="0.25">
      <c r="A3676" s="1">
        <f>DATE(2012,9,4)</f>
        <v>41156</v>
      </c>
      <c r="B3676" t="s">
        <v>12</v>
      </c>
      <c r="C3676" t="s">
        <v>8</v>
      </c>
      <c r="D3676" s="3">
        <v>938.7639999999999</v>
      </c>
      <c r="E3676" s="3">
        <v>0</v>
      </c>
      <c r="F3676" t="s">
        <v>45</v>
      </c>
      <c r="G3676" s="3">
        <f t="shared" si="431"/>
        <v>-938.7639999999999</v>
      </c>
      <c r="H3676" s="3">
        <f t="shared" si="432"/>
        <v>938.7639999999999</v>
      </c>
      <c r="I3676" s="5" t="str">
        <f t="shared" si="433"/>
        <v>016</v>
      </c>
      <c r="J3676" s="5" t="str">
        <f t="shared" si="434"/>
        <v>2210</v>
      </c>
      <c r="K3676" s="5" t="str">
        <f t="shared" si="435"/>
        <v>000</v>
      </c>
      <c r="L3676" s="5">
        <f t="shared" si="436"/>
        <v>9</v>
      </c>
      <c r="M3676" s="5">
        <f t="shared" si="437"/>
        <v>2012</v>
      </c>
    </row>
    <row r="3677" spans="1:13" ht="17.45" customHeight="1" x14ac:dyDescent="0.25">
      <c r="A3677" s="1">
        <f>DATE(2012,9,4)</f>
        <v>41156</v>
      </c>
      <c r="B3677" t="s">
        <v>13</v>
      </c>
      <c r="C3677" t="s">
        <v>9</v>
      </c>
      <c r="D3677" s="3">
        <v>263.50500000000005</v>
      </c>
      <c r="E3677" s="3">
        <v>0</v>
      </c>
      <c r="F3677" t="s">
        <v>45</v>
      </c>
      <c r="G3677" s="3">
        <f t="shared" si="431"/>
        <v>-263.50500000000005</v>
      </c>
      <c r="H3677" s="3">
        <f t="shared" si="432"/>
        <v>263.50500000000005</v>
      </c>
      <c r="I3677" s="5" t="str">
        <f t="shared" si="433"/>
        <v>016</v>
      </c>
      <c r="J3677" s="5" t="str">
        <f t="shared" si="434"/>
        <v>2220</v>
      </c>
      <c r="K3677" s="5" t="str">
        <f t="shared" si="435"/>
        <v>000</v>
      </c>
      <c r="L3677" s="5">
        <f t="shared" si="436"/>
        <v>9</v>
      </c>
      <c r="M3677" s="5">
        <f t="shared" si="437"/>
        <v>2012</v>
      </c>
    </row>
    <row r="3678" spans="1:13" ht="17.45" customHeight="1" x14ac:dyDescent="0.25">
      <c r="A3678" s="1">
        <f>DATE(2012,9,4)</f>
        <v>41156</v>
      </c>
      <c r="B3678" t="s">
        <v>14</v>
      </c>
      <c r="C3678" t="s">
        <v>10</v>
      </c>
      <c r="D3678" s="3">
        <v>93.86</v>
      </c>
      <c r="E3678" s="3">
        <v>0</v>
      </c>
      <c r="F3678" t="s">
        <v>45</v>
      </c>
      <c r="G3678" s="3">
        <f t="shared" si="431"/>
        <v>-93.86</v>
      </c>
      <c r="H3678" s="3">
        <f t="shared" si="432"/>
        <v>93.86</v>
      </c>
      <c r="I3678" s="5" t="str">
        <f t="shared" si="433"/>
        <v>016</v>
      </c>
      <c r="J3678" s="5" t="str">
        <f t="shared" si="434"/>
        <v>2230</v>
      </c>
      <c r="K3678" s="5" t="str">
        <f t="shared" si="435"/>
        <v>000</v>
      </c>
      <c r="L3678" s="5">
        <f t="shared" si="436"/>
        <v>9</v>
      </c>
      <c r="M3678" s="5">
        <f t="shared" si="437"/>
        <v>2012</v>
      </c>
    </row>
    <row r="3679" spans="1:13" ht="17.45" customHeight="1" x14ac:dyDescent="0.25">
      <c r="A3679" s="1">
        <f t="shared" ref="A3679:A3682" si="438">DATE(2012,9,5)</f>
        <v>41157</v>
      </c>
      <c r="B3679" t="s">
        <v>11</v>
      </c>
      <c r="C3679" t="s">
        <v>6</v>
      </c>
      <c r="D3679" s="3">
        <v>5912.9135000000006</v>
      </c>
      <c r="E3679" s="3">
        <v>0</v>
      </c>
      <c r="F3679" t="s">
        <v>45</v>
      </c>
      <c r="G3679" s="3">
        <f t="shared" si="431"/>
        <v>-5912.9135000000006</v>
      </c>
      <c r="H3679" s="3">
        <f t="shared" si="432"/>
        <v>5912.9135000000006</v>
      </c>
      <c r="I3679" s="5" t="str">
        <f t="shared" si="433"/>
        <v>016</v>
      </c>
      <c r="J3679" s="5" t="str">
        <f t="shared" si="434"/>
        <v>2100</v>
      </c>
      <c r="K3679" s="5" t="str">
        <f t="shared" si="435"/>
        <v>000</v>
      </c>
      <c r="L3679" s="5">
        <f t="shared" si="436"/>
        <v>9</v>
      </c>
      <c r="M3679" s="5">
        <f t="shared" si="437"/>
        <v>2012</v>
      </c>
    </row>
    <row r="3680" spans="1:13" ht="17.45" customHeight="1" x14ac:dyDescent="0.25">
      <c r="A3680" s="1">
        <f t="shared" si="438"/>
        <v>41157</v>
      </c>
      <c r="B3680" t="s">
        <v>12</v>
      </c>
      <c r="C3680" t="s">
        <v>8</v>
      </c>
      <c r="D3680" s="3">
        <v>3760.9740000000002</v>
      </c>
      <c r="E3680" s="3">
        <v>0</v>
      </c>
      <c r="F3680" t="s">
        <v>45</v>
      </c>
      <c r="G3680" s="3">
        <f t="shared" si="431"/>
        <v>-3760.9740000000002</v>
      </c>
      <c r="H3680" s="3">
        <f t="shared" si="432"/>
        <v>3760.9740000000002</v>
      </c>
      <c r="I3680" s="5" t="str">
        <f t="shared" si="433"/>
        <v>016</v>
      </c>
      <c r="J3680" s="5" t="str">
        <f t="shared" si="434"/>
        <v>2210</v>
      </c>
      <c r="K3680" s="5" t="str">
        <f t="shared" si="435"/>
        <v>000</v>
      </c>
      <c r="L3680" s="5">
        <f t="shared" si="436"/>
        <v>9</v>
      </c>
      <c r="M3680" s="5">
        <f t="shared" si="437"/>
        <v>2012</v>
      </c>
    </row>
    <row r="3681" spans="1:13" ht="17.45" customHeight="1" x14ac:dyDescent="0.25">
      <c r="A3681" s="1">
        <f t="shared" si="438"/>
        <v>41157</v>
      </c>
      <c r="B3681" t="s">
        <v>13</v>
      </c>
      <c r="C3681" t="s">
        <v>9</v>
      </c>
      <c r="D3681" s="3">
        <v>1122.1210000000001</v>
      </c>
      <c r="E3681" s="3">
        <v>0</v>
      </c>
      <c r="F3681" t="s">
        <v>45</v>
      </c>
      <c r="G3681" s="3">
        <f t="shared" si="431"/>
        <v>-1122.1210000000001</v>
      </c>
      <c r="H3681" s="3">
        <f t="shared" si="432"/>
        <v>1122.1210000000001</v>
      </c>
      <c r="I3681" s="5" t="str">
        <f t="shared" si="433"/>
        <v>016</v>
      </c>
      <c r="J3681" s="5" t="str">
        <f t="shared" si="434"/>
        <v>2220</v>
      </c>
      <c r="K3681" s="5" t="str">
        <f t="shared" si="435"/>
        <v>000</v>
      </c>
      <c r="L3681" s="5">
        <f t="shared" si="436"/>
        <v>9</v>
      </c>
      <c r="M3681" s="5">
        <f t="shared" si="437"/>
        <v>2012</v>
      </c>
    </row>
    <row r="3682" spans="1:13" ht="17.45" customHeight="1" x14ac:dyDescent="0.25">
      <c r="A3682" s="1">
        <f t="shared" si="438"/>
        <v>41157</v>
      </c>
      <c r="B3682" t="s">
        <v>14</v>
      </c>
      <c r="C3682" t="s">
        <v>10</v>
      </c>
      <c r="D3682" s="3">
        <v>310.75</v>
      </c>
      <c r="E3682" s="3">
        <v>0</v>
      </c>
      <c r="F3682" t="s">
        <v>45</v>
      </c>
      <c r="G3682" s="3">
        <f t="shared" si="431"/>
        <v>-310.75</v>
      </c>
      <c r="H3682" s="3">
        <f t="shared" si="432"/>
        <v>310.75</v>
      </c>
      <c r="I3682" s="5" t="str">
        <f t="shared" si="433"/>
        <v>016</v>
      </c>
      <c r="J3682" s="5" t="str">
        <f t="shared" si="434"/>
        <v>2230</v>
      </c>
      <c r="K3682" s="5" t="str">
        <f t="shared" si="435"/>
        <v>000</v>
      </c>
      <c r="L3682" s="5">
        <f t="shared" si="436"/>
        <v>9</v>
      </c>
      <c r="M3682" s="5">
        <f t="shared" si="437"/>
        <v>2012</v>
      </c>
    </row>
    <row r="3683" spans="1:13" ht="17.45" customHeight="1" x14ac:dyDescent="0.25">
      <c r="A3683" s="1">
        <f>DATE(2012,9,6)</f>
        <v>41158</v>
      </c>
      <c r="B3683" t="s">
        <v>11</v>
      </c>
      <c r="C3683" t="s">
        <v>6</v>
      </c>
      <c r="D3683" s="3">
        <v>1802.2593999999999</v>
      </c>
      <c r="E3683" s="3">
        <v>0</v>
      </c>
      <c r="F3683" t="s">
        <v>45</v>
      </c>
      <c r="G3683" s="3">
        <f t="shared" si="431"/>
        <v>-1802.2593999999999</v>
      </c>
      <c r="H3683" s="3">
        <f t="shared" si="432"/>
        <v>1802.2593999999999</v>
      </c>
      <c r="I3683" s="5" t="str">
        <f t="shared" si="433"/>
        <v>016</v>
      </c>
      <c r="J3683" s="5" t="str">
        <f t="shared" si="434"/>
        <v>2100</v>
      </c>
      <c r="K3683" s="5" t="str">
        <f t="shared" si="435"/>
        <v>000</v>
      </c>
      <c r="L3683" s="5">
        <f t="shared" si="436"/>
        <v>9</v>
      </c>
      <c r="M3683" s="5">
        <f t="shared" si="437"/>
        <v>2012</v>
      </c>
    </row>
    <row r="3684" spans="1:13" ht="17.45" customHeight="1" x14ac:dyDescent="0.25">
      <c r="A3684" s="1">
        <f>DATE(2012,9,6)</f>
        <v>41158</v>
      </c>
      <c r="B3684" t="s">
        <v>12</v>
      </c>
      <c r="C3684" t="s">
        <v>8</v>
      </c>
      <c r="D3684" s="3">
        <v>483.44399999999996</v>
      </c>
      <c r="E3684" s="3">
        <v>0</v>
      </c>
      <c r="F3684" t="s">
        <v>45</v>
      </c>
      <c r="G3684" s="3">
        <f t="shared" si="431"/>
        <v>-483.44399999999996</v>
      </c>
      <c r="H3684" s="3">
        <f t="shared" si="432"/>
        <v>483.44399999999996</v>
      </c>
      <c r="I3684" s="5" t="str">
        <f t="shared" si="433"/>
        <v>016</v>
      </c>
      <c r="J3684" s="5" t="str">
        <f t="shared" si="434"/>
        <v>2210</v>
      </c>
      <c r="K3684" s="5" t="str">
        <f t="shared" si="435"/>
        <v>000</v>
      </c>
      <c r="L3684" s="5">
        <f t="shared" si="436"/>
        <v>9</v>
      </c>
      <c r="M3684" s="5">
        <f t="shared" si="437"/>
        <v>2012</v>
      </c>
    </row>
    <row r="3685" spans="1:13" ht="17.45" customHeight="1" x14ac:dyDescent="0.25">
      <c r="A3685" s="1">
        <f>DATE(2012,9,6)</f>
        <v>41158</v>
      </c>
      <c r="B3685" t="s">
        <v>13</v>
      </c>
      <c r="C3685" t="s">
        <v>9</v>
      </c>
      <c r="D3685" s="3">
        <v>163.56</v>
      </c>
      <c r="E3685" s="3">
        <v>0</v>
      </c>
      <c r="F3685" t="s">
        <v>45</v>
      </c>
      <c r="G3685" s="3">
        <f t="shared" si="431"/>
        <v>-163.56</v>
      </c>
      <c r="H3685" s="3">
        <f t="shared" si="432"/>
        <v>163.56</v>
      </c>
      <c r="I3685" s="5" t="str">
        <f t="shared" si="433"/>
        <v>016</v>
      </c>
      <c r="J3685" s="5" t="str">
        <f t="shared" si="434"/>
        <v>2220</v>
      </c>
      <c r="K3685" s="5" t="str">
        <f t="shared" si="435"/>
        <v>000</v>
      </c>
      <c r="L3685" s="5">
        <f t="shared" si="436"/>
        <v>9</v>
      </c>
      <c r="M3685" s="5">
        <f t="shared" si="437"/>
        <v>2012</v>
      </c>
    </row>
    <row r="3686" spans="1:13" ht="17.45" customHeight="1" x14ac:dyDescent="0.25">
      <c r="A3686" s="1">
        <f>DATE(2012,9,6)</f>
        <v>41158</v>
      </c>
      <c r="B3686" t="s">
        <v>14</v>
      </c>
      <c r="C3686" t="s">
        <v>10</v>
      </c>
      <c r="D3686" s="3">
        <v>45.353000000000002</v>
      </c>
      <c r="E3686" s="3">
        <v>0</v>
      </c>
      <c r="F3686" t="s">
        <v>45</v>
      </c>
      <c r="G3686" s="3">
        <f t="shared" si="431"/>
        <v>-45.353000000000002</v>
      </c>
      <c r="H3686" s="3">
        <f t="shared" si="432"/>
        <v>45.353000000000002</v>
      </c>
      <c r="I3686" s="5" t="str">
        <f t="shared" si="433"/>
        <v>016</v>
      </c>
      <c r="J3686" s="5" t="str">
        <f t="shared" si="434"/>
        <v>2230</v>
      </c>
      <c r="K3686" s="5" t="str">
        <f t="shared" si="435"/>
        <v>000</v>
      </c>
      <c r="L3686" s="5">
        <f t="shared" si="436"/>
        <v>9</v>
      </c>
      <c r="M3686" s="5">
        <f t="shared" si="437"/>
        <v>2012</v>
      </c>
    </row>
    <row r="3687" spans="1:13" ht="17.45" customHeight="1" x14ac:dyDescent="0.25">
      <c r="A3687" s="1">
        <f>DATE(2012,9,7)</f>
        <v>41159</v>
      </c>
      <c r="B3687" t="s">
        <v>11</v>
      </c>
      <c r="C3687" t="s">
        <v>6</v>
      </c>
      <c r="D3687" s="3">
        <v>5034.1668000000009</v>
      </c>
      <c r="E3687" s="3">
        <v>0</v>
      </c>
      <c r="F3687" t="s">
        <v>45</v>
      </c>
      <c r="G3687" s="3">
        <f t="shared" si="431"/>
        <v>-5034.1668000000009</v>
      </c>
      <c r="H3687" s="3">
        <f t="shared" si="432"/>
        <v>5034.1668000000009</v>
      </c>
      <c r="I3687" s="5" t="str">
        <f t="shared" si="433"/>
        <v>016</v>
      </c>
      <c r="J3687" s="5" t="str">
        <f t="shared" si="434"/>
        <v>2100</v>
      </c>
      <c r="K3687" s="5" t="str">
        <f t="shared" si="435"/>
        <v>000</v>
      </c>
      <c r="L3687" s="5">
        <f t="shared" si="436"/>
        <v>9</v>
      </c>
      <c r="M3687" s="5">
        <f t="shared" si="437"/>
        <v>2012</v>
      </c>
    </row>
    <row r="3688" spans="1:13" ht="17.45" customHeight="1" x14ac:dyDescent="0.25">
      <c r="A3688" s="1">
        <f>DATE(2012,9,7)</f>
        <v>41159</v>
      </c>
      <c r="B3688" t="s">
        <v>12</v>
      </c>
      <c r="C3688" t="s">
        <v>8</v>
      </c>
      <c r="D3688" s="3">
        <v>1593.7697000000001</v>
      </c>
      <c r="E3688" s="3">
        <v>0</v>
      </c>
      <c r="F3688" t="s">
        <v>45</v>
      </c>
      <c r="G3688" s="3">
        <f t="shared" si="431"/>
        <v>-1593.7697000000001</v>
      </c>
      <c r="H3688" s="3">
        <f t="shared" si="432"/>
        <v>1593.7697000000001</v>
      </c>
      <c r="I3688" s="5" t="str">
        <f t="shared" si="433"/>
        <v>016</v>
      </c>
      <c r="J3688" s="5" t="str">
        <f t="shared" si="434"/>
        <v>2210</v>
      </c>
      <c r="K3688" s="5" t="str">
        <f t="shared" si="435"/>
        <v>000</v>
      </c>
      <c r="L3688" s="5">
        <f t="shared" si="436"/>
        <v>9</v>
      </c>
      <c r="M3688" s="5">
        <f t="shared" si="437"/>
        <v>2012</v>
      </c>
    </row>
    <row r="3689" spans="1:13" ht="17.45" customHeight="1" x14ac:dyDescent="0.25">
      <c r="A3689" s="1">
        <f>DATE(2012,9,7)</f>
        <v>41159</v>
      </c>
      <c r="B3689" t="s">
        <v>13</v>
      </c>
      <c r="C3689" t="s">
        <v>9</v>
      </c>
      <c r="D3689" s="3">
        <v>276.2688</v>
      </c>
      <c r="E3689" s="3">
        <v>0</v>
      </c>
      <c r="F3689" t="s">
        <v>45</v>
      </c>
      <c r="G3689" s="3">
        <f t="shared" si="431"/>
        <v>-276.2688</v>
      </c>
      <c r="H3689" s="3">
        <f t="shared" si="432"/>
        <v>276.2688</v>
      </c>
      <c r="I3689" s="5" t="str">
        <f t="shared" si="433"/>
        <v>016</v>
      </c>
      <c r="J3689" s="5" t="str">
        <f t="shared" si="434"/>
        <v>2220</v>
      </c>
      <c r="K3689" s="5" t="str">
        <f t="shared" si="435"/>
        <v>000</v>
      </c>
      <c r="L3689" s="5">
        <f t="shared" si="436"/>
        <v>9</v>
      </c>
      <c r="M3689" s="5">
        <f t="shared" si="437"/>
        <v>2012</v>
      </c>
    </row>
    <row r="3690" spans="1:13" ht="17.45" customHeight="1" x14ac:dyDescent="0.25">
      <c r="A3690" s="1">
        <f>DATE(2012,9,7)</f>
        <v>41159</v>
      </c>
      <c r="B3690" t="s">
        <v>14</v>
      </c>
      <c r="C3690" t="s">
        <v>10</v>
      </c>
      <c r="D3690" s="3">
        <v>145.30500000000001</v>
      </c>
      <c r="E3690" s="3">
        <v>0</v>
      </c>
      <c r="F3690" t="s">
        <v>45</v>
      </c>
      <c r="G3690" s="3">
        <f t="shared" si="431"/>
        <v>-145.30500000000001</v>
      </c>
      <c r="H3690" s="3">
        <f t="shared" si="432"/>
        <v>145.30500000000001</v>
      </c>
      <c r="I3690" s="5" t="str">
        <f t="shared" si="433"/>
        <v>016</v>
      </c>
      <c r="J3690" s="5" t="str">
        <f t="shared" si="434"/>
        <v>2230</v>
      </c>
      <c r="K3690" s="5" t="str">
        <f t="shared" si="435"/>
        <v>000</v>
      </c>
      <c r="L3690" s="5">
        <f t="shared" si="436"/>
        <v>9</v>
      </c>
      <c r="M3690" s="5">
        <f t="shared" si="437"/>
        <v>2012</v>
      </c>
    </row>
    <row r="3691" spans="1:13" ht="17.45" customHeight="1" x14ac:dyDescent="0.25">
      <c r="A3691" s="1">
        <f>DATE(2012,9,8)</f>
        <v>41160</v>
      </c>
      <c r="B3691" t="s">
        <v>11</v>
      </c>
      <c r="C3691" t="s">
        <v>6</v>
      </c>
      <c r="D3691" s="3">
        <v>7183.1269999999995</v>
      </c>
      <c r="E3691" s="3">
        <v>0</v>
      </c>
      <c r="F3691" t="s">
        <v>45</v>
      </c>
      <c r="G3691" s="3">
        <f t="shared" si="431"/>
        <v>-7183.1269999999995</v>
      </c>
      <c r="H3691" s="3">
        <f t="shared" si="432"/>
        <v>7183.1269999999995</v>
      </c>
      <c r="I3691" s="5" t="str">
        <f t="shared" si="433"/>
        <v>016</v>
      </c>
      <c r="J3691" s="5" t="str">
        <f t="shared" si="434"/>
        <v>2100</v>
      </c>
      <c r="K3691" s="5" t="str">
        <f t="shared" si="435"/>
        <v>000</v>
      </c>
      <c r="L3691" s="5">
        <f t="shared" si="436"/>
        <v>9</v>
      </c>
      <c r="M3691" s="5">
        <f t="shared" si="437"/>
        <v>2012</v>
      </c>
    </row>
    <row r="3692" spans="1:13" ht="17.45" customHeight="1" x14ac:dyDescent="0.25">
      <c r="A3692" s="1">
        <f>DATE(2012,9,8)</f>
        <v>41160</v>
      </c>
      <c r="B3692" t="s">
        <v>12</v>
      </c>
      <c r="C3692" t="s">
        <v>8</v>
      </c>
      <c r="D3692" s="3">
        <v>1748.704</v>
      </c>
      <c r="E3692" s="3">
        <v>0</v>
      </c>
      <c r="F3692" t="s">
        <v>45</v>
      </c>
      <c r="G3692" s="3">
        <f t="shared" si="431"/>
        <v>-1748.704</v>
      </c>
      <c r="H3692" s="3">
        <f t="shared" si="432"/>
        <v>1748.704</v>
      </c>
      <c r="I3692" s="5" t="str">
        <f t="shared" si="433"/>
        <v>016</v>
      </c>
      <c r="J3692" s="5" t="str">
        <f t="shared" si="434"/>
        <v>2210</v>
      </c>
      <c r="K3692" s="5" t="str">
        <f t="shared" si="435"/>
        <v>000</v>
      </c>
      <c r="L3692" s="5">
        <f t="shared" si="436"/>
        <v>9</v>
      </c>
      <c r="M3692" s="5">
        <f t="shared" si="437"/>
        <v>2012</v>
      </c>
    </row>
    <row r="3693" spans="1:13" ht="17.45" customHeight="1" x14ac:dyDescent="0.25">
      <c r="A3693" s="1">
        <f>DATE(2012,9,8)</f>
        <v>41160</v>
      </c>
      <c r="B3693" t="s">
        <v>13</v>
      </c>
      <c r="C3693" t="s">
        <v>9</v>
      </c>
      <c r="D3693" s="3">
        <v>341.86049999999994</v>
      </c>
      <c r="E3693" s="3">
        <v>0</v>
      </c>
      <c r="F3693" t="s">
        <v>45</v>
      </c>
      <c r="G3693" s="3">
        <f t="shared" si="431"/>
        <v>-341.86049999999994</v>
      </c>
      <c r="H3693" s="3">
        <f t="shared" si="432"/>
        <v>341.86049999999994</v>
      </c>
      <c r="I3693" s="5" t="str">
        <f t="shared" si="433"/>
        <v>016</v>
      </c>
      <c r="J3693" s="5" t="str">
        <f t="shared" si="434"/>
        <v>2220</v>
      </c>
      <c r="K3693" s="5" t="str">
        <f t="shared" si="435"/>
        <v>000</v>
      </c>
      <c r="L3693" s="5">
        <f t="shared" si="436"/>
        <v>9</v>
      </c>
      <c r="M3693" s="5">
        <f t="shared" si="437"/>
        <v>2012</v>
      </c>
    </row>
    <row r="3694" spans="1:13" ht="17.45" customHeight="1" x14ac:dyDescent="0.25">
      <c r="A3694" s="1">
        <f>DATE(2012,9,8)</f>
        <v>41160</v>
      </c>
      <c r="B3694" t="s">
        <v>14</v>
      </c>
      <c r="C3694" t="s">
        <v>10</v>
      </c>
      <c r="D3694" s="3">
        <v>183.32999999999998</v>
      </c>
      <c r="E3694" s="3">
        <v>0</v>
      </c>
      <c r="F3694" t="s">
        <v>45</v>
      </c>
      <c r="G3694" s="3">
        <f t="shared" si="431"/>
        <v>-183.32999999999998</v>
      </c>
      <c r="H3694" s="3">
        <f t="shared" si="432"/>
        <v>183.32999999999998</v>
      </c>
      <c r="I3694" s="5" t="str">
        <f t="shared" si="433"/>
        <v>016</v>
      </c>
      <c r="J3694" s="5" t="str">
        <f t="shared" si="434"/>
        <v>2230</v>
      </c>
      <c r="K3694" s="5" t="str">
        <f t="shared" si="435"/>
        <v>000</v>
      </c>
      <c r="L3694" s="5">
        <f t="shared" si="436"/>
        <v>9</v>
      </c>
      <c r="M3694" s="5">
        <f t="shared" si="437"/>
        <v>2012</v>
      </c>
    </row>
    <row r="3695" spans="1:13" ht="17.45" customHeight="1" x14ac:dyDescent="0.25">
      <c r="A3695" s="1">
        <f>DATE(2012,9,9)</f>
        <v>41161</v>
      </c>
      <c r="B3695" t="s">
        <v>11</v>
      </c>
      <c r="C3695" t="s">
        <v>6</v>
      </c>
      <c r="D3695" s="3">
        <v>3521.3667</v>
      </c>
      <c r="E3695" s="3">
        <v>0</v>
      </c>
      <c r="F3695" t="s">
        <v>45</v>
      </c>
      <c r="G3695" s="3">
        <f t="shared" si="431"/>
        <v>-3521.3667</v>
      </c>
      <c r="H3695" s="3">
        <f t="shared" si="432"/>
        <v>3521.3667</v>
      </c>
      <c r="I3695" s="5" t="str">
        <f t="shared" si="433"/>
        <v>016</v>
      </c>
      <c r="J3695" s="5" t="str">
        <f t="shared" si="434"/>
        <v>2100</v>
      </c>
      <c r="K3695" s="5" t="str">
        <f t="shared" si="435"/>
        <v>000</v>
      </c>
      <c r="L3695" s="5">
        <f t="shared" si="436"/>
        <v>9</v>
      </c>
      <c r="M3695" s="5">
        <f t="shared" si="437"/>
        <v>2012</v>
      </c>
    </row>
    <row r="3696" spans="1:13" ht="17.45" customHeight="1" x14ac:dyDescent="0.25">
      <c r="A3696" s="1">
        <f>DATE(2012,9,9)</f>
        <v>41161</v>
      </c>
      <c r="B3696" t="s">
        <v>12</v>
      </c>
      <c r="C3696" t="s">
        <v>8</v>
      </c>
      <c r="D3696" s="3">
        <v>662.45540000000005</v>
      </c>
      <c r="E3696" s="3">
        <v>0</v>
      </c>
      <c r="F3696" t="s">
        <v>45</v>
      </c>
      <c r="G3696" s="3">
        <f t="shared" si="431"/>
        <v>-662.45540000000005</v>
      </c>
      <c r="H3696" s="3">
        <f t="shared" si="432"/>
        <v>662.45540000000005</v>
      </c>
      <c r="I3696" s="5" t="str">
        <f t="shared" si="433"/>
        <v>016</v>
      </c>
      <c r="J3696" s="5" t="str">
        <f t="shared" si="434"/>
        <v>2210</v>
      </c>
      <c r="K3696" s="5" t="str">
        <f t="shared" si="435"/>
        <v>000</v>
      </c>
      <c r="L3696" s="5">
        <f t="shared" si="436"/>
        <v>9</v>
      </c>
      <c r="M3696" s="5">
        <f t="shared" si="437"/>
        <v>2012</v>
      </c>
    </row>
    <row r="3697" spans="1:13" ht="17.45" customHeight="1" x14ac:dyDescent="0.25">
      <c r="A3697" s="1">
        <f>DATE(2012,9,9)</f>
        <v>41161</v>
      </c>
      <c r="B3697" t="s">
        <v>13</v>
      </c>
      <c r="C3697" t="s">
        <v>9</v>
      </c>
      <c r="D3697" s="3">
        <v>169.9425</v>
      </c>
      <c r="E3697" s="3">
        <v>0</v>
      </c>
      <c r="F3697" t="s">
        <v>45</v>
      </c>
      <c r="G3697" s="3">
        <f t="shared" si="431"/>
        <v>-169.9425</v>
      </c>
      <c r="H3697" s="3">
        <f t="shared" si="432"/>
        <v>169.9425</v>
      </c>
      <c r="I3697" s="5" t="str">
        <f t="shared" si="433"/>
        <v>016</v>
      </c>
      <c r="J3697" s="5" t="str">
        <f t="shared" si="434"/>
        <v>2220</v>
      </c>
      <c r="K3697" s="5" t="str">
        <f t="shared" si="435"/>
        <v>000</v>
      </c>
      <c r="L3697" s="5">
        <f t="shared" si="436"/>
        <v>9</v>
      </c>
      <c r="M3697" s="5">
        <f t="shared" si="437"/>
        <v>2012</v>
      </c>
    </row>
    <row r="3698" spans="1:13" ht="17.45" customHeight="1" x14ac:dyDescent="0.25">
      <c r="A3698" s="1">
        <f>DATE(2012,9,9)</f>
        <v>41161</v>
      </c>
      <c r="B3698" t="s">
        <v>14</v>
      </c>
      <c r="C3698" t="s">
        <v>10</v>
      </c>
      <c r="D3698" s="3">
        <v>58.14</v>
      </c>
      <c r="E3698" s="3">
        <v>0</v>
      </c>
      <c r="F3698" t="s">
        <v>45</v>
      </c>
      <c r="G3698" s="3">
        <f t="shared" si="431"/>
        <v>-58.14</v>
      </c>
      <c r="H3698" s="3">
        <f t="shared" si="432"/>
        <v>58.14</v>
      </c>
      <c r="I3698" s="5" t="str">
        <f t="shared" si="433"/>
        <v>016</v>
      </c>
      <c r="J3698" s="5" t="str">
        <f t="shared" si="434"/>
        <v>2230</v>
      </c>
      <c r="K3698" s="5" t="str">
        <f t="shared" si="435"/>
        <v>000</v>
      </c>
      <c r="L3698" s="5">
        <f t="shared" si="436"/>
        <v>9</v>
      </c>
      <c r="M3698" s="5">
        <f t="shared" si="437"/>
        <v>2012</v>
      </c>
    </row>
    <row r="3699" spans="1:13" ht="17.45" customHeight="1" x14ac:dyDescent="0.25">
      <c r="A3699" s="1">
        <f>DATE(2012,9,3)</f>
        <v>41155</v>
      </c>
      <c r="B3699" t="s">
        <v>15</v>
      </c>
      <c r="C3699" t="s">
        <v>6</v>
      </c>
      <c r="D3699" s="3">
        <v>3563.712</v>
      </c>
      <c r="E3699" s="3">
        <v>0</v>
      </c>
      <c r="F3699" t="s">
        <v>45</v>
      </c>
      <c r="G3699" s="3">
        <f t="shared" si="431"/>
        <v>-3563.712</v>
      </c>
      <c r="H3699" s="3">
        <f t="shared" si="432"/>
        <v>3563.712</v>
      </c>
      <c r="I3699" s="5" t="str">
        <f t="shared" si="433"/>
        <v>017</v>
      </c>
      <c r="J3699" s="5" t="str">
        <f t="shared" si="434"/>
        <v>2100</v>
      </c>
      <c r="K3699" s="5" t="str">
        <f t="shared" si="435"/>
        <v>000</v>
      </c>
      <c r="L3699" s="5">
        <f t="shared" si="436"/>
        <v>9</v>
      </c>
      <c r="M3699" s="5">
        <f t="shared" si="437"/>
        <v>2012</v>
      </c>
    </row>
    <row r="3700" spans="1:13" ht="17.45" customHeight="1" x14ac:dyDescent="0.25">
      <c r="A3700" s="1">
        <f>DATE(2012,9,3)</f>
        <v>41155</v>
      </c>
      <c r="B3700" t="s">
        <v>16</v>
      </c>
      <c r="C3700" t="s">
        <v>8</v>
      </c>
      <c r="D3700" s="3">
        <v>817.42750000000001</v>
      </c>
      <c r="E3700" s="3">
        <v>0</v>
      </c>
      <c r="F3700" t="s">
        <v>45</v>
      </c>
      <c r="G3700" s="3">
        <f t="shared" si="431"/>
        <v>-817.42750000000001</v>
      </c>
      <c r="H3700" s="3">
        <f t="shared" si="432"/>
        <v>817.42750000000001</v>
      </c>
      <c r="I3700" s="5" t="str">
        <f t="shared" si="433"/>
        <v>017</v>
      </c>
      <c r="J3700" s="5" t="str">
        <f t="shared" si="434"/>
        <v>2210</v>
      </c>
      <c r="K3700" s="5" t="str">
        <f t="shared" si="435"/>
        <v>000</v>
      </c>
      <c r="L3700" s="5">
        <f t="shared" si="436"/>
        <v>9</v>
      </c>
      <c r="M3700" s="5">
        <f t="shared" si="437"/>
        <v>2012</v>
      </c>
    </row>
    <row r="3701" spans="1:13" ht="17.45" customHeight="1" x14ac:dyDescent="0.25">
      <c r="A3701" s="1">
        <f>DATE(2012,9,3)</f>
        <v>41155</v>
      </c>
      <c r="B3701" t="s">
        <v>17</v>
      </c>
      <c r="C3701" t="s">
        <v>9</v>
      </c>
      <c r="D3701" s="3">
        <v>154.36499999999998</v>
      </c>
      <c r="E3701" s="3">
        <v>0</v>
      </c>
      <c r="F3701" t="s">
        <v>45</v>
      </c>
      <c r="G3701" s="3">
        <f t="shared" si="431"/>
        <v>-154.36499999999998</v>
      </c>
      <c r="H3701" s="3">
        <f t="shared" si="432"/>
        <v>154.36499999999998</v>
      </c>
      <c r="I3701" s="5" t="str">
        <f t="shared" si="433"/>
        <v>017</v>
      </c>
      <c r="J3701" s="5" t="str">
        <f t="shared" si="434"/>
        <v>2220</v>
      </c>
      <c r="K3701" s="5" t="str">
        <f t="shared" si="435"/>
        <v>000</v>
      </c>
      <c r="L3701" s="5">
        <f t="shared" si="436"/>
        <v>9</v>
      </c>
      <c r="M3701" s="5">
        <f t="shared" si="437"/>
        <v>2012</v>
      </c>
    </row>
    <row r="3702" spans="1:13" ht="17.45" customHeight="1" x14ac:dyDescent="0.25">
      <c r="A3702" s="1">
        <f>DATE(2012,9,3)</f>
        <v>41155</v>
      </c>
      <c r="B3702" t="s">
        <v>18</v>
      </c>
      <c r="C3702" t="s">
        <v>10</v>
      </c>
      <c r="D3702" s="3">
        <v>39.367999999999995</v>
      </c>
      <c r="E3702" s="3">
        <v>0</v>
      </c>
      <c r="F3702" t="s">
        <v>45</v>
      </c>
      <c r="G3702" s="3">
        <f t="shared" si="431"/>
        <v>-39.367999999999995</v>
      </c>
      <c r="H3702" s="3">
        <f t="shared" si="432"/>
        <v>39.367999999999995</v>
      </c>
      <c r="I3702" s="5" t="str">
        <f t="shared" si="433"/>
        <v>017</v>
      </c>
      <c r="J3702" s="5" t="str">
        <f t="shared" si="434"/>
        <v>2230</v>
      </c>
      <c r="K3702" s="5" t="str">
        <f t="shared" si="435"/>
        <v>000</v>
      </c>
      <c r="L3702" s="5">
        <f t="shared" si="436"/>
        <v>9</v>
      </c>
      <c r="M3702" s="5">
        <f t="shared" si="437"/>
        <v>2012</v>
      </c>
    </row>
    <row r="3703" spans="1:13" ht="17.45" customHeight="1" x14ac:dyDescent="0.25">
      <c r="A3703" s="1">
        <f>DATE(2012,9,4)</f>
        <v>41156</v>
      </c>
      <c r="B3703" t="s">
        <v>15</v>
      </c>
      <c r="C3703" t="s">
        <v>6</v>
      </c>
      <c r="D3703" s="3">
        <v>3953.1760000000004</v>
      </c>
      <c r="E3703" s="3">
        <v>0</v>
      </c>
      <c r="F3703" t="s">
        <v>45</v>
      </c>
      <c r="G3703" s="3">
        <f t="shared" si="431"/>
        <v>-3953.1760000000004</v>
      </c>
      <c r="H3703" s="3">
        <f t="shared" si="432"/>
        <v>3953.1760000000004</v>
      </c>
      <c r="I3703" s="5" t="str">
        <f t="shared" si="433"/>
        <v>017</v>
      </c>
      <c r="J3703" s="5" t="str">
        <f t="shared" si="434"/>
        <v>2100</v>
      </c>
      <c r="K3703" s="5" t="str">
        <f t="shared" si="435"/>
        <v>000</v>
      </c>
      <c r="L3703" s="5">
        <f t="shared" si="436"/>
        <v>9</v>
      </c>
      <c r="M3703" s="5">
        <f t="shared" si="437"/>
        <v>2012</v>
      </c>
    </row>
    <row r="3704" spans="1:13" ht="17.45" customHeight="1" x14ac:dyDescent="0.25">
      <c r="A3704" s="1">
        <f>DATE(2012,9,4)</f>
        <v>41156</v>
      </c>
      <c r="B3704" t="s">
        <v>16</v>
      </c>
      <c r="C3704" t="s">
        <v>8</v>
      </c>
      <c r="D3704" s="3">
        <v>423.97600000000006</v>
      </c>
      <c r="E3704" s="3">
        <v>0</v>
      </c>
      <c r="F3704" t="s">
        <v>45</v>
      </c>
      <c r="G3704" s="3">
        <f t="shared" si="431"/>
        <v>-423.97600000000006</v>
      </c>
      <c r="H3704" s="3">
        <f t="shared" si="432"/>
        <v>423.97600000000006</v>
      </c>
      <c r="I3704" s="5" t="str">
        <f t="shared" si="433"/>
        <v>017</v>
      </c>
      <c r="J3704" s="5" t="str">
        <f t="shared" si="434"/>
        <v>2210</v>
      </c>
      <c r="K3704" s="5" t="str">
        <f t="shared" si="435"/>
        <v>000</v>
      </c>
      <c r="L3704" s="5">
        <f t="shared" si="436"/>
        <v>9</v>
      </c>
      <c r="M3704" s="5">
        <f t="shared" si="437"/>
        <v>2012</v>
      </c>
    </row>
    <row r="3705" spans="1:13" ht="17.45" customHeight="1" x14ac:dyDescent="0.25">
      <c r="A3705" s="1">
        <f>DATE(2012,9,4)</f>
        <v>41156</v>
      </c>
      <c r="B3705" t="s">
        <v>17</v>
      </c>
      <c r="C3705" t="s">
        <v>9</v>
      </c>
      <c r="D3705" s="3">
        <v>230.76999999999998</v>
      </c>
      <c r="E3705" s="3">
        <v>0</v>
      </c>
      <c r="F3705" t="s">
        <v>45</v>
      </c>
      <c r="G3705" s="3">
        <f t="shared" si="431"/>
        <v>-230.76999999999998</v>
      </c>
      <c r="H3705" s="3">
        <f t="shared" si="432"/>
        <v>230.76999999999998</v>
      </c>
      <c r="I3705" s="5" t="str">
        <f t="shared" si="433"/>
        <v>017</v>
      </c>
      <c r="J3705" s="5" t="str">
        <f t="shared" si="434"/>
        <v>2220</v>
      </c>
      <c r="K3705" s="5" t="str">
        <f t="shared" si="435"/>
        <v>000</v>
      </c>
      <c r="L3705" s="5">
        <f t="shared" si="436"/>
        <v>9</v>
      </c>
      <c r="M3705" s="5">
        <f t="shared" si="437"/>
        <v>2012</v>
      </c>
    </row>
    <row r="3706" spans="1:13" ht="17.45" customHeight="1" x14ac:dyDescent="0.25">
      <c r="A3706" s="1">
        <f>DATE(2012,9,4)</f>
        <v>41156</v>
      </c>
      <c r="B3706" t="s">
        <v>18</v>
      </c>
      <c r="C3706" t="s">
        <v>10</v>
      </c>
      <c r="D3706" s="3">
        <v>17.578000000000003</v>
      </c>
      <c r="E3706" s="3">
        <v>0</v>
      </c>
      <c r="F3706" t="s">
        <v>45</v>
      </c>
      <c r="G3706" s="3">
        <f t="shared" si="431"/>
        <v>-17.578000000000003</v>
      </c>
      <c r="H3706" s="3">
        <f t="shared" si="432"/>
        <v>17.578000000000003</v>
      </c>
      <c r="I3706" s="5" t="str">
        <f t="shared" si="433"/>
        <v>017</v>
      </c>
      <c r="J3706" s="5" t="str">
        <f t="shared" si="434"/>
        <v>2230</v>
      </c>
      <c r="K3706" s="5" t="str">
        <f t="shared" si="435"/>
        <v>000</v>
      </c>
      <c r="L3706" s="5">
        <f t="shared" si="436"/>
        <v>9</v>
      </c>
      <c r="M3706" s="5">
        <f t="shared" si="437"/>
        <v>2012</v>
      </c>
    </row>
    <row r="3707" spans="1:13" ht="17.45" customHeight="1" x14ac:dyDescent="0.25">
      <c r="A3707" s="1">
        <f>DATE(2012,9,5)</f>
        <v>41157</v>
      </c>
      <c r="B3707" t="s">
        <v>15</v>
      </c>
      <c r="C3707" t="s">
        <v>6</v>
      </c>
      <c r="D3707" s="3">
        <v>5884.4663999999993</v>
      </c>
      <c r="E3707" s="3">
        <v>0</v>
      </c>
      <c r="F3707" t="s">
        <v>45</v>
      </c>
      <c r="G3707" s="3">
        <f t="shared" si="431"/>
        <v>-5884.4663999999993</v>
      </c>
      <c r="H3707" s="3">
        <f t="shared" si="432"/>
        <v>5884.4663999999993</v>
      </c>
      <c r="I3707" s="5" t="str">
        <f t="shared" si="433"/>
        <v>017</v>
      </c>
      <c r="J3707" s="5" t="str">
        <f t="shared" si="434"/>
        <v>2100</v>
      </c>
      <c r="K3707" s="5" t="str">
        <f t="shared" si="435"/>
        <v>000</v>
      </c>
      <c r="L3707" s="5">
        <f t="shared" si="436"/>
        <v>9</v>
      </c>
      <c r="M3707" s="5">
        <f t="shared" si="437"/>
        <v>2012</v>
      </c>
    </row>
    <row r="3708" spans="1:13" ht="17.45" customHeight="1" x14ac:dyDescent="0.25">
      <c r="A3708" s="1">
        <f>DATE(2012,9,5)</f>
        <v>41157</v>
      </c>
      <c r="B3708" t="s">
        <v>16</v>
      </c>
      <c r="C3708" t="s">
        <v>8</v>
      </c>
      <c r="D3708" s="3">
        <v>1156.3364999999999</v>
      </c>
      <c r="E3708" s="3">
        <v>0</v>
      </c>
      <c r="F3708" t="s">
        <v>45</v>
      </c>
      <c r="G3708" s="3">
        <f t="shared" si="431"/>
        <v>-1156.3364999999999</v>
      </c>
      <c r="H3708" s="3">
        <f t="shared" si="432"/>
        <v>1156.3364999999999</v>
      </c>
      <c r="I3708" s="5" t="str">
        <f t="shared" si="433"/>
        <v>017</v>
      </c>
      <c r="J3708" s="5" t="str">
        <f t="shared" si="434"/>
        <v>2210</v>
      </c>
      <c r="K3708" s="5" t="str">
        <f t="shared" si="435"/>
        <v>000</v>
      </c>
      <c r="L3708" s="5">
        <f t="shared" si="436"/>
        <v>9</v>
      </c>
      <c r="M3708" s="5">
        <f t="shared" si="437"/>
        <v>2012</v>
      </c>
    </row>
    <row r="3709" spans="1:13" ht="17.45" customHeight="1" x14ac:dyDescent="0.25">
      <c r="A3709" s="1">
        <f>DATE(2012,9,5)</f>
        <v>41157</v>
      </c>
      <c r="B3709" t="s">
        <v>17</v>
      </c>
      <c r="C3709" t="s">
        <v>9</v>
      </c>
      <c r="D3709" s="3">
        <v>288.95249999999999</v>
      </c>
      <c r="E3709" s="3">
        <v>0</v>
      </c>
      <c r="F3709" t="s">
        <v>45</v>
      </c>
      <c r="G3709" s="3">
        <f t="shared" si="431"/>
        <v>-288.95249999999999</v>
      </c>
      <c r="H3709" s="3">
        <f t="shared" si="432"/>
        <v>288.95249999999999</v>
      </c>
      <c r="I3709" s="5" t="str">
        <f t="shared" si="433"/>
        <v>017</v>
      </c>
      <c r="J3709" s="5" t="str">
        <f t="shared" si="434"/>
        <v>2220</v>
      </c>
      <c r="K3709" s="5" t="str">
        <f t="shared" si="435"/>
        <v>000</v>
      </c>
      <c r="L3709" s="5">
        <f t="shared" si="436"/>
        <v>9</v>
      </c>
      <c r="M3709" s="5">
        <f t="shared" si="437"/>
        <v>2012</v>
      </c>
    </row>
    <row r="3710" spans="1:13" ht="17.45" customHeight="1" x14ac:dyDescent="0.25">
      <c r="A3710" s="1">
        <f>DATE(2012,9,5)</f>
        <v>41157</v>
      </c>
      <c r="B3710" t="s">
        <v>18</v>
      </c>
      <c r="C3710" t="s">
        <v>10</v>
      </c>
      <c r="D3710" s="3">
        <v>38.4375</v>
      </c>
      <c r="E3710" s="3">
        <v>0</v>
      </c>
      <c r="F3710" t="s">
        <v>45</v>
      </c>
      <c r="G3710" s="3">
        <f t="shared" si="431"/>
        <v>-38.4375</v>
      </c>
      <c r="H3710" s="3">
        <f t="shared" si="432"/>
        <v>38.4375</v>
      </c>
      <c r="I3710" s="5" t="str">
        <f t="shared" si="433"/>
        <v>017</v>
      </c>
      <c r="J3710" s="5" t="str">
        <f t="shared" si="434"/>
        <v>2230</v>
      </c>
      <c r="K3710" s="5" t="str">
        <f t="shared" si="435"/>
        <v>000</v>
      </c>
      <c r="L3710" s="5">
        <f t="shared" si="436"/>
        <v>9</v>
      </c>
      <c r="M3710" s="5">
        <f t="shared" si="437"/>
        <v>2012</v>
      </c>
    </row>
    <row r="3711" spans="1:13" ht="17.45" customHeight="1" x14ac:dyDescent="0.25">
      <c r="A3711" s="1">
        <f>DATE(2012,9,6)</f>
        <v>41158</v>
      </c>
      <c r="B3711" t="s">
        <v>15</v>
      </c>
      <c r="C3711" t="s">
        <v>6</v>
      </c>
      <c r="D3711" s="3">
        <v>3984.8798999999999</v>
      </c>
      <c r="E3711" s="3">
        <v>0</v>
      </c>
      <c r="F3711" t="s">
        <v>45</v>
      </c>
      <c r="G3711" s="3">
        <f t="shared" si="431"/>
        <v>-3984.8798999999999</v>
      </c>
      <c r="H3711" s="3">
        <f t="shared" si="432"/>
        <v>3984.8798999999999</v>
      </c>
      <c r="I3711" s="5" t="str">
        <f t="shared" si="433"/>
        <v>017</v>
      </c>
      <c r="J3711" s="5" t="str">
        <f t="shared" si="434"/>
        <v>2100</v>
      </c>
      <c r="K3711" s="5" t="str">
        <f t="shared" si="435"/>
        <v>000</v>
      </c>
      <c r="L3711" s="5">
        <f t="shared" si="436"/>
        <v>9</v>
      </c>
      <c r="M3711" s="5">
        <f t="shared" si="437"/>
        <v>2012</v>
      </c>
    </row>
    <row r="3712" spans="1:13" ht="17.45" customHeight="1" x14ac:dyDescent="0.25">
      <c r="A3712" s="1">
        <f>DATE(2012,9,6)</f>
        <v>41158</v>
      </c>
      <c r="B3712" t="s">
        <v>16</v>
      </c>
      <c r="C3712" t="s">
        <v>8</v>
      </c>
      <c r="D3712" s="3">
        <v>742.83499999999992</v>
      </c>
      <c r="E3712" s="3">
        <v>0</v>
      </c>
      <c r="F3712" t="s">
        <v>45</v>
      </c>
      <c r="G3712" s="3">
        <f t="shared" si="431"/>
        <v>-742.83499999999992</v>
      </c>
      <c r="H3712" s="3">
        <f t="shared" si="432"/>
        <v>742.83499999999992</v>
      </c>
      <c r="I3712" s="5" t="str">
        <f t="shared" si="433"/>
        <v>017</v>
      </c>
      <c r="J3712" s="5" t="str">
        <f t="shared" si="434"/>
        <v>2210</v>
      </c>
      <c r="K3712" s="5" t="str">
        <f t="shared" si="435"/>
        <v>000</v>
      </c>
      <c r="L3712" s="5">
        <f t="shared" si="436"/>
        <v>9</v>
      </c>
      <c r="M3712" s="5">
        <f t="shared" si="437"/>
        <v>2012</v>
      </c>
    </row>
    <row r="3713" spans="1:13" ht="17.45" customHeight="1" x14ac:dyDescent="0.25">
      <c r="A3713" s="1">
        <f>DATE(2012,9,6)</f>
        <v>41158</v>
      </c>
      <c r="B3713" t="s">
        <v>17</v>
      </c>
      <c r="C3713" t="s">
        <v>9</v>
      </c>
      <c r="D3713" s="3">
        <v>437.85</v>
      </c>
      <c r="E3713" s="3">
        <v>0</v>
      </c>
      <c r="F3713" t="s">
        <v>45</v>
      </c>
      <c r="G3713" s="3">
        <f t="shared" si="431"/>
        <v>-437.85</v>
      </c>
      <c r="H3713" s="3">
        <f t="shared" si="432"/>
        <v>437.85</v>
      </c>
      <c r="I3713" s="5" t="str">
        <f t="shared" si="433"/>
        <v>017</v>
      </c>
      <c r="J3713" s="5" t="str">
        <f t="shared" si="434"/>
        <v>2220</v>
      </c>
      <c r="K3713" s="5" t="str">
        <f t="shared" si="435"/>
        <v>000</v>
      </c>
      <c r="L3713" s="5">
        <f t="shared" si="436"/>
        <v>9</v>
      </c>
      <c r="M3713" s="5">
        <f t="shared" si="437"/>
        <v>2012</v>
      </c>
    </row>
    <row r="3714" spans="1:13" ht="17.45" customHeight="1" x14ac:dyDescent="0.25">
      <c r="A3714" s="1">
        <f>DATE(2012,9,6)</f>
        <v>41158</v>
      </c>
      <c r="B3714" t="s">
        <v>18</v>
      </c>
      <c r="C3714" t="s">
        <v>10</v>
      </c>
      <c r="D3714" s="3">
        <v>38.835999999999999</v>
      </c>
      <c r="E3714" s="3">
        <v>0</v>
      </c>
      <c r="F3714" t="s">
        <v>45</v>
      </c>
      <c r="G3714" s="3">
        <f t="shared" ref="G3714:G3777" si="439">E3714-D3714</f>
        <v>-38.835999999999999</v>
      </c>
      <c r="H3714" s="3">
        <f t="shared" ref="H3714:H3777" si="440">ABS(G3714)</f>
        <v>38.835999999999999</v>
      </c>
      <c r="I3714" s="5" t="str">
        <f t="shared" ref="I3714:I3777" si="441">MID(B3714,1,3)</f>
        <v>017</v>
      </c>
      <c r="J3714" s="5" t="str">
        <f t="shared" ref="J3714:J3777" si="442">MID(B3714,5,4)</f>
        <v>2230</v>
      </c>
      <c r="K3714" s="5" t="str">
        <f t="shared" ref="K3714:K3777" si="443">MID(B3714,10,3)</f>
        <v>000</v>
      </c>
      <c r="L3714" s="5">
        <f t="shared" ref="L3714:L3777" si="444">MONTH(A3714)</f>
        <v>9</v>
      </c>
      <c r="M3714" s="5">
        <f t="shared" ref="M3714:M3777" si="445">YEAR(A3714)</f>
        <v>2012</v>
      </c>
    </row>
    <row r="3715" spans="1:13" ht="17.45" customHeight="1" x14ac:dyDescent="0.25">
      <c r="A3715" s="1">
        <f>DATE(2012,9,7)</f>
        <v>41159</v>
      </c>
      <c r="B3715" t="s">
        <v>15</v>
      </c>
      <c r="C3715" t="s">
        <v>6</v>
      </c>
      <c r="D3715" s="3">
        <v>7252.8584000000001</v>
      </c>
      <c r="E3715" s="3">
        <v>0</v>
      </c>
      <c r="F3715" t="s">
        <v>45</v>
      </c>
      <c r="G3715" s="3">
        <f t="shared" si="439"/>
        <v>-7252.8584000000001</v>
      </c>
      <c r="H3715" s="3">
        <f t="shared" si="440"/>
        <v>7252.8584000000001</v>
      </c>
      <c r="I3715" s="5" t="str">
        <f t="shared" si="441"/>
        <v>017</v>
      </c>
      <c r="J3715" s="5" t="str">
        <f t="shared" si="442"/>
        <v>2100</v>
      </c>
      <c r="K3715" s="5" t="str">
        <f t="shared" si="443"/>
        <v>000</v>
      </c>
      <c r="L3715" s="5">
        <f t="shared" si="444"/>
        <v>9</v>
      </c>
      <c r="M3715" s="5">
        <f t="shared" si="445"/>
        <v>2012</v>
      </c>
    </row>
    <row r="3716" spans="1:13" ht="17.45" customHeight="1" x14ac:dyDescent="0.25">
      <c r="A3716" s="1">
        <f>DATE(2012,9,7)</f>
        <v>41159</v>
      </c>
      <c r="B3716" t="s">
        <v>16</v>
      </c>
      <c r="C3716" t="s">
        <v>8</v>
      </c>
      <c r="D3716" s="3">
        <v>2276.8985000000002</v>
      </c>
      <c r="E3716" s="3">
        <v>0</v>
      </c>
      <c r="F3716" t="s">
        <v>45</v>
      </c>
      <c r="G3716" s="3">
        <f t="shared" si="439"/>
        <v>-2276.8985000000002</v>
      </c>
      <c r="H3716" s="3">
        <f t="shared" si="440"/>
        <v>2276.8985000000002</v>
      </c>
      <c r="I3716" s="5" t="str">
        <f t="shared" si="441"/>
        <v>017</v>
      </c>
      <c r="J3716" s="5" t="str">
        <f t="shared" si="442"/>
        <v>2210</v>
      </c>
      <c r="K3716" s="5" t="str">
        <f t="shared" si="443"/>
        <v>000</v>
      </c>
      <c r="L3716" s="5">
        <f t="shared" si="444"/>
        <v>9</v>
      </c>
      <c r="M3716" s="5">
        <f t="shared" si="445"/>
        <v>2012</v>
      </c>
    </row>
    <row r="3717" spans="1:13" ht="17.45" customHeight="1" x14ac:dyDescent="0.25">
      <c r="A3717" s="1">
        <f>DATE(2012,9,7)</f>
        <v>41159</v>
      </c>
      <c r="B3717" t="s">
        <v>17</v>
      </c>
      <c r="C3717" t="s">
        <v>9</v>
      </c>
      <c r="D3717" s="3">
        <v>506.99250000000001</v>
      </c>
      <c r="E3717" s="3">
        <v>0</v>
      </c>
      <c r="F3717" t="s">
        <v>45</v>
      </c>
      <c r="G3717" s="3">
        <f t="shared" si="439"/>
        <v>-506.99250000000001</v>
      </c>
      <c r="H3717" s="3">
        <f t="shared" si="440"/>
        <v>506.99250000000001</v>
      </c>
      <c r="I3717" s="5" t="str">
        <f t="shared" si="441"/>
        <v>017</v>
      </c>
      <c r="J3717" s="5" t="str">
        <f t="shared" si="442"/>
        <v>2220</v>
      </c>
      <c r="K3717" s="5" t="str">
        <f t="shared" si="443"/>
        <v>000</v>
      </c>
      <c r="L3717" s="5">
        <f t="shared" si="444"/>
        <v>9</v>
      </c>
      <c r="M3717" s="5">
        <f t="shared" si="445"/>
        <v>2012</v>
      </c>
    </row>
    <row r="3718" spans="1:13" ht="17.45" customHeight="1" x14ac:dyDescent="0.25">
      <c r="A3718" s="1">
        <f>DATE(2012,9,7)</f>
        <v>41159</v>
      </c>
      <c r="B3718" t="s">
        <v>18</v>
      </c>
      <c r="C3718" t="s">
        <v>10</v>
      </c>
      <c r="D3718" s="3">
        <v>87.836999999999989</v>
      </c>
      <c r="E3718" s="3">
        <v>0</v>
      </c>
      <c r="F3718" t="s">
        <v>45</v>
      </c>
      <c r="G3718" s="3">
        <f t="shared" si="439"/>
        <v>-87.836999999999989</v>
      </c>
      <c r="H3718" s="3">
        <f t="shared" si="440"/>
        <v>87.836999999999989</v>
      </c>
      <c r="I3718" s="5" t="str">
        <f t="shared" si="441"/>
        <v>017</v>
      </c>
      <c r="J3718" s="5" t="str">
        <f t="shared" si="442"/>
        <v>2230</v>
      </c>
      <c r="K3718" s="5" t="str">
        <f t="shared" si="443"/>
        <v>000</v>
      </c>
      <c r="L3718" s="5">
        <f t="shared" si="444"/>
        <v>9</v>
      </c>
      <c r="M3718" s="5">
        <f t="shared" si="445"/>
        <v>2012</v>
      </c>
    </row>
    <row r="3719" spans="1:13" ht="17.45" customHeight="1" x14ac:dyDescent="0.25">
      <c r="A3719" s="1">
        <f>DATE(2012,9,8)</f>
        <v>41160</v>
      </c>
      <c r="B3719" t="s">
        <v>15</v>
      </c>
      <c r="C3719" t="s">
        <v>6</v>
      </c>
      <c r="D3719" s="3">
        <v>4544.7929999999997</v>
      </c>
      <c r="E3719" s="3">
        <v>0</v>
      </c>
      <c r="F3719" t="s">
        <v>45</v>
      </c>
      <c r="G3719" s="3">
        <f t="shared" si="439"/>
        <v>-4544.7929999999997</v>
      </c>
      <c r="H3719" s="3">
        <f t="shared" si="440"/>
        <v>4544.7929999999997</v>
      </c>
      <c r="I3719" s="5" t="str">
        <f t="shared" si="441"/>
        <v>017</v>
      </c>
      <c r="J3719" s="5" t="str">
        <f t="shared" si="442"/>
        <v>2100</v>
      </c>
      <c r="K3719" s="5" t="str">
        <f t="shared" si="443"/>
        <v>000</v>
      </c>
      <c r="L3719" s="5">
        <f t="shared" si="444"/>
        <v>9</v>
      </c>
      <c r="M3719" s="5">
        <f t="shared" si="445"/>
        <v>2012</v>
      </c>
    </row>
    <row r="3720" spans="1:13" ht="17.45" customHeight="1" x14ac:dyDescent="0.25">
      <c r="A3720" s="1">
        <f>DATE(2012,9,8)</f>
        <v>41160</v>
      </c>
      <c r="B3720" t="s">
        <v>16</v>
      </c>
      <c r="C3720" t="s">
        <v>8</v>
      </c>
      <c r="D3720" s="3">
        <v>1196.8110000000001</v>
      </c>
      <c r="E3720" s="3">
        <v>0</v>
      </c>
      <c r="F3720" t="s">
        <v>45</v>
      </c>
      <c r="G3720" s="3">
        <f t="shared" si="439"/>
        <v>-1196.8110000000001</v>
      </c>
      <c r="H3720" s="3">
        <f t="shared" si="440"/>
        <v>1196.8110000000001</v>
      </c>
      <c r="I3720" s="5" t="str">
        <f t="shared" si="441"/>
        <v>017</v>
      </c>
      <c r="J3720" s="5" t="str">
        <f t="shared" si="442"/>
        <v>2210</v>
      </c>
      <c r="K3720" s="5" t="str">
        <f t="shared" si="443"/>
        <v>000</v>
      </c>
      <c r="L3720" s="5">
        <f t="shared" si="444"/>
        <v>9</v>
      </c>
      <c r="M3720" s="5">
        <f t="shared" si="445"/>
        <v>2012</v>
      </c>
    </row>
    <row r="3721" spans="1:13" ht="17.45" customHeight="1" x14ac:dyDescent="0.25">
      <c r="A3721" s="1">
        <f>DATE(2012,9,8)</f>
        <v>41160</v>
      </c>
      <c r="B3721" t="s">
        <v>17</v>
      </c>
      <c r="C3721" t="s">
        <v>9</v>
      </c>
      <c r="D3721" s="3">
        <v>321.54000000000002</v>
      </c>
      <c r="E3721" s="3">
        <v>0</v>
      </c>
      <c r="F3721" t="s">
        <v>45</v>
      </c>
      <c r="G3721" s="3">
        <f t="shared" si="439"/>
        <v>-321.54000000000002</v>
      </c>
      <c r="H3721" s="3">
        <f t="shared" si="440"/>
        <v>321.54000000000002</v>
      </c>
      <c r="I3721" s="5" t="str">
        <f t="shared" si="441"/>
        <v>017</v>
      </c>
      <c r="J3721" s="5" t="str">
        <f t="shared" si="442"/>
        <v>2220</v>
      </c>
      <c r="K3721" s="5" t="str">
        <f t="shared" si="443"/>
        <v>000</v>
      </c>
      <c r="L3721" s="5">
        <f t="shared" si="444"/>
        <v>9</v>
      </c>
      <c r="M3721" s="5">
        <f t="shared" si="445"/>
        <v>2012</v>
      </c>
    </row>
    <row r="3722" spans="1:13" ht="17.45" customHeight="1" x14ac:dyDescent="0.25">
      <c r="A3722" s="1">
        <f>DATE(2012,9,8)</f>
        <v>41160</v>
      </c>
      <c r="B3722" t="s">
        <v>18</v>
      </c>
      <c r="C3722" t="s">
        <v>10</v>
      </c>
      <c r="D3722" s="3">
        <v>98.259999999999991</v>
      </c>
      <c r="E3722" s="3">
        <v>0</v>
      </c>
      <c r="F3722" t="s">
        <v>45</v>
      </c>
      <c r="G3722" s="3">
        <f t="shared" si="439"/>
        <v>-98.259999999999991</v>
      </c>
      <c r="H3722" s="3">
        <f t="shared" si="440"/>
        <v>98.259999999999991</v>
      </c>
      <c r="I3722" s="5" t="str">
        <f t="shared" si="441"/>
        <v>017</v>
      </c>
      <c r="J3722" s="5" t="str">
        <f t="shared" si="442"/>
        <v>2230</v>
      </c>
      <c r="K3722" s="5" t="str">
        <f t="shared" si="443"/>
        <v>000</v>
      </c>
      <c r="L3722" s="5">
        <f t="shared" si="444"/>
        <v>9</v>
      </c>
      <c r="M3722" s="5">
        <f t="shared" si="445"/>
        <v>2012</v>
      </c>
    </row>
    <row r="3723" spans="1:13" ht="17.45" customHeight="1" x14ac:dyDescent="0.25">
      <c r="A3723" s="1">
        <f>DATE(2012,9,9)</f>
        <v>41161</v>
      </c>
      <c r="B3723" t="s">
        <v>15</v>
      </c>
      <c r="C3723" t="s">
        <v>6</v>
      </c>
      <c r="D3723" s="3">
        <v>3845.8847999999998</v>
      </c>
      <c r="E3723" s="3">
        <v>0</v>
      </c>
      <c r="F3723" t="s">
        <v>45</v>
      </c>
      <c r="G3723" s="3">
        <f t="shared" si="439"/>
        <v>-3845.8847999999998</v>
      </c>
      <c r="H3723" s="3">
        <f t="shared" si="440"/>
        <v>3845.8847999999998</v>
      </c>
      <c r="I3723" s="5" t="str">
        <f t="shared" si="441"/>
        <v>017</v>
      </c>
      <c r="J3723" s="5" t="str">
        <f t="shared" si="442"/>
        <v>2100</v>
      </c>
      <c r="K3723" s="5" t="str">
        <f t="shared" si="443"/>
        <v>000</v>
      </c>
      <c r="L3723" s="5">
        <f t="shared" si="444"/>
        <v>9</v>
      </c>
      <c r="M3723" s="5">
        <f t="shared" si="445"/>
        <v>2012</v>
      </c>
    </row>
    <row r="3724" spans="1:13" ht="17.45" customHeight="1" x14ac:dyDescent="0.25">
      <c r="A3724" s="1">
        <f>DATE(2012,9,9)</f>
        <v>41161</v>
      </c>
      <c r="B3724" t="s">
        <v>16</v>
      </c>
      <c r="C3724" t="s">
        <v>8</v>
      </c>
      <c r="D3724" s="3">
        <v>1027.4375</v>
      </c>
      <c r="E3724" s="3">
        <v>0</v>
      </c>
      <c r="F3724" t="s">
        <v>45</v>
      </c>
      <c r="G3724" s="3">
        <f t="shared" si="439"/>
        <v>-1027.4375</v>
      </c>
      <c r="H3724" s="3">
        <f t="shared" si="440"/>
        <v>1027.4375</v>
      </c>
      <c r="I3724" s="5" t="str">
        <f t="shared" si="441"/>
        <v>017</v>
      </c>
      <c r="J3724" s="5" t="str">
        <f t="shared" si="442"/>
        <v>2210</v>
      </c>
      <c r="K3724" s="5" t="str">
        <f t="shared" si="443"/>
        <v>000</v>
      </c>
      <c r="L3724" s="5">
        <f t="shared" si="444"/>
        <v>9</v>
      </c>
      <c r="M3724" s="5">
        <f t="shared" si="445"/>
        <v>2012</v>
      </c>
    </row>
    <row r="3725" spans="1:13" ht="17.45" customHeight="1" x14ac:dyDescent="0.25">
      <c r="A3725" s="1">
        <f>DATE(2012,9,9)</f>
        <v>41161</v>
      </c>
      <c r="B3725" t="s">
        <v>17</v>
      </c>
      <c r="C3725" t="s">
        <v>9</v>
      </c>
      <c r="D3725" s="3">
        <v>222.31</v>
      </c>
      <c r="E3725" s="3">
        <v>0</v>
      </c>
      <c r="F3725" t="s">
        <v>45</v>
      </c>
      <c r="G3725" s="3">
        <f t="shared" si="439"/>
        <v>-222.31</v>
      </c>
      <c r="H3725" s="3">
        <f t="shared" si="440"/>
        <v>222.31</v>
      </c>
      <c r="I3725" s="5" t="str">
        <f t="shared" si="441"/>
        <v>017</v>
      </c>
      <c r="J3725" s="5" t="str">
        <f t="shared" si="442"/>
        <v>2220</v>
      </c>
      <c r="K3725" s="5" t="str">
        <f t="shared" si="443"/>
        <v>000</v>
      </c>
      <c r="L3725" s="5">
        <f t="shared" si="444"/>
        <v>9</v>
      </c>
      <c r="M3725" s="5">
        <f t="shared" si="445"/>
        <v>2012</v>
      </c>
    </row>
    <row r="3726" spans="1:13" ht="17.45" customHeight="1" x14ac:dyDescent="0.25">
      <c r="A3726" s="1">
        <f>DATE(2012,9,9)</f>
        <v>41161</v>
      </c>
      <c r="B3726" t="s">
        <v>18</v>
      </c>
      <c r="C3726" t="s">
        <v>10</v>
      </c>
      <c r="D3726" s="3">
        <v>53.156999999999996</v>
      </c>
      <c r="E3726" s="3">
        <v>0</v>
      </c>
      <c r="F3726" t="s">
        <v>45</v>
      </c>
      <c r="G3726" s="3">
        <f t="shared" si="439"/>
        <v>-53.156999999999996</v>
      </c>
      <c r="H3726" s="3">
        <f t="shared" si="440"/>
        <v>53.156999999999996</v>
      </c>
      <c r="I3726" s="5" t="str">
        <f t="shared" si="441"/>
        <v>017</v>
      </c>
      <c r="J3726" s="5" t="str">
        <f t="shared" si="442"/>
        <v>2230</v>
      </c>
      <c r="K3726" s="5" t="str">
        <f t="shared" si="443"/>
        <v>000</v>
      </c>
      <c r="L3726" s="5">
        <f t="shared" si="444"/>
        <v>9</v>
      </c>
      <c r="M3726" s="5">
        <f t="shared" si="445"/>
        <v>2012</v>
      </c>
    </row>
    <row r="3727" spans="1:13" ht="17.45" customHeight="1" x14ac:dyDescent="0.25">
      <c r="A3727" s="1">
        <f>DATE(2012,9,3)</f>
        <v>41155</v>
      </c>
      <c r="B3727" t="s">
        <v>19</v>
      </c>
      <c r="C3727" t="s">
        <v>6</v>
      </c>
      <c r="D3727" s="3">
        <v>8234.1283999999996</v>
      </c>
      <c r="E3727" s="3">
        <v>0</v>
      </c>
      <c r="F3727" t="s">
        <v>45</v>
      </c>
      <c r="G3727" s="3">
        <f t="shared" si="439"/>
        <v>-8234.1283999999996</v>
      </c>
      <c r="H3727" s="3">
        <f t="shared" si="440"/>
        <v>8234.1283999999996</v>
      </c>
      <c r="I3727" s="5" t="str">
        <f t="shared" si="441"/>
        <v>018</v>
      </c>
      <c r="J3727" s="5" t="str">
        <f t="shared" si="442"/>
        <v>2100</v>
      </c>
      <c r="K3727" s="5" t="str">
        <f t="shared" si="443"/>
        <v>000</v>
      </c>
      <c r="L3727" s="5">
        <f t="shared" si="444"/>
        <v>9</v>
      </c>
      <c r="M3727" s="5">
        <f t="shared" si="445"/>
        <v>2012</v>
      </c>
    </row>
    <row r="3728" spans="1:13" ht="17.45" customHeight="1" x14ac:dyDescent="0.25">
      <c r="A3728" s="1">
        <f>DATE(2012,9,3)</f>
        <v>41155</v>
      </c>
      <c r="B3728" t="s">
        <v>20</v>
      </c>
      <c r="C3728" t="s">
        <v>8</v>
      </c>
      <c r="D3728" s="3">
        <v>1101.789</v>
      </c>
      <c r="E3728" s="3">
        <v>0</v>
      </c>
      <c r="F3728" t="s">
        <v>45</v>
      </c>
      <c r="G3728" s="3">
        <f t="shared" si="439"/>
        <v>-1101.789</v>
      </c>
      <c r="H3728" s="3">
        <f t="shared" si="440"/>
        <v>1101.789</v>
      </c>
      <c r="I3728" s="5" t="str">
        <f t="shared" si="441"/>
        <v>018</v>
      </c>
      <c r="J3728" s="5" t="str">
        <f t="shared" si="442"/>
        <v>2210</v>
      </c>
      <c r="K3728" s="5" t="str">
        <f t="shared" si="443"/>
        <v>000</v>
      </c>
      <c r="L3728" s="5">
        <f t="shared" si="444"/>
        <v>9</v>
      </c>
      <c r="M3728" s="5">
        <f t="shared" si="445"/>
        <v>2012</v>
      </c>
    </row>
    <row r="3729" spans="1:13" ht="17.45" customHeight="1" x14ac:dyDescent="0.25">
      <c r="A3729" s="1">
        <f>DATE(2012,9,3)</f>
        <v>41155</v>
      </c>
      <c r="B3729" t="s">
        <v>21</v>
      </c>
      <c r="C3729" t="s">
        <v>9</v>
      </c>
      <c r="D3729" s="3">
        <v>150.57900000000001</v>
      </c>
      <c r="E3729" s="3">
        <v>0</v>
      </c>
      <c r="F3729" t="s">
        <v>45</v>
      </c>
      <c r="G3729" s="3">
        <f t="shared" si="439"/>
        <v>-150.57900000000001</v>
      </c>
      <c r="H3729" s="3">
        <f t="shared" si="440"/>
        <v>150.57900000000001</v>
      </c>
      <c r="I3729" s="5" t="str">
        <f t="shared" si="441"/>
        <v>018</v>
      </c>
      <c r="J3729" s="5" t="str">
        <f t="shared" si="442"/>
        <v>2220</v>
      </c>
      <c r="K3729" s="5" t="str">
        <f t="shared" si="443"/>
        <v>000</v>
      </c>
      <c r="L3729" s="5">
        <f t="shared" si="444"/>
        <v>9</v>
      </c>
      <c r="M3729" s="5">
        <f t="shared" si="445"/>
        <v>2012</v>
      </c>
    </row>
    <row r="3730" spans="1:13" ht="17.45" customHeight="1" x14ac:dyDescent="0.25">
      <c r="A3730" s="1">
        <f>DATE(2012,9,3)</f>
        <v>41155</v>
      </c>
      <c r="B3730" t="s">
        <v>22</v>
      </c>
      <c r="C3730" t="s">
        <v>10</v>
      </c>
      <c r="D3730" s="3">
        <v>31.979999999999997</v>
      </c>
      <c r="E3730" s="3">
        <v>0</v>
      </c>
      <c r="F3730" t="s">
        <v>45</v>
      </c>
      <c r="G3730" s="3">
        <f t="shared" si="439"/>
        <v>-31.979999999999997</v>
      </c>
      <c r="H3730" s="3">
        <f t="shared" si="440"/>
        <v>31.979999999999997</v>
      </c>
      <c r="I3730" s="5" t="str">
        <f t="shared" si="441"/>
        <v>018</v>
      </c>
      <c r="J3730" s="5" t="str">
        <f t="shared" si="442"/>
        <v>2230</v>
      </c>
      <c r="K3730" s="5" t="str">
        <f t="shared" si="443"/>
        <v>000</v>
      </c>
      <c r="L3730" s="5">
        <f t="shared" si="444"/>
        <v>9</v>
      </c>
      <c r="M3730" s="5">
        <f t="shared" si="445"/>
        <v>2012</v>
      </c>
    </row>
    <row r="3731" spans="1:13" ht="17.45" customHeight="1" x14ac:dyDescent="0.25">
      <c r="A3731" s="1">
        <f>DATE(2012,9,4)</f>
        <v>41156</v>
      </c>
      <c r="B3731" t="s">
        <v>19</v>
      </c>
      <c r="C3731" t="s">
        <v>6</v>
      </c>
      <c r="D3731" s="3">
        <v>2507.8289999999997</v>
      </c>
      <c r="E3731" s="3">
        <v>0</v>
      </c>
      <c r="F3731" t="s">
        <v>45</v>
      </c>
      <c r="G3731" s="3">
        <f t="shared" si="439"/>
        <v>-2507.8289999999997</v>
      </c>
      <c r="H3731" s="3">
        <f t="shared" si="440"/>
        <v>2507.8289999999997</v>
      </c>
      <c r="I3731" s="5" t="str">
        <f t="shared" si="441"/>
        <v>018</v>
      </c>
      <c r="J3731" s="5" t="str">
        <f t="shared" si="442"/>
        <v>2100</v>
      </c>
      <c r="K3731" s="5" t="str">
        <f t="shared" si="443"/>
        <v>000</v>
      </c>
      <c r="L3731" s="5">
        <f t="shared" si="444"/>
        <v>9</v>
      </c>
      <c r="M3731" s="5">
        <f t="shared" si="445"/>
        <v>2012</v>
      </c>
    </row>
    <row r="3732" spans="1:13" ht="17.45" customHeight="1" x14ac:dyDescent="0.25">
      <c r="A3732" s="1">
        <f>DATE(2012,9,4)</f>
        <v>41156</v>
      </c>
      <c r="B3732" t="s">
        <v>20</v>
      </c>
      <c r="C3732" t="s">
        <v>8</v>
      </c>
      <c r="D3732" s="3">
        <v>523.65449999999998</v>
      </c>
      <c r="E3732" s="3">
        <v>0</v>
      </c>
      <c r="F3732" t="s">
        <v>45</v>
      </c>
      <c r="G3732" s="3">
        <f t="shared" si="439"/>
        <v>-523.65449999999998</v>
      </c>
      <c r="H3732" s="3">
        <f t="shared" si="440"/>
        <v>523.65449999999998</v>
      </c>
      <c r="I3732" s="5" t="str">
        <f t="shared" si="441"/>
        <v>018</v>
      </c>
      <c r="J3732" s="5" t="str">
        <f t="shared" si="442"/>
        <v>2210</v>
      </c>
      <c r="K3732" s="5" t="str">
        <f t="shared" si="443"/>
        <v>000</v>
      </c>
      <c r="L3732" s="5">
        <f t="shared" si="444"/>
        <v>9</v>
      </c>
      <c r="M3732" s="5">
        <f t="shared" si="445"/>
        <v>2012</v>
      </c>
    </row>
    <row r="3733" spans="1:13" ht="17.45" customHeight="1" x14ac:dyDescent="0.25">
      <c r="A3733" s="1">
        <f>DATE(2012,9,4)</f>
        <v>41156</v>
      </c>
      <c r="B3733" t="s">
        <v>21</v>
      </c>
      <c r="C3733" t="s">
        <v>9</v>
      </c>
      <c r="D3733" s="3">
        <v>150.07499999999999</v>
      </c>
      <c r="E3733" s="3">
        <v>0</v>
      </c>
      <c r="F3733" t="s">
        <v>45</v>
      </c>
      <c r="G3733" s="3">
        <f t="shared" si="439"/>
        <v>-150.07499999999999</v>
      </c>
      <c r="H3733" s="3">
        <f t="shared" si="440"/>
        <v>150.07499999999999</v>
      </c>
      <c r="I3733" s="5" t="str">
        <f t="shared" si="441"/>
        <v>018</v>
      </c>
      <c r="J3733" s="5" t="str">
        <f t="shared" si="442"/>
        <v>2220</v>
      </c>
      <c r="K3733" s="5" t="str">
        <f t="shared" si="443"/>
        <v>000</v>
      </c>
      <c r="L3733" s="5">
        <f t="shared" si="444"/>
        <v>9</v>
      </c>
      <c r="M3733" s="5">
        <f t="shared" si="445"/>
        <v>2012</v>
      </c>
    </row>
    <row r="3734" spans="1:13" ht="17.45" customHeight="1" x14ac:dyDescent="0.25">
      <c r="A3734" s="1">
        <f>DATE(2012,9,4)</f>
        <v>41156</v>
      </c>
      <c r="B3734" t="s">
        <v>22</v>
      </c>
      <c r="C3734" t="s">
        <v>10</v>
      </c>
      <c r="D3734" s="3">
        <v>33.822499999999998</v>
      </c>
      <c r="E3734" s="3">
        <v>0</v>
      </c>
      <c r="F3734" t="s">
        <v>45</v>
      </c>
      <c r="G3734" s="3">
        <f t="shared" si="439"/>
        <v>-33.822499999999998</v>
      </c>
      <c r="H3734" s="3">
        <f t="shared" si="440"/>
        <v>33.822499999999998</v>
      </c>
      <c r="I3734" s="5" t="str">
        <f t="shared" si="441"/>
        <v>018</v>
      </c>
      <c r="J3734" s="5" t="str">
        <f t="shared" si="442"/>
        <v>2230</v>
      </c>
      <c r="K3734" s="5" t="str">
        <f t="shared" si="443"/>
        <v>000</v>
      </c>
      <c r="L3734" s="5">
        <f t="shared" si="444"/>
        <v>9</v>
      </c>
      <c r="M3734" s="5">
        <f t="shared" si="445"/>
        <v>2012</v>
      </c>
    </row>
    <row r="3735" spans="1:13" ht="17.45" customHeight="1" x14ac:dyDescent="0.25">
      <c r="A3735" s="1">
        <f>DATE(2012,9,5)</f>
        <v>41157</v>
      </c>
      <c r="B3735" t="s">
        <v>19</v>
      </c>
      <c r="C3735" t="s">
        <v>6</v>
      </c>
      <c r="D3735" s="3">
        <v>3046.77</v>
      </c>
      <c r="E3735" s="3">
        <v>0</v>
      </c>
      <c r="F3735" t="s">
        <v>45</v>
      </c>
      <c r="G3735" s="3">
        <f t="shared" si="439"/>
        <v>-3046.77</v>
      </c>
      <c r="H3735" s="3">
        <f t="shared" si="440"/>
        <v>3046.77</v>
      </c>
      <c r="I3735" s="5" t="str">
        <f t="shared" si="441"/>
        <v>018</v>
      </c>
      <c r="J3735" s="5" t="str">
        <f t="shared" si="442"/>
        <v>2100</v>
      </c>
      <c r="K3735" s="5" t="str">
        <f t="shared" si="443"/>
        <v>000</v>
      </c>
      <c r="L3735" s="5">
        <f t="shared" si="444"/>
        <v>9</v>
      </c>
      <c r="M3735" s="5">
        <f t="shared" si="445"/>
        <v>2012</v>
      </c>
    </row>
    <row r="3736" spans="1:13" ht="17.45" customHeight="1" x14ac:dyDescent="0.25">
      <c r="A3736" s="1">
        <f>DATE(2012,9,5)</f>
        <v>41157</v>
      </c>
      <c r="B3736" t="s">
        <v>20</v>
      </c>
      <c r="C3736" t="s">
        <v>8</v>
      </c>
      <c r="D3736" s="3">
        <v>1028.2545</v>
      </c>
      <c r="E3736" s="3">
        <v>0</v>
      </c>
      <c r="F3736" t="s">
        <v>45</v>
      </c>
      <c r="G3736" s="3">
        <f t="shared" si="439"/>
        <v>-1028.2545</v>
      </c>
      <c r="H3736" s="3">
        <f t="shared" si="440"/>
        <v>1028.2545</v>
      </c>
      <c r="I3736" s="5" t="str">
        <f t="shared" si="441"/>
        <v>018</v>
      </c>
      <c r="J3736" s="5" t="str">
        <f t="shared" si="442"/>
        <v>2210</v>
      </c>
      <c r="K3736" s="5" t="str">
        <f t="shared" si="443"/>
        <v>000</v>
      </c>
      <c r="L3736" s="5">
        <f t="shared" si="444"/>
        <v>9</v>
      </c>
      <c r="M3736" s="5">
        <f t="shared" si="445"/>
        <v>2012</v>
      </c>
    </row>
    <row r="3737" spans="1:13" ht="17.45" customHeight="1" x14ac:dyDescent="0.25">
      <c r="A3737" s="1">
        <f>DATE(2012,9,5)</f>
        <v>41157</v>
      </c>
      <c r="B3737" t="s">
        <v>21</v>
      </c>
      <c r="C3737" t="s">
        <v>9</v>
      </c>
      <c r="D3737" s="3">
        <v>337.35</v>
      </c>
      <c r="E3737" s="3">
        <v>0</v>
      </c>
      <c r="F3737" t="s">
        <v>45</v>
      </c>
      <c r="G3737" s="3">
        <f t="shared" si="439"/>
        <v>-337.35</v>
      </c>
      <c r="H3737" s="3">
        <f t="shared" si="440"/>
        <v>337.35</v>
      </c>
      <c r="I3737" s="5" t="str">
        <f t="shared" si="441"/>
        <v>018</v>
      </c>
      <c r="J3737" s="5" t="str">
        <f t="shared" si="442"/>
        <v>2220</v>
      </c>
      <c r="K3737" s="5" t="str">
        <f t="shared" si="443"/>
        <v>000</v>
      </c>
      <c r="L3737" s="5">
        <f t="shared" si="444"/>
        <v>9</v>
      </c>
      <c r="M3737" s="5">
        <f t="shared" si="445"/>
        <v>2012</v>
      </c>
    </row>
    <row r="3738" spans="1:13" ht="17.45" customHeight="1" x14ac:dyDescent="0.25">
      <c r="A3738" s="1">
        <f>DATE(2012,9,5)</f>
        <v>41157</v>
      </c>
      <c r="B3738" t="s">
        <v>22</v>
      </c>
      <c r="C3738" t="s">
        <v>10</v>
      </c>
      <c r="D3738" s="3">
        <v>54.706000000000003</v>
      </c>
      <c r="E3738" s="3">
        <v>0</v>
      </c>
      <c r="F3738" t="s">
        <v>45</v>
      </c>
      <c r="G3738" s="3">
        <f t="shared" si="439"/>
        <v>-54.706000000000003</v>
      </c>
      <c r="H3738" s="3">
        <f t="shared" si="440"/>
        <v>54.706000000000003</v>
      </c>
      <c r="I3738" s="5" t="str">
        <f t="shared" si="441"/>
        <v>018</v>
      </c>
      <c r="J3738" s="5" t="str">
        <f t="shared" si="442"/>
        <v>2230</v>
      </c>
      <c r="K3738" s="5" t="str">
        <f t="shared" si="443"/>
        <v>000</v>
      </c>
      <c r="L3738" s="5">
        <f t="shared" si="444"/>
        <v>9</v>
      </c>
      <c r="M3738" s="5">
        <f t="shared" si="445"/>
        <v>2012</v>
      </c>
    </row>
    <row r="3739" spans="1:13" ht="17.45" customHeight="1" x14ac:dyDescent="0.25">
      <c r="A3739" s="1">
        <f>DATE(2012,9,6)</f>
        <v>41158</v>
      </c>
      <c r="B3739" t="s">
        <v>19</v>
      </c>
      <c r="C3739" t="s">
        <v>6</v>
      </c>
      <c r="D3739" s="3">
        <v>4602.1840000000002</v>
      </c>
      <c r="E3739" s="3">
        <v>0</v>
      </c>
      <c r="F3739" t="s">
        <v>45</v>
      </c>
      <c r="G3739" s="3">
        <f t="shared" si="439"/>
        <v>-4602.1840000000002</v>
      </c>
      <c r="H3739" s="3">
        <f t="shared" si="440"/>
        <v>4602.1840000000002</v>
      </c>
      <c r="I3739" s="5" t="str">
        <f t="shared" si="441"/>
        <v>018</v>
      </c>
      <c r="J3739" s="5" t="str">
        <f t="shared" si="442"/>
        <v>2100</v>
      </c>
      <c r="K3739" s="5" t="str">
        <f t="shared" si="443"/>
        <v>000</v>
      </c>
      <c r="L3739" s="5">
        <f t="shared" si="444"/>
        <v>9</v>
      </c>
      <c r="M3739" s="5">
        <f t="shared" si="445"/>
        <v>2012</v>
      </c>
    </row>
    <row r="3740" spans="1:13" ht="17.45" customHeight="1" x14ac:dyDescent="0.25">
      <c r="A3740" s="1">
        <f>DATE(2012,9,6)</f>
        <v>41158</v>
      </c>
      <c r="B3740" t="s">
        <v>20</v>
      </c>
      <c r="C3740" t="s">
        <v>8</v>
      </c>
      <c r="D3740" s="3">
        <v>1333.7415000000001</v>
      </c>
      <c r="E3740" s="3">
        <v>0</v>
      </c>
      <c r="F3740" t="s">
        <v>45</v>
      </c>
      <c r="G3740" s="3">
        <f t="shared" si="439"/>
        <v>-1333.7415000000001</v>
      </c>
      <c r="H3740" s="3">
        <f t="shared" si="440"/>
        <v>1333.7415000000001</v>
      </c>
      <c r="I3740" s="5" t="str">
        <f t="shared" si="441"/>
        <v>018</v>
      </c>
      <c r="J3740" s="5" t="str">
        <f t="shared" si="442"/>
        <v>2210</v>
      </c>
      <c r="K3740" s="5" t="str">
        <f t="shared" si="443"/>
        <v>000</v>
      </c>
      <c r="L3740" s="5">
        <f t="shared" si="444"/>
        <v>9</v>
      </c>
      <c r="M3740" s="5">
        <f t="shared" si="445"/>
        <v>2012</v>
      </c>
    </row>
    <row r="3741" spans="1:13" ht="17.45" customHeight="1" x14ac:dyDescent="0.25">
      <c r="A3741" s="1">
        <f>DATE(2012,9,6)</f>
        <v>41158</v>
      </c>
      <c r="B3741" t="s">
        <v>21</v>
      </c>
      <c r="C3741" t="s">
        <v>9</v>
      </c>
      <c r="D3741" s="3">
        <v>358.44749999999999</v>
      </c>
      <c r="E3741" s="3">
        <v>0</v>
      </c>
      <c r="F3741" t="s">
        <v>45</v>
      </c>
      <c r="G3741" s="3">
        <f t="shared" si="439"/>
        <v>-358.44749999999999</v>
      </c>
      <c r="H3741" s="3">
        <f t="shared" si="440"/>
        <v>358.44749999999999</v>
      </c>
      <c r="I3741" s="5" t="str">
        <f t="shared" si="441"/>
        <v>018</v>
      </c>
      <c r="J3741" s="5" t="str">
        <f t="shared" si="442"/>
        <v>2220</v>
      </c>
      <c r="K3741" s="5" t="str">
        <f t="shared" si="443"/>
        <v>000</v>
      </c>
      <c r="L3741" s="5">
        <f t="shared" si="444"/>
        <v>9</v>
      </c>
      <c r="M3741" s="5">
        <f t="shared" si="445"/>
        <v>2012</v>
      </c>
    </row>
    <row r="3742" spans="1:13" ht="17.45" customHeight="1" x14ac:dyDescent="0.25">
      <c r="A3742" s="1">
        <f>DATE(2012,9,6)</f>
        <v>41158</v>
      </c>
      <c r="B3742" t="s">
        <v>22</v>
      </c>
      <c r="C3742" t="s">
        <v>10</v>
      </c>
      <c r="D3742" s="3">
        <v>29.224999999999998</v>
      </c>
      <c r="E3742" s="3">
        <v>0</v>
      </c>
      <c r="F3742" t="s">
        <v>45</v>
      </c>
      <c r="G3742" s="3">
        <f t="shared" si="439"/>
        <v>-29.224999999999998</v>
      </c>
      <c r="H3742" s="3">
        <f t="shared" si="440"/>
        <v>29.224999999999998</v>
      </c>
      <c r="I3742" s="5" t="str">
        <f t="shared" si="441"/>
        <v>018</v>
      </c>
      <c r="J3742" s="5" t="str">
        <f t="shared" si="442"/>
        <v>2230</v>
      </c>
      <c r="K3742" s="5" t="str">
        <f t="shared" si="443"/>
        <v>000</v>
      </c>
      <c r="L3742" s="5">
        <f t="shared" si="444"/>
        <v>9</v>
      </c>
      <c r="M3742" s="5">
        <f t="shared" si="445"/>
        <v>2012</v>
      </c>
    </row>
    <row r="3743" spans="1:13" ht="17.45" customHeight="1" x14ac:dyDescent="0.25">
      <c r="A3743" s="1">
        <f>DATE(2012,9,7)</f>
        <v>41159</v>
      </c>
      <c r="B3743" t="s">
        <v>19</v>
      </c>
      <c r="C3743" t="s">
        <v>6</v>
      </c>
      <c r="D3743" s="3">
        <v>12387.8325</v>
      </c>
      <c r="E3743" s="3">
        <v>0</v>
      </c>
      <c r="F3743" t="s">
        <v>45</v>
      </c>
      <c r="G3743" s="3">
        <f t="shared" si="439"/>
        <v>-12387.8325</v>
      </c>
      <c r="H3743" s="3">
        <f t="shared" si="440"/>
        <v>12387.8325</v>
      </c>
      <c r="I3743" s="5" t="str">
        <f t="shared" si="441"/>
        <v>018</v>
      </c>
      <c r="J3743" s="5" t="str">
        <f t="shared" si="442"/>
        <v>2100</v>
      </c>
      <c r="K3743" s="5" t="str">
        <f t="shared" si="443"/>
        <v>000</v>
      </c>
      <c r="L3743" s="5">
        <f t="shared" si="444"/>
        <v>9</v>
      </c>
      <c r="M3743" s="5">
        <f t="shared" si="445"/>
        <v>2012</v>
      </c>
    </row>
    <row r="3744" spans="1:13" ht="17.45" customHeight="1" x14ac:dyDescent="0.25">
      <c r="A3744" s="1">
        <f>DATE(2012,9,7)</f>
        <v>41159</v>
      </c>
      <c r="B3744" t="s">
        <v>20</v>
      </c>
      <c r="C3744" t="s">
        <v>8</v>
      </c>
      <c r="D3744" s="3">
        <v>3762.2700000000004</v>
      </c>
      <c r="E3744" s="3">
        <v>0</v>
      </c>
      <c r="F3744" t="s">
        <v>45</v>
      </c>
      <c r="G3744" s="3">
        <f t="shared" si="439"/>
        <v>-3762.2700000000004</v>
      </c>
      <c r="H3744" s="3">
        <f t="shared" si="440"/>
        <v>3762.2700000000004</v>
      </c>
      <c r="I3744" s="5" t="str">
        <f t="shared" si="441"/>
        <v>018</v>
      </c>
      <c r="J3744" s="5" t="str">
        <f t="shared" si="442"/>
        <v>2210</v>
      </c>
      <c r="K3744" s="5" t="str">
        <f t="shared" si="443"/>
        <v>000</v>
      </c>
      <c r="L3744" s="5">
        <f t="shared" si="444"/>
        <v>9</v>
      </c>
      <c r="M3744" s="5">
        <f t="shared" si="445"/>
        <v>2012</v>
      </c>
    </row>
    <row r="3745" spans="1:13" ht="17.45" customHeight="1" x14ac:dyDescent="0.25">
      <c r="A3745" s="1">
        <f>DATE(2012,9,7)</f>
        <v>41159</v>
      </c>
      <c r="B3745" t="s">
        <v>21</v>
      </c>
      <c r="C3745" t="s">
        <v>9</v>
      </c>
      <c r="D3745" s="3">
        <v>828.97749999999996</v>
      </c>
      <c r="E3745" s="3">
        <v>0</v>
      </c>
      <c r="F3745" t="s">
        <v>45</v>
      </c>
      <c r="G3745" s="3">
        <f t="shared" si="439"/>
        <v>-828.97749999999996</v>
      </c>
      <c r="H3745" s="3">
        <f t="shared" si="440"/>
        <v>828.97749999999996</v>
      </c>
      <c r="I3745" s="5" t="str">
        <f t="shared" si="441"/>
        <v>018</v>
      </c>
      <c r="J3745" s="5" t="str">
        <f t="shared" si="442"/>
        <v>2220</v>
      </c>
      <c r="K3745" s="5" t="str">
        <f t="shared" si="443"/>
        <v>000</v>
      </c>
      <c r="L3745" s="5">
        <f t="shared" si="444"/>
        <v>9</v>
      </c>
      <c r="M3745" s="5">
        <f t="shared" si="445"/>
        <v>2012</v>
      </c>
    </row>
    <row r="3746" spans="1:13" ht="17.45" customHeight="1" x14ac:dyDescent="0.25">
      <c r="A3746" s="1">
        <f>DATE(2012,9,7)</f>
        <v>41159</v>
      </c>
      <c r="B3746" t="s">
        <v>22</v>
      </c>
      <c r="C3746" t="s">
        <v>10</v>
      </c>
      <c r="D3746" s="3">
        <v>105.15200000000002</v>
      </c>
      <c r="E3746" s="3">
        <v>0</v>
      </c>
      <c r="F3746" t="s">
        <v>45</v>
      </c>
      <c r="G3746" s="3">
        <f t="shared" si="439"/>
        <v>-105.15200000000002</v>
      </c>
      <c r="H3746" s="3">
        <f t="shared" si="440"/>
        <v>105.15200000000002</v>
      </c>
      <c r="I3746" s="5" t="str">
        <f t="shared" si="441"/>
        <v>018</v>
      </c>
      <c r="J3746" s="5" t="str">
        <f t="shared" si="442"/>
        <v>2230</v>
      </c>
      <c r="K3746" s="5" t="str">
        <f t="shared" si="443"/>
        <v>000</v>
      </c>
      <c r="L3746" s="5">
        <f t="shared" si="444"/>
        <v>9</v>
      </c>
      <c r="M3746" s="5">
        <f t="shared" si="445"/>
        <v>2012</v>
      </c>
    </row>
    <row r="3747" spans="1:13" ht="17.45" customHeight="1" x14ac:dyDescent="0.25">
      <c r="A3747" s="1">
        <f>DATE(2012,9,8)</f>
        <v>41160</v>
      </c>
      <c r="B3747" t="s">
        <v>19</v>
      </c>
      <c r="C3747" t="s">
        <v>6</v>
      </c>
      <c r="D3747" s="3">
        <v>11269.3392</v>
      </c>
      <c r="E3747" s="3">
        <v>0</v>
      </c>
      <c r="F3747" t="s">
        <v>45</v>
      </c>
      <c r="G3747" s="3">
        <f t="shared" si="439"/>
        <v>-11269.3392</v>
      </c>
      <c r="H3747" s="3">
        <f t="shared" si="440"/>
        <v>11269.3392</v>
      </c>
      <c r="I3747" s="5" t="str">
        <f t="shared" si="441"/>
        <v>018</v>
      </c>
      <c r="J3747" s="5" t="str">
        <f t="shared" si="442"/>
        <v>2100</v>
      </c>
      <c r="K3747" s="5" t="str">
        <f t="shared" si="443"/>
        <v>000</v>
      </c>
      <c r="L3747" s="5">
        <f t="shared" si="444"/>
        <v>9</v>
      </c>
      <c r="M3747" s="5">
        <f t="shared" si="445"/>
        <v>2012</v>
      </c>
    </row>
    <row r="3748" spans="1:13" ht="17.45" customHeight="1" x14ac:dyDescent="0.25">
      <c r="A3748" s="1">
        <f>DATE(2012,9,8)</f>
        <v>41160</v>
      </c>
      <c r="B3748" t="s">
        <v>20</v>
      </c>
      <c r="C3748" t="s">
        <v>8</v>
      </c>
      <c r="D3748" s="3">
        <v>2388.2354999999998</v>
      </c>
      <c r="E3748" s="3">
        <v>0</v>
      </c>
      <c r="F3748" t="s">
        <v>45</v>
      </c>
      <c r="G3748" s="3">
        <f t="shared" si="439"/>
        <v>-2388.2354999999998</v>
      </c>
      <c r="H3748" s="3">
        <f t="shared" si="440"/>
        <v>2388.2354999999998</v>
      </c>
      <c r="I3748" s="5" t="str">
        <f t="shared" si="441"/>
        <v>018</v>
      </c>
      <c r="J3748" s="5" t="str">
        <f t="shared" si="442"/>
        <v>2210</v>
      </c>
      <c r="K3748" s="5" t="str">
        <f t="shared" si="443"/>
        <v>000</v>
      </c>
      <c r="L3748" s="5">
        <f t="shared" si="444"/>
        <v>9</v>
      </c>
      <c r="M3748" s="5">
        <f t="shared" si="445"/>
        <v>2012</v>
      </c>
    </row>
    <row r="3749" spans="1:13" ht="17.45" customHeight="1" x14ac:dyDescent="0.25">
      <c r="A3749" s="1">
        <f>DATE(2012,9,8)</f>
        <v>41160</v>
      </c>
      <c r="B3749" t="s">
        <v>21</v>
      </c>
      <c r="C3749" t="s">
        <v>9</v>
      </c>
      <c r="D3749" s="3">
        <v>618.048</v>
      </c>
      <c r="E3749" s="3">
        <v>0</v>
      </c>
      <c r="F3749" t="s">
        <v>45</v>
      </c>
      <c r="G3749" s="3">
        <f t="shared" si="439"/>
        <v>-618.048</v>
      </c>
      <c r="H3749" s="3">
        <f t="shared" si="440"/>
        <v>618.048</v>
      </c>
      <c r="I3749" s="5" t="str">
        <f t="shared" si="441"/>
        <v>018</v>
      </c>
      <c r="J3749" s="5" t="str">
        <f t="shared" si="442"/>
        <v>2220</v>
      </c>
      <c r="K3749" s="5" t="str">
        <f t="shared" si="443"/>
        <v>000</v>
      </c>
      <c r="L3749" s="5">
        <f t="shared" si="444"/>
        <v>9</v>
      </c>
      <c r="M3749" s="5">
        <f t="shared" si="445"/>
        <v>2012</v>
      </c>
    </row>
    <row r="3750" spans="1:13" ht="17.45" customHeight="1" x14ac:dyDescent="0.25">
      <c r="A3750" s="1">
        <f>DATE(2012,9,8)</f>
        <v>41160</v>
      </c>
      <c r="B3750" t="s">
        <v>22</v>
      </c>
      <c r="C3750" t="s">
        <v>10</v>
      </c>
      <c r="D3750" s="3">
        <v>118.68799999999999</v>
      </c>
      <c r="E3750" s="3">
        <v>0</v>
      </c>
      <c r="F3750" t="s">
        <v>45</v>
      </c>
      <c r="G3750" s="3">
        <f t="shared" si="439"/>
        <v>-118.68799999999999</v>
      </c>
      <c r="H3750" s="3">
        <f t="shared" si="440"/>
        <v>118.68799999999999</v>
      </c>
      <c r="I3750" s="5" t="str">
        <f t="shared" si="441"/>
        <v>018</v>
      </c>
      <c r="J3750" s="5" t="str">
        <f t="shared" si="442"/>
        <v>2230</v>
      </c>
      <c r="K3750" s="5" t="str">
        <f t="shared" si="443"/>
        <v>000</v>
      </c>
      <c r="L3750" s="5">
        <f t="shared" si="444"/>
        <v>9</v>
      </c>
      <c r="M3750" s="5">
        <f t="shared" si="445"/>
        <v>2012</v>
      </c>
    </row>
    <row r="3751" spans="1:13" ht="17.45" customHeight="1" x14ac:dyDescent="0.25">
      <c r="A3751" s="1">
        <f>DATE(2012,9,9)</f>
        <v>41161</v>
      </c>
      <c r="B3751" t="s">
        <v>19</v>
      </c>
      <c r="C3751" t="s">
        <v>6</v>
      </c>
      <c r="D3751" s="3">
        <v>8375.9279999999999</v>
      </c>
      <c r="E3751" s="3">
        <v>0</v>
      </c>
      <c r="F3751" t="s">
        <v>45</v>
      </c>
      <c r="G3751" s="3">
        <f t="shared" si="439"/>
        <v>-8375.9279999999999</v>
      </c>
      <c r="H3751" s="3">
        <f t="shared" si="440"/>
        <v>8375.9279999999999</v>
      </c>
      <c r="I3751" s="5" t="str">
        <f t="shared" si="441"/>
        <v>018</v>
      </c>
      <c r="J3751" s="5" t="str">
        <f t="shared" si="442"/>
        <v>2100</v>
      </c>
      <c r="K3751" s="5" t="str">
        <f t="shared" si="443"/>
        <v>000</v>
      </c>
      <c r="L3751" s="5">
        <f t="shared" si="444"/>
        <v>9</v>
      </c>
      <c r="M3751" s="5">
        <f t="shared" si="445"/>
        <v>2012</v>
      </c>
    </row>
    <row r="3752" spans="1:13" ht="17.45" customHeight="1" x14ac:dyDescent="0.25">
      <c r="A3752" s="1">
        <f>DATE(2012,9,9)</f>
        <v>41161</v>
      </c>
      <c r="B3752" t="s">
        <v>20</v>
      </c>
      <c r="C3752" t="s">
        <v>8</v>
      </c>
      <c r="D3752" s="3">
        <v>1615.24</v>
      </c>
      <c r="E3752" s="3">
        <v>0</v>
      </c>
      <c r="F3752" t="s">
        <v>45</v>
      </c>
      <c r="G3752" s="3">
        <f t="shared" si="439"/>
        <v>-1615.24</v>
      </c>
      <c r="H3752" s="3">
        <f t="shared" si="440"/>
        <v>1615.24</v>
      </c>
      <c r="I3752" s="5" t="str">
        <f t="shared" si="441"/>
        <v>018</v>
      </c>
      <c r="J3752" s="5" t="str">
        <f t="shared" si="442"/>
        <v>2210</v>
      </c>
      <c r="K3752" s="5" t="str">
        <f t="shared" si="443"/>
        <v>000</v>
      </c>
      <c r="L3752" s="5">
        <f t="shared" si="444"/>
        <v>9</v>
      </c>
      <c r="M3752" s="5">
        <f t="shared" si="445"/>
        <v>2012</v>
      </c>
    </row>
    <row r="3753" spans="1:13" ht="17.45" customHeight="1" x14ac:dyDescent="0.25">
      <c r="A3753" s="1">
        <f>DATE(2012,9,9)</f>
        <v>41161</v>
      </c>
      <c r="B3753" t="s">
        <v>21</v>
      </c>
      <c r="C3753" t="s">
        <v>9</v>
      </c>
      <c r="D3753" s="3">
        <v>272.90250000000003</v>
      </c>
      <c r="E3753" s="3">
        <v>0</v>
      </c>
      <c r="F3753" t="s">
        <v>45</v>
      </c>
      <c r="G3753" s="3">
        <f t="shared" si="439"/>
        <v>-272.90250000000003</v>
      </c>
      <c r="H3753" s="3">
        <f t="shared" si="440"/>
        <v>272.90250000000003</v>
      </c>
      <c r="I3753" s="5" t="str">
        <f t="shared" si="441"/>
        <v>018</v>
      </c>
      <c r="J3753" s="5" t="str">
        <f t="shared" si="442"/>
        <v>2220</v>
      </c>
      <c r="K3753" s="5" t="str">
        <f t="shared" si="443"/>
        <v>000</v>
      </c>
      <c r="L3753" s="5">
        <f t="shared" si="444"/>
        <v>9</v>
      </c>
      <c r="M3753" s="5">
        <f t="shared" si="445"/>
        <v>2012</v>
      </c>
    </row>
    <row r="3754" spans="1:13" ht="17.45" customHeight="1" x14ac:dyDescent="0.25">
      <c r="A3754" s="1">
        <f>DATE(2012,9,9)</f>
        <v>41161</v>
      </c>
      <c r="B3754" t="s">
        <v>22</v>
      </c>
      <c r="C3754" t="s">
        <v>10</v>
      </c>
      <c r="D3754" s="3">
        <v>73.881500000000003</v>
      </c>
      <c r="E3754" s="3">
        <v>0</v>
      </c>
      <c r="F3754" t="s">
        <v>45</v>
      </c>
      <c r="G3754" s="3">
        <f t="shared" si="439"/>
        <v>-73.881500000000003</v>
      </c>
      <c r="H3754" s="3">
        <f t="shared" si="440"/>
        <v>73.881500000000003</v>
      </c>
      <c r="I3754" s="5" t="str">
        <f t="shared" si="441"/>
        <v>018</v>
      </c>
      <c r="J3754" s="5" t="str">
        <f t="shared" si="442"/>
        <v>2230</v>
      </c>
      <c r="K3754" s="5" t="str">
        <f t="shared" si="443"/>
        <v>000</v>
      </c>
      <c r="L3754" s="5">
        <f t="shared" si="444"/>
        <v>9</v>
      </c>
      <c r="M3754" s="5">
        <f t="shared" si="445"/>
        <v>2012</v>
      </c>
    </row>
    <row r="3755" spans="1:13" ht="17.45" customHeight="1" x14ac:dyDescent="0.25">
      <c r="A3755" s="1">
        <f>DATE(2012,9,10)</f>
        <v>41162</v>
      </c>
      <c r="B3755" t="s">
        <v>11</v>
      </c>
      <c r="C3755" t="s">
        <v>6</v>
      </c>
      <c r="D3755" s="3">
        <v>1450.4723999999999</v>
      </c>
      <c r="E3755" s="3">
        <v>0</v>
      </c>
      <c r="F3755" t="s">
        <v>45</v>
      </c>
      <c r="G3755" s="3">
        <f t="shared" si="439"/>
        <v>-1450.4723999999999</v>
      </c>
      <c r="H3755" s="3">
        <f t="shared" si="440"/>
        <v>1450.4723999999999</v>
      </c>
      <c r="I3755" s="5" t="str">
        <f t="shared" si="441"/>
        <v>016</v>
      </c>
      <c r="J3755" s="5" t="str">
        <f t="shared" si="442"/>
        <v>2100</v>
      </c>
      <c r="K3755" s="5" t="str">
        <f t="shared" si="443"/>
        <v>000</v>
      </c>
      <c r="L3755" s="5">
        <f t="shared" si="444"/>
        <v>9</v>
      </c>
      <c r="M3755" s="5">
        <f t="shared" si="445"/>
        <v>2012</v>
      </c>
    </row>
    <row r="3756" spans="1:13" ht="17.45" customHeight="1" x14ac:dyDescent="0.25">
      <c r="A3756" s="1">
        <f>DATE(2012,9,10)</f>
        <v>41162</v>
      </c>
      <c r="B3756" t="s">
        <v>12</v>
      </c>
      <c r="C3756" t="s">
        <v>8</v>
      </c>
      <c r="D3756" s="3">
        <v>406.78000000000003</v>
      </c>
      <c r="E3756" s="3">
        <v>0</v>
      </c>
      <c r="F3756" t="s">
        <v>45</v>
      </c>
      <c r="G3756" s="3">
        <f t="shared" si="439"/>
        <v>-406.78000000000003</v>
      </c>
      <c r="H3756" s="3">
        <f t="shared" si="440"/>
        <v>406.78000000000003</v>
      </c>
      <c r="I3756" s="5" t="str">
        <f t="shared" si="441"/>
        <v>016</v>
      </c>
      <c r="J3756" s="5" t="str">
        <f t="shared" si="442"/>
        <v>2210</v>
      </c>
      <c r="K3756" s="5" t="str">
        <f t="shared" si="443"/>
        <v>000</v>
      </c>
      <c r="L3756" s="5">
        <f t="shared" si="444"/>
        <v>9</v>
      </c>
      <c r="M3756" s="5">
        <f t="shared" si="445"/>
        <v>2012</v>
      </c>
    </row>
    <row r="3757" spans="1:13" ht="17.45" customHeight="1" x14ac:dyDescent="0.25">
      <c r="A3757" s="1">
        <f>DATE(2012,9,10)</f>
        <v>41162</v>
      </c>
      <c r="B3757" t="s">
        <v>13</v>
      </c>
      <c r="C3757" t="s">
        <v>9</v>
      </c>
      <c r="D3757" s="3">
        <v>48.994499999999995</v>
      </c>
      <c r="E3757" s="3">
        <v>0</v>
      </c>
      <c r="F3757" t="s">
        <v>45</v>
      </c>
      <c r="G3757" s="3">
        <f t="shared" si="439"/>
        <v>-48.994499999999995</v>
      </c>
      <c r="H3757" s="3">
        <f t="shared" si="440"/>
        <v>48.994499999999995</v>
      </c>
      <c r="I3757" s="5" t="str">
        <f t="shared" si="441"/>
        <v>016</v>
      </c>
      <c r="J3757" s="5" t="str">
        <f t="shared" si="442"/>
        <v>2220</v>
      </c>
      <c r="K3757" s="5" t="str">
        <f t="shared" si="443"/>
        <v>000</v>
      </c>
      <c r="L3757" s="5">
        <f t="shared" si="444"/>
        <v>9</v>
      </c>
      <c r="M3757" s="5">
        <f t="shared" si="445"/>
        <v>2012</v>
      </c>
    </row>
    <row r="3758" spans="1:13" ht="17.45" customHeight="1" x14ac:dyDescent="0.25">
      <c r="A3758" s="1">
        <f>DATE(2012,9,11)</f>
        <v>41163</v>
      </c>
      <c r="B3758" t="s">
        <v>11</v>
      </c>
      <c r="C3758" t="s">
        <v>6</v>
      </c>
      <c r="D3758" s="3">
        <v>3420.3267000000001</v>
      </c>
      <c r="E3758" s="3">
        <v>0</v>
      </c>
      <c r="F3758" t="s">
        <v>45</v>
      </c>
      <c r="G3758" s="3">
        <f t="shared" si="439"/>
        <v>-3420.3267000000001</v>
      </c>
      <c r="H3758" s="3">
        <f t="shared" si="440"/>
        <v>3420.3267000000001</v>
      </c>
      <c r="I3758" s="5" t="str">
        <f t="shared" si="441"/>
        <v>016</v>
      </c>
      <c r="J3758" s="5" t="str">
        <f t="shared" si="442"/>
        <v>2100</v>
      </c>
      <c r="K3758" s="5" t="str">
        <f t="shared" si="443"/>
        <v>000</v>
      </c>
      <c r="L3758" s="5">
        <f t="shared" si="444"/>
        <v>9</v>
      </c>
      <c r="M3758" s="5">
        <f t="shared" si="445"/>
        <v>2012</v>
      </c>
    </row>
    <row r="3759" spans="1:13" ht="17.45" customHeight="1" x14ac:dyDescent="0.25">
      <c r="A3759" s="1">
        <f>DATE(2012,9,11)</f>
        <v>41163</v>
      </c>
      <c r="B3759" t="s">
        <v>12</v>
      </c>
      <c r="C3759" t="s">
        <v>8</v>
      </c>
      <c r="D3759" s="3">
        <v>1779.8340000000001</v>
      </c>
      <c r="E3759" s="3">
        <v>0</v>
      </c>
      <c r="F3759" t="s">
        <v>45</v>
      </c>
      <c r="G3759" s="3">
        <f t="shared" si="439"/>
        <v>-1779.8340000000001</v>
      </c>
      <c r="H3759" s="3">
        <f t="shared" si="440"/>
        <v>1779.8340000000001</v>
      </c>
      <c r="I3759" s="5" t="str">
        <f t="shared" si="441"/>
        <v>016</v>
      </c>
      <c r="J3759" s="5" t="str">
        <f t="shared" si="442"/>
        <v>2210</v>
      </c>
      <c r="K3759" s="5" t="str">
        <f t="shared" si="443"/>
        <v>000</v>
      </c>
      <c r="L3759" s="5">
        <f t="shared" si="444"/>
        <v>9</v>
      </c>
      <c r="M3759" s="5">
        <f t="shared" si="445"/>
        <v>2012</v>
      </c>
    </row>
    <row r="3760" spans="1:13" ht="17.45" customHeight="1" x14ac:dyDescent="0.25">
      <c r="A3760" s="1">
        <f>DATE(2012,9,11)</f>
        <v>41163</v>
      </c>
      <c r="B3760" t="s">
        <v>13</v>
      </c>
      <c r="C3760" t="s">
        <v>9</v>
      </c>
      <c r="D3760" s="3">
        <v>464.44650000000001</v>
      </c>
      <c r="E3760" s="3">
        <v>0</v>
      </c>
      <c r="F3760" t="s">
        <v>45</v>
      </c>
      <c r="G3760" s="3">
        <f t="shared" si="439"/>
        <v>-464.44650000000001</v>
      </c>
      <c r="H3760" s="3">
        <f t="shared" si="440"/>
        <v>464.44650000000001</v>
      </c>
      <c r="I3760" s="5" t="str">
        <f t="shared" si="441"/>
        <v>016</v>
      </c>
      <c r="J3760" s="5" t="str">
        <f t="shared" si="442"/>
        <v>2220</v>
      </c>
      <c r="K3760" s="5" t="str">
        <f t="shared" si="443"/>
        <v>000</v>
      </c>
      <c r="L3760" s="5">
        <f t="shared" si="444"/>
        <v>9</v>
      </c>
      <c r="M3760" s="5">
        <f t="shared" si="445"/>
        <v>2012</v>
      </c>
    </row>
    <row r="3761" spans="1:13" ht="17.45" customHeight="1" x14ac:dyDescent="0.25">
      <c r="A3761" s="1">
        <f>DATE(2012,9,11)</f>
        <v>41163</v>
      </c>
      <c r="B3761" t="s">
        <v>14</v>
      </c>
      <c r="C3761" t="s">
        <v>10</v>
      </c>
      <c r="D3761" s="3">
        <v>115.3425</v>
      </c>
      <c r="E3761" s="3">
        <v>0</v>
      </c>
      <c r="F3761" t="s">
        <v>45</v>
      </c>
      <c r="G3761" s="3">
        <f t="shared" si="439"/>
        <v>-115.3425</v>
      </c>
      <c r="H3761" s="3">
        <f t="shared" si="440"/>
        <v>115.3425</v>
      </c>
      <c r="I3761" s="5" t="str">
        <f t="shared" si="441"/>
        <v>016</v>
      </c>
      <c r="J3761" s="5" t="str">
        <f t="shared" si="442"/>
        <v>2230</v>
      </c>
      <c r="K3761" s="5" t="str">
        <f t="shared" si="443"/>
        <v>000</v>
      </c>
      <c r="L3761" s="5">
        <f t="shared" si="444"/>
        <v>9</v>
      </c>
      <c r="M3761" s="5">
        <f t="shared" si="445"/>
        <v>2012</v>
      </c>
    </row>
    <row r="3762" spans="1:13" ht="17.45" customHeight="1" x14ac:dyDescent="0.25">
      <c r="A3762" s="1">
        <f>DATE(2012,9,12)</f>
        <v>41164</v>
      </c>
      <c r="B3762" t="s">
        <v>11</v>
      </c>
      <c r="C3762" t="s">
        <v>6</v>
      </c>
      <c r="D3762" s="3">
        <v>3347.011</v>
      </c>
      <c r="E3762" s="3">
        <v>0</v>
      </c>
      <c r="F3762" t="s">
        <v>45</v>
      </c>
      <c r="G3762" s="3">
        <f t="shared" si="439"/>
        <v>-3347.011</v>
      </c>
      <c r="H3762" s="3">
        <f t="shared" si="440"/>
        <v>3347.011</v>
      </c>
      <c r="I3762" s="5" t="str">
        <f t="shared" si="441"/>
        <v>016</v>
      </c>
      <c r="J3762" s="5" t="str">
        <f t="shared" si="442"/>
        <v>2100</v>
      </c>
      <c r="K3762" s="5" t="str">
        <f t="shared" si="443"/>
        <v>000</v>
      </c>
      <c r="L3762" s="5">
        <f t="shared" si="444"/>
        <v>9</v>
      </c>
      <c r="M3762" s="5">
        <f t="shared" si="445"/>
        <v>2012</v>
      </c>
    </row>
    <row r="3763" spans="1:13" ht="17.45" customHeight="1" x14ac:dyDescent="0.25">
      <c r="A3763" s="1">
        <f>DATE(2012,9,12)</f>
        <v>41164</v>
      </c>
      <c r="B3763" t="s">
        <v>12</v>
      </c>
      <c r="C3763" t="s">
        <v>8</v>
      </c>
      <c r="D3763" s="3">
        <v>467.85200000000009</v>
      </c>
      <c r="E3763" s="3">
        <v>0</v>
      </c>
      <c r="F3763" t="s">
        <v>45</v>
      </c>
      <c r="G3763" s="3">
        <f t="shared" si="439"/>
        <v>-467.85200000000009</v>
      </c>
      <c r="H3763" s="3">
        <f t="shared" si="440"/>
        <v>467.85200000000009</v>
      </c>
      <c r="I3763" s="5" t="str">
        <f t="shared" si="441"/>
        <v>016</v>
      </c>
      <c r="J3763" s="5" t="str">
        <f t="shared" si="442"/>
        <v>2210</v>
      </c>
      <c r="K3763" s="5" t="str">
        <f t="shared" si="443"/>
        <v>000</v>
      </c>
      <c r="L3763" s="5">
        <f t="shared" si="444"/>
        <v>9</v>
      </c>
      <c r="M3763" s="5">
        <f t="shared" si="445"/>
        <v>2012</v>
      </c>
    </row>
    <row r="3764" spans="1:13" ht="17.45" customHeight="1" x14ac:dyDescent="0.25">
      <c r="A3764" s="1">
        <f>DATE(2012,9,12)</f>
        <v>41164</v>
      </c>
      <c r="B3764" t="s">
        <v>13</v>
      </c>
      <c r="C3764" t="s">
        <v>9</v>
      </c>
      <c r="D3764" s="3">
        <v>84.924000000000007</v>
      </c>
      <c r="E3764" s="3">
        <v>0</v>
      </c>
      <c r="F3764" t="s">
        <v>45</v>
      </c>
      <c r="G3764" s="3">
        <f t="shared" si="439"/>
        <v>-84.924000000000007</v>
      </c>
      <c r="H3764" s="3">
        <f t="shared" si="440"/>
        <v>84.924000000000007</v>
      </c>
      <c r="I3764" s="5" t="str">
        <f t="shared" si="441"/>
        <v>016</v>
      </c>
      <c r="J3764" s="5" t="str">
        <f t="shared" si="442"/>
        <v>2220</v>
      </c>
      <c r="K3764" s="5" t="str">
        <f t="shared" si="443"/>
        <v>000</v>
      </c>
      <c r="L3764" s="5">
        <f t="shared" si="444"/>
        <v>9</v>
      </c>
      <c r="M3764" s="5">
        <f t="shared" si="445"/>
        <v>2012</v>
      </c>
    </row>
    <row r="3765" spans="1:13" ht="17.45" customHeight="1" x14ac:dyDescent="0.25">
      <c r="A3765" s="1">
        <f>DATE(2012,9,12)</f>
        <v>41164</v>
      </c>
      <c r="B3765" t="s">
        <v>14</v>
      </c>
      <c r="C3765" t="s">
        <v>10</v>
      </c>
      <c r="D3765" s="3">
        <v>9.7199999999999989</v>
      </c>
      <c r="E3765" s="3">
        <v>0</v>
      </c>
      <c r="F3765" t="s">
        <v>45</v>
      </c>
      <c r="G3765" s="3">
        <f t="shared" si="439"/>
        <v>-9.7199999999999989</v>
      </c>
      <c r="H3765" s="3">
        <f t="shared" si="440"/>
        <v>9.7199999999999989</v>
      </c>
      <c r="I3765" s="5" t="str">
        <f t="shared" si="441"/>
        <v>016</v>
      </c>
      <c r="J3765" s="5" t="str">
        <f t="shared" si="442"/>
        <v>2230</v>
      </c>
      <c r="K3765" s="5" t="str">
        <f t="shared" si="443"/>
        <v>000</v>
      </c>
      <c r="L3765" s="5">
        <f t="shared" si="444"/>
        <v>9</v>
      </c>
      <c r="M3765" s="5">
        <f t="shared" si="445"/>
        <v>2012</v>
      </c>
    </row>
    <row r="3766" spans="1:13" ht="17.45" customHeight="1" x14ac:dyDescent="0.25">
      <c r="A3766" s="1">
        <f>DATE(2012,9,13)</f>
        <v>41165</v>
      </c>
      <c r="B3766" t="s">
        <v>11</v>
      </c>
      <c r="C3766" t="s">
        <v>6</v>
      </c>
      <c r="D3766" s="3">
        <v>2391.7860999999998</v>
      </c>
      <c r="E3766" s="3">
        <v>0</v>
      </c>
      <c r="F3766" t="s">
        <v>45</v>
      </c>
      <c r="G3766" s="3">
        <f t="shared" si="439"/>
        <v>-2391.7860999999998</v>
      </c>
      <c r="H3766" s="3">
        <f t="shared" si="440"/>
        <v>2391.7860999999998</v>
      </c>
      <c r="I3766" s="5" t="str">
        <f t="shared" si="441"/>
        <v>016</v>
      </c>
      <c r="J3766" s="5" t="str">
        <f t="shared" si="442"/>
        <v>2100</v>
      </c>
      <c r="K3766" s="5" t="str">
        <f t="shared" si="443"/>
        <v>000</v>
      </c>
      <c r="L3766" s="5">
        <f t="shared" si="444"/>
        <v>9</v>
      </c>
      <c r="M3766" s="5">
        <f t="shared" si="445"/>
        <v>2012</v>
      </c>
    </row>
    <row r="3767" spans="1:13" ht="17.45" customHeight="1" x14ac:dyDescent="0.25">
      <c r="A3767" s="1">
        <f>DATE(2012,9,13)</f>
        <v>41165</v>
      </c>
      <c r="B3767" t="s">
        <v>12</v>
      </c>
      <c r="C3767" t="s">
        <v>8</v>
      </c>
      <c r="D3767" s="3">
        <v>563.976</v>
      </c>
      <c r="E3767" s="3">
        <v>0</v>
      </c>
      <c r="F3767" t="s">
        <v>45</v>
      </c>
      <c r="G3767" s="3">
        <f t="shared" si="439"/>
        <v>-563.976</v>
      </c>
      <c r="H3767" s="3">
        <f t="shared" si="440"/>
        <v>563.976</v>
      </c>
      <c r="I3767" s="5" t="str">
        <f t="shared" si="441"/>
        <v>016</v>
      </c>
      <c r="J3767" s="5" t="str">
        <f t="shared" si="442"/>
        <v>2210</v>
      </c>
      <c r="K3767" s="5" t="str">
        <f t="shared" si="443"/>
        <v>000</v>
      </c>
      <c r="L3767" s="5">
        <f t="shared" si="444"/>
        <v>9</v>
      </c>
      <c r="M3767" s="5">
        <f t="shared" si="445"/>
        <v>2012</v>
      </c>
    </row>
    <row r="3768" spans="1:13" ht="17.45" customHeight="1" x14ac:dyDescent="0.25">
      <c r="A3768" s="1">
        <f>DATE(2012,9,13)</f>
        <v>41165</v>
      </c>
      <c r="B3768" t="s">
        <v>13</v>
      </c>
      <c r="C3768" t="s">
        <v>9</v>
      </c>
      <c r="D3768" s="3">
        <v>130.34520000000001</v>
      </c>
      <c r="E3768" s="3">
        <v>0</v>
      </c>
      <c r="F3768" t="s">
        <v>45</v>
      </c>
      <c r="G3768" s="3">
        <f t="shared" si="439"/>
        <v>-130.34520000000001</v>
      </c>
      <c r="H3768" s="3">
        <f t="shared" si="440"/>
        <v>130.34520000000001</v>
      </c>
      <c r="I3768" s="5" t="str">
        <f t="shared" si="441"/>
        <v>016</v>
      </c>
      <c r="J3768" s="5" t="str">
        <f t="shared" si="442"/>
        <v>2220</v>
      </c>
      <c r="K3768" s="5" t="str">
        <f t="shared" si="443"/>
        <v>000</v>
      </c>
      <c r="L3768" s="5">
        <f t="shared" si="444"/>
        <v>9</v>
      </c>
      <c r="M3768" s="5">
        <f t="shared" si="445"/>
        <v>2012</v>
      </c>
    </row>
    <row r="3769" spans="1:13" ht="17.45" customHeight="1" x14ac:dyDescent="0.25">
      <c r="A3769" s="1">
        <f>DATE(2012,9,13)</f>
        <v>41165</v>
      </c>
      <c r="B3769" t="s">
        <v>14</v>
      </c>
      <c r="C3769" t="s">
        <v>10</v>
      </c>
      <c r="D3769" s="3">
        <v>35.31</v>
      </c>
      <c r="E3769" s="3">
        <v>0</v>
      </c>
      <c r="F3769" t="s">
        <v>45</v>
      </c>
      <c r="G3769" s="3">
        <f t="shared" si="439"/>
        <v>-35.31</v>
      </c>
      <c r="H3769" s="3">
        <f t="shared" si="440"/>
        <v>35.31</v>
      </c>
      <c r="I3769" s="5" t="str">
        <f t="shared" si="441"/>
        <v>016</v>
      </c>
      <c r="J3769" s="5" t="str">
        <f t="shared" si="442"/>
        <v>2230</v>
      </c>
      <c r="K3769" s="5" t="str">
        <f t="shared" si="443"/>
        <v>000</v>
      </c>
      <c r="L3769" s="5">
        <f t="shared" si="444"/>
        <v>9</v>
      </c>
      <c r="M3769" s="5">
        <f t="shared" si="445"/>
        <v>2012</v>
      </c>
    </row>
    <row r="3770" spans="1:13" ht="17.45" customHeight="1" x14ac:dyDescent="0.25">
      <c r="A3770" s="1">
        <f>DATE(2012,9,14)</f>
        <v>41166</v>
      </c>
      <c r="B3770" t="s">
        <v>11</v>
      </c>
      <c r="C3770" t="s">
        <v>6</v>
      </c>
      <c r="D3770" s="3">
        <v>7059.7764000000006</v>
      </c>
      <c r="E3770" s="3">
        <v>0</v>
      </c>
      <c r="F3770" t="s">
        <v>45</v>
      </c>
      <c r="G3770" s="3">
        <f t="shared" si="439"/>
        <v>-7059.7764000000006</v>
      </c>
      <c r="H3770" s="3">
        <f t="shared" si="440"/>
        <v>7059.7764000000006</v>
      </c>
      <c r="I3770" s="5" t="str">
        <f t="shared" si="441"/>
        <v>016</v>
      </c>
      <c r="J3770" s="5" t="str">
        <f t="shared" si="442"/>
        <v>2100</v>
      </c>
      <c r="K3770" s="5" t="str">
        <f t="shared" si="443"/>
        <v>000</v>
      </c>
      <c r="L3770" s="5">
        <f t="shared" si="444"/>
        <v>9</v>
      </c>
      <c r="M3770" s="5">
        <f t="shared" si="445"/>
        <v>2012</v>
      </c>
    </row>
    <row r="3771" spans="1:13" ht="17.45" customHeight="1" x14ac:dyDescent="0.25">
      <c r="A3771" s="1">
        <f>DATE(2012,9,14)</f>
        <v>41166</v>
      </c>
      <c r="B3771" t="s">
        <v>12</v>
      </c>
      <c r="C3771" t="s">
        <v>8</v>
      </c>
      <c r="D3771" s="3">
        <v>2003.2079999999996</v>
      </c>
      <c r="E3771" s="3">
        <v>0</v>
      </c>
      <c r="F3771" t="s">
        <v>45</v>
      </c>
      <c r="G3771" s="3">
        <f t="shared" si="439"/>
        <v>-2003.2079999999996</v>
      </c>
      <c r="H3771" s="3">
        <f t="shared" si="440"/>
        <v>2003.2079999999996</v>
      </c>
      <c r="I3771" s="5" t="str">
        <f t="shared" si="441"/>
        <v>016</v>
      </c>
      <c r="J3771" s="5" t="str">
        <f t="shared" si="442"/>
        <v>2210</v>
      </c>
      <c r="K3771" s="5" t="str">
        <f t="shared" si="443"/>
        <v>000</v>
      </c>
      <c r="L3771" s="5">
        <f t="shared" si="444"/>
        <v>9</v>
      </c>
      <c r="M3771" s="5">
        <f t="shared" si="445"/>
        <v>2012</v>
      </c>
    </row>
    <row r="3772" spans="1:13" ht="17.45" customHeight="1" x14ac:dyDescent="0.25">
      <c r="A3772" s="1">
        <f>DATE(2012,9,14)</f>
        <v>41166</v>
      </c>
      <c r="B3772" t="s">
        <v>13</v>
      </c>
      <c r="C3772" t="s">
        <v>9</v>
      </c>
      <c r="D3772" s="3">
        <v>309.99599999999998</v>
      </c>
      <c r="E3772" s="3">
        <v>0</v>
      </c>
      <c r="F3772" t="s">
        <v>45</v>
      </c>
      <c r="G3772" s="3">
        <f t="shared" si="439"/>
        <v>-309.99599999999998</v>
      </c>
      <c r="H3772" s="3">
        <f t="shared" si="440"/>
        <v>309.99599999999998</v>
      </c>
      <c r="I3772" s="5" t="str">
        <f t="shared" si="441"/>
        <v>016</v>
      </c>
      <c r="J3772" s="5" t="str">
        <f t="shared" si="442"/>
        <v>2220</v>
      </c>
      <c r="K3772" s="5" t="str">
        <f t="shared" si="443"/>
        <v>000</v>
      </c>
      <c r="L3772" s="5">
        <f t="shared" si="444"/>
        <v>9</v>
      </c>
      <c r="M3772" s="5">
        <f t="shared" si="445"/>
        <v>2012</v>
      </c>
    </row>
    <row r="3773" spans="1:13" ht="17.45" customHeight="1" x14ac:dyDescent="0.25">
      <c r="A3773" s="1">
        <f>DATE(2012,9,14)</f>
        <v>41166</v>
      </c>
      <c r="B3773" t="s">
        <v>14</v>
      </c>
      <c r="C3773" t="s">
        <v>10</v>
      </c>
      <c r="D3773" s="3">
        <v>90.86</v>
      </c>
      <c r="E3773" s="3">
        <v>0</v>
      </c>
      <c r="F3773" t="s">
        <v>45</v>
      </c>
      <c r="G3773" s="3">
        <f t="shared" si="439"/>
        <v>-90.86</v>
      </c>
      <c r="H3773" s="3">
        <f t="shared" si="440"/>
        <v>90.86</v>
      </c>
      <c r="I3773" s="5" t="str">
        <f t="shared" si="441"/>
        <v>016</v>
      </c>
      <c r="J3773" s="5" t="str">
        <f t="shared" si="442"/>
        <v>2230</v>
      </c>
      <c r="K3773" s="5" t="str">
        <f t="shared" si="443"/>
        <v>000</v>
      </c>
      <c r="L3773" s="5">
        <f t="shared" si="444"/>
        <v>9</v>
      </c>
      <c r="M3773" s="5">
        <f t="shared" si="445"/>
        <v>2012</v>
      </c>
    </row>
    <row r="3774" spans="1:13" ht="17.45" customHeight="1" x14ac:dyDescent="0.25">
      <c r="A3774" s="1">
        <f t="shared" ref="A3774:A3777" si="446">DATE(2012,9,15)</f>
        <v>41167</v>
      </c>
      <c r="B3774" t="s">
        <v>11</v>
      </c>
      <c r="C3774" t="s">
        <v>6</v>
      </c>
      <c r="D3774" s="3">
        <v>8970.5650000000005</v>
      </c>
      <c r="E3774" s="3">
        <v>0</v>
      </c>
      <c r="F3774" t="s">
        <v>45</v>
      </c>
      <c r="G3774" s="3">
        <f t="shared" si="439"/>
        <v>-8970.5650000000005</v>
      </c>
      <c r="H3774" s="3">
        <f t="shared" si="440"/>
        <v>8970.5650000000005</v>
      </c>
      <c r="I3774" s="5" t="str">
        <f t="shared" si="441"/>
        <v>016</v>
      </c>
      <c r="J3774" s="5" t="str">
        <f t="shared" si="442"/>
        <v>2100</v>
      </c>
      <c r="K3774" s="5" t="str">
        <f t="shared" si="443"/>
        <v>000</v>
      </c>
      <c r="L3774" s="5">
        <f t="shared" si="444"/>
        <v>9</v>
      </c>
      <c r="M3774" s="5">
        <f t="shared" si="445"/>
        <v>2012</v>
      </c>
    </row>
    <row r="3775" spans="1:13" ht="17.45" customHeight="1" x14ac:dyDescent="0.25">
      <c r="A3775" s="1">
        <f t="shared" si="446"/>
        <v>41167</v>
      </c>
      <c r="B3775" t="s">
        <v>12</v>
      </c>
      <c r="C3775" t="s">
        <v>8</v>
      </c>
      <c r="D3775" s="3">
        <v>2775.4780000000001</v>
      </c>
      <c r="E3775" s="3">
        <v>0</v>
      </c>
      <c r="F3775" t="s">
        <v>45</v>
      </c>
      <c r="G3775" s="3">
        <f t="shared" si="439"/>
        <v>-2775.4780000000001</v>
      </c>
      <c r="H3775" s="3">
        <f t="shared" si="440"/>
        <v>2775.4780000000001</v>
      </c>
      <c r="I3775" s="5" t="str">
        <f t="shared" si="441"/>
        <v>016</v>
      </c>
      <c r="J3775" s="5" t="str">
        <f t="shared" si="442"/>
        <v>2210</v>
      </c>
      <c r="K3775" s="5" t="str">
        <f t="shared" si="443"/>
        <v>000</v>
      </c>
      <c r="L3775" s="5">
        <f t="shared" si="444"/>
        <v>9</v>
      </c>
      <c r="M3775" s="5">
        <f t="shared" si="445"/>
        <v>2012</v>
      </c>
    </row>
    <row r="3776" spans="1:13" ht="17.45" customHeight="1" x14ac:dyDescent="0.25">
      <c r="A3776" s="1">
        <f t="shared" si="446"/>
        <v>41167</v>
      </c>
      <c r="B3776" t="s">
        <v>13</v>
      </c>
      <c r="C3776" t="s">
        <v>9</v>
      </c>
      <c r="D3776" s="3">
        <v>539.48699999999997</v>
      </c>
      <c r="E3776" s="3">
        <v>0</v>
      </c>
      <c r="F3776" t="s">
        <v>45</v>
      </c>
      <c r="G3776" s="3">
        <f t="shared" si="439"/>
        <v>-539.48699999999997</v>
      </c>
      <c r="H3776" s="3">
        <f t="shared" si="440"/>
        <v>539.48699999999997</v>
      </c>
      <c r="I3776" s="5" t="str">
        <f t="shared" si="441"/>
        <v>016</v>
      </c>
      <c r="J3776" s="5" t="str">
        <f t="shared" si="442"/>
        <v>2220</v>
      </c>
      <c r="K3776" s="5" t="str">
        <f t="shared" si="443"/>
        <v>000</v>
      </c>
      <c r="L3776" s="5">
        <f t="shared" si="444"/>
        <v>9</v>
      </c>
      <c r="M3776" s="5">
        <f t="shared" si="445"/>
        <v>2012</v>
      </c>
    </row>
    <row r="3777" spans="1:13" ht="17.45" customHeight="1" x14ac:dyDescent="0.25">
      <c r="A3777" s="1">
        <f t="shared" si="446"/>
        <v>41167</v>
      </c>
      <c r="B3777" t="s">
        <v>14</v>
      </c>
      <c r="C3777" t="s">
        <v>10</v>
      </c>
      <c r="D3777" s="3">
        <v>125.8725</v>
      </c>
      <c r="E3777" s="3">
        <v>0</v>
      </c>
      <c r="F3777" t="s">
        <v>45</v>
      </c>
      <c r="G3777" s="3">
        <f t="shared" si="439"/>
        <v>-125.8725</v>
      </c>
      <c r="H3777" s="3">
        <f t="shared" si="440"/>
        <v>125.8725</v>
      </c>
      <c r="I3777" s="5" t="str">
        <f t="shared" si="441"/>
        <v>016</v>
      </c>
      <c r="J3777" s="5" t="str">
        <f t="shared" si="442"/>
        <v>2230</v>
      </c>
      <c r="K3777" s="5" t="str">
        <f t="shared" si="443"/>
        <v>000</v>
      </c>
      <c r="L3777" s="5">
        <f t="shared" si="444"/>
        <v>9</v>
      </c>
      <c r="M3777" s="5">
        <f t="shared" si="445"/>
        <v>2012</v>
      </c>
    </row>
    <row r="3778" spans="1:13" ht="17.45" customHeight="1" x14ac:dyDescent="0.25">
      <c r="A3778" s="1">
        <f t="shared" ref="A3778:A3781" si="447">DATE(2012,9,16)</f>
        <v>41168</v>
      </c>
      <c r="B3778" t="s">
        <v>11</v>
      </c>
      <c r="C3778" t="s">
        <v>6</v>
      </c>
      <c r="D3778" s="3">
        <v>2892.4337</v>
      </c>
      <c r="E3778" s="3">
        <v>0</v>
      </c>
      <c r="F3778" t="s">
        <v>45</v>
      </c>
      <c r="G3778" s="3">
        <f t="shared" ref="G3778:G3841" si="448">E3778-D3778</f>
        <v>-2892.4337</v>
      </c>
      <c r="H3778" s="3">
        <f t="shared" ref="H3778:H3841" si="449">ABS(G3778)</f>
        <v>2892.4337</v>
      </c>
      <c r="I3778" s="5" t="str">
        <f t="shared" ref="I3778:I3841" si="450">MID(B3778,1,3)</f>
        <v>016</v>
      </c>
      <c r="J3778" s="5" t="str">
        <f t="shared" ref="J3778:J3841" si="451">MID(B3778,5,4)</f>
        <v>2100</v>
      </c>
      <c r="K3778" s="5" t="str">
        <f t="shared" ref="K3778:K3841" si="452">MID(B3778,10,3)</f>
        <v>000</v>
      </c>
      <c r="L3778" s="5">
        <f t="shared" ref="L3778:L3841" si="453">MONTH(A3778)</f>
        <v>9</v>
      </c>
      <c r="M3778" s="5">
        <f t="shared" ref="M3778:M3841" si="454">YEAR(A3778)</f>
        <v>2012</v>
      </c>
    </row>
    <row r="3779" spans="1:13" ht="17.45" customHeight="1" x14ac:dyDescent="0.25">
      <c r="A3779" s="1">
        <f t="shared" si="447"/>
        <v>41168</v>
      </c>
      <c r="B3779" t="s">
        <v>12</v>
      </c>
      <c r="C3779" t="s">
        <v>8</v>
      </c>
      <c r="D3779" s="3">
        <v>642.52979999999991</v>
      </c>
      <c r="E3779" s="3">
        <v>0</v>
      </c>
      <c r="F3779" t="s">
        <v>45</v>
      </c>
      <c r="G3779" s="3">
        <f t="shared" si="448"/>
        <v>-642.52979999999991</v>
      </c>
      <c r="H3779" s="3">
        <f t="shared" si="449"/>
        <v>642.52979999999991</v>
      </c>
      <c r="I3779" s="5" t="str">
        <f t="shared" si="450"/>
        <v>016</v>
      </c>
      <c r="J3779" s="5" t="str">
        <f t="shared" si="451"/>
        <v>2210</v>
      </c>
      <c r="K3779" s="5" t="str">
        <f t="shared" si="452"/>
        <v>000</v>
      </c>
      <c r="L3779" s="5">
        <f t="shared" si="453"/>
        <v>9</v>
      </c>
      <c r="M3779" s="5">
        <f t="shared" si="454"/>
        <v>2012</v>
      </c>
    </row>
    <row r="3780" spans="1:13" ht="17.45" customHeight="1" x14ac:dyDescent="0.25">
      <c r="A3780" s="1">
        <f t="shared" si="447"/>
        <v>41168</v>
      </c>
      <c r="B3780" t="s">
        <v>13</v>
      </c>
      <c r="C3780" t="s">
        <v>9</v>
      </c>
      <c r="D3780" s="3">
        <v>137.04599999999999</v>
      </c>
      <c r="E3780" s="3">
        <v>0</v>
      </c>
      <c r="F3780" t="s">
        <v>45</v>
      </c>
      <c r="G3780" s="3">
        <f t="shared" si="448"/>
        <v>-137.04599999999999</v>
      </c>
      <c r="H3780" s="3">
        <f t="shared" si="449"/>
        <v>137.04599999999999</v>
      </c>
      <c r="I3780" s="5" t="str">
        <f t="shared" si="450"/>
        <v>016</v>
      </c>
      <c r="J3780" s="5" t="str">
        <f t="shared" si="451"/>
        <v>2220</v>
      </c>
      <c r="K3780" s="5" t="str">
        <f t="shared" si="452"/>
        <v>000</v>
      </c>
      <c r="L3780" s="5">
        <f t="shared" si="453"/>
        <v>9</v>
      </c>
      <c r="M3780" s="5">
        <f t="shared" si="454"/>
        <v>2012</v>
      </c>
    </row>
    <row r="3781" spans="1:13" ht="17.45" customHeight="1" x14ac:dyDescent="0.25">
      <c r="A3781" s="1">
        <f t="shared" si="447"/>
        <v>41168</v>
      </c>
      <c r="B3781" t="s">
        <v>14</v>
      </c>
      <c r="C3781" t="s">
        <v>10</v>
      </c>
      <c r="D3781" s="3">
        <v>78.688500000000005</v>
      </c>
      <c r="E3781" s="3">
        <v>0</v>
      </c>
      <c r="F3781" t="s">
        <v>45</v>
      </c>
      <c r="G3781" s="3">
        <f t="shared" si="448"/>
        <v>-78.688500000000005</v>
      </c>
      <c r="H3781" s="3">
        <f t="shared" si="449"/>
        <v>78.688500000000005</v>
      </c>
      <c r="I3781" s="5" t="str">
        <f t="shared" si="450"/>
        <v>016</v>
      </c>
      <c r="J3781" s="5" t="str">
        <f t="shared" si="451"/>
        <v>2230</v>
      </c>
      <c r="K3781" s="5" t="str">
        <f t="shared" si="452"/>
        <v>000</v>
      </c>
      <c r="L3781" s="5">
        <f t="shared" si="453"/>
        <v>9</v>
      </c>
      <c r="M3781" s="5">
        <f t="shared" si="454"/>
        <v>2012</v>
      </c>
    </row>
    <row r="3782" spans="1:13" ht="17.45" customHeight="1" x14ac:dyDescent="0.25">
      <c r="A3782" s="1">
        <f>DATE(2012,9,10)</f>
        <v>41162</v>
      </c>
      <c r="B3782" t="s">
        <v>15</v>
      </c>
      <c r="C3782" t="s">
        <v>6</v>
      </c>
      <c r="D3782" s="3">
        <v>5198.9400000000005</v>
      </c>
      <c r="E3782" s="3">
        <v>0</v>
      </c>
      <c r="F3782" t="s">
        <v>45</v>
      </c>
      <c r="G3782" s="3">
        <f t="shared" si="448"/>
        <v>-5198.9400000000005</v>
      </c>
      <c r="H3782" s="3">
        <f t="shared" si="449"/>
        <v>5198.9400000000005</v>
      </c>
      <c r="I3782" s="5" t="str">
        <f t="shared" si="450"/>
        <v>017</v>
      </c>
      <c r="J3782" s="5" t="str">
        <f t="shared" si="451"/>
        <v>2100</v>
      </c>
      <c r="K3782" s="5" t="str">
        <f t="shared" si="452"/>
        <v>000</v>
      </c>
      <c r="L3782" s="5">
        <f t="shared" si="453"/>
        <v>9</v>
      </c>
      <c r="M3782" s="5">
        <f t="shared" si="454"/>
        <v>2012</v>
      </c>
    </row>
    <row r="3783" spans="1:13" ht="17.45" customHeight="1" x14ac:dyDescent="0.25">
      <c r="A3783" s="1">
        <f>DATE(2012,9,10)</f>
        <v>41162</v>
      </c>
      <c r="B3783" t="s">
        <v>16</v>
      </c>
      <c r="C3783" t="s">
        <v>8</v>
      </c>
      <c r="D3783" s="3">
        <v>920.47199999999998</v>
      </c>
      <c r="E3783" s="3">
        <v>0</v>
      </c>
      <c r="F3783" t="s">
        <v>45</v>
      </c>
      <c r="G3783" s="3">
        <f t="shared" si="448"/>
        <v>-920.47199999999998</v>
      </c>
      <c r="H3783" s="3">
        <f t="shared" si="449"/>
        <v>920.47199999999998</v>
      </c>
      <c r="I3783" s="5" t="str">
        <f t="shared" si="450"/>
        <v>017</v>
      </c>
      <c r="J3783" s="5" t="str">
        <f t="shared" si="451"/>
        <v>2210</v>
      </c>
      <c r="K3783" s="5" t="str">
        <f t="shared" si="452"/>
        <v>000</v>
      </c>
      <c r="L3783" s="5">
        <f t="shared" si="453"/>
        <v>9</v>
      </c>
      <c r="M3783" s="5">
        <f t="shared" si="454"/>
        <v>2012</v>
      </c>
    </row>
    <row r="3784" spans="1:13" ht="17.45" customHeight="1" x14ac:dyDescent="0.25">
      <c r="A3784" s="1">
        <f>DATE(2012,9,10)</f>
        <v>41162</v>
      </c>
      <c r="B3784" t="s">
        <v>17</v>
      </c>
      <c r="C3784" t="s">
        <v>9</v>
      </c>
      <c r="D3784" s="3">
        <v>222.11500000000001</v>
      </c>
      <c r="E3784" s="3">
        <v>0</v>
      </c>
      <c r="F3784" t="s">
        <v>45</v>
      </c>
      <c r="G3784" s="3">
        <f t="shared" si="448"/>
        <v>-222.11500000000001</v>
      </c>
      <c r="H3784" s="3">
        <f t="shared" si="449"/>
        <v>222.11500000000001</v>
      </c>
      <c r="I3784" s="5" t="str">
        <f t="shared" si="450"/>
        <v>017</v>
      </c>
      <c r="J3784" s="5" t="str">
        <f t="shared" si="451"/>
        <v>2220</v>
      </c>
      <c r="K3784" s="5" t="str">
        <f t="shared" si="452"/>
        <v>000</v>
      </c>
      <c r="L3784" s="5">
        <f t="shared" si="453"/>
        <v>9</v>
      </c>
      <c r="M3784" s="5">
        <f t="shared" si="454"/>
        <v>2012</v>
      </c>
    </row>
    <row r="3785" spans="1:13" ht="17.45" customHeight="1" x14ac:dyDescent="0.25">
      <c r="A3785" s="1">
        <f>DATE(2012,9,10)</f>
        <v>41162</v>
      </c>
      <c r="B3785" t="s">
        <v>18</v>
      </c>
      <c r="C3785" t="s">
        <v>10</v>
      </c>
      <c r="D3785" s="3">
        <v>74.028000000000006</v>
      </c>
      <c r="E3785" s="3">
        <v>0</v>
      </c>
      <c r="F3785" t="s">
        <v>45</v>
      </c>
      <c r="G3785" s="3">
        <f t="shared" si="448"/>
        <v>-74.028000000000006</v>
      </c>
      <c r="H3785" s="3">
        <f t="shared" si="449"/>
        <v>74.028000000000006</v>
      </c>
      <c r="I3785" s="5" t="str">
        <f t="shared" si="450"/>
        <v>017</v>
      </c>
      <c r="J3785" s="5" t="str">
        <f t="shared" si="451"/>
        <v>2230</v>
      </c>
      <c r="K3785" s="5" t="str">
        <f t="shared" si="452"/>
        <v>000</v>
      </c>
      <c r="L3785" s="5">
        <f t="shared" si="453"/>
        <v>9</v>
      </c>
      <c r="M3785" s="5">
        <f t="shared" si="454"/>
        <v>2012</v>
      </c>
    </row>
    <row r="3786" spans="1:13" ht="17.45" customHeight="1" x14ac:dyDescent="0.25">
      <c r="A3786" s="1">
        <f>DATE(2012,9,11)</f>
        <v>41163</v>
      </c>
      <c r="B3786" t="s">
        <v>15</v>
      </c>
      <c r="C3786" t="s">
        <v>6</v>
      </c>
      <c r="D3786" s="3">
        <v>5254.5586000000003</v>
      </c>
      <c r="E3786" s="3">
        <v>0</v>
      </c>
      <c r="F3786" t="s">
        <v>45</v>
      </c>
      <c r="G3786" s="3">
        <f t="shared" si="448"/>
        <v>-5254.5586000000003</v>
      </c>
      <c r="H3786" s="3">
        <f t="shared" si="449"/>
        <v>5254.5586000000003</v>
      </c>
      <c r="I3786" s="5" t="str">
        <f t="shared" si="450"/>
        <v>017</v>
      </c>
      <c r="J3786" s="5" t="str">
        <f t="shared" si="451"/>
        <v>2100</v>
      </c>
      <c r="K3786" s="5" t="str">
        <f t="shared" si="452"/>
        <v>000</v>
      </c>
      <c r="L3786" s="5">
        <f t="shared" si="453"/>
        <v>9</v>
      </c>
      <c r="M3786" s="5">
        <f t="shared" si="454"/>
        <v>2012</v>
      </c>
    </row>
    <row r="3787" spans="1:13" ht="17.45" customHeight="1" x14ac:dyDescent="0.25">
      <c r="A3787" s="1">
        <f>DATE(2012,9,11)</f>
        <v>41163</v>
      </c>
      <c r="B3787" t="s">
        <v>16</v>
      </c>
      <c r="C3787" t="s">
        <v>8</v>
      </c>
      <c r="D3787" s="3">
        <v>1172.6005</v>
      </c>
      <c r="E3787" s="3">
        <v>0</v>
      </c>
      <c r="F3787" t="s">
        <v>45</v>
      </c>
      <c r="G3787" s="3">
        <f t="shared" si="448"/>
        <v>-1172.6005</v>
      </c>
      <c r="H3787" s="3">
        <f t="shared" si="449"/>
        <v>1172.6005</v>
      </c>
      <c r="I3787" s="5" t="str">
        <f t="shared" si="450"/>
        <v>017</v>
      </c>
      <c r="J3787" s="5" t="str">
        <f t="shared" si="451"/>
        <v>2210</v>
      </c>
      <c r="K3787" s="5" t="str">
        <f t="shared" si="452"/>
        <v>000</v>
      </c>
      <c r="L3787" s="5">
        <f t="shared" si="453"/>
        <v>9</v>
      </c>
      <c r="M3787" s="5">
        <f t="shared" si="454"/>
        <v>2012</v>
      </c>
    </row>
    <row r="3788" spans="1:13" ht="17.45" customHeight="1" x14ac:dyDescent="0.25">
      <c r="A3788" s="1">
        <f>DATE(2012,9,11)</f>
        <v>41163</v>
      </c>
      <c r="B3788" t="s">
        <v>17</v>
      </c>
      <c r="C3788" t="s">
        <v>9</v>
      </c>
      <c r="D3788" s="3">
        <v>439.66</v>
      </c>
      <c r="E3788" s="3">
        <v>0</v>
      </c>
      <c r="F3788" t="s">
        <v>45</v>
      </c>
      <c r="G3788" s="3">
        <f t="shared" si="448"/>
        <v>-439.66</v>
      </c>
      <c r="H3788" s="3">
        <f t="shared" si="449"/>
        <v>439.66</v>
      </c>
      <c r="I3788" s="5" t="str">
        <f t="shared" si="450"/>
        <v>017</v>
      </c>
      <c r="J3788" s="5" t="str">
        <f t="shared" si="451"/>
        <v>2220</v>
      </c>
      <c r="K3788" s="5" t="str">
        <f t="shared" si="452"/>
        <v>000</v>
      </c>
      <c r="L3788" s="5">
        <f t="shared" si="453"/>
        <v>9</v>
      </c>
      <c r="M3788" s="5">
        <f t="shared" si="454"/>
        <v>2012</v>
      </c>
    </row>
    <row r="3789" spans="1:13" ht="17.45" customHeight="1" x14ac:dyDescent="0.25">
      <c r="A3789" s="1">
        <f>DATE(2012,9,11)</f>
        <v>41163</v>
      </c>
      <c r="B3789" t="s">
        <v>18</v>
      </c>
      <c r="C3789" t="s">
        <v>10</v>
      </c>
      <c r="D3789" s="3">
        <v>64.621500000000012</v>
      </c>
      <c r="E3789" s="3">
        <v>0</v>
      </c>
      <c r="F3789" t="s">
        <v>45</v>
      </c>
      <c r="G3789" s="3">
        <f t="shared" si="448"/>
        <v>-64.621500000000012</v>
      </c>
      <c r="H3789" s="3">
        <f t="shared" si="449"/>
        <v>64.621500000000012</v>
      </c>
      <c r="I3789" s="5" t="str">
        <f t="shared" si="450"/>
        <v>017</v>
      </c>
      <c r="J3789" s="5" t="str">
        <f t="shared" si="451"/>
        <v>2230</v>
      </c>
      <c r="K3789" s="5" t="str">
        <f t="shared" si="452"/>
        <v>000</v>
      </c>
      <c r="L3789" s="5">
        <f t="shared" si="453"/>
        <v>9</v>
      </c>
      <c r="M3789" s="5">
        <f t="shared" si="454"/>
        <v>2012</v>
      </c>
    </row>
    <row r="3790" spans="1:13" ht="17.45" customHeight="1" x14ac:dyDescent="0.25">
      <c r="A3790" s="1">
        <f>DATE(2012,9,12)</f>
        <v>41164</v>
      </c>
      <c r="B3790" t="s">
        <v>15</v>
      </c>
      <c r="C3790" t="s">
        <v>6</v>
      </c>
      <c r="D3790" s="3">
        <v>7414.4850000000006</v>
      </c>
      <c r="E3790" s="3">
        <v>0</v>
      </c>
      <c r="F3790" t="s">
        <v>45</v>
      </c>
      <c r="G3790" s="3">
        <f t="shared" si="448"/>
        <v>-7414.4850000000006</v>
      </c>
      <c r="H3790" s="3">
        <f t="shared" si="449"/>
        <v>7414.4850000000006</v>
      </c>
      <c r="I3790" s="5" t="str">
        <f t="shared" si="450"/>
        <v>017</v>
      </c>
      <c r="J3790" s="5" t="str">
        <f t="shared" si="451"/>
        <v>2100</v>
      </c>
      <c r="K3790" s="5" t="str">
        <f t="shared" si="452"/>
        <v>000</v>
      </c>
      <c r="L3790" s="5">
        <f t="shared" si="453"/>
        <v>9</v>
      </c>
      <c r="M3790" s="5">
        <f t="shared" si="454"/>
        <v>2012</v>
      </c>
    </row>
    <row r="3791" spans="1:13" ht="17.45" customHeight="1" x14ac:dyDescent="0.25">
      <c r="A3791" s="1">
        <f>DATE(2012,9,12)</f>
        <v>41164</v>
      </c>
      <c r="B3791" t="s">
        <v>16</v>
      </c>
      <c r="C3791" t="s">
        <v>8</v>
      </c>
      <c r="D3791" s="3">
        <v>2478.0720000000001</v>
      </c>
      <c r="E3791" s="3">
        <v>0</v>
      </c>
      <c r="F3791" t="s">
        <v>45</v>
      </c>
      <c r="G3791" s="3">
        <f t="shared" si="448"/>
        <v>-2478.0720000000001</v>
      </c>
      <c r="H3791" s="3">
        <f t="shared" si="449"/>
        <v>2478.0720000000001</v>
      </c>
      <c r="I3791" s="5" t="str">
        <f t="shared" si="450"/>
        <v>017</v>
      </c>
      <c r="J3791" s="5" t="str">
        <f t="shared" si="451"/>
        <v>2210</v>
      </c>
      <c r="K3791" s="5" t="str">
        <f t="shared" si="452"/>
        <v>000</v>
      </c>
      <c r="L3791" s="5">
        <f t="shared" si="453"/>
        <v>9</v>
      </c>
      <c r="M3791" s="5">
        <f t="shared" si="454"/>
        <v>2012</v>
      </c>
    </row>
    <row r="3792" spans="1:13" ht="17.45" customHeight="1" x14ac:dyDescent="0.25">
      <c r="A3792" s="1">
        <f>DATE(2012,9,12)</f>
        <v>41164</v>
      </c>
      <c r="B3792" t="s">
        <v>17</v>
      </c>
      <c r="C3792" t="s">
        <v>9</v>
      </c>
      <c r="D3792" s="3">
        <v>451.77750000000003</v>
      </c>
      <c r="E3792" s="3">
        <v>0</v>
      </c>
      <c r="F3792" t="s">
        <v>45</v>
      </c>
      <c r="G3792" s="3">
        <f t="shared" si="448"/>
        <v>-451.77750000000003</v>
      </c>
      <c r="H3792" s="3">
        <f t="shared" si="449"/>
        <v>451.77750000000003</v>
      </c>
      <c r="I3792" s="5" t="str">
        <f t="shared" si="450"/>
        <v>017</v>
      </c>
      <c r="J3792" s="5" t="str">
        <f t="shared" si="451"/>
        <v>2220</v>
      </c>
      <c r="K3792" s="5" t="str">
        <f t="shared" si="452"/>
        <v>000</v>
      </c>
      <c r="L3792" s="5">
        <f t="shared" si="453"/>
        <v>9</v>
      </c>
      <c r="M3792" s="5">
        <f t="shared" si="454"/>
        <v>2012</v>
      </c>
    </row>
    <row r="3793" spans="1:13" ht="17.45" customHeight="1" x14ac:dyDescent="0.25">
      <c r="A3793" s="1">
        <f>DATE(2012,9,12)</f>
        <v>41164</v>
      </c>
      <c r="B3793" t="s">
        <v>18</v>
      </c>
      <c r="C3793" t="s">
        <v>10</v>
      </c>
      <c r="D3793" s="3">
        <v>161.70400000000001</v>
      </c>
      <c r="E3793" s="3">
        <v>0</v>
      </c>
      <c r="F3793" t="s">
        <v>45</v>
      </c>
      <c r="G3793" s="3">
        <f t="shared" si="448"/>
        <v>-161.70400000000001</v>
      </c>
      <c r="H3793" s="3">
        <f t="shared" si="449"/>
        <v>161.70400000000001</v>
      </c>
      <c r="I3793" s="5" t="str">
        <f t="shared" si="450"/>
        <v>017</v>
      </c>
      <c r="J3793" s="5" t="str">
        <f t="shared" si="451"/>
        <v>2230</v>
      </c>
      <c r="K3793" s="5" t="str">
        <f t="shared" si="452"/>
        <v>000</v>
      </c>
      <c r="L3793" s="5">
        <f t="shared" si="453"/>
        <v>9</v>
      </c>
      <c r="M3793" s="5">
        <f t="shared" si="454"/>
        <v>2012</v>
      </c>
    </row>
    <row r="3794" spans="1:13" ht="17.45" customHeight="1" x14ac:dyDescent="0.25">
      <c r="A3794" s="1">
        <f>DATE(2012,9,13)</f>
        <v>41165</v>
      </c>
      <c r="B3794" t="s">
        <v>15</v>
      </c>
      <c r="C3794" t="s">
        <v>6</v>
      </c>
      <c r="D3794" s="3">
        <v>4484.5433000000003</v>
      </c>
      <c r="E3794" s="3">
        <v>0</v>
      </c>
      <c r="F3794" t="s">
        <v>45</v>
      </c>
      <c r="G3794" s="3">
        <f t="shared" si="448"/>
        <v>-4484.5433000000003</v>
      </c>
      <c r="H3794" s="3">
        <f t="shared" si="449"/>
        <v>4484.5433000000003</v>
      </c>
      <c r="I3794" s="5" t="str">
        <f t="shared" si="450"/>
        <v>017</v>
      </c>
      <c r="J3794" s="5" t="str">
        <f t="shared" si="451"/>
        <v>2100</v>
      </c>
      <c r="K3794" s="5" t="str">
        <f t="shared" si="452"/>
        <v>000</v>
      </c>
      <c r="L3794" s="5">
        <f t="shared" si="453"/>
        <v>9</v>
      </c>
      <c r="M3794" s="5">
        <f t="shared" si="454"/>
        <v>2012</v>
      </c>
    </row>
    <row r="3795" spans="1:13" ht="17.45" customHeight="1" x14ac:dyDescent="0.25">
      <c r="A3795" s="1">
        <f>DATE(2012,9,13)</f>
        <v>41165</v>
      </c>
      <c r="B3795" t="s">
        <v>16</v>
      </c>
      <c r="C3795" t="s">
        <v>8</v>
      </c>
      <c r="D3795" s="3">
        <v>1166.2355000000002</v>
      </c>
      <c r="E3795" s="3">
        <v>0</v>
      </c>
      <c r="F3795" t="s">
        <v>45</v>
      </c>
      <c r="G3795" s="3">
        <f t="shared" si="448"/>
        <v>-1166.2355000000002</v>
      </c>
      <c r="H3795" s="3">
        <f t="shared" si="449"/>
        <v>1166.2355000000002</v>
      </c>
      <c r="I3795" s="5" t="str">
        <f t="shared" si="450"/>
        <v>017</v>
      </c>
      <c r="J3795" s="5" t="str">
        <f t="shared" si="451"/>
        <v>2210</v>
      </c>
      <c r="K3795" s="5" t="str">
        <f t="shared" si="452"/>
        <v>000</v>
      </c>
      <c r="L3795" s="5">
        <f t="shared" si="453"/>
        <v>9</v>
      </c>
      <c r="M3795" s="5">
        <f t="shared" si="454"/>
        <v>2012</v>
      </c>
    </row>
    <row r="3796" spans="1:13" ht="17.45" customHeight="1" x14ac:dyDescent="0.25">
      <c r="A3796" s="1">
        <f>DATE(2012,9,13)</f>
        <v>41165</v>
      </c>
      <c r="B3796" t="s">
        <v>17</v>
      </c>
      <c r="C3796" t="s">
        <v>9</v>
      </c>
      <c r="D3796" s="3">
        <v>579.82500000000005</v>
      </c>
      <c r="E3796" s="3">
        <v>0</v>
      </c>
      <c r="F3796" t="s">
        <v>45</v>
      </c>
      <c r="G3796" s="3">
        <f t="shared" si="448"/>
        <v>-579.82500000000005</v>
      </c>
      <c r="H3796" s="3">
        <f t="shared" si="449"/>
        <v>579.82500000000005</v>
      </c>
      <c r="I3796" s="5" t="str">
        <f t="shared" si="450"/>
        <v>017</v>
      </c>
      <c r="J3796" s="5" t="str">
        <f t="shared" si="451"/>
        <v>2220</v>
      </c>
      <c r="K3796" s="5" t="str">
        <f t="shared" si="452"/>
        <v>000</v>
      </c>
      <c r="L3796" s="5">
        <f t="shared" si="453"/>
        <v>9</v>
      </c>
      <c r="M3796" s="5">
        <f t="shared" si="454"/>
        <v>2012</v>
      </c>
    </row>
    <row r="3797" spans="1:13" ht="17.45" customHeight="1" x14ac:dyDescent="0.25">
      <c r="A3797" s="1">
        <f>DATE(2012,9,13)</f>
        <v>41165</v>
      </c>
      <c r="B3797" t="s">
        <v>18</v>
      </c>
      <c r="C3797" t="s">
        <v>10</v>
      </c>
      <c r="D3797" s="3">
        <v>74.669999999999987</v>
      </c>
      <c r="E3797" s="3">
        <v>0</v>
      </c>
      <c r="F3797" t="s">
        <v>45</v>
      </c>
      <c r="G3797" s="3">
        <f t="shared" si="448"/>
        <v>-74.669999999999987</v>
      </c>
      <c r="H3797" s="3">
        <f t="shared" si="449"/>
        <v>74.669999999999987</v>
      </c>
      <c r="I3797" s="5" t="str">
        <f t="shared" si="450"/>
        <v>017</v>
      </c>
      <c r="J3797" s="5" t="str">
        <f t="shared" si="451"/>
        <v>2230</v>
      </c>
      <c r="K3797" s="5" t="str">
        <f t="shared" si="452"/>
        <v>000</v>
      </c>
      <c r="L3797" s="5">
        <f t="shared" si="453"/>
        <v>9</v>
      </c>
      <c r="M3797" s="5">
        <f t="shared" si="454"/>
        <v>2012</v>
      </c>
    </row>
    <row r="3798" spans="1:13" ht="17.45" customHeight="1" x14ac:dyDescent="0.25">
      <c r="A3798" s="1">
        <f>DATE(2012,9,14)</f>
        <v>41166</v>
      </c>
      <c r="B3798" t="s">
        <v>15</v>
      </c>
      <c r="C3798" t="s">
        <v>6</v>
      </c>
      <c r="D3798" s="3">
        <v>9933.534599999999</v>
      </c>
      <c r="E3798" s="3">
        <v>0</v>
      </c>
      <c r="F3798" t="s">
        <v>45</v>
      </c>
      <c r="G3798" s="3">
        <f t="shared" si="448"/>
        <v>-9933.534599999999</v>
      </c>
      <c r="H3798" s="3">
        <f t="shared" si="449"/>
        <v>9933.534599999999</v>
      </c>
      <c r="I3798" s="5" t="str">
        <f t="shared" si="450"/>
        <v>017</v>
      </c>
      <c r="J3798" s="5" t="str">
        <f t="shared" si="451"/>
        <v>2100</v>
      </c>
      <c r="K3798" s="5" t="str">
        <f t="shared" si="452"/>
        <v>000</v>
      </c>
      <c r="L3798" s="5">
        <f t="shared" si="453"/>
        <v>9</v>
      </c>
      <c r="M3798" s="5">
        <f t="shared" si="454"/>
        <v>2012</v>
      </c>
    </row>
    <row r="3799" spans="1:13" ht="17.45" customHeight="1" x14ac:dyDescent="0.25">
      <c r="A3799" s="1">
        <f>DATE(2012,9,14)</f>
        <v>41166</v>
      </c>
      <c r="B3799" t="s">
        <v>16</v>
      </c>
      <c r="C3799" t="s">
        <v>8</v>
      </c>
      <c r="D3799" s="3">
        <v>2759.6969999999997</v>
      </c>
      <c r="E3799" s="3">
        <v>0</v>
      </c>
      <c r="F3799" t="s">
        <v>45</v>
      </c>
      <c r="G3799" s="3">
        <f t="shared" si="448"/>
        <v>-2759.6969999999997</v>
      </c>
      <c r="H3799" s="3">
        <f t="shared" si="449"/>
        <v>2759.6969999999997</v>
      </c>
      <c r="I3799" s="5" t="str">
        <f t="shared" si="450"/>
        <v>017</v>
      </c>
      <c r="J3799" s="5" t="str">
        <f t="shared" si="451"/>
        <v>2210</v>
      </c>
      <c r="K3799" s="5" t="str">
        <f t="shared" si="452"/>
        <v>000</v>
      </c>
      <c r="L3799" s="5">
        <f t="shared" si="453"/>
        <v>9</v>
      </c>
      <c r="M3799" s="5">
        <f t="shared" si="454"/>
        <v>2012</v>
      </c>
    </row>
    <row r="3800" spans="1:13" ht="17.45" customHeight="1" x14ac:dyDescent="0.25">
      <c r="A3800" s="1">
        <f>DATE(2012,9,14)</f>
        <v>41166</v>
      </c>
      <c r="B3800" t="s">
        <v>17</v>
      </c>
      <c r="C3800" t="s">
        <v>9</v>
      </c>
      <c r="D3800" s="3">
        <v>640.06499999999994</v>
      </c>
      <c r="E3800" s="3">
        <v>0</v>
      </c>
      <c r="F3800" t="s">
        <v>45</v>
      </c>
      <c r="G3800" s="3">
        <f t="shared" si="448"/>
        <v>-640.06499999999994</v>
      </c>
      <c r="H3800" s="3">
        <f t="shared" si="449"/>
        <v>640.06499999999994</v>
      </c>
      <c r="I3800" s="5" t="str">
        <f t="shared" si="450"/>
        <v>017</v>
      </c>
      <c r="J3800" s="5" t="str">
        <f t="shared" si="451"/>
        <v>2220</v>
      </c>
      <c r="K3800" s="5" t="str">
        <f t="shared" si="452"/>
        <v>000</v>
      </c>
      <c r="L3800" s="5">
        <f t="shared" si="453"/>
        <v>9</v>
      </c>
      <c r="M3800" s="5">
        <f t="shared" si="454"/>
        <v>2012</v>
      </c>
    </row>
    <row r="3801" spans="1:13" ht="17.45" customHeight="1" x14ac:dyDescent="0.25">
      <c r="A3801" s="1">
        <f>DATE(2012,9,14)</f>
        <v>41166</v>
      </c>
      <c r="B3801" t="s">
        <v>18</v>
      </c>
      <c r="C3801" t="s">
        <v>10</v>
      </c>
      <c r="D3801" s="3">
        <v>121.1925</v>
      </c>
      <c r="E3801" s="3">
        <v>0</v>
      </c>
      <c r="F3801" t="s">
        <v>45</v>
      </c>
      <c r="G3801" s="3">
        <f t="shared" si="448"/>
        <v>-121.1925</v>
      </c>
      <c r="H3801" s="3">
        <f t="shared" si="449"/>
        <v>121.1925</v>
      </c>
      <c r="I3801" s="5" t="str">
        <f t="shared" si="450"/>
        <v>017</v>
      </c>
      <c r="J3801" s="5" t="str">
        <f t="shared" si="451"/>
        <v>2230</v>
      </c>
      <c r="K3801" s="5" t="str">
        <f t="shared" si="452"/>
        <v>000</v>
      </c>
      <c r="L3801" s="5">
        <f t="shared" si="453"/>
        <v>9</v>
      </c>
      <c r="M3801" s="5">
        <f t="shared" si="454"/>
        <v>2012</v>
      </c>
    </row>
    <row r="3802" spans="1:13" ht="17.45" customHeight="1" x14ac:dyDescent="0.25">
      <c r="A3802" s="1">
        <f>DATE(2012,9,15)</f>
        <v>41167</v>
      </c>
      <c r="B3802" t="s">
        <v>15</v>
      </c>
      <c r="C3802" t="s">
        <v>6</v>
      </c>
      <c r="D3802" s="3">
        <v>6877.9919999999993</v>
      </c>
      <c r="E3802" s="3">
        <v>0</v>
      </c>
      <c r="F3802" t="s">
        <v>45</v>
      </c>
      <c r="G3802" s="3">
        <f t="shared" si="448"/>
        <v>-6877.9919999999993</v>
      </c>
      <c r="H3802" s="3">
        <f t="shared" si="449"/>
        <v>6877.9919999999993</v>
      </c>
      <c r="I3802" s="5" t="str">
        <f t="shared" si="450"/>
        <v>017</v>
      </c>
      <c r="J3802" s="5" t="str">
        <f t="shared" si="451"/>
        <v>2100</v>
      </c>
      <c r="K3802" s="5" t="str">
        <f t="shared" si="452"/>
        <v>000</v>
      </c>
      <c r="L3802" s="5">
        <f t="shared" si="453"/>
        <v>9</v>
      </c>
      <c r="M3802" s="5">
        <f t="shared" si="454"/>
        <v>2012</v>
      </c>
    </row>
    <row r="3803" spans="1:13" ht="17.45" customHeight="1" x14ac:dyDescent="0.25">
      <c r="A3803" s="1">
        <f>DATE(2012,9,15)</f>
        <v>41167</v>
      </c>
      <c r="B3803" t="s">
        <v>16</v>
      </c>
      <c r="C3803" t="s">
        <v>8</v>
      </c>
      <c r="D3803" s="3">
        <v>1552.9119999999998</v>
      </c>
      <c r="E3803" s="3">
        <v>0</v>
      </c>
      <c r="F3803" t="s">
        <v>45</v>
      </c>
      <c r="G3803" s="3">
        <f t="shared" si="448"/>
        <v>-1552.9119999999998</v>
      </c>
      <c r="H3803" s="3">
        <f t="shared" si="449"/>
        <v>1552.9119999999998</v>
      </c>
      <c r="I3803" s="5" t="str">
        <f t="shared" si="450"/>
        <v>017</v>
      </c>
      <c r="J3803" s="5" t="str">
        <f t="shared" si="451"/>
        <v>2210</v>
      </c>
      <c r="K3803" s="5" t="str">
        <f t="shared" si="452"/>
        <v>000</v>
      </c>
      <c r="L3803" s="5">
        <f t="shared" si="453"/>
        <v>9</v>
      </c>
      <c r="M3803" s="5">
        <f t="shared" si="454"/>
        <v>2012</v>
      </c>
    </row>
    <row r="3804" spans="1:13" ht="17.45" customHeight="1" x14ac:dyDescent="0.25">
      <c r="A3804" s="1">
        <f>DATE(2012,9,15)</f>
        <v>41167</v>
      </c>
      <c r="B3804" t="s">
        <v>17</v>
      </c>
      <c r="C3804" t="s">
        <v>9</v>
      </c>
      <c r="D3804" s="3">
        <v>228.38750000000002</v>
      </c>
      <c r="E3804" s="3">
        <v>0</v>
      </c>
      <c r="F3804" t="s">
        <v>45</v>
      </c>
      <c r="G3804" s="3">
        <f t="shared" si="448"/>
        <v>-228.38750000000002</v>
      </c>
      <c r="H3804" s="3">
        <f t="shared" si="449"/>
        <v>228.38750000000002</v>
      </c>
      <c r="I3804" s="5" t="str">
        <f t="shared" si="450"/>
        <v>017</v>
      </c>
      <c r="J3804" s="5" t="str">
        <f t="shared" si="451"/>
        <v>2220</v>
      </c>
      <c r="K3804" s="5" t="str">
        <f t="shared" si="452"/>
        <v>000</v>
      </c>
      <c r="L3804" s="5">
        <f t="shared" si="453"/>
        <v>9</v>
      </c>
      <c r="M3804" s="5">
        <f t="shared" si="454"/>
        <v>2012</v>
      </c>
    </row>
    <row r="3805" spans="1:13" ht="17.45" customHeight="1" x14ac:dyDescent="0.25">
      <c r="A3805" s="1">
        <f>DATE(2012,9,15)</f>
        <v>41167</v>
      </c>
      <c r="B3805" t="s">
        <v>18</v>
      </c>
      <c r="C3805" t="s">
        <v>10</v>
      </c>
      <c r="D3805" s="3">
        <v>88.44</v>
      </c>
      <c r="E3805" s="3">
        <v>0</v>
      </c>
      <c r="F3805" t="s">
        <v>45</v>
      </c>
      <c r="G3805" s="3">
        <f t="shared" si="448"/>
        <v>-88.44</v>
      </c>
      <c r="H3805" s="3">
        <f t="shared" si="449"/>
        <v>88.44</v>
      </c>
      <c r="I3805" s="5" t="str">
        <f t="shared" si="450"/>
        <v>017</v>
      </c>
      <c r="J3805" s="5" t="str">
        <f t="shared" si="451"/>
        <v>2230</v>
      </c>
      <c r="K3805" s="5" t="str">
        <f t="shared" si="452"/>
        <v>000</v>
      </c>
      <c r="L3805" s="5">
        <f t="shared" si="453"/>
        <v>9</v>
      </c>
      <c r="M3805" s="5">
        <f t="shared" si="454"/>
        <v>2012</v>
      </c>
    </row>
    <row r="3806" spans="1:13" ht="17.45" customHeight="1" x14ac:dyDescent="0.25">
      <c r="A3806" s="1">
        <f>DATE(2012,9,16)</f>
        <v>41168</v>
      </c>
      <c r="B3806" t="s">
        <v>15</v>
      </c>
      <c r="C3806" t="s">
        <v>6</v>
      </c>
      <c r="D3806" s="3">
        <v>5691.8231999999998</v>
      </c>
      <c r="E3806" s="3">
        <v>0</v>
      </c>
      <c r="F3806" t="s">
        <v>45</v>
      </c>
      <c r="G3806" s="3">
        <f t="shared" si="448"/>
        <v>-5691.8231999999998</v>
      </c>
      <c r="H3806" s="3">
        <f t="shared" si="449"/>
        <v>5691.8231999999998</v>
      </c>
      <c r="I3806" s="5" t="str">
        <f t="shared" si="450"/>
        <v>017</v>
      </c>
      <c r="J3806" s="5" t="str">
        <f t="shared" si="451"/>
        <v>2100</v>
      </c>
      <c r="K3806" s="5" t="str">
        <f t="shared" si="452"/>
        <v>000</v>
      </c>
      <c r="L3806" s="5">
        <f t="shared" si="453"/>
        <v>9</v>
      </c>
      <c r="M3806" s="5">
        <f t="shared" si="454"/>
        <v>2012</v>
      </c>
    </row>
    <row r="3807" spans="1:13" ht="17.45" customHeight="1" x14ac:dyDescent="0.25">
      <c r="A3807" s="1">
        <f>DATE(2012,9,16)</f>
        <v>41168</v>
      </c>
      <c r="B3807" t="s">
        <v>16</v>
      </c>
      <c r="C3807" t="s">
        <v>8</v>
      </c>
      <c r="D3807" s="3">
        <v>853.95249999999999</v>
      </c>
      <c r="E3807" s="3">
        <v>0</v>
      </c>
      <c r="F3807" t="s">
        <v>45</v>
      </c>
      <c r="G3807" s="3">
        <f t="shared" si="448"/>
        <v>-853.95249999999999</v>
      </c>
      <c r="H3807" s="3">
        <f t="shared" si="449"/>
        <v>853.95249999999999</v>
      </c>
      <c r="I3807" s="5" t="str">
        <f t="shared" si="450"/>
        <v>017</v>
      </c>
      <c r="J3807" s="5" t="str">
        <f t="shared" si="451"/>
        <v>2210</v>
      </c>
      <c r="K3807" s="5" t="str">
        <f t="shared" si="452"/>
        <v>000</v>
      </c>
      <c r="L3807" s="5">
        <f t="shared" si="453"/>
        <v>9</v>
      </c>
      <c r="M3807" s="5">
        <f t="shared" si="454"/>
        <v>2012</v>
      </c>
    </row>
    <row r="3808" spans="1:13" ht="17.45" customHeight="1" x14ac:dyDescent="0.25">
      <c r="A3808" s="1">
        <f>DATE(2012,9,16)</f>
        <v>41168</v>
      </c>
      <c r="B3808" t="s">
        <v>17</v>
      </c>
      <c r="C3808" t="s">
        <v>9</v>
      </c>
      <c r="D3808" s="3">
        <v>145.08750000000001</v>
      </c>
      <c r="E3808" s="3">
        <v>0</v>
      </c>
      <c r="F3808" t="s">
        <v>45</v>
      </c>
      <c r="G3808" s="3">
        <f t="shared" si="448"/>
        <v>-145.08750000000001</v>
      </c>
      <c r="H3808" s="3">
        <f t="shared" si="449"/>
        <v>145.08750000000001</v>
      </c>
      <c r="I3808" s="5" t="str">
        <f t="shared" si="450"/>
        <v>017</v>
      </c>
      <c r="J3808" s="5" t="str">
        <f t="shared" si="451"/>
        <v>2220</v>
      </c>
      <c r="K3808" s="5" t="str">
        <f t="shared" si="452"/>
        <v>000</v>
      </c>
      <c r="L3808" s="5">
        <f t="shared" si="453"/>
        <v>9</v>
      </c>
      <c r="M3808" s="5">
        <f t="shared" si="454"/>
        <v>2012</v>
      </c>
    </row>
    <row r="3809" spans="1:13" ht="17.45" customHeight="1" x14ac:dyDescent="0.25">
      <c r="A3809" s="1">
        <f>DATE(2012,9,16)</f>
        <v>41168</v>
      </c>
      <c r="B3809" t="s">
        <v>18</v>
      </c>
      <c r="C3809" t="s">
        <v>10</v>
      </c>
      <c r="D3809" s="3">
        <v>74.338999999999999</v>
      </c>
      <c r="E3809" s="3">
        <v>0</v>
      </c>
      <c r="F3809" t="s">
        <v>45</v>
      </c>
      <c r="G3809" s="3">
        <f t="shared" si="448"/>
        <v>-74.338999999999999</v>
      </c>
      <c r="H3809" s="3">
        <f t="shared" si="449"/>
        <v>74.338999999999999</v>
      </c>
      <c r="I3809" s="5" t="str">
        <f t="shared" si="450"/>
        <v>017</v>
      </c>
      <c r="J3809" s="5" t="str">
        <f t="shared" si="451"/>
        <v>2230</v>
      </c>
      <c r="K3809" s="5" t="str">
        <f t="shared" si="452"/>
        <v>000</v>
      </c>
      <c r="L3809" s="5">
        <f t="shared" si="453"/>
        <v>9</v>
      </c>
      <c r="M3809" s="5">
        <f t="shared" si="454"/>
        <v>2012</v>
      </c>
    </row>
    <row r="3810" spans="1:13" ht="17.45" customHeight="1" x14ac:dyDescent="0.25">
      <c r="A3810" s="1">
        <f>DATE(2012,9,10)</f>
        <v>41162</v>
      </c>
      <c r="B3810" t="s">
        <v>19</v>
      </c>
      <c r="C3810" t="s">
        <v>6</v>
      </c>
      <c r="D3810" s="3">
        <v>2997.567</v>
      </c>
      <c r="E3810" s="3">
        <v>0</v>
      </c>
      <c r="F3810" t="s">
        <v>45</v>
      </c>
      <c r="G3810" s="3">
        <f t="shared" si="448"/>
        <v>-2997.567</v>
      </c>
      <c r="H3810" s="3">
        <f t="shared" si="449"/>
        <v>2997.567</v>
      </c>
      <c r="I3810" s="5" t="str">
        <f t="shared" si="450"/>
        <v>018</v>
      </c>
      <c r="J3810" s="5" t="str">
        <f t="shared" si="451"/>
        <v>2100</v>
      </c>
      <c r="K3810" s="5" t="str">
        <f t="shared" si="452"/>
        <v>000</v>
      </c>
      <c r="L3810" s="5">
        <f t="shared" si="453"/>
        <v>9</v>
      </c>
      <c r="M3810" s="5">
        <f t="shared" si="454"/>
        <v>2012</v>
      </c>
    </row>
    <row r="3811" spans="1:13" ht="17.45" customHeight="1" x14ac:dyDescent="0.25">
      <c r="A3811" s="1">
        <f>DATE(2012,9,10)</f>
        <v>41162</v>
      </c>
      <c r="B3811" t="s">
        <v>20</v>
      </c>
      <c r="C3811" t="s">
        <v>8</v>
      </c>
      <c r="D3811" s="3">
        <v>584.39499999999998</v>
      </c>
      <c r="E3811" s="3">
        <v>0</v>
      </c>
      <c r="F3811" t="s">
        <v>45</v>
      </c>
      <c r="G3811" s="3">
        <f t="shared" si="448"/>
        <v>-584.39499999999998</v>
      </c>
      <c r="H3811" s="3">
        <f t="shared" si="449"/>
        <v>584.39499999999998</v>
      </c>
      <c r="I3811" s="5" t="str">
        <f t="shared" si="450"/>
        <v>018</v>
      </c>
      <c r="J3811" s="5" t="str">
        <f t="shared" si="451"/>
        <v>2210</v>
      </c>
      <c r="K3811" s="5" t="str">
        <f t="shared" si="452"/>
        <v>000</v>
      </c>
      <c r="L3811" s="5">
        <f t="shared" si="453"/>
        <v>9</v>
      </c>
      <c r="M3811" s="5">
        <f t="shared" si="454"/>
        <v>2012</v>
      </c>
    </row>
    <row r="3812" spans="1:13" ht="17.45" customHeight="1" x14ac:dyDescent="0.25">
      <c r="A3812" s="1">
        <f>DATE(2012,9,10)</f>
        <v>41162</v>
      </c>
      <c r="B3812" t="s">
        <v>21</v>
      </c>
      <c r="C3812" t="s">
        <v>9</v>
      </c>
      <c r="D3812" s="3">
        <v>94.034500000000008</v>
      </c>
      <c r="E3812" s="3">
        <v>0</v>
      </c>
      <c r="F3812" t="s">
        <v>45</v>
      </c>
      <c r="G3812" s="3">
        <f t="shared" si="448"/>
        <v>-94.034500000000008</v>
      </c>
      <c r="H3812" s="3">
        <f t="shared" si="449"/>
        <v>94.034500000000008</v>
      </c>
      <c r="I3812" s="5" t="str">
        <f t="shared" si="450"/>
        <v>018</v>
      </c>
      <c r="J3812" s="5" t="str">
        <f t="shared" si="451"/>
        <v>2220</v>
      </c>
      <c r="K3812" s="5" t="str">
        <f t="shared" si="452"/>
        <v>000</v>
      </c>
      <c r="L3812" s="5">
        <f t="shared" si="453"/>
        <v>9</v>
      </c>
      <c r="M3812" s="5">
        <f t="shared" si="454"/>
        <v>2012</v>
      </c>
    </row>
    <row r="3813" spans="1:13" ht="17.45" customHeight="1" x14ac:dyDescent="0.25">
      <c r="A3813" s="1">
        <f>DATE(2012,9,10)</f>
        <v>41162</v>
      </c>
      <c r="B3813" t="s">
        <v>22</v>
      </c>
      <c r="C3813" t="s">
        <v>10</v>
      </c>
      <c r="D3813" s="3">
        <v>11.154</v>
      </c>
      <c r="E3813" s="3">
        <v>0</v>
      </c>
      <c r="F3813" t="s">
        <v>45</v>
      </c>
      <c r="G3813" s="3">
        <f t="shared" si="448"/>
        <v>-11.154</v>
      </c>
      <c r="H3813" s="3">
        <f t="shared" si="449"/>
        <v>11.154</v>
      </c>
      <c r="I3813" s="5" t="str">
        <f t="shared" si="450"/>
        <v>018</v>
      </c>
      <c r="J3813" s="5" t="str">
        <f t="shared" si="451"/>
        <v>2230</v>
      </c>
      <c r="K3813" s="5" t="str">
        <f t="shared" si="452"/>
        <v>000</v>
      </c>
      <c r="L3813" s="5">
        <f t="shared" si="453"/>
        <v>9</v>
      </c>
      <c r="M3813" s="5">
        <f t="shared" si="454"/>
        <v>2012</v>
      </c>
    </row>
    <row r="3814" spans="1:13" ht="17.45" customHeight="1" x14ac:dyDescent="0.25">
      <c r="A3814" s="1">
        <f>DATE(2012,9,11)</f>
        <v>41163</v>
      </c>
      <c r="B3814" t="s">
        <v>19</v>
      </c>
      <c r="C3814" t="s">
        <v>6</v>
      </c>
      <c r="D3814" s="3">
        <v>4970.8019999999997</v>
      </c>
      <c r="E3814" s="3">
        <v>0</v>
      </c>
      <c r="F3814" t="s">
        <v>45</v>
      </c>
      <c r="G3814" s="3">
        <f t="shared" si="448"/>
        <v>-4970.8019999999997</v>
      </c>
      <c r="H3814" s="3">
        <f t="shared" si="449"/>
        <v>4970.8019999999997</v>
      </c>
      <c r="I3814" s="5" t="str">
        <f t="shared" si="450"/>
        <v>018</v>
      </c>
      <c r="J3814" s="5" t="str">
        <f t="shared" si="451"/>
        <v>2100</v>
      </c>
      <c r="K3814" s="5" t="str">
        <f t="shared" si="452"/>
        <v>000</v>
      </c>
      <c r="L3814" s="5">
        <f t="shared" si="453"/>
        <v>9</v>
      </c>
      <c r="M3814" s="5">
        <f t="shared" si="454"/>
        <v>2012</v>
      </c>
    </row>
    <row r="3815" spans="1:13" ht="17.45" customHeight="1" x14ac:dyDescent="0.25">
      <c r="A3815" s="1">
        <f>DATE(2012,9,11)</f>
        <v>41163</v>
      </c>
      <c r="B3815" t="s">
        <v>20</v>
      </c>
      <c r="C3815" t="s">
        <v>8</v>
      </c>
      <c r="D3815" s="3">
        <v>1168.2920000000001</v>
      </c>
      <c r="E3815" s="3">
        <v>0</v>
      </c>
      <c r="F3815" t="s">
        <v>45</v>
      </c>
      <c r="G3815" s="3">
        <f t="shared" si="448"/>
        <v>-1168.2920000000001</v>
      </c>
      <c r="H3815" s="3">
        <f t="shared" si="449"/>
        <v>1168.2920000000001</v>
      </c>
      <c r="I3815" s="5" t="str">
        <f t="shared" si="450"/>
        <v>018</v>
      </c>
      <c r="J3815" s="5" t="str">
        <f t="shared" si="451"/>
        <v>2210</v>
      </c>
      <c r="K3815" s="5" t="str">
        <f t="shared" si="452"/>
        <v>000</v>
      </c>
      <c r="L3815" s="5">
        <f t="shared" si="453"/>
        <v>9</v>
      </c>
      <c r="M3815" s="5">
        <f t="shared" si="454"/>
        <v>2012</v>
      </c>
    </row>
    <row r="3816" spans="1:13" ht="17.45" customHeight="1" x14ac:dyDescent="0.25">
      <c r="A3816" s="1">
        <f>DATE(2012,9,11)</f>
        <v>41163</v>
      </c>
      <c r="B3816" t="s">
        <v>21</v>
      </c>
      <c r="C3816" t="s">
        <v>9</v>
      </c>
      <c r="D3816" s="3">
        <v>266.4785</v>
      </c>
      <c r="E3816" s="3">
        <v>0</v>
      </c>
      <c r="F3816" t="s">
        <v>45</v>
      </c>
      <c r="G3816" s="3">
        <f t="shared" si="448"/>
        <v>-266.4785</v>
      </c>
      <c r="H3816" s="3">
        <f t="shared" si="449"/>
        <v>266.4785</v>
      </c>
      <c r="I3816" s="5" t="str">
        <f t="shared" si="450"/>
        <v>018</v>
      </c>
      <c r="J3816" s="5" t="str">
        <f t="shared" si="451"/>
        <v>2220</v>
      </c>
      <c r="K3816" s="5" t="str">
        <f t="shared" si="452"/>
        <v>000</v>
      </c>
      <c r="L3816" s="5">
        <f t="shared" si="453"/>
        <v>9</v>
      </c>
      <c r="M3816" s="5">
        <f t="shared" si="454"/>
        <v>2012</v>
      </c>
    </row>
    <row r="3817" spans="1:13" ht="17.45" customHeight="1" x14ac:dyDescent="0.25">
      <c r="A3817" s="1">
        <f>DATE(2012,9,11)</f>
        <v>41163</v>
      </c>
      <c r="B3817" t="s">
        <v>22</v>
      </c>
      <c r="C3817" t="s">
        <v>10</v>
      </c>
      <c r="D3817" s="3">
        <v>18.175999999999998</v>
      </c>
      <c r="E3817" s="3">
        <v>0</v>
      </c>
      <c r="F3817" t="s">
        <v>45</v>
      </c>
      <c r="G3817" s="3">
        <f t="shared" si="448"/>
        <v>-18.175999999999998</v>
      </c>
      <c r="H3817" s="3">
        <f t="shared" si="449"/>
        <v>18.175999999999998</v>
      </c>
      <c r="I3817" s="5" t="str">
        <f t="shared" si="450"/>
        <v>018</v>
      </c>
      <c r="J3817" s="5" t="str">
        <f t="shared" si="451"/>
        <v>2230</v>
      </c>
      <c r="K3817" s="5" t="str">
        <f t="shared" si="452"/>
        <v>000</v>
      </c>
      <c r="L3817" s="5">
        <f t="shared" si="453"/>
        <v>9</v>
      </c>
      <c r="M3817" s="5">
        <f t="shared" si="454"/>
        <v>2012</v>
      </c>
    </row>
    <row r="3818" spans="1:13" ht="17.45" customHeight="1" x14ac:dyDescent="0.25">
      <c r="A3818" s="1">
        <f>DATE(2012,9,12)</f>
        <v>41164</v>
      </c>
      <c r="B3818" t="s">
        <v>19</v>
      </c>
      <c r="C3818" t="s">
        <v>6</v>
      </c>
      <c r="D3818" s="3">
        <v>2955.5460000000003</v>
      </c>
      <c r="E3818" s="3">
        <v>0</v>
      </c>
      <c r="F3818" t="s">
        <v>45</v>
      </c>
      <c r="G3818" s="3">
        <f t="shared" si="448"/>
        <v>-2955.5460000000003</v>
      </c>
      <c r="H3818" s="3">
        <f t="shared" si="449"/>
        <v>2955.5460000000003</v>
      </c>
      <c r="I3818" s="5" t="str">
        <f t="shared" si="450"/>
        <v>018</v>
      </c>
      <c r="J3818" s="5" t="str">
        <f t="shared" si="451"/>
        <v>2100</v>
      </c>
      <c r="K3818" s="5" t="str">
        <f t="shared" si="452"/>
        <v>000</v>
      </c>
      <c r="L3818" s="5">
        <f t="shared" si="453"/>
        <v>9</v>
      </c>
      <c r="M3818" s="5">
        <f t="shared" si="454"/>
        <v>2012</v>
      </c>
    </row>
    <row r="3819" spans="1:13" ht="17.45" customHeight="1" x14ac:dyDescent="0.25">
      <c r="A3819" s="1">
        <f>DATE(2012,9,12)</f>
        <v>41164</v>
      </c>
      <c r="B3819" t="s">
        <v>20</v>
      </c>
      <c r="C3819" t="s">
        <v>8</v>
      </c>
      <c r="D3819" s="3">
        <v>742.34999999999991</v>
      </c>
      <c r="E3819" s="3">
        <v>0</v>
      </c>
      <c r="F3819" t="s">
        <v>45</v>
      </c>
      <c r="G3819" s="3">
        <f t="shared" si="448"/>
        <v>-742.34999999999991</v>
      </c>
      <c r="H3819" s="3">
        <f t="shared" si="449"/>
        <v>742.34999999999991</v>
      </c>
      <c r="I3819" s="5" t="str">
        <f t="shared" si="450"/>
        <v>018</v>
      </c>
      <c r="J3819" s="5" t="str">
        <f t="shared" si="451"/>
        <v>2210</v>
      </c>
      <c r="K3819" s="5" t="str">
        <f t="shared" si="452"/>
        <v>000</v>
      </c>
      <c r="L3819" s="5">
        <f t="shared" si="453"/>
        <v>9</v>
      </c>
      <c r="M3819" s="5">
        <f t="shared" si="454"/>
        <v>2012</v>
      </c>
    </row>
    <row r="3820" spans="1:13" ht="17.45" customHeight="1" x14ac:dyDescent="0.25">
      <c r="A3820" s="1">
        <f>DATE(2012,9,12)</f>
        <v>41164</v>
      </c>
      <c r="B3820" t="s">
        <v>21</v>
      </c>
      <c r="C3820" t="s">
        <v>9</v>
      </c>
      <c r="D3820" s="3">
        <v>199.95300000000003</v>
      </c>
      <c r="E3820" s="3">
        <v>0</v>
      </c>
      <c r="F3820" t="s">
        <v>45</v>
      </c>
      <c r="G3820" s="3">
        <f t="shared" si="448"/>
        <v>-199.95300000000003</v>
      </c>
      <c r="H3820" s="3">
        <f t="shared" si="449"/>
        <v>199.95300000000003</v>
      </c>
      <c r="I3820" s="5" t="str">
        <f t="shared" si="450"/>
        <v>018</v>
      </c>
      <c r="J3820" s="5" t="str">
        <f t="shared" si="451"/>
        <v>2220</v>
      </c>
      <c r="K3820" s="5" t="str">
        <f t="shared" si="452"/>
        <v>000</v>
      </c>
      <c r="L3820" s="5">
        <f t="shared" si="453"/>
        <v>9</v>
      </c>
      <c r="M3820" s="5">
        <f t="shared" si="454"/>
        <v>2012</v>
      </c>
    </row>
    <row r="3821" spans="1:13" ht="17.45" customHeight="1" x14ac:dyDescent="0.25">
      <c r="A3821" s="1">
        <f>DATE(2012,9,12)</f>
        <v>41164</v>
      </c>
      <c r="B3821" t="s">
        <v>22</v>
      </c>
      <c r="C3821" t="s">
        <v>10</v>
      </c>
      <c r="D3821" s="3">
        <v>82.294000000000011</v>
      </c>
      <c r="E3821" s="3">
        <v>0</v>
      </c>
      <c r="F3821" t="s">
        <v>45</v>
      </c>
      <c r="G3821" s="3">
        <f t="shared" si="448"/>
        <v>-82.294000000000011</v>
      </c>
      <c r="H3821" s="3">
        <f t="shared" si="449"/>
        <v>82.294000000000011</v>
      </c>
      <c r="I3821" s="5" t="str">
        <f t="shared" si="450"/>
        <v>018</v>
      </c>
      <c r="J3821" s="5" t="str">
        <f t="shared" si="451"/>
        <v>2230</v>
      </c>
      <c r="K3821" s="5" t="str">
        <f t="shared" si="452"/>
        <v>000</v>
      </c>
      <c r="L3821" s="5">
        <f t="shared" si="453"/>
        <v>9</v>
      </c>
      <c r="M3821" s="5">
        <f t="shared" si="454"/>
        <v>2012</v>
      </c>
    </row>
    <row r="3822" spans="1:13" ht="17.45" customHeight="1" x14ac:dyDescent="0.25">
      <c r="A3822" s="1">
        <f>DATE(2012,9,13)</f>
        <v>41165</v>
      </c>
      <c r="B3822" t="s">
        <v>19</v>
      </c>
      <c r="C3822" t="s">
        <v>6</v>
      </c>
      <c r="D3822" s="3">
        <v>5284.6639999999998</v>
      </c>
      <c r="E3822" s="3">
        <v>0</v>
      </c>
      <c r="F3822" t="s">
        <v>45</v>
      </c>
      <c r="G3822" s="3">
        <f t="shared" si="448"/>
        <v>-5284.6639999999998</v>
      </c>
      <c r="H3822" s="3">
        <f t="shared" si="449"/>
        <v>5284.6639999999998</v>
      </c>
      <c r="I3822" s="5" t="str">
        <f t="shared" si="450"/>
        <v>018</v>
      </c>
      <c r="J3822" s="5" t="str">
        <f t="shared" si="451"/>
        <v>2100</v>
      </c>
      <c r="K3822" s="5" t="str">
        <f t="shared" si="452"/>
        <v>000</v>
      </c>
      <c r="L3822" s="5">
        <f t="shared" si="453"/>
        <v>9</v>
      </c>
      <c r="M3822" s="5">
        <f t="shared" si="454"/>
        <v>2012</v>
      </c>
    </row>
    <row r="3823" spans="1:13" ht="17.45" customHeight="1" x14ac:dyDescent="0.25">
      <c r="A3823" s="1">
        <f>DATE(2012,9,13)</f>
        <v>41165</v>
      </c>
      <c r="B3823" t="s">
        <v>20</v>
      </c>
      <c r="C3823" t="s">
        <v>8</v>
      </c>
      <c r="D3823" s="3">
        <v>1081.498</v>
      </c>
      <c r="E3823" s="3">
        <v>0</v>
      </c>
      <c r="F3823" t="s">
        <v>45</v>
      </c>
      <c r="G3823" s="3">
        <f t="shared" si="448"/>
        <v>-1081.498</v>
      </c>
      <c r="H3823" s="3">
        <f t="shared" si="449"/>
        <v>1081.498</v>
      </c>
      <c r="I3823" s="5" t="str">
        <f t="shared" si="450"/>
        <v>018</v>
      </c>
      <c r="J3823" s="5" t="str">
        <f t="shared" si="451"/>
        <v>2210</v>
      </c>
      <c r="K3823" s="5" t="str">
        <f t="shared" si="452"/>
        <v>000</v>
      </c>
      <c r="L3823" s="5">
        <f t="shared" si="453"/>
        <v>9</v>
      </c>
      <c r="M3823" s="5">
        <f t="shared" si="454"/>
        <v>2012</v>
      </c>
    </row>
    <row r="3824" spans="1:13" ht="17.45" customHeight="1" x14ac:dyDescent="0.25">
      <c r="A3824" s="1">
        <f>DATE(2012,9,13)</f>
        <v>41165</v>
      </c>
      <c r="B3824" t="s">
        <v>21</v>
      </c>
      <c r="C3824" t="s">
        <v>9</v>
      </c>
      <c r="D3824" s="3">
        <v>268.55799999999999</v>
      </c>
      <c r="E3824" s="3">
        <v>0</v>
      </c>
      <c r="F3824" t="s">
        <v>45</v>
      </c>
      <c r="G3824" s="3">
        <f t="shared" si="448"/>
        <v>-268.55799999999999</v>
      </c>
      <c r="H3824" s="3">
        <f t="shared" si="449"/>
        <v>268.55799999999999</v>
      </c>
      <c r="I3824" s="5" t="str">
        <f t="shared" si="450"/>
        <v>018</v>
      </c>
      <c r="J3824" s="5" t="str">
        <f t="shared" si="451"/>
        <v>2220</v>
      </c>
      <c r="K3824" s="5" t="str">
        <f t="shared" si="452"/>
        <v>000</v>
      </c>
      <c r="L3824" s="5">
        <f t="shared" si="453"/>
        <v>9</v>
      </c>
      <c r="M3824" s="5">
        <f t="shared" si="454"/>
        <v>2012</v>
      </c>
    </row>
    <row r="3825" spans="1:13" ht="17.45" customHeight="1" x14ac:dyDescent="0.25">
      <c r="A3825" s="1">
        <f>DATE(2012,9,13)</f>
        <v>41165</v>
      </c>
      <c r="B3825" t="s">
        <v>22</v>
      </c>
      <c r="C3825" t="s">
        <v>10</v>
      </c>
      <c r="D3825" s="3">
        <v>33.510999999999996</v>
      </c>
      <c r="E3825" s="3">
        <v>0</v>
      </c>
      <c r="F3825" t="s">
        <v>45</v>
      </c>
      <c r="G3825" s="3">
        <f t="shared" si="448"/>
        <v>-33.510999999999996</v>
      </c>
      <c r="H3825" s="3">
        <f t="shared" si="449"/>
        <v>33.510999999999996</v>
      </c>
      <c r="I3825" s="5" t="str">
        <f t="shared" si="450"/>
        <v>018</v>
      </c>
      <c r="J3825" s="5" t="str">
        <f t="shared" si="451"/>
        <v>2230</v>
      </c>
      <c r="K3825" s="5" t="str">
        <f t="shared" si="452"/>
        <v>000</v>
      </c>
      <c r="L3825" s="5">
        <f t="shared" si="453"/>
        <v>9</v>
      </c>
      <c r="M3825" s="5">
        <f t="shared" si="454"/>
        <v>2012</v>
      </c>
    </row>
    <row r="3826" spans="1:13" ht="17.45" customHeight="1" x14ac:dyDescent="0.25">
      <c r="A3826" s="1">
        <f>DATE(2012,9,14)</f>
        <v>41166</v>
      </c>
      <c r="B3826" t="s">
        <v>19</v>
      </c>
      <c r="C3826" t="s">
        <v>6</v>
      </c>
      <c r="D3826" s="3">
        <v>12499.010799999998</v>
      </c>
      <c r="E3826" s="3">
        <v>0</v>
      </c>
      <c r="F3826" t="s">
        <v>45</v>
      </c>
      <c r="G3826" s="3">
        <f t="shared" si="448"/>
        <v>-12499.010799999998</v>
      </c>
      <c r="H3826" s="3">
        <f t="shared" si="449"/>
        <v>12499.010799999998</v>
      </c>
      <c r="I3826" s="5" t="str">
        <f t="shared" si="450"/>
        <v>018</v>
      </c>
      <c r="J3826" s="5" t="str">
        <f t="shared" si="451"/>
        <v>2100</v>
      </c>
      <c r="K3826" s="5" t="str">
        <f t="shared" si="452"/>
        <v>000</v>
      </c>
      <c r="L3826" s="5">
        <f t="shared" si="453"/>
        <v>9</v>
      </c>
      <c r="M3826" s="5">
        <f t="shared" si="454"/>
        <v>2012</v>
      </c>
    </row>
    <row r="3827" spans="1:13" ht="17.45" customHeight="1" x14ac:dyDescent="0.25">
      <c r="A3827" s="1">
        <f>DATE(2012,9,14)</f>
        <v>41166</v>
      </c>
      <c r="B3827" t="s">
        <v>20</v>
      </c>
      <c r="C3827" t="s">
        <v>8</v>
      </c>
      <c r="D3827" s="3">
        <v>2616.11</v>
      </c>
      <c r="E3827" s="3">
        <v>0</v>
      </c>
      <c r="F3827" t="s">
        <v>45</v>
      </c>
      <c r="G3827" s="3">
        <f t="shared" si="448"/>
        <v>-2616.11</v>
      </c>
      <c r="H3827" s="3">
        <f t="shared" si="449"/>
        <v>2616.11</v>
      </c>
      <c r="I3827" s="5" t="str">
        <f t="shared" si="450"/>
        <v>018</v>
      </c>
      <c r="J3827" s="5" t="str">
        <f t="shared" si="451"/>
        <v>2210</v>
      </c>
      <c r="K3827" s="5" t="str">
        <f t="shared" si="452"/>
        <v>000</v>
      </c>
      <c r="L3827" s="5">
        <f t="shared" si="453"/>
        <v>9</v>
      </c>
      <c r="M3827" s="5">
        <f t="shared" si="454"/>
        <v>2012</v>
      </c>
    </row>
    <row r="3828" spans="1:13" ht="17.45" customHeight="1" x14ac:dyDescent="0.25">
      <c r="A3828" s="1">
        <f>DATE(2012,9,14)</f>
        <v>41166</v>
      </c>
      <c r="B3828" t="s">
        <v>21</v>
      </c>
      <c r="C3828" t="s">
        <v>9</v>
      </c>
      <c r="D3828" s="3">
        <v>635.03300000000002</v>
      </c>
      <c r="E3828" s="3">
        <v>0</v>
      </c>
      <c r="F3828" t="s">
        <v>45</v>
      </c>
      <c r="G3828" s="3">
        <f t="shared" si="448"/>
        <v>-635.03300000000002</v>
      </c>
      <c r="H3828" s="3">
        <f t="shared" si="449"/>
        <v>635.03300000000002</v>
      </c>
      <c r="I3828" s="5" t="str">
        <f t="shared" si="450"/>
        <v>018</v>
      </c>
      <c r="J3828" s="5" t="str">
        <f t="shared" si="451"/>
        <v>2220</v>
      </c>
      <c r="K3828" s="5" t="str">
        <f t="shared" si="452"/>
        <v>000</v>
      </c>
      <c r="L3828" s="5">
        <f t="shared" si="453"/>
        <v>9</v>
      </c>
      <c r="M3828" s="5">
        <f t="shared" si="454"/>
        <v>2012</v>
      </c>
    </row>
    <row r="3829" spans="1:13" ht="17.45" customHeight="1" x14ac:dyDescent="0.25">
      <c r="A3829" s="1">
        <f>DATE(2012,9,14)</f>
        <v>41166</v>
      </c>
      <c r="B3829" t="s">
        <v>22</v>
      </c>
      <c r="C3829" t="s">
        <v>10</v>
      </c>
      <c r="D3829" s="3">
        <v>235.7475</v>
      </c>
      <c r="E3829" s="3">
        <v>0</v>
      </c>
      <c r="F3829" t="s">
        <v>45</v>
      </c>
      <c r="G3829" s="3">
        <f t="shared" si="448"/>
        <v>-235.7475</v>
      </c>
      <c r="H3829" s="3">
        <f t="shared" si="449"/>
        <v>235.7475</v>
      </c>
      <c r="I3829" s="5" t="str">
        <f t="shared" si="450"/>
        <v>018</v>
      </c>
      <c r="J3829" s="5" t="str">
        <f t="shared" si="451"/>
        <v>2230</v>
      </c>
      <c r="K3829" s="5" t="str">
        <f t="shared" si="452"/>
        <v>000</v>
      </c>
      <c r="L3829" s="5">
        <f t="shared" si="453"/>
        <v>9</v>
      </c>
      <c r="M3829" s="5">
        <f t="shared" si="454"/>
        <v>2012</v>
      </c>
    </row>
    <row r="3830" spans="1:13" ht="17.45" customHeight="1" x14ac:dyDescent="0.25">
      <c r="A3830" s="1">
        <f>DATE(2012,9,15)</f>
        <v>41167</v>
      </c>
      <c r="B3830" t="s">
        <v>19</v>
      </c>
      <c r="C3830" t="s">
        <v>6</v>
      </c>
      <c r="D3830" s="3">
        <v>13256.434999999999</v>
      </c>
      <c r="E3830" s="3">
        <v>0</v>
      </c>
      <c r="F3830" t="s">
        <v>45</v>
      </c>
      <c r="G3830" s="3">
        <f t="shared" si="448"/>
        <v>-13256.434999999999</v>
      </c>
      <c r="H3830" s="3">
        <f t="shared" si="449"/>
        <v>13256.434999999999</v>
      </c>
      <c r="I3830" s="5" t="str">
        <f t="shared" si="450"/>
        <v>018</v>
      </c>
      <c r="J3830" s="5" t="str">
        <f t="shared" si="451"/>
        <v>2100</v>
      </c>
      <c r="K3830" s="5" t="str">
        <f t="shared" si="452"/>
        <v>000</v>
      </c>
      <c r="L3830" s="5">
        <f t="shared" si="453"/>
        <v>9</v>
      </c>
      <c r="M3830" s="5">
        <f t="shared" si="454"/>
        <v>2012</v>
      </c>
    </row>
    <row r="3831" spans="1:13" ht="17.45" customHeight="1" x14ac:dyDescent="0.25">
      <c r="A3831" s="1">
        <f>DATE(2012,9,15)</f>
        <v>41167</v>
      </c>
      <c r="B3831" t="s">
        <v>20</v>
      </c>
      <c r="C3831" t="s">
        <v>8</v>
      </c>
      <c r="D3831" s="3">
        <v>2771.4160000000002</v>
      </c>
      <c r="E3831" s="3">
        <v>0</v>
      </c>
      <c r="F3831" t="s">
        <v>45</v>
      </c>
      <c r="G3831" s="3">
        <f t="shared" si="448"/>
        <v>-2771.4160000000002</v>
      </c>
      <c r="H3831" s="3">
        <f t="shared" si="449"/>
        <v>2771.4160000000002</v>
      </c>
      <c r="I3831" s="5" t="str">
        <f t="shared" si="450"/>
        <v>018</v>
      </c>
      <c r="J3831" s="5" t="str">
        <f t="shared" si="451"/>
        <v>2210</v>
      </c>
      <c r="K3831" s="5" t="str">
        <f t="shared" si="452"/>
        <v>000</v>
      </c>
      <c r="L3831" s="5">
        <f t="shared" si="453"/>
        <v>9</v>
      </c>
      <c r="M3831" s="5">
        <f t="shared" si="454"/>
        <v>2012</v>
      </c>
    </row>
    <row r="3832" spans="1:13" ht="17.45" customHeight="1" x14ac:dyDescent="0.25">
      <c r="A3832" s="1">
        <f>DATE(2012,9,15)</f>
        <v>41167</v>
      </c>
      <c r="B3832" t="s">
        <v>21</v>
      </c>
      <c r="C3832" t="s">
        <v>9</v>
      </c>
      <c r="D3832" s="3">
        <v>472.98600000000005</v>
      </c>
      <c r="E3832" s="3">
        <v>0</v>
      </c>
      <c r="F3832" t="s">
        <v>45</v>
      </c>
      <c r="G3832" s="3">
        <f t="shared" si="448"/>
        <v>-472.98600000000005</v>
      </c>
      <c r="H3832" s="3">
        <f t="shared" si="449"/>
        <v>472.98600000000005</v>
      </c>
      <c r="I3832" s="5" t="str">
        <f t="shared" si="450"/>
        <v>018</v>
      </c>
      <c r="J3832" s="5" t="str">
        <f t="shared" si="451"/>
        <v>2220</v>
      </c>
      <c r="K3832" s="5" t="str">
        <f t="shared" si="452"/>
        <v>000</v>
      </c>
      <c r="L3832" s="5">
        <f t="shared" si="453"/>
        <v>9</v>
      </c>
      <c r="M3832" s="5">
        <f t="shared" si="454"/>
        <v>2012</v>
      </c>
    </row>
    <row r="3833" spans="1:13" ht="17.45" customHeight="1" x14ac:dyDescent="0.25">
      <c r="A3833" s="1">
        <f>DATE(2012,9,15)</f>
        <v>41167</v>
      </c>
      <c r="B3833" t="s">
        <v>22</v>
      </c>
      <c r="C3833" t="s">
        <v>10</v>
      </c>
      <c r="D3833" s="3">
        <v>213.46499999999997</v>
      </c>
      <c r="E3833" s="3">
        <v>0</v>
      </c>
      <c r="F3833" t="s">
        <v>45</v>
      </c>
      <c r="G3833" s="3">
        <f t="shared" si="448"/>
        <v>-213.46499999999997</v>
      </c>
      <c r="H3833" s="3">
        <f t="shared" si="449"/>
        <v>213.46499999999997</v>
      </c>
      <c r="I3833" s="5" t="str">
        <f t="shared" si="450"/>
        <v>018</v>
      </c>
      <c r="J3833" s="5" t="str">
        <f t="shared" si="451"/>
        <v>2230</v>
      </c>
      <c r="K3833" s="5" t="str">
        <f t="shared" si="452"/>
        <v>000</v>
      </c>
      <c r="L3833" s="5">
        <f t="shared" si="453"/>
        <v>9</v>
      </c>
      <c r="M3833" s="5">
        <f t="shared" si="454"/>
        <v>2012</v>
      </c>
    </row>
    <row r="3834" spans="1:13" ht="17.45" customHeight="1" x14ac:dyDescent="0.25">
      <c r="A3834" s="1">
        <f>DATE(2012,9,16)</f>
        <v>41168</v>
      </c>
      <c r="B3834" t="s">
        <v>19</v>
      </c>
      <c r="C3834" t="s">
        <v>6</v>
      </c>
      <c r="D3834" s="3">
        <v>6876.3110000000006</v>
      </c>
      <c r="E3834" s="3">
        <v>0</v>
      </c>
      <c r="F3834" t="s">
        <v>45</v>
      </c>
      <c r="G3834" s="3">
        <f t="shared" si="448"/>
        <v>-6876.3110000000006</v>
      </c>
      <c r="H3834" s="3">
        <f t="shared" si="449"/>
        <v>6876.3110000000006</v>
      </c>
      <c r="I3834" s="5" t="str">
        <f t="shared" si="450"/>
        <v>018</v>
      </c>
      <c r="J3834" s="5" t="str">
        <f t="shared" si="451"/>
        <v>2100</v>
      </c>
      <c r="K3834" s="5" t="str">
        <f t="shared" si="452"/>
        <v>000</v>
      </c>
      <c r="L3834" s="5">
        <f t="shared" si="453"/>
        <v>9</v>
      </c>
      <c r="M3834" s="5">
        <f t="shared" si="454"/>
        <v>2012</v>
      </c>
    </row>
    <row r="3835" spans="1:13" ht="17.45" customHeight="1" x14ac:dyDescent="0.25">
      <c r="A3835" s="1">
        <f>DATE(2012,9,16)</f>
        <v>41168</v>
      </c>
      <c r="B3835" t="s">
        <v>20</v>
      </c>
      <c r="C3835" t="s">
        <v>8</v>
      </c>
      <c r="D3835" s="3">
        <v>779.18399999999997</v>
      </c>
      <c r="E3835" s="3">
        <v>0</v>
      </c>
      <c r="F3835" t="s">
        <v>45</v>
      </c>
      <c r="G3835" s="3">
        <f t="shared" si="448"/>
        <v>-779.18399999999997</v>
      </c>
      <c r="H3835" s="3">
        <f t="shared" si="449"/>
        <v>779.18399999999997</v>
      </c>
      <c r="I3835" s="5" t="str">
        <f t="shared" si="450"/>
        <v>018</v>
      </c>
      <c r="J3835" s="5" t="str">
        <f t="shared" si="451"/>
        <v>2210</v>
      </c>
      <c r="K3835" s="5" t="str">
        <f t="shared" si="452"/>
        <v>000</v>
      </c>
      <c r="L3835" s="5">
        <f t="shared" si="453"/>
        <v>9</v>
      </c>
      <c r="M3835" s="5">
        <f t="shared" si="454"/>
        <v>2012</v>
      </c>
    </row>
    <row r="3836" spans="1:13" ht="17.45" customHeight="1" x14ac:dyDescent="0.25">
      <c r="A3836" s="1">
        <f>DATE(2012,9,16)</f>
        <v>41168</v>
      </c>
      <c r="B3836" t="s">
        <v>21</v>
      </c>
      <c r="C3836" t="s">
        <v>9</v>
      </c>
      <c r="D3836" s="3">
        <v>348.12900000000002</v>
      </c>
      <c r="E3836" s="3">
        <v>0</v>
      </c>
      <c r="F3836" t="s">
        <v>45</v>
      </c>
      <c r="G3836" s="3">
        <f t="shared" si="448"/>
        <v>-348.12900000000002</v>
      </c>
      <c r="H3836" s="3">
        <f t="shared" si="449"/>
        <v>348.12900000000002</v>
      </c>
      <c r="I3836" s="5" t="str">
        <f t="shared" si="450"/>
        <v>018</v>
      </c>
      <c r="J3836" s="5" t="str">
        <f t="shared" si="451"/>
        <v>2220</v>
      </c>
      <c r="K3836" s="5" t="str">
        <f t="shared" si="452"/>
        <v>000</v>
      </c>
      <c r="L3836" s="5">
        <f t="shared" si="453"/>
        <v>9</v>
      </c>
      <c r="M3836" s="5">
        <f t="shared" si="454"/>
        <v>2012</v>
      </c>
    </row>
    <row r="3837" spans="1:13" ht="17.45" customHeight="1" x14ac:dyDescent="0.25">
      <c r="A3837" s="1">
        <f>DATE(2012,9,16)</f>
        <v>41168</v>
      </c>
      <c r="B3837" t="s">
        <v>22</v>
      </c>
      <c r="C3837" t="s">
        <v>10</v>
      </c>
      <c r="D3837" s="3">
        <v>183.26250000000002</v>
      </c>
      <c r="E3837" s="3">
        <v>0</v>
      </c>
      <c r="F3837" t="s">
        <v>45</v>
      </c>
      <c r="G3837" s="3">
        <f t="shared" si="448"/>
        <v>-183.26250000000002</v>
      </c>
      <c r="H3837" s="3">
        <f t="shared" si="449"/>
        <v>183.26250000000002</v>
      </c>
      <c r="I3837" s="5" t="str">
        <f t="shared" si="450"/>
        <v>018</v>
      </c>
      <c r="J3837" s="5" t="str">
        <f t="shared" si="451"/>
        <v>2230</v>
      </c>
      <c r="K3837" s="5" t="str">
        <f t="shared" si="452"/>
        <v>000</v>
      </c>
      <c r="L3837" s="5">
        <f t="shared" si="453"/>
        <v>9</v>
      </c>
      <c r="M3837" s="5">
        <f t="shared" si="454"/>
        <v>2012</v>
      </c>
    </row>
    <row r="3838" spans="1:13" ht="17.45" customHeight="1" x14ac:dyDescent="0.25">
      <c r="A3838" s="1">
        <f t="shared" ref="A3838:A3841" si="455">DATE(2012,9,17)</f>
        <v>41169</v>
      </c>
      <c r="B3838" t="s">
        <v>11</v>
      </c>
      <c r="C3838" t="s">
        <v>6</v>
      </c>
      <c r="D3838" s="3">
        <v>2829.57</v>
      </c>
      <c r="E3838" s="3">
        <v>0</v>
      </c>
      <c r="F3838" t="s">
        <v>45</v>
      </c>
      <c r="G3838" s="3">
        <f t="shared" si="448"/>
        <v>-2829.57</v>
      </c>
      <c r="H3838" s="3">
        <f t="shared" si="449"/>
        <v>2829.57</v>
      </c>
      <c r="I3838" s="5" t="str">
        <f t="shared" si="450"/>
        <v>016</v>
      </c>
      <c r="J3838" s="5" t="str">
        <f t="shared" si="451"/>
        <v>2100</v>
      </c>
      <c r="K3838" s="5" t="str">
        <f t="shared" si="452"/>
        <v>000</v>
      </c>
      <c r="L3838" s="5">
        <f t="shared" si="453"/>
        <v>9</v>
      </c>
      <c r="M3838" s="5">
        <f t="shared" si="454"/>
        <v>2012</v>
      </c>
    </row>
    <row r="3839" spans="1:13" ht="17.45" customHeight="1" x14ac:dyDescent="0.25">
      <c r="A3839" s="1">
        <f t="shared" si="455"/>
        <v>41169</v>
      </c>
      <c r="B3839" t="s">
        <v>12</v>
      </c>
      <c r="C3839" t="s">
        <v>8</v>
      </c>
      <c r="D3839" s="3">
        <v>432.9975</v>
      </c>
      <c r="E3839" s="3">
        <v>0</v>
      </c>
      <c r="F3839" t="s">
        <v>45</v>
      </c>
      <c r="G3839" s="3">
        <f t="shared" si="448"/>
        <v>-432.9975</v>
      </c>
      <c r="H3839" s="3">
        <f t="shared" si="449"/>
        <v>432.9975</v>
      </c>
      <c r="I3839" s="5" t="str">
        <f t="shared" si="450"/>
        <v>016</v>
      </c>
      <c r="J3839" s="5" t="str">
        <f t="shared" si="451"/>
        <v>2210</v>
      </c>
      <c r="K3839" s="5" t="str">
        <f t="shared" si="452"/>
        <v>000</v>
      </c>
      <c r="L3839" s="5">
        <f t="shared" si="453"/>
        <v>9</v>
      </c>
      <c r="M3839" s="5">
        <f t="shared" si="454"/>
        <v>2012</v>
      </c>
    </row>
    <row r="3840" spans="1:13" ht="17.45" customHeight="1" x14ac:dyDescent="0.25">
      <c r="A3840" s="1">
        <f t="shared" si="455"/>
        <v>41169</v>
      </c>
      <c r="B3840" t="s">
        <v>13</v>
      </c>
      <c r="C3840" t="s">
        <v>9</v>
      </c>
      <c r="D3840" s="3">
        <v>90.557999999999993</v>
      </c>
      <c r="E3840" s="3">
        <v>0</v>
      </c>
      <c r="F3840" t="s">
        <v>45</v>
      </c>
      <c r="G3840" s="3">
        <f t="shared" si="448"/>
        <v>-90.557999999999993</v>
      </c>
      <c r="H3840" s="3">
        <f t="shared" si="449"/>
        <v>90.557999999999993</v>
      </c>
      <c r="I3840" s="5" t="str">
        <f t="shared" si="450"/>
        <v>016</v>
      </c>
      <c r="J3840" s="5" t="str">
        <f t="shared" si="451"/>
        <v>2220</v>
      </c>
      <c r="K3840" s="5" t="str">
        <f t="shared" si="452"/>
        <v>000</v>
      </c>
      <c r="L3840" s="5">
        <f t="shared" si="453"/>
        <v>9</v>
      </c>
      <c r="M3840" s="5">
        <f t="shared" si="454"/>
        <v>2012</v>
      </c>
    </row>
    <row r="3841" spans="1:13" ht="17.45" customHeight="1" x14ac:dyDescent="0.25">
      <c r="A3841" s="1">
        <f t="shared" si="455"/>
        <v>41169</v>
      </c>
      <c r="B3841" t="s">
        <v>14</v>
      </c>
      <c r="C3841" t="s">
        <v>10</v>
      </c>
      <c r="D3841" s="3">
        <v>6.08</v>
      </c>
      <c r="E3841" s="3">
        <v>0</v>
      </c>
      <c r="F3841" t="s">
        <v>45</v>
      </c>
      <c r="G3841" s="3">
        <f t="shared" si="448"/>
        <v>-6.08</v>
      </c>
      <c r="H3841" s="3">
        <f t="shared" si="449"/>
        <v>6.08</v>
      </c>
      <c r="I3841" s="5" t="str">
        <f t="shared" si="450"/>
        <v>016</v>
      </c>
      <c r="J3841" s="5" t="str">
        <f t="shared" si="451"/>
        <v>2230</v>
      </c>
      <c r="K3841" s="5" t="str">
        <f t="shared" si="452"/>
        <v>000</v>
      </c>
      <c r="L3841" s="5">
        <f t="shared" si="453"/>
        <v>9</v>
      </c>
      <c r="M3841" s="5">
        <f t="shared" si="454"/>
        <v>2012</v>
      </c>
    </row>
    <row r="3842" spans="1:13" ht="17.45" customHeight="1" x14ac:dyDescent="0.25">
      <c r="A3842" s="1">
        <f t="shared" ref="A3842:A3845" si="456">DATE(2012,9,18)</f>
        <v>41170</v>
      </c>
      <c r="B3842" t="s">
        <v>11</v>
      </c>
      <c r="C3842" t="s">
        <v>6</v>
      </c>
      <c r="D3842" s="3">
        <v>4310.7479999999996</v>
      </c>
      <c r="E3842" s="3">
        <v>0</v>
      </c>
      <c r="F3842" t="s">
        <v>45</v>
      </c>
      <c r="G3842" s="3">
        <f t="shared" ref="G3842:G3905" si="457">E3842-D3842</f>
        <v>-4310.7479999999996</v>
      </c>
      <c r="H3842" s="3">
        <f t="shared" ref="H3842:H3905" si="458">ABS(G3842)</f>
        <v>4310.7479999999996</v>
      </c>
      <c r="I3842" s="5" t="str">
        <f t="shared" ref="I3842:I3905" si="459">MID(B3842,1,3)</f>
        <v>016</v>
      </c>
      <c r="J3842" s="5" t="str">
        <f t="shared" ref="J3842:J3905" si="460">MID(B3842,5,4)</f>
        <v>2100</v>
      </c>
      <c r="K3842" s="5" t="str">
        <f t="shared" ref="K3842:K3905" si="461">MID(B3842,10,3)</f>
        <v>000</v>
      </c>
      <c r="L3842" s="5">
        <f t="shared" ref="L3842:L3905" si="462">MONTH(A3842)</f>
        <v>9</v>
      </c>
      <c r="M3842" s="5">
        <f t="shared" ref="M3842:M3905" si="463">YEAR(A3842)</f>
        <v>2012</v>
      </c>
    </row>
    <row r="3843" spans="1:13" ht="17.45" customHeight="1" x14ac:dyDescent="0.25">
      <c r="A3843" s="1">
        <f t="shared" si="456"/>
        <v>41170</v>
      </c>
      <c r="B3843" t="s">
        <v>12</v>
      </c>
      <c r="C3843" t="s">
        <v>8</v>
      </c>
      <c r="D3843" s="3">
        <v>1585.9899999999998</v>
      </c>
      <c r="E3843" s="3">
        <v>0</v>
      </c>
      <c r="F3843" t="s">
        <v>45</v>
      </c>
      <c r="G3843" s="3">
        <f t="shared" si="457"/>
        <v>-1585.9899999999998</v>
      </c>
      <c r="H3843" s="3">
        <f t="shared" si="458"/>
        <v>1585.9899999999998</v>
      </c>
      <c r="I3843" s="5" t="str">
        <f t="shared" si="459"/>
        <v>016</v>
      </c>
      <c r="J3843" s="5" t="str">
        <f t="shared" si="460"/>
        <v>2210</v>
      </c>
      <c r="K3843" s="5" t="str">
        <f t="shared" si="461"/>
        <v>000</v>
      </c>
      <c r="L3843" s="5">
        <f t="shared" si="462"/>
        <v>9</v>
      </c>
      <c r="M3843" s="5">
        <f t="shared" si="463"/>
        <v>2012</v>
      </c>
    </row>
    <row r="3844" spans="1:13" ht="17.45" customHeight="1" x14ac:dyDescent="0.25">
      <c r="A3844" s="1">
        <f t="shared" si="456"/>
        <v>41170</v>
      </c>
      <c r="B3844" t="s">
        <v>13</v>
      </c>
      <c r="C3844" t="s">
        <v>9</v>
      </c>
      <c r="D3844" s="3">
        <v>330.447</v>
      </c>
      <c r="E3844" s="3">
        <v>0</v>
      </c>
      <c r="F3844" t="s">
        <v>45</v>
      </c>
      <c r="G3844" s="3">
        <f t="shared" si="457"/>
        <v>-330.447</v>
      </c>
      <c r="H3844" s="3">
        <f t="shared" si="458"/>
        <v>330.447</v>
      </c>
      <c r="I3844" s="5" t="str">
        <f t="shared" si="459"/>
        <v>016</v>
      </c>
      <c r="J3844" s="5" t="str">
        <f t="shared" si="460"/>
        <v>2220</v>
      </c>
      <c r="K3844" s="5" t="str">
        <f t="shared" si="461"/>
        <v>000</v>
      </c>
      <c r="L3844" s="5">
        <f t="shared" si="462"/>
        <v>9</v>
      </c>
      <c r="M3844" s="5">
        <f t="shared" si="463"/>
        <v>2012</v>
      </c>
    </row>
    <row r="3845" spans="1:13" ht="17.45" customHeight="1" x14ac:dyDescent="0.25">
      <c r="A3845" s="1">
        <f t="shared" si="456"/>
        <v>41170</v>
      </c>
      <c r="B3845" t="s">
        <v>14</v>
      </c>
      <c r="C3845" t="s">
        <v>10</v>
      </c>
      <c r="D3845" s="3">
        <v>106.3635</v>
      </c>
      <c r="E3845" s="3">
        <v>0</v>
      </c>
      <c r="F3845" t="s">
        <v>45</v>
      </c>
      <c r="G3845" s="3">
        <f t="shared" si="457"/>
        <v>-106.3635</v>
      </c>
      <c r="H3845" s="3">
        <f t="shared" si="458"/>
        <v>106.3635</v>
      </c>
      <c r="I3845" s="5" t="str">
        <f t="shared" si="459"/>
        <v>016</v>
      </c>
      <c r="J3845" s="5" t="str">
        <f t="shared" si="460"/>
        <v>2230</v>
      </c>
      <c r="K3845" s="5" t="str">
        <f t="shared" si="461"/>
        <v>000</v>
      </c>
      <c r="L3845" s="5">
        <f t="shared" si="462"/>
        <v>9</v>
      </c>
      <c r="M3845" s="5">
        <f t="shared" si="463"/>
        <v>2012</v>
      </c>
    </row>
    <row r="3846" spans="1:13" ht="17.45" customHeight="1" x14ac:dyDescent="0.25">
      <c r="A3846" s="1">
        <f t="shared" ref="A3846:A3849" si="464">DATE(2012,9,19)</f>
        <v>41171</v>
      </c>
      <c r="B3846" t="s">
        <v>11</v>
      </c>
      <c r="C3846" t="s">
        <v>6</v>
      </c>
      <c r="D3846" s="3">
        <v>3702.9636</v>
      </c>
      <c r="E3846" s="3">
        <v>0</v>
      </c>
      <c r="F3846" t="s">
        <v>45</v>
      </c>
      <c r="G3846" s="3">
        <f t="shared" si="457"/>
        <v>-3702.9636</v>
      </c>
      <c r="H3846" s="3">
        <f t="shared" si="458"/>
        <v>3702.9636</v>
      </c>
      <c r="I3846" s="5" t="str">
        <f t="shared" si="459"/>
        <v>016</v>
      </c>
      <c r="J3846" s="5" t="str">
        <f t="shared" si="460"/>
        <v>2100</v>
      </c>
      <c r="K3846" s="5" t="str">
        <f t="shared" si="461"/>
        <v>000</v>
      </c>
      <c r="L3846" s="5">
        <f t="shared" si="462"/>
        <v>9</v>
      </c>
      <c r="M3846" s="5">
        <f t="shared" si="463"/>
        <v>2012</v>
      </c>
    </row>
    <row r="3847" spans="1:13" ht="17.45" customHeight="1" x14ac:dyDescent="0.25">
      <c r="A3847" s="1">
        <f t="shared" si="464"/>
        <v>41171</v>
      </c>
      <c r="B3847" t="s">
        <v>12</v>
      </c>
      <c r="C3847" t="s">
        <v>8</v>
      </c>
      <c r="D3847" s="3">
        <v>864.16199999999992</v>
      </c>
      <c r="E3847" s="3">
        <v>0</v>
      </c>
      <c r="F3847" t="s">
        <v>45</v>
      </c>
      <c r="G3847" s="3">
        <f t="shared" si="457"/>
        <v>-864.16199999999992</v>
      </c>
      <c r="H3847" s="3">
        <f t="shared" si="458"/>
        <v>864.16199999999992</v>
      </c>
      <c r="I3847" s="5" t="str">
        <f t="shared" si="459"/>
        <v>016</v>
      </c>
      <c r="J3847" s="5" t="str">
        <f t="shared" si="460"/>
        <v>2210</v>
      </c>
      <c r="K3847" s="5" t="str">
        <f t="shared" si="461"/>
        <v>000</v>
      </c>
      <c r="L3847" s="5">
        <f t="shared" si="462"/>
        <v>9</v>
      </c>
      <c r="M3847" s="5">
        <f t="shared" si="463"/>
        <v>2012</v>
      </c>
    </row>
    <row r="3848" spans="1:13" ht="17.45" customHeight="1" x14ac:dyDescent="0.25">
      <c r="A3848" s="1">
        <f t="shared" si="464"/>
        <v>41171</v>
      </c>
      <c r="B3848" t="s">
        <v>13</v>
      </c>
      <c r="C3848" t="s">
        <v>9</v>
      </c>
      <c r="D3848" s="3">
        <v>147.79799999999997</v>
      </c>
      <c r="E3848" s="3">
        <v>0</v>
      </c>
      <c r="F3848" t="s">
        <v>45</v>
      </c>
      <c r="G3848" s="3">
        <f t="shared" si="457"/>
        <v>-147.79799999999997</v>
      </c>
      <c r="H3848" s="3">
        <f t="shared" si="458"/>
        <v>147.79799999999997</v>
      </c>
      <c r="I3848" s="5" t="str">
        <f t="shared" si="459"/>
        <v>016</v>
      </c>
      <c r="J3848" s="5" t="str">
        <f t="shared" si="460"/>
        <v>2220</v>
      </c>
      <c r="K3848" s="5" t="str">
        <f t="shared" si="461"/>
        <v>000</v>
      </c>
      <c r="L3848" s="5">
        <f t="shared" si="462"/>
        <v>9</v>
      </c>
      <c r="M3848" s="5">
        <f t="shared" si="463"/>
        <v>2012</v>
      </c>
    </row>
    <row r="3849" spans="1:13" ht="17.45" customHeight="1" x14ac:dyDescent="0.25">
      <c r="A3849" s="1">
        <f t="shared" si="464"/>
        <v>41171</v>
      </c>
      <c r="B3849" t="s">
        <v>14</v>
      </c>
      <c r="C3849" t="s">
        <v>10</v>
      </c>
      <c r="D3849" s="3">
        <v>119.27249999999999</v>
      </c>
      <c r="E3849" s="3">
        <v>0</v>
      </c>
      <c r="F3849" t="s">
        <v>45</v>
      </c>
      <c r="G3849" s="3">
        <f t="shared" si="457"/>
        <v>-119.27249999999999</v>
      </c>
      <c r="H3849" s="3">
        <f t="shared" si="458"/>
        <v>119.27249999999999</v>
      </c>
      <c r="I3849" s="5" t="str">
        <f t="shared" si="459"/>
        <v>016</v>
      </c>
      <c r="J3849" s="5" t="str">
        <f t="shared" si="460"/>
        <v>2230</v>
      </c>
      <c r="K3849" s="5" t="str">
        <f t="shared" si="461"/>
        <v>000</v>
      </c>
      <c r="L3849" s="5">
        <f t="shared" si="462"/>
        <v>9</v>
      </c>
      <c r="M3849" s="5">
        <f t="shared" si="463"/>
        <v>2012</v>
      </c>
    </row>
    <row r="3850" spans="1:13" ht="17.45" customHeight="1" x14ac:dyDescent="0.25">
      <c r="A3850" s="1">
        <f>DATE(2012,9,20)</f>
        <v>41172</v>
      </c>
      <c r="B3850" t="s">
        <v>11</v>
      </c>
      <c r="C3850" t="s">
        <v>6</v>
      </c>
      <c r="D3850" s="3">
        <v>2619.9479999999999</v>
      </c>
      <c r="E3850" s="3">
        <v>0</v>
      </c>
      <c r="F3850" t="s">
        <v>45</v>
      </c>
      <c r="G3850" s="3">
        <f t="shared" si="457"/>
        <v>-2619.9479999999999</v>
      </c>
      <c r="H3850" s="3">
        <f t="shared" si="458"/>
        <v>2619.9479999999999</v>
      </c>
      <c r="I3850" s="5" t="str">
        <f t="shared" si="459"/>
        <v>016</v>
      </c>
      <c r="J3850" s="5" t="str">
        <f t="shared" si="460"/>
        <v>2100</v>
      </c>
      <c r="K3850" s="5" t="str">
        <f t="shared" si="461"/>
        <v>000</v>
      </c>
      <c r="L3850" s="5">
        <f t="shared" si="462"/>
        <v>9</v>
      </c>
      <c r="M3850" s="5">
        <f t="shared" si="463"/>
        <v>2012</v>
      </c>
    </row>
    <row r="3851" spans="1:13" ht="17.45" customHeight="1" x14ac:dyDescent="0.25">
      <c r="A3851" s="1">
        <f>DATE(2012,9,20)</f>
        <v>41172</v>
      </c>
      <c r="B3851" t="s">
        <v>12</v>
      </c>
      <c r="C3851" t="s">
        <v>8</v>
      </c>
      <c r="D3851" s="3">
        <v>548.80899999999997</v>
      </c>
      <c r="E3851" s="3">
        <v>0</v>
      </c>
      <c r="F3851" t="s">
        <v>45</v>
      </c>
      <c r="G3851" s="3">
        <f t="shared" si="457"/>
        <v>-548.80899999999997</v>
      </c>
      <c r="H3851" s="3">
        <f t="shared" si="458"/>
        <v>548.80899999999997</v>
      </c>
      <c r="I3851" s="5" t="str">
        <f t="shared" si="459"/>
        <v>016</v>
      </c>
      <c r="J3851" s="5" t="str">
        <f t="shared" si="460"/>
        <v>2210</v>
      </c>
      <c r="K3851" s="5" t="str">
        <f t="shared" si="461"/>
        <v>000</v>
      </c>
      <c r="L3851" s="5">
        <f t="shared" si="462"/>
        <v>9</v>
      </c>
      <c r="M3851" s="5">
        <f t="shared" si="463"/>
        <v>2012</v>
      </c>
    </row>
    <row r="3852" spans="1:13" ht="17.45" customHeight="1" x14ac:dyDescent="0.25">
      <c r="A3852" s="1">
        <f>DATE(2012,9,20)</f>
        <v>41172</v>
      </c>
      <c r="B3852" t="s">
        <v>13</v>
      </c>
      <c r="C3852" t="s">
        <v>9</v>
      </c>
      <c r="D3852" s="3">
        <v>94.370999999999995</v>
      </c>
      <c r="E3852" s="3">
        <v>0</v>
      </c>
      <c r="F3852" t="s">
        <v>45</v>
      </c>
      <c r="G3852" s="3">
        <f t="shared" si="457"/>
        <v>-94.370999999999995</v>
      </c>
      <c r="H3852" s="3">
        <f t="shared" si="458"/>
        <v>94.370999999999995</v>
      </c>
      <c r="I3852" s="5" t="str">
        <f t="shared" si="459"/>
        <v>016</v>
      </c>
      <c r="J3852" s="5" t="str">
        <f t="shared" si="460"/>
        <v>2220</v>
      </c>
      <c r="K3852" s="5" t="str">
        <f t="shared" si="461"/>
        <v>000</v>
      </c>
      <c r="L3852" s="5">
        <f t="shared" si="462"/>
        <v>9</v>
      </c>
      <c r="M3852" s="5">
        <f t="shared" si="463"/>
        <v>2012</v>
      </c>
    </row>
    <row r="3853" spans="1:13" ht="17.45" customHeight="1" x14ac:dyDescent="0.25">
      <c r="A3853" s="1">
        <f>DATE(2012,9,20)</f>
        <v>41172</v>
      </c>
      <c r="B3853" t="s">
        <v>14</v>
      </c>
      <c r="C3853" t="s">
        <v>10</v>
      </c>
      <c r="D3853" s="3">
        <v>52.92</v>
      </c>
      <c r="E3853" s="3">
        <v>0</v>
      </c>
      <c r="F3853" t="s">
        <v>45</v>
      </c>
      <c r="G3853" s="3">
        <f t="shared" si="457"/>
        <v>-52.92</v>
      </c>
      <c r="H3853" s="3">
        <f t="shared" si="458"/>
        <v>52.92</v>
      </c>
      <c r="I3853" s="5" t="str">
        <f t="shared" si="459"/>
        <v>016</v>
      </c>
      <c r="J3853" s="5" t="str">
        <f t="shared" si="460"/>
        <v>2230</v>
      </c>
      <c r="K3853" s="5" t="str">
        <f t="shared" si="461"/>
        <v>000</v>
      </c>
      <c r="L3853" s="5">
        <f t="shared" si="462"/>
        <v>9</v>
      </c>
      <c r="M3853" s="5">
        <f t="shared" si="463"/>
        <v>2012</v>
      </c>
    </row>
    <row r="3854" spans="1:13" ht="17.45" customHeight="1" x14ac:dyDescent="0.25">
      <c r="A3854" s="1">
        <f>DATE(2012,9,21)</f>
        <v>41173</v>
      </c>
      <c r="B3854" t="s">
        <v>11</v>
      </c>
      <c r="C3854" t="s">
        <v>6</v>
      </c>
      <c r="D3854" s="3">
        <v>6047.7329999999993</v>
      </c>
      <c r="E3854" s="3">
        <v>0</v>
      </c>
      <c r="F3854" t="s">
        <v>45</v>
      </c>
      <c r="G3854" s="3">
        <f t="shared" si="457"/>
        <v>-6047.7329999999993</v>
      </c>
      <c r="H3854" s="3">
        <f t="shared" si="458"/>
        <v>6047.7329999999993</v>
      </c>
      <c r="I3854" s="5" t="str">
        <f t="shared" si="459"/>
        <v>016</v>
      </c>
      <c r="J3854" s="5" t="str">
        <f t="shared" si="460"/>
        <v>2100</v>
      </c>
      <c r="K3854" s="5" t="str">
        <f t="shared" si="461"/>
        <v>000</v>
      </c>
      <c r="L3854" s="5">
        <f t="shared" si="462"/>
        <v>9</v>
      </c>
      <c r="M3854" s="5">
        <f t="shared" si="463"/>
        <v>2012</v>
      </c>
    </row>
    <row r="3855" spans="1:13" ht="17.45" customHeight="1" x14ac:dyDescent="0.25">
      <c r="A3855" s="1">
        <f>DATE(2012,9,21)</f>
        <v>41173</v>
      </c>
      <c r="B3855" t="s">
        <v>12</v>
      </c>
      <c r="C3855" t="s">
        <v>8</v>
      </c>
      <c r="D3855" s="3">
        <v>1464.8448000000001</v>
      </c>
      <c r="E3855" s="3">
        <v>0</v>
      </c>
      <c r="F3855" t="s">
        <v>45</v>
      </c>
      <c r="G3855" s="3">
        <f t="shared" si="457"/>
        <v>-1464.8448000000001</v>
      </c>
      <c r="H3855" s="3">
        <f t="shared" si="458"/>
        <v>1464.8448000000001</v>
      </c>
      <c r="I3855" s="5" t="str">
        <f t="shared" si="459"/>
        <v>016</v>
      </c>
      <c r="J3855" s="5" t="str">
        <f t="shared" si="460"/>
        <v>2210</v>
      </c>
      <c r="K3855" s="5" t="str">
        <f t="shared" si="461"/>
        <v>000</v>
      </c>
      <c r="L3855" s="5">
        <f t="shared" si="462"/>
        <v>9</v>
      </c>
      <c r="M3855" s="5">
        <f t="shared" si="463"/>
        <v>2012</v>
      </c>
    </row>
    <row r="3856" spans="1:13" ht="17.45" customHeight="1" x14ac:dyDescent="0.25">
      <c r="A3856" s="1">
        <f>DATE(2012,9,21)</f>
        <v>41173</v>
      </c>
      <c r="B3856" t="s">
        <v>13</v>
      </c>
      <c r="C3856" t="s">
        <v>9</v>
      </c>
      <c r="D3856" s="3">
        <v>210.9</v>
      </c>
      <c r="E3856" s="3">
        <v>0</v>
      </c>
      <c r="F3856" t="s">
        <v>45</v>
      </c>
      <c r="G3856" s="3">
        <f t="shared" si="457"/>
        <v>-210.9</v>
      </c>
      <c r="H3856" s="3">
        <f t="shared" si="458"/>
        <v>210.9</v>
      </c>
      <c r="I3856" s="5" t="str">
        <f t="shared" si="459"/>
        <v>016</v>
      </c>
      <c r="J3856" s="5" t="str">
        <f t="shared" si="460"/>
        <v>2220</v>
      </c>
      <c r="K3856" s="5" t="str">
        <f t="shared" si="461"/>
        <v>000</v>
      </c>
      <c r="L3856" s="5">
        <f t="shared" si="462"/>
        <v>9</v>
      </c>
      <c r="M3856" s="5">
        <f t="shared" si="463"/>
        <v>2012</v>
      </c>
    </row>
    <row r="3857" spans="1:13" ht="17.45" customHeight="1" x14ac:dyDescent="0.25">
      <c r="A3857" s="1">
        <f>DATE(2012,9,21)</f>
        <v>41173</v>
      </c>
      <c r="B3857" t="s">
        <v>14</v>
      </c>
      <c r="C3857" t="s">
        <v>10</v>
      </c>
      <c r="D3857" s="3">
        <v>101.00750000000001</v>
      </c>
      <c r="E3857" s="3">
        <v>0</v>
      </c>
      <c r="F3857" t="s">
        <v>45</v>
      </c>
      <c r="G3857" s="3">
        <f t="shared" si="457"/>
        <v>-101.00750000000001</v>
      </c>
      <c r="H3857" s="3">
        <f t="shared" si="458"/>
        <v>101.00750000000001</v>
      </c>
      <c r="I3857" s="5" t="str">
        <f t="shared" si="459"/>
        <v>016</v>
      </c>
      <c r="J3857" s="5" t="str">
        <f t="shared" si="460"/>
        <v>2230</v>
      </c>
      <c r="K3857" s="5" t="str">
        <f t="shared" si="461"/>
        <v>000</v>
      </c>
      <c r="L3857" s="5">
        <f t="shared" si="462"/>
        <v>9</v>
      </c>
      <c r="M3857" s="5">
        <f t="shared" si="463"/>
        <v>2012</v>
      </c>
    </row>
    <row r="3858" spans="1:13" ht="17.45" customHeight="1" x14ac:dyDescent="0.25">
      <c r="A3858" s="1">
        <f>DATE(2012,9,22)</f>
        <v>41174</v>
      </c>
      <c r="B3858" t="s">
        <v>11</v>
      </c>
      <c r="C3858" t="s">
        <v>6</v>
      </c>
      <c r="D3858" s="3">
        <v>7083.1718000000001</v>
      </c>
      <c r="E3858" s="3">
        <v>0</v>
      </c>
      <c r="F3858" t="s">
        <v>45</v>
      </c>
      <c r="G3858" s="3">
        <f t="shared" si="457"/>
        <v>-7083.1718000000001</v>
      </c>
      <c r="H3858" s="3">
        <f t="shared" si="458"/>
        <v>7083.1718000000001</v>
      </c>
      <c r="I3858" s="5" t="str">
        <f t="shared" si="459"/>
        <v>016</v>
      </c>
      <c r="J3858" s="5" t="str">
        <f t="shared" si="460"/>
        <v>2100</v>
      </c>
      <c r="K3858" s="5" t="str">
        <f t="shared" si="461"/>
        <v>000</v>
      </c>
      <c r="L3858" s="5">
        <f t="shared" si="462"/>
        <v>9</v>
      </c>
      <c r="M3858" s="5">
        <f t="shared" si="463"/>
        <v>2012</v>
      </c>
    </row>
    <row r="3859" spans="1:13" ht="17.45" customHeight="1" x14ac:dyDescent="0.25">
      <c r="A3859" s="1">
        <f>DATE(2012,9,22)</f>
        <v>41174</v>
      </c>
      <c r="B3859" t="s">
        <v>12</v>
      </c>
      <c r="C3859" t="s">
        <v>8</v>
      </c>
      <c r="D3859" s="3">
        <v>1764.3465000000001</v>
      </c>
      <c r="E3859" s="3">
        <v>0</v>
      </c>
      <c r="F3859" t="s">
        <v>45</v>
      </c>
      <c r="G3859" s="3">
        <f t="shared" si="457"/>
        <v>-1764.3465000000001</v>
      </c>
      <c r="H3859" s="3">
        <f t="shared" si="458"/>
        <v>1764.3465000000001</v>
      </c>
      <c r="I3859" s="5" t="str">
        <f t="shared" si="459"/>
        <v>016</v>
      </c>
      <c r="J3859" s="5" t="str">
        <f t="shared" si="460"/>
        <v>2210</v>
      </c>
      <c r="K3859" s="5" t="str">
        <f t="shared" si="461"/>
        <v>000</v>
      </c>
      <c r="L3859" s="5">
        <f t="shared" si="462"/>
        <v>9</v>
      </c>
      <c r="M3859" s="5">
        <f t="shared" si="463"/>
        <v>2012</v>
      </c>
    </row>
    <row r="3860" spans="1:13" ht="17.45" customHeight="1" x14ac:dyDescent="0.25">
      <c r="A3860" s="1">
        <f>DATE(2012,9,22)</f>
        <v>41174</v>
      </c>
      <c r="B3860" t="s">
        <v>13</v>
      </c>
      <c r="C3860" t="s">
        <v>9</v>
      </c>
      <c r="D3860" s="3">
        <v>398.952</v>
      </c>
      <c r="E3860" s="3">
        <v>0</v>
      </c>
      <c r="F3860" t="s">
        <v>45</v>
      </c>
      <c r="G3860" s="3">
        <f t="shared" si="457"/>
        <v>-398.952</v>
      </c>
      <c r="H3860" s="3">
        <f t="shared" si="458"/>
        <v>398.952</v>
      </c>
      <c r="I3860" s="5" t="str">
        <f t="shared" si="459"/>
        <v>016</v>
      </c>
      <c r="J3860" s="5" t="str">
        <f t="shared" si="460"/>
        <v>2220</v>
      </c>
      <c r="K3860" s="5" t="str">
        <f t="shared" si="461"/>
        <v>000</v>
      </c>
      <c r="L3860" s="5">
        <f t="shared" si="462"/>
        <v>9</v>
      </c>
      <c r="M3860" s="5">
        <f t="shared" si="463"/>
        <v>2012</v>
      </c>
    </row>
    <row r="3861" spans="1:13" ht="17.45" customHeight="1" x14ac:dyDescent="0.25">
      <c r="A3861" s="1">
        <f>DATE(2012,9,22)</f>
        <v>41174</v>
      </c>
      <c r="B3861" t="s">
        <v>14</v>
      </c>
      <c r="C3861" t="s">
        <v>10</v>
      </c>
      <c r="D3861" s="3">
        <v>151.99250000000004</v>
      </c>
      <c r="E3861" s="3">
        <v>0</v>
      </c>
      <c r="F3861" t="s">
        <v>45</v>
      </c>
      <c r="G3861" s="3">
        <f t="shared" si="457"/>
        <v>-151.99250000000004</v>
      </c>
      <c r="H3861" s="3">
        <f t="shared" si="458"/>
        <v>151.99250000000004</v>
      </c>
      <c r="I3861" s="5" t="str">
        <f t="shared" si="459"/>
        <v>016</v>
      </c>
      <c r="J3861" s="5" t="str">
        <f t="shared" si="460"/>
        <v>2230</v>
      </c>
      <c r="K3861" s="5" t="str">
        <f t="shared" si="461"/>
        <v>000</v>
      </c>
      <c r="L3861" s="5">
        <f t="shared" si="462"/>
        <v>9</v>
      </c>
      <c r="M3861" s="5">
        <f t="shared" si="463"/>
        <v>2012</v>
      </c>
    </row>
    <row r="3862" spans="1:13" ht="17.45" customHeight="1" x14ac:dyDescent="0.25">
      <c r="A3862" s="1">
        <f>DATE(2012,9,17)</f>
        <v>41169</v>
      </c>
      <c r="B3862" t="s">
        <v>15</v>
      </c>
      <c r="C3862" t="s">
        <v>6</v>
      </c>
      <c r="D3862" s="3">
        <v>2132.9267</v>
      </c>
      <c r="E3862" s="3">
        <v>0</v>
      </c>
      <c r="F3862" t="s">
        <v>45</v>
      </c>
      <c r="G3862" s="3">
        <f t="shared" si="457"/>
        <v>-2132.9267</v>
      </c>
      <c r="H3862" s="3">
        <f t="shared" si="458"/>
        <v>2132.9267</v>
      </c>
      <c r="I3862" s="5" t="str">
        <f t="shared" si="459"/>
        <v>017</v>
      </c>
      <c r="J3862" s="5" t="str">
        <f t="shared" si="460"/>
        <v>2100</v>
      </c>
      <c r="K3862" s="5" t="str">
        <f t="shared" si="461"/>
        <v>000</v>
      </c>
      <c r="L3862" s="5">
        <f t="shared" si="462"/>
        <v>9</v>
      </c>
      <c r="M3862" s="5">
        <f t="shared" si="463"/>
        <v>2012</v>
      </c>
    </row>
    <row r="3863" spans="1:13" ht="17.45" customHeight="1" x14ac:dyDescent="0.25">
      <c r="A3863" s="1">
        <f>DATE(2012,9,17)</f>
        <v>41169</v>
      </c>
      <c r="B3863" t="s">
        <v>16</v>
      </c>
      <c r="C3863" t="s">
        <v>8</v>
      </c>
      <c r="D3863" s="3">
        <v>373.02749999999997</v>
      </c>
      <c r="E3863" s="3">
        <v>0</v>
      </c>
      <c r="F3863" t="s">
        <v>45</v>
      </c>
      <c r="G3863" s="3">
        <f t="shared" si="457"/>
        <v>-373.02749999999997</v>
      </c>
      <c r="H3863" s="3">
        <f t="shared" si="458"/>
        <v>373.02749999999997</v>
      </c>
      <c r="I3863" s="5" t="str">
        <f t="shared" si="459"/>
        <v>017</v>
      </c>
      <c r="J3863" s="5" t="str">
        <f t="shared" si="460"/>
        <v>2210</v>
      </c>
      <c r="K3863" s="5" t="str">
        <f t="shared" si="461"/>
        <v>000</v>
      </c>
      <c r="L3863" s="5">
        <f t="shared" si="462"/>
        <v>9</v>
      </c>
      <c r="M3863" s="5">
        <f t="shared" si="463"/>
        <v>2012</v>
      </c>
    </row>
    <row r="3864" spans="1:13" ht="17.45" customHeight="1" x14ac:dyDescent="0.25">
      <c r="A3864" s="1">
        <f>DATE(2012,9,17)</f>
        <v>41169</v>
      </c>
      <c r="B3864" t="s">
        <v>17</v>
      </c>
      <c r="C3864" t="s">
        <v>9</v>
      </c>
      <c r="D3864" s="3">
        <v>134.96</v>
      </c>
      <c r="E3864" s="3">
        <v>0</v>
      </c>
      <c r="F3864" t="s">
        <v>45</v>
      </c>
      <c r="G3864" s="3">
        <f t="shared" si="457"/>
        <v>-134.96</v>
      </c>
      <c r="H3864" s="3">
        <f t="shared" si="458"/>
        <v>134.96</v>
      </c>
      <c r="I3864" s="5" t="str">
        <f t="shared" si="459"/>
        <v>017</v>
      </c>
      <c r="J3864" s="5" t="str">
        <f t="shared" si="460"/>
        <v>2220</v>
      </c>
      <c r="K3864" s="5" t="str">
        <f t="shared" si="461"/>
        <v>000</v>
      </c>
      <c r="L3864" s="5">
        <f t="shared" si="462"/>
        <v>9</v>
      </c>
      <c r="M3864" s="5">
        <f t="shared" si="463"/>
        <v>2012</v>
      </c>
    </row>
    <row r="3865" spans="1:13" ht="17.45" customHeight="1" x14ac:dyDescent="0.25">
      <c r="A3865" s="1">
        <f>DATE(2012,9,17)</f>
        <v>41169</v>
      </c>
      <c r="B3865" t="s">
        <v>18</v>
      </c>
      <c r="C3865" t="s">
        <v>10</v>
      </c>
      <c r="D3865" s="3">
        <v>15.912000000000001</v>
      </c>
      <c r="E3865" s="3">
        <v>0</v>
      </c>
      <c r="F3865" t="s">
        <v>45</v>
      </c>
      <c r="G3865" s="3">
        <f t="shared" si="457"/>
        <v>-15.912000000000001</v>
      </c>
      <c r="H3865" s="3">
        <f t="shared" si="458"/>
        <v>15.912000000000001</v>
      </c>
      <c r="I3865" s="5" t="str">
        <f t="shared" si="459"/>
        <v>017</v>
      </c>
      <c r="J3865" s="5" t="str">
        <f t="shared" si="460"/>
        <v>2230</v>
      </c>
      <c r="K3865" s="5" t="str">
        <f t="shared" si="461"/>
        <v>000</v>
      </c>
      <c r="L3865" s="5">
        <f t="shared" si="462"/>
        <v>9</v>
      </c>
      <c r="M3865" s="5">
        <f t="shared" si="463"/>
        <v>2012</v>
      </c>
    </row>
    <row r="3866" spans="1:13" ht="17.45" customHeight="1" x14ac:dyDescent="0.25">
      <c r="A3866" s="1">
        <f>DATE(2012,9,18)</f>
        <v>41170</v>
      </c>
      <c r="B3866" t="s">
        <v>15</v>
      </c>
      <c r="C3866" t="s">
        <v>6</v>
      </c>
      <c r="D3866" s="3">
        <v>7897.4287999999997</v>
      </c>
      <c r="E3866" s="3">
        <v>0</v>
      </c>
      <c r="F3866" t="s">
        <v>45</v>
      </c>
      <c r="G3866" s="3">
        <f t="shared" si="457"/>
        <v>-7897.4287999999997</v>
      </c>
      <c r="H3866" s="3">
        <f t="shared" si="458"/>
        <v>7897.4287999999997</v>
      </c>
      <c r="I3866" s="5" t="str">
        <f t="shared" si="459"/>
        <v>017</v>
      </c>
      <c r="J3866" s="5" t="str">
        <f t="shared" si="460"/>
        <v>2100</v>
      </c>
      <c r="K3866" s="5" t="str">
        <f t="shared" si="461"/>
        <v>000</v>
      </c>
      <c r="L3866" s="5">
        <f t="shared" si="462"/>
        <v>9</v>
      </c>
      <c r="M3866" s="5">
        <f t="shared" si="463"/>
        <v>2012</v>
      </c>
    </row>
    <row r="3867" spans="1:13" ht="17.45" customHeight="1" x14ac:dyDescent="0.25">
      <c r="A3867" s="1">
        <f>DATE(2012,9,18)</f>
        <v>41170</v>
      </c>
      <c r="B3867" t="s">
        <v>16</v>
      </c>
      <c r="C3867" t="s">
        <v>8</v>
      </c>
      <c r="D3867" s="3">
        <v>1314.6840000000002</v>
      </c>
      <c r="E3867" s="3">
        <v>0</v>
      </c>
      <c r="F3867" t="s">
        <v>45</v>
      </c>
      <c r="G3867" s="3">
        <f t="shared" si="457"/>
        <v>-1314.6840000000002</v>
      </c>
      <c r="H3867" s="3">
        <f t="shared" si="458"/>
        <v>1314.6840000000002</v>
      </c>
      <c r="I3867" s="5" t="str">
        <f t="shared" si="459"/>
        <v>017</v>
      </c>
      <c r="J3867" s="5" t="str">
        <f t="shared" si="460"/>
        <v>2210</v>
      </c>
      <c r="K3867" s="5" t="str">
        <f t="shared" si="461"/>
        <v>000</v>
      </c>
      <c r="L3867" s="5">
        <f t="shared" si="462"/>
        <v>9</v>
      </c>
      <c r="M3867" s="5">
        <f t="shared" si="463"/>
        <v>2012</v>
      </c>
    </row>
    <row r="3868" spans="1:13" ht="17.45" customHeight="1" x14ac:dyDescent="0.25">
      <c r="A3868" s="1">
        <f>DATE(2012,9,18)</f>
        <v>41170</v>
      </c>
      <c r="B3868" t="s">
        <v>17</v>
      </c>
      <c r="C3868" t="s">
        <v>9</v>
      </c>
      <c r="D3868" s="3">
        <v>654.07499999999993</v>
      </c>
      <c r="E3868" s="3">
        <v>0</v>
      </c>
      <c r="F3868" t="s">
        <v>45</v>
      </c>
      <c r="G3868" s="3">
        <f t="shared" si="457"/>
        <v>-654.07499999999993</v>
      </c>
      <c r="H3868" s="3">
        <f t="shared" si="458"/>
        <v>654.07499999999993</v>
      </c>
      <c r="I3868" s="5" t="str">
        <f t="shared" si="459"/>
        <v>017</v>
      </c>
      <c r="J3868" s="5" t="str">
        <f t="shared" si="460"/>
        <v>2220</v>
      </c>
      <c r="K3868" s="5" t="str">
        <f t="shared" si="461"/>
        <v>000</v>
      </c>
      <c r="L3868" s="5">
        <f t="shared" si="462"/>
        <v>9</v>
      </c>
      <c r="M3868" s="5">
        <f t="shared" si="463"/>
        <v>2012</v>
      </c>
    </row>
    <row r="3869" spans="1:13" ht="17.45" customHeight="1" x14ac:dyDescent="0.25">
      <c r="A3869" s="1">
        <f>DATE(2012,9,18)</f>
        <v>41170</v>
      </c>
      <c r="B3869" t="s">
        <v>18</v>
      </c>
      <c r="C3869" t="s">
        <v>10</v>
      </c>
      <c r="D3869" s="3">
        <v>77.646499999999989</v>
      </c>
      <c r="E3869" s="3">
        <v>0</v>
      </c>
      <c r="F3869" t="s">
        <v>45</v>
      </c>
      <c r="G3869" s="3">
        <f t="shared" si="457"/>
        <v>-77.646499999999989</v>
      </c>
      <c r="H3869" s="3">
        <f t="shared" si="458"/>
        <v>77.646499999999989</v>
      </c>
      <c r="I3869" s="5" t="str">
        <f t="shared" si="459"/>
        <v>017</v>
      </c>
      <c r="J3869" s="5" t="str">
        <f t="shared" si="460"/>
        <v>2230</v>
      </c>
      <c r="K3869" s="5" t="str">
        <f t="shared" si="461"/>
        <v>000</v>
      </c>
      <c r="L3869" s="5">
        <f t="shared" si="462"/>
        <v>9</v>
      </c>
      <c r="M3869" s="5">
        <f t="shared" si="463"/>
        <v>2012</v>
      </c>
    </row>
    <row r="3870" spans="1:13" ht="17.45" customHeight="1" x14ac:dyDescent="0.25">
      <c r="A3870" s="1">
        <f>DATE(2012,9,19)</f>
        <v>41171</v>
      </c>
      <c r="B3870" t="s">
        <v>15</v>
      </c>
      <c r="C3870" t="s">
        <v>6</v>
      </c>
      <c r="D3870" s="3">
        <v>6966.3375000000005</v>
      </c>
      <c r="E3870" s="3">
        <v>0</v>
      </c>
      <c r="F3870" t="s">
        <v>45</v>
      </c>
      <c r="G3870" s="3">
        <f t="shared" si="457"/>
        <v>-6966.3375000000005</v>
      </c>
      <c r="H3870" s="3">
        <f t="shared" si="458"/>
        <v>6966.3375000000005</v>
      </c>
      <c r="I3870" s="5" t="str">
        <f t="shared" si="459"/>
        <v>017</v>
      </c>
      <c r="J3870" s="5" t="str">
        <f t="shared" si="460"/>
        <v>2100</v>
      </c>
      <c r="K3870" s="5" t="str">
        <f t="shared" si="461"/>
        <v>000</v>
      </c>
      <c r="L3870" s="5">
        <f t="shared" si="462"/>
        <v>9</v>
      </c>
      <c r="M3870" s="5">
        <f t="shared" si="463"/>
        <v>2012</v>
      </c>
    </row>
    <row r="3871" spans="1:13" ht="17.45" customHeight="1" x14ac:dyDescent="0.25">
      <c r="A3871" s="1">
        <f>DATE(2012,9,19)</f>
        <v>41171</v>
      </c>
      <c r="B3871" t="s">
        <v>16</v>
      </c>
      <c r="C3871" t="s">
        <v>8</v>
      </c>
      <c r="D3871" s="3">
        <v>2704.6160000000004</v>
      </c>
      <c r="E3871" s="3">
        <v>0</v>
      </c>
      <c r="F3871" t="s">
        <v>45</v>
      </c>
      <c r="G3871" s="3">
        <f t="shared" si="457"/>
        <v>-2704.6160000000004</v>
      </c>
      <c r="H3871" s="3">
        <f t="shared" si="458"/>
        <v>2704.6160000000004</v>
      </c>
      <c r="I3871" s="5" t="str">
        <f t="shared" si="459"/>
        <v>017</v>
      </c>
      <c r="J3871" s="5" t="str">
        <f t="shared" si="460"/>
        <v>2210</v>
      </c>
      <c r="K3871" s="5" t="str">
        <f t="shared" si="461"/>
        <v>000</v>
      </c>
      <c r="L3871" s="5">
        <f t="shared" si="462"/>
        <v>9</v>
      </c>
      <c r="M3871" s="5">
        <f t="shared" si="463"/>
        <v>2012</v>
      </c>
    </row>
    <row r="3872" spans="1:13" ht="17.45" customHeight="1" x14ac:dyDescent="0.25">
      <c r="A3872" s="1">
        <f>DATE(2012,9,19)</f>
        <v>41171</v>
      </c>
      <c r="B3872" t="s">
        <v>17</v>
      </c>
      <c r="C3872" t="s">
        <v>9</v>
      </c>
      <c r="D3872" s="3">
        <v>332.7</v>
      </c>
      <c r="E3872" s="3">
        <v>0</v>
      </c>
      <c r="F3872" t="s">
        <v>45</v>
      </c>
      <c r="G3872" s="3">
        <f t="shared" si="457"/>
        <v>-332.7</v>
      </c>
      <c r="H3872" s="3">
        <f t="shared" si="458"/>
        <v>332.7</v>
      </c>
      <c r="I3872" s="5" t="str">
        <f t="shared" si="459"/>
        <v>017</v>
      </c>
      <c r="J3872" s="5" t="str">
        <f t="shared" si="460"/>
        <v>2220</v>
      </c>
      <c r="K3872" s="5" t="str">
        <f t="shared" si="461"/>
        <v>000</v>
      </c>
      <c r="L3872" s="5">
        <f t="shared" si="462"/>
        <v>9</v>
      </c>
      <c r="M3872" s="5">
        <f t="shared" si="463"/>
        <v>2012</v>
      </c>
    </row>
    <row r="3873" spans="1:13" ht="17.45" customHeight="1" x14ac:dyDescent="0.25">
      <c r="A3873" s="1">
        <f>DATE(2012,9,19)</f>
        <v>41171</v>
      </c>
      <c r="B3873" t="s">
        <v>18</v>
      </c>
      <c r="C3873" t="s">
        <v>10</v>
      </c>
      <c r="D3873" s="3">
        <v>113.82</v>
      </c>
      <c r="E3873" s="3">
        <v>0</v>
      </c>
      <c r="F3873" t="s">
        <v>45</v>
      </c>
      <c r="G3873" s="3">
        <f t="shared" si="457"/>
        <v>-113.82</v>
      </c>
      <c r="H3873" s="3">
        <f t="shared" si="458"/>
        <v>113.82</v>
      </c>
      <c r="I3873" s="5" t="str">
        <f t="shared" si="459"/>
        <v>017</v>
      </c>
      <c r="J3873" s="5" t="str">
        <f t="shared" si="460"/>
        <v>2230</v>
      </c>
      <c r="K3873" s="5" t="str">
        <f t="shared" si="461"/>
        <v>000</v>
      </c>
      <c r="L3873" s="5">
        <f t="shared" si="462"/>
        <v>9</v>
      </c>
      <c r="M3873" s="5">
        <f t="shared" si="463"/>
        <v>2012</v>
      </c>
    </row>
    <row r="3874" spans="1:13" ht="17.45" customHeight="1" x14ac:dyDescent="0.25">
      <c r="A3874" s="1">
        <f>DATE(2012,9,20)</f>
        <v>41172</v>
      </c>
      <c r="B3874" t="s">
        <v>15</v>
      </c>
      <c r="C3874" t="s">
        <v>6</v>
      </c>
      <c r="D3874" s="3">
        <v>6479.3701000000001</v>
      </c>
      <c r="E3874" s="3">
        <v>0</v>
      </c>
      <c r="F3874" t="s">
        <v>45</v>
      </c>
      <c r="G3874" s="3">
        <f t="shared" si="457"/>
        <v>-6479.3701000000001</v>
      </c>
      <c r="H3874" s="3">
        <f t="shared" si="458"/>
        <v>6479.3701000000001</v>
      </c>
      <c r="I3874" s="5" t="str">
        <f t="shared" si="459"/>
        <v>017</v>
      </c>
      <c r="J3874" s="5" t="str">
        <f t="shared" si="460"/>
        <v>2100</v>
      </c>
      <c r="K3874" s="5" t="str">
        <f t="shared" si="461"/>
        <v>000</v>
      </c>
      <c r="L3874" s="5">
        <f t="shared" si="462"/>
        <v>9</v>
      </c>
      <c r="M3874" s="5">
        <f t="shared" si="463"/>
        <v>2012</v>
      </c>
    </row>
    <row r="3875" spans="1:13" ht="17.45" customHeight="1" x14ac:dyDescent="0.25">
      <c r="A3875" s="1">
        <f>DATE(2012,9,20)</f>
        <v>41172</v>
      </c>
      <c r="B3875" t="s">
        <v>16</v>
      </c>
      <c r="C3875" t="s">
        <v>8</v>
      </c>
      <c r="D3875" s="3">
        <v>1386.2399999999998</v>
      </c>
      <c r="E3875" s="3">
        <v>0</v>
      </c>
      <c r="F3875" t="s">
        <v>45</v>
      </c>
      <c r="G3875" s="3">
        <f t="shared" si="457"/>
        <v>-1386.2399999999998</v>
      </c>
      <c r="H3875" s="3">
        <f t="shared" si="458"/>
        <v>1386.2399999999998</v>
      </c>
      <c r="I3875" s="5" t="str">
        <f t="shared" si="459"/>
        <v>017</v>
      </c>
      <c r="J3875" s="5" t="str">
        <f t="shared" si="460"/>
        <v>2210</v>
      </c>
      <c r="K3875" s="5" t="str">
        <f t="shared" si="461"/>
        <v>000</v>
      </c>
      <c r="L3875" s="5">
        <f t="shared" si="462"/>
        <v>9</v>
      </c>
      <c r="M3875" s="5">
        <f t="shared" si="463"/>
        <v>2012</v>
      </c>
    </row>
    <row r="3876" spans="1:13" ht="17.45" customHeight="1" x14ac:dyDescent="0.25">
      <c r="A3876" s="1">
        <f>DATE(2012,9,20)</f>
        <v>41172</v>
      </c>
      <c r="B3876" t="s">
        <v>17</v>
      </c>
      <c r="C3876" t="s">
        <v>9</v>
      </c>
      <c r="D3876" s="3">
        <v>673.85500000000002</v>
      </c>
      <c r="E3876" s="3">
        <v>0</v>
      </c>
      <c r="F3876" t="s">
        <v>45</v>
      </c>
      <c r="G3876" s="3">
        <f t="shared" si="457"/>
        <v>-673.85500000000002</v>
      </c>
      <c r="H3876" s="3">
        <f t="shared" si="458"/>
        <v>673.85500000000002</v>
      </c>
      <c r="I3876" s="5" t="str">
        <f t="shared" si="459"/>
        <v>017</v>
      </c>
      <c r="J3876" s="5" t="str">
        <f t="shared" si="460"/>
        <v>2220</v>
      </c>
      <c r="K3876" s="5" t="str">
        <f t="shared" si="461"/>
        <v>000</v>
      </c>
      <c r="L3876" s="5">
        <f t="shared" si="462"/>
        <v>9</v>
      </c>
      <c r="M3876" s="5">
        <f t="shared" si="463"/>
        <v>2012</v>
      </c>
    </row>
    <row r="3877" spans="1:13" ht="17.45" customHeight="1" x14ac:dyDescent="0.25">
      <c r="A3877" s="1">
        <f>DATE(2012,9,20)</f>
        <v>41172</v>
      </c>
      <c r="B3877" t="s">
        <v>18</v>
      </c>
      <c r="C3877" t="s">
        <v>10</v>
      </c>
      <c r="D3877" s="3">
        <v>116.69799999999999</v>
      </c>
      <c r="E3877" s="3">
        <v>0</v>
      </c>
      <c r="F3877" t="s">
        <v>45</v>
      </c>
      <c r="G3877" s="3">
        <f t="shared" si="457"/>
        <v>-116.69799999999999</v>
      </c>
      <c r="H3877" s="3">
        <f t="shared" si="458"/>
        <v>116.69799999999999</v>
      </c>
      <c r="I3877" s="5" t="str">
        <f t="shared" si="459"/>
        <v>017</v>
      </c>
      <c r="J3877" s="5" t="str">
        <f t="shared" si="460"/>
        <v>2230</v>
      </c>
      <c r="K3877" s="5" t="str">
        <f t="shared" si="461"/>
        <v>000</v>
      </c>
      <c r="L3877" s="5">
        <f t="shared" si="462"/>
        <v>9</v>
      </c>
      <c r="M3877" s="5">
        <f t="shared" si="463"/>
        <v>2012</v>
      </c>
    </row>
    <row r="3878" spans="1:13" ht="17.45" customHeight="1" x14ac:dyDescent="0.25">
      <c r="A3878" s="1">
        <f>DATE(2012,9,21)</f>
        <v>41173</v>
      </c>
      <c r="B3878" t="s">
        <v>15</v>
      </c>
      <c r="C3878" t="s">
        <v>6</v>
      </c>
      <c r="D3878" s="3">
        <v>10097.3727</v>
      </c>
      <c r="E3878" s="3">
        <v>0</v>
      </c>
      <c r="F3878" t="s">
        <v>45</v>
      </c>
      <c r="G3878" s="3">
        <f t="shared" si="457"/>
        <v>-10097.3727</v>
      </c>
      <c r="H3878" s="3">
        <f t="shared" si="458"/>
        <v>10097.3727</v>
      </c>
      <c r="I3878" s="5" t="str">
        <f t="shared" si="459"/>
        <v>017</v>
      </c>
      <c r="J3878" s="5" t="str">
        <f t="shared" si="460"/>
        <v>2100</v>
      </c>
      <c r="K3878" s="5" t="str">
        <f t="shared" si="461"/>
        <v>000</v>
      </c>
      <c r="L3878" s="5">
        <f t="shared" si="462"/>
        <v>9</v>
      </c>
      <c r="M3878" s="5">
        <f t="shared" si="463"/>
        <v>2012</v>
      </c>
    </row>
    <row r="3879" spans="1:13" ht="17.45" customHeight="1" x14ac:dyDescent="0.25">
      <c r="A3879" s="1">
        <f>DATE(2012,9,21)</f>
        <v>41173</v>
      </c>
      <c r="B3879" t="s">
        <v>16</v>
      </c>
      <c r="C3879" t="s">
        <v>8</v>
      </c>
      <c r="D3879" s="3">
        <v>2463.6150000000002</v>
      </c>
      <c r="E3879" s="3">
        <v>0</v>
      </c>
      <c r="F3879" t="s">
        <v>45</v>
      </c>
      <c r="G3879" s="3">
        <f t="shared" si="457"/>
        <v>-2463.6150000000002</v>
      </c>
      <c r="H3879" s="3">
        <f t="shared" si="458"/>
        <v>2463.6150000000002</v>
      </c>
      <c r="I3879" s="5" t="str">
        <f t="shared" si="459"/>
        <v>017</v>
      </c>
      <c r="J3879" s="5" t="str">
        <f t="shared" si="460"/>
        <v>2210</v>
      </c>
      <c r="K3879" s="5" t="str">
        <f t="shared" si="461"/>
        <v>000</v>
      </c>
      <c r="L3879" s="5">
        <f t="shared" si="462"/>
        <v>9</v>
      </c>
      <c r="M3879" s="5">
        <f t="shared" si="463"/>
        <v>2012</v>
      </c>
    </row>
    <row r="3880" spans="1:13" ht="17.45" customHeight="1" x14ac:dyDescent="0.25">
      <c r="A3880" s="1">
        <f>DATE(2012,9,21)</f>
        <v>41173</v>
      </c>
      <c r="B3880" t="s">
        <v>17</v>
      </c>
      <c r="C3880" t="s">
        <v>9</v>
      </c>
      <c r="D3880" s="3">
        <v>469</v>
      </c>
      <c r="E3880" s="3">
        <v>0</v>
      </c>
      <c r="F3880" t="s">
        <v>45</v>
      </c>
      <c r="G3880" s="3">
        <f t="shared" si="457"/>
        <v>-469</v>
      </c>
      <c r="H3880" s="3">
        <f t="shared" si="458"/>
        <v>469</v>
      </c>
      <c r="I3880" s="5" t="str">
        <f t="shared" si="459"/>
        <v>017</v>
      </c>
      <c r="J3880" s="5" t="str">
        <f t="shared" si="460"/>
        <v>2220</v>
      </c>
      <c r="K3880" s="5" t="str">
        <f t="shared" si="461"/>
        <v>000</v>
      </c>
      <c r="L3880" s="5">
        <f t="shared" si="462"/>
        <v>9</v>
      </c>
      <c r="M3880" s="5">
        <f t="shared" si="463"/>
        <v>2012</v>
      </c>
    </row>
    <row r="3881" spans="1:13" ht="17.45" customHeight="1" x14ac:dyDescent="0.25">
      <c r="A3881" s="1">
        <f>DATE(2012,9,21)</f>
        <v>41173</v>
      </c>
      <c r="B3881" t="s">
        <v>18</v>
      </c>
      <c r="C3881" t="s">
        <v>10</v>
      </c>
      <c r="D3881" s="3">
        <v>189.85950000000003</v>
      </c>
      <c r="E3881" s="3">
        <v>0</v>
      </c>
      <c r="F3881" t="s">
        <v>45</v>
      </c>
      <c r="G3881" s="3">
        <f t="shared" si="457"/>
        <v>-189.85950000000003</v>
      </c>
      <c r="H3881" s="3">
        <f t="shared" si="458"/>
        <v>189.85950000000003</v>
      </c>
      <c r="I3881" s="5" t="str">
        <f t="shared" si="459"/>
        <v>017</v>
      </c>
      <c r="J3881" s="5" t="str">
        <f t="shared" si="460"/>
        <v>2230</v>
      </c>
      <c r="K3881" s="5" t="str">
        <f t="shared" si="461"/>
        <v>000</v>
      </c>
      <c r="L3881" s="5">
        <f t="shared" si="462"/>
        <v>9</v>
      </c>
      <c r="M3881" s="5">
        <f t="shared" si="463"/>
        <v>2012</v>
      </c>
    </row>
    <row r="3882" spans="1:13" ht="17.45" customHeight="1" x14ac:dyDescent="0.25">
      <c r="A3882" s="1">
        <f>DATE(2012,9,22)</f>
        <v>41174</v>
      </c>
      <c r="B3882" t="s">
        <v>15</v>
      </c>
      <c r="C3882" t="s">
        <v>6</v>
      </c>
      <c r="D3882" s="3">
        <v>8020.6795999999995</v>
      </c>
      <c r="E3882" s="3">
        <v>0</v>
      </c>
      <c r="F3882" t="s">
        <v>45</v>
      </c>
      <c r="G3882" s="3">
        <f t="shared" si="457"/>
        <v>-8020.6795999999995</v>
      </c>
      <c r="H3882" s="3">
        <f t="shared" si="458"/>
        <v>8020.6795999999995</v>
      </c>
      <c r="I3882" s="5" t="str">
        <f t="shared" si="459"/>
        <v>017</v>
      </c>
      <c r="J3882" s="5" t="str">
        <f t="shared" si="460"/>
        <v>2100</v>
      </c>
      <c r="K3882" s="5" t="str">
        <f t="shared" si="461"/>
        <v>000</v>
      </c>
      <c r="L3882" s="5">
        <f t="shared" si="462"/>
        <v>9</v>
      </c>
      <c r="M3882" s="5">
        <f t="shared" si="463"/>
        <v>2012</v>
      </c>
    </row>
    <row r="3883" spans="1:13" ht="17.45" customHeight="1" x14ac:dyDescent="0.25">
      <c r="A3883" s="1">
        <f>DATE(2012,9,22)</f>
        <v>41174</v>
      </c>
      <c r="B3883" t="s">
        <v>16</v>
      </c>
      <c r="C3883" t="s">
        <v>8</v>
      </c>
      <c r="D3883" s="3">
        <v>1296.6134999999999</v>
      </c>
      <c r="E3883" s="3">
        <v>0</v>
      </c>
      <c r="F3883" t="s">
        <v>45</v>
      </c>
      <c r="G3883" s="3">
        <f t="shared" si="457"/>
        <v>-1296.6134999999999</v>
      </c>
      <c r="H3883" s="3">
        <f t="shared" si="458"/>
        <v>1296.6134999999999</v>
      </c>
      <c r="I3883" s="5" t="str">
        <f t="shared" si="459"/>
        <v>017</v>
      </c>
      <c r="J3883" s="5" t="str">
        <f t="shared" si="460"/>
        <v>2210</v>
      </c>
      <c r="K3883" s="5" t="str">
        <f t="shared" si="461"/>
        <v>000</v>
      </c>
      <c r="L3883" s="5">
        <f t="shared" si="462"/>
        <v>9</v>
      </c>
      <c r="M3883" s="5">
        <f t="shared" si="463"/>
        <v>2012</v>
      </c>
    </row>
    <row r="3884" spans="1:13" ht="17.45" customHeight="1" x14ac:dyDescent="0.25">
      <c r="A3884" s="1">
        <f>DATE(2012,9,22)</f>
        <v>41174</v>
      </c>
      <c r="B3884" t="s">
        <v>17</v>
      </c>
      <c r="C3884" t="s">
        <v>9</v>
      </c>
      <c r="D3884" s="3">
        <v>398.15999999999997</v>
      </c>
      <c r="E3884" s="3">
        <v>0</v>
      </c>
      <c r="F3884" t="s">
        <v>45</v>
      </c>
      <c r="G3884" s="3">
        <f t="shared" si="457"/>
        <v>-398.15999999999997</v>
      </c>
      <c r="H3884" s="3">
        <f t="shared" si="458"/>
        <v>398.15999999999997</v>
      </c>
      <c r="I3884" s="5" t="str">
        <f t="shared" si="459"/>
        <v>017</v>
      </c>
      <c r="J3884" s="5" t="str">
        <f t="shared" si="460"/>
        <v>2220</v>
      </c>
      <c r="K3884" s="5" t="str">
        <f t="shared" si="461"/>
        <v>000</v>
      </c>
      <c r="L3884" s="5">
        <f t="shared" si="462"/>
        <v>9</v>
      </c>
      <c r="M3884" s="5">
        <f t="shared" si="463"/>
        <v>2012</v>
      </c>
    </row>
    <row r="3885" spans="1:13" ht="17.45" customHeight="1" x14ac:dyDescent="0.25">
      <c r="A3885" s="1">
        <f>DATE(2012,9,22)</f>
        <v>41174</v>
      </c>
      <c r="B3885" t="s">
        <v>18</v>
      </c>
      <c r="C3885" t="s">
        <v>10</v>
      </c>
      <c r="D3885" s="3">
        <v>102.46599999999999</v>
      </c>
      <c r="E3885" s="3">
        <v>0</v>
      </c>
      <c r="F3885" t="s">
        <v>45</v>
      </c>
      <c r="G3885" s="3">
        <f t="shared" si="457"/>
        <v>-102.46599999999999</v>
      </c>
      <c r="H3885" s="3">
        <f t="shared" si="458"/>
        <v>102.46599999999999</v>
      </c>
      <c r="I3885" s="5" t="str">
        <f t="shared" si="459"/>
        <v>017</v>
      </c>
      <c r="J3885" s="5" t="str">
        <f t="shared" si="460"/>
        <v>2230</v>
      </c>
      <c r="K3885" s="5" t="str">
        <f t="shared" si="461"/>
        <v>000</v>
      </c>
      <c r="L3885" s="5">
        <f t="shared" si="462"/>
        <v>9</v>
      </c>
      <c r="M3885" s="5">
        <f t="shared" si="463"/>
        <v>2012</v>
      </c>
    </row>
    <row r="3886" spans="1:13" ht="17.45" customHeight="1" x14ac:dyDescent="0.25">
      <c r="A3886" s="1">
        <f>DATE(2012,9,17)</f>
        <v>41169</v>
      </c>
      <c r="B3886" t="s">
        <v>19</v>
      </c>
      <c r="C3886" t="s">
        <v>6</v>
      </c>
      <c r="D3886" s="3">
        <v>2883.4650000000001</v>
      </c>
      <c r="E3886" s="3">
        <v>0</v>
      </c>
      <c r="F3886" t="s">
        <v>45</v>
      </c>
      <c r="G3886" s="3">
        <f t="shared" si="457"/>
        <v>-2883.4650000000001</v>
      </c>
      <c r="H3886" s="3">
        <f t="shared" si="458"/>
        <v>2883.4650000000001</v>
      </c>
      <c r="I3886" s="5" t="str">
        <f t="shared" si="459"/>
        <v>018</v>
      </c>
      <c r="J3886" s="5" t="str">
        <f t="shared" si="460"/>
        <v>2100</v>
      </c>
      <c r="K3886" s="5" t="str">
        <f t="shared" si="461"/>
        <v>000</v>
      </c>
      <c r="L3886" s="5">
        <f t="shared" si="462"/>
        <v>9</v>
      </c>
      <c r="M3886" s="5">
        <f t="shared" si="463"/>
        <v>2012</v>
      </c>
    </row>
    <row r="3887" spans="1:13" ht="17.45" customHeight="1" x14ac:dyDescent="0.25">
      <c r="A3887" s="1">
        <f>DATE(2012,9,17)</f>
        <v>41169</v>
      </c>
      <c r="B3887" t="s">
        <v>20</v>
      </c>
      <c r="C3887" t="s">
        <v>8</v>
      </c>
      <c r="D3887" s="3">
        <v>468.74650000000003</v>
      </c>
      <c r="E3887" s="3">
        <v>0</v>
      </c>
      <c r="F3887" t="s">
        <v>45</v>
      </c>
      <c r="G3887" s="3">
        <f t="shared" si="457"/>
        <v>-468.74650000000003</v>
      </c>
      <c r="H3887" s="3">
        <f t="shared" si="458"/>
        <v>468.74650000000003</v>
      </c>
      <c r="I3887" s="5" t="str">
        <f t="shared" si="459"/>
        <v>018</v>
      </c>
      <c r="J3887" s="5" t="str">
        <f t="shared" si="460"/>
        <v>2210</v>
      </c>
      <c r="K3887" s="5" t="str">
        <f t="shared" si="461"/>
        <v>000</v>
      </c>
      <c r="L3887" s="5">
        <f t="shared" si="462"/>
        <v>9</v>
      </c>
      <c r="M3887" s="5">
        <f t="shared" si="463"/>
        <v>2012</v>
      </c>
    </row>
    <row r="3888" spans="1:13" ht="17.45" customHeight="1" x14ac:dyDescent="0.25">
      <c r="A3888" s="1">
        <f>DATE(2012,9,17)</f>
        <v>41169</v>
      </c>
      <c r="B3888" t="s">
        <v>21</v>
      </c>
      <c r="C3888" t="s">
        <v>9</v>
      </c>
      <c r="D3888" s="3">
        <v>108.69600000000001</v>
      </c>
      <c r="E3888" s="3">
        <v>0</v>
      </c>
      <c r="F3888" t="s">
        <v>45</v>
      </c>
      <c r="G3888" s="3">
        <f t="shared" si="457"/>
        <v>-108.69600000000001</v>
      </c>
      <c r="H3888" s="3">
        <f t="shared" si="458"/>
        <v>108.69600000000001</v>
      </c>
      <c r="I3888" s="5" t="str">
        <f t="shared" si="459"/>
        <v>018</v>
      </c>
      <c r="J3888" s="5" t="str">
        <f t="shared" si="460"/>
        <v>2220</v>
      </c>
      <c r="K3888" s="5" t="str">
        <f t="shared" si="461"/>
        <v>000</v>
      </c>
      <c r="L3888" s="5">
        <f t="shared" si="462"/>
        <v>9</v>
      </c>
      <c r="M3888" s="5">
        <f t="shared" si="463"/>
        <v>2012</v>
      </c>
    </row>
    <row r="3889" spans="1:13" ht="17.45" customHeight="1" x14ac:dyDescent="0.25">
      <c r="A3889" s="1">
        <f>DATE(2012,9,17)</f>
        <v>41169</v>
      </c>
      <c r="B3889" t="s">
        <v>22</v>
      </c>
      <c r="C3889" t="s">
        <v>10</v>
      </c>
      <c r="D3889" s="3">
        <v>23.759999999999998</v>
      </c>
      <c r="E3889" s="3">
        <v>0</v>
      </c>
      <c r="F3889" t="s">
        <v>45</v>
      </c>
      <c r="G3889" s="3">
        <f t="shared" si="457"/>
        <v>-23.759999999999998</v>
      </c>
      <c r="H3889" s="3">
        <f t="shared" si="458"/>
        <v>23.759999999999998</v>
      </c>
      <c r="I3889" s="5" t="str">
        <f t="shared" si="459"/>
        <v>018</v>
      </c>
      <c r="J3889" s="5" t="str">
        <f t="shared" si="460"/>
        <v>2230</v>
      </c>
      <c r="K3889" s="5" t="str">
        <f t="shared" si="461"/>
        <v>000</v>
      </c>
      <c r="L3889" s="5">
        <f t="shared" si="462"/>
        <v>9</v>
      </c>
      <c r="M3889" s="5">
        <f t="shared" si="463"/>
        <v>2012</v>
      </c>
    </row>
    <row r="3890" spans="1:13" ht="17.45" customHeight="1" x14ac:dyDescent="0.25">
      <c r="A3890" s="1">
        <f>DATE(2012,9,18)</f>
        <v>41170</v>
      </c>
      <c r="B3890" t="s">
        <v>19</v>
      </c>
      <c r="C3890" t="s">
        <v>6</v>
      </c>
      <c r="D3890" s="3">
        <v>3791.9094999999998</v>
      </c>
      <c r="E3890" s="3">
        <v>0</v>
      </c>
      <c r="F3890" t="s">
        <v>45</v>
      </c>
      <c r="G3890" s="3">
        <f t="shared" si="457"/>
        <v>-3791.9094999999998</v>
      </c>
      <c r="H3890" s="3">
        <f t="shared" si="458"/>
        <v>3791.9094999999998</v>
      </c>
      <c r="I3890" s="5" t="str">
        <f t="shared" si="459"/>
        <v>018</v>
      </c>
      <c r="J3890" s="5" t="str">
        <f t="shared" si="460"/>
        <v>2100</v>
      </c>
      <c r="K3890" s="5" t="str">
        <f t="shared" si="461"/>
        <v>000</v>
      </c>
      <c r="L3890" s="5">
        <f t="shared" si="462"/>
        <v>9</v>
      </c>
      <c r="M3890" s="5">
        <f t="shared" si="463"/>
        <v>2012</v>
      </c>
    </row>
    <row r="3891" spans="1:13" ht="17.45" customHeight="1" x14ac:dyDescent="0.25">
      <c r="A3891" s="1">
        <f>DATE(2012,9,18)</f>
        <v>41170</v>
      </c>
      <c r="B3891" t="s">
        <v>20</v>
      </c>
      <c r="C3891" t="s">
        <v>8</v>
      </c>
      <c r="D3891" s="3">
        <v>704.24900000000002</v>
      </c>
      <c r="E3891" s="3">
        <v>0</v>
      </c>
      <c r="F3891" t="s">
        <v>45</v>
      </c>
      <c r="G3891" s="3">
        <f t="shared" si="457"/>
        <v>-704.24900000000002</v>
      </c>
      <c r="H3891" s="3">
        <f t="shared" si="458"/>
        <v>704.24900000000002</v>
      </c>
      <c r="I3891" s="5" t="str">
        <f t="shared" si="459"/>
        <v>018</v>
      </c>
      <c r="J3891" s="5" t="str">
        <f t="shared" si="460"/>
        <v>2210</v>
      </c>
      <c r="K3891" s="5" t="str">
        <f t="shared" si="461"/>
        <v>000</v>
      </c>
      <c r="L3891" s="5">
        <f t="shared" si="462"/>
        <v>9</v>
      </c>
      <c r="M3891" s="5">
        <f t="shared" si="463"/>
        <v>2012</v>
      </c>
    </row>
    <row r="3892" spans="1:13" ht="17.45" customHeight="1" x14ac:dyDescent="0.25">
      <c r="A3892" s="1">
        <f>DATE(2012,9,18)</f>
        <v>41170</v>
      </c>
      <c r="B3892" t="s">
        <v>21</v>
      </c>
      <c r="C3892" t="s">
        <v>9</v>
      </c>
      <c r="D3892" s="3">
        <v>223.18799999999999</v>
      </c>
      <c r="E3892" s="3">
        <v>0</v>
      </c>
      <c r="F3892" t="s">
        <v>45</v>
      </c>
      <c r="G3892" s="3">
        <f t="shared" si="457"/>
        <v>-223.18799999999999</v>
      </c>
      <c r="H3892" s="3">
        <f t="shared" si="458"/>
        <v>223.18799999999999</v>
      </c>
      <c r="I3892" s="5" t="str">
        <f t="shared" si="459"/>
        <v>018</v>
      </c>
      <c r="J3892" s="5" t="str">
        <f t="shared" si="460"/>
        <v>2220</v>
      </c>
      <c r="K3892" s="5" t="str">
        <f t="shared" si="461"/>
        <v>000</v>
      </c>
      <c r="L3892" s="5">
        <f t="shared" si="462"/>
        <v>9</v>
      </c>
      <c r="M3892" s="5">
        <f t="shared" si="463"/>
        <v>2012</v>
      </c>
    </row>
    <row r="3893" spans="1:13" ht="17.45" customHeight="1" x14ac:dyDescent="0.25">
      <c r="A3893" s="1">
        <f>DATE(2012,9,18)</f>
        <v>41170</v>
      </c>
      <c r="B3893" t="s">
        <v>22</v>
      </c>
      <c r="C3893" t="s">
        <v>10</v>
      </c>
      <c r="D3893" s="3">
        <v>15.677</v>
      </c>
      <c r="E3893" s="3">
        <v>0</v>
      </c>
      <c r="F3893" t="s">
        <v>45</v>
      </c>
      <c r="G3893" s="3">
        <f t="shared" si="457"/>
        <v>-15.677</v>
      </c>
      <c r="H3893" s="3">
        <f t="shared" si="458"/>
        <v>15.677</v>
      </c>
      <c r="I3893" s="5" t="str">
        <f t="shared" si="459"/>
        <v>018</v>
      </c>
      <c r="J3893" s="5" t="str">
        <f t="shared" si="460"/>
        <v>2230</v>
      </c>
      <c r="K3893" s="5" t="str">
        <f t="shared" si="461"/>
        <v>000</v>
      </c>
      <c r="L3893" s="5">
        <f t="shared" si="462"/>
        <v>9</v>
      </c>
      <c r="M3893" s="5">
        <f t="shared" si="463"/>
        <v>2012</v>
      </c>
    </row>
    <row r="3894" spans="1:13" ht="17.45" customHeight="1" x14ac:dyDescent="0.25">
      <c r="A3894" s="1">
        <f>DATE(2012,9,19)</f>
        <v>41171</v>
      </c>
      <c r="B3894" t="s">
        <v>19</v>
      </c>
      <c r="C3894" t="s">
        <v>6</v>
      </c>
      <c r="D3894" s="3">
        <v>4658.4629999999997</v>
      </c>
      <c r="E3894" s="3">
        <v>0</v>
      </c>
      <c r="F3894" t="s">
        <v>45</v>
      </c>
      <c r="G3894" s="3">
        <f t="shared" si="457"/>
        <v>-4658.4629999999997</v>
      </c>
      <c r="H3894" s="3">
        <f t="shared" si="458"/>
        <v>4658.4629999999997</v>
      </c>
      <c r="I3894" s="5" t="str">
        <f t="shared" si="459"/>
        <v>018</v>
      </c>
      <c r="J3894" s="5" t="str">
        <f t="shared" si="460"/>
        <v>2100</v>
      </c>
      <c r="K3894" s="5" t="str">
        <f t="shared" si="461"/>
        <v>000</v>
      </c>
      <c r="L3894" s="5">
        <f t="shared" si="462"/>
        <v>9</v>
      </c>
      <c r="M3894" s="5">
        <f t="shared" si="463"/>
        <v>2012</v>
      </c>
    </row>
    <row r="3895" spans="1:13" ht="17.45" customHeight="1" x14ac:dyDescent="0.25">
      <c r="A3895" s="1">
        <f>DATE(2012,9,19)</f>
        <v>41171</v>
      </c>
      <c r="B3895" t="s">
        <v>20</v>
      </c>
      <c r="C3895" t="s">
        <v>8</v>
      </c>
      <c r="D3895" s="3">
        <v>998.26</v>
      </c>
      <c r="E3895" s="3">
        <v>0</v>
      </c>
      <c r="F3895" t="s">
        <v>45</v>
      </c>
      <c r="G3895" s="3">
        <f t="shared" si="457"/>
        <v>-998.26</v>
      </c>
      <c r="H3895" s="3">
        <f t="shared" si="458"/>
        <v>998.26</v>
      </c>
      <c r="I3895" s="5" t="str">
        <f t="shared" si="459"/>
        <v>018</v>
      </c>
      <c r="J3895" s="5" t="str">
        <f t="shared" si="460"/>
        <v>2210</v>
      </c>
      <c r="K3895" s="5" t="str">
        <f t="shared" si="461"/>
        <v>000</v>
      </c>
      <c r="L3895" s="5">
        <f t="shared" si="462"/>
        <v>9</v>
      </c>
      <c r="M3895" s="5">
        <f t="shared" si="463"/>
        <v>2012</v>
      </c>
    </row>
    <row r="3896" spans="1:13" ht="17.45" customHeight="1" x14ac:dyDescent="0.25">
      <c r="A3896" s="1">
        <f>DATE(2012,9,19)</f>
        <v>41171</v>
      </c>
      <c r="B3896" t="s">
        <v>21</v>
      </c>
      <c r="C3896" t="s">
        <v>9</v>
      </c>
      <c r="D3896" s="3">
        <v>230.58750000000001</v>
      </c>
      <c r="E3896" s="3">
        <v>0</v>
      </c>
      <c r="F3896" t="s">
        <v>45</v>
      </c>
      <c r="G3896" s="3">
        <f t="shared" si="457"/>
        <v>-230.58750000000001</v>
      </c>
      <c r="H3896" s="3">
        <f t="shared" si="458"/>
        <v>230.58750000000001</v>
      </c>
      <c r="I3896" s="5" t="str">
        <f t="shared" si="459"/>
        <v>018</v>
      </c>
      <c r="J3896" s="5" t="str">
        <f t="shared" si="460"/>
        <v>2220</v>
      </c>
      <c r="K3896" s="5" t="str">
        <f t="shared" si="461"/>
        <v>000</v>
      </c>
      <c r="L3896" s="5">
        <f t="shared" si="462"/>
        <v>9</v>
      </c>
      <c r="M3896" s="5">
        <f t="shared" si="463"/>
        <v>2012</v>
      </c>
    </row>
    <row r="3897" spans="1:13" ht="17.45" customHeight="1" x14ac:dyDescent="0.25">
      <c r="A3897" s="1">
        <f>DATE(2012,9,19)</f>
        <v>41171</v>
      </c>
      <c r="B3897" t="s">
        <v>22</v>
      </c>
      <c r="C3897" t="s">
        <v>10</v>
      </c>
      <c r="D3897" s="3">
        <v>87.4</v>
      </c>
      <c r="E3897" s="3">
        <v>0</v>
      </c>
      <c r="F3897" t="s">
        <v>45</v>
      </c>
      <c r="G3897" s="3">
        <f t="shared" si="457"/>
        <v>-87.4</v>
      </c>
      <c r="H3897" s="3">
        <f t="shared" si="458"/>
        <v>87.4</v>
      </c>
      <c r="I3897" s="5" t="str">
        <f t="shared" si="459"/>
        <v>018</v>
      </c>
      <c r="J3897" s="5" t="str">
        <f t="shared" si="460"/>
        <v>2230</v>
      </c>
      <c r="K3897" s="5" t="str">
        <f t="shared" si="461"/>
        <v>000</v>
      </c>
      <c r="L3897" s="5">
        <f t="shared" si="462"/>
        <v>9</v>
      </c>
      <c r="M3897" s="5">
        <f t="shared" si="463"/>
        <v>2012</v>
      </c>
    </row>
    <row r="3898" spans="1:13" ht="17.45" customHeight="1" x14ac:dyDescent="0.25">
      <c r="A3898" s="1">
        <f>DATE(2012,9,20)</f>
        <v>41172</v>
      </c>
      <c r="B3898" t="s">
        <v>19</v>
      </c>
      <c r="C3898" t="s">
        <v>6</v>
      </c>
      <c r="D3898" s="3">
        <v>6126.0866999999998</v>
      </c>
      <c r="E3898" s="3">
        <v>0</v>
      </c>
      <c r="F3898" t="s">
        <v>45</v>
      </c>
      <c r="G3898" s="3">
        <f t="shared" si="457"/>
        <v>-6126.0866999999998</v>
      </c>
      <c r="H3898" s="3">
        <f t="shared" si="458"/>
        <v>6126.0866999999998</v>
      </c>
      <c r="I3898" s="5" t="str">
        <f t="shared" si="459"/>
        <v>018</v>
      </c>
      <c r="J3898" s="5" t="str">
        <f t="shared" si="460"/>
        <v>2100</v>
      </c>
      <c r="K3898" s="5" t="str">
        <f t="shared" si="461"/>
        <v>000</v>
      </c>
      <c r="L3898" s="5">
        <f t="shared" si="462"/>
        <v>9</v>
      </c>
      <c r="M3898" s="5">
        <f t="shared" si="463"/>
        <v>2012</v>
      </c>
    </row>
    <row r="3899" spans="1:13" ht="17.45" customHeight="1" x14ac:dyDescent="0.25">
      <c r="A3899" s="1">
        <f>DATE(2012,9,20)</f>
        <v>41172</v>
      </c>
      <c r="B3899" t="s">
        <v>20</v>
      </c>
      <c r="C3899" t="s">
        <v>8</v>
      </c>
      <c r="D3899" s="3">
        <v>1294.3800000000001</v>
      </c>
      <c r="E3899" s="3">
        <v>0</v>
      </c>
      <c r="F3899" t="s">
        <v>45</v>
      </c>
      <c r="G3899" s="3">
        <f t="shared" si="457"/>
        <v>-1294.3800000000001</v>
      </c>
      <c r="H3899" s="3">
        <f t="shared" si="458"/>
        <v>1294.3800000000001</v>
      </c>
      <c r="I3899" s="5" t="str">
        <f t="shared" si="459"/>
        <v>018</v>
      </c>
      <c r="J3899" s="5" t="str">
        <f t="shared" si="460"/>
        <v>2210</v>
      </c>
      <c r="K3899" s="5" t="str">
        <f t="shared" si="461"/>
        <v>000</v>
      </c>
      <c r="L3899" s="5">
        <f t="shared" si="462"/>
        <v>9</v>
      </c>
      <c r="M3899" s="5">
        <f t="shared" si="463"/>
        <v>2012</v>
      </c>
    </row>
    <row r="3900" spans="1:13" ht="17.45" customHeight="1" x14ac:dyDescent="0.25">
      <c r="A3900" s="1">
        <f>DATE(2012,9,20)</f>
        <v>41172</v>
      </c>
      <c r="B3900" t="s">
        <v>21</v>
      </c>
      <c r="C3900" t="s">
        <v>9</v>
      </c>
      <c r="D3900" s="3">
        <v>386.1275</v>
      </c>
      <c r="E3900" s="3">
        <v>0</v>
      </c>
      <c r="F3900" t="s">
        <v>45</v>
      </c>
      <c r="G3900" s="3">
        <f t="shared" si="457"/>
        <v>-386.1275</v>
      </c>
      <c r="H3900" s="3">
        <f t="shared" si="458"/>
        <v>386.1275</v>
      </c>
      <c r="I3900" s="5" t="str">
        <f t="shared" si="459"/>
        <v>018</v>
      </c>
      <c r="J3900" s="5" t="str">
        <f t="shared" si="460"/>
        <v>2220</v>
      </c>
      <c r="K3900" s="5" t="str">
        <f t="shared" si="461"/>
        <v>000</v>
      </c>
      <c r="L3900" s="5">
        <f t="shared" si="462"/>
        <v>9</v>
      </c>
      <c r="M3900" s="5">
        <f t="shared" si="463"/>
        <v>2012</v>
      </c>
    </row>
    <row r="3901" spans="1:13" ht="17.45" customHeight="1" x14ac:dyDescent="0.25">
      <c r="A3901" s="1">
        <f>DATE(2012,9,20)</f>
        <v>41172</v>
      </c>
      <c r="B3901" t="s">
        <v>22</v>
      </c>
      <c r="C3901" t="s">
        <v>10</v>
      </c>
      <c r="D3901" s="3">
        <v>15.773999999999999</v>
      </c>
      <c r="E3901" s="3">
        <v>0</v>
      </c>
      <c r="F3901" t="s">
        <v>45</v>
      </c>
      <c r="G3901" s="3">
        <f t="shared" si="457"/>
        <v>-15.773999999999999</v>
      </c>
      <c r="H3901" s="3">
        <f t="shared" si="458"/>
        <v>15.773999999999999</v>
      </c>
      <c r="I3901" s="5" t="str">
        <f t="shared" si="459"/>
        <v>018</v>
      </c>
      <c r="J3901" s="5" t="str">
        <f t="shared" si="460"/>
        <v>2230</v>
      </c>
      <c r="K3901" s="5" t="str">
        <f t="shared" si="461"/>
        <v>000</v>
      </c>
      <c r="L3901" s="5">
        <f t="shared" si="462"/>
        <v>9</v>
      </c>
      <c r="M3901" s="5">
        <f t="shared" si="463"/>
        <v>2012</v>
      </c>
    </row>
    <row r="3902" spans="1:13" ht="17.45" customHeight="1" x14ac:dyDescent="0.25">
      <c r="A3902" s="1">
        <f>DATE(2012,9,21)</f>
        <v>41173</v>
      </c>
      <c r="B3902" t="s">
        <v>19</v>
      </c>
      <c r="C3902" t="s">
        <v>6</v>
      </c>
      <c r="D3902" s="3">
        <v>10260.615</v>
      </c>
      <c r="E3902" s="3">
        <v>0</v>
      </c>
      <c r="F3902" t="s">
        <v>45</v>
      </c>
      <c r="G3902" s="3">
        <f t="shared" si="457"/>
        <v>-10260.615</v>
      </c>
      <c r="H3902" s="3">
        <f t="shared" si="458"/>
        <v>10260.615</v>
      </c>
      <c r="I3902" s="5" t="str">
        <f t="shared" si="459"/>
        <v>018</v>
      </c>
      <c r="J3902" s="5" t="str">
        <f t="shared" si="460"/>
        <v>2100</v>
      </c>
      <c r="K3902" s="5" t="str">
        <f t="shared" si="461"/>
        <v>000</v>
      </c>
      <c r="L3902" s="5">
        <f t="shared" si="462"/>
        <v>9</v>
      </c>
      <c r="M3902" s="5">
        <f t="shared" si="463"/>
        <v>2012</v>
      </c>
    </row>
    <row r="3903" spans="1:13" ht="17.45" customHeight="1" x14ac:dyDescent="0.25">
      <c r="A3903" s="1">
        <f>DATE(2012,9,21)</f>
        <v>41173</v>
      </c>
      <c r="B3903" t="s">
        <v>20</v>
      </c>
      <c r="C3903" t="s">
        <v>8</v>
      </c>
      <c r="D3903" s="3">
        <v>3259.7879999999996</v>
      </c>
      <c r="E3903" s="3">
        <v>0</v>
      </c>
      <c r="F3903" t="s">
        <v>45</v>
      </c>
      <c r="G3903" s="3">
        <f t="shared" si="457"/>
        <v>-3259.7879999999996</v>
      </c>
      <c r="H3903" s="3">
        <f t="shared" si="458"/>
        <v>3259.7879999999996</v>
      </c>
      <c r="I3903" s="5" t="str">
        <f t="shared" si="459"/>
        <v>018</v>
      </c>
      <c r="J3903" s="5" t="str">
        <f t="shared" si="460"/>
        <v>2210</v>
      </c>
      <c r="K3903" s="5" t="str">
        <f t="shared" si="461"/>
        <v>000</v>
      </c>
      <c r="L3903" s="5">
        <f t="shared" si="462"/>
        <v>9</v>
      </c>
      <c r="M3903" s="5">
        <f t="shared" si="463"/>
        <v>2012</v>
      </c>
    </row>
    <row r="3904" spans="1:13" ht="17.45" customHeight="1" x14ac:dyDescent="0.25">
      <c r="A3904" s="1">
        <f>DATE(2012,9,21)</f>
        <v>41173</v>
      </c>
      <c r="B3904" t="s">
        <v>21</v>
      </c>
      <c r="C3904" t="s">
        <v>9</v>
      </c>
      <c r="D3904" s="3">
        <v>661.89199999999994</v>
      </c>
      <c r="E3904" s="3">
        <v>0</v>
      </c>
      <c r="F3904" t="s">
        <v>45</v>
      </c>
      <c r="G3904" s="3">
        <f t="shared" si="457"/>
        <v>-661.89199999999994</v>
      </c>
      <c r="H3904" s="3">
        <f t="shared" si="458"/>
        <v>661.89199999999994</v>
      </c>
      <c r="I3904" s="5" t="str">
        <f t="shared" si="459"/>
        <v>018</v>
      </c>
      <c r="J3904" s="5" t="str">
        <f t="shared" si="460"/>
        <v>2220</v>
      </c>
      <c r="K3904" s="5" t="str">
        <f t="shared" si="461"/>
        <v>000</v>
      </c>
      <c r="L3904" s="5">
        <f t="shared" si="462"/>
        <v>9</v>
      </c>
      <c r="M3904" s="5">
        <f t="shared" si="463"/>
        <v>2012</v>
      </c>
    </row>
    <row r="3905" spans="1:13" ht="17.45" customHeight="1" x14ac:dyDescent="0.25">
      <c r="A3905" s="1">
        <f>DATE(2012,9,21)</f>
        <v>41173</v>
      </c>
      <c r="B3905" t="s">
        <v>22</v>
      </c>
      <c r="C3905" t="s">
        <v>10</v>
      </c>
      <c r="D3905" s="3">
        <v>148.78049999999999</v>
      </c>
      <c r="E3905" s="3">
        <v>0</v>
      </c>
      <c r="F3905" t="s">
        <v>45</v>
      </c>
      <c r="G3905" s="3">
        <f t="shared" si="457"/>
        <v>-148.78049999999999</v>
      </c>
      <c r="H3905" s="3">
        <f t="shared" si="458"/>
        <v>148.78049999999999</v>
      </c>
      <c r="I3905" s="5" t="str">
        <f t="shared" si="459"/>
        <v>018</v>
      </c>
      <c r="J3905" s="5" t="str">
        <f t="shared" si="460"/>
        <v>2230</v>
      </c>
      <c r="K3905" s="5" t="str">
        <f t="shared" si="461"/>
        <v>000</v>
      </c>
      <c r="L3905" s="5">
        <f t="shared" si="462"/>
        <v>9</v>
      </c>
      <c r="M3905" s="5">
        <f t="shared" si="463"/>
        <v>2012</v>
      </c>
    </row>
    <row r="3906" spans="1:13" ht="17.45" customHeight="1" x14ac:dyDescent="0.25">
      <c r="A3906" s="1">
        <f>DATE(2012,9,22)</f>
        <v>41174</v>
      </c>
      <c r="B3906" t="s">
        <v>19</v>
      </c>
      <c r="C3906" t="s">
        <v>6</v>
      </c>
      <c r="D3906" s="3">
        <v>14761.804500000002</v>
      </c>
      <c r="E3906" s="3">
        <v>0</v>
      </c>
      <c r="F3906" t="s">
        <v>45</v>
      </c>
      <c r="G3906" s="3">
        <f t="shared" ref="G3906:G3969" si="465">E3906-D3906</f>
        <v>-14761.804500000002</v>
      </c>
      <c r="H3906" s="3">
        <f t="shared" ref="H3906:H3969" si="466">ABS(G3906)</f>
        <v>14761.804500000002</v>
      </c>
      <c r="I3906" s="5" t="str">
        <f t="shared" ref="I3906:I3969" si="467">MID(B3906,1,3)</f>
        <v>018</v>
      </c>
      <c r="J3906" s="5" t="str">
        <f t="shared" ref="J3906:J3969" si="468">MID(B3906,5,4)</f>
        <v>2100</v>
      </c>
      <c r="K3906" s="5" t="str">
        <f t="shared" ref="K3906:K3969" si="469">MID(B3906,10,3)</f>
        <v>000</v>
      </c>
      <c r="L3906" s="5">
        <f t="shared" ref="L3906:L3969" si="470">MONTH(A3906)</f>
        <v>9</v>
      </c>
      <c r="M3906" s="5">
        <f t="shared" ref="M3906:M3969" si="471">YEAR(A3906)</f>
        <v>2012</v>
      </c>
    </row>
    <row r="3907" spans="1:13" ht="17.45" customHeight="1" x14ac:dyDescent="0.25">
      <c r="A3907" s="1">
        <f>DATE(2012,9,22)</f>
        <v>41174</v>
      </c>
      <c r="B3907" t="s">
        <v>20</v>
      </c>
      <c r="C3907" t="s">
        <v>8</v>
      </c>
      <c r="D3907" s="3">
        <v>3752.1039999999998</v>
      </c>
      <c r="E3907" s="3">
        <v>0</v>
      </c>
      <c r="F3907" t="s">
        <v>45</v>
      </c>
      <c r="G3907" s="3">
        <f t="shared" si="465"/>
        <v>-3752.1039999999998</v>
      </c>
      <c r="H3907" s="3">
        <f t="shared" si="466"/>
        <v>3752.1039999999998</v>
      </c>
      <c r="I3907" s="5" t="str">
        <f t="shared" si="467"/>
        <v>018</v>
      </c>
      <c r="J3907" s="5" t="str">
        <f t="shared" si="468"/>
        <v>2210</v>
      </c>
      <c r="K3907" s="5" t="str">
        <f t="shared" si="469"/>
        <v>000</v>
      </c>
      <c r="L3907" s="5">
        <f t="shared" si="470"/>
        <v>9</v>
      </c>
      <c r="M3907" s="5">
        <f t="shared" si="471"/>
        <v>2012</v>
      </c>
    </row>
    <row r="3908" spans="1:13" ht="17.45" customHeight="1" x14ac:dyDescent="0.25">
      <c r="A3908" s="1">
        <f>DATE(2012,9,22)</f>
        <v>41174</v>
      </c>
      <c r="B3908" t="s">
        <v>21</v>
      </c>
      <c r="C3908" t="s">
        <v>9</v>
      </c>
      <c r="D3908" s="3">
        <v>810.21600000000001</v>
      </c>
      <c r="E3908" s="3">
        <v>0</v>
      </c>
      <c r="F3908" t="s">
        <v>45</v>
      </c>
      <c r="G3908" s="3">
        <f t="shared" si="465"/>
        <v>-810.21600000000001</v>
      </c>
      <c r="H3908" s="3">
        <f t="shared" si="466"/>
        <v>810.21600000000001</v>
      </c>
      <c r="I3908" s="5" t="str">
        <f t="shared" si="467"/>
        <v>018</v>
      </c>
      <c r="J3908" s="5" t="str">
        <f t="shared" si="468"/>
        <v>2220</v>
      </c>
      <c r="K3908" s="5" t="str">
        <f t="shared" si="469"/>
        <v>000</v>
      </c>
      <c r="L3908" s="5">
        <f t="shared" si="470"/>
        <v>9</v>
      </c>
      <c r="M3908" s="5">
        <f t="shared" si="471"/>
        <v>2012</v>
      </c>
    </row>
    <row r="3909" spans="1:13" ht="17.45" customHeight="1" x14ac:dyDescent="0.25">
      <c r="A3909" s="1">
        <f>DATE(2012,9,22)</f>
        <v>41174</v>
      </c>
      <c r="B3909" t="s">
        <v>22</v>
      </c>
      <c r="C3909" t="s">
        <v>10</v>
      </c>
      <c r="D3909" s="3">
        <v>116.14400000000002</v>
      </c>
      <c r="E3909" s="3">
        <v>0</v>
      </c>
      <c r="F3909" t="s">
        <v>45</v>
      </c>
      <c r="G3909" s="3">
        <f t="shared" si="465"/>
        <v>-116.14400000000002</v>
      </c>
      <c r="H3909" s="3">
        <f t="shared" si="466"/>
        <v>116.14400000000002</v>
      </c>
      <c r="I3909" s="5" t="str">
        <f t="shared" si="467"/>
        <v>018</v>
      </c>
      <c r="J3909" s="5" t="str">
        <f t="shared" si="468"/>
        <v>2230</v>
      </c>
      <c r="K3909" s="5" t="str">
        <f t="shared" si="469"/>
        <v>000</v>
      </c>
      <c r="L3909" s="5">
        <f t="shared" si="470"/>
        <v>9</v>
      </c>
      <c r="M3909" s="5">
        <f t="shared" si="471"/>
        <v>2012</v>
      </c>
    </row>
    <row r="3910" spans="1:13" ht="17.45" customHeight="1" x14ac:dyDescent="0.25">
      <c r="A3910" s="1">
        <f t="shared" ref="A3910:A3911" si="472">DATE(2012,9,23)</f>
        <v>41175</v>
      </c>
      <c r="B3910" t="s">
        <v>11</v>
      </c>
      <c r="C3910" t="s">
        <v>6</v>
      </c>
      <c r="D3910" s="3">
        <v>4602.5280000000002</v>
      </c>
      <c r="E3910" s="3">
        <v>0</v>
      </c>
      <c r="F3910" t="s">
        <v>45</v>
      </c>
      <c r="G3910" s="3">
        <f t="shared" si="465"/>
        <v>-4602.5280000000002</v>
      </c>
      <c r="H3910" s="3">
        <f t="shared" si="466"/>
        <v>4602.5280000000002</v>
      </c>
      <c r="I3910" s="5" t="str">
        <f t="shared" si="467"/>
        <v>016</v>
      </c>
      <c r="J3910" s="5" t="str">
        <f t="shared" si="468"/>
        <v>2100</v>
      </c>
      <c r="K3910" s="5" t="str">
        <f t="shared" si="469"/>
        <v>000</v>
      </c>
      <c r="L3910" s="5">
        <f t="shared" si="470"/>
        <v>9</v>
      </c>
      <c r="M3910" s="5">
        <f t="shared" si="471"/>
        <v>2012</v>
      </c>
    </row>
    <row r="3911" spans="1:13" ht="17.45" customHeight="1" x14ac:dyDescent="0.25">
      <c r="A3911" s="1">
        <f t="shared" si="472"/>
        <v>41175</v>
      </c>
      <c r="B3911" t="s">
        <v>12</v>
      </c>
      <c r="C3911" t="s">
        <v>8</v>
      </c>
      <c r="D3911" s="3">
        <v>623.77</v>
      </c>
      <c r="E3911" s="3">
        <v>0</v>
      </c>
      <c r="F3911" t="s">
        <v>45</v>
      </c>
      <c r="G3911" s="3">
        <f t="shared" si="465"/>
        <v>-623.77</v>
      </c>
      <c r="H3911" s="3">
        <f t="shared" si="466"/>
        <v>623.77</v>
      </c>
      <c r="I3911" s="5" t="str">
        <f t="shared" si="467"/>
        <v>016</v>
      </c>
      <c r="J3911" s="5" t="str">
        <f t="shared" si="468"/>
        <v>2210</v>
      </c>
      <c r="K3911" s="5" t="str">
        <f t="shared" si="469"/>
        <v>000</v>
      </c>
      <c r="L3911" s="5">
        <f t="shared" si="470"/>
        <v>9</v>
      </c>
      <c r="M3911" s="5">
        <f t="shared" si="471"/>
        <v>2012</v>
      </c>
    </row>
    <row r="3912" spans="1:13" ht="17.45" customHeight="1" x14ac:dyDescent="0.25">
      <c r="A3912" s="1">
        <f t="shared" ref="A3912:A3921" si="473">DATE(2012,9,23)</f>
        <v>41175</v>
      </c>
      <c r="B3912" t="s">
        <v>13</v>
      </c>
      <c r="C3912" t="s">
        <v>9</v>
      </c>
      <c r="D3912" s="3">
        <v>120.4875</v>
      </c>
      <c r="E3912" s="3">
        <v>0</v>
      </c>
      <c r="F3912" t="s">
        <v>45</v>
      </c>
      <c r="G3912" s="3">
        <f t="shared" si="465"/>
        <v>-120.4875</v>
      </c>
      <c r="H3912" s="3">
        <f t="shared" si="466"/>
        <v>120.4875</v>
      </c>
      <c r="I3912" s="5" t="str">
        <f t="shared" si="467"/>
        <v>016</v>
      </c>
      <c r="J3912" s="5" t="str">
        <f t="shared" si="468"/>
        <v>2220</v>
      </c>
      <c r="K3912" s="5" t="str">
        <f t="shared" si="469"/>
        <v>000</v>
      </c>
      <c r="L3912" s="5">
        <f t="shared" si="470"/>
        <v>9</v>
      </c>
      <c r="M3912" s="5">
        <f t="shared" si="471"/>
        <v>2012</v>
      </c>
    </row>
    <row r="3913" spans="1:13" ht="17.45" customHeight="1" x14ac:dyDescent="0.25">
      <c r="A3913" s="1">
        <f t="shared" si="473"/>
        <v>41175</v>
      </c>
      <c r="B3913" t="s">
        <v>14</v>
      </c>
      <c r="C3913" t="s">
        <v>10</v>
      </c>
      <c r="D3913" s="3">
        <v>30.7545</v>
      </c>
      <c r="E3913" s="3">
        <v>0</v>
      </c>
      <c r="F3913" t="s">
        <v>45</v>
      </c>
      <c r="G3913" s="3">
        <f t="shared" si="465"/>
        <v>-30.7545</v>
      </c>
      <c r="H3913" s="3">
        <f t="shared" si="466"/>
        <v>30.7545</v>
      </c>
      <c r="I3913" s="5" t="str">
        <f t="shared" si="467"/>
        <v>016</v>
      </c>
      <c r="J3913" s="5" t="str">
        <f t="shared" si="468"/>
        <v>2230</v>
      </c>
      <c r="K3913" s="5" t="str">
        <f t="shared" si="469"/>
        <v>000</v>
      </c>
      <c r="L3913" s="5">
        <f t="shared" si="470"/>
        <v>9</v>
      </c>
      <c r="M3913" s="5">
        <f t="shared" si="471"/>
        <v>2012</v>
      </c>
    </row>
    <row r="3914" spans="1:13" ht="17.45" customHeight="1" x14ac:dyDescent="0.25">
      <c r="A3914" s="1">
        <f t="shared" si="473"/>
        <v>41175</v>
      </c>
      <c r="B3914" t="s">
        <v>15</v>
      </c>
      <c r="C3914" t="s">
        <v>6</v>
      </c>
      <c r="D3914" s="3">
        <v>4896.7946000000002</v>
      </c>
      <c r="E3914" s="3">
        <v>0</v>
      </c>
      <c r="F3914" t="s">
        <v>45</v>
      </c>
      <c r="G3914" s="3">
        <f t="shared" si="465"/>
        <v>-4896.7946000000002</v>
      </c>
      <c r="H3914" s="3">
        <f t="shared" si="466"/>
        <v>4896.7946000000002</v>
      </c>
      <c r="I3914" s="5" t="str">
        <f t="shared" si="467"/>
        <v>017</v>
      </c>
      <c r="J3914" s="5" t="str">
        <f t="shared" si="468"/>
        <v>2100</v>
      </c>
      <c r="K3914" s="5" t="str">
        <f t="shared" si="469"/>
        <v>000</v>
      </c>
      <c r="L3914" s="5">
        <f t="shared" si="470"/>
        <v>9</v>
      </c>
      <c r="M3914" s="5">
        <f t="shared" si="471"/>
        <v>2012</v>
      </c>
    </row>
    <row r="3915" spans="1:13" ht="17.45" customHeight="1" x14ac:dyDescent="0.25">
      <c r="A3915" s="1">
        <f t="shared" si="473"/>
        <v>41175</v>
      </c>
      <c r="B3915" t="s">
        <v>16</v>
      </c>
      <c r="C3915" t="s">
        <v>8</v>
      </c>
      <c r="D3915" s="3">
        <v>1049.8399999999999</v>
      </c>
      <c r="E3915" s="3">
        <v>0</v>
      </c>
      <c r="F3915" t="s">
        <v>45</v>
      </c>
      <c r="G3915" s="3">
        <f t="shared" si="465"/>
        <v>-1049.8399999999999</v>
      </c>
      <c r="H3915" s="3">
        <f t="shared" si="466"/>
        <v>1049.8399999999999</v>
      </c>
      <c r="I3915" s="5" t="str">
        <f t="shared" si="467"/>
        <v>017</v>
      </c>
      <c r="J3915" s="5" t="str">
        <f t="shared" si="468"/>
        <v>2210</v>
      </c>
      <c r="K3915" s="5" t="str">
        <f t="shared" si="469"/>
        <v>000</v>
      </c>
      <c r="L3915" s="5">
        <f t="shared" si="470"/>
        <v>9</v>
      </c>
      <c r="M3915" s="5">
        <f t="shared" si="471"/>
        <v>2012</v>
      </c>
    </row>
    <row r="3916" spans="1:13" ht="17.45" customHeight="1" x14ac:dyDescent="0.25">
      <c r="A3916" s="1">
        <f t="shared" si="473"/>
        <v>41175</v>
      </c>
      <c r="B3916" t="s">
        <v>17</v>
      </c>
      <c r="C3916" t="s">
        <v>9</v>
      </c>
      <c r="D3916" s="3">
        <v>151.69999999999999</v>
      </c>
      <c r="E3916" s="3">
        <v>0</v>
      </c>
      <c r="F3916" t="s">
        <v>45</v>
      </c>
      <c r="G3916" s="3">
        <f t="shared" si="465"/>
        <v>-151.69999999999999</v>
      </c>
      <c r="H3916" s="3">
        <f t="shared" si="466"/>
        <v>151.69999999999999</v>
      </c>
      <c r="I3916" s="5" t="str">
        <f t="shared" si="467"/>
        <v>017</v>
      </c>
      <c r="J3916" s="5" t="str">
        <f t="shared" si="468"/>
        <v>2220</v>
      </c>
      <c r="K3916" s="5" t="str">
        <f t="shared" si="469"/>
        <v>000</v>
      </c>
      <c r="L3916" s="5">
        <f t="shared" si="470"/>
        <v>9</v>
      </c>
      <c r="M3916" s="5">
        <f t="shared" si="471"/>
        <v>2012</v>
      </c>
    </row>
    <row r="3917" spans="1:13" ht="17.45" customHeight="1" x14ac:dyDescent="0.25">
      <c r="A3917" s="1">
        <f t="shared" si="473"/>
        <v>41175</v>
      </c>
      <c r="B3917" t="s">
        <v>18</v>
      </c>
      <c r="C3917" t="s">
        <v>10</v>
      </c>
      <c r="D3917" s="3">
        <v>58.012499999999996</v>
      </c>
      <c r="E3917" s="3">
        <v>0</v>
      </c>
      <c r="F3917" t="s">
        <v>45</v>
      </c>
      <c r="G3917" s="3">
        <f t="shared" si="465"/>
        <v>-58.012499999999996</v>
      </c>
      <c r="H3917" s="3">
        <f t="shared" si="466"/>
        <v>58.012499999999996</v>
      </c>
      <c r="I3917" s="5" t="str">
        <f t="shared" si="467"/>
        <v>017</v>
      </c>
      <c r="J3917" s="5" t="str">
        <f t="shared" si="468"/>
        <v>2230</v>
      </c>
      <c r="K3917" s="5" t="str">
        <f t="shared" si="469"/>
        <v>000</v>
      </c>
      <c r="L3917" s="5">
        <f t="shared" si="470"/>
        <v>9</v>
      </c>
      <c r="M3917" s="5">
        <f t="shared" si="471"/>
        <v>2012</v>
      </c>
    </row>
    <row r="3918" spans="1:13" ht="17.45" customHeight="1" x14ac:dyDescent="0.25">
      <c r="A3918" s="1">
        <f t="shared" si="473"/>
        <v>41175</v>
      </c>
      <c r="B3918" t="s">
        <v>19</v>
      </c>
      <c r="C3918" t="s">
        <v>6</v>
      </c>
      <c r="D3918" s="3">
        <v>8414.9025000000001</v>
      </c>
      <c r="E3918" s="3">
        <v>0</v>
      </c>
      <c r="F3918" t="s">
        <v>45</v>
      </c>
      <c r="G3918" s="3">
        <f t="shared" si="465"/>
        <v>-8414.9025000000001</v>
      </c>
      <c r="H3918" s="3">
        <f t="shared" si="466"/>
        <v>8414.9025000000001</v>
      </c>
      <c r="I3918" s="5" t="str">
        <f t="shared" si="467"/>
        <v>018</v>
      </c>
      <c r="J3918" s="5" t="str">
        <f t="shared" si="468"/>
        <v>2100</v>
      </c>
      <c r="K3918" s="5" t="str">
        <f t="shared" si="469"/>
        <v>000</v>
      </c>
      <c r="L3918" s="5">
        <f t="shared" si="470"/>
        <v>9</v>
      </c>
      <c r="M3918" s="5">
        <f t="shared" si="471"/>
        <v>2012</v>
      </c>
    </row>
    <row r="3919" spans="1:13" ht="17.45" customHeight="1" x14ac:dyDescent="0.25">
      <c r="A3919" s="1">
        <f t="shared" si="473"/>
        <v>41175</v>
      </c>
      <c r="B3919" t="s">
        <v>20</v>
      </c>
      <c r="C3919" t="s">
        <v>8</v>
      </c>
      <c r="D3919" s="3">
        <v>1054.9069999999999</v>
      </c>
      <c r="E3919" s="3">
        <v>0</v>
      </c>
      <c r="F3919" t="s">
        <v>45</v>
      </c>
      <c r="G3919" s="3">
        <f t="shared" si="465"/>
        <v>-1054.9069999999999</v>
      </c>
      <c r="H3919" s="3">
        <f t="shared" si="466"/>
        <v>1054.9069999999999</v>
      </c>
      <c r="I3919" s="5" t="str">
        <f t="shared" si="467"/>
        <v>018</v>
      </c>
      <c r="J3919" s="5" t="str">
        <f t="shared" si="468"/>
        <v>2210</v>
      </c>
      <c r="K3919" s="5" t="str">
        <f t="shared" si="469"/>
        <v>000</v>
      </c>
      <c r="L3919" s="5">
        <f t="shared" si="470"/>
        <v>9</v>
      </c>
      <c r="M3919" s="5">
        <f t="shared" si="471"/>
        <v>2012</v>
      </c>
    </row>
    <row r="3920" spans="1:13" ht="17.45" customHeight="1" x14ac:dyDescent="0.25">
      <c r="A3920" s="1">
        <f t="shared" si="473"/>
        <v>41175</v>
      </c>
      <c r="B3920" t="s">
        <v>21</v>
      </c>
      <c r="C3920" t="s">
        <v>9</v>
      </c>
      <c r="D3920" s="3">
        <v>148.149</v>
      </c>
      <c r="E3920" s="3">
        <v>0</v>
      </c>
      <c r="F3920" t="s">
        <v>45</v>
      </c>
      <c r="G3920" s="3">
        <f t="shared" si="465"/>
        <v>-148.149</v>
      </c>
      <c r="H3920" s="3">
        <f t="shared" si="466"/>
        <v>148.149</v>
      </c>
      <c r="I3920" s="5" t="str">
        <f t="shared" si="467"/>
        <v>018</v>
      </c>
      <c r="J3920" s="5" t="str">
        <f t="shared" si="468"/>
        <v>2220</v>
      </c>
      <c r="K3920" s="5" t="str">
        <f t="shared" si="469"/>
        <v>000</v>
      </c>
      <c r="L3920" s="5">
        <f t="shared" si="470"/>
        <v>9</v>
      </c>
      <c r="M3920" s="5">
        <f t="shared" si="471"/>
        <v>2012</v>
      </c>
    </row>
    <row r="3921" spans="1:13" ht="17.45" customHeight="1" x14ac:dyDescent="0.25">
      <c r="A3921" s="1">
        <f t="shared" si="473"/>
        <v>41175</v>
      </c>
      <c r="B3921" t="s">
        <v>22</v>
      </c>
      <c r="C3921" t="s">
        <v>10</v>
      </c>
      <c r="D3921" s="3">
        <v>63.9375</v>
      </c>
      <c r="E3921" s="3">
        <v>0</v>
      </c>
      <c r="F3921" t="s">
        <v>45</v>
      </c>
      <c r="G3921" s="3">
        <f t="shared" si="465"/>
        <v>-63.9375</v>
      </c>
      <c r="H3921" s="3">
        <f t="shared" si="466"/>
        <v>63.9375</v>
      </c>
      <c r="I3921" s="5" t="str">
        <f t="shared" si="467"/>
        <v>018</v>
      </c>
      <c r="J3921" s="5" t="str">
        <f t="shared" si="468"/>
        <v>2230</v>
      </c>
      <c r="K3921" s="5" t="str">
        <f t="shared" si="469"/>
        <v>000</v>
      </c>
      <c r="L3921" s="5">
        <f t="shared" si="470"/>
        <v>9</v>
      </c>
      <c r="M3921" s="5">
        <f t="shared" si="471"/>
        <v>2012</v>
      </c>
    </row>
    <row r="3922" spans="1:13" ht="17.45" customHeight="1" x14ac:dyDescent="0.25">
      <c r="A3922" s="1">
        <f>DATE(2012,9,24)</f>
        <v>41176</v>
      </c>
      <c r="B3922" t="s">
        <v>11</v>
      </c>
      <c r="C3922" t="s">
        <v>6</v>
      </c>
      <c r="D3922" s="3">
        <v>1342.74</v>
      </c>
      <c r="E3922" s="3">
        <v>0</v>
      </c>
      <c r="F3922" t="s">
        <v>45</v>
      </c>
      <c r="G3922" s="3">
        <f t="shared" si="465"/>
        <v>-1342.74</v>
      </c>
      <c r="H3922" s="3">
        <f t="shared" si="466"/>
        <v>1342.74</v>
      </c>
      <c r="I3922" s="5" t="str">
        <f t="shared" si="467"/>
        <v>016</v>
      </c>
      <c r="J3922" s="5" t="str">
        <f t="shared" si="468"/>
        <v>2100</v>
      </c>
      <c r="K3922" s="5" t="str">
        <f t="shared" si="469"/>
        <v>000</v>
      </c>
      <c r="L3922" s="5">
        <f t="shared" si="470"/>
        <v>9</v>
      </c>
      <c r="M3922" s="5">
        <f t="shared" si="471"/>
        <v>2012</v>
      </c>
    </row>
    <row r="3923" spans="1:13" ht="17.45" customHeight="1" x14ac:dyDescent="0.25">
      <c r="A3923" s="1">
        <f>DATE(2012,9,24)</f>
        <v>41176</v>
      </c>
      <c r="B3923" t="s">
        <v>12</v>
      </c>
      <c r="C3923" t="s">
        <v>8</v>
      </c>
      <c r="D3923" s="3">
        <v>344.31700000000001</v>
      </c>
      <c r="E3923" s="3">
        <v>0</v>
      </c>
      <c r="F3923" t="s">
        <v>45</v>
      </c>
      <c r="G3923" s="3">
        <f t="shared" si="465"/>
        <v>-344.31700000000001</v>
      </c>
      <c r="H3923" s="3">
        <f t="shared" si="466"/>
        <v>344.31700000000001</v>
      </c>
      <c r="I3923" s="5" t="str">
        <f t="shared" si="467"/>
        <v>016</v>
      </c>
      <c r="J3923" s="5" t="str">
        <f t="shared" si="468"/>
        <v>2210</v>
      </c>
      <c r="K3923" s="5" t="str">
        <f t="shared" si="469"/>
        <v>000</v>
      </c>
      <c r="L3923" s="5">
        <f t="shared" si="470"/>
        <v>9</v>
      </c>
      <c r="M3923" s="5">
        <f t="shared" si="471"/>
        <v>2012</v>
      </c>
    </row>
    <row r="3924" spans="1:13" ht="17.45" customHeight="1" x14ac:dyDescent="0.25">
      <c r="A3924" s="1">
        <f>DATE(2012,9,24)</f>
        <v>41176</v>
      </c>
      <c r="B3924" t="s">
        <v>13</v>
      </c>
      <c r="C3924" t="s">
        <v>9</v>
      </c>
      <c r="D3924" s="3">
        <v>48.649499999999989</v>
      </c>
      <c r="E3924" s="3">
        <v>0</v>
      </c>
      <c r="F3924" t="s">
        <v>45</v>
      </c>
      <c r="G3924" s="3">
        <f t="shared" si="465"/>
        <v>-48.649499999999989</v>
      </c>
      <c r="H3924" s="3">
        <f t="shared" si="466"/>
        <v>48.649499999999989</v>
      </c>
      <c r="I3924" s="5" t="str">
        <f t="shared" si="467"/>
        <v>016</v>
      </c>
      <c r="J3924" s="5" t="str">
        <f t="shared" si="468"/>
        <v>2220</v>
      </c>
      <c r="K3924" s="5" t="str">
        <f t="shared" si="469"/>
        <v>000</v>
      </c>
      <c r="L3924" s="5">
        <f t="shared" si="470"/>
        <v>9</v>
      </c>
      <c r="M3924" s="5">
        <f t="shared" si="471"/>
        <v>2012</v>
      </c>
    </row>
    <row r="3925" spans="1:13" ht="17.45" customHeight="1" x14ac:dyDescent="0.25">
      <c r="A3925" s="1">
        <f>DATE(2012,9,24)</f>
        <v>41176</v>
      </c>
      <c r="B3925" t="s">
        <v>14</v>
      </c>
      <c r="C3925" t="s">
        <v>10</v>
      </c>
      <c r="D3925" s="3">
        <v>4.62</v>
      </c>
      <c r="E3925" s="3">
        <v>0</v>
      </c>
      <c r="F3925" t="s">
        <v>45</v>
      </c>
      <c r="G3925" s="3">
        <f t="shared" si="465"/>
        <v>-4.62</v>
      </c>
      <c r="H3925" s="3">
        <f t="shared" si="466"/>
        <v>4.62</v>
      </c>
      <c r="I3925" s="5" t="str">
        <f t="shared" si="467"/>
        <v>016</v>
      </c>
      <c r="J3925" s="5" t="str">
        <f t="shared" si="468"/>
        <v>2230</v>
      </c>
      <c r="K3925" s="5" t="str">
        <f t="shared" si="469"/>
        <v>000</v>
      </c>
      <c r="L3925" s="5">
        <f t="shared" si="470"/>
        <v>9</v>
      </c>
      <c r="M3925" s="5">
        <f t="shared" si="471"/>
        <v>2012</v>
      </c>
    </row>
    <row r="3926" spans="1:13" ht="17.45" customHeight="1" x14ac:dyDescent="0.25">
      <c r="A3926" s="1">
        <f>DATE(2012,9,25)</f>
        <v>41177</v>
      </c>
      <c r="B3926" t="s">
        <v>11</v>
      </c>
      <c r="C3926" t="s">
        <v>6</v>
      </c>
      <c r="D3926" s="3">
        <v>5420.4595999999992</v>
      </c>
      <c r="E3926" s="3">
        <v>0</v>
      </c>
      <c r="F3926" t="s">
        <v>45</v>
      </c>
      <c r="G3926" s="3">
        <f t="shared" si="465"/>
        <v>-5420.4595999999992</v>
      </c>
      <c r="H3926" s="3">
        <f t="shared" si="466"/>
        <v>5420.4595999999992</v>
      </c>
      <c r="I3926" s="5" t="str">
        <f t="shared" si="467"/>
        <v>016</v>
      </c>
      <c r="J3926" s="5" t="str">
        <f t="shared" si="468"/>
        <v>2100</v>
      </c>
      <c r="K3926" s="5" t="str">
        <f t="shared" si="469"/>
        <v>000</v>
      </c>
      <c r="L3926" s="5">
        <f t="shared" si="470"/>
        <v>9</v>
      </c>
      <c r="M3926" s="5">
        <f t="shared" si="471"/>
        <v>2012</v>
      </c>
    </row>
    <row r="3927" spans="1:13" ht="17.45" customHeight="1" x14ac:dyDescent="0.25">
      <c r="A3927" s="1">
        <f>DATE(2012,9,25)</f>
        <v>41177</v>
      </c>
      <c r="B3927" t="s">
        <v>12</v>
      </c>
      <c r="C3927" t="s">
        <v>8</v>
      </c>
      <c r="D3927" s="3">
        <v>1327.0752</v>
      </c>
      <c r="E3927" s="3">
        <v>0</v>
      </c>
      <c r="F3927" t="s">
        <v>45</v>
      </c>
      <c r="G3927" s="3">
        <f t="shared" si="465"/>
        <v>-1327.0752</v>
      </c>
      <c r="H3927" s="3">
        <f t="shared" si="466"/>
        <v>1327.0752</v>
      </c>
      <c r="I3927" s="5" t="str">
        <f t="shared" si="467"/>
        <v>016</v>
      </c>
      <c r="J3927" s="5" t="str">
        <f t="shared" si="468"/>
        <v>2210</v>
      </c>
      <c r="K3927" s="5" t="str">
        <f t="shared" si="469"/>
        <v>000</v>
      </c>
      <c r="L3927" s="5">
        <f t="shared" si="470"/>
        <v>9</v>
      </c>
      <c r="M3927" s="5">
        <f t="shared" si="471"/>
        <v>2012</v>
      </c>
    </row>
    <row r="3928" spans="1:13" ht="17.45" customHeight="1" x14ac:dyDescent="0.25">
      <c r="A3928" s="1">
        <f>DATE(2012,9,25)</f>
        <v>41177</v>
      </c>
      <c r="B3928" t="s">
        <v>13</v>
      </c>
      <c r="C3928" t="s">
        <v>9</v>
      </c>
      <c r="D3928" s="3">
        <v>486.21</v>
      </c>
      <c r="E3928" s="3">
        <v>0</v>
      </c>
      <c r="F3928" t="s">
        <v>45</v>
      </c>
      <c r="G3928" s="3">
        <f t="shared" si="465"/>
        <v>-486.21</v>
      </c>
      <c r="H3928" s="3">
        <f t="shared" si="466"/>
        <v>486.21</v>
      </c>
      <c r="I3928" s="5" t="str">
        <f t="shared" si="467"/>
        <v>016</v>
      </c>
      <c r="J3928" s="5" t="str">
        <f t="shared" si="468"/>
        <v>2220</v>
      </c>
      <c r="K3928" s="5" t="str">
        <f t="shared" si="469"/>
        <v>000</v>
      </c>
      <c r="L3928" s="5">
        <f t="shared" si="470"/>
        <v>9</v>
      </c>
      <c r="M3928" s="5">
        <f t="shared" si="471"/>
        <v>2012</v>
      </c>
    </row>
    <row r="3929" spans="1:13" ht="17.45" customHeight="1" x14ac:dyDescent="0.25">
      <c r="A3929" s="1">
        <f>DATE(2012,9,25)</f>
        <v>41177</v>
      </c>
      <c r="B3929" t="s">
        <v>14</v>
      </c>
      <c r="C3929" t="s">
        <v>10</v>
      </c>
      <c r="D3929" s="3">
        <v>117.105</v>
      </c>
      <c r="E3929" s="3">
        <v>0</v>
      </c>
      <c r="F3929" t="s">
        <v>45</v>
      </c>
      <c r="G3929" s="3">
        <f t="shared" si="465"/>
        <v>-117.105</v>
      </c>
      <c r="H3929" s="3">
        <f t="shared" si="466"/>
        <v>117.105</v>
      </c>
      <c r="I3929" s="5" t="str">
        <f t="shared" si="467"/>
        <v>016</v>
      </c>
      <c r="J3929" s="5" t="str">
        <f t="shared" si="468"/>
        <v>2230</v>
      </c>
      <c r="K3929" s="5" t="str">
        <f t="shared" si="469"/>
        <v>000</v>
      </c>
      <c r="L3929" s="5">
        <f t="shared" si="470"/>
        <v>9</v>
      </c>
      <c r="M3929" s="5">
        <f t="shared" si="471"/>
        <v>2012</v>
      </c>
    </row>
    <row r="3930" spans="1:13" ht="17.45" customHeight="1" x14ac:dyDescent="0.25">
      <c r="A3930" s="1">
        <f>DATE(2012,9,26)</f>
        <v>41178</v>
      </c>
      <c r="B3930" t="s">
        <v>11</v>
      </c>
      <c r="C3930" t="s">
        <v>6</v>
      </c>
      <c r="D3930" s="3">
        <v>3160.17</v>
      </c>
      <c r="E3930" s="3">
        <v>0</v>
      </c>
      <c r="F3930" t="s">
        <v>45</v>
      </c>
      <c r="G3930" s="3">
        <f t="shared" si="465"/>
        <v>-3160.17</v>
      </c>
      <c r="H3930" s="3">
        <f t="shared" si="466"/>
        <v>3160.17</v>
      </c>
      <c r="I3930" s="5" t="str">
        <f t="shared" si="467"/>
        <v>016</v>
      </c>
      <c r="J3930" s="5" t="str">
        <f t="shared" si="468"/>
        <v>2100</v>
      </c>
      <c r="K3930" s="5" t="str">
        <f t="shared" si="469"/>
        <v>000</v>
      </c>
      <c r="L3930" s="5">
        <f t="shared" si="470"/>
        <v>9</v>
      </c>
      <c r="M3930" s="5">
        <f t="shared" si="471"/>
        <v>2012</v>
      </c>
    </row>
    <row r="3931" spans="1:13" ht="17.45" customHeight="1" x14ac:dyDescent="0.25">
      <c r="A3931" s="1">
        <f>DATE(2012,9,26)</f>
        <v>41178</v>
      </c>
      <c r="B3931" t="s">
        <v>12</v>
      </c>
      <c r="C3931" t="s">
        <v>8</v>
      </c>
      <c r="D3931" s="3">
        <v>599.12250000000006</v>
      </c>
      <c r="E3931" s="3">
        <v>0</v>
      </c>
      <c r="F3931" t="s">
        <v>45</v>
      </c>
      <c r="G3931" s="3">
        <f t="shared" si="465"/>
        <v>-599.12250000000006</v>
      </c>
      <c r="H3931" s="3">
        <f t="shared" si="466"/>
        <v>599.12250000000006</v>
      </c>
      <c r="I3931" s="5" t="str">
        <f t="shared" si="467"/>
        <v>016</v>
      </c>
      <c r="J3931" s="5" t="str">
        <f t="shared" si="468"/>
        <v>2210</v>
      </c>
      <c r="K3931" s="5" t="str">
        <f t="shared" si="469"/>
        <v>000</v>
      </c>
      <c r="L3931" s="5">
        <f t="shared" si="470"/>
        <v>9</v>
      </c>
      <c r="M3931" s="5">
        <f t="shared" si="471"/>
        <v>2012</v>
      </c>
    </row>
    <row r="3932" spans="1:13" ht="17.45" customHeight="1" x14ac:dyDescent="0.25">
      <c r="A3932" s="1">
        <f>DATE(2012,9,26)</f>
        <v>41178</v>
      </c>
      <c r="B3932" t="s">
        <v>13</v>
      </c>
      <c r="C3932" t="s">
        <v>9</v>
      </c>
      <c r="D3932" s="3">
        <v>142.179</v>
      </c>
      <c r="E3932" s="3">
        <v>0</v>
      </c>
      <c r="F3932" t="s">
        <v>45</v>
      </c>
      <c r="G3932" s="3">
        <f t="shared" si="465"/>
        <v>-142.179</v>
      </c>
      <c r="H3932" s="3">
        <f t="shared" si="466"/>
        <v>142.179</v>
      </c>
      <c r="I3932" s="5" t="str">
        <f t="shared" si="467"/>
        <v>016</v>
      </c>
      <c r="J3932" s="5" t="str">
        <f t="shared" si="468"/>
        <v>2220</v>
      </c>
      <c r="K3932" s="5" t="str">
        <f t="shared" si="469"/>
        <v>000</v>
      </c>
      <c r="L3932" s="5">
        <f t="shared" si="470"/>
        <v>9</v>
      </c>
      <c r="M3932" s="5">
        <f t="shared" si="471"/>
        <v>2012</v>
      </c>
    </row>
    <row r="3933" spans="1:13" ht="17.45" customHeight="1" x14ac:dyDescent="0.25">
      <c r="A3933" s="1">
        <f>DATE(2012,9,26)</f>
        <v>41178</v>
      </c>
      <c r="B3933" t="s">
        <v>14</v>
      </c>
      <c r="C3933" t="s">
        <v>10</v>
      </c>
      <c r="D3933" s="3">
        <v>67.405000000000001</v>
      </c>
      <c r="E3933" s="3">
        <v>0</v>
      </c>
      <c r="F3933" t="s">
        <v>45</v>
      </c>
      <c r="G3933" s="3">
        <f t="shared" si="465"/>
        <v>-67.405000000000001</v>
      </c>
      <c r="H3933" s="3">
        <f t="shared" si="466"/>
        <v>67.405000000000001</v>
      </c>
      <c r="I3933" s="5" t="str">
        <f t="shared" si="467"/>
        <v>016</v>
      </c>
      <c r="J3933" s="5" t="str">
        <f t="shared" si="468"/>
        <v>2230</v>
      </c>
      <c r="K3933" s="5" t="str">
        <f t="shared" si="469"/>
        <v>000</v>
      </c>
      <c r="L3933" s="5">
        <f t="shared" si="470"/>
        <v>9</v>
      </c>
      <c r="M3933" s="5">
        <f t="shared" si="471"/>
        <v>2012</v>
      </c>
    </row>
    <row r="3934" spans="1:13" ht="17.45" customHeight="1" x14ac:dyDescent="0.25">
      <c r="A3934" s="1">
        <f>DATE(2012,9,27)</f>
        <v>41179</v>
      </c>
      <c r="B3934" t="s">
        <v>11</v>
      </c>
      <c r="C3934" t="s">
        <v>6</v>
      </c>
      <c r="D3934" s="3">
        <v>1958.04</v>
      </c>
      <c r="E3934" s="3">
        <v>0</v>
      </c>
      <c r="F3934" t="s">
        <v>45</v>
      </c>
      <c r="G3934" s="3">
        <f t="shared" si="465"/>
        <v>-1958.04</v>
      </c>
      <c r="H3934" s="3">
        <f t="shared" si="466"/>
        <v>1958.04</v>
      </c>
      <c r="I3934" s="5" t="str">
        <f t="shared" si="467"/>
        <v>016</v>
      </c>
      <c r="J3934" s="5" t="str">
        <f t="shared" si="468"/>
        <v>2100</v>
      </c>
      <c r="K3934" s="5" t="str">
        <f t="shared" si="469"/>
        <v>000</v>
      </c>
      <c r="L3934" s="5">
        <f t="shared" si="470"/>
        <v>9</v>
      </c>
      <c r="M3934" s="5">
        <f t="shared" si="471"/>
        <v>2012</v>
      </c>
    </row>
    <row r="3935" spans="1:13" ht="17.45" customHeight="1" x14ac:dyDescent="0.25">
      <c r="A3935" s="1">
        <f>DATE(2012,9,27)</f>
        <v>41179</v>
      </c>
      <c r="B3935" t="s">
        <v>12</v>
      </c>
      <c r="C3935" t="s">
        <v>8</v>
      </c>
      <c r="D3935" s="3">
        <v>430.49249999999995</v>
      </c>
      <c r="E3935" s="3">
        <v>0</v>
      </c>
      <c r="F3935" t="s">
        <v>45</v>
      </c>
      <c r="G3935" s="3">
        <f t="shared" si="465"/>
        <v>-430.49249999999995</v>
      </c>
      <c r="H3935" s="3">
        <f t="shared" si="466"/>
        <v>430.49249999999995</v>
      </c>
      <c r="I3935" s="5" t="str">
        <f t="shared" si="467"/>
        <v>016</v>
      </c>
      <c r="J3935" s="5" t="str">
        <f t="shared" si="468"/>
        <v>2210</v>
      </c>
      <c r="K3935" s="5" t="str">
        <f t="shared" si="469"/>
        <v>000</v>
      </c>
      <c r="L3935" s="5">
        <f t="shared" si="470"/>
        <v>9</v>
      </c>
      <c r="M3935" s="5">
        <f t="shared" si="471"/>
        <v>2012</v>
      </c>
    </row>
    <row r="3936" spans="1:13" ht="17.45" customHeight="1" x14ac:dyDescent="0.25">
      <c r="A3936" s="1">
        <f>DATE(2012,9,27)</f>
        <v>41179</v>
      </c>
      <c r="B3936" t="s">
        <v>13</v>
      </c>
      <c r="C3936" t="s">
        <v>9</v>
      </c>
      <c r="D3936" s="3">
        <v>85.522499999999994</v>
      </c>
      <c r="E3936" s="3">
        <v>0</v>
      </c>
      <c r="F3936" t="s">
        <v>45</v>
      </c>
      <c r="G3936" s="3">
        <f t="shared" si="465"/>
        <v>-85.522499999999994</v>
      </c>
      <c r="H3936" s="3">
        <f t="shared" si="466"/>
        <v>85.522499999999994</v>
      </c>
      <c r="I3936" s="5" t="str">
        <f t="shared" si="467"/>
        <v>016</v>
      </c>
      <c r="J3936" s="5" t="str">
        <f t="shared" si="468"/>
        <v>2220</v>
      </c>
      <c r="K3936" s="5" t="str">
        <f t="shared" si="469"/>
        <v>000</v>
      </c>
      <c r="L3936" s="5">
        <f t="shared" si="470"/>
        <v>9</v>
      </c>
      <c r="M3936" s="5">
        <f t="shared" si="471"/>
        <v>2012</v>
      </c>
    </row>
    <row r="3937" spans="1:13" ht="17.45" customHeight="1" x14ac:dyDescent="0.25">
      <c r="A3937" s="1">
        <f>DATE(2012,9,27)</f>
        <v>41179</v>
      </c>
      <c r="B3937" t="s">
        <v>14</v>
      </c>
      <c r="C3937" t="s">
        <v>10</v>
      </c>
      <c r="D3937" s="3">
        <v>70.122</v>
      </c>
      <c r="E3937" s="3">
        <v>0</v>
      </c>
      <c r="F3937" t="s">
        <v>45</v>
      </c>
      <c r="G3937" s="3">
        <f t="shared" si="465"/>
        <v>-70.122</v>
      </c>
      <c r="H3937" s="3">
        <f t="shared" si="466"/>
        <v>70.122</v>
      </c>
      <c r="I3937" s="5" t="str">
        <f t="shared" si="467"/>
        <v>016</v>
      </c>
      <c r="J3937" s="5" t="str">
        <f t="shared" si="468"/>
        <v>2230</v>
      </c>
      <c r="K3937" s="5" t="str">
        <f t="shared" si="469"/>
        <v>000</v>
      </c>
      <c r="L3937" s="5">
        <f t="shared" si="470"/>
        <v>9</v>
      </c>
      <c r="M3937" s="5">
        <f t="shared" si="471"/>
        <v>2012</v>
      </c>
    </row>
    <row r="3938" spans="1:13" ht="17.45" customHeight="1" x14ac:dyDescent="0.25">
      <c r="A3938" s="1">
        <f>DATE(2012,9,28)</f>
        <v>41180</v>
      </c>
      <c r="B3938" t="s">
        <v>11</v>
      </c>
      <c r="C3938" t="s">
        <v>6</v>
      </c>
      <c r="D3938" s="3">
        <v>4182.9480000000003</v>
      </c>
      <c r="E3938" s="3">
        <v>0</v>
      </c>
      <c r="F3938" t="s">
        <v>45</v>
      </c>
      <c r="G3938" s="3">
        <f t="shared" si="465"/>
        <v>-4182.9480000000003</v>
      </c>
      <c r="H3938" s="3">
        <f t="shared" si="466"/>
        <v>4182.9480000000003</v>
      </c>
      <c r="I3938" s="5" t="str">
        <f t="shared" si="467"/>
        <v>016</v>
      </c>
      <c r="J3938" s="5" t="str">
        <f t="shared" si="468"/>
        <v>2100</v>
      </c>
      <c r="K3938" s="5" t="str">
        <f t="shared" si="469"/>
        <v>000</v>
      </c>
      <c r="L3938" s="5">
        <f t="shared" si="470"/>
        <v>9</v>
      </c>
      <c r="M3938" s="5">
        <f t="shared" si="471"/>
        <v>2012</v>
      </c>
    </row>
    <row r="3939" spans="1:13" ht="17.45" customHeight="1" x14ac:dyDescent="0.25">
      <c r="A3939" s="1">
        <f>DATE(2012,9,28)</f>
        <v>41180</v>
      </c>
      <c r="B3939" t="s">
        <v>12</v>
      </c>
      <c r="C3939" t="s">
        <v>8</v>
      </c>
      <c r="D3939" s="3">
        <v>1183.68</v>
      </c>
      <c r="E3939" s="3">
        <v>0</v>
      </c>
      <c r="F3939" t="s">
        <v>45</v>
      </c>
      <c r="G3939" s="3">
        <f t="shared" si="465"/>
        <v>-1183.68</v>
      </c>
      <c r="H3939" s="3">
        <f t="shared" si="466"/>
        <v>1183.68</v>
      </c>
      <c r="I3939" s="5" t="str">
        <f t="shared" si="467"/>
        <v>016</v>
      </c>
      <c r="J3939" s="5" t="str">
        <f t="shared" si="468"/>
        <v>2210</v>
      </c>
      <c r="K3939" s="5" t="str">
        <f t="shared" si="469"/>
        <v>000</v>
      </c>
      <c r="L3939" s="5">
        <f t="shared" si="470"/>
        <v>9</v>
      </c>
      <c r="M3939" s="5">
        <f t="shared" si="471"/>
        <v>2012</v>
      </c>
    </row>
    <row r="3940" spans="1:13" ht="17.45" customHeight="1" x14ac:dyDescent="0.25">
      <c r="A3940" s="1">
        <f>DATE(2012,9,28)</f>
        <v>41180</v>
      </c>
      <c r="B3940" t="s">
        <v>13</v>
      </c>
      <c r="C3940" t="s">
        <v>9</v>
      </c>
      <c r="D3940" s="3">
        <v>253.66770000000002</v>
      </c>
      <c r="E3940" s="3">
        <v>0</v>
      </c>
      <c r="F3940" t="s">
        <v>45</v>
      </c>
      <c r="G3940" s="3">
        <f t="shared" si="465"/>
        <v>-253.66770000000002</v>
      </c>
      <c r="H3940" s="3">
        <f t="shared" si="466"/>
        <v>253.66770000000002</v>
      </c>
      <c r="I3940" s="5" t="str">
        <f t="shared" si="467"/>
        <v>016</v>
      </c>
      <c r="J3940" s="5" t="str">
        <f t="shared" si="468"/>
        <v>2220</v>
      </c>
      <c r="K3940" s="5" t="str">
        <f t="shared" si="469"/>
        <v>000</v>
      </c>
      <c r="L3940" s="5">
        <f t="shared" si="470"/>
        <v>9</v>
      </c>
      <c r="M3940" s="5">
        <f t="shared" si="471"/>
        <v>2012</v>
      </c>
    </row>
    <row r="3941" spans="1:13" ht="17.45" customHeight="1" x14ac:dyDescent="0.25">
      <c r="A3941" s="1">
        <f>DATE(2012,9,28)</f>
        <v>41180</v>
      </c>
      <c r="B3941" t="s">
        <v>14</v>
      </c>
      <c r="C3941" t="s">
        <v>10</v>
      </c>
      <c r="D3941" s="3">
        <v>136.804</v>
      </c>
      <c r="E3941" s="3">
        <v>0</v>
      </c>
      <c r="F3941" t="s">
        <v>45</v>
      </c>
      <c r="G3941" s="3">
        <f t="shared" si="465"/>
        <v>-136.804</v>
      </c>
      <c r="H3941" s="3">
        <f t="shared" si="466"/>
        <v>136.804</v>
      </c>
      <c r="I3941" s="5" t="str">
        <f t="shared" si="467"/>
        <v>016</v>
      </c>
      <c r="J3941" s="5" t="str">
        <f t="shared" si="468"/>
        <v>2230</v>
      </c>
      <c r="K3941" s="5" t="str">
        <f t="shared" si="469"/>
        <v>000</v>
      </c>
      <c r="L3941" s="5">
        <f t="shared" si="470"/>
        <v>9</v>
      </c>
      <c r="M3941" s="5">
        <f t="shared" si="471"/>
        <v>2012</v>
      </c>
    </row>
    <row r="3942" spans="1:13" ht="17.45" customHeight="1" x14ac:dyDescent="0.25">
      <c r="A3942" s="1">
        <f>DATE(2012,9,29)</f>
        <v>41181</v>
      </c>
      <c r="B3942" t="s">
        <v>11</v>
      </c>
      <c r="C3942" t="s">
        <v>6</v>
      </c>
      <c r="D3942" s="3">
        <v>6179.1190999999999</v>
      </c>
      <c r="E3942" s="3">
        <v>0</v>
      </c>
      <c r="F3942" t="s">
        <v>45</v>
      </c>
      <c r="G3942" s="3">
        <f t="shared" si="465"/>
        <v>-6179.1190999999999</v>
      </c>
      <c r="H3942" s="3">
        <f t="shared" si="466"/>
        <v>6179.1190999999999</v>
      </c>
      <c r="I3942" s="5" t="str">
        <f t="shared" si="467"/>
        <v>016</v>
      </c>
      <c r="J3942" s="5" t="str">
        <f t="shared" si="468"/>
        <v>2100</v>
      </c>
      <c r="K3942" s="5" t="str">
        <f t="shared" si="469"/>
        <v>000</v>
      </c>
      <c r="L3942" s="5">
        <f t="shared" si="470"/>
        <v>9</v>
      </c>
      <c r="M3942" s="5">
        <f t="shared" si="471"/>
        <v>2012</v>
      </c>
    </row>
    <row r="3943" spans="1:13" ht="17.45" customHeight="1" x14ac:dyDescent="0.25">
      <c r="A3943" s="1">
        <f>DATE(2012,9,29)</f>
        <v>41181</v>
      </c>
      <c r="B3943" t="s">
        <v>12</v>
      </c>
      <c r="C3943" t="s">
        <v>8</v>
      </c>
      <c r="D3943" s="3">
        <v>2139.5</v>
      </c>
      <c r="E3943" s="3">
        <v>0</v>
      </c>
      <c r="F3943" t="s">
        <v>45</v>
      </c>
      <c r="G3943" s="3">
        <f t="shared" si="465"/>
        <v>-2139.5</v>
      </c>
      <c r="H3943" s="3">
        <f t="shared" si="466"/>
        <v>2139.5</v>
      </c>
      <c r="I3943" s="5" t="str">
        <f t="shared" si="467"/>
        <v>016</v>
      </c>
      <c r="J3943" s="5" t="str">
        <f t="shared" si="468"/>
        <v>2210</v>
      </c>
      <c r="K3943" s="5" t="str">
        <f t="shared" si="469"/>
        <v>000</v>
      </c>
      <c r="L3943" s="5">
        <f t="shared" si="470"/>
        <v>9</v>
      </c>
      <c r="M3943" s="5">
        <f t="shared" si="471"/>
        <v>2012</v>
      </c>
    </row>
    <row r="3944" spans="1:13" ht="17.45" customHeight="1" x14ac:dyDescent="0.25">
      <c r="A3944" s="1">
        <f>DATE(2012,9,29)</f>
        <v>41181</v>
      </c>
      <c r="B3944" t="s">
        <v>13</v>
      </c>
      <c r="C3944" t="s">
        <v>9</v>
      </c>
      <c r="D3944" s="3">
        <v>466.98300000000006</v>
      </c>
      <c r="E3944" s="3">
        <v>0</v>
      </c>
      <c r="F3944" t="s">
        <v>45</v>
      </c>
      <c r="G3944" s="3">
        <f t="shared" si="465"/>
        <v>-466.98300000000006</v>
      </c>
      <c r="H3944" s="3">
        <f t="shared" si="466"/>
        <v>466.98300000000006</v>
      </c>
      <c r="I3944" s="5" t="str">
        <f t="shared" si="467"/>
        <v>016</v>
      </c>
      <c r="J3944" s="5" t="str">
        <f t="shared" si="468"/>
        <v>2220</v>
      </c>
      <c r="K3944" s="5" t="str">
        <f t="shared" si="469"/>
        <v>000</v>
      </c>
      <c r="L3944" s="5">
        <f t="shared" si="470"/>
        <v>9</v>
      </c>
      <c r="M3944" s="5">
        <f t="shared" si="471"/>
        <v>2012</v>
      </c>
    </row>
    <row r="3945" spans="1:13" ht="17.45" customHeight="1" x14ac:dyDescent="0.25">
      <c r="A3945" s="1">
        <f>DATE(2012,9,29)</f>
        <v>41181</v>
      </c>
      <c r="B3945" t="s">
        <v>14</v>
      </c>
      <c r="C3945" t="s">
        <v>10</v>
      </c>
      <c r="D3945" s="3">
        <v>120.536</v>
      </c>
      <c r="E3945" s="3">
        <v>0</v>
      </c>
      <c r="F3945" t="s">
        <v>45</v>
      </c>
      <c r="G3945" s="3">
        <f t="shared" si="465"/>
        <v>-120.536</v>
      </c>
      <c r="H3945" s="3">
        <f t="shared" si="466"/>
        <v>120.536</v>
      </c>
      <c r="I3945" s="5" t="str">
        <f t="shared" si="467"/>
        <v>016</v>
      </c>
      <c r="J3945" s="5" t="str">
        <f t="shared" si="468"/>
        <v>2230</v>
      </c>
      <c r="K3945" s="5" t="str">
        <f t="shared" si="469"/>
        <v>000</v>
      </c>
      <c r="L3945" s="5">
        <f t="shared" si="470"/>
        <v>9</v>
      </c>
      <c r="M3945" s="5">
        <f t="shared" si="471"/>
        <v>2012</v>
      </c>
    </row>
    <row r="3946" spans="1:13" ht="17.45" customHeight="1" x14ac:dyDescent="0.25">
      <c r="A3946" s="1">
        <f>DATE(2012,9,24)</f>
        <v>41176</v>
      </c>
      <c r="B3946" t="s">
        <v>15</v>
      </c>
      <c r="C3946" t="s">
        <v>6</v>
      </c>
      <c r="D3946" s="3">
        <v>4996.6880000000001</v>
      </c>
      <c r="E3946" s="3">
        <v>0</v>
      </c>
      <c r="F3946" t="s">
        <v>45</v>
      </c>
      <c r="G3946" s="3">
        <f t="shared" si="465"/>
        <v>-4996.6880000000001</v>
      </c>
      <c r="H3946" s="3">
        <f t="shared" si="466"/>
        <v>4996.6880000000001</v>
      </c>
      <c r="I3946" s="5" t="str">
        <f t="shared" si="467"/>
        <v>017</v>
      </c>
      <c r="J3946" s="5" t="str">
        <f t="shared" si="468"/>
        <v>2100</v>
      </c>
      <c r="K3946" s="5" t="str">
        <f t="shared" si="469"/>
        <v>000</v>
      </c>
      <c r="L3946" s="5">
        <f t="shared" si="470"/>
        <v>9</v>
      </c>
      <c r="M3946" s="5">
        <f t="shared" si="471"/>
        <v>2012</v>
      </c>
    </row>
    <row r="3947" spans="1:13" ht="17.45" customHeight="1" x14ac:dyDescent="0.25">
      <c r="A3947" s="1">
        <f>DATE(2012,9,24)</f>
        <v>41176</v>
      </c>
      <c r="B3947" t="s">
        <v>16</v>
      </c>
      <c r="C3947" t="s">
        <v>8</v>
      </c>
      <c r="D3947" s="3">
        <v>648.61649999999997</v>
      </c>
      <c r="E3947" s="3">
        <v>0</v>
      </c>
      <c r="F3947" t="s">
        <v>45</v>
      </c>
      <c r="G3947" s="3">
        <f t="shared" si="465"/>
        <v>-648.61649999999997</v>
      </c>
      <c r="H3947" s="3">
        <f t="shared" si="466"/>
        <v>648.61649999999997</v>
      </c>
      <c r="I3947" s="5" t="str">
        <f t="shared" si="467"/>
        <v>017</v>
      </c>
      <c r="J3947" s="5" t="str">
        <f t="shared" si="468"/>
        <v>2210</v>
      </c>
      <c r="K3947" s="5" t="str">
        <f t="shared" si="469"/>
        <v>000</v>
      </c>
      <c r="L3947" s="5">
        <f t="shared" si="470"/>
        <v>9</v>
      </c>
      <c r="M3947" s="5">
        <f t="shared" si="471"/>
        <v>2012</v>
      </c>
    </row>
    <row r="3948" spans="1:13" ht="17.45" customHeight="1" x14ac:dyDescent="0.25">
      <c r="A3948" s="1">
        <f>DATE(2012,9,24)</f>
        <v>41176</v>
      </c>
      <c r="B3948" t="s">
        <v>17</v>
      </c>
      <c r="C3948" t="s">
        <v>9</v>
      </c>
      <c r="D3948" s="3">
        <v>154.32749999999999</v>
      </c>
      <c r="E3948" s="3">
        <v>0</v>
      </c>
      <c r="F3948" t="s">
        <v>45</v>
      </c>
      <c r="G3948" s="3">
        <f t="shared" si="465"/>
        <v>-154.32749999999999</v>
      </c>
      <c r="H3948" s="3">
        <f t="shared" si="466"/>
        <v>154.32749999999999</v>
      </c>
      <c r="I3948" s="5" t="str">
        <f t="shared" si="467"/>
        <v>017</v>
      </c>
      <c r="J3948" s="5" t="str">
        <f t="shared" si="468"/>
        <v>2220</v>
      </c>
      <c r="K3948" s="5" t="str">
        <f t="shared" si="469"/>
        <v>000</v>
      </c>
      <c r="L3948" s="5">
        <f t="shared" si="470"/>
        <v>9</v>
      </c>
      <c r="M3948" s="5">
        <f t="shared" si="471"/>
        <v>2012</v>
      </c>
    </row>
    <row r="3949" spans="1:13" ht="17.45" customHeight="1" x14ac:dyDescent="0.25">
      <c r="A3949" s="1">
        <f>DATE(2012,9,24)</f>
        <v>41176</v>
      </c>
      <c r="B3949" t="s">
        <v>18</v>
      </c>
      <c r="C3949" t="s">
        <v>10</v>
      </c>
      <c r="D3949" s="3">
        <v>84.73</v>
      </c>
      <c r="E3949" s="3">
        <v>0</v>
      </c>
      <c r="F3949" t="s">
        <v>45</v>
      </c>
      <c r="G3949" s="3">
        <f t="shared" si="465"/>
        <v>-84.73</v>
      </c>
      <c r="H3949" s="3">
        <f t="shared" si="466"/>
        <v>84.73</v>
      </c>
      <c r="I3949" s="5" t="str">
        <f t="shared" si="467"/>
        <v>017</v>
      </c>
      <c r="J3949" s="5" t="str">
        <f t="shared" si="468"/>
        <v>2230</v>
      </c>
      <c r="K3949" s="5" t="str">
        <f t="shared" si="469"/>
        <v>000</v>
      </c>
      <c r="L3949" s="5">
        <f t="shared" si="470"/>
        <v>9</v>
      </c>
      <c r="M3949" s="5">
        <f t="shared" si="471"/>
        <v>2012</v>
      </c>
    </row>
    <row r="3950" spans="1:13" ht="17.45" customHeight="1" x14ac:dyDescent="0.25">
      <c r="A3950" s="1">
        <f>DATE(2012,9,25)</f>
        <v>41177</v>
      </c>
      <c r="B3950" t="s">
        <v>15</v>
      </c>
      <c r="C3950" t="s">
        <v>6</v>
      </c>
      <c r="D3950" s="3">
        <v>4927.3934999999992</v>
      </c>
      <c r="E3950" s="3">
        <v>0</v>
      </c>
      <c r="F3950" t="s">
        <v>45</v>
      </c>
      <c r="G3950" s="3">
        <f t="shared" si="465"/>
        <v>-4927.3934999999992</v>
      </c>
      <c r="H3950" s="3">
        <f t="shared" si="466"/>
        <v>4927.3934999999992</v>
      </c>
      <c r="I3950" s="5" t="str">
        <f t="shared" si="467"/>
        <v>017</v>
      </c>
      <c r="J3950" s="5" t="str">
        <f t="shared" si="468"/>
        <v>2100</v>
      </c>
      <c r="K3950" s="5" t="str">
        <f t="shared" si="469"/>
        <v>000</v>
      </c>
      <c r="L3950" s="5">
        <f t="shared" si="470"/>
        <v>9</v>
      </c>
      <c r="M3950" s="5">
        <f t="shared" si="471"/>
        <v>2012</v>
      </c>
    </row>
    <row r="3951" spans="1:13" ht="17.45" customHeight="1" x14ac:dyDescent="0.25">
      <c r="A3951" s="1">
        <f>DATE(2012,9,25)</f>
        <v>41177</v>
      </c>
      <c r="B3951" t="s">
        <v>16</v>
      </c>
      <c r="C3951" t="s">
        <v>8</v>
      </c>
      <c r="D3951" s="3">
        <v>759.07499999999993</v>
      </c>
      <c r="E3951" s="3">
        <v>0</v>
      </c>
      <c r="F3951" t="s">
        <v>45</v>
      </c>
      <c r="G3951" s="3">
        <f t="shared" si="465"/>
        <v>-759.07499999999993</v>
      </c>
      <c r="H3951" s="3">
        <f t="shared" si="466"/>
        <v>759.07499999999993</v>
      </c>
      <c r="I3951" s="5" t="str">
        <f t="shared" si="467"/>
        <v>017</v>
      </c>
      <c r="J3951" s="5" t="str">
        <f t="shared" si="468"/>
        <v>2210</v>
      </c>
      <c r="K3951" s="5" t="str">
        <f t="shared" si="469"/>
        <v>000</v>
      </c>
      <c r="L3951" s="5">
        <f t="shared" si="470"/>
        <v>9</v>
      </c>
      <c r="M3951" s="5">
        <f t="shared" si="471"/>
        <v>2012</v>
      </c>
    </row>
    <row r="3952" spans="1:13" ht="17.45" customHeight="1" x14ac:dyDescent="0.25">
      <c r="A3952" s="1">
        <f>DATE(2012,9,25)</f>
        <v>41177</v>
      </c>
      <c r="B3952" t="s">
        <v>17</v>
      </c>
      <c r="C3952" t="s">
        <v>9</v>
      </c>
      <c r="D3952" s="3">
        <v>411.0575</v>
      </c>
      <c r="E3952" s="3">
        <v>0</v>
      </c>
      <c r="F3952" t="s">
        <v>45</v>
      </c>
      <c r="G3952" s="3">
        <f t="shared" si="465"/>
        <v>-411.0575</v>
      </c>
      <c r="H3952" s="3">
        <f t="shared" si="466"/>
        <v>411.0575</v>
      </c>
      <c r="I3952" s="5" t="str">
        <f t="shared" si="467"/>
        <v>017</v>
      </c>
      <c r="J3952" s="5" t="str">
        <f t="shared" si="468"/>
        <v>2220</v>
      </c>
      <c r="K3952" s="5" t="str">
        <f t="shared" si="469"/>
        <v>000</v>
      </c>
      <c r="L3952" s="5">
        <f t="shared" si="470"/>
        <v>9</v>
      </c>
      <c r="M3952" s="5">
        <f t="shared" si="471"/>
        <v>2012</v>
      </c>
    </row>
    <row r="3953" spans="1:13" ht="17.45" customHeight="1" x14ac:dyDescent="0.25">
      <c r="A3953" s="1">
        <f>DATE(2012,9,25)</f>
        <v>41177</v>
      </c>
      <c r="B3953" t="s">
        <v>18</v>
      </c>
      <c r="C3953" t="s">
        <v>10</v>
      </c>
      <c r="D3953" s="3">
        <v>111.033</v>
      </c>
      <c r="E3953" s="3">
        <v>0</v>
      </c>
      <c r="F3953" t="s">
        <v>45</v>
      </c>
      <c r="G3953" s="3">
        <f t="shared" si="465"/>
        <v>-111.033</v>
      </c>
      <c r="H3953" s="3">
        <f t="shared" si="466"/>
        <v>111.033</v>
      </c>
      <c r="I3953" s="5" t="str">
        <f t="shared" si="467"/>
        <v>017</v>
      </c>
      <c r="J3953" s="5" t="str">
        <f t="shared" si="468"/>
        <v>2230</v>
      </c>
      <c r="K3953" s="5" t="str">
        <f t="shared" si="469"/>
        <v>000</v>
      </c>
      <c r="L3953" s="5">
        <f t="shared" si="470"/>
        <v>9</v>
      </c>
      <c r="M3953" s="5">
        <f t="shared" si="471"/>
        <v>2012</v>
      </c>
    </row>
    <row r="3954" spans="1:13" ht="17.45" customHeight="1" x14ac:dyDescent="0.25">
      <c r="A3954" s="1">
        <f>DATE(2012,9,26)</f>
        <v>41178</v>
      </c>
      <c r="B3954" t="s">
        <v>15</v>
      </c>
      <c r="C3954" t="s">
        <v>6</v>
      </c>
      <c r="D3954" s="3">
        <v>6194.5752000000002</v>
      </c>
      <c r="E3954" s="3">
        <v>0</v>
      </c>
      <c r="F3954" t="s">
        <v>45</v>
      </c>
      <c r="G3954" s="3">
        <f t="shared" si="465"/>
        <v>-6194.5752000000002</v>
      </c>
      <c r="H3954" s="3">
        <f t="shared" si="466"/>
        <v>6194.5752000000002</v>
      </c>
      <c r="I3954" s="5" t="str">
        <f t="shared" si="467"/>
        <v>017</v>
      </c>
      <c r="J3954" s="5" t="str">
        <f t="shared" si="468"/>
        <v>2100</v>
      </c>
      <c r="K3954" s="5" t="str">
        <f t="shared" si="469"/>
        <v>000</v>
      </c>
      <c r="L3954" s="5">
        <f t="shared" si="470"/>
        <v>9</v>
      </c>
      <c r="M3954" s="5">
        <f t="shared" si="471"/>
        <v>2012</v>
      </c>
    </row>
    <row r="3955" spans="1:13" ht="17.45" customHeight="1" x14ac:dyDescent="0.25">
      <c r="A3955" s="1">
        <f>DATE(2012,9,26)</f>
        <v>41178</v>
      </c>
      <c r="B3955" t="s">
        <v>16</v>
      </c>
      <c r="C3955" t="s">
        <v>8</v>
      </c>
      <c r="D3955" s="3">
        <v>1639.9849999999999</v>
      </c>
      <c r="E3955" s="3">
        <v>0</v>
      </c>
      <c r="F3955" t="s">
        <v>45</v>
      </c>
      <c r="G3955" s="3">
        <f t="shared" si="465"/>
        <v>-1639.9849999999999</v>
      </c>
      <c r="H3955" s="3">
        <f t="shared" si="466"/>
        <v>1639.9849999999999</v>
      </c>
      <c r="I3955" s="5" t="str">
        <f t="shared" si="467"/>
        <v>017</v>
      </c>
      <c r="J3955" s="5" t="str">
        <f t="shared" si="468"/>
        <v>2210</v>
      </c>
      <c r="K3955" s="5" t="str">
        <f t="shared" si="469"/>
        <v>000</v>
      </c>
      <c r="L3955" s="5">
        <f t="shared" si="470"/>
        <v>9</v>
      </c>
      <c r="M3955" s="5">
        <f t="shared" si="471"/>
        <v>2012</v>
      </c>
    </row>
    <row r="3956" spans="1:13" ht="17.45" customHeight="1" x14ac:dyDescent="0.25">
      <c r="A3956" s="1">
        <f>DATE(2012,9,26)</f>
        <v>41178</v>
      </c>
      <c r="B3956" t="s">
        <v>17</v>
      </c>
      <c r="C3956" t="s">
        <v>9</v>
      </c>
      <c r="D3956" s="3">
        <v>311.20000000000005</v>
      </c>
      <c r="E3956" s="3">
        <v>0</v>
      </c>
      <c r="F3956" t="s">
        <v>45</v>
      </c>
      <c r="G3956" s="3">
        <f t="shared" si="465"/>
        <v>-311.20000000000005</v>
      </c>
      <c r="H3956" s="3">
        <f t="shared" si="466"/>
        <v>311.20000000000005</v>
      </c>
      <c r="I3956" s="5" t="str">
        <f t="shared" si="467"/>
        <v>017</v>
      </c>
      <c r="J3956" s="5" t="str">
        <f t="shared" si="468"/>
        <v>2220</v>
      </c>
      <c r="K3956" s="5" t="str">
        <f t="shared" si="469"/>
        <v>000</v>
      </c>
      <c r="L3956" s="5">
        <f t="shared" si="470"/>
        <v>9</v>
      </c>
      <c r="M3956" s="5">
        <f t="shared" si="471"/>
        <v>2012</v>
      </c>
    </row>
    <row r="3957" spans="1:13" ht="17.45" customHeight="1" x14ac:dyDescent="0.25">
      <c r="A3957" s="1">
        <f>DATE(2012,9,26)</f>
        <v>41178</v>
      </c>
      <c r="B3957" t="s">
        <v>18</v>
      </c>
      <c r="C3957" t="s">
        <v>10</v>
      </c>
      <c r="D3957" s="3">
        <v>36.3735</v>
      </c>
      <c r="E3957" s="3">
        <v>0</v>
      </c>
      <c r="F3957" t="s">
        <v>45</v>
      </c>
      <c r="G3957" s="3">
        <f t="shared" si="465"/>
        <v>-36.3735</v>
      </c>
      <c r="H3957" s="3">
        <f t="shared" si="466"/>
        <v>36.3735</v>
      </c>
      <c r="I3957" s="5" t="str">
        <f t="shared" si="467"/>
        <v>017</v>
      </c>
      <c r="J3957" s="5" t="str">
        <f t="shared" si="468"/>
        <v>2230</v>
      </c>
      <c r="K3957" s="5" t="str">
        <f t="shared" si="469"/>
        <v>000</v>
      </c>
      <c r="L3957" s="5">
        <f t="shared" si="470"/>
        <v>9</v>
      </c>
      <c r="M3957" s="5">
        <f t="shared" si="471"/>
        <v>2012</v>
      </c>
    </row>
    <row r="3958" spans="1:13" ht="17.45" customHeight="1" x14ac:dyDescent="0.25">
      <c r="A3958" s="1">
        <f>DATE(2012,9,27)</f>
        <v>41179</v>
      </c>
      <c r="B3958" t="s">
        <v>15</v>
      </c>
      <c r="C3958" t="s">
        <v>6</v>
      </c>
      <c r="D3958" s="3">
        <v>6282.7920000000004</v>
      </c>
      <c r="E3958" s="3">
        <v>0</v>
      </c>
      <c r="F3958" t="s">
        <v>45</v>
      </c>
      <c r="G3958" s="3">
        <f t="shared" si="465"/>
        <v>-6282.7920000000004</v>
      </c>
      <c r="H3958" s="3">
        <f t="shared" si="466"/>
        <v>6282.7920000000004</v>
      </c>
      <c r="I3958" s="5" t="str">
        <f t="shared" si="467"/>
        <v>017</v>
      </c>
      <c r="J3958" s="5" t="str">
        <f t="shared" si="468"/>
        <v>2100</v>
      </c>
      <c r="K3958" s="5" t="str">
        <f t="shared" si="469"/>
        <v>000</v>
      </c>
      <c r="L3958" s="5">
        <f t="shared" si="470"/>
        <v>9</v>
      </c>
      <c r="M3958" s="5">
        <f t="shared" si="471"/>
        <v>2012</v>
      </c>
    </row>
    <row r="3959" spans="1:13" ht="17.45" customHeight="1" x14ac:dyDescent="0.25">
      <c r="A3959" s="1">
        <f>DATE(2012,9,27)</f>
        <v>41179</v>
      </c>
      <c r="B3959" t="s">
        <v>16</v>
      </c>
      <c r="C3959" t="s">
        <v>8</v>
      </c>
      <c r="D3959" s="3">
        <v>1749.0045</v>
      </c>
      <c r="E3959" s="3">
        <v>0</v>
      </c>
      <c r="F3959" t="s">
        <v>45</v>
      </c>
      <c r="G3959" s="3">
        <f t="shared" si="465"/>
        <v>-1749.0045</v>
      </c>
      <c r="H3959" s="3">
        <f t="shared" si="466"/>
        <v>1749.0045</v>
      </c>
      <c r="I3959" s="5" t="str">
        <f t="shared" si="467"/>
        <v>017</v>
      </c>
      <c r="J3959" s="5" t="str">
        <f t="shared" si="468"/>
        <v>2210</v>
      </c>
      <c r="K3959" s="5" t="str">
        <f t="shared" si="469"/>
        <v>000</v>
      </c>
      <c r="L3959" s="5">
        <f t="shared" si="470"/>
        <v>9</v>
      </c>
      <c r="M3959" s="5">
        <f t="shared" si="471"/>
        <v>2012</v>
      </c>
    </row>
    <row r="3960" spans="1:13" ht="17.45" customHeight="1" x14ac:dyDescent="0.25">
      <c r="A3960" s="1">
        <f>DATE(2012,9,27)</f>
        <v>41179</v>
      </c>
      <c r="B3960" t="s">
        <v>17</v>
      </c>
      <c r="C3960" t="s">
        <v>9</v>
      </c>
      <c r="D3960" s="3">
        <v>396.94</v>
      </c>
      <c r="E3960" s="3">
        <v>0</v>
      </c>
      <c r="F3960" t="s">
        <v>45</v>
      </c>
      <c r="G3960" s="3">
        <f t="shared" si="465"/>
        <v>-396.94</v>
      </c>
      <c r="H3960" s="3">
        <f t="shared" si="466"/>
        <v>396.94</v>
      </c>
      <c r="I3960" s="5" t="str">
        <f t="shared" si="467"/>
        <v>017</v>
      </c>
      <c r="J3960" s="5" t="str">
        <f t="shared" si="468"/>
        <v>2220</v>
      </c>
      <c r="K3960" s="5" t="str">
        <f t="shared" si="469"/>
        <v>000</v>
      </c>
      <c r="L3960" s="5">
        <f t="shared" si="470"/>
        <v>9</v>
      </c>
      <c r="M3960" s="5">
        <f t="shared" si="471"/>
        <v>2012</v>
      </c>
    </row>
    <row r="3961" spans="1:13" ht="17.45" customHeight="1" x14ac:dyDescent="0.25">
      <c r="A3961" s="1">
        <f>DATE(2012,9,27)</f>
        <v>41179</v>
      </c>
      <c r="B3961" t="s">
        <v>18</v>
      </c>
      <c r="C3961" t="s">
        <v>10</v>
      </c>
      <c r="D3961" s="3">
        <v>97.289999999999992</v>
      </c>
      <c r="E3961" s="3">
        <v>0</v>
      </c>
      <c r="F3961" t="s">
        <v>45</v>
      </c>
      <c r="G3961" s="3">
        <f t="shared" si="465"/>
        <v>-97.289999999999992</v>
      </c>
      <c r="H3961" s="3">
        <f t="shared" si="466"/>
        <v>97.289999999999992</v>
      </c>
      <c r="I3961" s="5" t="str">
        <f t="shared" si="467"/>
        <v>017</v>
      </c>
      <c r="J3961" s="5" t="str">
        <f t="shared" si="468"/>
        <v>2230</v>
      </c>
      <c r="K3961" s="5" t="str">
        <f t="shared" si="469"/>
        <v>000</v>
      </c>
      <c r="L3961" s="5">
        <f t="shared" si="470"/>
        <v>9</v>
      </c>
      <c r="M3961" s="5">
        <f t="shared" si="471"/>
        <v>2012</v>
      </c>
    </row>
    <row r="3962" spans="1:13" ht="17.45" customHeight="1" x14ac:dyDescent="0.25">
      <c r="A3962" s="1">
        <f>DATE(2012,9,28)</f>
        <v>41180</v>
      </c>
      <c r="B3962" t="s">
        <v>15</v>
      </c>
      <c r="C3962" t="s">
        <v>6</v>
      </c>
      <c r="D3962" s="3">
        <v>7687.3636000000006</v>
      </c>
      <c r="E3962" s="3">
        <v>0</v>
      </c>
      <c r="F3962" t="s">
        <v>45</v>
      </c>
      <c r="G3962" s="3">
        <f t="shared" si="465"/>
        <v>-7687.3636000000006</v>
      </c>
      <c r="H3962" s="3">
        <f t="shared" si="466"/>
        <v>7687.3636000000006</v>
      </c>
      <c r="I3962" s="5" t="str">
        <f t="shared" si="467"/>
        <v>017</v>
      </c>
      <c r="J3962" s="5" t="str">
        <f t="shared" si="468"/>
        <v>2100</v>
      </c>
      <c r="K3962" s="5" t="str">
        <f t="shared" si="469"/>
        <v>000</v>
      </c>
      <c r="L3962" s="5">
        <f t="shared" si="470"/>
        <v>9</v>
      </c>
      <c r="M3962" s="5">
        <f t="shared" si="471"/>
        <v>2012</v>
      </c>
    </row>
    <row r="3963" spans="1:13" ht="17.45" customHeight="1" x14ac:dyDescent="0.25">
      <c r="A3963" s="1">
        <f>DATE(2012,9,28)</f>
        <v>41180</v>
      </c>
      <c r="B3963" t="s">
        <v>16</v>
      </c>
      <c r="C3963" t="s">
        <v>8</v>
      </c>
      <c r="D3963" s="3">
        <v>1708.2449999999999</v>
      </c>
      <c r="E3963" s="3">
        <v>0</v>
      </c>
      <c r="F3963" t="s">
        <v>45</v>
      </c>
      <c r="G3963" s="3">
        <f t="shared" si="465"/>
        <v>-1708.2449999999999</v>
      </c>
      <c r="H3963" s="3">
        <f t="shared" si="466"/>
        <v>1708.2449999999999</v>
      </c>
      <c r="I3963" s="5" t="str">
        <f t="shared" si="467"/>
        <v>017</v>
      </c>
      <c r="J3963" s="5" t="str">
        <f t="shared" si="468"/>
        <v>2210</v>
      </c>
      <c r="K3963" s="5" t="str">
        <f t="shared" si="469"/>
        <v>000</v>
      </c>
      <c r="L3963" s="5">
        <f t="shared" si="470"/>
        <v>9</v>
      </c>
      <c r="M3963" s="5">
        <f t="shared" si="471"/>
        <v>2012</v>
      </c>
    </row>
    <row r="3964" spans="1:13" ht="17.45" customHeight="1" x14ac:dyDescent="0.25">
      <c r="A3964" s="1">
        <f>DATE(2012,9,28)</f>
        <v>41180</v>
      </c>
      <c r="B3964" t="s">
        <v>17</v>
      </c>
      <c r="C3964" t="s">
        <v>9</v>
      </c>
      <c r="D3964" s="3">
        <v>548.1</v>
      </c>
      <c r="E3964" s="3">
        <v>0</v>
      </c>
      <c r="F3964" t="s">
        <v>45</v>
      </c>
      <c r="G3964" s="3">
        <f t="shared" si="465"/>
        <v>-548.1</v>
      </c>
      <c r="H3964" s="3">
        <f t="shared" si="466"/>
        <v>548.1</v>
      </c>
      <c r="I3964" s="5" t="str">
        <f t="shared" si="467"/>
        <v>017</v>
      </c>
      <c r="J3964" s="5" t="str">
        <f t="shared" si="468"/>
        <v>2220</v>
      </c>
      <c r="K3964" s="5" t="str">
        <f t="shared" si="469"/>
        <v>000</v>
      </c>
      <c r="L3964" s="5">
        <f t="shared" si="470"/>
        <v>9</v>
      </c>
      <c r="M3964" s="5">
        <f t="shared" si="471"/>
        <v>2012</v>
      </c>
    </row>
    <row r="3965" spans="1:13" ht="17.45" customHeight="1" x14ac:dyDescent="0.25">
      <c r="A3965" s="1">
        <f>DATE(2012,9,28)</f>
        <v>41180</v>
      </c>
      <c r="B3965" t="s">
        <v>18</v>
      </c>
      <c r="C3965" t="s">
        <v>10</v>
      </c>
      <c r="D3965" s="3">
        <v>62.524000000000008</v>
      </c>
      <c r="E3965" s="3">
        <v>0</v>
      </c>
      <c r="F3965" t="s">
        <v>45</v>
      </c>
      <c r="G3965" s="3">
        <f t="shared" si="465"/>
        <v>-62.524000000000008</v>
      </c>
      <c r="H3965" s="3">
        <f t="shared" si="466"/>
        <v>62.524000000000008</v>
      </c>
      <c r="I3965" s="5" t="str">
        <f t="shared" si="467"/>
        <v>017</v>
      </c>
      <c r="J3965" s="5" t="str">
        <f t="shared" si="468"/>
        <v>2230</v>
      </c>
      <c r="K3965" s="5" t="str">
        <f t="shared" si="469"/>
        <v>000</v>
      </c>
      <c r="L3965" s="5">
        <f t="shared" si="470"/>
        <v>9</v>
      </c>
      <c r="M3965" s="5">
        <f t="shared" si="471"/>
        <v>2012</v>
      </c>
    </row>
    <row r="3966" spans="1:13" ht="17.45" customHeight="1" x14ac:dyDescent="0.25">
      <c r="A3966" s="1">
        <f>DATE(2012,9,29)</f>
        <v>41181</v>
      </c>
      <c r="B3966" t="s">
        <v>15</v>
      </c>
      <c r="C3966" t="s">
        <v>6</v>
      </c>
      <c r="D3966" s="3">
        <v>4649.5994999999994</v>
      </c>
      <c r="E3966" s="3">
        <v>0</v>
      </c>
      <c r="F3966" t="s">
        <v>45</v>
      </c>
      <c r="G3966" s="3">
        <f t="shared" si="465"/>
        <v>-4649.5994999999994</v>
      </c>
      <c r="H3966" s="3">
        <f t="shared" si="466"/>
        <v>4649.5994999999994</v>
      </c>
      <c r="I3966" s="5" t="str">
        <f t="shared" si="467"/>
        <v>017</v>
      </c>
      <c r="J3966" s="5" t="str">
        <f t="shared" si="468"/>
        <v>2100</v>
      </c>
      <c r="K3966" s="5" t="str">
        <f t="shared" si="469"/>
        <v>000</v>
      </c>
      <c r="L3966" s="5">
        <f t="shared" si="470"/>
        <v>9</v>
      </c>
      <c r="M3966" s="5">
        <f t="shared" si="471"/>
        <v>2012</v>
      </c>
    </row>
    <row r="3967" spans="1:13" ht="17.45" customHeight="1" x14ac:dyDescent="0.25">
      <c r="A3967" s="1">
        <f>DATE(2012,9,29)</f>
        <v>41181</v>
      </c>
      <c r="B3967" t="s">
        <v>16</v>
      </c>
      <c r="C3967" t="s">
        <v>8</v>
      </c>
      <c r="D3967" s="3">
        <v>1494.867</v>
      </c>
      <c r="E3967" s="3">
        <v>0</v>
      </c>
      <c r="F3967" t="s">
        <v>45</v>
      </c>
      <c r="G3967" s="3">
        <f t="shared" si="465"/>
        <v>-1494.867</v>
      </c>
      <c r="H3967" s="3">
        <f t="shared" si="466"/>
        <v>1494.867</v>
      </c>
      <c r="I3967" s="5" t="str">
        <f t="shared" si="467"/>
        <v>017</v>
      </c>
      <c r="J3967" s="5" t="str">
        <f t="shared" si="468"/>
        <v>2210</v>
      </c>
      <c r="K3967" s="5" t="str">
        <f t="shared" si="469"/>
        <v>000</v>
      </c>
      <c r="L3967" s="5">
        <f t="shared" si="470"/>
        <v>9</v>
      </c>
      <c r="M3967" s="5">
        <f t="shared" si="471"/>
        <v>2012</v>
      </c>
    </row>
    <row r="3968" spans="1:13" ht="17.45" customHeight="1" x14ac:dyDescent="0.25">
      <c r="A3968" s="1">
        <f>DATE(2012,9,29)</f>
        <v>41181</v>
      </c>
      <c r="B3968" t="s">
        <v>17</v>
      </c>
      <c r="C3968" t="s">
        <v>9</v>
      </c>
      <c r="D3968" s="3">
        <v>272.38750000000005</v>
      </c>
      <c r="E3968" s="3">
        <v>0</v>
      </c>
      <c r="F3968" t="s">
        <v>45</v>
      </c>
      <c r="G3968" s="3">
        <f t="shared" si="465"/>
        <v>-272.38750000000005</v>
      </c>
      <c r="H3968" s="3">
        <f t="shared" si="466"/>
        <v>272.38750000000005</v>
      </c>
      <c r="I3968" s="5" t="str">
        <f t="shared" si="467"/>
        <v>017</v>
      </c>
      <c r="J3968" s="5" t="str">
        <f t="shared" si="468"/>
        <v>2220</v>
      </c>
      <c r="K3968" s="5" t="str">
        <f t="shared" si="469"/>
        <v>000</v>
      </c>
      <c r="L3968" s="5">
        <f t="shared" si="470"/>
        <v>9</v>
      </c>
      <c r="M3968" s="5">
        <f t="shared" si="471"/>
        <v>2012</v>
      </c>
    </row>
    <row r="3969" spans="1:13" ht="17.45" customHeight="1" x14ac:dyDescent="0.25">
      <c r="A3969" s="1">
        <f>DATE(2012,9,29)</f>
        <v>41181</v>
      </c>
      <c r="B3969" t="s">
        <v>18</v>
      </c>
      <c r="C3969" t="s">
        <v>10</v>
      </c>
      <c r="D3969" s="3">
        <v>47.385999999999996</v>
      </c>
      <c r="E3969" s="3">
        <v>0</v>
      </c>
      <c r="F3969" t="s">
        <v>45</v>
      </c>
      <c r="G3969" s="3">
        <f t="shared" si="465"/>
        <v>-47.385999999999996</v>
      </c>
      <c r="H3969" s="3">
        <f t="shared" si="466"/>
        <v>47.385999999999996</v>
      </c>
      <c r="I3969" s="5" t="str">
        <f t="shared" si="467"/>
        <v>017</v>
      </c>
      <c r="J3969" s="5" t="str">
        <f t="shared" si="468"/>
        <v>2230</v>
      </c>
      <c r="K3969" s="5" t="str">
        <f t="shared" si="469"/>
        <v>000</v>
      </c>
      <c r="L3969" s="5">
        <f t="shared" si="470"/>
        <v>9</v>
      </c>
      <c r="M3969" s="5">
        <f t="shared" si="471"/>
        <v>2012</v>
      </c>
    </row>
    <row r="3970" spans="1:13" ht="17.45" customHeight="1" x14ac:dyDescent="0.25">
      <c r="A3970" s="1">
        <f t="shared" ref="A3970:A3973" si="474">DATE(2012,9,24)</f>
        <v>41176</v>
      </c>
      <c r="B3970" t="s">
        <v>19</v>
      </c>
      <c r="C3970" t="s">
        <v>6</v>
      </c>
      <c r="D3970" s="3">
        <v>4162.9264000000003</v>
      </c>
      <c r="E3970" s="3">
        <v>0</v>
      </c>
      <c r="F3970" t="s">
        <v>45</v>
      </c>
      <c r="G3970" s="3">
        <f t="shared" ref="G3970:G4033" si="475">E3970-D3970</f>
        <v>-4162.9264000000003</v>
      </c>
      <c r="H3970" s="3">
        <f t="shared" ref="H3970:H4033" si="476">ABS(G3970)</f>
        <v>4162.9264000000003</v>
      </c>
      <c r="I3970" s="5" t="str">
        <f t="shared" ref="I3970:I4033" si="477">MID(B3970,1,3)</f>
        <v>018</v>
      </c>
      <c r="J3970" s="5" t="str">
        <f t="shared" ref="J3970:J4033" si="478">MID(B3970,5,4)</f>
        <v>2100</v>
      </c>
      <c r="K3970" s="5" t="str">
        <f t="shared" ref="K3970:K4033" si="479">MID(B3970,10,3)</f>
        <v>000</v>
      </c>
      <c r="L3970" s="5">
        <f t="shared" ref="L3970:L4033" si="480">MONTH(A3970)</f>
        <v>9</v>
      </c>
      <c r="M3970" s="5">
        <f t="shared" ref="M3970:M4033" si="481">YEAR(A3970)</f>
        <v>2012</v>
      </c>
    </row>
    <row r="3971" spans="1:13" ht="17.45" customHeight="1" x14ac:dyDescent="0.25">
      <c r="A3971" s="1">
        <f t="shared" si="474"/>
        <v>41176</v>
      </c>
      <c r="B3971" t="s">
        <v>20</v>
      </c>
      <c r="C3971" t="s">
        <v>8</v>
      </c>
      <c r="D3971" s="3">
        <v>382.23249999999996</v>
      </c>
      <c r="E3971" s="3">
        <v>0</v>
      </c>
      <c r="F3971" t="s">
        <v>45</v>
      </c>
      <c r="G3971" s="3">
        <f t="shared" si="475"/>
        <v>-382.23249999999996</v>
      </c>
      <c r="H3971" s="3">
        <f t="shared" si="476"/>
        <v>382.23249999999996</v>
      </c>
      <c r="I3971" s="5" t="str">
        <f t="shared" si="477"/>
        <v>018</v>
      </c>
      <c r="J3971" s="5" t="str">
        <f t="shared" si="478"/>
        <v>2210</v>
      </c>
      <c r="K3971" s="5" t="str">
        <f t="shared" si="479"/>
        <v>000</v>
      </c>
      <c r="L3971" s="5">
        <f t="shared" si="480"/>
        <v>9</v>
      </c>
      <c r="M3971" s="5">
        <f t="shared" si="481"/>
        <v>2012</v>
      </c>
    </row>
    <row r="3972" spans="1:13" ht="17.45" customHeight="1" x14ac:dyDescent="0.25">
      <c r="A3972" s="1">
        <f t="shared" si="474"/>
        <v>41176</v>
      </c>
      <c r="B3972" t="s">
        <v>21</v>
      </c>
      <c r="C3972" t="s">
        <v>9</v>
      </c>
      <c r="D3972" s="3">
        <v>171.17399999999998</v>
      </c>
      <c r="E3972" s="3">
        <v>0</v>
      </c>
      <c r="F3972" t="s">
        <v>45</v>
      </c>
      <c r="G3972" s="3">
        <f t="shared" si="475"/>
        <v>-171.17399999999998</v>
      </c>
      <c r="H3972" s="3">
        <f t="shared" si="476"/>
        <v>171.17399999999998</v>
      </c>
      <c r="I3972" s="5" t="str">
        <f t="shared" si="477"/>
        <v>018</v>
      </c>
      <c r="J3972" s="5" t="str">
        <f t="shared" si="478"/>
        <v>2220</v>
      </c>
      <c r="K3972" s="5" t="str">
        <f t="shared" si="479"/>
        <v>000</v>
      </c>
      <c r="L3972" s="5">
        <f t="shared" si="480"/>
        <v>9</v>
      </c>
      <c r="M3972" s="5">
        <f t="shared" si="481"/>
        <v>2012</v>
      </c>
    </row>
    <row r="3973" spans="1:13" ht="17.45" customHeight="1" x14ac:dyDescent="0.25">
      <c r="A3973" s="1">
        <f t="shared" si="474"/>
        <v>41176</v>
      </c>
      <c r="B3973" t="s">
        <v>22</v>
      </c>
      <c r="C3973" t="s">
        <v>10</v>
      </c>
      <c r="D3973" s="3">
        <v>16.802500000000002</v>
      </c>
      <c r="E3973" s="3">
        <v>0</v>
      </c>
      <c r="F3973" t="s">
        <v>45</v>
      </c>
      <c r="G3973" s="3">
        <f t="shared" si="475"/>
        <v>-16.802500000000002</v>
      </c>
      <c r="H3973" s="3">
        <f t="shared" si="476"/>
        <v>16.802500000000002</v>
      </c>
      <c r="I3973" s="5" t="str">
        <f t="shared" si="477"/>
        <v>018</v>
      </c>
      <c r="J3973" s="5" t="str">
        <f t="shared" si="478"/>
        <v>2230</v>
      </c>
      <c r="K3973" s="5" t="str">
        <f t="shared" si="479"/>
        <v>000</v>
      </c>
      <c r="L3973" s="5">
        <f t="shared" si="480"/>
        <v>9</v>
      </c>
      <c r="M3973" s="5">
        <f t="shared" si="481"/>
        <v>2012</v>
      </c>
    </row>
    <row r="3974" spans="1:13" ht="17.45" customHeight="1" x14ac:dyDescent="0.25">
      <c r="A3974" s="1">
        <f>DATE(2012,9,25)</f>
        <v>41177</v>
      </c>
      <c r="B3974" t="s">
        <v>19</v>
      </c>
      <c r="C3974" t="s">
        <v>6</v>
      </c>
      <c r="D3974" s="3">
        <v>3899.0259000000001</v>
      </c>
      <c r="E3974" s="3">
        <v>0</v>
      </c>
      <c r="F3974" t="s">
        <v>45</v>
      </c>
      <c r="G3974" s="3">
        <f t="shared" si="475"/>
        <v>-3899.0259000000001</v>
      </c>
      <c r="H3974" s="3">
        <f t="shared" si="476"/>
        <v>3899.0259000000001</v>
      </c>
      <c r="I3974" s="5" t="str">
        <f t="shared" si="477"/>
        <v>018</v>
      </c>
      <c r="J3974" s="5" t="str">
        <f t="shared" si="478"/>
        <v>2100</v>
      </c>
      <c r="K3974" s="5" t="str">
        <f t="shared" si="479"/>
        <v>000</v>
      </c>
      <c r="L3974" s="5">
        <f t="shared" si="480"/>
        <v>9</v>
      </c>
      <c r="M3974" s="5">
        <f t="shared" si="481"/>
        <v>2012</v>
      </c>
    </row>
    <row r="3975" spans="1:13" ht="17.45" customHeight="1" x14ac:dyDescent="0.25">
      <c r="A3975" s="1">
        <f>DATE(2012,9,25)</f>
        <v>41177</v>
      </c>
      <c r="B3975" t="s">
        <v>20</v>
      </c>
      <c r="C3975" t="s">
        <v>8</v>
      </c>
      <c r="D3975" s="3">
        <v>1099.3724999999999</v>
      </c>
      <c r="E3975" s="3">
        <v>0</v>
      </c>
      <c r="F3975" t="s">
        <v>45</v>
      </c>
      <c r="G3975" s="3">
        <f t="shared" si="475"/>
        <v>-1099.3724999999999</v>
      </c>
      <c r="H3975" s="3">
        <f t="shared" si="476"/>
        <v>1099.3724999999999</v>
      </c>
      <c r="I3975" s="5" t="str">
        <f t="shared" si="477"/>
        <v>018</v>
      </c>
      <c r="J3975" s="5" t="str">
        <f t="shared" si="478"/>
        <v>2210</v>
      </c>
      <c r="K3975" s="5" t="str">
        <f t="shared" si="479"/>
        <v>000</v>
      </c>
      <c r="L3975" s="5">
        <f t="shared" si="480"/>
        <v>9</v>
      </c>
      <c r="M3975" s="5">
        <f t="shared" si="481"/>
        <v>2012</v>
      </c>
    </row>
    <row r="3976" spans="1:13" ht="17.45" customHeight="1" x14ac:dyDescent="0.25">
      <c r="A3976" s="1">
        <f>DATE(2012,9,25)</f>
        <v>41177</v>
      </c>
      <c r="B3976" t="s">
        <v>21</v>
      </c>
      <c r="C3976" t="s">
        <v>9</v>
      </c>
      <c r="D3976" s="3">
        <v>266.18900000000002</v>
      </c>
      <c r="E3976" s="3">
        <v>0</v>
      </c>
      <c r="F3976" t="s">
        <v>45</v>
      </c>
      <c r="G3976" s="3">
        <f t="shared" si="475"/>
        <v>-266.18900000000002</v>
      </c>
      <c r="H3976" s="3">
        <f t="shared" si="476"/>
        <v>266.18900000000002</v>
      </c>
      <c r="I3976" s="5" t="str">
        <f t="shared" si="477"/>
        <v>018</v>
      </c>
      <c r="J3976" s="5" t="str">
        <f t="shared" si="478"/>
        <v>2220</v>
      </c>
      <c r="K3976" s="5" t="str">
        <f t="shared" si="479"/>
        <v>000</v>
      </c>
      <c r="L3976" s="5">
        <f t="shared" si="480"/>
        <v>9</v>
      </c>
      <c r="M3976" s="5">
        <f t="shared" si="481"/>
        <v>2012</v>
      </c>
    </row>
    <row r="3977" spans="1:13" ht="17.45" customHeight="1" x14ac:dyDescent="0.25">
      <c r="A3977" s="1">
        <f>DATE(2012,9,25)</f>
        <v>41177</v>
      </c>
      <c r="B3977" t="s">
        <v>22</v>
      </c>
      <c r="C3977" t="s">
        <v>10</v>
      </c>
      <c r="D3977" s="3">
        <v>76.043000000000006</v>
      </c>
      <c r="E3977" s="3">
        <v>0</v>
      </c>
      <c r="F3977" t="s">
        <v>45</v>
      </c>
      <c r="G3977" s="3">
        <f t="shared" si="475"/>
        <v>-76.043000000000006</v>
      </c>
      <c r="H3977" s="3">
        <f t="shared" si="476"/>
        <v>76.043000000000006</v>
      </c>
      <c r="I3977" s="5" t="str">
        <f t="shared" si="477"/>
        <v>018</v>
      </c>
      <c r="J3977" s="5" t="str">
        <f t="shared" si="478"/>
        <v>2230</v>
      </c>
      <c r="K3977" s="5" t="str">
        <f t="shared" si="479"/>
        <v>000</v>
      </c>
      <c r="L3977" s="5">
        <f t="shared" si="480"/>
        <v>9</v>
      </c>
      <c r="M3977" s="5">
        <f t="shared" si="481"/>
        <v>2012</v>
      </c>
    </row>
    <row r="3978" spans="1:13" ht="17.45" customHeight="1" x14ac:dyDescent="0.25">
      <c r="A3978" s="1">
        <f>DATE(2012,9,26)</f>
        <v>41178</v>
      </c>
      <c r="B3978" t="s">
        <v>19</v>
      </c>
      <c r="C3978" t="s">
        <v>6</v>
      </c>
      <c r="D3978" s="3">
        <v>6392.7114999999994</v>
      </c>
      <c r="E3978" s="3">
        <v>0</v>
      </c>
      <c r="F3978" t="s">
        <v>45</v>
      </c>
      <c r="G3978" s="3">
        <f t="shared" si="475"/>
        <v>-6392.7114999999994</v>
      </c>
      <c r="H3978" s="3">
        <f t="shared" si="476"/>
        <v>6392.7114999999994</v>
      </c>
      <c r="I3978" s="5" t="str">
        <f t="shared" si="477"/>
        <v>018</v>
      </c>
      <c r="J3978" s="5" t="str">
        <f t="shared" si="478"/>
        <v>2100</v>
      </c>
      <c r="K3978" s="5" t="str">
        <f t="shared" si="479"/>
        <v>000</v>
      </c>
      <c r="L3978" s="5">
        <f t="shared" si="480"/>
        <v>9</v>
      </c>
      <c r="M3978" s="5">
        <f t="shared" si="481"/>
        <v>2012</v>
      </c>
    </row>
    <row r="3979" spans="1:13" ht="17.45" customHeight="1" x14ac:dyDescent="0.25">
      <c r="A3979" s="1">
        <f>DATE(2012,9,26)</f>
        <v>41178</v>
      </c>
      <c r="B3979" t="s">
        <v>20</v>
      </c>
      <c r="C3979" t="s">
        <v>8</v>
      </c>
      <c r="D3979" s="3">
        <v>939.01499999999999</v>
      </c>
      <c r="E3979" s="3">
        <v>0</v>
      </c>
      <c r="F3979" t="s">
        <v>45</v>
      </c>
      <c r="G3979" s="3">
        <f t="shared" si="475"/>
        <v>-939.01499999999999</v>
      </c>
      <c r="H3979" s="3">
        <f t="shared" si="476"/>
        <v>939.01499999999999</v>
      </c>
      <c r="I3979" s="5" t="str">
        <f t="shared" si="477"/>
        <v>018</v>
      </c>
      <c r="J3979" s="5" t="str">
        <f t="shared" si="478"/>
        <v>2210</v>
      </c>
      <c r="K3979" s="5" t="str">
        <f t="shared" si="479"/>
        <v>000</v>
      </c>
      <c r="L3979" s="5">
        <f t="shared" si="480"/>
        <v>9</v>
      </c>
      <c r="M3979" s="5">
        <f t="shared" si="481"/>
        <v>2012</v>
      </c>
    </row>
    <row r="3980" spans="1:13" ht="17.45" customHeight="1" x14ac:dyDescent="0.25">
      <c r="A3980" s="1">
        <f>DATE(2012,9,26)</f>
        <v>41178</v>
      </c>
      <c r="B3980" t="s">
        <v>21</v>
      </c>
      <c r="C3980" t="s">
        <v>9</v>
      </c>
      <c r="D3980" s="3">
        <v>146.42099999999999</v>
      </c>
      <c r="E3980" s="3">
        <v>0</v>
      </c>
      <c r="F3980" t="s">
        <v>45</v>
      </c>
      <c r="G3980" s="3">
        <f t="shared" si="475"/>
        <v>-146.42099999999999</v>
      </c>
      <c r="H3980" s="3">
        <f t="shared" si="476"/>
        <v>146.42099999999999</v>
      </c>
      <c r="I3980" s="5" t="str">
        <f t="shared" si="477"/>
        <v>018</v>
      </c>
      <c r="J3980" s="5" t="str">
        <f t="shared" si="478"/>
        <v>2220</v>
      </c>
      <c r="K3980" s="5" t="str">
        <f t="shared" si="479"/>
        <v>000</v>
      </c>
      <c r="L3980" s="5">
        <f t="shared" si="480"/>
        <v>9</v>
      </c>
      <c r="M3980" s="5">
        <f t="shared" si="481"/>
        <v>2012</v>
      </c>
    </row>
    <row r="3981" spans="1:13" ht="17.45" customHeight="1" x14ac:dyDescent="0.25">
      <c r="A3981" s="1">
        <f>DATE(2012,9,26)</f>
        <v>41178</v>
      </c>
      <c r="B3981" t="s">
        <v>22</v>
      </c>
      <c r="C3981" t="s">
        <v>10</v>
      </c>
      <c r="D3981" s="3">
        <v>30.155000000000001</v>
      </c>
      <c r="E3981" s="3">
        <v>0</v>
      </c>
      <c r="F3981" t="s">
        <v>45</v>
      </c>
      <c r="G3981" s="3">
        <f t="shared" si="475"/>
        <v>-30.155000000000001</v>
      </c>
      <c r="H3981" s="3">
        <f t="shared" si="476"/>
        <v>30.155000000000001</v>
      </c>
      <c r="I3981" s="5" t="str">
        <f t="shared" si="477"/>
        <v>018</v>
      </c>
      <c r="J3981" s="5" t="str">
        <f t="shared" si="478"/>
        <v>2230</v>
      </c>
      <c r="K3981" s="5" t="str">
        <f t="shared" si="479"/>
        <v>000</v>
      </c>
      <c r="L3981" s="5">
        <f t="shared" si="480"/>
        <v>9</v>
      </c>
      <c r="M3981" s="5">
        <f t="shared" si="481"/>
        <v>2012</v>
      </c>
    </row>
    <row r="3982" spans="1:13" ht="17.45" customHeight="1" x14ac:dyDescent="0.25">
      <c r="A3982" s="1">
        <f>DATE(2012,9,27)</f>
        <v>41179</v>
      </c>
      <c r="B3982" t="s">
        <v>19</v>
      </c>
      <c r="C3982" t="s">
        <v>6</v>
      </c>
      <c r="D3982" s="3">
        <v>5504.058</v>
      </c>
      <c r="E3982" s="3">
        <v>0</v>
      </c>
      <c r="F3982" t="s">
        <v>45</v>
      </c>
      <c r="G3982" s="3">
        <f t="shared" si="475"/>
        <v>-5504.058</v>
      </c>
      <c r="H3982" s="3">
        <f t="shared" si="476"/>
        <v>5504.058</v>
      </c>
      <c r="I3982" s="5" t="str">
        <f t="shared" si="477"/>
        <v>018</v>
      </c>
      <c r="J3982" s="5" t="str">
        <f t="shared" si="478"/>
        <v>2100</v>
      </c>
      <c r="K3982" s="5" t="str">
        <f t="shared" si="479"/>
        <v>000</v>
      </c>
      <c r="L3982" s="5">
        <f t="shared" si="480"/>
        <v>9</v>
      </c>
      <c r="M3982" s="5">
        <f t="shared" si="481"/>
        <v>2012</v>
      </c>
    </row>
    <row r="3983" spans="1:13" ht="17.45" customHeight="1" x14ac:dyDescent="0.25">
      <c r="A3983" s="1">
        <f>DATE(2012,9,27)</f>
        <v>41179</v>
      </c>
      <c r="B3983" t="s">
        <v>20</v>
      </c>
      <c r="C3983" t="s">
        <v>8</v>
      </c>
      <c r="D3983" s="3">
        <v>1088.7949999999998</v>
      </c>
      <c r="E3983" s="3">
        <v>0</v>
      </c>
      <c r="F3983" t="s">
        <v>45</v>
      </c>
      <c r="G3983" s="3">
        <f t="shared" si="475"/>
        <v>-1088.7949999999998</v>
      </c>
      <c r="H3983" s="3">
        <f t="shared" si="476"/>
        <v>1088.7949999999998</v>
      </c>
      <c r="I3983" s="5" t="str">
        <f t="shared" si="477"/>
        <v>018</v>
      </c>
      <c r="J3983" s="5" t="str">
        <f t="shared" si="478"/>
        <v>2210</v>
      </c>
      <c r="K3983" s="5" t="str">
        <f t="shared" si="479"/>
        <v>000</v>
      </c>
      <c r="L3983" s="5">
        <f t="shared" si="480"/>
        <v>9</v>
      </c>
      <c r="M3983" s="5">
        <f t="shared" si="481"/>
        <v>2012</v>
      </c>
    </row>
    <row r="3984" spans="1:13" ht="17.45" customHeight="1" x14ac:dyDescent="0.25">
      <c r="A3984" s="1">
        <f>DATE(2012,9,27)</f>
        <v>41179</v>
      </c>
      <c r="B3984" t="s">
        <v>21</v>
      </c>
      <c r="C3984" t="s">
        <v>9</v>
      </c>
      <c r="D3984" s="3">
        <v>228.89700000000002</v>
      </c>
      <c r="E3984" s="3">
        <v>0</v>
      </c>
      <c r="F3984" t="s">
        <v>45</v>
      </c>
      <c r="G3984" s="3">
        <f t="shared" si="475"/>
        <v>-228.89700000000002</v>
      </c>
      <c r="H3984" s="3">
        <f t="shared" si="476"/>
        <v>228.89700000000002</v>
      </c>
      <c r="I3984" s="5" t="str">
        <f t="shared" si="477"/>
        <v>018</v>
      </c>
      <c r="J3984" s="5" t="str">
        <f t="shared" si="478"/>
        <v>2220</v>
      </c>
      <c r="K3984" s="5" t="str">
        <f t="shared" si="479"/>
        <v>000</v>
      </c>
      <c r="L3984" s="5">
        <f t="shared" si="480"/>
        <v>9</v>
      </c>
      <c r="M3984" s="5">
        <f t="shared" si="481"/>
        <v>2012</v>
      </c>
    </row>
    <row r="3985" spans="1:13" ht="17.45" customHeight="1" x14ac:dyDescent="0.25">
      <c r="A3985" s="1">
        <f>DATE(2012,9,27)</f>
        <v>41179</v>
      </c>
      <c r="B3985" t="s">
        <v>22</v>
      </c>
      <c r="C3985" t="s">
        <v>10</v>
      </c>
      <c r="D3985" s="3">
        <v>66.960999999999999</v>
      </c>
      <c r="E3985" s="3">
        <v>0</v>
      </c>
      <c r="F3985" t="s">
        <v>45</v>
      </c>
      <c r="G3985" s="3">
        <f t="shared" si="475"/>
        <v>-66.960999999999999</v>
      </c>
      <c r="H3985" s="3">
        <f t="shared" si="476"/>
        <v>66.960999999999999</v>
      </c>
      <c r="I3985" s="5" t="str">
        <f t="shared" si="477"/>
        <v>018</v>
      </c>
      <c r="J3985" s="5" t="str">
        <f t="shared" si="478"/>
        <v>2230</v>
      </c>
      <c r="K3985" s="5" t="str">
        <f t="shared" si="479"/>
        <v>000</v>
      </c>
      <c r="L3985" s="5">
        <f t="shared" si="480"/>
        <v>9</v>
      </c>
      <c r="M3985" s="5">
        <f t="shared" si="481"/>
        <v>2012</v>
      </c>
    </row>
    <row r="3986" spans="1:13" ht="17.45" customHeight="1" x14ac:dyDescent="0.25">
      <c r="A3986" s="1">
        <f>DATE(2012,9,28)</f>
        <v>41180</v>
      </c>
      <c r="B3986" t="s">
        <v>19</v>
      </c>
      <c r="C3986" t="s">
        <v>6</v>
      </c>
      <c r="D3986" s="3">
        <v>11901.189999999999</v>
      </c>
      <c r="E3986" s="3">
        <v>0</v>
      </c>
      <c r="F3986" t="s">
        <v>45</v>
      </c>
      <c r="G3986" s="3">
        <f t="shared" si="475"/>
        <v>-11901.189999999999</v>
      </c>
      <c r="H3986" s="3">
        <f t="shared" si="476"/>
        <v>11901.189999999999</v>
      </c>
      <c r="I3986" s="5" t="str">
        <f t="shared" si="477"/>
        <v>018</v>
      </c>
      <c r="J3986" s="5" t="str">
        <f t="shared" si="478"/>
        <v>2100</v>
      </c>
      <c r="K3986" s="5" t="str">
        <f t="shared" si="479"/>
        <v>000</v>
      </c>
      <c r="L3986" s="5">
        <f t="shared" si="480"/>
        <v>9</v>
      </c>
      <c r="M3986" s="5">
        <f t="shared" si="481"/>
        <v>2012</v>
      </c>
    </row>
    <row r="3987" spans="1:13" ht="17.45" customHeight="1" x14ac:dyDescent="0.25">
      <c r="A3987" s="1">
        <f>DATE(2012,9,28)</f>
        <v>41180</v>
      </c>
      <c r="B3987" t="s">
        <v>20</v>
      </c>
      <c r="C3987" t="s">
        <v>8</v>
      </c>
      <c r="D3987" s="3">
        <v>3237.6880000000001</v>
      </c>
      <c r="E3987" s="3">
        <v>0</v>
      </c>
      <c r="F3987" t="s">
        <v>45</v>
      </c>
      <c r="G3987" s="3">
        <f t="shared" si="475"/>
        <v>-3237.6880000000001</v>
      </c>
      <c r="H3987" s="3">
        <f t="shared" si="476"/>
        <v>3237.6880000000001</v>
      </c>
      <c r="I3987" s="5" t="str">
        <f t="shared" si="477"/>
        <v>018</v>
      </c>
      <c r="J3987" s="5" t="str">
        <f t="shared" si="478"/>
        <v>2210</v>
      </c>
      <c r="K3987" s="5" t="str">
        <f t="shared" si="479"/>
        <v>000</v>
      </c>
      <c r="L3987" s="5">
        <f t="shared" si="480"/>
        <v>9</v>
      </c>
      <c r="M3987" s="5">
        <f t="shared" si="481"/>
        <v>2012</v>
      </c>
    </row>
    <row r="3988" spans="1:13" ht="17.45" customHeight="1" x14ac:dyDescent="0.25">
      <c r="A3988" s="1">
        <f>DATE(2012,9,28)</f>
        <v>41180</v>
      </c>
      <c r="B3988" t="s">
        <v>21</v>
      </c>
      <c r="C3988" t="s">
        <v>9</v>
      </c>
      <c r="D3988" s="3">
        <v>721.798</v>
      </c>
      <c r="E3988" s="3">
        <v>0</v>
      </c>
      <c r="F3988" t="s">
        <v>45</v>
      </c>
      <c r="G3988" s="3">
        <f t="shared" si="475"/>
        <v>-721.798</v>
      </c>
      <c r="H3988" s="3">
        <f t="shared" si="476"/>
        <v>721.798</v>
      </c>
      <c r="I3988" s="5" t="str">
        <f t="shared" si="477"/>
        <v>018</v>
      </c>
      <c r="J3988" s="5" t="str">
        <f t="shared" si="478"/>
        <v>2220</v>
      </c>
      <c r="K3988" s="5" t="str">
        <f t="shared" si="479"/>
        <v>000</v>
      </c>
      <c r="L3988" s="5">
        <f t="shared" si="480"/>
        <v>9</v>
      </c>
      <c r="M3988" s="5">
        <f t="shared" si="481"/>
        <v>2012</v>
      </c>
    </row>
    <row r="3989" spans="1:13" ht="17.45" customHeight="1" x14ac:dyDescent="0.25">
      <c r="A3989" s="1">
        <f>DATE(2012,9,28)</f>
        <v>41180</v>
      </c>
      <c r="B3989" t="s">
        <v>22</v>
      </c>
      <c r="C3989" t="s">
        <v>10</v>
      </c>
      <c r="D3989" s="3">
        <v>72.996000000000009</v>
      </c>
      <c r="E3989" s="3">
        <v>0</v>
      </c>
      <c r="F3989" t="s">
        <v>45</v>
      </c>
      <c r="G3989" s="3">
        <f t="shared" si="475"/>
        <v>-72.996000000000009</v>
      </c>
      <c r="H3989" s="3">
        <f t="shared" si="476"/>
        <v>72.996000000000009</v>
      </c>
      <c r="I3989" s="5" t="str">
        <f t="shared" si="477"/>
        <v>018</v>
      </c>
      <c r="J3989" s="5" t="str">
        <f t="shared" si="478"/>
        <v>2230</v>
      </c>
      <c r="K3989" s="5" t="str">
        <f t="shared" si="479"/>
        <v>000</v>
      </c>
      <c r="L3989" s="5">
        <f t="shared" si="480"/>
        <v>9</v>
      </c>
      <c r="M3989" s="5">
        <f t="shared" si="481"/>
        <v>2012</v>
      </c>
    </row>
    <row r="3990" spans="1:13" ht="17.45" customHeight="1" x14ac:dyDescent="0.25">
      <c r="A3990" s="1">
        <f>DATE(2012,9,29)</f>
        <v>41181</v>
      </c>
      <c r="B3990" t="s">
        <v>19</v>
      </c>
      <c r="C3990" t="s">
        <v>6</v>
      </c>
      <c r="D3990" s="3">
        <v>16031.491999999998</v>
      </c>
      <c r="E3990" s="3">
        <v>0</v>
      </c>
      <c r="F3990" t="s">
        <v>45</v>
      </c>
      <c r="G3990" s="3">
        <f t="shared" si="475"/>
        <v>-16031.491999999998</v>
      </c>
      <c r="H3990" s="3">
        <f t="shared" si="476"/>
        <v>16031.491999999998</v>
      </c>
      <c r="I3990" s="5" t="str">
        <f t="shared" si="477"/>
        <v>018</v>
      </c>
      <c r="J3990" s="5" t="str">
        <f t="shared" si="478"/>
        <v>2100</v>
      </c>
      <c r="K3990" s="5" t="str">
        <f t="shared" si="479"/>
        <v>000</v>
      </c>
      <c r="L3990" s="5">
        <f t="shared" si="480"/>
        <v>9</v>
      </c>
      <c r="M3990" s="5">
        <f t="shared" si="481"/>
        <v>2012</v>
      </c>
    </row>
    <row r="3991" spans="1:13" ht="17.45" customHeight="1" x14ac:dyDescent="0.25">
      <c r="A3991" s="1">
        <f>DATE(2012,9,29)</f>
        <v>41181</v>
      </c>
      <c r="B3991" t="s">
        <v>20</v>
      </c>
      <c r="C3991" t="s">
        <v>8</v>
      </c>
      <c r="D3991" s="3">
        <v>4003.4640000000004</v>
      </c>
      <c r="E3991" s="3">
        <v>0</v>
      </c>
      <c r="F3991" t="s">
        <v>45</v>
      </c>
      <c r="G3991" s="3">
        <f t="shared" si="475"/>
        <v>-4003.4640000000004</v>
      </c>
      <c r="H3991" s="3">
        <f t="shared" si="476"/>
        <v>4003.4640000000004</v>
      </c>
      <c r="I3991" s="5" t="str">
        <f t="shared" si="477"/>
        <v>018</v>
      </c>
      <c r="J3991" s="5" t="str">
        <f t="shared" si="478"/>
        <v>2210</v>
      </c>
      <c r="K3991" s="5" t="str">
        <f t="shared" si="479"/>
        <v>000</v>
      </c>
      <c r="L3991" s="5">
        <f t="shared" si="480"/>
        <v>9</v>
      </c>
      <c r="M3991" s="5">
        <f t="shared" si="481"/>
        <v>2012</v>
      </c>
    </row>
    <row r="3992" spans="1:13" ht="17.45" customHeight="1" x14ac:dyDescent="0.25">
      <c r="A3992" s="1">
        <f>DATE(2012,9,29)</f>
        <v>41181</v>
      </c>
      <c r="B3992" t="s">
        <v>21</v>
      </c>
      <c r="C3992" t="s">
        <v>9</v>
      </c>
      <c r="D3992" s="3">
        <v>1020.681</v>
      </c>
      <c r="E3992" s="3">
        <v>0</v>
      </c>
      <c r="F3992" t="s">
        <v>45</v>
      </c>
      <c r="G3992" s="3">
        <f t="shared" si="475"/>
        <v>-1020.681</v>
      </c>
      <c r="H3992" s="3">
        <f t="shared" si="476"/>
        <v>1020.681</v>
      </c>
      <c r="I3992" s="5" t="str">
        <f t="shared" si="477"/>
        <v>018</v>
      </c>
      <c r="J3992" s="5" t="str">
        <f t="shared" si="478"/>
        <v>2220</v>
      </c>
      <c r="K3992" s="5" t="str">
        <f t="shared" si="479"/>
        <v>000</v>
      </c>
      <c r="L3992" s="5">
        <f t="shared" si="480"/>
        <v>9</v>
      </c>
      <c r="M3992" s="5">
        <f t="shared" si="481"/>
        <v>2012</v>
      </c>
    </row>
    <row r="3993" spans="1:13" ht="17.45" customHeight="1" x14ac:dyDescent="0.25">
      <c r="A3993" s="1">
        <f>DATE(2012,9,29)</f>
        <v>41181</v>
      </c>
      <c r="B3993" t="s">
        <v>22</v>
      </c>
      <c r="C3993" t="s">
        <v>10</v>
      </c>
      <c r="D3993" s="3">
        <v>109.5825</v>
      </c>
      <c r="E3993" s="3">
        <v>0</v>
      </c>
      <c r="F3993" t="s">
        <v>45</v>
      </c>
      <c r="G3993" s="3">
        <f t="shared" si="475"/>
        <v>-109.5825</v>
      </c>
      <c r="H3993" s="3">
        <f t="shared" si="476"/>
        <v>109.5825</v>
      </c>
      <c r="I3993" s="5" t="str">
        <f t="shared" si="477"/>
        <v>018</v>
      </c>
      <c r="J3993" s="5" t="str">
        <f t="shared" si="478"/>
        <v>2230</v>
      </c>
      <c r="K3993" s="5" t="str">
        <f t="shared" si="479"/>
        <v>000</v>
      </c>
      <c r="L3993" s="5">
        <f t="shared" si="480"/>
        <v>9</v>
      </c>
      <c r="M3993" s="5">
        <f t="shared" si="481"/>
        <v>2012</v>
      </c>
    </row>
    <row r="3994" spans="1:13" ht="17.45" customHeight="1" x14ac:dyDescent="0.25">
      <c r="A3994" s="1">
        <f t="shared" ref="A3994:A3995" si="482">DATE(2012,9,30)</f>
        <v>41182</v>
      </c>
      <c r="B3994" t="s">
        <v>11</v>
      </c>
      <c r="C3994" t="s">
        <v>6</v>
      </c>
      <c r="D3994" s="3">
        <v>2812.6000000000004</v>
      </c>
      <c r="E3994" s="3">
        <v>0</v>
      </c>
      <c r="F3994" t="s">
        <v>45</v>
      </c>
      <c r="G3994" s="3">
        <f t="shared" si="475"/>
        <v>-2812.6000000000004</v>
      </c>
      <c r="H3994" s="3">
        <f t="shared" si="476"/>
        <v>2812.6000000000004</v>
      </c>
      <c r="I3994" s="5" t="str">
        <f t="shared" si="477"/>
        <v>016</v>
      </c>
      <c r="J3994" s="5" t="str">
        <f t="shared" si="478"/>
        <v>2100</v>
      </c>
      <c r="K3994" s="5" t="str">
        <f t="shared" si="479"/>
        <v>000</v>
      </c>
      <c r="L3994" s="5">
        <f t="shared" si="480"/>
        <v>9</v>
      </c>
      <c r="M3994" s="5">
        <f t="shared" si="481"/>
        <v>2012</v>
      </c>
    </row>
    <row r="3995" spans="1:13" ht="17.45" customHeight="1" x14ac:dyDescent="0.25">
      <c r="A3995" s="1">
        <f t="shared" si="482"/>
        <v>41182</v>
      </c>
      <c r="B3995" t="s">
        <v>12</v>
      </c>
      <c r="C3995" t="s">
        <v>8</v>
      </c>
      <c r="D3995" s="3">
        <v>758.85040000000004</v>
      </c>
      <c r="E3995" s="3">
        <v>0</v>
      </c>
      <c r="F3995" t="s">
        <v>45</v>
      </c>
      <c r="G3995" s="3">
        <f t="shared" si="475"/>
        <v>-758.85040000000004</v>
      </c>
      <c r="H3995" s="3">
        <f t="shared" si="476"/>
        <v>758.85040000000004</v>
      </c>
      <c r="I3995" s="5" t="str">
        <f t="shared" si="477"/>
        <v>016</v>
      </c>
      <c r="J3995" s="5" t="str">
        <f t="shared" si="478"/>
        <v>2210</v>
      </c>
      <c r="K3995" s="5" t="str">
        <f t="shared" si="479"/>
        <v>000</v>
      </c>
      <c r="L3995" s="5">
        <f t="shared" si="480"/>
        <v>9</v>
      </c>
      <c r="M3995" s="5">
        <f t="shared" si="481"/>
        <v>2012</v>
      </c>
    </row>
    <row r="3996" spans="1:13" ht="17.45" customHeight="1" x14ac:dyDescent="0.25">
      <c r="A3996" s="1">
        <f t="shared" ref="A3996:A4005" si="483">DATE(2012,9,30)</f>
        <v>41182</v>
      </c>
      <c r="B3996" t="s">
        <v>13</v>
      </c>
      <c r="C3996" t="s">
        <v>9</v>
      </c>
      <c r="D3996" s="3">
        <v>116.82000000000001</v>
      </c>
      <c r="E3996" s="3">
        <v>0</v>
      </c>
      <c r="F3996" t="s">
        <v>45</v>
      </c>
      <c r="G3996" s="3">
        <f t="shared" si="475"/>
        <v>-116.82000000000001</v>
      </c>
      <c r="H3996" s="3">
        <f t="shared" si="476"/>
        <v>116.82000000000001</v>
      </c>
      <c r="I3996" s="5" t="str">
        <f t="shared" si="477"/>
        <v>016</v>
      </c>
      <c r="J3996" s="5" t="str">
        <f t="shared" si="478"/>
        <v>2220</v>
      </c>
      <c r="K3996" s="5" t="str">
        <f t="shared" si="479"/>
        <v>000</v>
      </c>
      <c r="L3996" s="5">
        <f t="shared" si="480"/>
        <v>9</v>
      </c>
      <c r="M3996" s="5">
        <f t="shared" si="481"/>
        <v>2012</v>
      </c>
    </row>
    <row r="3997" spans="1:13" ht="17.45" customHeight="1" x14ac:dyDescent="0.25">
      <c r="A3997" s="1">
        <f t="shared" si="483"/>
        <v>41182</v>
      </c>
      <c r="B3997" t="s">
        <v>14</v>
      </c>
      <c r="C3997" t="s">
        <v>10</v>
      </c>
      <c r="D3997" s="3">
        <v>56.313999999999993</v>
      </c>
      <c r="E3997" s="3">
        <v>0</v>
      </c>
      <c r="F3997" t="s">
        <v>45</v>
      </c>
      <c r="G3997" s="3">
        <f t="shared" si="475"/>
        <v>-56.313999999999993</v>
      </c>
      <c r="H3997" s="3">
        <f t="shared" si="476"/>
        <v>56.313999999999993</v>
      </c>
      <c r="I3997" s="5" t="str">
        <f t="shared" si="477"/>
        <v>016</v>
      </c>
      <c r="J3997" s="5" t="str">
        <f t="shared" si="478"/>
        <v>2230</v>
      </c>
      <c r="K3997" s="5" t="str">
        <f t="shared" si="479"/>
        <v>000</v>
      </c>
      <c r="L3997" s="5">
        <f t="shared" si="480"/>
        <v>9</v>
      </c>
      <c r="M3997" s="5">
        <f t="shared" si="481"/>
        <v>2012</v>
      </c>
    </row>
    <row r="3998" spans="1:13" ht="17.45" customHeight="1" x14ac:dyDescent="0.25">
      <c r="A3998" s="1">
        <f t="shared" si="483"/>
        <v>41182</v>
      </c>
      <c r="B3998" t="s">
        <v>15</v>
      </c>
      <c r="C3998" t="s">
        <v>6</v>
      </c>
      <c r="D3998" s="3">
        <v>3368.4659999999994</v>
      </c>
      <c r="E3998" s="3">
        <v>0</v>
      </c>
      <c r="F3998" t="s">
        <v>45</v>
      </c>
      <c r="G3998" s="3">
        <f t="shared" si="475"/>
        <v>-3368.4659999999994</v>
      </c>
      <c r="H3998" s="3">
        <f t="shared" si="476"/>
        <v>3368.4659999999994</v>
      </c>
      <c r="I3998" s="5" t="str">
        <f t="shared" si="477"/>
        <v>017</v>
      </c>
      <c r="J3998" s="5" t="str">
        <f t="shared" si="478"/>
        <v>2100</v>
      </c>
      <c r="K3998" s="5" t="str">
        <f t="shared" si="479"/>
        <v>000</v>
      </c>
      <c r="L3998" s="5">
        <f t="shared" si="480"/>
        <v>9</v>
      </c>
      <c r="M3998" s="5">
        <f t="shared" si="481"/>
        <v>2012</v>
      </c>
    </row>
    <row r="3999" spans="1:13" ht="17.45" customHeight="1" x14ac:dyDescent="0.25">
      <c r="A3999" s="1">
        <f t="shared" si="483"/>
        <v>41182</v>
      </c>
      <c r="B3999" t="s">
        <v>16</v>
      </c>
      <c r="C3999" t="s">
        <v>8</v>
      </c>
      <c r="D3999" s="3">
        <v>996.15000000000009</v>
      </c>
      <c r="E3999" s="3">
        <v>0</v>
      </c>
      <c r="F3999" t="s">
        <v>45</v>
      </c>
      <c r="G3999" s="3">
        <f t="shared" si="475"/>
        <v>-996.15000000000009</v>
      </c>
      <c r="H3999" s="3">
        <f t="shared" si="476"/>
        <v>996.15000000000009</v>
      </c>
      <c r="I3999" s="5" t="str">
        <f t="shared" si="477"/>
        <v>017</v>
      </c>
      <c r="J3999" s="5" t="str">
        <f t="shared" si="478"/>
        <v>2210</v>
      </c>
      <c r="K3999" s="5" t="str">
        <f t="shared" si="479"/>
        <v>000</v>
      </c>
      <c r="L3999" s="5">
        <f t="shared" si="480"/>
        <v>9</v>
      </c>
      <c r="M3999" s="5">
        <f t="shared" si="481"/>
        <v>2012</v>
      </c>
    </row>
    <row r="4000" spans="1:13" ht="17.45" customHeight="1" x14ac:dyDescent="0.25">
      <c r="A4000" s="1">
        <f t="shared" si="483"/>
        <v>41182</v>
      </c>
      <c r="B4000" t="s">
        <v>17</v>
      </c>
      <c r="C4000" t="s">
        <v>9</v>
      </c>
      <c r="D4000" s="3">
        <v>134.30000000000001</v>
      </c>
      <c r="E4000" s="3">
        <v>0</v>
      </c>
      <c r="F4000" t="s">
        <v>45</v>
      </c>
      <c r="G4000" s="3">
        <f t="shared" si="475"/>
        <v>-134.30000000000001</v>
      </c>
      <c r="H4000" s="3">
        <f t="shared" si="476"/>
        <v>134.30000000000001</v>
      </c>
      <c r="I4000" s="5" t="str">
        <f t="shared" si="477"/>
        <v>017</v>
      </c>
      <c r="J4000" s="5" t="str">
        <f t="shared" si="478"/>
        <v>2220</v>
      </c>
      <c r="K4000" s="5" t="str">
        <f t="shared" si="479"/>
        <v>000</v>
      </c>
      <c r="L4000" s="5">
        <f t="shared" si="480"/>
        <v>9</v>
      </c>
      <c r="M4000" s="5">
        <f t="shared" si="481"/>
        <v>2012</v>
      </c>
    </row>
    <row r="4001" spans="1:13" ht="17.45" customHeight="1" x14ac:dyDescent="0.25">
      <c r="A4001" s="1">
        <f t="shared" si="483"/>
        <v>41182</v>
      </c>
      <c r="B4001" t="s">
        <v>18</v>
      </c>
      <c r="C4001" t="s">
        <v>10</v>
      </c>
      <c r="D4001" s="3">
        <v>44.890999999999998</v>
      </c>
      <c r="E4001" s="3">
        <v>0</v>
      </c>
      <c r="F4001" t="s">
        <v>45</v>
      </c>
      <c r="G4001" s="3">
        <f t="shared" si="475"/>
        <v>-44.890999999999998</v>
      </c>
      <c r="H4001" s="3">
        <f t="shared" si="476"/>
        <v>44.890999999999998</v>
      </c>
      <c r="I4001" s="5" t="str">
        <f t="shared" si="477"/>
        <v>017</v>
      </c>
      <c r="J4001" s="5" t="str">
        <f t="shared" si="478"/>
        <v>2230</v>
      </c>
      <c r="K4001" s="5" t="str">
        <f t="shared" si="479"/>
        <v>000</v>
      </c>
      <c r="L4001" s="5">
        <f t="shared" si="480"/>
        <v>9</v>
      </c>
      <c r="M4001" s="5">
        <f t="shared" si="481"/>
        <v>2012</v>
      </c>
    </row>
    <row r="4002" spans="1:13" ht="17.45" customHeight="1" x14ac:dyDescent="0.25">
      <c r="A4002" s="1">
        <f t="shared" si="483"/>
        <v>41182</v>
      </c>
      <c r="B4002" t="s">
        <v>19</v>
      </c>
      <c r="C4002" t="s">
        <v>6</v>
      </c>
      <c r="D4002" s="3">
        <v>8314.8799999999992</v>
      </c>
      <c r="E4002" s="3">
        <v>0</v>
      </c>
      <c r="F4002" t="s">
        <v>45</v>
      </c>
      <c r="G4002" s="3">
        <f t="shared" si="475"/>
        <v>-8314.8799999999992</v>
      </c>
      <c r="H4002" s="3">
        <f t="shared" si="476"/>
        <v>8314.8799999999992</v>
      </c>
      <c r="I4002" s="5" t="str">
        <f t="shared" si="477"/>
        <v>018</v>
      </c>
      <c r="J4002" s="5" t="str">
        <f t="shared" si="478"/>
        <v>2100</v>
      </c>
      <c r="K4002" s="5" t="str">
        <f t="shared" si="479"/>
        <v>000</v>
      </c>
      <c r="L4002" s="5">
        <f t="shared" si="480"/>
        <v>9</v>
      </c>
      <c r="M4002" s="5">
        <f t="shared" si="481"/>
        <v>2012</v>
      </c>
    </row>
    <row r="4003" spans="1:13" ht="17.45" customHeight="1" x14ac:dyDescent="0.25">
      <c r="A4003" s="1">
        <f t="shared" si="483"/>
        <v>41182</v>
      </c>
      <c r="B4003" t="s">
        <v>20</v>
      </c>
      <c r="C4003" t="s">
        <v>8</v>
      </c>
      <c r="D4003" s="3">
        <v>1461.5269999999998</v>
      </c>
      <c r="E4003" s="3">
        <v>0</v>
      </c>
      <c r="F4003" t="s">
        <v>45</v>
      </c>
      <c r="G4003" s="3">
        <f t="shared" si="475"/>
        <v>-1461.5269999999998</v>
      </c>
      <c r="H4003" s="3">
        <f t="shared" si="476"/>
        <v>1461.5269999999998</v>
      </c>
      <c r="I4003" s="5" t="str">
        <f t="shared" si="477"/>
        <v>018</v>
      </c>
      <c r="J4003" s="5" t="str">
        <f t="shared" si="478"/>
        <v>2210</v>
      </c>
      <c r="K4003" s="5" t="str">
        <f t="shared" si="479"/>
        <v>000</v>
      </c>
      <c r="L4003" s="5">
        <f t="shared" si="480"/>
        <v>9</v>
      </c>
      <c r="M4003" s="5">
        <f t="shared" si="481"/>
        <v>2012</v>
      </c>
    </row>
    <row r="4004" spans="1:13" ht="17.45" customHeight="1" x14ac:dyDescent="0.25">
      <c r="A4004" s="1">
        <f t="shared" si="483"/>
        <v>41182</v>
      </c>
      <c r="B4004" t="s">
        <v>21</v>
      </c>
      <c r="C4004" t="s">
        <v>9</v>
      </c>
      <c r="D4004" s="3">
        <v>326.80799999999999</v>
      </c>
      <c r="E4004" s="3">
        <v>0</v>
      </c>
      <c r="F4004" t="s">
        <v>45</v>
      </c>
      <c r="G4004" s="3">
        <f t="shared" si="475"/>
        <v>-326.80799999999999</v>
      </c>
      <c r="H4004" s="3">
        <f t="shared" si="476"/>
        <v>326.80799999999999</v>
      </c>
      <c r="I4004" s="5" t="str">
        <f t="shared" si="477"/>
        <v>018</v>
      </c>
      <c r="J4004" s="5" t="str">
        <f t="shared" si="478"/>
        <v>2220</v>
      </c>
      <c r="K4004" s="5" t="str">
        <f t="shared" si="479"/>
        <v>000</v>
      </c>
      <c r="L4004" s="5">
        <f t="shared" si="480"/>
        <v>9</v>
      </c>
      <c r="M4004" s="5">
        <f t="shared" si="481"/>
        <v>2012</v>
      </c>
    </row>
    <row r="4005" spans="1:13" ht="17.45" customHeight="1" x14ac:dyDescent="0.25">
      <c r="A4005" s="1">
        <f t="shared" si="483"/>
        <v>41182</v>
      </c>
      <c r="B4005" t="s">
        <v>22</v>
      </c>
      <c r="C4005" t="s">
        <v>10</v>
      </c>
      <c r="D4005" s="3">
        <v>53.43</v>
      </c>
      <c r="E4005" s="3">
        <v>0</v>
      </c>
      <c r="F4005" t="s">
        <v>45</v>
      </c>
      <c r="G4005" s="3">
        <f t="shared" si="475"/>
        <v>-53.43</v>
      </c>
      <c r="H4005" s="3">
        <f t="shared" si="476"/>
        <v>53.43</v>
      </c>
      <c r="I4005" s="5" t="str">
        <f t="shared" si="477"/>
        <v>018</v>
      </c>
      <c r="J4005" s="5" t="str">
        <f t="shared" si="478"/>
        <v>2230</v>
      </c>
      <c r="K4005" s="5" t="str">
        <f t="shared" si="479"/>
        <v>000</v>
      </c>
      <c r="L4005" s="5">
        <f t="shared" si="480"/>
        <v>9</v>
      </c>
      <c r="M4005" s="5">
        <f t="shared" si="481"/>
        <v>2012</v>
      </c>
    </row>
    <row r="4006" spans="1:13" ht="17.45" customHeight="1" x14ac:dyDescent="0.25">
      <c r="A4006" s="1">
        <f>DATE(2012,10,1)</f>
        <v>41183</v>
      </c>
      <c r="B4006" t="s">
        <v>11</v>
      </c>
      <c r="C4006" t="s">
        <v>6</v>
      </c>
      <c r="D4006" s="3">
        <v>1425.8475000000001</v>
      </c>
      <c r="E4006" s="3">
        <v>0</v>
      </c>
      <c r="F4006" t="s">
        <v>45</v>
      </c>
      <c r="G4006" s="3">
        <f t="shared" si="475"/>
        <v>-1425.8475000000001</v>
      </c>
      <c r="H4006" s="3">
        <f t="shared" si="476"/>
        <v>1425.8475000000001</v>
      </c>
      <c r="I4006" s="5" t="str">
        <f t="shared" si="477"/>
        <v>016</v>
      </c>
      <c r="J4006" s="5" t="str">
        <f t="shared" si="478"/>
        <v>2100</v>
      </c>
      <c r="K4006" s="5" t="str">
        <f t="shared" si="479"/>
        <v>000</v>
      </c>
      <c r="L4006" s="5">
        <f t="shared" si="480"/>
        <v>10</v>
      </c>
      <c r="M4006" s="5">
        <f t="shared" si="481"/>
        <v>2012</v>
      </c>
    </row>
    <row r="4007" spans="1:13" ht="17.45" customHeight="1" x14ac:dyDescent="0.25">
      <c r="A4007" s="1">
        <f>DATE(2012,10,1)</f>
        <v>41183</v>
      </c>
      <c r="B4007" t="s">
        <v>12</v>
      </c>
      <c r="C4007" t="s">
        <v>8</v>
      </c>
      <c r="D4007" s="3">
        <v>181.63200000000001</v>
      </c>
      <c r="E4007" s="3">
        <v>0</v>
      </c>
      <c r="F4007" t="s">
        <v>45</v>
      </c>
      <c r="G4007" s="3">
        <f t="shared" si="475"/>
        <v>-181.63200000000001</v>
      </c>
      <c r="H4007" s="3">
        <f t="shared" si="476"/>
        <v>181.63200000000001</v>
      </c>
      <c r="I4007" s="5" t="str">
        <f t="shared" si="477"/>
        <v>016</v>
      </c>
      <c r="J4007" s="5" t="str">
        <f t="shared" si="478"/>
        <v>2210</v>
      </c>
      <c r="K4007" s="5" t="str">
        <f t="shared" si="479"/>
        <v>000</v>
      </c>
      <c r="L4007" s="5">
        <f t="shared" si="480"/>
        <v>10</v>
      </c>
      <c r="M4007" s="5">
        <f t="shared" si="481"/>
        <v>2012</v>
      </c>
    </row>
    <row r="4008" spans="1:13" ht="17.45" customHeight="1" x14ac:dyDescent="0.25">
      <c r="A4008" s="1">
        <f>DATE(2012,10,1)</f>
        <v>41183</v>
      </c>
      <c r="B4008" t="s">
        <v>13</v>
      </c>
      <c r="C4008" t="s">
        <v>9</v>
      </c>
      <c r="D4008" s="3">
        <v>75.275999999999996</v>
      </c>
      <c r="E4008" s="3">
        <v>0</v>
      </c>
      <c r="F4008" t="s">
        <v>45</v>
      </c>
      <c r="G4008" s="3">
        <f t="shared" si="475"/>
        <v>-75.275999999999996</v>
      </c>
      <c r="H4008" s="3">
        <f t="shared" si="476"/>
        <v>75.275999999999996</v>
      </c>
      <c r="I4008" s="5" t="str">
        <f t="shared" si="477"/>
        <v>016</v>
      </c>
      <c r="J4008" s="5" t="str">
        <f t="shared" si="478"/>
        <v>2220</v>
      </c>
      <c r="K4008" s="5" t="str">
        <f t="shared" si="479"/>
        <v>000</v>
      </c>
      <c r="L4008" s="5">
        <f t="shared" si="480"/>
        <v>10</v>
      </c>
      <c r="M4008" s="5">
        <f t="shared" si="481"/>
        <v>2012</v>
      </c>
    </row>
    <row r="4009" spans="1:13" ht="17.45" customHeight="1" x14ac:dyDescent="0.25">
      <c r="A4009" s="1">
        <f>DATE(2012,10,1)</f>
        <v>41183</v>
      </c>
      <c r="B4009" t="s">
        <v>14</v>
      </c>
      <c r="C4009" t="s">
        <v>10</v>
      </c>
      <c r="D4009" s="3">
        <v>6.2649999999999988</v>
      </c>
      <c r="E4009" s="3">
        <v>0</v>
      </c>
      <c r="F4009" t="s">
        <v>45</v>
      </c>
      <c r="G4009" s="3">
        <f t="shared" si="475"/>
        <v>-6.2649999999999988</v>
      </c>
      <c r="H4009" s="3">
        <f t="shared" si="476"/>
        <v>6.2649999999999988</v>
      </c>
      <c r="I4009" s="5" t="str">
        <f t="shared" si="477"/>
        <v>016</v>
      </c>
      <c r="J4009" s="5" t="str">
        <f t="shared" si="478"/>
        <v>2230</v>
      </c>
      <c r="K4009" s="5" t="str">
        <f t="shared" si="479"/>
        <v>000</v>
      </c>
      <c r="L4009" s="5">
        <f t="shared" si="480"/>
        <v>10</v>
      </c>
      <c r="M4009" s="5">
        <f t="shared" si="481"/>
        <v>2012</v>
      </c>
    </row>
    <row r="4010" spans="1:13" ht="17.45" customHeight="1" x14ac:dyDescent="0.25">
      <c r="A4010" s="1">
        <f>DATE(2012,10,2)</f>
        <v>41184</v>
      </c>
      <c r="B4010" t="s">
        <v>11</v>
      </c>
      <c r="C4010" t="s">
        <v>6</v>
      </c>
      <c r="D4010" s="3">
        <v>5124.8393999999998</v>
      </c>
      <c r="E4010" s="3">
        <v>0</v>
      </c>
      <c r="F4010" t="s">
        <v>45</v>
      </c>
      <c r="G4010" s="3">
        <f t="shared" si="475"/>
        <v>-5124.8393999999998</v>
      </c>
      <c r="H4010" s="3">
        <f t="shared" si="476"/>
        <v>5124.8393999999998</v>
      </c>
      <c r="I4010" s="5" t="str">
        <f t="shared" si="477"/>
        <v>016</v>
      </c>
      <c r="J4010" s="5" t="str">
        <f t="shared" si="478"/>
        <v>2100</v>
      </c>
      <c r="K4010" s="5" t="str">
        <f t="shared" si="479"/>
        <v>000</v>
      </c>
      <c r="L4010" s="5">
        <f t="shared" si="480"/>
        <v>10</v>
      </c>
      <c r="M4010" s="5">
        <f t="shared" si="481"/>
        <v>2012</v>
      </c>
    </row>
    <row r="4011" spans="1:13" ht="17.45" customHeight="1" x14ac:dyDescent="0.25">
      <c r="A4011" s="1">
        <f>DATE(2012,10,2)</f>
        <v>41184</v>
      </c>
      <c r="B4011" t="s">
        <v>12</v>
      </c>
      <c r="C4011" t="s">
        <v>8</v>
      </c>
      <c r="D4011" s="3">
        <v>1666.9364999999998</v>
      </c>
      <c r="E4011" s="3">
        <v>0</v>
      </c>
      <c r="F4011" t="s">
        <v>45</v>
      </c>
      <c r="G4011" s="3">
        <f t="shared" si="475"/>
        <v>-1666.9364999999998</v>
      </c>
      <c r="H4011" s="3">
        <f t="shared" si="476"/>
        <v>1666.9364999999998</v>
      </c>
      <c r="I4011" s="5" t="str">
        <f t="shared" si="477"/>
        <v>016</v>
      </c>
      <c r="J4011" s="5" t="str">
        <f t="shared" si="478"/>
        <v>2210</v>
      </c>
      <c r="K4011" s="5" t="str">
        <f t="shared" si="479"/>
        <v>000</v>
      </c>
      <c r="L4011" s="5">
        <f t="shared" si="480"/>
        <v>10</v>
      </c>
      <c r="M4011" s="5">
        <f t="shared" si="481"/>
        <v>2012</v>
      </c>
    </row>
    <row r="4012" spans="1:13" ht="17.45" customHeight="1" x14ac:dyDescent="0.25">
      <c r="A4012" s="1">
        <f>DATE(2012,10,2)</f>
        <v>41184</v>
      </c>
      <c r="B4012" t="s">
        <v>13</v>
      </c>
      <c r="C4012" t="s">
        <v>9</v>
      </c>
      <c r="D4012" s="3">
        <v>490.34829999999999</v>
      </c>
      <c r="E4012" s="3">
        <v>0</v>
      </c>
      <c r="F4012" t="s">
        <v>45</v>
      </c>
      <c r="G4012" s="3">
        <f t="shared" si="475"/>
        <v>-490.34829999999999</v>
      </c>
      <c r="H4012" s="3">
        <f t="shared" si="476"/>
        <v>490.34829999999999</v>
      </c>
      <c r="I4012" s="5" t="str">
        <f t="shared" si="477"/>
        <v>016</v>
      </c>
      <c r="J4012" s="5" t="str">
        <f t="shared" si="478"/>
        <v>2220</v>
      </c>
      <c r="K4012" s="5" t="str">
        <f t="shared" si="479"/>
        <v>000</v>
      </c>
      <c r="L4012" s="5">
        <f t="shared" si="480"/>
        <v>10</v>
      </c>
      <c r="M4012" s="5">
        <f t="shared" si="481"/>
        <v>2012</v>
      </c>
    </row>
    <row r="4013" spans="1:13" ht="17.45" customHeight="1" x14ac:dyDescent="0.25">
      <c r="A4013" s="1">
        <f>DATE(2012,10,2)</f>
        <v>41184</v>
      </c>
      <c r="B4013" t="s">
        <v>14</v>
      </c>
      <c r="C4013" t="s">
        <v>10</v>
      </c>
      <c r="D4013" s="3">
        <v>66.5595</v>
      </c>
      <c r="E4013" s="3">
        <v>0</v>
      </c>
      <c r="F4013" t="s">
        <v>45</v>
      </c>
      <c r="G4013" s="3">
        <f t="shared" si="475"/>
        <v>-66.5595</v>
      </c>
      <c r="H4013" s="3">
        <f t="shared" si="476"/>
        <v>66.5595</v>
      </c>
      <c r="I4013" s="5" t="str">
        <f t="shared" si="477"/>
        <v>016</v>
      </c>
      <c r="J4013" s="5" t="str">
        <f t="shared" si="478"/>
        <v>2230</v>
      </c>
      <c r="K4013" s="5" t="str">
        <f t="shared" si="479"/>
        <v>000</v>
      </c>
      <c r="L4013" s="5">
        <f t="shared" si="480"/>
        <v>10</v>
      </c>
      <c r="M4013" s="5">
        <f t="shared" si="481"/>
        <v>2012</v>
      </c>
    </row>
    <row r="4014" spans="1:13" ht="17.45" customHeight="1" x14ac:dyDescent="0.25">
      <c r="A4014" s="1">
        <f>DATE(2012,10,3)</f>
        <v>41185</v>
      </c>
      <c r="B4014" t="s">
        <v>11</v>
      </c>
      <c r="C4014" t="s">
        <v>6</v>
      </c>
      <c r="D4014" s="3">
        <v>1424.8574999999998</v>
      </c>
      <c r="E4014" s="3">
        <v>0</v>
      </c>
      <c r="F4014" t="s">
        <v>45</v>
      </c>
      <c r="G4014" s="3">
        <f t="shared" si="475"/>
        <v>-1424.8574999999998</v>
      </c>
      <c r="H4014" s="3">
        <f t="shared" si="476"/>
        <v>1424.8574999999998</v>
      </c>
      <c r="I4014" s="5" t="str">
        <f t="shared" si="477"/>
        <v>016</v>
      </c>
      <c r="J4014" s="5" t="str">
        <f t="shared" si="478"/>
        <v>2100</v>
      </c>
      <c r="K4014" s="5" t="str">
        <f t="shared" si="479"/>
        <v>000</v>
      </c>
      <c r="L4014" s="5">
        <f t="shared" si="480"/>
        <v>10</v>
      </c>
      <c r="M4014" s="5">
        <f t="shared" si="481"/>
        <v>2012</v>
      </c>
    </row>
    <row r="4015" spans="1:13" ht="17.45" customHeight="1" x14ac:dyDescent="0.25">
      <c r="A4015" s="1">
        <f>DATE(2012,10,3)</f>
        <v>41185</v>
      </c>
      <c r="B4015" t="s">
        <v>12</v>
      </c>
      <c r="C4015" t="s">
        <v>8</v>
      </c>
      <c r="D4015" s="3">
        <v>538.60900000000004</v>
      </c>
      <c r="E4015" s="3">
        <v>0</v>
      </c>
      <c r="F4015" t="s">
        <v>45</v>
      </c>
      <c r="G4015" s="3">
        <f t="shared" si="475"/>
        <v>-538.60900000000004</v>
      </c>
      <c r="H4015" s="3">
        <f t="shared" si="476"/>
        <v>538.60900000000004</v>
      </c>
      <c r="I4015" s="5" t="str">
        <f t="shared" si="477"/>
        <v>016</v>
      </c>
      <c r="J4015" s="5" t="str">
        <f t="shared" si="478"/>
        <v>2210</v>
      </c>
      <c r="K4015" s="5" t="str">
        <f t="shared" si="479"/>
        <v>000</v>
      </c>
      <c r="L4015" s="5">
        <f t="shared" si="480"/>
        <v>10</v>
      </c>
      <c r="M4015" s="5">
        <f t="shared" si="481"/>
        <v>2012</v>
      </c>
    </row>
    <row r="4016" spans="1:13" ht="17.45" customHeight="1" x14ac:dyDescent="0.25">
      <c r="A4016" s="1">
        <f>DATE(2012,10,3)</f>
        <v>41185</v>
      </c>
      <c r="B4016" t="s">
        <v>13</v>
      </c>
      <c r="C4016" t="s">
        <v>9</v>
      </c>
      <c r="D4016" s="3">
        <v>79.02</v>
      </c>
      <c r="E4016" s="3">
        <v>0</v>
      </c>
      <c r="F4016" t="s">
        <v>45</v>
      </c>
      <c r="G4016" s="3">
        <f t="shared" si="475"/>
        <v>-79.02</v>
      </c>
      <c r="H4016" s="3">
        <f t="shared" si="476"/>
        <v>79.02</v>
      </c>
      <c r="I4016" s="5" t="str">
        <f t="shared" si="477"/>
        <v>016</v>
      </c>
      <c r="J4016" s="5" t="str">
        <f t="shared" si="478"/>
        <v>2220</v>
      </c>
      <c r="K4016" s="5" t="str">
        <f t="shared" si="479"/>
        <v>000</v>
      </c>
      <c r="L4016" s="5">
        <f t="shared" si="480"/>
        <v>10</v>
      </c>
      <c r="M4016" s="5">
        <f t="shared" si="481"/>
        <v>2012</v>
      </c>
    </row>
    <row r="4017" spans="1:13" ht="17.45" customHeight="1" x14ac:dyDescent="0.25">
      <c r="A4017" s="1">
        <f>DATE(2012,10,3)</f>
        <v>41185</v>
      </c>
      <c r="B4017" t="s">
        <v>14</v>
      </c>
      <c r="C4017" t="s">
        <v>10</v>
      </c>
      <c r="D4017" s="3">
        <v>25.721</v>
      </c>
      <c r="E4017" s="3">
        <v>0</v>
      </c>
      <c r="F4017" t="s">
        <v>45</v>
      </c>
      <c r="G4017" s="3">
        <f t="shared" si="475"/>
        <v>-25.721</v>
      </c>
      <c r="H4017" s="3">
        <f t="shared" si="476"/>
        <v>25.721</v>
      </c>
      <c r="I4017" s="5" t="str">
        <f t="shared" si="477"/>
        <v>016</v>
      </c>
      <c r="J4017" s="5" t="str">
        <f t="shared" si="478"/>
        <v>2230</v>
      </c>
      <c r="K4017" s="5" t="str">
        <f t="shared" si="479"/>
        <v>000</v>
      </c>
      <c r="L4017" s="5">
        <f t="shared" si="480"/>
        <v>10</v>
      </c>
      <c r="M4017" s="5">
        <f t="shared" si="481"/>
        <v>2012</v>
      </c>
    </row>
    <row r="4018" spans="1:13" ht="17.45" customHeight="1" x14ac:dyDescent="0.25">
      <c r="A4018" s="1">
        <f>DATE(2012,10,4)</f>
        <v>41186</v>
      </c>
      <c r="B4018" t="s">
        <v>11</v>
      </c>
      <c r="C4018" t="s">
        <v>6</v>
      </c>
      <c r="D4018" s="3">
        <v>3103.4526000000001</v>
      </c>
      <c r="E4018" s="3">
        <v>0</v>
      </c>
      <c r="F4018" t="s">
        <v>45</v>
      </c>
      <c r="G4018" s="3">
        <f t="shared" si="475"/>
        <v>-3103.4526000000001</v>
      </c>
      <c r="H4018" s="3">
        <f t="shared" si="476"/>
        <v>3103.4526000000001</v>
      </c>
      <c r="I4018" s="5" t="str">
        <f t="shared" si="477"/>
        <v>016</v>
      </c>
      <c r="J4018" s="5" t="str">
        <f t="shared" si="478"/>
        <v>2100</v>
      </c>
      <c r="K4018" s="5" t="str">
        <f t="shared" si="479"/>
        <v>000</v>
      </c>
      <c r="L4018" s="5">
        <f t="shared" si="480"/>
        <v>10</v>
      </c>
      <c r="M4018" s="5">
        <f t="shared" si="481"/>
        <v>2012</v>
      </c>
    </row>
    <row r="4019" spans="1:13" ht="17.45" customHeight="1" x14ac:dyDescent="0.25">
      <c r="A4019" s="1">
        <f>DATE(2012,10,4)</f>
        <v>41186</v>
      </c>
      <c r="B4019" t="s">
        <v>12</v>
      </c>
      <c r="C4019" t="s">
        <v>8</v>
      </c>
      <c r="D4019" s="3">
        <v>913.6305000000001</v>
      </c>
      <c r="E4019" s="3">
        <v>0</v>
      </c>
      <c r="F4019" t="s">
        <v>45</v>
      </c>
      <c r="G4019" s="3">
        <f t="shared" si="475"/>
        <v>-913.6305000000001</v>
      </c>
      <c r="H4019" s="3">
        <f t="shared" si="476"/>
        <v>913.6305000000001</v>
      </c>
      <c r="I4019" s="5" t="str">
        <f t="shared" si="477"/>
        <v>016</v>
      </c>
      <c r="J4019" s="5" t="str">
        <f t="shared" si="478"/>
        <v>2210</v>
      </c>
      <c r="K4019" s="5" t="str">
        <f t="shared" si="479"/>
        <v>000</v>
      </c>
      <c r="L4019" s="5">
        <f t="shared" si="480"/>
        <v>10</v>
      </c>
      <c r="M4019" s="5">
        <f t="shared" si="481"/>
        <v>2012</v>
      </c>
    </row>
    <row r="4020" spans="1:13" ht="17.45" customHeight="1" x14ac:dyDescent="0.25">
      <c r="A4020" s="1">
        <f>DATE(2012,10,4)</f>
        <v>41186</v>
      </c>
      <c r="B4020" t="s">
        <v>13</v>
      </c>
      <c r="C4020" t="s">
        <v>9</v>
      </c>
      <c r="D4020" s="3">
        <v>112.65569999999998</v>
      </c>
      <c r="E4020" s="3">
        <v>0</v>
      </c>
      <c r="F4020" t="s">
        <v>45</v>
      </c>
      <c r="G4020" s="3">
        <f t="shared" si="475"/>
        <v>-112.65569999999998</v>
      </c>
      <c r="H4020" s="3">
        <f t="shared" si="476"/>
        <v>112.65569999999998</v>
      </c>
      <c r="I4020" s="5" t="str">
        <f t="shared" si="477"/>
        <v>016</v>
      </c>
      <c r="J4020" s="5" t="str">
        <f t="shared" si="478"/>
        <v>2220</v>
      </c>
      <c r="K4020" s="5" t="str">
        <f t="shared" si="479"/>
        <v>000</v>
      </c>
      <c r="L4020" s="5">
        <f t="shared" si="480"/>
        <v>10</v>
      </c>
      <c r="M4020" s="5">
        <f t="shared" si="481"/>
        <v>2012</v>
      </c>
    </row>
    <row r="4021" spans="1:13" ht="17.45" customHeight="1" x14ac:dyDescent="0.25">
      <c r="A4021" s="1">
        <f>DATE(2012,10,4)</f>
        <v>41186</v>
      </c>
      <c r="B4021" t="s">
        <v>14</v>
      </c>
      <c r="C4021" t="s">
        <v>10</v>
      </c>
      <c r="D4021" s="3">
        <v>37.757999999999996</v>
      </c>
      <c r="E4021" s="3">
        <v>0</v>
      </c>
      <c r="F4021" t="s">
        <v>45</v>
      </c>
      <c r="G4021" s="3">
        <f t="shared" si="475"/>
        <v>-37.757999999999996</v>
      </c>
      <c r="H4021" s="3">
        <f t="shared" si="476"/>
        <v>37.757999999999996</v>
      </c>
      <c r="I4021" s="5" t="str">
        <f t="shared" si="477"/>
        <v>016</v>
      </c>
      <c r="J4021" s="5" t="str">
        <f t="shared" si="478"/>
        <v>2230</v>
      </c>
      <c r="K4021" s="5" t="str">
        <f t="shared" si="479"/>
        <v>000</v>
      </c>
      <c r="L4021" s="5">
        <f t="shared" si="480"/>
        <v>10</v>
      </c>
      <c r="M4021" s="5">
        <f t="shared" si="481"/>
        <v>2012</v>
      </c>
    </row>
    <row r="4022" spans="1:13" ht="17.45" customHeight="1" x14ac:dyDescent="0.25">
      <c r="A4022" s="1">
        <f>DATE(2012,10,5)</f>
        <v>41187</v>
      </c>
      <c r="B4022" t="s">
        <v>11</v>
      </c>
      <c r="C4022" t="s">
        <v>6</v>
      </c>
      <c r="D4022" s="3">
        <v>8117.2273000000005</v>
      </c>
      <c r="E4022" s="3">
        <v>0</v>
      </c>
      <c r="F4022" t="s">
        <v>45</v>
      </c>
      <c r="G4022" s="3">
        <f t="shared" si="475"/>
        <v>-8117.2273000000005</v>
      </c>
      <c r="H4022" s="3">
        <f t="shared" si="476"/>
        <v>8117.2273000000005</v>
      </c>
      <c r="I4022" s="5" t="str">
        <f t="shared" si="477"/>
        <v>016</v>
      </c>
      <c r="J4022" s="5" t="str">
        <f t="shared" si="478"/>
        <v>2100</v>
      </c>
      <c r="K4022" s="5" t="str">
        <f t="shared" si="479"/>
        <v>000</v>
      </c>
      <c r="L4022" s="5">
        <f t="shared" si="480"/>
        <v>10</v>
      </c>
      <c r="M4022" s="5">
        <f t="shared" si="481"/>
        <v>2012</v>
      </c>
    </row>
    <row r="4023" spans="1:13" ht="17.45" customHeight="1" x14ac:dyDescent="0.25">
      <c r="A4023" s="1">
        <f>DATE(2012,10,5)</f>
        <v>41187</v>
      </c>
      <c r="B4023" t="s">
        <v>12</v>
      </c>
      <c r="C4023" t="s">
        <v>8</v>
      </c>
      <c r="D4023" s="3">
        <v>3270.0659999999998</v>
      </c>
      <c r="E4023" s="3">
        <v>0</v>
      </c>
      <c r="F4023" t="s">
        <v>45</v>
      </c>
      <c r="G4023" s="3">
        <f t="shared" si="475"/>
        <v>-3270.0659999999998</v>
      </c>
      <c r="H4023" s="3">
        <f t="shared" si="476"/>
        <v>3270.0659999999998</v>
      </c>
      <c r="I4023" s="5" t="str">
        <f t="shared" si="477"/>
        <v>016</v>
      </c>
      <c r="J4023" s="5" t="str">
        <f t="shared" si="478"/>
        <v>2210</v>
      </c>
      <c r="K4023" s="5" t="str">
        <f t="shared" si="479"/>
        <v>000</v>
      </c>
      <c r="L4023" s="5">
        <f t="shared" si="480"/>
        <v>10</v>
      </c>
      <c r="M4023" s="5">
        <f t="shared" si="481"/>
        <v>2012</v>
      </c>
    </row>
    <row r="4024" spans="1:13" ht="17.45" customHeight="1" x14ac:dyDescent="0.25">
      <c r="A4024" s="1">
        <f>DATE(2012,10,5)</f>
        <v>41187</v>
      </c>
      <c r="B4024" t="s">
        <v>13</v>
      </c>
      <c r="C4024" t="s">
        <v>9</v>
      </c>
      <c r="D4024" s="3">
        <v>399.72149999999999</v>
      </c>
      <c r="E4024" s="3">
        <v>0</v>
      </c>
      <c r="F4024" t="s">
        <v>45</v>
      </c>
      <c r="G4024" s="3">
        <f t="shared" si="475"/>
        <v>-399.72149999999999</v>
      </c>
      <c r="H4024" s="3">
        <f t="shared" si="476"/>
        <v>399.72149999999999</v>
      </c>
      <c r="I4024" s="5" t="str">
        <f t="shared" si="477"/>
        <v>016</v>
      </c>
      <c r="J4024" s="5" t="str">
        <f t="shared" si="478"/>
        <v>2220</v>
      </c>
      <c r="K4024" s="5" t="str">
        <f t="shared" si="479"/>
        <v>000</v>
      </c>
      <c r="L4024" s="5">
        <f t="shared" si="480"/>
        <v>10</v>
      </c>
      <c r="M4024" s="5">
        <f t="shared" si="481"/>
        <v>2012</v>
      </c>
    </row>
    <row r="4025" spans="1:13" ht="17.45" customHeight="1" x14ac:dyDescent="0.25">
      <c r="A4025" s="1">
        <f>DATE(2012,10,5)</f>
        <v>41187</v>
      </c>
      <c r="B4025" t="s">
        <v>14</v>
      </c>
      <c r="C4025" t="s">
        <v>10</v>
      </c>
      <c r="D4025" s="3">
        <v>358.245</v>
      </c>
      <c r="E4025" s="3">
        <v>0</v>
      </c>
      <c r="F4025" t="s">
        <v>45</v>
      </c>
      <c r="G4025" s="3">
        <f t="shared" si="475"/>
        <v>-358.245</v>
      </c>
      <c r="H4025" s="3">
        <f t="shared" si="476"/>
        <v>358.245</v>
      </c>
      <c r="I4025" s="5" t="str">
        <f t="shared" si="477"/>
        <v>016</v>
      </c>
      <c r="J4025" s="5" t="str">
        <f t="shared" si="478"/>
        <v>2230</v>
      </c>
      <c r="K4025" s="5" t="str">
        <f t="shared" si="479"/>
        <v>000</v>
      </c>
      <c r="L4025" s="5">
        <f t="shared" si="480"/>
        <v>10</v>
      </c>
      <c r="M4025" s="5">
        <f t="shared" si="481"/>
        <v>2012</v>
      </c>
    </row>
    <row r="4026" spans="1:13" ht="17.45" customHeight="1" x14ac:dyDescent="0.25">
      <c r="A4026" s="1">
        <f>DATE(2012,10,6)</f>
        <v>41188</v>
      </c>
      <c r="B4026" t="s">
        <v>11</v>
      </c>
      <c r="C4026" t="s">
        <v>6</v>
      </c>
      <c r="D4026" s="3">
        <v>5325.8613999999998</v>
      </c>
      <c r="E4026" s="3">
        <v>0</v>
      </c>
      <c r="F4026" t="s">
        <v>45</v>
      </c>
      <c r="G4026" s="3">
        <f t="shared" si="475"/>
        <v>-5325.8613999999998</v>
      </c>
      <c r="H4026" s="3">
        <f t="shared" si="476"/>
        <v>5325.8613999999998</v>
      </c>
      <c r="I4026" s="5" t="str">
        <f t="shared" si="477"/>
        <v>016</v>
      </c>
      <c r="J4026" s="5" t="str">
        <f t="shared" si="478"/>
        <v>2100</v>
      </c>
      <c r="K4026" s="5" t="str">
        <f t="shared" si="479"/>
        <v>000</v>
      </c>
      <c r="L4026" s="5">
        <f t="shared" si="480"/>
        <v>10</v>
      </c>
      <c r="M4026" s="5">
        <f t="shared" si="481"/>
        <v>2012</v>
      </c>
    </row>
    <row r="4027" spans="1:13" ht="17.45" customHeight="1" x14ac:dyDescent="0.25">
      <c r="A4027" s="1">
        <f>DATE(2012,10,6)</f>
        <v>41188</v>
      </c>
      <c r="B4027" t="s">
        <v>12</v>
      </c>
      <c r="C4027" t="s">
        <v>8</v>
      </c>
      <c r="D4027" s="3">
        <v>1580.04</v>
      </c>
      <c r="E4027" s="3">
        <v>0</v>
      </c>
      <c r="F4027" t="s">
        <v>45</v>
      </c>
      <c r="G4027" s="3">
        <f t="shared" si="475"/>
        <v>-1580.04</v>
      </c>
      <c r="H4027" s="3">
        <f t="shared" si="476"/>
        <v>1580.04</v>
      </c>
      <c r="I4027" s="5" t="str">
        <f t="shared" si="477"/>
        <v>016</v>
      </c>
      <c r="J4027" s="5" t="str">
        <f t="shared" si="478"/>
        <v>2210</v>
      </c>
      <c r="K4027" s="5" t="str">
        <f t="shared" si="479"/>
        <v>000</v>
      </c>
      <c r="L4027" s="5">
        <f t="shared" si="480"/>
        <v>10</v>
      </c>
      <c r="M4027" s="5">
        <f t="shared" si="481"/>
        <v>2012</v>
      </c>
    </row>
    <row r="4028" spans="1:13" ht="17.45" customHeight="1" x14ac:dyDescent="0.25">
      <c r="A4028" s="1">
        <f>DATE(2012,10,6)</f>
        <v>41188</v>
      </c>
      <c r="B4028" t="s">
        <v>13</v>
      </c>
      <c r="C4028" t="s">
        <v>9</v>
      </c>
      <c r="D4028" s="3">
        <v>350.28449999999998</v>
      </c>
      <c r="E4028" s="3">
        <v>0</v>
      </c>
      <c r="F4028" t="s">
        <v>45</v>
      </c>
      <c r="G4028" s="3">
        <f t="shared" si="475"/>
        <v>-350.28449999999998</v>
      </c>
      <c r="H4028" s="3">
        <f t="shared" si="476"/>
        <v>350.28449999999998</v>
      </c>
      <c r="I4028" s="5" t="str">
        <f t="shared" si="477"/>
        <v>016</v>
      </c>
      <c r="J4028" s="5" t="str">
        <f t="shared" si="478"/>
        <v>2220</v>
      </c>
      <c r="K4028" s="5" t="str">
        <f t="shared" si="479"/>
        <v>000</v>
      </c>
      <c r="L4028" s="5">
        <f t="shared" si="480"/>
        <v>10</v>
      </c>
      <c r="M4028" s="5">
        <f t="shared" si="481"/>
        <v>2012</v>
      </c>
    </row>
    <row r="4029" spans="1:13" ht="17.45" customHeight="1" x14ac:dyDescent="0.25">
      <c r="A4029" s="1">
        <f>DATE(2012,10,6)</f>
        <v>41188</v>
      </c>
      <c r="B4029" t="s">
        <v>14</v>
      </c>
      <c r="C4029" t="s">
        <v>10</v>
      </c>
      <c r="D4029" s="3">
        <v>133.01</v>
      </c>
      <c r="E4029" s="3">
        <v>0</v>
      </c>
      <c r="F4029" t="s">
        <v>45</v>
      </c>
      <c r="G4029" s="3">
        <f t="shared" si="475"/>
        <v>-133.01</v>
      </c>
      <c r="H4029" s="3">
        <f t="shared" si="476"/>
        <v>133.01</v>
      </c>
      <c r="I4029" s="5" t="str">
        <f t="shared" si="477"/>
        <v>016</v>
      </c>
      <c r="J4029" s="5" t="str">
        <f t="shared" si="478"/>
        <v>2230</v>
      </c>
      <c r="K4029" s="5" t="str">
        <f t="shared" si="479"/>
        <v>000</v>
      </c>
      <c r="L4029" s="5">
        <f t="shared" si="480"/>
        <v>10</v>
      </c>
      <c r="M4029" s="5">
        <f t="shared" si="481"/>
        <v>2012</v>
      </c>
    </row>
    <row r="4030" spans="1:13" ht="17.45" customHeight="1" x14ac:dyDescent="0.25">
      <c r="A4030" s="1">
        <f>DATE(2012,10,7)</f>
        <v>41189</v>
      </c>
      <c r="B4030" t="s">
        <v>11</v>
      </c>
      <c r="C4030" t="s">
        <v>6</v>
      </c>
      <c r="D4030" s="3">
        <v>2860.3937000000001</v>
      </c>
      <c r="E4030" s="3">
        <v>0</v>
      </c>
      <c r="F4030" t="s">
        <v>45</v>
      </c>
      <c r="G4030" s="3">
        <f t="shared" si="475"/>
        <v>-2860.3937000000001</v>
      </c>
      <c r="H4030" s="3">
        <f t="shared" si="476"/>
        <v>2860.3937000000001</v>
      </c>
      <c r="I4030" s="5" t="str">
        <f t="shared" si="477"/>
        <v>016</v>
      </c>
      <c r="J4030" s="5" t="str">
        <f t="shared" si="478"/>
        <v>2100</v>
      </c>
      <c r="K4030" s="5" t="str">
        <f t="shared" si="479"/>
        <v>000</v>
      </c>
      <c r="L4030" s="5">
        <f t="shared" si="480"/>
        <v>10</v>
      </c>
      <c r="M4030" s="5">
        <f t="shared" si="481"/>
        <v>2012</v>
      </c>
    </row>
    <row r="4031" spans="1:13" ht="17.45" customHeight="1" x14ac:dyDescent="0.25">
      <c r="A4031" s="1">
        <f>DATE(2012,10,7)</f>
        <v>41189</v>
      </c>
      <c r="B4031" t="s">
        <v>12</v>
      </c>
      <c r="C4031" t="s">
        <v>8</v>
      </c>
      <c r="D4031" s="3">
        <v>1110.5319999999999</v>
      </c>
      <c r="E4031" s="3">
        <v>0</v>
      </c>
      <c r="F4031" t="s">
        <v>45</v>
      </c>
      <c r="G4031" s="3">
        <f t="shared" si="475"/>
        <v>-1110.5319999999999</v>
      </c>
      <c r="H4031" s="3">
        <f t="shared" si="476"/>
        <v>1110.5319999999999</v>
      </c>
      <c r="I4031" s="5" t="str">
        <f t="shared" si="477"/>
        <v>016</v>
      </c>
      <c r="J4031" s="5" t="str">
        <f t="shared" si="478"/>
        <v>2210</v>
      </c>
      <c r="K4031" s="5" t="str">
        <f t="shared" si="479"/>
        <v>000</v>
      </c>
      <c r="L4031" s="5">
        <f t="shared" si="480"/>
        <v>10</v>
      </c>
      <c r="M4031" s="5">
        <f t="shared" si="481"/>
        <v>2012</v>
      </c>
    </row>
    <row r="4032" spans="1:13" ht="17.45" customHeight="1" x14ac:dyDescent="0.25">
      <c r="A4032" s="1">
        <f>DATE(2012,10,7)</f>
        <v>41189</v>
      </c>
      <c r="B4032" t="s">
        <v>13</v>
      </c>
      <c r="C4032" t="s">
        <v>9</v>
      </c>
      <c r="D4032" s="3">
        <v>151.56</v>
      </c>
      <c r="E4032" s="3">
        <v>0</v>
      </c>
      <c r="F4032" t="s">
        <v>45</v>
      </c>
      <c r="G4032" s="3">
        <f t="shared" si="475"/>
        <v>-151.56</v>
      </c>
      <c r="H4032" s="3">
        <f t="shared" si="476"/>
        <v>151.56</v>
      </c>
      <c r="I4032" s="5" t="str">
        <f t="shared" si="477"/>
        <v>016</v>
      </c>
      <c r="J4032" s="5" t="str">
        <f t="shared" si="478"/>
        <v>2220</v>
      </c>
      <c r="K4032" s="5" t="str">
        <f t="shared" si="479"/>
        <v>000</v>
      </c>
      <c r="L4032" s="5">
        <f t="shared" si="480"/>
        <v>10</v>
      </c>
      <c r="M4032" s="5">
        <f t="shared" si="481"/>
        <v>2012</v>
      </c>
    </row>
    <row r="4033" spans="1:13" ht="17.45" customHeight="1" x14ac:dyDescent="0.25">
      <c r="A4033" s="1">
        <f>DATE(2012,10,7)</f>
        <v>41189</v>
      </c>
      <c r="B4033" t="s">
        <v>14</v>
      </c>
      <c r="C4033" t="s">
        <v>10</v>
      </c>
      <c r="D4033" s="3">
        <v>73.358999999999995</v>
      </c>
      <c r="E4033" s="3">
        <v>0</v>
      </c>
      <c r="F4033" t="s">
        <v>45</v>
      </c>
      <c r="G4033" s="3">
        <f t="shared" si="475"/>
        <v>-73.358999999999995</v>
      </c>
      <c r="H4033" s="3">
        <f t="shared" si="476"/>
        <v>73.358999999999995</v>
      </c>
      <c r="I4033" s="5" t="str">
        <f t="shared" si="477"/>
        <v>016</v>
      </c>
      <c r="J4033" s="5" t="str">
        <f t="shared" si="478"/>
        <v>2230</v>
      </c>
      <c r="K4033" s="5" t="str">
        <f t="shared" si="479"/>
        <v>000</v>
      </c>
      <c r="L4033" s="5">
        <f t="shared" si="480"/>
        <v>10</v>
      </c>
      <c r="M4033" s="5">
        <f t="shared" si="481"/>
        <v>2012</v>
      </c>
    </row>
    <row r="4034" spans="1:13" ht="17.45" customHeight="1" x14ac:dyDescent="0.25">
      <c r="A4034" s="1">
        <f>DATE(2012,10,1)</f>
        <v>41183</v>
      </c>
      <c r="B4034" t="s">
        <v>15</v>
      </c>
      <c r="C4034" t="s">
        <v>6</v>
      </c>
      <c r="D4034" s="3">
        <v>3697.1592000000001</v>
      </c>
      <c r="E4034" s="3">
        <v>0</v>
      </c>
      <c r="F4034" t="s">
        <v>45</v>
      </c>
      <c r="G4034" s="3">
        <f t="shared" ref="G4034:G4097" si="484">E4034-D4034</f>
        <v>-3697.1592000000001</v>
      </c>
      <c r="H4034" s="3">
        <f t="shared" ref="H4034:H4097" si="485">ABS(G4034)</f>
        <v>3697.1592000000001</v>
      </c>
      <c r="I4034" s="5" t="str">
        <f t="shared" ref="I4034:I4097" si="486">MID(B4034,1,3)</f>
        <v>017</v>
      </c>
      <c r="J4034" s="5" t="str">
        <f t="shared" ref="J4034:J4097" si="487">MID(B4034,5,4)</f>
        <v>2100</v>
      </c>
      <c r="K4034" s="5" t="str">
        <f t="shared" ref="K4034:K4097" si="488">MID(B4034,10,3)</f>
        <v>000</v>
      </c>
      <c r="L4034" s="5">
        <f t="shared" ref="L4034:L4097" si="489">MONTH(A4034)</f>
        <v>10</v>
      </c>
      <c r="M4034" s="5">
        <f t="shared" ref="M4034:M4097" si="490">YEAR(A4034)</f>
        <v>2012</v>
      </c>
    </row>
    <row r="4035" spans="1:13" ht="17.45" customHeight="1" x14ac:dyDescent="0.25">
      <c r="A4035" s="1">
        <f>DATE(2012,10,1)</f>
        <v>41183</v>
      </c>
      <c r="B4035" t="s">
        <v>16</v>
      </c>
      <c r="C4035" t="s">
        <v>8</v>
      </c>
      <c r="D4035" s="3">
        <v>854.61599999999999</v>
      </c>
      <c r="E4035" s="3">
        <v>0</v>
      </c>
      <c r="F4035" t="s">
        <v>45</v>
      </c>
      <c r="G4035" s="3">
        <f t="shared" si="484"/>
        <v>-854.61599999999999</v>
      </c>
      <c r="H4035" s="3">
        <f t="shared" si="485"/>
        <v>854.61599999999999</v>
      </c>
      <c r="I4035" s="5" t="str">
        <f t="shared" si="486"/>
        <v>017</v>
      </c>
      <c r="J4035" s="5" t="str">
        <f t="shared" si="487"/>
        <v>2210</v>
      </c>
      <c r="K4035" s="5" t="str">
        <f t="shared" si="488"/>
        <v>000</v>
      </c>
      <c r="L4035" s="5">
        <f t="shared" si="489"/>
        <v>10</v>
      </c>
      <c r="M4035" s="5">
        <f t="shared" si="490"/>
        <v>2012</v>
      </c>
    </row>
    <row r="4036" spans="1:13" ht="17.45" customHeight="1" x14ac:dyDescent="0.25">
      <c r="A4036" s="1">
        <f>DATE(2012,10,1)</f>
        <v>41183</v>
      </c>
      <c r="B4036" t="s">
        <v>17</v>
      </c>
      <c r="C4036" t="s">
        <v>9</v>
      </c>
      <c r="D4036" s="3">
        <v>275.02499999999998</v>
      </c>
      <c r="E4036" s="3">
        <v>0</v>
      </c>
      <c r="F4036" t="s">
        <v>45</v>
      </c>
      <c r="G4036" s="3">
        <f t="shared" si="484"/>
        <v>-275.02499999999998</v>
      </c>
      <c r="H4036" s="3">
        <f t="shared" si="485"/>
        <v>275.02499999999998</v>
      </c>
      <c r="I4036" s="5" t="str">
        <f t="shared" si="486"/>
        <v>017</v>
      </c>
      <c r="J4036" s="5" t="str">
        <f t="shared" si="487"/>
        <v>2220</v>
      </c>
      <c r="K4036" s="5" t="str">
        <f t="shared" si="488"/>
        <v>000</v>
      </c>
      <c r="L4036" s="5">
        <f t="shared" si="489"/>
        <v>10</v>
      </c>
      <c r="M4036" s="5">
        <f t="shared" si="490"/>
        <v>2012</v>
      </c>
    </row>
    <row r="4037" spans="1:13" ht="17.45" customHeight="1" x14ac:dyDescent="0.25">
      <c r="A4037" s="1">
        <f>DATE(2012,10,1)</f>
        <v>41183</v>
      </c>
      <c r="B4037" t="s">
        <v>18</v>
      </c>
      <c r="C4037" t="s">
        <v>10</v>
      </c>
      <c r="D4037" s="3">
        <v>97.313999999999993</v>
      </c>
      <c r="E4037" s="3">
        <v>0</v>
      </c>
      <c r="F4037" t="s">
        <v>45</v>
      </c>
      <c r="G4037" s="3">
        <f t="shared" si="484"/>
        <v>-97.313999999999993</v>
      </c>
      <c r="H4037" s="3">
        <f t="shared" si="485"/>
        <v>97.313999999999993</v>
      </c>
      <c r="I4037" s="5" t="str">
        <f t="shared" si="486"/>
        <v>017</v>
      </c>
      <c r="J4037" s="5" t="str">
        <f t="shared" si="487"/>
        <v>2230</v>
      </c>
      <c r="K4037" s="5" t="str">
        <f t="shared" si="488"/>
        <v>000</v>
      </c>
      <c r="L4037" s="5">
        <f t="shared" si="489"/>
        <v>10</v>
      </c>
      <c r="M4037" s="5">
        <f t="shared" si="490"/>
        <v>2012</v>
      </c>
    </row>
    <row r="4038" spans="1:13" ht="17.45" customHeight="1" x14ac:dyDescent="0.25">
      <c r="A4038" s="1">
        <f>DATE(2012,10,2)</f>
        <v>41184</v>
      </c>
      <c r="B4038" t="s">
        <v>15</v>
      </c>
      <c r="C4038" t="s">
        <v>6</v>
      </c>
      <c r="D4038" s="3">
        <v>5546.799</v>
      </c>
      <c r="E4038" s="3">
        <v>0</v>
      </c>
      <c r="F4038" t="s">
        <v>45</v>
      </c>
      <c r="G4038" s="3">
        <f t="shared" si="484"/>
        <v>-5546.799</v>
      </c>
      <c r="H4038" s="3">
        <f t="shared" si="485"/>
        <v>5546.799</v>
      </c>
      <c r="I4038" s="5" t="str">
        <f t="shared" si="486"/>
        <v>017</v>
      </c>
      <c r="J4038" s="5" t="str">
        <f t="shared" si="487"/>
        <v>2100</v>
      </c>
      <c r="K4038" s="5" t="str">
        <f t="shared" si="488"/>
        <v>000</v>
      </c>
      <c r="L4038" s="5">
        <f t="shared" si="489"/>
        <v>10</v>
      </c>
      <c r="M4038" s="5">
        <f t="shared" si="490"/>
        <v>2012</v>
      </c>
    </row>
    <row r="4039" spans="1:13" ht="17.45" customHeight="1" x14ac:dyDescent="0.25">
      <c r="A4039" s="1">
        <f>DATE(2012,10,2)</f>
        <v>41184</v>
      </c>
      <c r="B4039" t="s">
        <v>16</v>
      </c>
      <c r="C4039" t="s">
        <v>8</v>
      </c>
      <c r="D4039" s="3">
        <v>869.10749999999996</v>
      </c>
      <c r="E4039" s="3">
        <v>0</v>
      </c>
      <c r="F4039" t="s">
        <v>45</v>
      </c>
      <c r="G4039" s="3">
        <f t="shared" si="484"/>
        <v>-869.10749999999996</v>
      </c>
      <c r="H4039" s="3">
        <f t="shared" si="485"/>
        <v>869.10749999999996</v>
      </c>
      <c r="I4039" s="5" t="str">
        <f t="shared" si="486"/>
        <v>017</v>
      </c>
      <c r="J4039" s="5" t="str">
        <f t="shared" si="487"/>
        <v>2210</v>
      </c>
      <c r="K4039" s="5" t="str">
        <f t="shared" si="488"/>
        <v>000</v>
      </c>
      <c r="L4039" s="5">
        <f t="shared" si="489"/>
        <v>10</v>
      </c>
      <c r="M4039" s="5">
        <f t="shared" si="490"/>
        <v>2012</v>
      </c>
    </row>
    <row r="4040" spans="1:13" ht="17.45" customHeight="1" x14ac:dyDescent="0.25">
      <c r="A4040" s="1">
        <f>DATE(2012,10,2)</f>
        <v>41184</v>
      </c>
      <c r="B4040" t="s">
        <v>17</v>
      </c>
      <c r="C4040" t="s">
        <v>9</v>
      </c>
      <c r="D4040" s="3">
        <v>329.35500000000002</v>
      </c>
      <c r="E4040" s="3">
        <v>0</v>
      </c>
      <c r="F4040" t="s">
        <v>45</v>
      </c>
      <c r="G4040" s="3">
        <f t="shared" si="484"/>
        <v>-329.35500000000002</v>
      </c>
      <c r="H4040" s="3">
        <f t="shared" si="485"/>
        <v>329.35500000000002</v>
      </c>
      <c r="I4040" s="5" t="str">
        <f t="shared" si="486"/>
        <v>017</v>
      </c>
      <c r="J4040" s="5" t="str">
        <f t="shared" si="487"/>
        <v>2220</v>
      </c>
      <c r="K4040" s="5" t="str">
        <f t="shared" si="488"/>
        <v>000</v>
      </c>
      <c r="L4040" s="5">
        <f t="shared" si="489"/>
        <v>10</v>
      </c>
      <c r="M4040" s="5">
        <f t="shared" si="490"/>
        <v>2012</v>
      </c>
    </row>
    <row r="4041" spans="1:13" ht="17.45" customHeight="1" x14ac:dyDescent="0.25">
      <c r="A4041" s="1">
        <f>DATE(2012,10,2)</f>
        <v>41184</v>
      </c>
      <c r="B4041" t="s">
        <v>18</v>
      </c>
      <c r="C4041" t="s">
        <v>10</v>
      </c>
      <c r="D4041" s="3">
        <v>209.03399999999999</v>
      </c>
      <c r="E4041" s="3">
        <v>0</v>
      </c>
      <c r="F4041" t="s">
        <v>45</v>
      </c>
      <c r="G4041" s="3">
        <f t="shared" si="484"/>
        <v>-209.03399999999999</v>
      </c>
      <c r="H4041" s="3">
        <f t="shared" si="485"/>
        <v>209.03399999999999</v>
      </c>
      <c r="I4041" s="5" t="str">
        <f t="shared" si="486"/>
        <v>017</v>
      </c>
      <c r="J4041" s="5" t="str">
        <f t="shared" si="487"/>
        <v>2230</v>
      </c>
      <c r="K4041" s="5" t="str">
        <f t="shared" si="488"/>
        <v>000</v>
      </c>
      <c r="L4041" s="5">
        <f t="shared" si="489"/>
        <v>10</v>
      </c>
      <c r="M4041" s="5">
        <f t="shared" si="490"/>
        <v>2012</v>
      </c>
    </row>
    <row r="4042" spans="1:13" ht="17.45" customHeight="1" x14ac:dyDescent="0.25">
      <c r="A4042" s="1">
        <f>DATE(2012,10,3)</f>
        <v>41185</v>
      </c>
      <c r="B4042" t="s">
        <v>15</v>
      </c>
      <c r="C4042" t="s">
        <v>6</v>
      </c>
      <c r="D4042" s="3">
        <v>8181.4569999999994</v>
      </c>
      <c r="E4042" s="3">
        <v>0</v>
      </c>
      <c r="F4042" t="s">
        <v>45</v>
      </c>
      <c r="G4042" s="3">
        <f t="shared" si="484"/>
        <v>-8181.4569999999994</v>
      </c>
      <c r="H4042" s="3">
        <f t="shared" si="485"/>
        <v>8181.4569999999994</v>
      </c>
      <c r="I4042" s="5" t="str">
        <f t="shared" si="486"/>
        <v>017</v>
      </c>
      <c r="J4042" s="5" t="str">
        <f t="shared" si="487"/>
        <v>2100</v>
      </c>
      <c r="K4042" s="5" t="str">
        <f t="shared" si="488"/>
        <v>000</v>
      </c>
      <c r="L4042" s="5">
        <f t="shared" si="489"/>
        <v>10</v>
      </c>
      <c r="M4042" s="5">
        <f t="shared" si="490"/>
        <v>2012</v>
      </c>
    </row>
    <row r="4043" spans="1:13" ht="17.45" customHeight="1" x14ac:dyDescent="0.25">
      <c r="A4043" s="1">
        <f>DATE(2012,10,3)</f>
        <v>41185</v>
      </c>
      <c r="B4043" t="s">
        <v>16</v>
      </c>
      <c r="C4043" t="s">
        <v>8</v>
      </c>
      <c r="D4043" s="3">
        <v>2081.3910000000001</v>
      </c>
      <c r="E4043" s="3">
        <v>0</v>
      </c>
      <c r="F4043" t="s">
        <v>45</v>
      </c>
      <c r="G4043" s="3">
        <f t="shared" si="484"/>
        <v>-2081.3910000000001</v>
      </c>
      <c r="H4043" s="3">
        <f t="shared" si="485"/>
        <v>2081.3910000000001</v>
      </c>
      <c r="I4043" s="5" t="str">
        <f t="shared" si="486"/>
        <v>017</v>
      </c>
      <c r="J4043" s="5" t="str">
        <f t="shared" si="487"/>
        <v>2210</v>
      </c>
      <c r="K4043" s="5" t="str">
        <f t="shared" si="488"/>
        <v>000</v>
      </c>
      <c r="L4043" s="5">
        <f t="shared" si="489"/>
        <v>10</v>
      </c>
      <c r="M4043" s="5">
        <f t="shared" si="490"/>
        <v>2012</v>
      </c>
    </row>
    <row r="4044" spans="1:13" ht="17.45" customHeight="1" x14ac:dyDescent="0.25">
      <c r="A4044" s="1">
        <f>DATE(2012,10,3)</f>
        <v>41185</v>
      </c>
      <c r="B4044" t="s">
        <v>17</v>
      </c>
      <c r="C4044" t="s">
        <v>9</v>
      </c>
      <c r="D4044" s="3">
        <v>324.35249999999996</v>
      </c>
      <c r="E4044" s="3">
        <v>0</v>
      </c>
      <c r="F4044" t="s">
        <v>45</v>
      </c>
      <c r="G4044" s="3">
        <f t="shared" si="484"/>
        <v>-324.35249999999996</v>
      </c>
      <c r="H4044" s="3">
        <f t="shared" si="485"/>
        <v>324.35249999999996</v>
      </c>
      <c r="I4044" s="5" t="str">
        <f t="shared" si="486"/>
        <v>017</v>
      </c>
      <c r="J4044" s="5" t="str">
        <f t="shared" si="487"/>
        <v>2220</v>
      </c>
      <c r="K4044" s="5" t="str">
        <f t="shared" si="488"/>
        <v>000</v>
      </c>
      <c r="L4044" s="5">
        <f t="shared" si="489"/>
        <v>10</v>
      </c>
      <c r="M4044" s="5">
        <f t="shared" si="490"/>
        <v>2012</v>
      </c>
    </row>
    <row r="4045" spans="1:13" ht="17.45" customHeight="1" x14ac:dyDescent="0.25">
      <c r="A4045" s="1">
        <f>DATE(2012,10,3)</f>
        <v>41185</v>
      </c>
      <c r="B4045" t="s">
        <v>18</v>
      </c>
      <c r="C4045" t="s">
        <v>10</v>
      </c>
      <c r="D4045" s="3">
        <v>114.899</v>
      </c>
      <c r="E4045" s="3">
        <v>0</v>
      </c>
      <c r="F4045" t="s">
        <v>45</v>
      </c>
      <c r="G4045" s="3">
        <f t="shared" si="484"/>
        <v>-114.899</v>
      </c>
      <c r="H4045" s="3">
        <f t="shared" si="485"/>
        <v>114.899</v>
      </c>
      <c r="I4045" s="5" t="str">
        <f t="shared" si="486"/>
        <v>017</v>
      </c>
      <c r="J4045" s="5" t="str">
        <f t="shared" si="487"/>
        <v>2230</v>
      </c>
      <c r="K4045" s="5" t="str">
        <f t="shared" si="488"/>
        <v>000</v>
      </c>
      <c r="L4045" s="5">
        <f t="shared" si="489"/>
        <v>10</v>
      </c>
      <c r="M4045" s="5">
        <f t="shared" si="490"/>
        <v>2012</v>
      </c>
    </row>
    <row r="4046" spans="1:13" ht="17.45" customHeight="1" x14ac:dyDescent="0.25">
      <c r="A4046" s="1">
        <f>DATE(2012,10,4)</f>
        <v>41186</v>
      </c>
      <c r="B4046" t="s">
        <v>15</v>
      </c>
      <c r="C4046" t="s">
        <v>6</v>
      </c>
      <c r="D4046" s="3">
        <v>4040.1639999999998</v>
      </c>
      <c r="E4046" s="3">
        <v>0</v>
      </c>
      <c r="F4046" t="s">
        <v>45</v>
      </c>
      <c r="G4046" s="3">
        <f t="shared" si="484"/>
        <v>-4040.1639999999998</v>
      </c>
      <c r="H4046" s="3">
        <f t="shared" si="485"/>
        <v>4040.1639999999998</v>
      </c>
      <c r="I4046" s="5" t="str">
        <f t="shared" si="486"/>
        <v>017</v>
      </c>
      <c r="J4046" s="5" t="str">
        <f t="shared" si="487"/>
        <v>2100</v>
      </c>
      <c r="K4046" s="5" t="str">
        <f t="shared" si="488"/>
        <v>000</v>
      </c>
      <c r="L4046" s="5">
        <f t="shared" si="489"/>
        <v>10</v>
      </c>
      <c r="M4046" s="5">
        <f t="shared" si="490"/>
        <v>2012</v>
      </c>
    </row>
    <row r="4047" spans="1:13" ht="17.45" customHeight="1" x14ac:dyDescent="0.25">
      <c r="A4047" s="1">
        <f>DATE(2012,10,4)</f>
        <v>41186</v>
      </c>
      <c r="B4047" t="s">
        <v>16</v>
      </c>
      <c r="C4047" t="s">
        <v>8</v>
      </c>
      <c r="D4047" s="3">
        <v>2343.2220000000002</v>
      </c>
      <c r="E4047" s="3">
        <v>0</v>
      </c>
      <c r="F4047" t="s">
        <v>45</v>
      </c>
      <c r="G4047" s="3">
        <f t="shared" si="484"/>
        <v>-2343.2220000000002</v>
      </c>
      <c r="H4047" s="3">
        <f t="shared" si="485"/>
        <v>2343.2220000000002</v>
      </c>
      <c r="I4047" s="5" t="str">
        <f t="shared" si="486"/>
        <v>017</v>
      </c>
      <c r="J4047" s="5" t="str">
        <f t="shared" si="487"/>
        <v>2210</v>
      </c>
      <c r="K4047" s="5" t="str">
        <f t="shared" si="488"/>
        <v>000</v>
      </c>
      <c r="L4047" s="5">
        <f t="shared" si="489"/>
        <v>10</v>
      </c>
      <c r="M4047" s="5">
        <f t="shared" si="490"/>
        <v>2012</v>
      </c>
    </row>
    <row r="4048" spans="1:13" ht="17.45" customHeight="1" x14ac:dyDescent="0.25">
      <c r="A4048" s="1">
        <f>DATE(2012,10,4)</f>
        <v>41186</v>
      </c>
      <c r="B4048" t="s">
        <v>17</v>
      </c>
      <c r="C4048" t="s">
        <v>9</v>
      </c>
      <c r="D4048" s="3">
        <v>580.58000000000004</v>
      </c>
      <c r="E4048" s="3">
        <v>0</v>
      </c>
      <c r="F4048" t="s">
        <v>45</v>
      </c>
      <c r="G4048" s="3">
        <f t="shared" si="484"/>
        <v>-580.58000000000004</v>
      </c>
      <c r="H4048" s="3">
        <f t="shared" si="485"/>
        <v>580.58000000000004</v>
      </c>
      <c r="I4048" s="5" t="str">
        <f t="shared" si="486"/>
        <v>017</v>
      </c>
      <c r="J4048" s="5" t="str">
        <f t="shared" si="487"/>
        <v>2220</v>
      </c>
      <c r="K4048" s="5" t="str">
        <f t="shared" si="488"/>
        <v>000</v>
      </c>
      <c r="L4048" s="5">
        <f t="shared" si="489"/>
        <v>10</v>
      </c>
      <c r="M4048" s="5">
        <f t="shared" si="490"/>
        <v>2012</v>
      </c>
    </row>
    <row r="4049" spans="1:13" ht="17.45" customHeight="1" x14ac:dyDescent="0.25">
      <c r="A4049" s="1">
        <f>DATE(2012,10,4)</f>
        <v>41186</v>
      </c>
      <c r="B4049" t="s">
        <v>18</v>
      </c>
      <c r="C4049" t="s">
        <v>10</v>
      </c>
      <c r="D4049" s="3">
        <v>83.386499999999984</v>
      </c>
      <c r="E4049" s="3">
        <v>0</v>
      </c>
      <c r="F4049" t="s">
        <v>45</v>
      </c>
      <c r="G4049" s="3">
        <f t="shared" si="484"/>
        <v>-83.386499999999984</v>
      </c>
      <c r="H4049" s="3">
        <f t="shared" si="485"/>
        <v>83.386499999999984</v>
      </c>
      <c r="I4049" s="5" t="str">
        <f t="shared" si="486"/>
        <v>017</v>
      </c>
      <c r="J4049" s="5" t="str">
        <f t="shared" si="487"/>
        <v>2230</v>
      </c>
      <c r="K4049" s="5" t="str">
        <f t="shared" si="488"/>
        <v>000</v>
      </c>
      <c r="L4049" s="5">
        <f t="shared" si="489"/>
        <v>10</v>
      </c>
      <c r="M4049" s="5">
        <f t="shared" si="490"/>
        <v>2012</v>
      </c>
    </row>
    <row r="4050" spans="1:13" ht="17.45" customHeight="1" x14ac:dyDescent="0.25">
      <c r="A4050" s="1">
        <f>DATE(2012,10,5)</f>
        <v>41187</v>
      </c>
      <c r="B4050" t="s">
        <v>15</v>
      </c>
      <c r="C4050" t="s">
        <v>6</v>
      </c>
      <c r="D4050" s="3">
        <v>8425.0334999999995</v>
      </c>
      <c r="E4050" s="3">
        <v>0</v>
      </c>
      <c r="F4050" t="s">
        <v>45</v>
      </c>
      <c r="G4050" s="3">
        <f t="shared" si="484"/>
        <v>-8425.0334999999995</v>
      </c>
      <c r="H4050" s="3">
        <f t="shared" si="485"/>
        <v>8425.0334999999995</v>
      </c>
      <c r="I4050" s="5" t="str">
        <f t="shared" si="486"/>
        <v>017</v>
      </c>
      <c r="J4050" s="5" t="str">
        <f t="shared" si="487"/>
        <v>2100</v>
      </c>
      <c r="K4050" s="5" t="str">
        <f t="shared" si="488"/>
        <v>000</v>
      </c>
      <c r="L4050" s="5">
        <f t="shared" si="489"/>
        <v>10</v>
      </c>
      <c r="M4050" s="5">
        <f t="shared" si="490"/>
        <v>2012</v>
      </c>
    </row>
    <row r="4051" spans="1:13" ht="17.45" customHeight="1" x14ac:dyDescent="0.25">
      <c r="A4051" s="1">
        <f>DATE(2012,10,5)</f>
        <v>41187</v>
      </c>
      <c r="B4051" t="s">
        <v>16</v>
      </c>
      <c r="C4051" t="s">
        <v>8</v>
      </c>
      <c r="D4051" s="3">
        <v>3455.5679999999998</v>
      </c>
      <c r="E4051" s="3">
        <v>0</v>
      </c>
      <c r="F4051" t="s">
        <v>45</v>
      </c>
      <c r="G4051" s="3">
        <f t="shared" si="484"/>
        <v>-3455.5679999999998</v>
      </c>
      <c r="H4051" s="3">
        <f t="shared" si="485"/>
        <v>3455.5679999999998</v>
      </c>
      <c r="I4051" s="5" t="str">
        <f t="shared" si="486"/>
        <v>017</v>
      </c>
      <c r="J4051" s="5" t="str">
        <f t="shared" si="487"/>
        <v>2210</v>
      </c>
      <c r="K4051" s="5" t="str">
        <f t="shared" si="488"/>
        <v>000</v>
      </c>
      <c r="L4051" s="5">
        <f t="shared" si="489"/>
        <v>10</v>
      </c>
      <c r="M4051" s="5">
        <f t="shared" si="490"/>
        <v>2012</v>
      </c>
    </row>
    <row r="4052" spans="1:13" ht="17.45" customHeight="1" x14ac:dyDescent="0.25">
      <c r="A4052" s="1">
        <f>DATE(2012,10,5)</f>
        <v>41187</v>
      </c>
      <c r="B4052" t="s">
        <v>17</v>
      </c>
      <c r="C4052" t="s">
        <v>9</v>
      </c>
      <c r="D4052" s="3">
        <v>438.1</v>
      </c>
      <c r="E4052" s="3">
        <v>0</v>
      </c>
      <c r="F4052" t="s">
        <v>45</v>
      </c>
      <c r="G4052" s="3">
        <f t="shared" si="484"/>
        <v>-438.1</v>
      </c>
      <c r="H4052" s="3">
        <f t="shared" si="485"/>
        <v>438.1</v>
      </c>
      <c r="I4052" s="5" t="str">
        <f t="shared" si="486"/>
        <v>017</v>
      </c>
      <c r="J4052" s="5" t="str">
        <f t="shared" si="487"/>
        <v>2220</v>
      </c>
      <c r="K4052" s="5" t="str">
        <f t="shared" si="488"/>
        <v>000</v>
      </c>
      <c r="L4052" s="5">
        <f t="shared" si="489"/>
        <v>10</v>
      </c>
      <c r="M4052" s="5">
        <f t="shared" si="490"/>
        <v>2012</v>
      </c>
    </row>
    <row r="4053" spans="1:13" ht="17.45" customHeight="1" x14ac:dyDescent="0.25">
      <c r="A4053" s="1">
        <f>DATE(2012,10,5)</f>
        <v>41187</v>
      </c>
      <c r="B4053" t="s">
        <v>18</v>
      </c>
      <c r="C4053" t="s">
        <v>10</v>
      </c>
      <c r="D4053" s="3">
        <v>121.045</v>
      </c>
      <c r="E4053" s="3">
        <v>0</v>
      </c>
      <c r="F4053" t="s">
        <v>45</v>
      </c>
      <c r="G4053" s="3">
        <f t="shared" si="484"/>
        <v>-121.045</v>
      </c>
      <c r="H4053" s="3">
        <f t="shared" si="485"/>
        <v>121.045</v>
      </c>
      <c r="I4053" s="5" t="str">
        <f t="shared" si="486"/>
        <v>017</v>
      </c>
      <c r="J4053" s="5" t="str">
        <f t="shared" si="487"/>
        <v>2230</v>
      </c>
      <c r="K4053" s="5" t="str">
        <f t="shared" si="488"/>
        <v>000</v>
      </c>
      <c r="L4053" s="5">
        <f t="shared" si="489"/>
        <v>10</v>
      </c>
      <c r="M4053" s="5">
        <f t="shared" si="490"/>
        <v>2012</v>
      </c>
    </row>
    <row r="4054" spans="1:13" ht="17.45" customHeight="1" x14ac:dyDescent="0.25">
      <c r="A4054" s="1">
        <f>DATE(2012,10,6)</f>
        <v>41188</v>
      </c>
      <c r="B4054" t="s">
        <v>15</v>
      </c>
      <c r="C4054" t="s">
        <v>6</v>
      </c>
      <c r="D4054" s="3">
        <v>4601.7196000000004</v>
      </c>
      <c r="E4054" s="3">
        <v>0</v>
      </c>
      <c r="F4054" t="s">
        <v>45</v>
      </c>
      <c r="G4054" s="3">
        <f t="shared" si="484"/>
        <v>-4601.7196000000004</v>
      </c>
      <c r="H4054" s="3">
        <f t="shared" si="485"/>
        <v>4601.7196000000004</v>
      </c>
      <c r="I4054" s="5" t="str">
        <f t="shared" si="486"/>
        <v>017</v>
      </c>
      <c r="J4054" s="5" t="str">
        <f t="shared" si="487"/>
        <v>2100</v>
      </c>
      <c r="K4054" s="5" t="str">
        <f t="shared" si="488"/>
        <v>000</v>
      </c>
      <c r="L4054" s="5">
        <f t="shared" si="489"/>
        <v>10</v>
      </c>
      <c r="M4054" s="5">
        <f t="shared" si="490"/>
        <v>2012</v>
      </c>
    </row>
    <row r="4055" spans="1:13" ht="17.45" customHeight="1" x14ac:dyDescent="0.25">
      <c r="A4055" s="1">
        <f>DATE(2012,10,6)</f>
        <v>41188</v>
      </c>
      <c r="B4055" t="s">
        <v>16</v>
      </c>
      <c r="C4055" t="s">
        <v>8</v>
      </c>
      <c r="D4055" s="3">
        <v>1738.8675000000001</v>
      </c>
      <c r="E4055" s="3">
        <v>0</v>
      </c>
      <c r="F4055" t="s">
        <v>45</v>
      </c>
      <c r="G4055" s="3">
        <f t="shared" si="484"/>
        <v>-1738.8675000000001</v>
      </c>
      <c r="H4055" s="3">
        <f t="shared" si="485"/>
        <v>1738.8675000000001</v>
      </c>
      <c r="I4055" s="5" t="str">
        <f t="shared" si="486"/>
        <v>017</v>
      </c>
      <c r="J4055" s="5" t="str">
        <f t="shared" si="487"/>
        <v>2210</v>
      </c>
      <c r="K4055" s="5" t="str">
        <f t="shared" si="488"/>
        <v>000</v>
      </c>
      <c r="L4055" s="5">
        <f t="shared" si="489"/>
        <v>10</v>
      </c>
      <c r="M4055" s="5">
        <f t="shared" si="490"/>
        <v>2012</v>
      </c>
    </row>
    <row r="4056" spans="1:13" ht="17.45" customHeight="1" x14ac:dyDescent="0.25">
      <c r="A4056" s="1">
        <f>DATE(2012,10,6)</f>
        <v>41188</v>
      </c>
      <c r="B4056" t="s">
        <v>17</v>
      </c>
      <c r="C4056" t="s">
        <v>9</v>
      </c>
      <c r="D4056" s="3">
        <v>179.41</v>
      </c>
      <c r="E4056" s="3">
        <v>0</v>
      </c>
      <c r="F4056" t="s">
        <v>45</v>
      </c>
      <c r="G4056" s="3">
        <f t="shared" si="484"/>
        <v>-179.41</v>
      </c>
      <c r="H4056" s="3">
        <f t="shared" si="485"/>
        <v>179.41</v>
      </c>
      <c r="I4056" s="5" t="str">
        <f t="shared" si="486"/>
        <v>017</v>
      </c>
      <c r="J4056" s="5" t="str">
        <f t="shared" si="487"/>
        <v>2220</v>
      </c>
      <c r="K4056" s="5" t="str">
        <f t="shared" si="488"/>
        <v>000</v>
      </c>
      <c r="L4056" s="5">
        <f t="shared" si="489"/>
        <v>10</v>
      </c>
      <c r="M4056" s="5">
        <f t="shared" si="490"/>
        <v>2012</v>
      </c>
    </row>
    <row r="4057" spans="1:13" ht="17.45" customHeight="1" x14ac:dyDescent="0.25">
      <c r="A4057" s="1">
        <f>DATE(2012,10,6)</f>
        <v>41188</v>
      </c>
      <c r="B4057" t="s">
        <v>18</v>
      </c>
      <c r="C4057" t="s">
        <v>10</v>
      </c>
      <c r="D4057" s="3">
        <v>97.350000000000009</v>
      </c>
      <c r="E4057" s="3">
        <v>0</v>
      </c>
      <c r="F4057" t="s">
        <v>45</v>
      </c>
      <c r="G4057" s="3">
        <f t="shared" si="484"/>
        <v>-97.350000000000009</v>
      </c>
      <c r="H4057" s="3">
        <f t="shared" si="485"/>
        <v>97.350000000000009</v>
      </c>
      <c r="I4057" s="5" t="str">
        <f t="shared" si="486"/>
        <v>017</v>
      </c>
      <c r="J4057" s="5" t="str">
        <f t="shared" si="487"/>
        <v>2230</v>
      </c>
      <c r="K4057" s="5" t="str">
        <f t="shared" si="488"/>
        <v>000</v>
      </c>
      <c r="L4057" s="5">
        <f t="shared" si="489"/>
        <v>10</v>
      </c>
      <c r="M4057" s="5">
        <f t="shared" si="490"/>
        <v>2012</v>
      </c>
    </row>
    <row r="4058" spans="1:13" ht="17.45" customHeight="1" x14ac:dyDescent="0.25">
      <c r="A4058" s="1">
        <f>DATE(2012,10,7)</f>
        <v>41189</v>
      </c>
      <c r="B4058" t="s">
        <v>15</v>
      </c>
      <c r="C4058" t="s">
        <v>6</v>
      </c>
      <c r="D4058" s="3">
        <v>3448.5619999999999</v>
      </c>
      <c r="E4058" s="3">
        <v>0</v>
      </c>
      <c r="F4058" t="s">
        <v>45</v>
      </c>
      <c r="G4058" s="3">
        <f t="shared" si="484"/>
        <v>-3448.5619999999999</v>
      </c>
      <c r="H4058" s="3">
        <f t="shared" si="485"/>
        <v>3448.5619999999999</v>
      </c>
      <c r="I4058" s="5" t="str">
        <f t="shared" si="486"/>
        <v>017</v>
      </c>
      <c r="J4058" s="5" t="str">
        <f t="shared" si="487"/>
        <v>2100</v>
      </c>
      <c r="K4058" s="5" t="str">
        <f t="shared" si="488"/>
        <v>000</v>
      </c>
      <c r="L4058" s="5">
        <f t="shared" si="489"/>
        <v>10</v>
      </c>
      <c r="M4058" s="5">
        <f t="shared" si="490"/>
        <v>2012</v>
      </c>
    </row>
    <row r="4059" spans="1:13" ht="17.45" customHeight="1" x14ac:dyDescent="0.25">
      <c r="A4059" s="1">
        <f>DATE(2012,10,7)</f>
        <v>41189</v>
      </c>
      <c r="B4059" t="s">
        <v>16</v>
      </c>
      <c r="C4059" t="s">
        <v>8</v>
      </c>
      <c r="D4059" s="3">
        <v>723.51499999999999</v>
      </c>
      <c r="E4059" s="3">
        <v>0</v>
      </c>
      <c r="F4059" t="s">
        <v>45</v>
      </c>
      <c r="G4059" s="3">
        <f t="shared" si="484"/>
        <v>-723.51499999999999</v>
      </c>
      <c r="H4059" s="3">
        <f t="shared" si="485"/>
        <v>723.51499999999999</v>
      </c>
      <c r="I4059" s="5" t="str">
        <f t="shared" si="486"/>
        <v>017</v>
      </c>
      <c r="J4059" s="5" t="str">
        <f t="shared" si="487"/>
        <v>2210</v>
      </c>
      <c r="K4059" s="5" t="str">
        <f t="shared" si="488"/>
        <v>000</v>
      </c>
      <c r="L4059" s="5">
        <f t="shared" si="489"/>
        <v>10</v>
      </c>
      <c r="M4059" s="5">
        <f t="shared" si="490"/>
        <v>2012</v>
      </c>
    </row>
    <row r="4060" spans="1:13" ht="17.45" customHeight="1" x14ac:dyDescent="0.25">
      <c r="A4060" s="1">
        <f>DATE(2012,10,7)</f>
        <v>41189</v>
      </c>
      <c r="B4060" t="s">
        <v>17</v>
      </c>
      <c r="C4060" t="s">
        <v>9</v>
      </c>
      <c r="D4060" s="3">
        <v>97.625000000000014</v>
      </c>
      <c r="E4060" s="3">
        <v>0</v>
      </c>
      <c r="F4060" t="s">
        <v>45</v>
      </c>
      <c r="G4060" s="3">
        <f t="shared" si="484"/>
        <v>-97.625000000000014</v>
      </c>
      <c r="H4060" s="3">
        <f t="shared" si="485"/>
        <v>97.625000000000014</v>
      </c>
      <c r="I4060" s="5" t="str">
        <f t="shared" si="486"/>
        <v>017</v>
      </c>
      <c r="J4060" s="5" t="str">
        <f t="shared" si="487"/>
        <v>2220</v>
      </c>
      <c r="K4060" s="5" t="str">
        <f t="shared" si="488"/>
        <v>000</v>
      </c>
      <c r="L4060" s="5">
        <f t="shared" si="489"/>
        <v>10</v>
      </c>
      <c r="M4060" s="5">
        <f t="shared" si="490"/>
        <v>2012</v>
      </c>
    </row>
    <row r="4061" spans="1:13" ht="17.45" customHeight="1" x14ac:dyDescent="0.25">
      <c r="A4061" s="1">
        <f>DATE(2012,10,7)</f>
        <v>41189</v>
      </c>
      <c r="B4061" t="s">
        <v>18</v>
      </c>
      <c r="C4061" t="s">
        <v>10</v>
      </c>
      <c r="D4061" s="3">
        <v>52.3215</v>
      </c>
      <c r="E4061" s="3">
        <v>0</v>
      </c>
      <c r="F4061" t="s">
        <v>45</v>
      </c>
      <c r="G4061" s="3">
        <f t="shared" si="484"/>
        <v>-52.3215</v>
      </c>
      <c r="H4061" s="3">
        <f t="shared" si="485"/>
        <v>52.3215</v>
      </c>
      <c r="I4061" s="5" t="str">
        <f t="shared" si="486"/>
        <v>017</v>
      </c>
      <c r="J4061" s="5" t="str">
        <f t="shared" si="487"/>
        <v>2230</v>
      </c>
      <c r="K4061" s="5" t="str">
        <f t="shared" si="488"/>
        <v>000</v>
      </c>
      <c r="L4061" s="5">
        <f t="shared" si="489"/>
        <v>10</v>
      </c>
      <c r="M4061" s="5">
        <f t="shared" si="490"/>
        <v>2012</v>
      </c>
    </row>
    <row r="4062" spans="1:13" ht="17.45" customHeight="1" x14ac:dyDescent="0.25">
      <c r="A4062" s="1">
        <f>DATE(2012,10,1)</f>
        <v>41183</v>
      </c>
      <c r="B4062" t="s">
        <v>19</v>
      </c>
      <c r="C4062" t="s">
        <v>6</v>
      </c>
      <c r="D4062" s="3">
        <v>6011.7424999999994</v>
      </c>
      <c r="E4062" s="3">
        <v>0</v>
      </c>
      <c r="F4062" t="s">
        <v>45</v>
      </c>
      <c r="G4062" s="3">
        <f t="shared" si="484"/>
        <v>-6011.7424999999994</v>
      </c>
      <c r="H4062" s="3">
        <f t="shared" si="485"/>
        <v>6011.7424999999994</v>
      </c>
      <c r="I4062" s="5" t="str">
        <f t="shared" si="486"/>
        <v>018</v>
      </c>
      <c r="J4062" s="5" t="str">
        <f t="shared" si="487"/>
        <v>2100</v>
      </c>
      <c r="K4062" s="5" t="str">
        <f t="shared" si="488"/>
        <v>000</v>
      </c>
      <c r="L4062" s="5">
        <f t="shared" si="489"/>
        <v>10</v>
      </c>
      <c r="M4062" s="5">
        <f t="shared" si="490"/>
        <v>2012</v>
      </c>
    </row>
    <row r="4063" spans="1:13" ht="17.45" customHeight="1" x14ac:dyDescent="0.25">
      <c r="A4063" s="1">
        <f>DATE(2012,10,1)</f>
        <v>41183</v>
      </c>
      <c r="B4063" t="s">
        <v>20</v>
      </c>
      <c r="C4063" t="s">
        <v>8</v>
      </c>
      <c r="D4063" s="3">
        <v>666.88249999999994</v>
      </c>
      <c r="E4063" s="3">
        <v>0</v>
      </c>
      <c r="F4063" t="s">
        <v>45</v>
      </c>
      <c r="G4063" s="3">
        <f t="shared" si="484"/>
        <v>-666.88249999999994</v>
      </c>
      <c r="H4063" s="3">
        <f t="shared" si="485"/>
        <v>666.88249999999994</v>
      </c>
      <c r="I4063" s="5" t="str">
        <f t="shared" si="486"/>
        <v>018</v>
      </c>
      <c r="J4063" s="5" t="str">
        <f t="shared" si="487"/>
        <v>2210</v>
      </c>
      <c r="K4063" s="5" t="str">
        <f t="shared" si="488"/>
        <v>000</v>
      </c>
      <c r="L4063" s="5">
        <f t="shared" si="489"/>
        <v>10</v>
      </c>
      <c r="M4063" s="5">
        <f t="shared" si="490"/>
        <v>2012</v>
      </c>
    </row>
    <row r="4064" spans="1:13" ht="17.45" customHeight="1" x14ac:dyDescent="0.25">
      <c r="A4064" s="1">
        <f>DATE(2012,10,1)</f>
        <v>41183</v>
      </c>
      <c r="B4064" t="s">
        <v>21</v>
      </c>
      <c r="C4064" t="s">
        <v>9</v>
      </c>
      <c r="D4064" s="3">
        <v>191.58999999999997</v>
      </c>
      <c r="E4064" s="3">
        <v>0</v>
      </c>
      <c r="F4064" t="s">
        <v>45</v>
      </c>
      <c r="G4064" s="3">
        <f t="shared" si="484"/>
        <v>-191.58999999999997</v>
      </c>
      <c r="H4064" s="3">
        <f t="shared" si="485"/>
        <v>191.58999999999997</v>
      </c>
      <c r="I4064" s="5" t="str">
        <f t="shared" si="486"/>
        <v>018</v>
      </c>
      <c r="J4064" s="5" t="str">
        <f t="shared" si="487"/>
        <v>2220</v>
      </c>
      <c r="K4064" s="5" t="str">
        <f t="shared" si="488"/>
        <v>000</v>
      </c>
      <c r="L4064" s="5">
        <f t="shared" si="489"/>
        <v>10</v>
      </c>
      <c r="M4064" s="5">
        <f t="shared" si="490"/>
        <v>2012</v>
      </c>
    </row>
    <row r="4065" spans="1:13" ht="17.45" customHeight="1" x14ac:dyDescent="0.25">
      <c r="A4065" s="1">
        <f>DATE(2012,10,1)</f>
        <v>41183</v>
      </c>
      <c r="B4065" t="s">
        <v>22</v>
      </c>
      <c r="C4065" t="s">
        <v>10</v>
      </c>
      <c r="D4065" s="3">
        <v>55.308</v>
      </c>
      <c r="E4065" s="3">
        <v>0</v>
      </c>
      <c r="F4065" t="s">
        <v>45</v>
      </c>
      <c r="G4065" s="3">
        <f t="shared" si="484"/>
        <v>-55.308</v>
      </c>
      <c r="H4065" s="3">
        <f t="shared" si="485"/>
        <v>55.308</v>
      </c>
      <c r="I4065" s="5" t="str">
        <f t="shared" si="486"/>
        <v>018</v>
      </c>
      <c r="J4065" s="5" t="str">
        <f t="shared" si="487"/>
        <v>2230</v>
      </c>
      <c r="K4065" s="5" t="str">
        <f t="shared" si="488"/>
        <v>000</v>
      </c>
      <c r="L4065" s="5">
        <f t="shared" si="489"/>
        <v>10</v>
      </c>
      <c r="M4065" s="5">
        <f t="shared" si="490"/>
        <v>2012</v>
      </c>
    </row>
    <row r="4066" spans="1:13" ht="17.45" customHeight="1" x14ac:dyDescent="0.25">
      <c r="A4066" s="1">
        <f>DATE(2012,10,2)</f>
        <v>41184</v>
      </c>
      <c r="B4066" t="s">
        <v>19</v>
      </c>
      <c r="C4066" t="s">
        <v>6</v>
      </c>
      <c r="D4066" s="3">
        <v>5622.67</v>
      </c>
      <c r="E4066" s="3">
        <v>0</v>
      </c>
      <c r="F4066" t="s">
        <v>45</v>
      </c>
      <c r="G4066" s="3">
        <f t="shared" si="484"/>
        <v>-5622.67</v>
      </c>
      <c r="H4066" s="3">
        <f t="shared" si="485"/>
        <v>5622.67</v>
      </c>
      <c r="I4066" s="5" t="str">
        <f t="shared" si="486"/>
        <v>018</v>
      </c>
      <c r="J4066" s="5" t="str">
        <f t="shared" si="487"/>
        <v>2100</v>
      </c>
      <c r="K4066" s="5" t="str">
        <f t="shared" si="488"/>
        <v>000</v>
      </c>
      <c r="L4066" s="5">
        <f t="shared" si="489"/>
        <v>10</v>
      </c>
      <c r="M4066" s="5">
        <f t="shared" si="490"/>
        <v>2012</v>
      </c>
    </row>
    <row r="4067" spans="1:13" ht="17.45" customHeight="1" x14ac:dyDescent="0.25">
      <c r="A4067" s="1">
        <f>DATE(2012,10,2)</f>
        <v>41184</v>
      </c>
      <c r="B4067" t="s">
        <v>20</v>
      </c>
      <c r="C4067" t="s">
        <v>8</v>
      </c>
      <c r="D4067" s="3">
        <v>747.28599999999994</v>
      </c>
      <c r="E4067" s="3">
        <v>0</v>
      </c>
      <c r="F4067" t="s">
        <v>45</v>
      </c>
      <c r="G4067" s="3">
        <f t="shared" si="484"/>
        <v>-747.28599999999994</v>
      </c>
      <c r="H4067" s="3">
        <f t="shared" si="485"/>
        <v>747.28599999999994</v>
      </c>
      <c r="I4067" s="5" t="str">
        <f t="shared" si="486"/>
        <v>018</v>
      </c>
      <c r="J4067" s="5" t="str">
        <f t="shared" si="487"/>
        <v>2210</v>
      </c>
      <c r="K4067" s="5" t="str">
        <f t="shared" si="488"/>
        <v>000</v>
      </c>
      <c r="L4067" s="5">
        <f t="shared" si="489"/>
        <v>10</v>
      </c>
      <c r="M4067" s="5">
        <f t="shared" si="490"/>
        <v>2012</v>
      </c>
    </row>
    <row r="4068" spans="1:13" ht="17.45" customHeight="1" x14ac:dyDescent="0.25">
      <c r="A4068" s="1">
        <f>DATE(2012,10,2)</f>
        <v>41184</v>
      </c>
      <c r="B4068" t="s">
        <v>21</v>
      </c>
      <c r="C4068" t="s">
        <v>9</v>
      </c>
      <c r="D4068" s="3">
        <v>113.52000000000001</v>
      </c>
      <c r="E4068" s="3">
        <v>0</v>
      </c>
      <c r="F4068" t="s">
        <v>45</v>
      </c>
      <c r="G4068" s="3">
        <f t="shared" si="484"/>
        <v>-113.52000000000001</v>
      </c>
      <c r="H4068" s="3">
        <f t="shared" si="485"/>
        <v>113.52000000000001</v>
      </c>
      <c r="I4068" s="5" t="str">
        <f t="shared" si="486"/>
        <v>018</v>
      </c>
      <c r="J4068" s="5" t="str">
        <f t="shared" si="487"/>
        <v>2220</v>
      </c>
      <c r="K4068" s="5" t="str">
        <f t="shared" si="488"/>
        <v>000</v>
      </c>
      <c r="L4068" s="5">
        <f t="shared" si="489"/>
        <v>10</v>
      </c>
      <c r="M4068" s="5">
        <f t="shared" si="490"/>
        <v>2012</v>
      </c>
    </row>
    <row r="4069" spans="1:13" ht="17.45" customHeight="1" x14ac:dyDescent="0.25">
      <c r="A4069" s="1">
        <f>DATE(2012,10,2)</f>
        <v>41184</v>
      </c>
      <c r="B4069" t="s">
        <v>22</v>
      </c>
      <c r="C4069" t="s">
        <v>10</v>
      </c>
      <c r="D4069" s="3">
        <v>37.088000000000001</v>
      </c>
      <c r="E4069" s="3">
        <v>0</v>
      </c>
      <c r="F4069" t="s">
        <v>45</v>
      </c>
      <c r="G4069" s="3">
        <f t="shared" si="484"/>
        <v>-37.088000000000001</v>
      </c>
      <c r="H4069" s="3">
        <f t="shared" si="485"/>
        <v>37.088000000000001</v>
      </c>
      <c r="I4069" s="5" t="str">
        <f t="shared" si="486"/>
        <v>018</v>
      </c>
      <c r="J4069" s="5" t="str">
        <f t="shared" si="487"/>
        <v>2230</v>
      </c>
      <c r="K4069" s="5" t="str">
        <f t="shared" si="488"/>
        <v>000</v>
      </c>
      <c r="L4069" s="5">
        <f t="shared" si="489"/>
        <v>10</v>
      </c>
      <c r="M4069" s="5">
        <f t="shared" si="490"/>
        <v>2012</v>
      </c>
    </row>
    <row r="4070" spans="1:13" ht="17.45" customHeight="1" x14ac:dyDescent="0.25">
      <c r="A4070" s="1">
        <f>DATE(2012,10,3)</f>
        <v>41185</v>
      </c>
      <c r="B4070" t="s">
        <v>19</v>
      </c>
      <c r="C4070" t="s">
        <v>6</v>
      </c>
      <c r="D4070" s="3">
        <v>4561.9803000000002</v>
      </c>
      <c r="E4070" s="3">
        <v>0</v>
      </c>
      <c r="F4070" t="s">
        <v>45</v>
      </c>
      <c r="G4070" s="3">
        <f t="shared" si="484"/>
        <v>-4561.9803000000002</v>
      </c>
      <c r="H4070" s="3">
        <f t="shared" si="485"/>
        <v>4561.9803000000002</v>
      </c>
      <c r="I4070" s="5" t="str">
        <f t="shared" si="486"/>
        <v>018</v>
      </c>
      <c r="J4070" s="5" t="str">
        <f t="shared" si="487"/>
        <v>2100</v>
      </c>
      <c r="K4070" s="5" t="str">
        <f t="shared" si="488"/>
        <v>000</v>
      </c>
      <c r="L4070" s="5">
        <f t="shared" si="489"/>
        <v>10</v>
      </c>
      <c r="M4070" s="5">
        <f t="shared" si="490"/>
        <v>2012</v>
      </c>
    </row>
    <row r="4071" spans="1:13" ht="17.45" customHeight="1" x14ac:dyDescent="0.25">
      <c r="A4071" s="1">
        <f>DATE(2012,10,3)</f>
        <v>41185</v>
      </c>
      <c r="B4071" t="s">
        <v>20</v>
      </c>
      <c r="C4071" t="s">
        <v>8</v>
      </c>
      <c r="D4071" s="3">
        <v>792.22499999999991</v>
      </c>
      <c r="E4071" s="3">
        <v>0</v>
      </c>
      <c r="F4071" t="s">
        <v>45</v>
      </c>
      <c r="G4071" s="3">
        <f t="shared" si="484"/>
        <v>-792.22499999999991</v>
      </c>
      <c r="H4071" s="3">
        <f t="shared" si="485"/>
        <v>792.22499999999991</v>
      </c>
      <c r="I4071" s="5" t="str">
        <f t="shared" si="486"/>
        <v>018</v>
      </c>
      <c r="J4071" s="5" t="str">
        <f t="shared" si="487"/>
        <v>2210</v>
      </c>
      <c r="K4071" s="5" t="str">
        <f t="shared" si="488"/>
        <v>000</v>
      </c>
      <c r="L4071" s="5">
        <f t="shared" si="489"/>
        <v>10</v>
      </c>
      <c r="M4071" s="5">
        <f t="shared" si="490"/>
        <v>2012</v>
      </c>
    </row>
    <row r="4072" spans="1:13" ht="17.45" customHeight="1" x14ac:dyDescent="0.25">
      <c r="A4072" s="1">
        <f>DATE(2012,10,3)</f>
        <v>41185</v>
      </c>
      <c r="B4072" t="s">
        <v>21</v>
      </c>
      <c r="C4072" t="s">
        <v>9</v>
      </c>
      <c r="D4072" s="3">
        <v>206.26650000000001</v>
      </c>
      <c r="E4072" s="3">
        <v>0</v>
      </c>
      <c r="F4072" t="s">
        <v>45</v>
      </c>
      <c r="G4072" s="3">
        <f t="shared" si="484"/>
        <v>-206.26650000000001</v>
      </c>
      <c r="H4072" s="3">
        <f t="shared" si="485"/>
        <v>206.26650000000001</v>
      </c>
      <c r="I4072" s="5" t="str">
        <f t="shared" si="486"/>
        <v>018</v>
      </c>
      <c r="J4072" s="5" t="str">
        <f t="shared" si="487"/>
        <v>2220</v>
      </c>
      <c r="K4072" s="5" t="str">
        <f t="shared" si="488"/>
        <v>000</v>
      </c>
      <c r="L4072" s="5">
        <f t="shared" si="489"/>
        <v>10</v>
      </c>
      <c r="M4072" s="5">
        <f t="shared" si="490"/>
        <v>2012</v>
      </c>
    </row>
    <row r="4073" spans="1:13" ht="17.45" customHeight="1" x14ac:dyDescent="0.25">
      <c r="A4073" s="1">
        <f>DATE(2012,10,3)</f>
        <v>41185</v>
      </c>
      <c r="B4073" t="s">
        <v>22</v>
      </c>
      <c r="C4073" t="s">
        <v>10</v>
      </c>
      <c r="D4073" s="3">
        <v>57.337500000000006</v>
      </c>
      <c r="E4073" s="3">
        <v>0</v>
      </c>
      <c r="F4073" t="s">
        <v>45</v>
      </c>
      <c r="G4073" s="3">
        <f t="shared" si="484"/>
        <v>-57.337500000000006</v>
      </c>
      <c r="H4073" s="3">
        <f t="shared" si="485"/>
        <v>57.337500000000006</v>
      </c>
      <c r="I4073" s="5" t="str">
        <f t="shared" si="486"/>
        <v>018</v>
      </c>
      <c r="J4073" s="5" t="str">
        <f t="shared" si="487"/>
        <v>2230</v>
      </c>
      <c r="K4073" s="5" t="str">
        <f t="shared" si="488"/>
        <v>000</v>
      </c>
      <c r="L4073" s="5">
        <f t="shared" si="489"/>
        <v>10</v>
      </c>
      <c r="M4073" s="5">
        <f t="shared" si="490"/>
        <v>2012</v>
      </c>
    </row>
    <row r="4074" spans="1:13" ht="17.45" customHeight="1" x14ac:dyDescent="0.25">
      <c r="A4074" s="1">
        <f>DATE(2012,10,4)</f>
        <v>41186</v>
      </c>
      <c r="B4074" t="s">
        <v>19</v>
      </c>
      <c r="C4074" t="s">
        <v>6</v>
      </c>
      <c r="D4074" s="3">
        <v>5662.241</v>
      </c>
      <c r="E4074" s="3">
        <v>0</v>
      </c>
      <c r="F4074" t="s">
        <v>45</v>
      </c>
      <c r="G4074" s="3">
        <f t="shared" si="484"/>
        <v>-5662.241</v>
      </c>
      <c r="H4074" s="3">
        <f t="shared" si="485"/>
        <v>5662.241</v>
      </c>
      <c r="I4074" s="5" t="str">
        <f t="shared" si="486"/>
        <v>018</v>
      </c>
      <c r="J4074" s="5" t="str">
        <f t="shared" si="487"/>
        <v>2100</v>
      </c>
      <c r="K4074" s="5" t="str">
        <f t="shared" si="488"/>
        <v>000</v>
      </c>
      <c r="L4074" s="5">
        <f t="shared" si="489"/>
        <v>10</v>
      </c>
      <c r="M4074" s="5">
        <f t="shared" si="490"/>
        <v>2012</v>
      </c>
    </row>
    <row r="4075" spans="1:13" ht="17.45" customHeight="1" x14ac:dyDescent="0.25">
      <c r="A4075" s="1">
        <f>DATE(2012,10,4)</f>
        <v>41186</v>
      </c>
      <c r="B4075" t="s">
        <v>20</v>
      </c>
      <c r="C4075" t="s">
        <v>8</v>
      </c>
      <c r="D4075" s="3">
        <v>1645.7324999999998</v>
      </c>
      <c r="E4075" s="3">
        <v>0</v>
      </c>
      <c r="F4075" t="s">
        <v>45</v>
      </c>
      <c r="G4075" s="3">
        <f t="shared" si="484"/>
        <v>-1645.7324999999998</v>
      </c>
      <c r="H4075" s="3">
        <f t="shared" si="485"/>
        <v>1645.7324999999998</v>
      </c>
      <c r="I4075" s="5" t="str">
        <f t="shared" si="486"/>
        <v>018</v>
      </c>
      <c r="J4075" s="5" t="str">
        <f t="shared" si="487"/>
        <v>2210</v>
      </c>
      <c r="K4075" s="5" t="str">
        <f t="shared" si="488"/>
        <v>000</v>
      </c>
      <c r="L4075" s="5">
        <f t="shared" si="489"/>
        <v>10</v>
      </c>
      <c r="M4075" s="5">
        <f t="shared" si="490"/>
        <v>2012</v>
      </c>
    </row>
    <row r="4076" spans="1:13" ht="17.45" customHeight="1" x14ac:dyDescent="0.25">
      <c r="A4076" s="1">
        <f>DATE(2012,10,4)</f>
        <v>41186</v>
      </c>
      <c r="B4076" t="s">
        <v>21</v>
      </c>
      <c r="C4076" t="s">
        <v>9</v>
      </c>
      <c r="D4076" s="3">
        <v>266.35550000000001</v>
      </c>
      <c r="E4076" s="3">
        <v>0</v>
      </c>
      <c r="F4076" t="s">
        <v>45</v>
      </c>
      <c r="G4076" s="3">
        <f t="shared" si="484"/>
        <v>-266.35550000000001</v>
      </c>
      <c r="H4076" s="3">
        <f t="shared" si="485"/>
        <v>266.35550000000001</v>
      </c>
      <c r="I4076" s="5" t="str">
        <f t="shared" si="486"/>
        <v>018</v>
      </c>
      <c r="J4076" s="5" t="str">
        <f t="shared" si="487"/>
        <v>2220</v>
      </c>
      <c r="K4076" s="5" t="str">
        <f t="shared" si="488"/>
        <v>000</v>
      </c>
      <c r="L4076" s="5">
        <f t="shared" si="489"/>
        <v>10</v>
      </c>
      <c r="M4076" s="5">
        <f t="shared" si="490"/>
        <v>2012</v>
      </c>
    </row>
    <row r="4077" spans="1:13" ht="17.45" customHeight="1" x14ac:dyDescent="0.25">
      <c r="A4077" s="1">
        <f>DATE(2012,10,4)</f>
        <v>41186</v>
      </c>
      <c r="B4077" t="s">
        <v>22</v>
      </c>
      <c r="C4077" t="s">
        <v>10</v>
      </c>
      <c r="D4077" s="3">
        <v>115.291</v>
      </c>
      <c r="E4077" s="3">
        <v>0</v>
      </c>
      <c r="F4077" t="s">
        <v>45</v>
      </c>
      <c r="G4077" s="3">
        <f t="shared" si="484"/>
        <v>-115.291</v>
      </c>
      <c r="H4077" s="3">
        <f t="shared" si="485"/>
        <v>115.291</v>
      </c>
      <c r="I4077" s="5" t="str">
        <f t="shared" si="486"/>
        <v>018</v>
      </c>
      <c r="J4077" s="5" t="str">
        <f t="shared" si="487"/>
        <v>2230</v>
      </c>
      <c r="K4077" s="5" t="str">
        <f t="shared" si="488"/>
        <v>000</v>
      </c>
      <c r="L4077" s="5">
        <f t="shared" si="489"/>
        <v>10</v>
      </c>
      <c r="M4077" s="5">
        <f t="shared" si="490"/>
        <v>2012</v>
      </c>
    </row>
    <row r="4078" spans="1:13" ht="17.45" customHeight="1" x14ac:dyDescent="0.25">
      <c r="A4078" s="1">
        <f>DATE(2012,10,5)</f>
        <v>41187</v>
      </c>
      <c r="B4078" t="s">
        <v>19</v>
      </c>
      <c r="C4078" t="s">
        <v>6</v>
      </c>
      <c r="D4078" s="3">
        <v>17573.907499999998</v>
      </c>
      <c r="E4078" s="3">
        <v>0</v>
      </c>
      <c r="F4078" t="s">
        <v>45</v>
      </c>
      <c r="G4078" s="3">
        <f t="shared" si="484"/>
        <v>-17573.907499999998</v>
      </c>
      <c r="H4078" s="3">
        <f t="shared" si="485"/>
        <v>17573.907499999998</v>
      </c>
      <c r="I4078" s="5" t="str">
        <f t="shared" si="486"/>
        <v>018</v>
      </c>
      <c r="J4078" s="5" t="str">
        <f t="shared" si="487"/>
        <v>2100</v>
      </c>
      <c r="K4078" s="5" t="str">
        <f t="shared" si="488"/>
        <v>000</v>
      </c>
      <c r="L4078" s="5">
        <f t="shared" si="489"/>
        <v>10</v>
      </c>
      <c r="M4078" s="5">
        <f t="shared" si="490"/>
        <v>2012</v>
      </c>
    </row>
    <row r="4079" spans="1:13" ht="17.45" customHeight="1" x14ac:dyDescent="0.25">
      <c r="A4079" s="1">
        <f>DATE(2012,10,5)</f>
        <v>41187</v>
      </c>
      <c r="B4079" t="s">
        <v>20</v>
      </c>
      <c r="C4079" t="s">
        <v>8</v>
      </c>
      <c r="D4079" s="3">
        <v>3983.3359999999998</v>
      </c>
      <c r="E4079" s="3">
        <v>0</v>
      </c>
      <c r="F4079" t="s">
        <v>45</v>
      </c>
      <c r="G4079" s="3">
        <f t="shared" si="484"/>
        <v>-3983.3359999999998</v>
      </c>
      <c r="H4079" s="3">
        <f t="shared" si="485"/>
        <v>3983.3359999999998</v>
      </c>
      <c r="I4079" s="5" t="str">
        <f t="shared" si="486"/>
        <v>018</v>
      </c>
      <c r="J4079" s="5" t="str">
        <f t="shared" si="487"/>
        <v>2210</v>
      </c>
      <c r="K4079" s="5" t="str">
        <f t="shared" si="488"/>
        <v>000</v>
      </c>
      <c r="L4079" s="5">
        <f t="shared" si="489"/>
        <v>10</v>
      </c>
      <c r="M4079" s="5">
        <f t="shared" si="490"/>
        <v>2012</v>
      </c>
    </row>
    <row r="4080" spans="1:13" ht="17.45" customHeight="1" x14ac:dyDescent="0.25">
      <c r="A4080" s="1">
        <f>DATE(2012,10,5)</f>
        <v>41187</v>
      </c>
      <c r="B4080" t="s">
        <v>21</v>
      </c>
      <c r="C4080" t="s">
        <v>9</v>
      </c>
      <c r="D4080" s="3">
        <v>905.74</v>
      </c>
      <c r="E4080" s="3">
        <v>0</v>
      </c>
      <c r="F4080" t="s">
        <v>45</v>
      </c>
      <c r="G4080" s="3">
        <f t="shared" si="484"/>
        <v>-905.74</v>
      </c>
      <c r="H4080" s="3">
        <f t="shared" si="485"/>
        <v>905.74</v>
      </c>
      <c r="I4080" s="5" t="str">
        <f t="shared" si="486"/>
        <v>018</v>
      </c>
      <c r="J4080" s="5" t="str">
        <f t="shared" si="487"/>
        <v>2220</v>
      </c>
      <c r="K4080" s="5" t="str">
        <f t="shared" si="488"/>
        <v>000</v>
      </c>
      <c r="L4080" s="5">
        <f t="shared" si="489"/>
        <v>10</v>
      </c>
      <c r="M4080" s="5">
        <f t="shared" si="490"/>
        <v>2012</v>
      </c>
    </row>
    <row r="4081" spans="1:13" ht="17.45" customHeight="1" x14ac:dyDescent="0.25">
      <c r="A4081" s="1">
        <f>DATE(2012,10,5)</f>
        <v>41187</v>
      </c>
      <c r="B4081" t="s">
        <v>22</v>
      </c>
      <c r="C4081" t="s">
        <v>10</v>
      </c>
      <c r="D4081" s="3">
        <v>169.0205</v>
      </c>
      <c r="E4081" s="3">
        <v>0</v>
      </c>
      <c r="F4081" t="s">
        <v>45</v>
      </c>
      <c r="G4081" s="3">
        <f t="shared" si="484"/>
        <v>-169.0205</v>
      </c>
      <c r="H4081" s="3">
        <f t="shared" si="485"/>
        <v>169.0205</v>
      </c>
      <c r="I4081" s="5" t="str">
        <f t="shared" si="486"/>
        <v>018</v>
      </c>
      <c r="J4081" s="5" t="str">
        <f t="shared" si="487"/>
        <v>2230</v>
      </c>
      <c r="K4081" s="5" t="str">
        <f t="shared" si="488"/>
        <v>000</v>
      </c>
      <c r="L4081" s="5">
        <f t="shared" si="489"/>
        <v>10</v>
      </c>
      <c r="M4081" s="5">
        <f t="shared" si="490"/>
        <v>2012</v>
      </c>
    </row>
    <row r="4082" spans="1:13" ht="17.45" customHeight="1" x14ac:dyDescent="0.25">
      <c r="A4082" s="1">
        <f>DATE(2012,10,6)</f>
        <v>41188</v>
      </c>
      <c r="B4082" t="s">
        <v>19</v>
      </c>
      <c r="C4082" t="s">
        <v>6</v>
      </c>
      <c r="D4082" s="3">
        <v>16624.012499999997</v>
      </c>
      <c r="E4082" s="3">
        <v>0</v>
      </c>
      <c r="F4082" t="s">
        <v>45</v>
      </c>
      <c r="G4082" s="3">
        <f t="shared" si="484"/>
        <v>-16624.012499999997</v>
      </c>
      <c r="H4082" s="3">
        <f t="shared" si="485"/>
        <v>16624.012499999997</v>
      </c>
      <c r="I4082" s="5" t="str">
        <f t="shared" si="486"/>
        <v>018</v>
      </c>
      <c r="J4082" s="5" t="str">
        <f t="shared" si="487"/>
        <v>2100</v>
      </c>
      <c r="K4082" s="5" t="str">
        <f t="shared" si="488"/>
        <v>000</v>
      </c>
      <c r="L4082" s="5">
        <f t="shared" si="489"/>
        <v>10</v>
      </c>
      <c r="M4082" s="5">
        <f t="shared" si="490"/>
        <v>2012</v>
      </c>
    </row>
    <row r="4083" spans="1:13" ht="17.45" customHeight="1" x14ac:dyDescent="0.25">
      <c r="A4083" s="1">
        <f>DATE(2012,10,6)</f>
        <v>41188</v>
      </c>
      <c r="B4083" t="s">
        <v>20</v>
      </c>
      <c r="C4083" t="s">
        <v>8</v>
      </c>
      <c r="D4083" s="3">
        <v>3710.9440000000004</v>
      </c>
      <c r="E4083" s="3">
        <v>0</v>
      </c>
      <c r="F4083" t="s">
        <v>45</v>
      </c>
      <c r="G4083" s="3">
        <f t="shared" si="484"/>
        <v>-3710.9440000000004</v>
      </c>
      <c r="H4083" s="3">
        <f t="shared" si="485"/>
        <v>3710.9440000000004</v>
      </c>
      <c r="I4083" s="5" t="str">
        <f t="shared" si="486"/>
        <v>018</v>
      </c>
      <c r="J4083" s="5" t="str">
        <f t="shared" si="487"/>
        <v>2210</v>
      </c>
      <c r="K4083" s="5" t="str">
        <f t="shared" si="488"/>
        <v>000</v>
      </c>
      <c r="L4083" s="5">
        <f t="shared" si="489"/>
        <v>10</v>
      </c>
      <c r="M4083" s="5">
        <f t="shared" si="490"/>
        <v>2012</v>
      </c>
    </row>
    <row r="4084" spans="1:13" ht="17.45" customHeight="1" x14ac:dyDescent="0.25">
      <c r="A4084" s="1">
        <f>DATE(2012,10,6)</f>
        <v>41188</v>
      </c>
      <c r="B4084" t="s">
        <v>21</v>
      </c>
      <c r="C4084" t="s">
        <v>9</v>
      </c>
      <c r="D4084" s="3">
        <v>753.24600000000009</v>
      </c>
      <c r="E4084" s="3">
        <v>0</v>
      </c>
      <c r="F4084" t="s">
        <v>45</v>
      </c>
      <c r="G4084" s="3">
        <f t="shared" si="484"/>
        <v>-753.24600000000009</v>
      </c>
      <c r="H4084" s="3">
        <f t="shared" si="485"/>
        <v>753.24600000000009</v>
      </c>
      <c r="I4084" s="5" t="str">
        <f t="shared" si="486"/>
        <v>018</v>
      </c>
      <c r="J4084" s="5" t="str">
        <f t="shared" si="487"/>
        <v>2220</v>
      </c>
      <c r="K4084" s="5" t="str">
        <f t="shared" si="488"/>
        <v>000</v>
      </c>
      <c r="L4084" s="5">
        <f t="shared" si="489"/>
        <v>10</v>
      </c>
      <c r="M4084" s="5">
        <f t="shared" si="490"/>
        <v>2012</v>
      </c>
    </row>
    <row r="4085" spans="1:13" ht="17.45" customHeight="1" x14ac:dyDescent="0.25">
      <c r="A4085" s="1">
        <f>DATE(2012,10,6)</f>
        <v>41188</v>
      </c>
      <c r="B4085" t="s">
        <v>22</v>
      </c>
      <c r="C4085" t="s">
        <v>10</v>
      </c>
      <c r="D4085" s="3">
        <v>75.451499999999996</v>
      </c>
      <c r="E4085" s="3">
        <v>0</v>
      </c>
      <c r="F4085" t="s">
        <v>45</v>
      </c>
      <c r="G4085" s="3">
        <f t="shared" si="484"/>
        <v>-75.451499999999996</v>
      </c>
      <c r="H4085" s="3">
        <f t="shared" si="485"/>
        <v>75.451499999999996</v>
      </c>
      <c r="I4085" s="5" t="str">
        <f t="shared" si="486"/>
        <v>018</v>
      </c>
      <c r="J4085" s="5" t="str">
        <f t="shared" si="487"/>
        <v>2230</v>
      </c>
      <c r="K4085" s="5" t="str">
        <f t="shared" si="488"/>
        <v>000</v>
      </c>
      <c r="L4085" s="5">
        <f t="shared" si="489"/>
        <v>10</v>
      </c>
      <c r="M4085" s="5">
        <f t="shared" si="490"/>
        <v>2012</v>
      </c>
    </row>
    <row r="4086" spans="1:13" ht="17.45" customHeight="1" x14ac:dyDescent="0.25">
      <c r="A4086" s="1">
        <f>DATE(2012,10,7)</f>
        <v>41189</v>
      </c>
      <c r="B4086" t="s">
        <v>19</v>
      </c>
      <c r="C4086" t="s">
        <v>6</v>
      </c>
      <c r="D4086" s="3">
        <v>12814.387499999999</v>
      </c>
      <c r="E4086" s="3">
        <v>0</v>
      </c>
      <c r="F4086" t="s">
        <v>45</v>
      </c>
      <c r="G4086" s="3">
        <f t="shared" si="484"/>
        <v>-12814.387499999999</v>
      </c>
      <c r="H4086" s="3">
        <f t="shared" si="485"/>
        <v>12814.387499999999</v>
      </c>
      <c r="I4086" s="5" t="str">
        <f t="shared" si="486"/>
        <v>018</v>
      </c>
      <c r="J4086" s="5" t="str">
        <f t="shared" si="487"/>
        <v>2100</v>
      </c>
      <c r="K4086" s="5" t="str">
        <f t="shared" si="488"/>
        <v>000</v>
      </c>
      <c r="L4086" s="5">
        <f t="shared" si="489"/>
        <v>10</v>
      </c>
      <c r="M4086" s="5">
        <f t="shared" si="490"/>
        <v>2012</v>
      </c>
    </row>
    <row r="4087" spans="1:13" ht="17.45" customHeight="1" x14ac:dyDescent="0.25">
      <c r="A4087" s="1">
        <f>DATE(2012,10,7)</f>
        <v>41189</v>
      </c>
      <c r="B4087" t="s">
        <v>20</v>
      </c>
      <c r="C4087" t="s">
        <v>8</v>
      </c>
      <c r="D4087" s="3">
        <v>1751.7954999999999</v>
      </c>
      <c r="E4087" s="3">
        <v>0</v>
      </c>
      <c r="F4087" t="s">
        <v>45</v>
      </c>
      <c r="G4087" s="3">
        <f t="shared" si="484"/>
        <v>-1751.7954999999999</v>
      </c>
      <c r="H4087" s="3">
        <f t="shared" si="485"/>
        <v>1751.7954999999999</v>
      </c>
      <c r="I4087" s="5" t="str">
        <f t="shared" si="486"/>
        <v>018</v>
      </c>
      <c r="J4087" s="5" t="str">
        <f t="shared" si="487"/>
        <v>2210</v>
      </c>
      <c r="K4087" s="5" t="str">
        <f t="shared" si="488"/>
        <v>000</v>
      </c>
      <c r="L4087" s="5">
        <f t="shared" si="489"/>
        <v>10</v>
      </c>
      <c r="M4087" s="5">
        <f t="shared" si="490"/>
        <v>2012</v>
      </c>
    </row>
    <row r="4088" spans="1:13" ht="17.45" customHeight="1" x14ac:dyDescent="0.25">
      <c r="A4088" s="1">
        <f>DATE(2012,10,7)</f>
        <v>41189</v>
      </c>
      <c r="B4088" t="s">
        <v>21</v>
      </c>
      <c r="C4088" t="s">
        <v>9</v>
      </c>
      <c r="D4088" s="3">
        <v>424.61549999999994</v>
      </c>
      <c r="E4088" s="3">
        <v>0</v>
      </c>
      <c r="F4088" t="s">
        <v>45</v>
      </c>
      <c r="G4088" s="3">
        <f t="shared" si="484"/>
        <v>-424.61549999999994</v>
      </c>
      <c r="H4088" s="3">
        <f t="shared" si="485"/>
        <v>424.61549999999994</v>
      </c>
      <c r="I4088" s="5" t="str">
        <f t="shared" si="486"/>
        <v>018</v>
      </c>
      <c r="J4088" s="5" t="str">
        <f t="shared" si="487"/>
        <v>2220</v>
      </c>
      <c r="K4088" s="5" t="str">
        <f t="shared" si="488"/>
        <v>000</v>
      </c>
      <c r="L4088" s="5">
        <f t="shared" si="489"/>
        <v>10</v>
      </c>
      <c r="M4088" s="5">
        <f t="shared" si="490"/>
        <v>2012</v>
      </c>
    </row>
    <row r="4089" spans="1:13" ht="17.45" customHeight="1" x14ac:dyDescent="0.25">
      <c r="A4089" s="1">
        <f>DATE(2012,10,7)</f>
        <v>41189</v>
      </c>
      <c r="B4089" t="s">
        <v>22</v>
      </c>
      <c r="C4089" t="s">
        <v>10</v>
      </c>
      <c r="D4089" s="3">
        <v>71.339500000000001</v>
      </c>
      <c r="E4089" s="3">
        <v>0</v>
      </c>
      <c r="F4089" t="s">
        <v>45</v>
      </c>
      <c r="G4089" s="3">
        <f t="shared" si="484"/>
        <v>-71.339500000000001</v>
      </c>
      <c r="H4089" s="3">
        <f t="shared" si="485"/>
        <v>71.339500000000001</v>
      </c>
      <c r="I4089" s="5" t="str">
        <f t="shared" si="486"/>
        <v>018</v>
      </c>
      <c r="J4089" s="5" t="str">
        <f t="shared" si="487"/>
        <v>2230</v>
      </c>
      <c r="K4089" s="5" t="str">
        <f t="shared" si="488"/>
        <v>000</v>
      </c>
      <c r="L4089" s="5">
        <f t="shared" si="489"/>
        <v>10</v>
      </c>
      <c r="M4089" s="5">
        <f t="shared" si="490"/>
        <v>2012</v>
      </c>
    </row>
    <row r="4090" spans="1:13" ht="17.45" customHeight="1" x14ac:dyDescent="0.25">
      <c r="A4090" s="1">
        <f>DATE(2012,10,8)</f>
        <v>41190</v>
      </c>
      <c r="B4090" t="s">
        <v>11</v>
      </c>
      <c r="C4090" t="s">
        <v>6</v>
      </c>
      <c r="D4090" s="3">
        <v>2444.9328</v>
      </c>
      <c r="E4090" s="3">
        <v>0</v>
      </c>
      <c r="F4090" t="s">
        <v>45</v>
      </c>
      <c r="G4090" s="3">
        <f t="shared" si="484"/>
        <v>-2444.9328</v>
      </c>
      <c r="H4090" s="3">
        <f t="shared" si="485"/>
        <v>2444.9328</v>
      </c>
      <c r="I4090" s="5" t="str">
        <f t="shared" si="486"/>
        <v>016</v>
      </c>
      <c r="J4090" s="5" t="str">
        <f t="shared" si="487"/>
        <v>2100</v>
      </c>
      <c r="K4090" s="5" t="str">
        <f t="shared" si="488"/>
        <v>000</v>
      </c>
      <c r="L4090" s="5">
        <f t="shared" si="489"/>
        <v>10</v>
      </c>
      <c r="M4090" s="5">
        <f t="shared" si="490"/>
        <v>2012</v>
      </c>
    </row>
    <row r="4091" spans="1:13" ht="17.45" customHeight="1" x14ac:dyDescent="0.25">
      <c r="A4091" s="1">
        <f>DATE(2012,10,8)</f>
        <v>41190</v>
      </c>
      <c r="B4091" t="s">
        <v>12</v>
      </c>
      <c r="C4091" t="s">
        <v>8</v>
      </c>
      <c r="D4091" s="3">
        <v>434.25599999999997</v>
      </c>
      <c r="E4091" s="3">
        <v>0</v>
      </c>
      <c r="F4091" t="s">
        <v>45</v>
      </c>
      <c r="G4091" s="3">
        <f t="shared" si="484"/>
        <v>-434.25599999999997</v>
      </c>
      <c r="H4091" s="3">
        <f t="shared" si="485"/>
        <v>434.25599999999997</v>
      </c>
      <c r="I4091" s="5" t="str">
        <f t="shared" si="486"/>
        <v>016</v>
      </c>
      <c r="J4091" s="5" t="str">
        <f t="shared" si="487"/>
        <v>2210</v>
      </c>
      <c r="K4091" s="5" t="str">
        <f t="shared" si="488"/>
        <v>000</v>
      </c>
      <c r="L4091" s="5">
        <f t="shared" si="489"/>
        <v>10</v>
      </c>
      <c r="M4091" s="5">
        <f t="shared" si="490"/>
        <v>2012</v>
      </c>
    </row>
    <row r="4092" spans="1:13" ht="17.45" customHeight="1" x14ac:dyDescent="0.25">
      <c r="A4092" s="1">
        <f>DATE(2012,10,8)</f>
        <v>41190</v>
      </c>
      <c r="B4092" t="s">
        <v>13</v>
      </c>
      <c r="C4092" t="s">
        <v>9</v>
      </c>
      <c r="D4092" s="3">
        <v>94.275000000000006</v>
      </c>
      <c r="E4092" s="3">
        <v>0</v>
      </c>
      <c r="F4092" t="s">
        <v>45</v>
      </c>
      <c r="G4092" s="3">
        <f t="shared" si="484"/>
        <v>-94.275000000000006</v>
      </c>
      <c r="H4092" s="3">
        <f t="shared" si="485"/>
        <v>94.275000000000006</v>
      </c>
      <c r="I4092" s="5" t="str">
        <f t="shared" si="486"/>
        <v>016</v>
      </c>
      <c r="J4092" s="5" t="str">
        <f t="shared" si="487"/>
        <v>2220</v>
      </c>
      <c r="K4092" s="5" t="str">
        <f t="shared" si="488"/>
        <v>000</v>
      </c>
      <c r="L4092" s="5">
        <f t="shared" si="489"/>
        <v>10</v>
      </c>
      <c r="M4092" s="5">
        <f t="shared" si="490"/>
        <v>2012</v>
      </c>
    </row>
    <row r="4093" spans="1:13" ht="17.45" customHeight="1" x14ac:dyDescent="0.25">
      <c r="A4093" s="1">
        <f>DATE(2012,10,8)</f>
        <v>41190</v>
      </c>
      <c r="B4093" t="s">
        <v>14</v>
      </c>
      <c r="C4093" t="s">
        <v>10</v>
      </c>
      <c r="D4093" s="3">
        <v>12.65</v>
      </c>
      <c r="E4093" s="3">
        <v>0</v>
      </c>
      <c r="F4093" t="s">
        <v>45</v>
      </c>
      <c r="G4093" s="3">
        <f t="shared" si="484"/>
        <v>-12.65</v>
      </c>
      <c r="H4093" s="3">
        <f t="shared" si="485"/>
        <v>12.65</v>
      </c>
      <c r="I4093" s="5" t="str">
        <f t="shared" si="486"/>
        <v>016</v>
      </c>
      <c r="J4093" s="5" t="str">
        <f t="shared" si="487"/>
        <v>2230</v>
      </c>
      <c r="K4093" s="5" t="str">
        <f t="shared" si="488"/>
        <v>000</v>
      </c>
      <c r="L4093" s="5">
        <f t="shared" si="489"/>
        <v>10</v>
      </c>
      <c r="M4093" s="5">
        <f t="shared" si="490"/>
        <v>2012</v>
      </c>
    </row>
    <row r="4094" spans="1:13" ht="17.45" customHeight="1" x14ac:dyDescent="0.25">
      <c r="A4094" s="1">
        <f>DATE(2012,10,9)</f>
        <v>41191</v>
      </c>
      <c r="B4094" t="s">
        <v>11</v>
      </c>
      <c r="C4094" t="s">
        <v>6</v>
      </c>
      <c r="D4094" s="3">
        <v>4916.0748000000003</v>
      </c>
      <c r="E4094" s="3">
        <v>0</v>
      </c>
      <c r="F4094" t="s">
        <v>45</v>
      </c>
      <c r="G4094" s="3">
        <f t="shared" si="484"/>
        <v>-4916.0748000000003</v>
      </c>
      <c r="H4094" s="3">
        <f t="shared" si="485"/>
        <v>4916.0748000000003</v>
      </c>
      <c r="I4094" s="5" t="str">
        <f t="shared" si="486"/>
        <v>016</v>
      </c>
      <c r="J4094" s="5" t="str">
        <f t="shared" si="487"/>
        <v>2100</v>
      </c>
      <c r="K4094" s="5" t="str">
        <f t="shared" si="488"/>
        <v>000</v>
      </c>
      <c r="L4094" s="5">
        <f t="shared" si="489"/>
        <v>10</v>
      </c>
      <c r="M4094" s="5">
        <f t="shared" si="490"/>
        <v>2012</v>
      </c>
    </row>
    <row r="4095" spans="1:13" ht="17.45" customHeight="1" x14ac:dyDescent="0.25">
      <c r="A4095" s="1">
        <f>DATE(2012,10,9)</f>
        <v>41191</v>
      </c>
      <c r="B4095" t="s">
        <v>12</v>
      </c>
      <c r="C4095" t="s">
        <v>8</v>
      </c>
      <c r="D4095" s="3">
        <v>1910.1270000000002</v>
      </c>
      <c r="E4095" s="3">
        <v>0</v>
      </c>
      <c r="F4095" t="s">
        <v>45</v>
      </c>
      <c r="G4095" s="3">
        <f t="shared" si="484"/>
        <v>-1910.1270000000002</v>
      </c>
      <c r="H4095" s="3">
        <f t="shared" si="485"/>
        <v>1910.1270000000002</v>
      </c>
      <c r="I4095" s="5" t="str">
        <f t="shared" si="486"/>
        <v>016</v>
      </c>
      <c r="J4095" s="5" t="str">
        <f t="shared" si="487"/>
        <v>2210</v>
      </c>
      <c r="K4095" s="5" t="str">
        <f t="shared" si="488"/>
        <v>000</v>
      </c>
      <c r="L4095" s="5">
        <f t="shared" si="489"/>
        <v>10</v>
      </c>
      <c r="M4095" s="5">
        <f t="shared" si="490"/>
        <v>2012</v>
      </c>
    </row>
    <row r="4096" spans="1:13" ht="17.45" customHeight="1" x14ac:dyDescent="0.25">
      <c r="A4096" s="1">
        <f>DATE(2012,10,9)</f>
        <v>41191</v>
      </c>
      <c r="B4096" t="s">
        <v>13</v>
      </c>
      <c r="C4096" t="s">
        <v>9</v>
      </c>
      <c r="D4096" s="3">
        <v>758.44799999999998</v>
      </c>
      <c r="E4096" s="3">
        <v>0</v>
      </c>
      <c r="F4096" t="s">
        <v>45</v>
      </c>
      <c r="G4096" s="3">
        <f t="shared" si="484"/>
        <v>-758.44799999999998</v>
      </c>
      <c r="H4096" s="3">
        <f t="shared" si="485"/>
        <v>758.44799999999998</v>
      </c>
      <c r="I4096" s="5" t="str">
        <f t="shared" si="486"/>
        <v>016</v>
      </c>
      <c r="J4096" s="5" t="str">
        <f t="shared" si="487"/>
        <v>2220</v>
      </c>
      <c r="K4096" s="5" t="str">
        <f t="shared" si="488"/>
        <v>000</v>
      </c>
      <c r="L4096" s="5">
        <f t="shared" si="489"/>
        <v>10</v>
      </c>
      <c r="M4096" s="5">
        <f t="shared" si="490"/>
        <v>2012</v>
      </c>
    </row>
    <row r="4097" spans="1:13" ht="17.45" customHeight="1" x14ac:dyDescent="0.25">
      <c r="A4097" s="1">
        <f>DATE(2012,10,9)</f>
        <v>41191</v>
      </c>
      <c r="B4097" t="s">
        <v>14</v>
      </c>
      <c r="C4097" t="s">
        <v>10</v>
      </c>
      <c r="D4097" s="3">
        <v>148.35999999999999</v>
      </c>
      <c r="E4097" s="3">
        <v>0</v>
      </c>
      <c r="F4097" t="s">
        <v>45</v>
      </c>
      <c r="G4097" s="3">
        <f t="shared" si="484"/>
        <v>-148.35999999999999</v>
      </c>
      <c r="H4097" s="3">
        <f t="shared" si="485"/>
        <v>148.35999999999999</v>
      </c>
      <c r="I4097" s="5" t="str">
        <f t="shared" si="486"/>
        <v>016</v>
      </c>
      <c r="J4097" s="5" t="str">
        <f t="shared" si="487"/>
        <v>2230</v>
      </c>
      <c r="K4097" s="5" t="str">
        <f t="shared" si="488"/>
        <v>000</v>
      </c>
      <c r="L4097" s="5">
        <f t="shared" si="489"/>
        <v>10</v>
      </c>
      <c r="M4097" s="5">
        <f t="shared" si="490"/>
        <v>2012</v>
      </c>
    </row>
    <row r="4098" spans="1:13" ht="17.45" customHeight="1" x14ac:dyDescent="0.25">
      <c r="A4098" s="1">
        <f>DATE(2012,10,10)</f>
        <v>41192</v>
      </c>
      <c r="B4098" t="s">
        <v>11</v>
      </c>
      <c r="C4098" t="s">
        <v>6</v>
      </c>
      <c r="D4098" s="3">
        <v>1459.89</v>
      </c>
      <c r="E4098" s="3">
        <v>0</v>
      </c>
      <c r="F4098" t="s">
        <v>45</v>
      </c>
      <c r="G4098" s="3">
        <f t="shared" ref="G4098:G4161" si="491">E4098-D4098</f>
        <v>-1459.89</v>
      </c>
      <c r="H4098" s="3">
        <f t="shared" ref="H4098:H4161" si="492">ABS(G4098)</f>
        <v>1459.89</v>
      </c>
      <c r="I4098" s="5" t="str">
        <f t="shared" ref="I4098:I4161" si="493">MID(B4098,1,3)</f>
        <v>016</v>
      </c>
      <c r="J4098" s="5" t="str">
        <f t="shared" ref="J4098:J4161" si="494">MID(B4098,5,4)</f>
        <v>2100</v>
      </c>
      <c r="K4098" s="5" t="str">
        <f t="shared" ref="K4098:K4161" si="495">MID(B4098,10,3)</f>
        <v>000</v>
      </c>
      <c r="L4098" s="5">
        <f t="shared" ref="L4098:L4161" si="496">MONTH(A4098)</f>
        <v>10</v>
      </c>
      <c r="M4098" s="5">
        <f t="shared" ref="M4098:M4161" si="497">YEAR(A4098)</f>
        <v>2012</v>
      </c>
    </row>
    <row r="4099" spans="1:13" ht="17.45" customHeight="1" x14ac:dyDescent="0.25">
      <c r="A4099" s="1">
        <f>DATE(2012,10,10)</f>
        <v>41192</v>
      </c>
      <c r="B4099" t="s">
        <v>12</v>
      </c>
      <c r="C4099" t="s">
        <v>8</v>
      </c>
      <c r="D4099" s="3">
        <v>407.68000000000006</v>
      </c>
      <c r="E4099" s="3">
        <v>0</v>
      </c>
      <c r="F4099" t="s">
        <v>45</v>
      </c>
      <c r="G4099" s="3">
        <f t="shared" si="491"/>
        <v>-407.68000000000006</v>
      </c>
      <c r="H4099" s="3">
        <f t="shared" si="492"/>
        <v>407.68000000000006</v>
      </c>
      <c r="I4099" s="5" t="str">
        <f t="shared" si="493"/>
        <v>016</v>
      </c>
      <c r="J4099" s="5" t="str">
        <f t="shared" si="494"/>
        <v>2210</v>
      </c>
      <c r="K4099" s="5" t="str">
        <f t="shared" si="495"/>
        <v>000</v>
      </c>
      <c r="L4099" s="5">
        <f t="shared" si="496"/>
        <v>10</v>
      </c>
      <c r="M4099" s="5">
        <f t="shared" si="497"/>
        <v>2012</v>
      </c>
    </row>
    <row r="4100" spans="1:13" ht="17.45" customHeight="1" x14ac:dyDescent="0.25">
      <c r="A4100" s="1">
        <f>DATE(2012,10,10)</f>
        <v>41192</v>
      </c>
      <c r="B4100" t="s">
        <v>13</v>
      </c>
      <c r="C4100" t="s">
        <v>9</v>
      </c>
      <c r="D4100" s="3">
        <v>89.131500000000003</v>
      </c>
      <c r="E4100" s="3">
        <v>0</v>
      </c>
      <c r="F4100" t="s">
        <v>45</v>
      </c>
      <c r="G4100" s="3">
        <f t="shared" si="491"/>
        <v>-89.131500000000003</v>
      </c>
      <c r="H4100" s="3">
        <f t="shared" si="492"/>
        <v>89.131500000000003</v>
      </c>
      <c r="I4100" s="5" t="str">
        <f t="shared" si="493"/>
        <v>016</v>
      </c>
      <c r="J4100" s="5" t="str">
        <f t="shared" si="494"/>
        <v>2220</v>
      </c>
      <c r="K4100" s="5" t="str">
        <f t="shared" si="495"/>
        <v>000</v>
      </c>
      <c r="L4100" s="5">
        <f t="shared" si="496"/>
        <v>10</v>
      </c>
      <c r="M4100" s="5">
        <f t="shared" si="497"/>
        <v>2012</v>
      </c>
    </row>
    <row r="4101" spans="1:13" ht="17.45" customHeight="1" x14ac:dyDescent="0.25">
      <c r="A4101" s="1">
        <f>DATE(2012,10,10)</f>
        <v>41192</v>
      </c>
      <c r="B4101" t="s">
        <v>14</v>
      </c>
      <c r="C4101" t="s">
        <v>10</v>
      </c>
      <c r="D4101" s="3">
        <v>50.274000000000001</v>
      </c>
      <c r="E4101" s="3">
        <v>0</v>
      </c>
      <c r="F4101" t="s">
        <v>45</v>
      </c>
      <c r="G4101" s="3">
        <f t="shared" si="491"/>
        <v>-50.274000000000001</v>
      </c>
      <c r="H4101" s="3">
        <f t="shared" si="492"/>
        <v>50.274000000000001</v>
      </c>
      <c r="I4101" s="5" t="str">
        <f t="shared" si="493"/>
        <v>016</v>
      </c>
      <c r="J4101" s="5" t="str">
        <f t="shared" si="494"/>
        <v>2230</v>
      </c>
      <c r="K4101" s="5" t="str">
        <f t="shared" si="495"/>
        <v>000</v>
      </c>
      <c r="L4101" s="5">
        <f t="shared" si="496"/>
        <v>10</v>
      </c>
      <c r="M4101" s="5">
        <f t="shared" si="497"/>
        <v>2012</v>
      </c>
    </row>
    <row r="4102" spans="1:13" ht="17.45" customHeight="1" x14ac:dyDescent="0.25">
      <c r="A4102" s="1">
        <f>DATE(2012,10,11)</f>
        <v>41193</v>
      </c>
      <c r="B4102" t="s">
        <v>11</v>
      </c>
      <c r="C4102" t="s">
        <v>6</v>
      </c>
      <c r="D4102" s="3">
        <v>3727.3049999999998</v>
      </c>
      <c r="E4102" s="3">
        <v>0</v>
      </c>
      <c r="F4102" t="s">
        <v>45</v>
      </c>
      <c r="G4102" s="3">
        <f t="shared" si="491"/>
        <v>-3727.3049999999998</v>
      </c>
      <c r="H4102" s="3">
        <f t="shared" si="492"/>
        <v>3727.3049999999998</v>
      </c>
      <c r="I4102" s="5" t="str">
        <f t="shared" si="493"/>
        <v>016</v>
      </c>
      <c r="J4102" s="5" t="str">
        <f t="shared" si="494"/>
        <v>2100</v>
      </c>
      <c r="K4102" s="5" t="str">
        <f t="shared" si="495"/>
        <v>000</v>
      </c>
      <c r="L4102" s="5">
        <f t="shared" si="496"/>
        <v>10</v>
      </c>
      <c r="M4102" s="5">
        <f t="shared" si="497"/>
        <v>2012</v>
      </c>
    </row>
    <row r="4103" spans="1:13" ht="17.45" customHeight="1" x14ac:dyDescent="0.25">
      <c r="A4103" s="1">
        <f>DATE(2012,10,11)</f>
        <v>41193</v>
      </c>
      <c r="B4103" t="s">
        <v>12</v>
      </c>
      <c r="C4103" t="s">
        <v>8</v>
      </c>
      <c r="D4103" s="3">
        <v>620.23500000000001</v>
      </c>
      <c r="E4103" s="3">
        <v>0</v>
      </c>
      <c r="F4103" t="s">
        <v>45</v>
      </c>
      <c r="G4103" s="3">
        <f t="shared" si="491"/>
        <v>-620.23500000000001</v>
      </c>
      <c r="H4103" s="3">
        <f t="shared" si="492"/>
        <v>620.23500000000001</v>
      </c>
      <c r="I4103" s="5" t="str">
        <f t="shared" si="493"/>
        <v>016</v>
      </c>
      <c r="J4103" s="5" t="str">
        <f t="shared" si="494"/>
        <v>2210</v>
      </c>
      <c r="K4103" s="5" t="str">
        <f t="shared" si="495"/>
        <v>000</v>
      </c>
      <c r="L4103" s="5">
        <f t="shared" si="496"/>
        <v>10</v>
      </c>
      <c r="M4103" s="5">
        <f t="shared" si="497"/>
        <v>2012</v>
      </c>
    </row>
    <row r="4104" spans="1:13" ht="17.45" customHeight="1" x14ac:dyDescent="0.25">
      <c r="A4104" s="1">
        <f>DATE(2012,10,11)</f>
        <v>41193</v>
      </c>
      <c r="B4104" t="s">
        <v>13</v>
      </c>
      <c r="C4104" t="s">
        <v>9</v>
      </c>
      <c r="D4104" s="3">
        <v>193.67100000000002</v>
      </c>
      <c r="E4104" s="3">
        <v>0</v>
      </c>
      <c r="F4104" t="s">
        <v>45</v>
      </c>
      <c r="G4104" s="3">
        <f t="shared" si="491"/>
        <v>-193.67100000000002</v>
      </c>
      <c r="H4104" s="3">
        <f t="shared" si="492"/>
        <v>193.67100000000002</v>
      </c>
      <c r="I4104" s="5" t="str">
        <f t="shared" si="493"/>
        <v>016</v>
      </c>
      <c r="J4104" s="5" t="str">
        <f t="shared" si="494"/>
        <v>2220</v>
      </c>
      <c r="K4104" s="5" t="str">
        <f t="shared" si="495"/>
        <v>000</v>
      </c>
      <c r="L4104" s="5">
        <f t="shared" si="496"/>
        <v>10</v>
      </c>
      <c r="M4104" s="5">
        <f t="shared" si="497"/>
        <v>2012</v>
      </c>
    </row>
    <row r="4105" spans="1:13" ht="17.45" customHeight="1" x14ac:dyDescent="0.25">
      <c r="A4105" s="1">
        <f>DATE(2012,10,11)</f>
        <v>41193</v>
      </c>
      <c r="B4105" t="s">
        <v>14</v>
      </c>
      <c r="C4105" t="s">
        <v>10</v>
      </c>
      <c r="D4105" s="3">
        <v>76.53</v>
      </c>
      <c r="E4105" s="3">
        <v>0</v>
      </c>
      <c r="F4105" t="s">
        <v>45</v>
      </c>
      <c r="G4105" s="3">
        <f t="shared" si="491"/>
        <v>-76.53</v>
      </c>
      <c r="H4105" s="3">
        <f t="shared" si="492"/>
        <v>76.53</v>
      </c>
      <c r="I4105" s="5" t="str">
        <f t="shared" si="493"/>
        <v>016</v>
      </c>
      <c r="J4105" s="5" t="str">
        <f t="shared" si="494"/>
        <v>2230</v>
      </c>
      <c r="K4105" s="5" t="str">
        <f t="shared" si="495"/>
        <v>000</v>
      </c>
      <c r="L4105" s="5">
        <f t="shared" si="496"/>
        <v>10</v>
      </c>
      <c r="M4105" s="5">
        <f t="shared" si="497"/>
        <v>2012</v>
      </c>
    </row>
    <row r="4106" spans="1:13" ht="17.45" customHeight="1" x14ac:dyDescent="0.25">
      <c r="A4106" s="1">
        <f>DATE(2012,10,12)</f>
        <v>41194</v>
      </c>
      <c r="B4106" t="s">
        <v>11</v>
      </c>
      <c r="C4106" t="s">
        <v>6</v>
      </c>
      <c r="D4106" s="3">
        <v>5405.6280999999999</v>
      </c>
      <c r="E4106" s="3">
        <v>0</v>
      </c>
      <c r="F4106" t="s">
        <v>45</v>
      </c>
      <c r="G4106" s="3">
        <f t="shared" si="491"/>
        <v>-5405.6280999999999</v>
      </c>
      <c r="H4106" s="3">
        <f t="shared" si="492"/>
        <v>5405.6280999999999</v>
      </c>
      <c r="I4106" s="5" t="str">
        <f t="shared" si="493"/>
        <v>016</v>
      </c>
      <c r="J4106" s="5" t="str">
        <f t="shared" si="494"/>
        <v>2100</v>
      </c>
      <c r="K4106" s="5" t="str">
        <f t="shared" si="495"/>
        <v>000</v>
      </c>
      <c r="L4106" s="5">
        <f t="shared" si="496"/>
        <v>10</v>
      </c>
      <c r="M4106" s="5">
        <f t="shared" si="497"/>
        <v>2012</v>
      </c>
    </row>
    <row r="4107" spans="1:13" ht="17.45" customHeight="1" x14ac:dyDescent="0.25">
      <c r="A4107" s="1">
        <f>DATE(2012,10,12)</f>
        <v>41194</v>
      </c>
      <c r="B4107" t="s">
        <v>12</v>
      </c>
      <c r="C4107" t="s">
        <v>8</v>
      </c>
      <c r="D4107" s="3">
        <v>1398.4336000000001</v>
      </c>
      <c r="E4107" s="3">
        <v>0</v>
      </c>
      <c r="F4107" t="s">
        <v>45</v>
      </c>
      <c r="G4107" s="3">
        <f t="shared" si="491"/>
        <v>-1398.4336000000001</v>
      </c>
      <c r="H4107" s="3">
        <f t="shared" si="492"/>
        <v>1398.4336000000001</v>
      </c>
      <c r="I4107" s="5" t="str">
        <f t="shared" si="493"/>
        <v>016</v>
      </c>
      <c r="J4107" s="5" t="str">
        <f t="shared" si="494"/>
        <v>2210</v>
      </c>
      <c r="K4107" s="5" t="str">
        <f t="shared" si="495"/>
        <v>000</v>
      </c>
      <c r="L4107" s="5">
        <f t="shared" si="496"/>
        <v>10</v>
      </c>
      <c r="M4107" s="5">
        <f t="shared" si="497"/>
        <v>2012</v>
      </c>
    </row>
    <row r="4108" spans="1:13" ht="17.45" customHeight="1" x14ac:dyDescent="0.25">
      <c r="A4108" s="1">
        <f>DATE(2012,10,12)</f>
        <v>41194</v>
      </c>
      <c r="B4108" t="s">
        <v>13</v>
      </c>
      <c r="C4108" t="s">
        <v>9</v>
      </c>
      <c r="D4108" s="3">
        <v>223.452</v>
      </c>
      <c r="E4108" s="3">
        <v>0</v>
      </c>
      <c r="F4108" t="s">
        <v>45</v>
      </c>
      <c r="G4108" s="3">
        <f t="shared" si="491"/>
        <v>-223.452</v>
      </c>
      <c r="H4108" s="3">
        <f t="shared" si="492"/>
        <v>223.452</v>
      </c>
      <c r="I4108" s="5" t="str">
        <f t="shared" si="493"/>
        <v>016</v>
      </c>
      <c r="J4108" s="5" t="str">
        <f t="shared" si="494"/>
        <v>2220</v>
      </c>
      <c r="K4108" s="5" t="str">
        <f t="shared" si="495"/>
        <v>000</v>
      </c>
      <c r="L4108" s="5">
        <f t="shared" si="496"/>
        <v>10</v>
      </c>
      <c r="M4108" s="5">
        <f t="shared" si="497"/>
        <v>2012</v>
      </c>
    </row>
    <row r="4109" spans="1:13" ht="17.45" customHeight="1" x14ac:dyDescent="0.25">
      <c r="A4109" s="1">
        <f>DATE(2012,10,12)</f>
        <v>41194</v>
      </c>
      <c r="B4109" t="s">
        <v>14</v>
      </c>
      <c r="C4109" t="s">
        <v>10</v>
      </c>
      <c r="D4109" s="3">
        <v>84.725999999999999</v>
      </c>
      <c r="E4109" s="3">
        <v>0</v>
      </c>
      <c r="F4109" t="s">
        <v>45</v>
      </c>
      <c r="G4109" s="3">
        <f t="shared" si="491"/>
        <v>-84.725999999999999</v>
      </c>
      <c r="H4109" s="3">
        <f t="shared" si="492"/>
        <v>84.725999999999999</v>
      </c>
      <c r="I4109" s="5" t="str">
        <f t="shared" si="493"/>
        <v>016</v>
      </c>
      <c r="J4109" s="5" t="str">
        <f t="shared" si="494"/>
        <v>2230</v>
      </c>
      <c r="K4109" s="5" t="str">
        <f t="shared" si="495"/>
        <v>000</v>
      </c>
      <c r="L4109" s="5">
        <f t="shared" si="496"/>
        <v>10</v>
      </c>
      <c r="M4109" s="5">
        <f t="shared" si="497"/>
        <v>2012</v>
      </c>
    </row>
    <row r="4110" spans="1:13" ht="17.45" customHeight="1" x14ac:dyDescent="0.25">
      <c r="A4110" s="1">
        <f>DATE(2012,10,13)</f>
        <v>41195</v>
      </c>
      <c r="B4110" t="s">
        <v>11</v>
      </c>
      <c r="C4110" t="s">
        <v>6</v>
      </c>
      <c r="D4110" s="3">
        <v>7468.7217999999993</v>
      </c>
      <c r="E4110" s="3">
        <v>0</v>
      </c>
      <c r="F4110" t="s">
        <v>45</v>
      </c>
      <c r="G4110" s="3">
        <f t="shared" si="491"/>
        <v>-7468.7217999999993</v>
      </c>
      <c r="H4110" s="3">
        <f t="shared" si="492"/>
        <v>7468.7217999999993</v>
      </c>
      <c r="I4110" s="5" t="str">
        <f t="shared" si="493"/>
        <v>016</v>
      </c>
      <c r="J4110" s="5" t="str">
        <f t="shared" si="494"/>
        <v>2100</v>
      </c>
      <c r="K4110" s="5" t="str">
        <f t="shared" si="495"/>
        <v>000</v>
      </c>
      <c r="L4110" s="5">
        <f t="shared" si="496"/>
        <v>10</v>
      </c>
      <c r="M4110" s="5">
        <f t="shared" si="497"/>
        <v>2012</v>
      </c>
    </row>
    <row r="4111" spans="1:13" ht="17.45" customHeight="1" x14ac:dyDescent="0.25">
      <c r="A4111" s="1">
        <f>DATE(2012,10,13)</f>
        <v>41195</v>
      </c>
      <c r="B4111" t="s">
        <v>12</v>
      </c>
      <c r="C4111" t="s">
        <v>8</v>
      </c>
      <c r="D4111" s="3">
        <v>2433.527</v>
      </c>
      <c r="E4111" s="3">
        <v>0</v>
      </c>
      <c r="F4111" t="s">
        <v>45</v>
      </c>
      <c r="G4111" s="3">
        <f t="shared" si="491"/>
        <v>-2433.527</v>
      </c>
      <c r="H4111" s="3">
        <f t="shared" si="492"/>
        <v>2433.527</v>
      </c>
      <c r="I4111" s="5" t="str">
        <f t="shared" si="493"/>
        <v>016</v>
      </c>
      <c r="J4111" s="5" t="str">
        <f t="shared" si="494"/>
        <v>2210</v>
      </c>
      <c r="K4111" s="5" t="str">
        <f t="shared" si="495"/>
        <v>000</v>
      </c>
      <c r="L4111" s="5">
        <f t="shared" si="496"/>
        <v>10</v>
      </c>
      <c r="M4111" s="5">
        <f t="shared" si="497"/>
        <v>2012</v>
      </c>
    </row>
    <row r="4112" spans="1:13" ht="17.45" customHeight="1" x14ac:dyDescent="0.25">
      <c r="A4112" s="1">
        <f>DATE(2012,10,13)</f>
        <v>41195</v>
      </c>
      <c r="B4112" t="s">
        <v>13</v>
      </c>
      <c r="C4112" t="s">
        <v>9</v>
      </c>
      <c r="D4112" s="3">
        <v>371.85300000000001</v>
      </c>
      <c r="E4112" s="3">
        <v>0</v>
      </c>
      <c r="F4112" t="s">
        <v>45</v>
      </c>
      <c r="G4112" s="3">
        <f t="shared" si="491"/>
        <v>-371.85300000000001</v>
      </c>
      <c r="H4112" s="3">
        <f t="shared" si="492"/>
        <v>371.85300000000001</v>
      </c>
      <c r="I4112" s="5" t="str">
        <f t="shared" si="493"/>
        <v>016</v>
      </c>
      <c r="J4112" s="5" t="str">
        <f t="shared" si="494"/>
        <v>2220</v>
      </c>
      <c r="K4112" s="5" t="str">
        <f t="shared" si="495"/>
        <v>000</v>
      </c>
      <c r="L4112" s="5">
        <f t="shared" si="496"/>
        <v>10</v>
      </c>
      <c r="M4112" s="5">
        <f t="shared" si="497"/>
        <v>2012</v>
      </c>
    </row>
    <row r="4113" spans="1:13" ht="17.45" customHeight="1" x14ac:dyDescent="0.25">
      <c r="A4113" s="1">
        <f>DATE(2012,10,13)</f>
        <v>41195</v>
      </c>
      <c r="B4113" t="s">
        <v>14</v>
      </c>
      <c r="C4113" t="s">
        <v>10</v>
      </c>
      <c r="D4113" s="3">
        <v>111.315</v>
      </c>
      <c r="E4113" s="3">
        <v>0</v>
      </c>
      <c r="F4113" t="s">
        <v>45</v>
      </c>
      <c r="G4113" s="3">
        <f t="shared" si="491"/>
        <v>-111.315</v>
      </c>
      <c r="H4113" s="3">
        <f t="shared" si="492"/>
        <v>111.315</v>
      </c>
      <c r="I4113" s="5" t="str">
        <f t="shared" si="493"/>
        <v>016</v>
      </c>
      <c r="J4113" s="5" t="str">
        <f t="shared" si="494"/>
        <v>2230</v>
      </c>
      <c r="K4113" s="5" t="str">
        <f t="shared" si="495"/>
        <v>000</v>
      </c>
      <c r="L4113" s="5">
        <f t="shared" si="496"/>
        <v>10</v>
      </c>
      <c r="M4113" s="5">
        <f t="shared" si="497"/>
        <v>2012</v>
      </c>
    </row>
    <row r="4114" spans="1:13" ht="17.45" customHeight="1" x14ac:dyDescent="0.25">
      <c r="A4114" s="1">
        <f>DATE(2012,10,14)</f>
        <v>41196</v>
      </c>
      <c r="B4114" t="s">
        <v>11</v>
      </c>
      <c r="C4114" t="s">
        <v>6</v>
      </c>
      <c r="D4114" s="3">
        <v>4212.2025999999996</v>
      </c>
      <c r="E4114" s="3">
        <v>0</v>
      </c>
      <c r="F4114" t="s">
        <v>45</v>
      </c>
      <c r="G4114" s="3">
        <f t="shared" si="491"/>
        <v>-4212.2025999999996</v>
      </c>
      <c r="H4114" s="3">
        <f t="shared" si="492"/>
        <v>4212.2025999999996</v>
      </c>
      <c r="I4114" s="5" t="str">
        <f t="shared" si="493"/>
        <v>016</v>
      </c>
      <c r="J4114" s="5" t="str">
        <f t="shared" si="494"/>
        <v>2100</v>
      </c>
      <c r="K4114" s="5" t="str">
        <f t="shared" si="495"/>
        <v>000</v>
      </c>
      <c r="L4114" s="5">
        <f t="shared" si="496"/>
        <v>10</v>
      </c>
      <c r="M4114" s="5">
        <f t="shared" si="497"/>
        <v>2012</v>
      </c>
    </row>
    <row r="4115" spans="1:13" ht="17.45" customHeight="1" x14ac:dyDescent="0.25">
      <c r="A4115" s="1">
        <f>DATE(2012,10,14)</f>
        <v>41196</v>
      </c>
      <c r="B4115" t="s">
        <v>12</v>
      </c>
      <c r="C4115" t="s">
        <v>8</v>
      </c>
      <c r="D4115" s="3">
        <v>562.25</v>
      </c>
      <c r="E4115" s="3">
        <v>0</v>
      </c>
      <c r="F4115" t="s">
        <v>45</v>
      </c>
      <c r="G4115" s="3">
        <f t="shared" si="491"/>
        <v>-562.25</v>
      </c>
      <c r="H4115" s="3">
        <f t="shared" si="492"/>
        <v>562.25</v>
      </c>
      <c r="I4115" s="5" t="str">
        <f t="shared" si="493"/>
        <v>016</v>
      </c>
      <c r="J4115" s="5" t="str">
        <f t="shared" si="494"/>
        <v>2210</v>
      </c>
      <c r="K4115" s="5" t="str">
        <f t="shared" si="495"/>
        <v>000</v>
      </c>
      <c r="L4115" s="5">
        <f t="shared" si="496"/>
        <v>10</v>
      </c>
      <c r="M4115" s="5">
        <f t="shared" si="497"/>
        <v>2012</v>
      </c>
    </row>
    <row r="4116" spans="1:13" ht="17.45" customHeight="1" x14ac:dyDescent="0.25">
      <c r="A4116" s="1">
        <f>DATE(2012,10,14)</f>
        <v>41196</v>
      </c>
      <c r="B4116" t="s">
        <v>13</v>
      </c>
      <c r="C4116" t="s">
        <v>9</v>
      </c>
      <c r="D4116" s="3">
        <v>275.18400000000003</v>
      </c>
      <c r="E4116" s="3">
        <v>0</v>
      </c>
      <c r="F4116" t="s">
        <v>45</v>
      </c>
      <c r="G4116" s="3">
        <f t="shared" si="491"/>
        <v>-275.18400000000003</v>
      </c>
      <c r="H4116" s="3">
        <f t="shared" si="492"/>
        <v>275.18400000000003</v>
      </c>
      <c r="I4116" s="5" t="str">
        <f t="shared" si="493"/>
        <v>016</v>
      </c>
      <c r="J4116" s="5" t="str">
        <f t="shared" si="494"/>
        <v>2220</v>
      </c>
      <c r="K4116" s="5" t="str">
        <f t="shared" si="495"/>
        <v>000</v>
      </c>
      <c r="L4116" s="5">
        <f t="shared" si="496"/>
        <v>10</v>
      </c>
      <c r="M4116" s="5">
        <f t="shared" si="497"/>
        <v>2012</v>
      </c>
    </row>
    <row r="4117" spans="1:13" ht="17.45" customHeight="1" x14ac:dyDescent="0.25">
      <c r="A4117" s="1">
        <f>DATE(2012,10,14)</f>
        <v>41196</v>
      </c>
      <c r="B4117" t="s">
        <v>14</v>
      </c>
      <c r="C4117" t="s">
        <v>10</v>
      </c>
      <c r="D4117" s="3">
        <v>87.184999999999988</v>
      </c>
      <c r="E4117" s="3">
        <v>0</v>
      </c>
      <c r="F4117" t="s">
        <v>45</v>
      </c>
      <c r="G4117" s="3">
        <f t="shared" si="491"/>
        <v>-87.184999999999988</v>
      </c>
      <c r="H4117" s="3">
        <f t="shared" si="492"/>
        <v>87.184999999999988</v>
      </c>
      <c r="I4117" s="5" t="str">
        <f t="shared" si="493"/>
        <v>016</v>
      </c>
      <c r="J4117" s="5" t="str">
        <f t="shared" si="494"/>
        <v>2230</v>
      </c>
      <c r="K4117" s="5" t="str">
        <f t="shared" si="495"/>
        <v>000</v>
      </c>
      <c r="L4117" s="5">
        <f t="shared" si="496"/>
        <v>10</v>
      </c>
      <c r="M4117" s="5">
        <f t="shared" si="497"/>
        <v>2012</v>
      </c>
    </row>
    <row r="4118" spans="1:13" ht="17.45" customHeight="1" x14ac:dyDescent="0.25">
      <c r="A4118" s="1">
        <f>DATE(2012,10,8)</f>
        <v>41190</v>
      </c>
      <c r="B4118" t="s">
        <v>15</v>
      </c>
      <c r="C4118" t="s">
        <v>6</v>
      </c>
      <c r="D4118" s="3">
        <v>4060.1917999999996</v>
      </c>
      <c r="E4118" s="3">
        <v>0</v>
      </c>
      <c r="F4118" t="s">
        <v>45</v>
      </c>
      <c r="G4118" s="3">
        <f t="shared" si="491"/>
        <v>-4060.1917999999996</v>
      </c>
      <c r="H4118" s="3">
        <f t="shared" si="492"/>
        <v>4060.1917999999996</v>
      </c>
      <c r="I4118" s="5" t="str">
        <f t="shared" si="493"/>
        <v>017</v>
      </c>
      <c r="J4118" s="5" t="str">
        <f t="shared" si="494"/>
        <v>2100</v>
      </c>
      <c r="K4118" s="5" t="str">
        <f t="shared" si="495"/>
        <v>000</v>
      </c>
      <c r="L4118" s="5">
        <f t="shared" si="496"/>
        <v>10</v>
      </c>
      <c r="M4118" s="5">
        <f t="shared" si="497"/>
        <v>2012</v>
      </c>
    </row>
    <row r="4119" spans="1:13" ht="17.45" customHeight="1" x14ac:dyDescent="0.25">
      <c r="A4119" s="1">
        <f>DATE(2012,10,8)</f>
        <v>41190</v>
      </c>
      <c r="B4119" t="s">
        <v>16</v>
      </c>
      <c r="C4119" t="s">
        <v>8</v>
      </c>
      <c r="D4119" s="3">
        <v>984.84750000000008</v>
      </c>
      <c r="E4119" s="3">
        <v>0</v>
      </c>
      <c r="F4119" t="s">
        <v>45</v>
      </c>
      <c r="G4119" s="3">
        <f t="shared" si="491"/>
        <v>-984.84750000000008</v>
      </c>
      <c r="H4119" s="3">
        <f t="shared" si="492"/>
        <v>984.84750000000008</v>
      </c>
      <c r="I4119" s="5" t="str">
        <f t="shared" si="493"/>
        <v>017</v>
      </c>
      <c r="J4119" s="5" t="str">
        <f t="shared" si="494"/>
        <v>2210</v>
      </c>
      <c r="K4119" s="5" t="str">
        <f t="shared" si="495"/>
        <v>000</v>
      </c>
      <c r="L4119" s="5">
        <f t="shared" si="496"/>
        <v>10</v>
      </c>
      <c r="M4119" s="5">
        <f t="shared" si="497"/>
        <v>2012</v>
      </c>
    </row>
    <row r="4120" spans="1:13" ht="17.45" customHeight="1" x14ac:dyDescent="0.25">
      <c r="A4120" s="1">
        <f>DATE(2012,10,8)</f>
        <v>41190</v>
      </c>
      <c r="B4120" t="s">
        <v>17</v>
      </c>
      <c r="C4120" t="s">
        <v>9</v>
      </c>
      <c r="D4120" s="3">
        <v>282.7</v>
      </c>
      <c r="E4120" s="3">
        <v>0</v>
      </c>
      <c r="F4120" t="s">
        <v>45</v>
      </c>
      <c r="G4120" s="3">
        <f t="shared" si="491"/>
        <v>-282.7</v>
      </c>
      <c r="H4120" s="3">
        <f t="shared" si="492"/>
        <v>282.7</v>
      </c>
      <c r="I4120" s="5" t="str">
        <f t="shared" si="493"/>
        <v>017</v>
      </c>
      <c r="J4120" s="5" t="str">
        <f t="shared" si="494"/>
        <v>2220</v>
      </c>
      <c r="K4120" s="5" t="str">
        <f t="shared" si="495"/>
        <v>000</v>
      </c>
      <c r="L4120" s="5">
        <f t="shared" si="496"/>
        <v>10</v>
      </c>
      <c r="M4120" s="5">
        <f t="shared" si="497"/>
        <v>2012</v>
      </c>
    </row>
    <row r="4121" spans="1:13" ht="17.45" customHeight="1" x14ac:dyDescent="0.25">
      <c r="A4121" s="1">
        <f>DATE(2012,10,8)</f>
        <v>41190</v>
      </c>
      <c r="B4121" t="s">
        <v>18</v>
      </c>
      <c r="C4121" t="s">
        <v>10</v>
      </c>
      <c r="D4121" s="3">
        <v>66.33</v>
      </c>
      <c r="E4121" s="3">
        <v>0</v>
      </c>
      <c r="F4121" t="s">
        <v>45</v>
      </c>
      <c r="G4121" s="3">
        <f t="shared" si="491"/>
        <v>-66.33</v>
      </c>
      <c r="H4121" s="3">
        <f t="shared" si="492"/>
        <v>66.33</v>
      </c>
      <c r="I4121" s="5" t="str">
        <f t="shared" si="493"/>
        <v>017</v>
      </c>
      <c r="J4121" s="5" t="str">
        <f t="shared" si="494"/>
        <v>2230</v>
      </c>
      <c r="K4121" s="5" t="str">
        <f t="shared" si="495"/>
        <v>000</v>
      </c>
      <c r="L4121" s="5">
        <f t="shared" si="496"/>
        <v>10</v>
      </c>
      <c r="M4121" s="5">
        <f t="shared" si="497"/>
        <v>2012</v>
      </c>
    </row>
    <row r="4122" spans="1:13" ht="17.45" customHeight="1" x14ac:dyDescent="0.25">
      <c r="A4122" s="1">
        <f>DATE(2012,10,9)</f>
        <v>41191</v>
      </c>
      <c r="B4122" t="s">
        <v>15</v>
      </c>
      <c r="C4122" t="s">
        <v>6</v>
      </c>
      <c r="D4122" s="3">
        <v>5335.0159999999996</v>
      </c>
      <c r="E4122" s="3">
        <v>0</v>
      </c>
      <c r="F4122" t="s">
        <v>45</v>
      </c>
      <c r="G4122" s="3">
        <f t="shared" si="491"/>
        <v>-5335.0159999999996</v>
      </c>
      <c r="H4122" s="3">
        <f t="shared" si="492"/>
        <v>5335.0159999999996</v>
      </c>
      <c r="I4122" s="5" t="str">
        <f t="shared" si="493"/>
        <v>017</v>
      </c>
      <c r="J4122" s="5" t="str">
        <f t="shared" si="494"/>
        <v>2100</v>
      </c>
      <c r="K4122" s="5" t="str">
        <f t="shared" si="495"/>
        <v>000</v>
      </c>
      <c r="L4122" s="5">
        <f t="shared" si="496"/>
        <v>10</v>
      </c>
      <c r="M4122" s="5">
        <f t="shared" si="497"/>
        <v>2012</v>
      </c>
    </row>
    <row r="4123" spans="1:13" ht="17.45" customHeight="1" x14ac:dyDescent="0.25">
      <c r="A4123" s="1">
        <f>DATE(2012,10,9)</f>
        <v>41191</v>
      </c>
      <c r="B4123" t="s">
        <v>16</v>
      </c>
      <c r="C4123" t="s">
        <v>8</v>
      </c>
      <c r="D4123" s="3">
        <v>1119.79</v>
      </c>
      <c r="E4123" s="3">
        <v>0</v>
      </c>
      <c r="F4123" t="s">
        <v>45</v>
      </c>
      <c r="G4123" s="3">
        <f t="shared" si="491"/>
        <v>-1119.79</v>
      </c>
      <c r="H4123" s="3">
        <f t="shared" si="492"/>
        <v>1119.79</v>
      </c>
      <c r="I4123" s="5" t="str">
        <f t="shared" si="493"/>
        <v>017</v>
      </c>
      <c r="J4123" s="5" t="str">
        <f t="shared" si="494"/>
        <v>2210</v>
      </c>
      <c r="K4123" s="5" t="str">
        <f t="shared" si="495"/>
        <v>000</v>
      </c>
      <c r="L4123" s="5">
        <f t="shared" si="496"/>
        <v>10</v>
      </c>
      <c r="M4123" s="5">
        <f t="shared" si="497"/>
        <v>2012</v>
      </c>
    </row>
    <row r="4124" spans="1:13" ht="17.45" customHeight="1" x14ac:dyDescent="0.25">
      <c r="A4124" s="1">
        <f>DATE(2012,10,9)</f>
        <v>41191</v>
      </c>
      <c r="B4124" t="s">
        <v>17</v>
      </c>
      <c r="C4124" t="s">
        <v>9</v>
      </c>
      <c r="D4124" s="3">
        <v>549.56000000000006</v>
      </c>
      <c r="E4124" s="3">
        <v>0</v>
      </c>
      <c r="F4124" t="s">
        <v>45</v>
      </c>
      <c r="G4124" s="3">
        <f t="shared" si="491"/>
        <v>-549.56000000000006</v>
      </c>
      <c r="H4124" s="3">
        <f t="shared" si="492"/>
        <v>549.56000000000006</v>
      </c>
      <c r="I4124" s="5" t="str">
        <f t="shared" si="493"/>
        <v>017</v>
      </c>
      <c r="J4124" s="5" t="str">
        <f t="shared" si="494"/>
        <v>2220</v>
      </c>
      <c r="K4124" s="5" t="str">
        <f t="shared" si="495"/>
        <v>000</v>
      </c>
      <c r="L4124" s="5">
        <f t="shared" si="496"/>
        <v>10</v>
      </c>
      <c r="M4124" s="5">
        <f t="shared" si="497"/>
        <v>2012</v>
      </c>
    </row>
    <row r="4125" spans="1:13" ht="17.45" customHeight="1" x14ac:dyDescent="0.25">
      <c r="A4125" s="1">
        <f>DATE(2012,10,9)</f>
        <v>41191</v>
      </c>
      <c r="B4125" t="s">
        <v>18</v>
      </c>
      <c r="C4125" t="s">
        <v>10</v>
      </c>
      <c r="D4125" s="3">
        <v>88.124499999999998</v>
      </c>
      <c r="E4125" s="3">
        <v>0</v>
      </c>
      <c r="F4125" t="s">
        <v>45</v>
      </c>
      <c r="G4125" s="3">
        <f t="shared" si="491"/>
        <v>-88.124499999999998</v>
      </c>
      <c r="H4125" s="3">
        <f t="shared" si="492"/>
        <v>88.124499999999998</v>
      </c>
      <c r="I4125" s="5" t="str">
        <f t="shared" si="493"/>
        <v>017</v>
      </c>
      <c r="J4125" s="5" t="str">
        <f t="shared" si="494"/>
        <v>2230</v>
      </c>
      <c r="K4125" s="5" t="str">
        <f t="shared" si="495"/>
        <v>000</v>
      </c>
      <c r="L4125" s="5">
        <f t="shared" si="496"/>
        <v>10</v>
      </c>
      <c r="M4125" s="5">
        <f t="shared" si="497"/>
        <v>2012</v>
      </c>
    </row>
    <row r="4126" spans="1:13" ht="17.45" customHeight="1" x14ac:dyDescent="0.25">
      <c r="A4126" s="1">
        <f>DATE(2012,10,10)</f>
        <v>41192</v>
      </c>
      <c r="B4126" t="s">
        <v>15</v>
      </c>
      <c r="C4126" t="s">
        <v>6</v>
      </c>
      <c r="D4126" s="3">
        <v>5368.3874999999998</v>
      </c>
      <c r="E4126" s="3">
        <v>0</v>
      </c>
      <c r="F4126" t="s">
        <v>45</v>
      </c>
      <c r="G4126" s="3">
        <f t="shared" si="491"/>
        <v>-5368.3874999999998</v>
      </c>
      <c r="H4126" s="3">
        <f t="shared" si="492"/>
        <v>5368.3874999999998</v>
      </c>
      <c r="I4126" s="5" t="str">
        <f t="shared" si="493"/>
        <v>017</v>
      </c>
      <c r="J4126" s="5" t="str">
        <f t="shared" si="494"/>
        <v>2100</v>
      </c>
      <c r="K4126" s="5" t="str">
        <f t="shared" si="495"/>
        <v>000</v>
      </c>
      <c r="L4126" s="5">
        <f t="shared" si="496"/>
        <v>10</v>
      </c>
      <c r="M4126" s="5">
        <f t="shared" si="497"/>
        <v>2012</v>
      </c>
    </row>
    <row r="4127" spans="1:13" ht="17.45" customHeight="1" x14ac:dyDescent="0.25">
      <c r="A4127" s="1">
        <f>DATE(2012,10,10)</f>
        <v>41192</v>
      </c>
      <c r="B4127" t="s">
        <v>16</v>
      </c>
      <c r="C4127" t="s">
        <v>8</v>
      </c>
      <c r="D4127" s="3">
        <v>1455.45</v>
      </c>
      <c r="E4127" s="3">
        <v>0</v>
      </c>
      <c r="F4127" t="s">
        <v>45</v>
      </c>
      <c r="G4127" s="3">
        <f t="shared" si="491"/>
        <v>-1455.45</v>
      </c>
      <c r="H4127" s="3">
        <f t="shared" si="492"/>
        <v>1455.45</v>
      </c>
      <c r="I4127" s="5" t="str">
        <f t="shared" si="493"/>
        <v>017</v>
      </c>
      <c r="J4127" s="5" t="str">
        <f t="shared" si="494"/>
        <v>2210</v>
      </c>
      <c r="K4127" s="5" t="str">
        <f t="shared" si="495"/>
        <v>000</v>
      </c>
      <c r="L4127" s="5">
        <f t="shared" si="496"/>
        <v>10</v>
      </c>
      <c r="M4127" s="5">
        <f t="shared" si="497"/>
        <v>2012</v>
      </c>
    </row>
    <row r="4128" spans="1:13" ht="17.45" customHeight="1" x14ac:dyDescent="0.25">
      <c r="A4128" s="1">
        <f>DATE(2012,10,10)</f>
        <v>41192</v>
      </c>
      <c r="B4128" t="s">
        <v>17</v>
      </c>
      <c r="C4128" t="s">
        <v>9</v>
      </c>
      <c r="D4128" s="3">
        <v>231.03749999999999</v>
      </c>
      <c r="E4128" s="3">
        <v>0</v>
      </c>
      <c r="F4128" t="s">
        <v>45</v>
      </c>
      <c r="G4128" s="3">
        <f t="shared" si="491"/>
        <v>-231.03749999999999</v>
      </c>
      <c r="H4128" s="3">
        <f t="shared" si="492"/>
        <v>231.03749999999999</v>
      </c>
      <c r="I4128" s="5" t="str">
        <f t="shared" si="493"/>
        <v>017</v>
      </c>
      <c r="J4128" s="5" t="str">
        <f t="shared" si="494"/>
        <v>2220</v>
      </c>
      <c r="K4128" s="5" t="str">
        <f t="shared" si="495"/>
        <v>000</v>
      </c>
      <c r="L4128" s="5">
        <f t="shared" si="496"/>
        <v>10</v>
      </c>
      <c r="M4128" s="5">
        <f t="shared" si="497"/>
        <v>2012</v>
      </c>
    </row>
    <row r="4129" spans="1:13" ht="17.45" customHeight="1" x14ac:dyDescent="0.25">
      <c r="A4129" s="1">
        <f>DATE(2012,10,10)</f>
        <v>41192</v>
      </c>
      <c r="B4129" t="s">
        <v>18</v>
      </c>
      <c r="C4129" t="s">
        <v>10</v>
      </c>
      <c r="D4129" s="3">
        <v>107.916</v>
      </c>
      <c r="E4129" s="3">
        <v>0</v>
      </c>
      <c r="F4129" t="s">
        <v>45</v>
      </c>
      <c r="G4129" s="3">
        <f t="shared" si="491"/>
        <v>-107.916</v>
      </c>
      <c r="H4129" s="3">
        <f t="shared" si="492"/>
        <v>107.916</v>
      </c>
      <c r="I4129" s="5" t="str">
        <f t="shared" si="493"/>
        <v>017</v>
      </c>
      <c r="J4129" s="5" t="str">
        <f t="shared" si="494"/>
        <v>2230</v>
      </c>
      <c r="K4129" s="5" t="str">
        <f t="shared" si="495"/>
        <v>000</v>
      </c>
      <c r="L4129" s="5">
        <f t="shared" si="496"/>
        <v>10</v>
      </c>
      <c r="M4129" s="5">
        <f t="shared" si="497"/>
        <v>2012</v>
      </c>
    </row>
    <row r="4130" spans="1:13" ht="17.45" customHeight="1" x14ac:dyDescent="0.25">
      <c r="A4130" s="1">
        <f>DATE(2012,10,11)</f>
        <v>41193</v>
      </c>
      <c r="B4130" t="s">
        <v>15</v>
      </c>
      <c r="C4130" t="s">
        <v>6</v>
      </c>
      <c r="D4130" s="3">
        <v>7429.2605999999996</v>
      </c>
      <c r="E4130" s="3">
        <v>0</v>
      </c>
      <c r="F4130" t="s">
        <v>45</v>
      </c>
      <c r="G4130" s="3">
        <f t="shared" si="491"/>
        <v>-7429.2605999999996</v>
      </c>
      <c r="H4130" s="3">
        <f t="shared" si="492"/>
        <v>7429.2605999999996</v>
      </c>
      <c r="I4130" s="5" t="str">
        <f t="shared" si="493"/>
        <v>017</v>
      </c>
      <c r="J4130" s="5" t="str">
        <f t="shared" si="494"/>
        <v>2100</v>
      </c>
      <c r="K4130" s="5" t="str">
        <f t="shared" si="495"/>
        <v>000</v>
      </c>
      <c r="L4130" s="5">
        <f t="shared" si="496"/>
        <v>10</v>
      </c>
      <c r="M4130" s="5">
        <f t="shared" si="497"/>
        <v>2012</v>
      </c>
    </row>
    <row r="4131" spans="1:13" ht="17.45" customHeight="1" x14ac:dyDescent="0.25">
      <c r="A4131" s="1">
        <f>DATE(2012,10,11)</f>
        <v>41193</v>
      </c>
      <c r="B4131" t="s">
        <v>16</v>
      </c>
      <c r="C4131" t="s">
        <v>8</v>
      </c>
      <c r="D4131" s="3">
        <v>1395.8989999999999</v>
      </c>
      <c r="E4131" s="3">
        <v>0</v>
      </c>
      <c r="F4131" t="s">
        <v>45</v>
      </c>
      <c r="G4131" s="3">
        <f t="shared" si="491"/>
        <v>-1395.8989999999999</v>
      </c>
      <c r="H4131" s="3">
        <f t="shared" si="492"/>
        <v>1395.8989999999999</v>
      </c>
      <c r="I4131" s="5" t="str">
        <f t="shared" si="493"/>
        <v>017</v>
      </c>
      <c r="J4131" s="5" t="str">
        <f t="shared" si="494"/>
        <v>2210</v>
      </c>
      <c r="K4131" s="5" t="str">
        <f t="shared" si="495"/>
        <v>000</v>
      </c>
      <c r="L4131" s="5">
        <f t="shared" si="496"/>
        <v>10</v>
      </c>
      <c r="M4131" s="5">
        <f t="shared" si="497"/>
        <v>2012</v>
      </c>
    </row>
    <row r="4132" spans="1:13" ht="17.45" customHeight="1" x14ac:dyDescent="0.25">
      <c r="A4132" s="1">
        <f>DATE(2012,10,11)</f>
        <v>41193</v>
      </c>
      <c r="B4132" t="s">
        <v>17</v>
      </c>
      <c r="C4132" t="s">
        <v>9</v>
      </c>
      <c r="D4132" s="3">
        <v>556.29</v>
      </c>
      <c r="E4132" s="3">
        <v>0</v>
      </c>
      <c r="F4132" t="s">
        <v>45</v>
      </c>
      <c r="G4132" s="3">
        <f t="shared" si="491"/>
        <v>-556.29</v>
      </c>
      <c r="H4132" s="3">
        <f t="shared" si="492"/>
        <v>556.29</v>
      </c>
      <c r="I4132" s="5" t="str">
        <f t="shared" si="493"/>
        <v>017</v>
      </c>
      <c r="J4132" s="5" t="str">
        <f t="shared" si="494"/>
        <v>2220</v>
      </c>
      <c r="K4132" s="5" t="str">
        <f t="shared" si="495"/>
        <v>000</v>
      </c>
      <c r="L4132" s="5">
        <f t="shared" si="496"/>
        <v>10</v>
      </c>
      <c r="M4132" s="5">
        <f t="shared" si="497"/>
        <v>2012</v>
      </c>
    </row>
    <row r="4133" spans="1:13" ht="17.45" customHeight="1" x14ac:dyDescent="0.25">
      <c r="A4133" s="1">
        <f>DATE(2012,10,11)</f>
        <v>41193</v>
      </c>
      <c r="B4133" t="s">
        <v>18</v>
      </c>
      <c r="C4133" t="s">
        <v>10</v>
      </c>
      <c r="D4133" s="3">
        <v>168.4325</v>
      </c>
      <c r="E4133" s="3">
        <v>0</v>
      </c>
      <c r="F4133" t="s">
        <v>45</v>
      </c>
      <c r="G4133" s="3">
        <f t="shared" si="491"/>
        <v>-168.4325</v>
      </c>
      <c r="H4133" s="3">
        <f t="shared" si="492"/>
        <v>168.4325</v>
      </c>
      <c r="I4133" s="5" t="str">
        <f t="shared" si="493"/>
        <v>017</v>
      </c>
      <c r="J4133" s="5" t="str">
        <f t="shared" si="494"/>
        <v>2230</v>
      </c>
      <c r="K4133" s="5" t="str">
        <f t="shared" si="495"/>
        <v>000</v>
      </c>
      <c r="L4133" s="5">
        <f t="shared" si="496"/>
        <v>10</v>
      </c>
      <c r="M4133" s="5">
        <f t="shared" si="497"/>
        <v>2012</v>
      </c>
    </row>
    <row r="4134" spans="1:13" ht="17.45" customHeight="1" x14ac:dyDescent="0.25">
      <c r="A4134" s="1">
        <f>DATE(2012,10,12)</f>
        <v>41194</v>
      </c>
      <c r="B4134" t="s">
        <v>15</v>
      </c>
      <c r="C4134" t="s">
        <v>6</v>
      </c>
      <c r="D4134" s="3">
        <v>10137.665999999999</v>
      </c>
      <c r="E4134" s="3">
        <v>0</v>
      </c>
      <c r="F4134" t="s">
        <v>45</v>
      </c>
      <c r="G4134" s="3">
        <f t="shared" si="491"/>
        <v>-10137.665999999999</v>
      </c>
      <c r="H4134" s="3">
        <f t="shared" si="492"/>
        <v>10137.665999999999</v>
      </c>
      <c r="I4134" s="5" t="str">
        <f t="shared" si="493"/>
        <v>017</v>
      </c>
      <c r="J4134" s="5" t="str">
        <f t="shared" si="494"/>
        <v>2100</v>
      </c>
      <c r="K4134" s="5" t="str">
        <f t="shared" si="495"/>
        <v>000</v>
      </c>
      <c r="L4134" s="5">
        <f t="shared" si="496"/>
        <v>10</v>
      </c>
      <c r="M4134" s="5">
        <f t="shared" si="497"/>
        <v>2012</v>
      </c>
    </row>
    <row r="4135" spans="1:13" ht="17.45" customHeight="1" x14ac:dyDescent="0.25">
      <c r="A4135" s="1">
        <f>DATE(2012,10,12)</f>
        <v>41194</v>
      </c>
      <c r="B4135" t="s">
        <v>16</v>
      </c>
      <c r="C4135" t="s">
        <v>8</v>
      </c>
      <c r="D4135" s="3">
        <v>3085.29</v>
      </c>
      <c r="E4135" s="3">
        <v>0</v>
      </c>
      <c r="F4135" t="s">
        <v>45</v>
      </c>
      <c r="G4135" s="3">
        <f t="shared" si="491"/>
        <v>-3085.29</v>
      </c>
      <c r="H4135" s="3">
        <f t="shared" si="492"/>
        <v>3085.29</v>
      </c>
      <c r="I4135" s="5" t="str">
        <f t="shared" si="493"/>
        <v>017</v>
      </c>
      <c r="J4135" s="5" t="str">
        <f t="shared" si="494"/>
        <v>2210</v>
      </c>
      <c r="K4135" s="5" t="str">
        <f t="shared" si="495"/>
        <v>000</v>
      </c>
      <c r="L4135" s="5">
        <f t="shared" si="496"/>
        <v>10</v>
      </c>
      <c r="M4135" s="5">
        <f t="shared" si="497"/>
        <v>2012</v>
      </c>
    </row>
    <row r="4136" spans="1:13" ht="17.45" customHeight="1" x14ac:dyDescent="0.25">
      <c r="A4136" s="1">
        <f>DATE(2012,10,12)</f>
        <v>41194</v>
      </c>
      <c r="B4136" t="s">
        <v>17</v>
      </c>
      <c r="C4136" t="s">
        <v>9</v>
      </c>
      <c r="D4136" s="3">
        <v>875.76</v>
      </c>
      <c r="E4136" s="3">
        <v>0</v>
      </c>
      <c r="F4136" t="s">
        <v>45</v>
      </c>
      <c r="G4136" s="3">
        <f t="shared" si="491"/>
        <v>-875.76</v>
      </c>
      <c r="H4136" s="3">
        <f t="shared" si="492"/>
        <v>875.76</v>
      </c>
      <c r="I4136" s="5" t="str">
        <f t="shared" si="493"/>
        <v>017</v>
      </c>
      <c r="J4136" s="5" t="str">
        <f t="shared" si="494"/>
        <v>2220</v>
      </c>
      <c r="K4136" s="5" t="str">
        <f t="shared" si="495"/>
        <v>000</v>
      </c>
      <c r="L4136" s="5">
        <f t="shared" si="496"/>
        <v>10</v>
      </c>
      <c r="M4136" s="5">
        <f t="shared" si="497"/>
        <v>2012</v>
      </c>
    </row>
    <row r="4137" spans="1:13" ht="17.45" customHeight="1" x14ac:dyDescent="0.25">
      <c r="A4137" s="1">
        <f>DATE(2012,10,12)</f>
        <v>41194</v>
      </c>
      <c r="B4137" t="s">
        <v>18</v>
      </c>
      <c r="C4137" t="s">
        <v>10</v>
      </c>
      <c r="D4137" s="3">
        <v>129.05549999999999</v>
      </c>
      <c r="E4137" s="3">
        <v>0</v>
      </c>
      <c r="F4137" t="s">
        <v>45</v>
      </c>
      <c r="G4137" s="3">
        <f t="shared" si="491"/>
        <v>-129.05549999999999</v>
      </c>
      <c r="H4137" s="3">
        <f t="shared" si="492"/>
        <v>129.05549999999999</v>
      </c>
      <c r="I4137" s="5" t="str">
        <f t="shared" si="493"/>
        <v>017</v>
      </c>
      <c r="J4137" s="5" t="str">
        <f t="shared" si="494"/>
        <v>2230</v>
      </c>
      <c r="K4137" s="5" t="str">
        <f t="shared" si="495"/>
        <v>000</v>
      </c>
      <c r="L4137" s="5">
        <f t="shared" si="496"/>
        <v>10</v>
      </c>
      <c r="M4137" s="5">
        <f t="shared" si="497"/>
        <v>2012</v>
      </c>
    </row>
    <row r="4138" spans="1:13" ht="17.45" customHeight="1" x14ac:dyDescent="0.25">
      <c r="A4138" s="1">
        <f>DATE(2012,10,13)</f>
        <v>41195</v>
      </c>
      <c r="B4138" t="s">
        <v>15</v>
      </c>
      <c r="C4138" t="s">
        <v>6</v>
      </c>
      <c r="D4138" s="3">
        <v>8260.5779999999995</v>
      </c>
      <c r="E4138" s="3">
        <v>0</v>
      </c>
      <c r="F4138" t="s">
        <v>45</v>
      </c>
      <c r="G4138" s="3">
        <f t="shared" si="491"/>
        <v>-8260.5779999999995</v>
      </c>
      <c r="H4138" s="3">
        <f t="shared" si="492"/>
        <v>8260.5779999999995</v>
      </c>
      <c r="I4138" s="5" t="str">
        <f t="shared" si="493"/>
        <v>017</v>
      </c>
      <c r="J4138" s="5" t="str">
        <f t="shared" si="494"/>
        <v>2100</v>
      </c>
      <c r="K4138" s="5" t="str">
        <f t="shared" si="495"/>
        <v>000</v>
      </c>
      <c r="L4138" s="5">
        <f t="shared" si="496"/>
        <v>10</v>
      </c>
      <c r="M4138" s="5">
        <f t="shared" si="497"/>
        <v>2012</v>
      </c>
    </row>
    <row r="4139" spans="1:13" ht="17.45" customHeight="1" x14ac:dyDescent="0.25">
      <c r="A4139" s="1">
        <f>DATE(2012,10,13)</f>
        <v>41195</v>
      </c>
      <c r="B4139" t="s">
        <v>16</v>
      </c>
      <c r="C4139" t="s">
        <v>8</v>
      </c>
      <c r="D4139" s="3">
        <v>1924.3125</v>
      </c>
      <c r="E4139" s="3">
        <v>0</v>
      </c>
      <c r="F4139" t="s">
        <v>45</v>
      </c>
      <c r="G4139" s="3">
        <f t="shared" si="491"/>
        <v>-1924.3125</v>
      </c>
      <c r="H4139" s="3">
        <f t="shared" si="492"/>
        <v>1924.3125</v>
      </c>
      <c r="I4139" s="5" t="str">
        <f t="shared" si="493"/>
        <v>017</v>
      </c>
      <c r="J4139" s="5" t="str">
        <f t="shared" si="494"/>
        <v>2210</v>
      </c>
      <c r="K4139" s="5" t="str">
        <f t="shared" si="495"/>
        <v>000</v>
      </c>
      <c r="L4139" s="5">
        <f t="shared" si="496"/>
        <v>10</v>
      </c>
      <c r="M4139" s="5">
        <f t="shared" si="497"/>
        <v>2012</v>
      </c>
    </row>
    <row r="4140" spans="1:13" ht="17.45" customHeight="1" x14ac:dyDescent="0.25">
      <c r="A4140" s="1">
        <f>DATE(2012,10,13)</f>
        <v>41195</v>
      </c>
      <c r="B4140" t="s">
        <v>17</v>
      </c>
      <c r="C4140" t="s">
        <v>9</v>
      </c>
      <c r="D4140" s="3">
        <v>429.97500000000002</v>
      </c>
      <c r="E4140" s="3">
        <v>0</v>
      </c>
      <c r="F4140" t="s">
        <v>45</v>
      </c>
      <c r="G4140" s="3">
        <f t="shared" si="491"/>
        <v>-429.97500000000002</v>
      </c>
      <c r="H4140" s="3">
        <f t="shared" si="492"/>
        <v>429.97500000000002</v>
      </c>
      <c r="I4140" s="5" t="str">
        <f t="shared" si="493"/>
        <v>017</v>
      </c>
      <c r="J4140" s="5" t="str">
        <f t="shared" si="494"/>
        <v>2220</v>
      </c>
      <c r="K4140" s="5" t="str">
        <f t="shared" si="495"/>
        <v>000</v>
      </c>
      <c r="L4140" s="5">
        <f t="shared" si="496"/>
        <v>10</v>
      </c>
      <c r="M4140" s="5">
        <f t="shared" si="497"/>
        <v>2012</v>
      </c>
    </row>
    <row r="4141" spans="1:13" ht="17.45" customHeight="1" x14ac:dyDescent="0.25">
      <c r="A4141" s="1">
        <f>DATE(2012,10,13)</f>
        <v>41195</v>
      </c>
      <c r="B4141" t="s">
        <v>18</v>
      </c>
      <c r="C4141" t="s">
        <v>10</v>
      </c>
      <c r="D4141" s="3">
        <v>74.036999999999992</v>
      </c>
      <c r="E4141" s="3">
        <v>0</v>
      </c>
      <c r="F4141" t="s">
        <v>45</v>
      </c>
      <c r="G4141" s="3">
        <f t="shared" si="491"/>
        <v>-74.036999999999992</v>
      </c>
      <c r="H4141" s="3">
        <f t="shared" si="492"/>
        <v>74.036999999999992</v>
      </c>
      <c r="I4141" s="5" t="str">
        <f t="shared" si="493"/>
        <v>017</v>
      </c>
      <c r="J4141" s="5" t="str">
        <f t="shared" si="494"/>
        <v>2230</v>
      </c>
      <c r="K4141" s="5" t="str">
        <f t="shared" si="495"/>
        <v>000</v>
      </c>
      <c r="L4141" s="5">
        <f t="shared" si="496"/>
        <v>10</v>
      </c>
      <c r="M4141" s="5">
        <f t="shared" si="497"/>
        <v>2012</v>
      </c>
    </row>
    <row r="4142" spans="1:13" ht="17.45" customHeight="1" x14ac:dyDescent="0.25">
      <c r="A4142" s="1">
        <f>DATE(2012,10,14)</f>
        <v>41196</v>
      </c>
      <c r="B4142" t="s">
        <v>15</v>
      </c>
      <c r="C4142" t="s">
        <v>6</v>
      </c>
      <c r="D4142" s="3">
        <v>4520.6559999999999</v>
      </c>
      <c r="E4142" s="3">
        <v>0</v>
      </c>
      <c r="F4142" t="s">
        <v>45</v>
      </c>
      <c r="G4142" s="3">
        <f t="shared" si="491"/>
        <v>-4520.6559999999999</v>
      </c>
      <c r="H4142" s="3">
        <f t="shared" si="492"/>
        <v>4520.6559999999999</v>
      </c>
      <c r="I4142" s="5" t="str">
        <f t="shared" si="493"/>
        <v>017</v>
      </c>
      <c r="J4142" s="5" t="str">
        <f t="shared" si="494"/>
        <v>2100</v>
      </c>
      <c r="K4142" s="5" t="str">
        <f t="shared" si="495"/>
        <v>000</v>
      </c>
      <c r="L4142" s="5">
        <f t="shared" si="496"/>
        <v>10</v>
      </c>
      <c r="M4142" s="5">
        <f t="shared" si="497"/>
        <v>2012</v>
      </c>
    </row>
    <row r="4143" spans="1:13" ht="17.45" customHeight="1" x14ac:dyDescent="0.25">
      <c r="A4143" s="1">
        <f>DATE(2012,10,14)</f>
        <v>41196</v>
      </c>
      <c r="B4143" t="s">
        <v>16</v>
      </c>
      <c r="C4143" t="s">
        <v>8</v>
      </c>
      <c r="D4143" s="3">
        <v>1360.4955</v>
      </c>
      <c r="E4143" s="3">
        <v>0</v>
      </c>
      <c r="F4143" t="s">
        <v>45</v>
      </c>
      <c r="G4143" s="3">
        <f t="shared" si="491"/>
        <v>-1360.4955</v>
      </c>
      <c r="H4143" s="3">
        <f t="shared" si="492"/>
        <v>1360.4955</v>
      </c>
      <c r="I4143" s="5" t="str">
        <f t="shared" si="493"/>
        <v>017</v>
      </c>
      <c r="J4143" s="5" t="str">
        <f t="shared" si="494"/>
        <v>2210</v>
      </c>
      <c r="K4143" s="5" t="str">
        <f t="shared" si="495"/>
        <v>000</v>
      </c>
      <c r="L4143" s="5">
        <f t="shared" si="496"/>
        <v>10</v>
      </c>
      <c r="M4143" s="5">
        <f t="shared" si="497"/>
        <v>2012</v>
      </c>
    </row>
    <row r="4144" spans="1:13" ht="17.45" customHeight="1" x14ac:dyDescent="0.25">
      <c r="A4144" s="1">
        <f>DATE(2012,10,14)</f>
        <v>41196</v>
      </c>
      <c r="B4144" t="s">
        <v>17</v>
      </c>
      <c r="C4144" t="s">
        <v>9</v>
      </c>
      <c r="D4144" s="3">
        <v>229.0275</v>
      </c>
      <c r="E4144" s="3">
        <v>0</v>
      </c>
      <c r="F4144" t="s">
        <v>45</v>
      </c>
      <c r="G4144" s="3">
        <f t="shared" si="491"/>
        <v>-229.0275</v>
      </c>
      <c r="H4144" s="3">
        <f t="shared" si="492"/>
        <v>229.0275</v>
      </c>
      <c r="I4144" s="5" t="str">
        <f t="shared" si="493"/>
        <v>017</v>
      </c>
      <c r="J4144" s="5" t="str">
        <f t="shared" si="494"/>
        <v>2220</v>
      </c>
      <c r="K4144" s="5" t="str">
        <f t="shared" si="495"/>
        <v>000</v>
      </c>
      <c r="L4144" s="5">
        <f t="shared" si="496"/>
        <v>10</v>
      </c>
      <c r="M4144" s="5">
        <f t="shared" si="497"/>
        <v>2012</v>
      </c>
    </row>
    <row r="4145" spans="1:13" ht="17.45" customHeight="1" x14ac:dyDescent="0.25">
      <c r="A4145" s="1">
        <f>DATE(2012,10,14)</f>
        <v>41196</v>
      </c>
      <c r="B4145" t="s">
        <v>18</v>
      </c>
      <c r="C4145" t="s">
        <v>10</v>
      </c>
      <c r="D4145" s="3">
        <v>41.343999999999994</v>
      </c>
      <c r="E4145" s="3">
        <v>0</v>
      </c>
      <c r="F4145" t="s">
        <v>45</v>
      </c>
      <c r="G4145" s="3">
        <f t="shared" si="491"/>
        <v>-41.343999999999994</v>
      </c>
      <c r="H4145" s="3">
        <f t="shared" si="492"/>
        <v>41.343999999999994</v>
      </c>
      <c r="I4145" s="5" t="str">
        <f t="shared" si="493"/>
        <v>017</v>
      </c>
      <c r="J4145" s="5" t="str">
        <f t="shared" si="494"/>
        <v>2230</v>
      </c>
      <c r="K4145" s="5" t="str">
        <f t="shared" si="495"/>
        <v>000</v>
      </c>
      <c r="L4145" s="5">
        <f t="shared" si="496"/>
        <v>10</v>
      </c>
      <c r="M4145" s="5">
        <f t="shared" si="497"/>
        <v>2012</v>
      </c>
    </row>
    <row r="4146" spans="1:13" ht="17.45" customHeight="1" x14ac:dyDescent="0.25">
      <c r="A4146" s="1">
        <f>DATE(2012,10,8)</f>
        <v>41190</v>
      </c>
      <c r="B4146" t="s">
        <v>19</v>
      </c>
      <c r="C4146" t="s">
        <v>6</v>
      </c>
      <c r="D4146" s="3">
        <v>8288.0867999999991</v>
      </c>
      <c r="E4146" s="3">
        <v>0</v>
      </c>
      <c r="F4146" t="s">
        <v>45</v>
      </c>
      <c r="G4146" s="3">
        <f t="shared" si="491"/>
        <v>-8288.0867999999991</v>
      </c>
      <c r="H4146" s="3">
        <f t="shared" si="492"/>
        <v>8288.0867999999991</v>
      </c>
      <c r="I4146" s="5" t="str">
        <f t="shared" si="493"/>
        <v>018</v>
      </c>
      <c r="J4146" s="5" t="str">
        <f t="shared" si="494"/>
        <v>2100</v>
      </c>
      <c r="K4146" s="5" t="str">
        <f t="shared" si="495"/>
        <v>000</v>
      </c>
      <c r="L4146" s="5">
        <f t="shared" si="496"/>
        <v>10</v>
      </c>
      <c r="M4146" s="5">
        <f t="shared" si="497"/>
        <v>2012</v>
      </c>
    </row>
    <row r="4147" spans="1:13" ht="17.45" customHeight="1" x14ac:dyDescent="0.25">
      <c r="A4147" s="1">
        <f>DATE(2012,10,8)</f>
        <v>41190</v>
      </c>
      <c r="B4147" t="s">
        <v>20</v>
      </c>
      <c r="C4147" t="s">
        <v>8</v>
      </c>
      <c r="D4147" s="3">
        <v>869.35750000000007</v>
      </c>
      <c r="E4147" s="3">
        <v>0</v>
      </c>
      <c r="F4147" t="s">
        <v>45</v>
      </c>
      <c r="G4147" s="3">
        <f t="shared" si="491"/>
        <v>-869.35750000000007</v>
      </c>
      <c r="H4147" s="3">
        <f t="shared" si="492"/>
        <v>869.35750000000007</v>
      </c>
      <c r="I4147" s="5" t="str">
        <f t="shared" si="493"/>
        <v>018</v>
      </c>
      <c r="J4147" s="5" t="str">
        <f t="shared" si="494"/>
        <v>2210</v>
      </c>
      <c r="K4147" s="5" t="str">
        <f t="shared" si="495"/>
        <v>000</v>
      </c>
      <c r="L4147" s="5">
        <f t="shared" si="496"/>
        <v>10</v>
      </c>
      <c r="M4147" s="5">
        <f t="shared" si="497"/>
        <v>2012</v>
      </c>
    </row>
    <row r="4148" spans="1:13" ht="17.45" customHeight="1" x14ac:dyDescent="0.25">
      <c r="A4148" s="1">
        <f>DATE(2012,10,8)</f>
        <v>41190</v>
      </c>
      <c r="B4148" t="s">
        <v>21</v>
      </c>
      <c r="C4148" t="s">
        <v>9</v>
      </c>
      <c r="D4148" s="3">
        <v>337.54500000000002</v>
      </c>
      <c r="E4148" s="3">
        <v>0</v>
      </c>
      <c r="F4148" t="s">
        <v>45</v>
      </c>
      <c r="G4148" s="3">
        <f t="shared" si="491"/>
        <v>-337.54500000000002</v>
      </c>
      <c r="H4148" s="3">
        <f t="shared" si="492"/>
        <v>337.54500000000002</v>
      </c>
      <c r="I4148" s="5" t="str">
        <f t="shared" si="493"/>
        <v>018</v>
      </c>
      <c r="J4148" s="5" t="str">
        <f t="shared" si="494"/>
        <v>2220</v>
      </c>
      <c r="K4148" s="5" t="str">
        <f t="shared" si="495"/>
        <v>000</v>
      </c>
      <c r="L4148" s="5">
        <f t="shared" si="496"/>
        <v>10</v>
      </c>
      <c r="M4148" s="5">
        <f t="shared" si="497"/>
        <v>2012</v>
      </c>
    </row>
    <row r="4149" spans="1:13" ht="17.45" customHeight="1" x14ac:dyDescent="0.25">
      <c r="A4149" s="1">
        <f>DATE(2012,10,8)</f>
        <v>41190</v>
      </c>
      <c r="B4149" t="s">
        <v>22</v>
      </c>
      <c r="C4149" t="s">
        <v>10</v>
      </c>
      <c r="D4149" s="3">
        <v>118.66800000000001</v>
      </c>
      <c r="E4149" s="3">
        <v>0</v>
      </c>
      <c r="F4149" t="s">
        <v>45</v>
      </c>
      <c r="G4149" s="3">
        <f t="shared" si="491"/>
        <v>-118.66800000000001</v>
      </c>
      <c r="H4149" s="3">
        <f t="shared" si="492"/>
        <v>118.66800000000001</v>
      </c>
      <c r="I4149" s="5" t="str">
        <f t="shared" si="493"/>
        <v>018</v>
      </c>
      <c r="J4149" s="5" t="str">
        <f t="shared" si="494"/>
        <v>2230</v>
      </c>
      <c r="K4149" s="5" t="str">
        <f t="shared" si="495"/>
        <v>000</v>
      </c>
      <c r="L4149" s="5">
        <f t="shared" si="496"/>
        <v>10</v>
      </c>
      <c r="M4149" s="5">
        <f t="shared" si="497"/>
        <v>2012</v>
      </c>
    </row>
    <row r="4150" spans="1:13" ht="17.45" customHeight="1" x14ac:dyDescent="0.25">
      <c r="A4150" s="1">
        <f>DATE(2012,10,9)</f>
        <v>41191</v>
      </c>
      <c r="B4150" t="s">
        <v>19</v>
      </c>
      <c r="C4150" t="s">
        <v>6</v>
      </c>
      <c r="D4150" s="3">
        <v>2689.3845999999999</v>
      </c>
      <c r="E4150" s="3">
        <v>0</v>
      </c>
      <c r="F4150" t="s">
        <v>45</v>
      </c>
      <c r="G4150" s="3">
        <f t="shared" si="491"/>
        <v>-2689.3845999999999</v>
      </c>
      <c r="H4150" s="3">
        <f t="shared" si="492"/>
        <v>2689.3845999999999</v>
      </c>
      <c r="I4150" s="5" t="str">
        <f t="shared" si="493"/>
        <v>018</v>
      </c>
      <c r="J4150" s="5" t="str">
        <f t="shared" si="494"/>
        <v>2100</v>
      </c>
      <c r="K4150" s="5" t="str">
        <f t="shared" si="495"/>
        <v>000</v>
      </c>
      <c r="L4150" s="5">
        <f t="shared" si="496"/>
        <v>10</v>
      </c>
      <c r="M4150" s="5">
        <f t="shared" si="497"/>
        <v>2012</v>
      </c>
    </row>
    <row r="4151" spans="1:13" ht="17.45" customHeight="1" x14ac:dyDescent="0.25">
      <c r="A4151" s="1">
        <f>DATE(2012,10,9)</f>
        <v>41191</v>
      </c>
      <c r="B4151" t="s">
        <v>20</v>
      </c>
      <c r="C4151" t="s">
        <v>8</v>
      </c>
      <c r="D4151" s="3">
        <v>515.16800000000001</v>
      </c>
      <c r="E4151" s="3">
        <v>0</v>
      </c>
      <c r="F4151" t="s">
        <v>45</v>
      </c>
      <c r="G4151" s="3">
        <f t="shared" si="491"/>
        <v>-515.16800000000001</v>
      </c>
      <c r="H4151" s="3">
        <f t="shared" si="492"/>
        <v>515.16800000000001</v>
      </c>
      <c r="I4151" s="5" t="str">
        <f t="shared" si="493"/>
        <v>018</v>
      </c>
      <c r="J4151" s="5" t="str">
        <f t="shared" si="494"/>
        <v>2210</v>
      </c>
      <c r="K4151" s="5" t="str">
        <f t="shared" si="495"/>
        <v>000</v>
      </c>
      <c r="L4151" s="5">
        <f t="shared" si="496"/>
        <v>10</v>
      </c>
      <c r="M4151" s="5">
        <f t="shared" si="497"/>
        <v>2012</v>
      </c>
    </row>
    <row r="4152" spans="1:13" ht="17.45" customHeight="1" x14ac:dyDescent="0.25">
      <c r="A4152" s="1">
        <f>DATE(2012,10,9)</f>
        <v>41191</v>
      </c>
      <c r="B4152" t="s">
        <v>21</v>
      </c>
      <c r="C4152" t="s">
        <v>9</v>
      </c>
      <c r="D4152" s="3">
        <v>136.36699999999999</v>
      </c>
      <c r="E4152" s="3">
        <v>0</v>
      </c>
      <c r="F4152" t="s">
        <v>45</v>
      </c>
      <c r="G4152" s="3">
        <f t="shared" si="491"/>
        <v>-136.36699999999999</v>
      </c>
      <c r="H4152" s="3">
        <f t="shared" si="492"/>
        <v>136.36699999999999</v>
      </c>
      <c r="I4152" s="5" t="str">
        <f t="shared" si="493"/>
        <v>018</v>
      </c>
      <c r="J4152" s="5" t="str">
        <f t="shared" si="494"/>
        <v>2220</v>
      </c>
      <c r="K4152" s="5" t="str">
        <f t="shared" si="495"/>
        <v>000</v>
      </c>
      <c r="L4152" s="5">
        <f t="shared" si="496"/>
        <v>10</v>
      </c>
      <c r="M4152" s="5">
        <f t="shared" si="497"/>
        <v>2012</v>
      </c>
    </row>
    <row r="4153" spans="1:13" ht="17.45" customHeight="1" x14ac:dyDescent="0.25">
      <c r="A4153" s="1">
        <f>DATE(2012,10,9)</f>
        <v>41191</v>
      </c>
      <c r="B4153" t="s">
        <v>22</v>
      </c>
      <c r="C4153" t="s">
        <v>10</v>
      </c>
      <c r="D4153" s="3">
        <v>70.347499999999997</v>
      </c>
      <c r="E4153" s="3">
        <v>0</v>
      </c>
      <c r="F4153" t="s">
        <v>45</v>
      </c>
      <c r="G4153" s="3">
        <f t="shared" si="491"/>
        <v>-70.347499999999997</v>
      </c>
      <c r="H4153" s="3">
        <f t="shared" si="492"/>
        <v>70.347499999999997</v>
      </c>
      <c r="I4153" s="5" t="str">
        <f t="shared" si="493"/>
        <v>018</v>
      </c>
      <c r="J4153" s="5" t="str">
        <f t="shared" si="494"/>
        <v>2230</v>
      </c>
      <c r="K4153" s="5" t="str">
        <f t="shared" si="495"/>
        <v>000</v>
      </c>
      <c r="L4153" s="5">
        <f t="shared" si="496"/>
        <v>10</v>
      </c>
      <c r="M4153" s="5">
        <f t="shared" si="497"/>
        <v>2012</v>
      </c>
    </row>
    <row r="4154" spans="1:13" ht="17.45" customHeight="1" x14ac:dyDescent="0.25">
      <c r="A4154" s="1">
        <f>DATE(2012,10,10)</f>
        <v>41192</v>
      </c>
      <c r="B4154" t="s">
        <v>19</v>
      </c>
      <c r="C4154" t="s">
        <v>6</v>
      </c>
      <c r="D4154" s="3">
        <v>3915.2339999999999</v>
      </c>
      <c r="E4154" s="3">
        <v>0</v>
      </c>
      <c r="F4154" t="s">
        <v>45</v>
      </c>
      <c r="G4154" s="3">
        <f t="shared" si="491"/>
        <v>-3915.2339999999999</v>
      </c>
      <c r="H4154" s="3">
        <f t="shared" si="492"/>
        <v>3915.2339999999999</v>
      </c>
      <c r="I4154" s="5" t="str">
        <f t="shared" si="493"/>
        <v>018</v>
      </c>
      <c r="J4154" s="5" t="str">
        <f t="shared" si="494"/>
        <v>2100</v>
      </c>
      <c r="K4154" s="5" t="str">
        <f t="shared" si="495"/>
        <v>000</v>
      </c>
      <c r="L4154" s="5">
        <f t="shared" si="496"/>
        <v>10</v>
      </c>
      <c r="M4154" s="5">
        <f t="shared" si="497"/>
        <v>2012</v>
      </c>
    </row>
    <row r="4155" spans="1:13" ht="17.45" customHeight="1" x14ac:dyDescent="0.25">
      <c r="A4155" s="1">
        <f>DATE(2012,10,10)</f>
        <v>41192</v>
      </c>
      <c r="B4155" t="s">
        <v>20</v>
      </c>
      <c r="C4155" t="s">
        <v>8</v>
      </c>
      <c r="D4155" s="3">
        <v>808.95150000000001</v>
      </c>
      <c r="E4155" s="3">
        <v>0</v>
      </c>
      <c r="F4155" t="s">
        <v>45</v>
      </c>
      <c r="G4155" s="3">
        <f t="shared" si="491"/>
        <v>-808.95150000000001</v>
      </c>
      <c r="H4155" s="3">
        <f t="shared" si="492"/>
        <v>808.95150000000001</v>
      </c>
      <c r="I4155" s="5" t="str">
        <f t="shared" si="493"/>
        <v>018</v>
      </c>
      <c r="J4155" s="5" t="str">
        <f t="shared" si="494"/>
        <v>2210</v>
      </c>
      <c r="K4155" s="5" t="str">
        <f t="shared" si="495"/>
        <v>000</v>
      </c>
      <c r="L4155" s="5">
        <f t="shared" si="496"/>
        <v>10</v>
      </c>
      <c r="M4155" s="5">
        <f t="shared" si="497"/>
        <v>2012</v>
      </c>
    </row>
    <row r="4156" spans="1:13" ht="17.45" customHeight="1" x14ac:dyDescent="0.25">
      <c r="A4156" s="1">
        <f>DATE(2012,10,10)</f>
        <v>41192</v>
      </c>
      <c r="B4156" t="s">
        <v>21</v>
      </c>
      <c r="C4156" t="s">
        <v>9</v>
      </c>
      <c r="D4156" s="3">
        <v>378.23099999999999</v>
      </c>
      <c r="E4156" s="3">
        <v>0</v>
      </c>
      <c r="F4156" t="s">
        <v>45</v>
      </c>
      <c r="G4156" s="3">
        <f t="shared" si="491"/>
        <v>-378.23099999999999</v>
      </c>
      <c r="H4156" s="3">
        <f t="shared" si="492"/>
        <v>378.23099999999999</v>
      </c>
      <c r="I4156" s="5" t="str">
        <f t="shared" si="493"/>
        <v>018</v>
      </c>
      <c r="J4156" s="5" t="str">
        <f t="shared" si="494"/>
        <v>2220</v>
      </c>
      <c r="K4156" s="5" t="str">
        <f t="shared" si="495"/>
        <v>000</v>
      </c>
      <c r="L4156" s="5">
        <f t="shared" si="496"/>
        <v>10</v>
      </c>
      <c r="M4156" s="5">
        <f t="shared" si="497"/>
        <v>2012</v>
      </c>
    </row>
    <row r="4157" spans="1:13" ht="17.45" customHeight="1" x14ac:dyDescent="0.25">
      <c r="A4157" s="1">
        <f>DATE(2012,10,10)</f>
        <v>41192</v>
      </c>
      <c r="B4157" t="s">
        <v>22</v>
      </c>
      <c r="C4157" t="s">
        <v>10</v>
      </c>
      <c r="D4157" s="3">
        <v>82.075000000000003</v>
      </c>
      <c r="E4157" s="3">
        <v>0</v>
      </c>
      <c r="F4157" t="s">
        <v>45</v>
      </c>
      <c r="G4157" s="3">
        <f t="shared" si="491"/>
        <v>-82.075000000000003</v>
      </c>
      <c r="H4157" s="3">
        <f t="shared" si="492"/>
        <v>82.075000000000003</v>
      </c>
      <c r="I4157" s="5" t="str">
        <f t="shared" si="493"/>
        <v>018</v>
      </c>
      <c r="J4157" s="5" t="str">
        <f t="shared" si="494"/>
        <v>2230</v>
      </c>
      <c r="K4157" s="5" t="str">
        <f t="shared" si="495"/>
        <v>000</v>
      </c>
      <c r="L4157" s="5">
        <f t="shared" si="496"/>
        <v>10</v>
      </c>
      <c r="M4157" s="5">
        <f t="shared" si="497"/>
        <v>2012</v>
      </c>
    </row>
    <row r="4158" spans="1:13" ht="17.45" customHeight="1" x14ac:dyDescent="0.25">
      <c r="A4158" s="1">
        <f t="shared" ref="A4158:A4161" si="498">DATE(2012,10,11)</f>
        <v>41193</v>
      </c>
      <c r="B4158" t="s">
        <v>19</v>
      </c>
      <c r="C4158" t="s">
        <v>6</v>
      </c>
      <c r="D4158" s="3">
        <v>4283.3114999999998</v>
      </c>
      <c r="E4158" s="3">
        <v>0</v>
      </c>
      <c r="F4158" t="s">
        <v>45</v>
      </c>
      <c r="G4158" s="3">
        <f t="shared" si="491"/>
        <v>-4283.3114999999998</v>
      </c>
      <c r="H4158" s="3">
        <f t="shared" si="492"/>
        <v>4283.3114999999998</v>
      </c>
      <c r="I4158" s="5" t="str">
        <f t="shared" si="493"/>
        <v>018</v>
      </c>
      <c r="J4158" s="5" t="str">
        <f t="shared" si="494"/>
        <v>2100</v>
      </c>
      <c r="K4158" s="5" t="str">
        <f t="shared" si="495"/>
        <v>000</v>
      </c>
      <c r="L4158" s="5">
        <f t="shared" si="496"/>
        <v>10</v>
      </c>
      <c r="M4158" s="5">
        <f t="shared" si="497"/>
        <v>2012</v>
      </c>
    </row>
    <row r="4159" spans="1:13" ht="17.45" customHeight="1" x14ac:dyDescent="0.25">
      <c r="A4159" s="1">
        <f t="shared" si="498"/>
        <v>41193</v>
      </c>
      <c r="B4159" t="s">
        <v>20</v>
      </c>
      <c r="C4159" t="s">
        <v>8</v>
      </c>
      <c r="D4159" s="3">
        <v>1432.8975</v>
      </c>
      <c r="E4159" s="3">
        <v>0</v>
      </c>
      <c r="F4159" t="s">
        <v>45</v>
      </c>
      <c r="G4159" s="3">
        <f t="shared" si="491"/>
        <v>-1432.8975</v>
      </c>
      <c r="H4159" s="3">
        <f t="shared" si="492"/>
        <v>1432.8975</v>
      </c>
      <c r="I4159" s="5" t="str">
        <f t="shared" si="493"/>
        <v>018</v>
      </c>
      <c r="J4159" s="5" t="str">
        <f t="shared" si="494"/>
        <v>2210</v>
      </c>
      <c r="K4159" s="5" t="str">
        <f t="shared" si="495"/>
        <v>000</v>
      </c>
      <c r="L4159" s="5">
        <f t="shared" si="496"/>
        <v>10</v>
      </c>
      <c r="M4159" s="5">
        <f t="shared" si="497"/>
        <v>2012</v>
      </c>
    </row>
    <row r="4160" spans="1:13" ht="17.45" customHeight="1" x14ac:dyDescent="0.25">
      <c r="A4160" s="1">
        <f t="shared" si="498"/>
        <v>41193</v>
      </c>
      <c r="B4160" t="s">
        <v>21</v>
      </c>
      <c r="C4160" t="s">
        <v>9</v>
      </c>
      <c r="D4160" s="3">
        <v>273.67699999999996</v>
      </c>
      <c r="E4160" s="3">
        <v>0</v>
      </c>
      <c r="F4160" t="s">
        <v>45</v>
      </c>
      <c r="G4160" s="3">
        <f t="shared" si="491"/>
        <v>-273.67699999999996</v>
      </c>
      <c r="H4160" s="3">
        <f t="shared" si="492"/>
        <v>273.67699999999996</v>
      </c>
      <c r="I4160" s="5" t="str">
        <f t="shared" si="493"/>
        <v>018</v>
      </c>
      <c r="J4160" s="5" t="str">
        <f t="shared" si="494"/>
        <v>2220</v>
      </c>
      <c r="K4160" s="5" t="str">
        <f t="shared" si="495"/>
        <v>000</v>
      </c>
      <c r="L4160" s="5">
        <f t="shared" si="496"/>
        <v>10</v>
      </c>
      <c r="M4160" s="5">
        <f t="shared" si="497"/>
        <v>2012</v>
      </c>
    </row>
    <row r="4161" spans="1:13" ht="17.45" customHeight="1" x14ac:dyDescent="0.25">
      <c r="A4161" s="1">
        <f t="shared" si="498"/>
        <v>41193</v>
      </c>
      <c r="B4161" t="s">
        <v>22</v>
      </c>
      <c r="C4161" t="s">
        <v>10</v>
      </c>
      <c r="D4161" s="3">
        <v>57.052999999999997</v>
      </c>
      <c r="E4161" s="3">
        <v>0</v>
      </c>
      <c r="F4161" t="s">
        <v>45</v>
      </c>
      <c r="G4161" s="3">
        <f t="shared" si="491"/>
        <v>-57.052999999999997</v>
      </c>
      <c r="H4161" s="3">
        <f t="shared" si="492"/>
        <v>57.052999999999997</v>
      </c>
      <c r="I4161" s="5" t="str">
        <f t="shared" si="493"/>
        <v>018</v>
      </c>
      <c r="J4161" s="5" t="str">
        <f t="shared" si="494"/>
        <v>2230</v>
      </c>
      <c r="K4161" s="5" t="str">
        <f t="shared" si="495"/>
        <v>000</v>
      </c>
      <c r="L4161" s="5">
        <f t="shared" si="496"/>
        <v>10</v>
      </c>
      <c r="M4161" s="5">
        <f t="shared" si="497"/>
        <v>2012</v>
      </c>
    </row>
    <row r="4162" spans="1:13" ht="17.45" customHeight="1" x14ac:dyDescent="0.25">
      <c r="A4162" s="1">
        <f>DATE(2012,10,12)</f>
        <v>41194</v>
      </c>
      <c r="B4162" t="s">
        <v>19</v>
      </c>
      <c r="C4162" t="s">
        <v>6</v>
      </c>
      <c r="D4162" s="3">
        <v>8486.52</v>
      </c>
      <c r="E4162" s="3">
        <v>0</v>
      </c>
      <c r="F4162" t="s">
        <v>45</v>
      </c>
      <c r="G4162" s="3">
        <f t="shared" ref="G4162:G4225" si="499">E4162-D4162</f>
        <v>-8486.52</v>
      </c>
      <c r="H4162" s="3">
        <f t="shared" ref="H4162:H4225" si="500">ABS(G4162)</f>
        <v>8486.52</v>
      </c>
      <c r="I4162" s="5" t="str">
        <f t="shared" ref="I4162:I4225" si="501">MID(B4162,1,3)</f>
        <v>018</v>
      </c>
      <c r="J4162" s="5" t="str">
        <f t="shared" ref="J4162:J4225" si="502">MID(B4162,5,4)</f>
        <v>2100</v>
      </c>
      <c r="K4162" s="5" t="str">
        <f t="shared" ref="K4162:K4225" si="503">MID(B4162,10,3)</f>
        <v>000</v>
      </c>
      <c r="L4162" s="5">
        <f t="shared" ref="L4162:L4225" si="504">MONTH(A4162)</f>
        <v>10</v>
      </c>
      <c r="M4162" s="5">
        <f t="shared" ref="M4162:M4225" si="505">YEAR(A4162)</f>
        <v>2012</v>
      </c>
    </row>
    <row r="4163" spans="1:13" ht="17.45" customHeight="1" x14ac:dyDescent="0.25">
      <c r="A4163" s="1">
        <f>DATE(2012,10,12)</f>
        <v>41194</v>
      </c>
      <c r="B4163" t="s">
        <v>20</v>
      </c>
      <c r="C4163" t="s">
        <v>8</v>
      </c>
      <c r="D4163" s="3">
        <v>3509.2309999999998</v>
      </c>
      <c r="E4163" s="3">
        <v>0</v>
      </c>
      <c r="F4163" t="s">
        <v>45</v>
      </c>
      <c r="G4163" s="3">
        <f t="shared" si="499"/>
        <v>-3509.2309999999998</v>
      </c>
      <c r="H4163" s="3">
        <f t="shared" si="500"/>
        <v>3509.2309999999998</v>
      </c>
      <c r="I4163" s="5" t="str">
        <f t="shared" si="501"/>
        <v>018</v>
      </c>
      <c r="J4163" s="5" t="str">
        <f t="shared" si="502"/>
        <v>2210</v>
      </c>
      <c r="K4163" s="5" t="str">
        <f t="shared" si="503"/>
        <v>000</v>
      </c>
      <c r="L4163" s="5">
        <f t="shared" si="504"/>
        <v>10</v>
      </c>
      <c r="M4163" s="5">
        <f t="shared" si="505"/>
        <v>2012</v>
      </c>
    </row>
    <row r="4164" spans="1:13" ht="17.45" customHeight="1" x14ac:dyDescent="0.25">
      <c r="A4164" s="1">
        <f>DATE(2012,10,12)</f>
        <v>41194</v>
      </c>
      <c r="B4164" t="s">
        <v>21</v>
      </c>
      <c r="C4164" t="s">
        <v>9</v>
      </c>
      <c r="D4164" s="3">
        <v>816.72249999999997</v>
      </c>
      <c r="E4164" s="3">
        <v>0</v>
      </c>
      <c r="F4164" t="s">
        <v>45</v>
      </c>
      <c r="G4164" s="3">
        <f t="shared" si="499"/>
        <v>-816.72249999999997</v>
      </c>
      <c r="H4164" s="3">
        <f t="shared" si="500"/>
        <v>816.72249999999997</v>
      </c>
      <c r="I4164" s="5" t="str">
        <f t="shared" si="501"/>
        <v>018</v>
      </c>
      <c r="J4164" s="5" t="str">
        <f t="shared" si="502"/>
        <v>2220</v>
      </c>
      <c r="K4164" s="5" t="str">
        <f t="shared" si="503"/>
        <v>000</v>
      </c>
      <c r="L4164" s="5">
        <f t="shared" si="504"/>
        <v>10</v>
      </c>
      <c r="M4164" s="5">
        <f t="shared" si="505"/>
        <v>2012</v>
      </c>
    </row>
    <row r="4165" spans="1:13" ht="17.45" customHeight="1" x14ac:dyDescent="0.25">
      <c r="A4165" s="1">
        <f>DATE(2012,10,12)</f>
        <v>41194</v>
      </c>
      <c r="B4165" t="s">
        <v>22</v>
      </c>
      <c r="C4165" t="s">
        <v>10</v>
      </c>
      <c r="D4165" s="3">
        <v>224.08600000000001</v>
      </c>
      <c r="E4165" s="3">
        <v>0</v>
      </c>
      <c r="F4165" t="s">
        <v>45</v>
      </c>
      <c r="G4165" s="3">
        <f t="shared" si="499"/>
        <v>-224.08600000000001</v>
      </c>
      <c r="H4165" s="3">
        <f t="shared" si="500"/>
        <v>224.08600000000001</v>
      </c>
      <c r="I4165" s="5" t="str">
        <f t="shared" si="501"/>
        <v>018</v>
      </c>
      <c r="J4165" s="5" t="str">
        <f t="shared" si="502"/>
        <v>2230</v>
      </c>
      <c r="K4165" s="5" t="str">
        <f t="shared" si="503"/>
        <v>000</v>
      </c>
      <c r="L4165" s="5">
        <f t="shared" si="504"/>
        <v>10</v>
      </c>
      <c r="M4165" s="5">
        <f t="shared" si="505"/>
        <v>2012</v>
      </c>
    </row>
    <row r="4166" spans="1:13" ht="17.45" customHeight="1" x14ac:dyDescent="0.25">
      <c r="A4166" s="1">
        <f t="shared" ref="A4166:A4169" si="506">DATE(2012,10,13)</f>
        <v>41195</v>
      </c>
      <c r="B4166" t="s">
        <v>19</v>
      </c>
      <c r="C4166" t="s">
        <v>6</v>
      </c>
      <c r="D4166" s="3">
        <v>16831.700199999999</v>
      </c>
      <c r="E4166" s="3">
        <v>0</v>
      </c>
      <c r="F4166" t="s">
        <v>45</v>
      </c>
      <c r="G4166" s="3">
        <f t="shared" si="499"/>
        <v>-16831.700199999999</v>
      </c>
      <c r="H4166" s="3">
        <f t="shared" si="500"/>
        <v>16831.700199999999</v>
      </c>
      <c r="I4166" s="5" t="str">
        <f t="shared" si="501"/>
        <v>018</v>
      </c>
      <c r="J4166" s="5" t="str">
        <f t="shared" si="502"/>
        <v>2100</v>
      </c>
      <c r="K4166" s="5" t="str">
        <f t="shared" si="503"/>
        <v>000</v>
      </c>
      <c r="L4166" s="5">
        <f t="shared" si="504"/>
        <v>10</v>
      </c>
      <c r="M4166" s="5">
        <f t="shared" si="505"/>
        <v>2012</v>
      </c>
    </row>
    <row r="4167" spans="1:13" ht="17.45" customHeight="1" x14ac:dyDescent="0.25">
      <c r="A4167" s="1">
        <f t="shared" si="506"/>
        <v>41195</v>
      </c>
      <c r="B4167" t="s">
        <v>20</v>
      </c>
      <c r="C4167" t="s">
        <v>8</v>
      </c>
      <c r="D4167" s="3">
        <v>3900.0285000000003</v>
      </c>
      <c r="E4167" s="3">
        <v>0</v>
      </c>
      <c r="F4167" t="s">
        <v>45</v>
      </c>
      <c r="G4167" s="3">
        <f t="shared" si="499"/>
        <v>-3900.0285000000003</v>
      </c>
      <c r="H4167" s="3">
        <f t="shared" si="500"/>
        <v>3900.0285000000003</v>
      </c>
      <c r="I4167" s="5" t="str">
        <f t="shared" si="501"/>
        <v>018</v>
      </c>
      <c r="J4167" s="5" t="str">
        <f t="shared" si="502"/>
        <v>2210</v>
      </c>
      <c r="K4167" s="5" t="str">
        <f t="shared" si="503"/>
        <v>000</v>
      </c>
      <c r="L4167" s="5">
        <f t="shared" si="504"/>
        <v>10</v>
      </c>
      <c r="M4167" s="5">
        <f t="shared" si="505"/>
        <v>2012</v>
      </c>
    </row>
    <row r="4168" spans="1:13" ht="17.45" customHeight="1" x14ac:dyDescent="0.25">
      <c r="A4168" s="1">
        <f t="shared" si="506"/>
        <v>41195</v>
      </c>
      <c r="B4168" t="s">
        <v>21</v>
      </c>
      <c r="C4168" t="s">
        <v>9</v>
      </c>
      <c r="D4168" s="3">
        <v>900.06399999999996</v>
      </c>
      <c r="E4168" s="3">
        <v>0</v>
      </c>
      <c r="F4168" t="s">
        <v>45</v>
      </c>
      <c r="G4168" s="3">
        <f t="shared" si="499"/>
        <v>-900.06399999999996</v>
      </c>
      <c r="H4168" s="3">
        <f t="shared" si="500"/>
        <v>900.06399999999996</v>
      </c>
      <c r="I4168" s="5" t="str">
        <f t="shared" si="501"/>
        <v>018</v>
      </c>
      <c r="J4168" s="5" t="str">
        <f t="shared" si="502"/>
        <v>2220</v>
      </c>
      <c r="K4168" s="5" t="str">
        <f t="shared" si="503"/>
        <v>000</v>
      </c>
      <c r="L4168" s="5">
        <f t="shared" si="504"/>
        <v>10</v>
      </c>
      <c r="M4168" s="5">
        <f t="shared" si="505"/>
        <v>2012</v>
      </c>
    </row>
    <row r="4169" spans="1:13" ht="17.45" customHeight="1" x14ac:dyDescent="0.25">
      <c r="A4169" s="1">
        <f t="shared" si="506"/>
        <v>41195</v>
      </c>
      <c r="B4169" t="s">
        <v>22</v>
      </c>
      <c r="C4169" t="s">
        <v>10</v>
      </c>
      <c r="D4169" s="3">
        <v>217.828</v>
      </c>
      <c r="E4169" s="3">
        <v>0</v>
      </c>
      <c r="F4169" t="s">
        <v>45</v>
      </c>
      <c r="G4169" s="3">
        <f t="shared" si="499"/>
        <v>-217.828</v>
      </c>
      <c r="H4169" s="3">
        <f t="shared" si="500"/>
        <v>217.828</v>
      </c>
      <c r="I4169" s="5" t="str">
        <f t="shared" si="501"/>
        <v>018</v>
      </c>
      <c r="J4169" s="5" t="str">
        <f t="shared" si="502"/>
        <v>2230</v>
      </c>
      <c r="K4169" s="5" t="str">
        <f t="shared" si="503"/>
        <v>000</v>
      </c>
      <c r="L4169" s="5">
        <f t="shared" si="504"/>
        <v>10</v>
      </c>
      <c r="M4169" s="5">
        <f t="shared" si="505"/>
        <v>2012</v>
      </c>
    </row>
    <row r="4170" spans="1:13" ht="17.45" customHeight="1" x14ac:dyDescent="0.25">
      <c r="A4170" s="1">
        <f>DATE(2012,10,14)</f>
        <v>41196</v>
      </c>
      <c r="B4170" t="s">
        <v>19</v>
      </c>
      <c r="C4170" t="s">
        <v>6</v>
      </c>
      <c r="D4170" s="3">
        <v>8946.7178000000004</v>
      </c>
      <c r="E4170" s="3">
        <v>0</v>
      </c>
      <c r="F4170" t="s">
        <v>45</v>
      </c>
      <c r="G4170" s="3">
        <f t="shared" si="499"/>
        <v>-8946.7178000000004</v>
      </c>
      <c r="H4170" s="3">
        <f t="shared" si="500"/>
        <v>8946.7178000000004</v>
      </c>
      <c r="I4170" s="5" t="str">
        <f t="shared" si="501"/>
        <v>018</v>
      </c>
      <c r="J4170" s="5" t="str">
        <f t="shared" si="502"/>
        <v>2100</v>
      </c>
      <c r="K4170" s="5" t="str">
        <f t="shared" si="503"/>
        <v>000</v>
      </c>
      <c r="L4170" s="5">
        <f t="shared" si="504"/>
        <v>10</v>
      </c>
      <c r="M4170" s="5">
        <f t="shared" si="505"/>
        <v>2012</v>
      </c>
    </row>
    <row r="4171" spans="1:13" ht="17.45" customHeight="1" x14ac:dyDescent="0.25">
      <c r="A4171" s="1">
        <f>DATE(2012,10,14)</f>
        <v>41196</v>
      </c>
      <c r="B4171" t="s">
        <v>20</v>
      </c>
      <c r="C4171" t="s">
        <v>8</v>
      </c>
      <c r="D4171" s="3">
        <v>1172.9280000000001</v>
      </c>
      <c r="E4171" s="3">
        <v>0</v>
      </c>
      <c r="F4171" t="s">
        <v>45</v>
      </c>
      <c r="G4171" s="3">
        <f t="shared" si="499"/>
        <v>-1172.9280000000001</v>
      </c>
      <c r="H4171" s="3">
        <f t="shared" si="500"/>
        <v>1172.9280000000001</v>
      </c>
      <c r="I4171" s="5" t="str">
        <f t="shared" si="501"/>
        <v>018</v>
      </c>
      <c r="J4171" s="5" t="str">
        <f t="shared" si="502"/>
        <v>2210</v>
      </c>
      <c r="K4171" s="5" t="str">
        <f t="shared" si="503"/>
        <v>000</v>
      </c>
      <c r="L4171" s="5">
        <f t="shared" si="504"/>
        <v>10</v>
      </c>
      <c r="M4171" s="5">
        <f t="shared" si="505"/>
        <v>2012</v>
      </c>
    </row>
    <row r="4172" spans="1:13" ht="17.45" customHeight="1" x14ac:dyDescent="0.25">
      <c r="A4172" s="1">
        <f>DATE(2012,10,14)</f>
        <v>41196</v>
      </c>
      <c r="B4172" t="s">
        <v>21</v>
      </c>
      <c r="C4172" t="s">
        <v>9</v>
      </c>
      <c r="D4172" s="3">
        <v>476.37900000000002</v>
      </c>
      <c r="E4172" s="3">
        <v>0</v>
      </c>
      <c r="F4172" t="s">
        <v>45</v>
      </c>
      <c r="G4172" s="3">
        <f t="shared" si="499"/>
        <v>-476.37900000000002</v>
      </c>
      <c r="H4172" s="3">
        <f t="shared" si="500"/>
        <v>476.37900000000002</v>
      </c>
      <c r="I4172" s="5" t="str">
        <f t="shared" si="501"/>
        <v>018</v>
      </c>
      <c r="J4172" s="5" t="str">
        <f t="shared" si="502"/>
        <v>2220</v>
      </c>
      <c r="K4172" s="5" t="str">
        <f t="shared" si="503"/>
        <v>000</v>
      </c>
      <c r="L4172" s="5">
        <f t="shared" si="504"/>
        <v>10</v>
      </c>
      <c r="M4172" s="5">
        <f t="shared" si="505"/>
        <v>2012</v>
      </c>
    </row>
    <row r="4173" spans="1:13" ht="17.45" customHeight="1" x14ac:dyDescent="0.25">
      <c r="A4173" s="1">
        <f>DATE(2012,10,14)</f>
        <v>41196</v>
      </c>
      <c r="B4173" t="s">
        <v>22</v>
      </c>
      <c r="C4173" t="s">
        <v>10</v>
      </c>
      <c r="D4173" s="3">
        <v>107.157</v>
      </c>
      <c r="E4173" s="3">
        <v>0</v>
      </c>
      <c r="F4173" t="s">
        <v>45</v>
      </c>
      <c r="G4173" s="3">
        <f t="shared" si="499"/>
        <v>-107.157</v>
      </c>
      <c r="H4173" s="3">
        <f t="shared" si="500"/>
        <v>107.157</v>
      </c>
      <c r="I4173" s="5" t="str">
        <f t="shared" si="501"/>
        <v>018</v>
      </c>
      <c r="J4173" s="5" t="str">
        <f t="shared" si="502"/>
        <v>2230</v>
      </c>
      <c r="K4173" s="5" t="str">
        <f t="shared" si="503"/>
        <v>000</v>
      </c>
      <c r="L4173" s="5">
        <f t="shared" si="504"/>
        <v>10</v>
      </c>
      <c r="M4173" s="5">
        <f t="shared" si="505"/>
        <v>2012</v>
      </c>
    </row>
    <row r="4174" spans="1:13" ht="17.45" customHeight="1" x14ac:dyDescent="0.25">
      <c r="A4174" s="1">
        <f>DATE(2012,10,15)</f>
        <v>41197</v>
      </c>
      <c r="B4174" t="s">
        <v>11</v>
      </c>
      <c r="C4174" t="s">
        <v>6</v>
      </c>
      <c r="D4174" s="3">
        <v>2683.7975000000001</v>
      </c>
      <c r="E4174" s="3">
        <v>0</v>
      </c>
      <c r="F4174" t="s">
        <v>45</v>
      </c>
      <c r="G4174" s="3">
        <f t="shared" si="499"/>
        <v>-2683.7975000000001</v>
      </c>
      <c r="H4174" s="3">
        <f t="shared" si="500"/>
        <v>2683.7975000000001</v>
      </c>
      <c r="I4174" s="5" t="str">
        <f t="shared" si="501"/>
        <v>016</v>
      </c>
      <c r="J4174" s="5" t="str">
        <f t="shared" si="502"/>
        <v>2100</v>
      </c>
      <c r="K4174" s="5" t="str">
        <f t="shared" si="503"/>
        <v>000</v>
      </c>
      <c r="L4174" s="5">
        <f t="shared" si="504"/>
        <v>10</v>
      </c>
      <c r="M4174" s="5">
        <f t="shared" si="505"/>
        <v>2012</v>
      </c>
    </row>
    <row r="4175" spans="1:13" ht="17.45" customHeight="1" x14ac:dyDescent="0.25">
      <c r="A4175" s="1">
        <f>DATE(2012,10,15)</f>
        <v>41197</v>
      </c>
      <c r="B4175" t="s">
        <v>12</v>
      </c>
      <c r="C4175" t="s">
        <v>8</v>
      </c>
      <c r="D4175" s="3">
        <v>436.41399999999993</v>
      </c>
      <c r="E4175" s="3">
        <v>0</v>
      </c>
      <c r="F4175" t="s">
        <v>45</v>
      </c>
      <c r="G4175" s="3">
        <f t="shared" si="499"/>
        <v>-436.41399999999993</v>
      </c>
      <c r="H4175" s="3">
        <f t="shared" si="500"/>
        <v>436.41399999999993</v>
      </c>
      <c r="I4175" s="5" t="str">
        <f t="shared" si="501"/>
        <v>016</v>
      </c>
      <c r="J4175" s="5" t="str">
        <f t="shared" si="502"/>
        <v>2210</v>
      </c>
      <c r="K4175" s="5" t="str">
        <f t="shared" si="503"/>
        <v>000</v>
      </c>
      <c r="L4175" s="5">
        <f t="shared" si="504"/>
        <v>10</v>
      </c>
      <c r="M4175" s="5">
        <f t="shared" si="505"/>
        <v>2012</v>
      </c>
    </row>
    <row r="4176" spans="1:13" ht="17.45" customHeight="1" x14ac:dyDescent="0.25">
      <c r="A4176" s="1">
        <f>DATE(2012,10,15)</f>
        <v>41197</v>
      </c>
      <c r="B4176" t="s">
        <v>13</v>
      </c>
      <c r="C4176" t="s">
        <v>9</v>
      </c>
      <c r="D4176" s="3">
        <v>41.616000000000007</v>
      </c>
      <c r="E4176" s="3">
        <v>0</v>
      </c>
      <c r="F4176" t="s">
        <v>45</v>
      </c>
      <c r="G4176" s="3">
        <f t="shared" si="499"/>
        <v>-41.616000000000007</v>
      </c>
      <c r="H4176" s="3">
        <f t="shared" si="500"/>
        <v>41.616000000000007</v>
      </c>
      <c r="I4176" s="5" t="str">
        <f t="shared" si="501"/>
        <v>016</v>
      </c>
      <c r="J4176" s="5" t="str">
        <f t="shared" si="502"/>
        <v>2220</v>
      </c>
      <c r="K4176" s="5" t="str">
        <f t="shared" si="503"/>
        <v>000</v>
      </c>
      <c r="L4176" s="5">
        <f t="shared" si="504"/>
        <v>10</v>
      </c>
      <c r="M4176" s="5">
        <f t="shared" si="505"/>
        <v>2012</v>
      </c>
    </row>
    <row r="4177" spans="1:13" ht="17.45" customHeight="1" x14ac:dyDescent="0.25">
      <c r="A4177" s="1">
        <f>DATE(2012,10,15)</f>
        <v>41197</v>
      </c>
      <c r="B4177" t="s">
        <v>14</v>
      </c>
      <c r="C4177" t="s">
        <v>10</v>
      </c>
      <c r="D4177" s="3">
        <v>20.21</v>
      </c>
      <c r="E4177" s="3">
        <v>0</v>
      </c>
      <c r="F4177" t="s">
        <v>45</v>
      </c>
      <c r="G4177" s="3">
        <f t="shared" si="499"/>
        <v>-20.21</v>
      </c>
      <c r="H4177" s="3">
        <f t="shared" si="500"/>
        <v>20.21</v>
      </c>
      <c r="I4177" s="5" t="str">
        <f t="shared" si="501"/>
        <v>016</v>
      </c>
      <c r="J4177" s="5" t="str">
        <f t="shared" si="502"/>
        <v>2230</v>
      </c>
      <c r="K4177" s="5" t="str">
        <f t="shared" si="503"/>
        <v>000</v>
      </c>
      <c r="L4177" s="5">
        <f t="shared" si="504"/>
        <v>10</v>
      </c>
      <c r="M4177" s="5">
        <f t="shared" si="505"/>
        <v>2012</v>
      </c>
    </row>
    <row r="4178" spans="1:13" ht="17.45" customHeight="1" x14ac:dyDescent="0.25">
      <c r="A4178" s="1">
        <f>DATE(2012,10,16)</f>
        <v>41198</v>
      </c>
      <c r="B4178" t="s">
        <v>11</v>
      </c>
      <c r="C4178" t="s">
        <v>6</v>
      </c>
      <c r="D4178" s="3">
        <v>6166.2600999999995</v>
      </c>
      <c r="E4178" s="3">
        <v>0</v>
      </c>
      <c r="F4178" t="s">
        <v>45</v>
      </c>
      <c r="G4178" s="3">
        <f t="shared" si="499"/>
        <v>-6166.2600999999995</v>
      </c>
      <c r="H4178" s="3">
        <f t="shared" si="500"/>
        <v>6166.2600999999995</v>
      </c>
      <c r="I4178" s="5" t="str">
        <f t="shared" si="501"/>
        <v>016</v>
      </c>
      <c r="J4178" s="5" t="str">
        <f t="shared" si="502"/>
        <v>2100</v>
      </c>
      <c r="K4178" s="5" t="str">
        <f t="shared" si="503"/>
        <v>000</v>
      </c>
      <c r="L4178" s="5">
        <f t="shared" si="504"/>
        <v>10</v>
      </c>
      <c r="M4178" s="5">
        <f t="shared" si="505"/>
        <v>2012</v>
      </c>
    </row>
    <row r="4179" spans="1:13" ht="17.45" customHeight="1" x14ac:dyDescent="0.25">
      <c r="A4179" s="1">
        <f>DATE(2012,10,16)</f>
        <v>41198</v>
      </c>
      <c r="B4179" t="s">
        <v>12</v>
      </c>
      <c r="C4179" t="s">
        <v>8</v>
      </c>
      <c r="D4179" s="3">
        <v>1885.7280000000001</v>
      </c>
      <c r="E4179" s="3">
        <v>0</v>
      </c>
      <c r="F4179" t="s">
        <v>45</v>
      </c>
      <c r="G4179" s="3">
        <f t="shared" si="499"/>
        <v>-1885.7280000000001</v>
      </c>
      <c r="H4179" s="3">
        <f t="shared" si="500"/>
        <v>1885.7280000000001</v>
      </c>
      <c r="I4179" s="5" t="str">
        <f t="shared" si="501"/>
        <v>016</v>
      </c>
      <c r="J4179" s="5" t="str">
        <f t="shared" si="502"/>
        <v>2210</v>
      </c>
      <c r="K4179" s="5" t="str">
        <f t="shared" si="503"/>
        <v>000</v>
      </c>
      <c r="L4179" s="5">
        <f t="shared" si="504"/>
        <v>10</v>
      </c>
      <c r="M4179" s="5">
        <f t="shared" si="505"/>
        <v>2012</v>
      </c>
    </row>
    <row r="4180" spans="1:13" ht="17.45" customHeight="1" x14ac:dyDescent="0.25">
      <c r="A4180" s="1">
        <f>DATE(2012,10,16)</f>
        <v>41198</v>
      </c>
      <c r="B4180" t="s">
        <v>13</v>
      </c>
      <c r="C4180" t="s">
        <v>9</v>
      </c>
      <c r="D4180" s="3">
        <v>725.86800000000005</v>
      </c>
      <c r="E4180" s="3">
        <v>0</v>
      </c>
      <c r="F4180" t="s">
        <v>45</v>
      </c>
      <c r="G4180" s="3">
        <f t="shared" si="499"/>
        <v>-725.86800000000005</v>
      </c>
      <c r="H4180" s="3">
        <f t="shared" si="500"/>
        <v>725.86800000000005</v>
      </c>
      <c r="I4180" s="5" t="str">
        <f t="shared" si="501"/>
        <v>016</v>
      </c>
      <c r="J4180" s="5" t="str">
        <f t="shared" si="502"/>
        <v>2220</v>
      </c>
      <c r="K4180" s="5" t="str">
        <f t="shared" si="503"/>
        <v>000</v>
      </c>
      <c r="L4180" s="5">
        <f t="shared" si="504"/>
        <v>10</v>
      </c>
      <c r="M4180" s="5">
        <f t="shared" si="505"/>
        <v>2012</v>
      </c>
    </row>
    <row r="4181" spans="1:13" ht="17.45" customHeight="1" x14ac:dyDescent="0.25">
      <c r="A4181" s="1">
        <f>DATE(2012,10,16)</f>
        <v>41198</v>
      </c>
      <c r="B4181" t="s">
        <v>14</v>
      </c>
      <c r="C4181" t="s">
        <v>10</v>
      </c>
      <c r="D4181" s="3">
        <v>159.36249999999998</v>
      </c>
      <c r="E4181" s="3">
        <v>0</v>
      </c>
      <c r="F4181" t="s">
        <v>45</v>
      </c>
      <c r="G4181" s="3">
        <f t="shared" si="499"/>
        <v>-159.36249999999998</v>
      </c>
      <c r="H4181" s="3">
        <f t="shared" si="500"/>
        <v>159.36249999999998</v>
      </c>
      <c r="I4181" s="5" t="str">
        <f t="shared" si="501"/>
        <v>016</v>
      </c>
      <c r="J4181" s="5" t="str">
        <f t="shared" si="502"/>
        <v>2230</v>
      </c>
      <c r="K4181" s="5" t="str">
        <f t="shared" si="503"/>
        <v>000</v>
      </c>
      <c r="L4181" s="5">
        <f t="shared" si="504"/>
        <v>10</v>
      </c>
      <c r="M4181" s="5">
        <f t="shared" si="505"/>
        <v>2012</v>
      </c>
    </row>
    <row r="4182" spans="1:13" ht="17.45" customHeight="1" x14ac:dyDescent="0.25">
      <c r="A4182" s="1">
        <f>DATE(2012,10,17)</f>
        <v>41199</v>
      </c>
      <c r="B4182" t="s">
        <v>11</v>
      </c>
      <c r="C4182" t="s">
        <v>6</v>
      </c>
      <c r="D4182" s="3">
        <v>2129.3579999999997</v>
      </c>
      <c r="E4182" s="3">
        <v>0</v>
      </c>
      <c r="F4182" t="s">
        <v>45</v>
      </c>
      <c r="G4182" s="3">
        <f t="shared" si="499"/>
        <v>-2129.3579999999997</v>
      </c>
      <c r="H4182" s="3">
        <f t="shared" si="500"/>
        <v>2129.3579999999997</v>
      </c>
      <c r="I4182" s="5" t="str">
        <f t="shared" si="501"/>
        <v>016</v>
      </c>
      <c r="J4182" s="5" t="str">
        <f t="shared" si="502"/>
        <v>2100</v>
      </c>
      <c r="K4182" s="5" t="str">
        <f t="shared" si="503"/>
        <v>000</v>
      </c>
      <c r="L4182" s="5">
        <f t="shared" si="504"/>
        <v>10</v>
      </c>
      <c r="M4182" s="5">
        <f t="shared" si="505"/>
        <v>2012</v>
      </c>
    </row>
    <row r="4183" spans="1:13" ht="17.45" customHeight="1" x14ac:dyDescent="0.25">
      <c r="A4183" s="1">
        <f>DATE(2012,10,17)</f>
        <v>41199</v>
      </c>
      <c r="B4183" t="s">
        <v>12</v>
      </c>
      <c r="C4183" t="s">
        <v>8</v>
      </c>
      <c r="D4183" s="3">
        <v>661.96199999999999</v>
      </c>
      <c r="E4183" s="3">
        <v>0</v>
      </c>
      <c r="F4183" t="s">
        <v>45</v>
      </c>
      <c r="G4183" s="3">
        <f t="shared" si="499"/>
        <v>-661.96199999999999</v>
      </c>
      <c r="H4183" s="3">
        <f t="shared" si="500"/>
        <v>661.96199999999999</v>
      </c>
      <c r="I4183" s="5" t="str">
        <f t="shared" si="501"/>
        <v>016</v>
      </c>
      <c r="J4183" s="5" t="str">
        <f t="shared" si="502"/>
        <v>2210</v>
      </c>
      <c r="K4183" s="5" t="str">
        <f t="shared" si="503"/>
        <v>000</v>
      </c>
      <c r="L4183" s="5">
        <f t="shared" si="504"/>
        <v>10</v>
      </c>
      <c r="M4183" s="5">
        <f t="shared" si="505"/>
        <v>2012</v>
      </c>
    </row>
    <row r="4184" spans="1:13" ht="17.45" customHeight="1" x14ac:dyDescent="0.25">
      <c r="A4184" s="1">
        <f>DATE(2012,10,17)</f>
        <v>41199</v>
      </c>
      <c r="B4184" t="s">
        <v>13</v>
      </c>
      <c r="C4184" t="s">
        <v>9</v>
      </c>
      <c r="D4184" s="3">
        <v>57.686999999999998</v>
      </c>
      <c r="E4184" s="3">
        <v>0</v>
      </c>
      <c r="F4184" t="s">
        <v>45</v>
      </c>
      <c r="G4184" s="3">
        <f t="shared" si="499"/>
        <v>-57.686999999999998</v>
      </c>
      <c r="H4184" s="3">
        <f t="shared" si="500"/>
        <v>57.686999999999998</v>
      </c>
      <c r="I4184" s="5" t="str">
        <f t="shared" si="501"/>
        <v>016</v>
      </c>
      <c r="J4184" s="5" t="str">
        <f t="shared" si="502"/>
        <v>2220</v>
      </c>
      <c r="K4184" s="5" t="str">
        <f t="shared" si="503"/>
        <v>000</v>
      </c>
      <c r="L4184" s="5">
        <f t="shared" si="504"/>
        <v>10</v>
      </c>
      <c r="M4184" s="5">
        <f t="shared" si="505"/>
        <v>2012</v>
      </c>
    </row>
    <row r="4185" spans="1:13" ht="17.45" customHeight="1" x14ac:dyDescent="0.25">
      <c r="A4185" s="1">
        <f>DATE(2012,10,17)</f>
        <v>41199</v>
      </c>
      <c r="B4185" t="s">
        <v>14</v>
      </c>
      <c r="C4185" t="s">
        <v>10</v>
      </c>
      <c r="D4185" s="3">
        <v>27.545500000000001</v>
      </c>
      <c r="E4185" s="3">
        <v>0</v>
      </c>
      <c r="F4185" t="s">
        <v>45</v>
      </c>
      <c r="G4185" s="3">
        <f t="shared" si="499"/>
        <v>-27.545500000000001</v>
      </c>
      <c r="H4185" s="3">
        <f t="shared" si="500"/>
        <v>27.545500000000001</v>
      </c>
      <c r="I4185" s="5" t="str">
        <f t="shared" si="501"/>
        <v>016</v>
      </c>
      <c r="J4185" s="5" t="str">
        <f t="shared" si="502"/>
        <v>2230</v>
      </c>
      <c r="K4185" s="5" t="str">
        <f t="shared" si="503"/>
        <v>000</v>
      </c>
      <c r="L4185" s="5">
        <f t="shared" si="504"/>
        <v>10</v>
      </c>
      <c r="M4185" s="5">
        <f t="shared" si="505"/>
        <v>2012</v>
      </c>
    </row>
    <row r="4186" spans="1:13" ht="17.45" customHeight="1" x14ac:dyDescent="0.25">
      <c r="A4186" s="1">
        <f>DATE(2012,10,18)</f>
        <v>41200</v>
      </c>
      <c r="B4186" t="s">
        <v>11</v>
      </c>
      <c r="C4186" t="s">
        <v>6</v>
      </c>
      <c r="D4186" s="3">
        <v>3024.1323000000002</v>
      </c>
      <c r="E4186" s="3">
        <v>0</v>
      </c>
      <c r="F4186" t="s">
        <v>45</v>
      </c>
      <c r="G4186" s="3">
        <f t="shared" si="499"/>
        <v>-3024.1323000000002</v>
      </c>
      <c r="H4186" s="3">
        <f t="shared" si="500"/>
        <v>3024.1323000000002</v>
      </c>
      <c r="I4186" s="5" t="str">
        <f t="shared" si="501"/>
        <v>016</v>
      </c>
      <c r="J4186" s="5" t="str">
        <f t="shared" si="502"/>
        <v>2100</v>
      </c>
      <c r="K4186" s="5" t="str">
        <f t="shared" si="503"/>
        <v>000</v>
      </c>
      <c r="L4186" s="5">
        <f t="shared" si="504"/>
        <v>10</v>
      </c>
      <c r="M4186" s="5">
        <f t="shared" si="505"/>
        <v>2012</v>
      </c>
    </row>
    <row r="4187" spans="1:13" ht="17.45" customHeight="1" x14ac:dyDescent="0.25">
      <c r="A4187" s="1">
        <f>DATE(2012,10,18)</f>
        <v>41200</v>
      </c>
      <c r="B4187" t="s">
        <v>12</v>
      </c>
      <c r="C4187" t="s">
        <v>8</v>
      </c>
      <c r="D4187" s="3">
        <v>867.3895</v>
      </c>
      <c r="E4187" s="3">
        <v>0</v>
      </c>
      <c r="F4187" t="s">
        <v>45</v>
      </c>
      <c r="G4187" s="3">
        <f t="shared" si="499"/>
        <v>-867.3895</v>
      </c>
      <c r="H4187" s="3">
        <f t="shared" si="500"/>
        <v>867.3895</v>
      </c>
      <c r="I4187" s="5" t="str">
        <f t="shared" si="501"/>
        <v>016</v>
      </c>
      <c r="J4187" s="5" t="str">
        <f t="shared" si="502"/>
        <v>2210</v>
      </c>
      <c r="K4187" s="5" t="str">
        <f t="shared" si="503"/>
        <v>000</v>
      </c>
      <c r="L4187" s="5">
        <f t="shared" si="504"/>
        <v>10</v>
      </c>
      <c r="M4187" s="5">
        <f t="shared" si="505"/>
        <v>2012</v>
      </c>
    </row>
    <row r="4188" spans="1:13" ht="17.45" customHeight="1" x14ac:dyDescent="0.25">
      <c r="A4188" s="1">
        <f>DATE(2012,10,18)</f>
        <v>41200</v>
      </c>
      <c r="B4188" t="s">
        <v>13</v>
      </c>
      <c r="C4188" t="s">
        <v>9</v>
      </c>
      <c r="D4188" s="3">
        <v>247.68449999999999</v>
      </c>
      <c r="E4188" s="3">
        <v>0</v>
      </c>
      <c r="F4188" t="s">
        <v>45</v>
      </c>
      <c r="G4188" s="3">
        <f t="shared" si="499"/>
        <v>-247.68449999999999</v>
      </c>
      <c r="H4188" s="3">
        <f t="shared" si="500"/>
        <v>247.68449999999999</v>
      </c>
      <c r="I4188" s="5" t="str">
        <f t="shared" si="501"/>
        <v>016</v>
      </c>
      <c r="J4188" s="5" t="str">
        <f t="shared" si="502"/>
        <v>2220</v>
      </c>
      <c r="K4188" s="5" t="str">
        <f t="shared" si="503"/>
        <v>000</v>
      </c>
      <c r="L4188" s="5">
        <f t="shared" si="504"/>
        <v>10</v>
      </c>
      <c r="M4188" s="5">
        <f t="shared" si="505"/>
        <v>2012</v>
      </c>
    </row>
    <row r="4189" spans="1:13" ht="17.45" customHeight="1" x14ac:dyDescent="0.25">
      <c r="A4189" s="1">
        <f>DATE(2012,10,18)</f>
        <v>41200</v>
      </c>
      <c r="B4189" t="s">
        <v>14</v>
      </c>
      <c r="C4189" t="s">
        <v>10</v>
      </c>
      <c r="D4189" s="3">
        <v>104.96550000000001</v>
      </c>
      <c r="E4189" s="3">
        <v>0</v>
      </c>
      <c r="F4189" t="s">
        <v>45</v>
      </c>
      <c r="G4189" s="3">
        <f t="shared" si="499"/>
        <v>-104.96550000000001</v>
      </c>
      <c r="H4189" s="3">
        <f t="shared" si="500"/>
        <v>104.96550000000001</v>
      </c>
      <c r="I4189" s="5" t="str">
        <f t="shared" si="501"/>
        <v>016</v>
      </c>
      <c r="J4189" s="5" t="str">
        <f t="shared" si="502"/>
        <v>2230</v>
      </c>
      <c r="K4189" s="5" t="str">
        <f t="shared" si="503"/>
        <v>000</v>
      </c>
      <c r="L4189" s="5">
        <f t="shared" si="504"/>
        <v>10</v>
      </c>
      <c r="M4189" s="5">
        <f t="shared" si="505"/>
        <v>2012</v>
      </c>
    </row>
    <row r="4190" spans="1:13" ht="17.45" customHeight="1" x14ac:dyDescent="0.25">
      <c r="A4190" s="1">
        <f t="shared" ref="A4190:A4193" si="507">DATE(2012,10,19)</f>
        <v>41201</v>
      </c>
      <c r="B4190" t="s">
        <v>11</v>
      </c>
      <c r="C4190" t="s">
        <v>6</v>
      </c>
      <c r="D4190" s="3">
        <v>6309.3029999999999</v>
      </c>
      <c r="E4190" s="3">
        <v>0</v>
      </c>
      <c r="F4190" t="s">
        <v>45</v>
      </c>
      <c r="G4190" s="3">
        <f t="shared" si="499"/>
        <v>-6309.3029999999999</v>
      </c>
      <c r="H4190" s="3">
        <f t="shared" si="500"/>
        <v>6309.3029999999999</v>
      </c>
      <c r="I4190" s="5" t="str">
        <f t="shared" si="501"/>
        <v>016</v>
      </c>
      <c r="J4190" s="5" t="str">
        <f t="shared" si="502"/>
        <v>2100</v>
      </c>
      <c r="K4190" s="5" t="str">
        <f t="shared" si="503"/>
        <v>000</v>
      </c>
      <c r="L4190" s="5">
        <f t="shared" si="504"/>
        <v>10</v>
      </c>
      <c r="M4190" s="5">
        <f t="shared" si="505"/>
        <v>2012</v>
      </c>
    </row>
    <row r="4191" spans="1:13" ht="17.45" customHeight="1" x14ac:dyDescent="0.25">
      <c r="A4191" s="1">
        <f t="shared" si="507"/>
        <v>41201</v>
      </c>
      <c r="B4191" t="s">
        <v>12</v>
      </c>
      <c r="C4191" t="s">
        <v>8</v>
      </c>
      <c r="D4191" s="3">
        <v>1561.7619999999999</v>
      </c>
      <c r="E4191" s="3">
        <v>0</v>
      </c>
      <c r="F4191" t="s">
        <v>45</v>
      </c>
      <c r="G4191" s="3">
        <f t="shared" si="499"/>
        <v>-1561.7619999999999</v>
      </c>
      <c r="H4191" s="3">
        <f t="shared" si="500"/>
        <v>1561.7619999999999</v>
      </c>
      <c r="I4191" s="5" t="str">
        <f t="shared" si="501"/>
        <v>016</v>
      </c>
      <c r="J4191" s="5" t="str">
        <f t="shared" si="502"/>
        <v>2210</v>
      </c>
      <c r="K4191" s="5" t="str">
        <f t="shared" si="503"/>
        <v>000</v>
      </c>
      <c r="L4191" s="5">
        <f t="shared" si="504"/>
        <v>10</v>
      </c>
      <c r="M4191" s="5">
        <f t="shared" si="505"/>
        <v>2012</v>
      </c>
    </row>
    <row r="4192" spans="1:13" ht="17.45" customHeight="1" x14ac:dyDescent="0.25">
      <c r="A4192" s="1">
        <f t="shared" si="507"/>
        <v>41201</v>
      </c>
      <c r="B4192" t="s">
        <v>13</v>
      </c>
      <c r="C4192" t="s">
        <v>9</v>
      </c>
      <c r="D4192" s="3">
        <v>246.53400000000002</v>
      </c>
      <c r="E4192" s="3">
        <v>0</v>
      </c>
      <c r="F4192" t="s">
        <v>45</v>
      </c>
      <c r="G4192" s="3">
        <f t="shared" si="499"/>
        <v>-246.53400000000002</v>
      </c>
      <c r="H4192" s="3">
        <f t="shared" si="500"/>
        <v>246.53400000000002</v>
      </c>
      <c r="I4192" s="5" t="str">
        <f t="shared" si="501"/>
        <v>016</v>
      </c>
      <c r="J4192" s="5" t="str">
        <f t="shared" si="502"/>
        <v>2220</v>
      </c>
      <c r="K4192" s="5" t="str">
        <f t="shared" si="503"/>
        <v>000</v>
      </c>
      <c r="L4192" s="5">
        <f t="shared" si="504"/>
        <v>10</v>
      </c>
      <c r="M4192" s="5">
        <f t="shared" si="505"/>
        <v>2012</v>
      </c>
    </row>
    <row r="4193" spans="1:13" ht="17.45" customHeight="1" x14ac:dyDescent="0.25">
      <c r="A4193" s="1">
        <f t="shared" si="507"/>
        <v>41201</v>
      </c>
      <c r="B4193" t="s">
        <v>14</v>
      </c>
      <c r="C4193" t="s">
        <v>10</v>
      </c>
      <c r="D4193" s="3">
        <v>149.226</v>
      </c>
      <c r="E4193" s="3">
        <v>0</v>
      </c>
      <c r="F4193" t="s">
        <v>45</v>
      </c>
      <c r="G4193" s="3">
        <f t="shared" si="499"/>
        <v>-149.226</v>
      </c>
      <c r="H4193" s="3">
        <f t="shared" si="500"/>
        <v>149.226</v>
      </c>
      <c r="I4193" s="5" t="str">
        <f t="shared" si="501"/>
        <v>016</v>
      </c>
      <c r="J4193" s="5" t="str">
        <f t="shared" si="502"/>
        <v>2230</v>
      </c>
      <c r="K4193" s="5" t="str">
        <f t="shared" si="503"/>
        <v>000</v>
      </c>
      <c r="L4193" s="5">
        <f t="shared" si="504"/>
        <v>10</v>
      </c>
      <c r="M4193" s="5">
        <f t="shared" si="505"/>
        <v>2012</v>
      </c>
    </row>
    <row r="4194" spans="1:13" ht="17.45" customHeight="1" x14ac:dyDescent="0.25">
      <c r="A4194" s="1">
        <f>DATE(2012,10,20)</f>
        <v>41202</v>
      </c>
      <c r="B4194" t="s">
        <v>11</v>
      </c>
      <c r="C4194" t="s">
        <v>6</v>
      </c>
      <c r="D4194" s="3">
        <v>6841.2671999999993</v>
      </c>
      <c r="E4194" s="3">
        <v>0</v>
      </c>
      <c r="F4194" t="s">
        <v>45</v>
      </c>
      <c r="G4194" s="3">
        <f t="shared" si="499"/>
        <v>-6841.2671999999993</v>
      </c>
      <c r="H4194" s="3">
        <f t="shared" si="500"/>
        <v>6841.2671999999993</v>
      </c>
      <c r="I4194" s="5" t="str">
        <f t="shared" si="501"/>
        <v>016</v>
      </c>
      <c r="J4194" s="5" t="str">
        <f t="shared" si="502"/>
        <v>2100</v>
      </c>
      <c r="K4194" s="5" t="str">
        <f t="shared" si="503"/>
        <v>000</v>
      </c>
      <c r="L4194" s="5">
        <f t="shared" si="504"/>
        <v>10</v>
      </c>
      <c r="M4194" s="5">
        <f t="shared" si="505"/>
        <v>2012</v>
      </c>
    </row>
    <row r="4195" spans="1:13" ht="17.45" customHeight="1" x14ac:dyDescent="0.25">
      <c r="A4195" s="1">
        <f>DATE(2012,10,20)</f>
        <v>41202</v>
      </c>
      <c r="B4195" t="s">
        <v>12</v>
      </c>
      <c r="C4195" t="s">
        <v>8</v>
      </c>
      <c r="D4195" s="3">
        <v>2900.1219999999998</v>
      </c>
      <c r="E4195" s="3">
        <v>0</v>
      </c>
      <c r="F4195" t="s">
        <v>45</v>
      </c>
      <c r="G4195" s="3">
        <f t="shared" si="499"/>
        <v>-2900.1219999999998</v>
      </c>
      <c r="H4195" s="3">
        <f t="shared" si="500"/>
        <v>2900.1219999999998</v>
      </c>
      <c r="I4195" s="5" t="str">
        <f t="shared" si="501"/>
        <v>016</v>
      </c>
      <c r="J4195" s="5" t="str">
        <f t="shared" si="502"/>
        <v>2210</v>
      </c>
      <c r="K4195" s="5" t="str">
        <f t="shared" si="503"/>
        <v>000</v>
      </c>
      <c r="L4195" s="5">
        <f t="shared" si="504"/>
        <v>10</v>
      </c>
      <c r="M4195" s="5">
        <f t="shared" si="505"/>
        <v>2012</v>
      </c>
    </row>
    <row r="4196" spans="1:13" ht="17.45" customHeight="1" x14ac:dyDescent="0.25">
      <c r="A4196" s="1">
        <f>DATE(2012,10,20)</f>
        <v>41202</v>
      </c>
      <c r="B4196" t="s">
        <v>13</v>
      </c>
      <c r="C4196" t="s">
        <v>9</v>
      </c>
      <c r="D4196" s="3">
        <v>554.93550000000005</v>
      </c>
      <c r="E4196" s="3">
        <v>0</v>
      </c>
      <c r="F4196" t="s">
        <v>45</v>
      </c>
      <c r="G4196" s="3">
        <f t="shared" si="499"/>
        <v>-554.93550000000005</v>
      </c>
      <c r="H4196" s="3">
        <f t="shared" si="500"/>
        <v>554.93550000000005</v>
      </c>
      <c r="I4196" s="5" t="str">
        <f t="shared" si="501"/>
        <v>016</v>
      </c>
      <c r="J4196" s="5" t="str">
        <f t="shared" si="502"/>
        <v>2220</v>
      </c>
      <c r="K4196" s="5" t="str">
        <f t="shared" si="503"/>
        <v>000</v>
      </c>
      <c r="L4196" s="5">
        <f t="shared" si="504"/>
        <v>10</v>
      </c>
      <c r="M4196" s="5">
        <f t="shared" si="505"/>
        <v>2012</v>
      </c>
    </row>
    <row r="4197" spans="1:13" ht="17.45" customHeight="1" x14ac:dyDescent="0.25">
      <c r="A4197" s="1">
        <f>DATE(2012,10,20)</f>
        <v>41202</v>
      </c>
      <c r="B4197" t="s">
        <v>14</v>
      </c>
      <c r="C4197" t="s">
        <v>10</v>
      </c>
      <c r="D4197" s="3">
        <v>147.68</v>
      </c>
      <c r="E4197" s="3">
        <v>0</v>
      </c>
      <c r="F4197" t="s">
        <v>45</v>
      </c>
      <c r="G4197" s="3">
        <f t="shared" si="499"/>
        <v>-147.68</v>
      </c>
      <c r="H4197" s="3">
        <f t="shared" si="500"/>
        <v>147.68</v>
      </c>
      <c r="I4197" s="5" t="str">
        <f t="shared" si="501"/>
        <v>016</v>
      </c>
      <c r="J4197" s="5" t="str">
        <f t="shared" si="502"/>
        <v>2230</v>
      </c>
      <c r="K4197" s="5" t="str">
        <f t="shared" si="503"/>
        <v>000</v>
      </c>
      <c r="L4197" s="5">
        <f t="shared" si="504"/>
        <v>10</v>
      </c>
      <c r="M4197" s="5">
        <f t="shared" si="505"/>
        <v>2012</v>
      </c>
    </row>
    <row r="4198" spans="1:13" ht="17.45" customHeight="1" x14ac:dyDescent="0.25">
      <c r="A4198" s="1">
        <f>DATE(2012,10,21)</f>
        <v>41203</v>
      </c>
      <c r="B4198" t="s">
        <v>11</v>
      </c>
      <c r="C4198" t="s">
        <v>6</v>
      </c>
      <c r="D4198" s="3">
        <v>7020.2179999999998</v>
      </c>
      <c r="E4198" s="3">
        <v>0</v>
      </c>
      <c r="F4198" t="s">
        <v>45</v>
      </c>
      <c r="G4198" s="3">
        <f t="shared" si="499"/>
        <v>-7020.2179999999998</v>
      </c>
      <c r="H4198" s="3">
        <f t="shared" si="500"/>
        <v>7020.2179999999998</v>
      </c>
      <c r="I4198" s="5" t="str">
        <f t="shared" si="501"/>
        <v>016</v>
      </c>
      <c r="J4198" s="5" t="str">
        <f t="shared" si="502"/>
        <v>2100</v>
      </c>
      <c r="K4198" s="5" t="str">
        <f t="shared" si="503"/>
        <v>000</v>
      </c>
      <c r="L4198" s="5">
        <f t="shared" si="504"/>
        <v>10</v>
      </c>
      <c r="M4198" s="5">
        <f t="shared" si="505"/>
        <v>2012</v>
      </c>
    </row>
    <row r="4199" spans="1:13" ht="17.45" customHeight="1" x14ac:dyDescent="0.25">
      <c r="A4199" s="1">
        <f>DATE(2012,10,21)</f>
        <v>41203</v>
      </c>
      <c r="B4199" t="s">
        <v>12</v>
      </c>
      <c r="C4199" t="s">
        <v>8</v>
      </c>
      <c r="D4199" s="3">
        <v>2295.6660000000002</v>
      </c>
      <c r="E4199" s="3">
        <v>0</v>
      </c>
      <c r="F4199" t="s">
        <v>45</v>
      </c>
      <c r="G4199" s="3">
        <f t="shared" si="499"/>
        <v>-2295.6660000000002</v>
      </c>
      <c r="H4199" s="3">
        <f t="shared" si="500"/>
        <v>2295.6660000000002</v>
      </c>
      <c r="I4199" s="5" t="str">
        <f t="shared" si="501"/>
        <v>016</v>
      </c>
      <c r="J4199" s="5" t="str">
        <f t="shared" si="502"/>
        <v>2210</v>
      </c>
      <c r="K4199" s="5" t="str">
        <f t="shared" si="503"/>
        <v>000</v>
      </c>
      <c r="L4199" s="5">
        <f t="shared" si="504"/>
        <v>10</v>
      </c>
      <c r="M4199" s="5">
        <f t="shared" si="505"/>
        <v>2012</v>
      </c>
    </row>
    <row r="4200" spans="1:13" ht="17.45" customHeight="1" x14ac:dyDescent="0.25">
      <c r="A4200" s="1">
        <f>DATE(2012,10,21)</f>
        <v>41203</v>
      </c>
      <c r="B4200" t="s">
        <v>13</v>
      </c>
      <c r="C4200" t="s">
        <v>9</v>
      </c>
      <c r="D4200" s="3">
        <v>666.52160000000003</v>
      </c>
      <c r="E4200" s="3">
        <v>0</v>
      </c>
      <c r="F4200" t="s">
        <v>45</v>
      </c>
      <c r="G4200" s="3">
        <f t="shared" si="499"/>
        <v>-666.52160000000003</v>
      </c>
      <c r="H4200" s="3">
        <f t="shared" si="500"/>
        <v>666.52160000000003</v>
      </c>
      <c r="I4200" s="5" t="str">
        <f t="shared" si="501"/>
        <v>016</v>
      </c>
      <c r="J4200" s="5" t="str">
        <f t="shared" si="502"/>
        <v>2220</v>
      </c>
      <c r="K4200" s="5" t="str">
        <f t="shared" si="503"/>
        <v>000</v>
      </c>
      <c r="L4200" s="5">
        <f t="shared" si="504"/>
        <v>10</v>
      </c>
      <c r="M4200" s="5">
        <f t="shared" si="505"/>
        <v>2012</v>
      </c>
    </row>
    <row r="4201" spans="1:13" ht="17.45" customHeight="1" x14ac:dyDescent="0.25">
      <c r="A4201" s="1">
        <f>DATE(2012,10,21)</f>
        <v>41203</v>
      </c>
      <c r="B4201" t="s">
        <v>14</v>
      </c>
      <c r="C4201" t="s">
        <v>10</v>
      </c>
      <c r="D4201" s="3">
        <v>347.02949999999998</v>
      </c>
      <c r="E4201" s="3">
        <v>0</v>
      </c>
      <c r="F4201" t="s">
        <v>45</v>
      </c>
      <c r="G4201" s="3">
        <f t="shared" si="499"/>
        <v>-347.02949999999998</v>
      </c>
      <c r="H4201" s="3">
        <f t="shared" si="500"/>
        <v>347.02949999999998</v>
      </c>
      <c r="I4201" s="5" t="str">
        <f t="shared" si="501"/>
        <v>016</v>
      </c>
      <c r="J4201" s="5" t="str">
        <f t="shared" si="502"/>
        <v>2230</v>
      </c>
      <c r="K4201" s="5" t="str">
        <f t="shared" si="503"/>
        <v>000</v>
      </c>
      <c r="L4201" s="5">
        <f t="shared" si="504"/>
        <v>10</v>
      </c>
      <c r="M4201" s="5">
        <f t="shared" si="505"/>
        <v>2012</v>
      </c>
    </row>
    <row r="4202" spans="1:13" ht="17.45" customHeight="1" x14ac:dyDescent="0.25">
      <c r="A4202" s="1">
        <f>DATE(2012,10,15)</f>
        <v>41197</v>
      </c>
      <c r="B4202" t="s">
        <v>15</v>
      </c>
      <c r="C4202" t="s">
        <v>6</v>
      </c>
      <c r="D4202" s="3">
        <v>5878.2809000000007</v>
      </c>
      <c r="E4202" s="3">
        <v>0</v>
      </c>
      <c r="F4202" t="s">
        <v>45</v>
      </c>
      <c r="G4202" s="3">
        <f t="shared" si="499"/>
        <v>-5878.2809000000007</v>
      </c>
      <c r="H4202" s="3">
        <f t="shared" si="500"/>
        <v>5878.2809000000007</v>
      </c>
      <c r="I4202" s="5" t="str">
        <f t="shared" si="501"/>
        <v>017</v>
      </c>
      <c r="J4202" s="5" t="str">
        <f t="shared" si="502"/>
        <v>2100</v>
      </c>
      <c r="K4202" s="5" t="str">
        <f t="shared" si="503"/>
        <v>000</v>
      </c>
      <c r="L4202" s="5">
        <f t="shared" si="504"/>
        <v>10</v>
      </c>
      <c r="M4202" s="5">
        <f t="shared" si="505"/>
        <v>2012</v>
      </c>
    </row>
    <row r="4203" spans="1:13" ht="17.45" customHeight="1" x14ac:dyDescent="0.25">
      <c r="A4203" s="1">
        <f>DATE(2012,10,15)</f>
        <v>41197</v>
      </c>
      <c r="B4203" t="s">
        <v>16</v>
      </c>
      <c r="C4203" t="s">
        <v>8</v>
      </c>
      <c r="D4203" s="3">
        <v>1247.3875</v>
      </c>
      <c r="E4203" s="3">
        <v>0</v>
      </c>
      <c r="F4203" t="s">
        <v>45</v>
      </c>
      <c r="G4203" s="3">
        <f t="shared" si="499"/>
        <v>-1247.3875</v>
      </c>
      <c r="H4203" s="3">
        <f t="shared" si="500"/>
        <v>1247.3875</v>
      </c>
      <c r="I4203" s="5" t="str">
        <f t="shared" si="501"/>
        <v>017</v>
      </c>
      <c r="J4203" s="5" t="str">
        <f t="shared" si="502"/>
        <v>2210</v>
      </c>
      <c r="K4203" s="5" t="str">
        <f t="shared" si="503"/>
        <v>000</v>
      </c>
      <c r="L4203" s="5">
        <f t="shared" si="504"/>
        <v>10</v>
      </c>
      <c r="M4203" s="5">
        <f t="shared" si="505"/>
        <v>2012</v>
      </c>
    </row>
    <row r="4204" spans="1:13" ht="17.45" customHeight="1" x14ac:dyDescent="0.25">
      <c r="A4204" s="1">
        <f>DATE(2012,10,15)</f>
        <v>41197</v>
      </c>
      <c r="B4204" t="s">
        <v>17</v>
      </c>
      <c r="C4204" t="s">
        <v>9</v>
      </c>
      <c r="D4204" s="3">
        <v>261.9375</v>
      </c>
      <c r="E4204" s="3">
        <v>0</v>
      </c>
      <c r="F4204" t="s">
        <v>45</v>
      </c>
      <c r="G4204" s="3">
        <f t="shared" si="499"/>
        <v>-261.9375</v>
      </c>
      <c r="H4204" s="3">
        <f t="shared" si="500"/>
        <v>261.9375</v>
      </c>
      <c r="I4204" s="5" t="str">
        <f t="shared" si="501"/>
        <v>017</v>
      </c>
      <c r="J4204" s="5" t="str">
        <f t="shared" si="502"/>
        <v>2220</v>
      </c>
      <c r="K4204" s="5" t="str">
        <f t="shared" si="503"/>
        <v>000</v>
      </c>
      <c r="L4204" s="5">
        <f t="shared" si="504"/>
        <v>10</v>
      </c>
      <c r="M4204" s="5">
        <f t="shared" si="505"/>
        <v>2012</v>
      </c>
    </row>
    <row r="4205" spans="1:13" ht="17.45" customHeight="1" x14ac:dyDescent="0.25">
      <c r="A4205" s="1">
        <f>DATE(2012,10,15)</f>
        <v>41197</v>
      </c>
      <c r="B4205" t="s">
        <v>18</v>
      </c>
      <c r="C4205" t="s">
        <v>10</v>
      </c>
      <c r="D4205" s="3">
        <v>59.04</v>
      </c>
      <c r="E4205" s="3">
        <v>0</v>
      </c>
      <c r="F4205" t="s">
        <v>45</v>
      </c>
      <c r="G4205" s="3">
        <f t="shared" si="499"/>
        <v>-59.04</v>
      </c>
      <c r="H4205" s="3">
        <f t="shared" si="500"/>
        <v>59.04</v>
      </c>
      <c r="I4205" s="5" t="str">
        <f t="shared" si="501"/>
        <v>017</v>
      </c>
      <c r="J4205" s="5" t="str">
        <f t="shared" si="502"/>
        <v>2230</v>
      </c>
      <c r="K4205" s="5" t="str">
        <f t="shared" si="503"/>
        <v>000</v>
      </c>
      <c r="L4205" s="5">
        <f t="shared" si="504"/>
        <v>10</v>
      </c>
      <c r="M4205" s="5">
        <f t="shared" si="505"/>
        <v>2012</v>
      </c>
    </row>
    <row r="4206" spans="1:13" ht="17.45" customHeight="1" x14ac:dyDescent="0.25">
      <c r="A4206" s="1">
        <f>DATE(2012,10,16)</f>
        <v>41198</v>
      </c>
      <c r="B4206" t="s">
        <v>15</v>
      </c>
      <c r="C4206" t="s">
        <v>6</v>
      </c>
      <c r="D4206" s="3">
        <v>6336.4895999999999</v>
      </c>
      <c r="E4206" s="3">
        <v>0</v>
      </c>
      <c r="F4206" t="s">
        <v>45</v>
      </c>
      <c r="G4206" s="3">
        <f t="shared" si="499"/>
        <v>-6336.4895999999999</v>
      </c>
      <c r="H4206" s="3">
        <f t="shared" si="500"/>
        <v>6336.4895999999999</v>
      </c>
      <c r="I4206" s="5" t="str">
        <f t="shared" si="501"/>
        <v>017</v>
      </c>
      <c r="J4206" s="5" t="str">
        <f t="shared" si="502"/>
        <v>2100</v>
      </c>
      <c r="K4206" s="5" t="str">
        <f t="shared" si="503"/>
        <v>000</v>
      </c>
      <c r="L4206" s="5">
        <f t="shared" si="504"/>
        <v>10</v>
      </c>
      <c r="M4206" s="5">
        <f t="shared" si="505"/>
        <v>2012</v>
      </c>
    </row>
    <row r="4207" spans="1:13" ht="17.45" customHeight="1" x14ac:dyDescent="0.25">
      <c r="A4207" s="1">
        <f>DATE(2012,10,16)</f>
        <v>41198</v>
      </c>
      <c r="B4207" t="s">
        <v>16</v>
      </c>
      <c r="C4207" t="s">
        <v>8</v>
      </c>
      <c r="D4207" s="3">
        <v>1538.454</v>
      </c>
      <c r="E4207" s="3">
        <v>0</v>
      </c>
      <c r="F4207" t="s">
        <v>45</v>
      </c>
      <c r="G4207" s="3">
        <f t="shared" si="499"/>
        <v>-1538.454</v>
      </c>
      <c r="H4207" s="3">
        <f t="shared" si="500"/>
        <v>1538.454</v>
      </c>
      <c r="I4207" s="5" t="str">
        <f t="shared" si="501"/>
        <v>017</v>
      </c>
      <c r="J4207" s="5" t="str">
        <f t="shared" si="502"/>
        <v>2210</v>
      </c>
      <c r="K4207" s="5" t="str">
        <f t="shared" si="503"/>
        <v>000</v>
      </c>
      <c r="L4207" s="5">
        <f t="shared" si="504"/>
        <v>10</v>
      </c>
      <c r="M4207" s="5">
        <f t="shared" si="505"/>
        <v>2012</v>
      </c>
    </row>
    <row r="4208" spans="1:13" ht="17.45" customHeight="1" x14ac:dyDescent="0.25">
      <c r="A4208" s="1">
        <f>DATE(2012,10,16)</f>
        <v>41198</v>
      </c>
      <c r="B4208" t="s">
        <v>17</v>
      </c>
      <c r="C4208" t="s">
        <v>9</v>
      </c>
      <c r="D4208" s="3">
        <v>508.755</v>
      </c>
      <c r="E4208" s="3">
        <v>0</v>
      </c>
      <c r="F4208" t="s">
        <v>45</v>
      </c>
      <c r="G4208" s="3">
        <f t="shared" si="499"/>
        <v>-508.755</v>
      </c>
      <c r="H4208" s="3">
        <f t="shared" si="500"/>
        <v>508.755</v>
      </c>
      <c r="I4208" s="5" t="str">
        <f t="shared" si="501"/>
        <v>017</v>
      </c>
      <c r="J4208" s="5" t="str">
        <f t="shared" si="502"/>
        <v>2220</v>
      </c>
      <c r="K4208" s="5" t="str">
        <f t="shared" si="503"/>
        <v>000</v>
      </c>
      <c r="L4208" s="5">
        <f t="shared" si="504"/>
        <v>10</v>
      </c>
      <c r="M4208" s="5">
        <f t="shared" si="505"/>
        <v>2012</v>
      </c>
    </row>
    <row r="4209" spans="1:13" ht="17.45" customHeight="1" x14ac:dyDescent="0.25">
      <c r="A4209" s="1">
        <f>DATE(2012,10,16)</f>
        <v>41198</v>
      </c>
      <c r="B4209" t="s">
        <v>18</v>
      </c>
      <c r="C4209" t="s">
        <v>10</v>
      </c>
      <c r="D4209" s="3">
        <v>146.23400000000001</v>
      </c>
      <c r="E4209" s="3">
        <v>0</v>
      </c>
      <c r="F4209" t="s">
        <v>45</v>
      </c>
      <c r="G4209" s="3">
        <f t="shared" si="499"/>
        <v>-146.23400000000001</v>
      </c>
      <c r="H4209" s="3">
        <f t="shared" si="500"/>
        <v>146.23400000000001</v>
      </c>
      <c r="I4209" s="5" t="str">
        <f t="shared" si="501"/>
        <v>017</v>
      </c>
      <c r="J4209" s="5" t="str">
        <f t="shared" si="502"/>
        <v>2230</v>
      </c>
      <c r="K4209" s="5" t="str">
        <f t="shared" si="503"/>
        <v>000</v>
      </c>
      <c r="L4209" s="5">
        <f t="shared" si="504"/>
        <v>10</v>
      </c>
      <c r="M4209" s="5">
        <f t="shared" si="505"/>
        <v>2012</v>
      </c>
    </row>
    <row r="4210" spans="1:13" ht="17.45" customHeight="1" x14ac:dyDescent="0.25">
      <c r="A4210" s="1">
        <f>DATE(2012,10,17)</f>
        <v>41199</v>
      </c>
      <c r="B4210" t="s">
        <v>15</v>
      </c>
      <c r="C4210" t="s">
        <v>6</v>
      </c>
      <c r="D4210" s="3">
        <v>5186.7288000000008</v>
      </c>
      <c r="E4210" s="3">
        <v>0</v>
      </c>
      <c r="F4210" t="s">
        <v>45</v>
      </c>
      <c r="G4210" s="3">
        <f t="shared" si="499"/>
        <v>-5186.7288000000008</v>
      </c>
      <c r="H4210" s="3">
        <f t="shared" si="500"/>
        <v>5186.7288000000008</v>
      </c>
      <c r="I4210" s="5" t="str">
        <f t="shared" si="501"/>
        <v>017</v>
      </c>
      <c r="J4210" s="5" t="str">
        <f t="shared" si="502"/>
        <v>2100</v>
      </c>
      <c r="K4210" s="5" t="str">
        <f t="shared" si="503"/>
        <v>000</v>
      </c>
      <c r="L4210" s="5">
        <f t="shared" si="504"/>
        <v>10</v>
      </c>
      <c r="M4210" s="5">
        <f t="shared" si="505"/>
        <v>2012</v>
      </c>
    </row>
    <row r="4211" spans="1:13" ht="17.45" customHeight="1" x14ac:dyDescent="0.25">
      <c r="A4211" s="1">
        <f>DATE(2012,10,17)</f>
        <v>41199</v>
      </c>
      <c r="B4211" t="s">
        <v>16</v>
      </c>
      <c r="C4211" t="s">
        <v>8</v>
      </c>
      <c r="D4211" s="3">
        <v>2111.4690000000001</v>
      </c>
      <c r="E4211" s="3">
        <v>0</v>
      </c>
      <c r="F4211" t="s">
        <v>45</v>
      </c>
      <c r="G4211" s="3">
        <f t="shared" si="499"/>
        <v>-2111.4690000000001</v>
      </c>
      <c r="H4211" s="3">
        <f t="shared" si="500"/>
        <v>2111.4690000000001</v>
      </c>
      <c r="I4211" s="5" t="str">
        <f t="shared" si="501"/>
        <v>017</v>
      </c>
      <c r="J4211" s="5" t="str">
        <f t="shared" si="502"/>
        <v>2210</v>
      </c>
      <c r="K4211" s="5" t="str">
        <f t="shared" si="503"/>
        <v>000</v>
      </c>
      <c r="L4211" s="5">
        <f t="shared" si="504"/>
        <v>10</v>
      </c>
      <c r="M4211" s="5">
        <f t="shared" si="505"/>
        <v>2012</v>
      </c>
    </row>
    <row r="4212" spans="1:13" ht="17.45" customHeight="1" x14ac:dyDescent="0.25">
      <c r="A4212" s="1">
        <f>DATE(2012,10,17)</f>
        <v>41199</v>
      </c>
      <c r="B4212" t="s">
        <v>17</v>
      </c>
      <c r="C4212" t="s">
        <v>9</v>
      </c>
      <c r="D4212" s="3">
        <v>694.47</v>
      </c>
      <c r="E4212" s="3">
        <v>0</v>
      </c>
      <c r="F4212" t="s">
        <v>45</v>
      </c>
      <c r="G4212" s="3">
        <f t="shared" si="499"/>
        <v>-694.47</v>
      </c>
      <c r="H4212" s="3">
        <f t="shared" si="500"/>
        <v>694.47</v>
      </c>
      <c r="I4212" s="5" t="str">
        <f t="shared" si="501"/>
        <v>017</v>
      </c>
      <c r="J4212" s="5" t="str">
        <f t="shared" si="502"/>
        <v>2220</v>
      </c>
      <c r="K4212" s="5" t="str">
        <f t="shared" si="503"/>
        <v>000</v>
      </c>
      <c r="L4212" s="5">
        <f t="shared" si="504"/>
        <v>10</v>
      </c>
      <c r="M4212" s="5">
        <f t="shared" si="505"/>
        <v>2012</v>
      </c>
    </row>
    <row r="4213" spans="1:13" ht="17.45" customHeight="1" x14ac:dyDescent="0.25">
      <c r="A4213" s="1">
        <f>DATE(2012,10,17)</f>
        <v>41199</v>
      </c>
      <c r="B4213" t="s">
        <v>18</v>
      </c>
      <c r="C4213" t="s">
        <v>10</v>
      </c>
      <c r="D4213" s="3">
        <v>98.56</v>
      </c>
      <c r="E4213" s="3">
        <v>0</v>
      </c>
      <c r="F4213" t="s">
        <v>45</v>
      </c>
      <c r="G4213" s="3">
        <f t="shared" si="499"/>
        <v>-98.56</v>
      </c>
      <c r="H4213" s="3">
        <f t="shared" si="500"/>
        <v>98.56</v>
      </c>
      <c r="I4213" s="5" t="str">
        <f t="shared" si="501"/>
        <v>017</v>
      </c>
      <c r="J4213" s="5" t="str">
        <f t="shared" si="502"/>
        <v>2230</v>
      </c>
      <c r="K4213" s="5" t="str">
        <f t="shared" si="503"/>
        <v>000</v>
      </c>
      <c r="L4213" s="5">
        <f t="shared" si="504"/>
        <v>10</v>
      </c>
      <c r="M4213" s="5">
        <f t="shared" si="505"/>
        <v>2012</v>
      </c>
    </row>
    <row r="4214" spans="1:13" ht="17.45" customHeight="1" x14ac:dyDescent="0.25">
      <c r="A4214" s="1">
        <f>DATE(2012,10,18)</f>
        <v>41200</v>
      </c>
      <c r="B4214" t="s">
        <v>15</v>
      </c>
      <c r="C4214" t="s">
        <v>6</v>
      </c>
      <c r="D4214" s="3">
        <v>4048.1000999999997</v>
      </c>
      <c r="E4214" s="3">
        <v>0</v>
      </c>
      <c r="F4214" t="s">
        <v>45</v>
      </c>
      <c r="G4214" s="3">
        <f t="shared" si="499"/>
        <v>-4048.1000999999997</v>
      </c>
      <c r="H4214" s="3">
        <f t="shared" si="500"/>
        <v>4048.1000999999997</v>
      </c>
      <c r="I4214" s="5" t="str">
        <f t="shared" si="501"/>
        <v>017</v>
      </c>
      <c r="J4214" s="5" t="str">
        <f t="shared" si="502"/>
        <v>2100</v>
      </c>
      <c r="K4214" s="5" t="str">
        <f t="shared" si="503"/>
        <v>000</v>
      </c>
      <c r="L4214" s="5">
        <f t="shared" si="504"/>
        <v>10</v>
      </c>
      <c r="M4214" s="5">
        <f t="shared" si="505"/>
        <v>2012</v>
      </c>
    </row>
    <row r="4215" spans="1:13" ht="17.45" customHeight="1" x14ac:dyDescent="0.25">
      <c r="A4215" s="1">
        <f>DATE(2012,10,18)</f>
        <v>41200</v>
      </c>
      <c r="B4215" t="s">
        <v>16</v>
      </c>
      <c r="C4215" t="s">
        <v>8</v>
      </c>
      <c r="D4215" s="3">
        <v>1661.5830000000001</v>
      </c>
      <c r="E4215" s="3">
        <v>0</v>
      </c>
      <c r="F4215" t="s">
        <v>45</v>
      </c>
      <c r="G4215" s="3">
        <f t="shared" si="499"/>
        <v>-1661.5830000000001</v>
      </c>
      <c r="H4215" s="3">
        <f t="shared" si="500"/>
        <v>1661.5830000000001</v>
      </c>
      <c r="I4215" s="5" t="str">
        <f t="shared" si="501"/>
        <v>017</v>
      </c>
      <c r="J4215" s="5" t="str">
        <f t="shared" si="502"/>
        <v>2210</v>
      </c>
      <c r="K4215" s="5" t="str">
        <f t="shared" si="503"/>
        <v>000</v>
      </c>
      <c r="L4215" s="5">
        <f t="shared" si="504"/>
        <v>10</v>
      </c>
      <c r="M4215" s="5">
        <f t="shared" si="505"/>
        <v>2012</v>
      </c>
    </row>
    <row r="4216" spans="1:13" ht="17.45" customHeight="1" x14ac:dyDescent="0.25">
      <c r="A4216" s="1">
        <f>DATE(2012,10,18)</f>
        <v>41200</v>
      </c>
      <c r="B4216" t="s">
        <v>17</v>
      </c>
      <c r="C4216" t="s">
        <v>9</v>
      </c>
      <c r="D4216" s="3">
        <v>536.35500000000002</v>
      </c>
      <c r="E4216" s="3">
        <v>0</v>
      </c>
      <c r="F4216" t="s">
        <v>45</v>
      </c>
      <c r="G4216" s="3">
        <f t="shared" si="499"/>
        <v>-536.35500000000002</v>
      </c>
      <c r="H4216" s="3">
        <f t="shared" si="500"/>
        <v>536.35500000000002</v>
      </c>
      <c r="I4216" s="5" t="str">
        <f t="shared" si="501"/>
        <v>017</v>
      </c>
      <c r="J4216" s="5" t="str">
        <f t="shared" si="502"/>
        <v>2220</v>
      </c>
      <c r="K4216" s="5" t="str">
        <f t="shared" si="503"/>
        <v>000</v>
      </c>
      <c r="L4216" s="5">
        <f t="shared" si="504"/>
        <v>10</v>
      </c>
      <c r="M4216" s="5">
        <f t="shared" si="505"/>
        <v>2012</v>
      </c>
    </row>
    <row r="4217" spans="1:13" ht="17.45" customHeight="1" x14ac:dyDescent="0.25">
      <c r="A4217" s="1">
        <f>DATE(2012,10,18)</f>
        <v>41200</v>
      </c>
      <c r="B4217" t="s">
        <v>18</v>
      </c>
      <c r="C4217" t="s">
        <v>10</v>
      </c>
      <c r="D4217" s="3">
        <v>61.24</v>
      </c>
      <c r="E4217" s="3">
        <v>0</v>
      </c>
      <c r="F4217" t="s">
        <v>45</v>
      </c>
      <c r="G4217" s="3">
        <f t="shared" si="499"/>
        <v>-61.24</v>
      </c>
      <c r="H4217" s="3">
        <f t="shared" si="500"/>
        <v>61.24</v>
      </c>
      <c r="I4217" s="5" t="str">
        <f t="shared" si="501"/>
        <v>017</v>
      </c>
      <c r="J4217" s="5" t="str">
        <f t="shared" si="502"/>
        <v>2230</v>
      </c>
      <c r="K4217" s="5" t="str">
        <f t="shared" si="503"/>
        <v>000</v>
      </c>
      <c r="L4217" s="5">
        <f t="shared" si="504"/>
        <v>10</v>
      </c>
      <c r="M4217" s="5">
        <f t="shared" si="505"/>
        <v>2012</v>
      </c>
    </row>
    <row r="4218" spans="1:13" ht="17.45" customHeight="1" x14ac:dyDescent="0.25">
      <c r="A4218" s="1">
        <f>DATE(2012,10,19)</f>
        <v>41201</v>
      </c>
      <c r="B4218" t="s">
        <v>15</v>
      </c>
      <c r="C4218" t="s">
        <v>6</v>
      </c>
      <c r="D4218" s="3">
        <v>6507.2766000000001</v>
      </c>
      <c r="E4218" s="3">
        <v>0</v>
      </c>
      <c r="F4218" t="s">
        <v>45</v>
      </c>
      <c r="G4218" s="3">
        <f t="shared" si="499"/>
        <v>-6507.2766000000001</v>
      </c>
      <c r="H4218" s="3">
        <f t="shared" si="500"/>
        <v>6507.2766000000001</v>
      </c>
      <c r="I4218" s="5" t="str">
        <f t="shared" si="501"/>
        <v>017</v>
      </c>
      <c r="J4218" s="5" t="str">
        <f t="shared" si="502"/>
        <v>2100</v>
      </c>
      <c r="K4218" s="5" t="str">
        <f t="shared" si="503"/>
        <v>000</v>
      </c>
      <c r="L4218" s="5">
        <f t="shared" si="504"/>
        <v>10</v>
      </c>
      <c r="M4218" s="5">
        <f t="shared" si="505"/>
        <v>2012</v>
      </c>
    </row>
    <row r="4219" spans="1:13" ht="17.45" customHeight="1" x14ac:dyDescent="0.25">
      <c r="A4219" s="1">
        <f>DATE(2012,10,19)</f>
        <v>41201</v>
      </c>
      <c r="B4219" t="s">
        <v>16</v>
      </c>
      <c r="C4219" t="s">
        <v>8</v>
      </c>
      <c r="D4219" s="3">
        <v>2402.846</v>
      </c>
      <c r="E4219" s="3">
        <v>0</v>
      </c>
      <c r="F4219" t="s">
        <v>45</v>
      </c>
      <c r="G4219" s="3">
        <f t="shared" si="499"/>
        <v>-2402.846</v>
      </c>
      <c r="H4219" s="3">
        <f t="shared" si="500"/>
        <v>2402.846</v>
      </c>
      <c r="I4219" s="5" t="str">
        <f t="shared" si="501"/>
        <v>017</v>
      </c>
      <c r="J4219" s="5" t="str">
        <f t="shared" si="502"/>
        <v>2210</v>
      </c>
      <c r="K4219" s="5" t="str">
        <f t="shared" si="503"/>
        <v>000</v>
      </c>
      <c r="L4219" s="5">
        <f t="shared" si="504"/>
        <v>10</v>
      </c>
      <c r="M4219" s="5">
        <f t="shared" si="505"/>
        <v>2012</v>
      </c>
    </row>
    <row r="4220" spans="1:13" ht="17.45" customHeight="1" x14ac:dyDescent="0.25">
      <c r="A4220" s="1">
        <f>DATE(2012,10,19)</f>
        <v>41201</v>
      </c>
      <c r="B4220" t="s">
        <v>17</v>
      </c>
      <c r="C4220" t="s">
        <v>9</v>
      </c>
      <c r="D4220" s="3">
        <v>542.97249999999997</v>
      </c>
      <c r="E4220" s="3">
        <v>0</v>
      </c>
      <c r="F4220" t="s">
        <v>45</v>
      </c>
      <c r="G4220" s="3">
        <f t="shared" si="499"/>
        <v>-542.97249999999997</v>
      </c>
      <c r="H4220" s="3">
        <f t="shared" si="500"/>
        <v>542.97249999999997</v>
      </c>
      <c r="I4220" s="5" t="str">
        <f t="shared" si="501"/>
        <v>017</v>
      </c>
      <c r="J4220" s="5" t="str">
        <f t="shared" si="502"/>
        <v>2220</v>
      </c>
      <c r="K4220" s="5" t="str">
        <f t="shared" si="503"/>
        <v>000</v>
      </c>
      <c r="L4220" s="5">
        <f t="shared" si="504"/>
        <v>10</v>
      </c>
      <c r="M4220" s="5">
        <f t="shared" si="505"/>
        <v>2012</v>
      </c>
    </row>
    <row r="4221" spans="1:13" ht="17.45" customHeight="1" x14ac:dyDescent="0.25">
      <c r="A4221" s="1">
        <f>DATE(2012,10,19)</f>
        <v>41201</v>
      </c>
      <c r="B4221" t="s">
        <v>18</v>
      </c>
      <c r="C4221" t="s">
        <v>10</v>
      </c>
      <c r="D4221" s="3">
        <v>235.85450000000003</v>
      </c>
      <c r="E4221" s="3">
        <v>0</v>
      </c>
      <c r="F4221" t="s">
        <v>45</v>
      </c>
      <c r="G4221" s="3">
        <f t="shared" si="499"/>
        <v>-235.85450000000003</v>
      </c>
      <c r="H4221" s="3">
        <f t="shared" si="500"/>
        <v>235.85450000000003</v>
      </c>
      <c r="I4221" s="5" t="str">
        <f t="shared" si="501"/>
        <v>017</v>
      </c>
      <c r="J4221" s="5" t="str">
        <f t="shared" si="502"/>
        <v>2230</v>
      </c>
      <c r="K4221" s="5" t="str">
        <f t="shared" si="503"/>
        <v>000</v>
      </c>
      <c r="L4221" s="5">
        <f t="shared" si="504"/>
        <v>10</v>
      </c>
      <c r="M4221" s="5">
        <f t="shared" si="505"/>
        <v>2012</v>
      </c>
    </row>
    <row r="4222" spans="1:13" ht="17.45" customHeight="1" x14ac:dyDescent="0.25">
      <c r="A4222" s="1">
        <f>DATE(2012,10,20)</f>
        <v>41202</v>
      </c>
      <c r="B4222" t="s">
        <v>15</v>
      </c>
      <c r="C4222" t="s">
        <v>6</v>
      </c>
      <c r="D4222" s="3">
        <v>6208.243199999999</v>
      </c>
      <c r="E4222" s="3">
        <v>0</v>
      </c>
      <c r="F4222" t="s">
        <v>45</v>
      </c>
      <c r="G4222" s="3">
        <f t="shared" si="499"/>
        <v>-6208.243199999999</v>
      </c>
      <c r="H4222" s="3">
        <f t="shared" si="500"/>
        <v>6208.243199999999</v>
      </c>
      <c r="I4222" s="5" t="str">
        <f t="shared" si="501"/>
        <v>017</v>
      </c>
      <c r="J4222" s="5" t="str">
        <f t="shared" si="502"/>
        <v>2100</v>
      </c>
      <c r="K4222" s="5" t="str">
        <f t="shared" si="503"/>
        <v>000</v>
      </c>
      <c r="L4222" s="5">
        <f t="shared" si="504"/>
        <v>10</v>
      </c>
      <c r="M4222" s="5">
        <f t="shared" si="505"/>
        <v>2012</v>
      </c>
    </row>
    <row r="4223" spans="1:13" ht="17.45" customHeight="1" x14ac:dyDescent="0.25">
      <c r="A4223" s="1">
        <f>DATE(2012,10,20)</f>
        <v>41202</v>
      </c>
      <c r="B4223" t="s">
        <v>16</v>
      </c>
      <c r="C4223" t="s">
        <v>8</v>
      </c>
      <c r="D4223" s="3">
        <v>1504.1730000000002</v>
      </c>
      <c r="E4223" s="3">
        <v>0</v>
      </c>
      <c r="F4223" t="s">
        <v>45</v>
      </c>
      <c r="G4223" s="3">
        <f t="shared" si="499"/>
        <v>-1504.1730000000002</v>
      </c>
      <c r="H4223" s="3">
        <f t="shared" si="500"/>
        <v>1504.1730000000002</v>
      </c>
      <c r="I4223" s="5" t="str">
        <f t="shared" si="501"/>
        <v>017</v>
      </c>
      <c r="J4223" s="5" t="str">
        <f t="shared" si="502"/>
        <v>2210</v>
      </c>
      <c r="K4223" s="5" t="str">
        <f t="shared" si="503"/>
        <v>000</v>
      </c>
      <c r="L4223" s="5">
        <f t="shared" si="504"/>
        <v>10</v>
      </c>
      <c r="M4223" s="5">
        <f t="shared" si="505"/>
        <v>2012</v>
      </c>
    </row>
    <row r="4224" spans="1:13" ht="17.45" customHeight="1" x14ac:dyDescent="0.25">
      <c r="A4224" s="1">
        <f>DATE(2012,10,20)</f>
        <v>41202</v>
      </c>
      <c r="B4224" t="s">
        <v>17</v>
      </c>
      <c r="C4224" t="s">
        <v>9</v>
      </c>
      <c r="D4224" s="3">
        <v>235.84</v>
      </c>
      <c r="E4224" s="3">
        <v>0</v>
      </c>
      <c r="F4224" t="s">
        <v>45</v>
      </c>
      <c r="G4224" s="3">
        <f t="shared" si="499"/>
        <v>-235.84</v>
      </c>
      <c r="H4224" s="3">
        <f t="shared" si="500"/>
        <v>235.84</v>
      </c>
      <c r="I4224" s="5" t="str">
        <f t="shared" si="501"/>
        <v>017</v>
      </c>
      <c r="J4224" s="5" t="str">
        <f t="shared" si="502"/>
        <v>2220</v>
      </c>
      <c r="K4224" s="5" t="str">
        <f t="shared" si="503"/>
        <v>000</v>
      </c>
      <c r="L4224" s="5">
        <f t="shared" si="504"/>
        <v>10</v>
      </c>
      <c r="M4224" s="5">
        <f t="shared" si="505"/>
        <v>2012</v>
      </c>
    </row>
    <row r="4225" spans="1:13" ht="17.45" customHeight="1" x14ac:dyDescent="0.25">
      <c r="A4225" s="1">
        <f>DATE(2012,10,20)</f>
        <v>41202</v>
      </c>
      <c r="B4225" t="s">
        <v>18</v>
      </c>
      <c r="C4225" t="s">
        <v>10</v>
      </c>
      <c r="D4225" s="3">
        <v>133.08300000000003</v>
      </c>
      <c r="E4225" s="3">
        <v>0</v>
      </c>
      <c r="F4225" t="s">
        <v>45</v>
      </c>
      <c r="G4225" s="3">
        <f t="shared" si="499"/>
        <v>-133.08300000000003</v>
      </c>
      <c r="H4225" s="3">
        <f t="shared" si="500"/>
        <v>133.08300000000003</v>
      </c>
      <c r="I4225" s="5" t="str">
        <f t="shared" si="501"/>
        <v>017</v>
      </c>
      <c r="J4225" s="5" t="str">
        <f t="shared" si="502"/>
        <v>2230</v>
      </c>
      <c r="K4225" s="5" t="str">
        <f t="shared" si="503"/>
        <v>000</v>
      </c>
      <c r="L4225" s="5">
        <f t="shared" si="504"/>
        <v>10</v>
      </c>
      <c r="M4225" s="5">
        <f t="shared" si="505"/>
        <v>2012</v>
      </c>
    </row>
    <row r="4226" spans="1:13" ht="17.45" customHeight="1" x14ac:dyDescent="0.25">
      <c r="A4226" s="1">
        <f>DATE(2012,10,21)</f>
        <v>41203</v>
      </c>
      <c r="B4226" t="s">
        <v>15</v>
      </c>
      <c r="C4226" t="s">
        <v>6</v>
      </c>
      <c r="D4226" s="3">
        <v>3664.6170000000002</v>
      </c>
      <c r="E4226" s="3">
        <v>0</v>
      </c>
      <c r="F4226" t="s">
        <v>45</v>
      </c>
      <c r="G4226" s="3">
        <f t="shared" ref="G4226:G4289" si="508">E4226-D4226</f>
        <v>-3664.6170000000002</v>
      </c>
      <c r="H4226" s="3">
        <f t="shared" ref="H4226:H4289" si="509">ABS(G4226)</f>
        <v>3664.6170000000002</v>
      </c>
      <c r="I4226" s="5" t="str">
        <f t="shared" ref="I4226:I4289" si="510">MID(B4226,1,3)</f>
        <v>017</v>
      </c>
      <c r="J4226" s="5" t="str">
        <f t="shared" ref="J4226:J4289" si="511">MID(B4226,5,4)</f>
        <v>2100</v>
      </c>
      <c r="K4226" s="5" t="str">
        <f t="shared" ref="K4226:K4289" si="512">MID(B4226,10,3)</f>
        <v>000</v>
      </c>
      <c r="L4226" s="5">
        <f t="shared" ref="L4226:L4289" si="513">MONTH(A4226)</f>
        <v>10</v>
      </c>
      <c r="M4226" s="5">
        <f t="shared" ref="M4226:M4289" si="514">YEAR(A4226)</f>
        <v>2012</v>
      </c>
    </row>
    <row r="4227" spans="1:13" ht="17.45" customHeight="1" x14ac:dyDescent="0.25">
      <c r="A4227" s="1">
        <f>DATE(2012,10,21)</f>
        <v>41203</v>
      </c>
      <c r="B4227" t="s">
        <v>16</v>
      </c>
      <c r="C4227" t="s">
        <v>8</v>
      </c>
      <c r="D4227" s="3">
        <v>1036.0580000000002</v>
      </c>
      <c r="E4227" s="3">
        <v>0</v>
      </c>
      <c r="F4227" t="s">
        <v>45</v>
      </c>
      <c r="G4227" s="3">
        <f t="shared" si="508"/>
        <v>-1036.0580000000002</v>
      </c>
      <c r="H4227" s="3">
        <f t="shared" si="509"/>
        <v>1036.0580000000002</v>
      </c>
      <c r="I4227" s="5" t="str">
        <f t="shared" si="510"/>
        <v>017</v>
      </c>
      <c r="J4227" s="5" t="str">
        <f t="shared" si="511"/>
        <v>2210</v>
      </c>
      <c r="K4227" s="5" t="str">
        <f t="shared" si="512"/>
        <v>000</v>
      </c>
      <c r="L4227" s="5">
        <f t="shared" si="513"/>
        <v>10</v>
      </c>
      <c r="M4227" s="5">
        <f t="shared" si="514"/>
        <v>2012</v>
      </c>
    </row>
    <row r="4228" spans="1:13" ht="17.45" customHeight="1" x14ac:dyDescent="0.25">
      <c r="A4228" s="1">
        <f>DATE(2012,10,21)</f>
        <v>41203</v>
      </c>
      <c r="B4228" t="s">
        <v>17</v>
      </c>
      <c r="C4228" t="s">
        <v>9</v>
      </c>
      <c r="D4228" s="3">
        <v>74.260000000000005</v>
      </c>
      <c r="E4228" s="3">
        <v>0</v>
      </c>
      <c r="F4228" t="s">
        <v>45</v>
      </c>
      <c r="G4228" s="3">
        <f t="shared" si="508"/>
        <v>-74.260000000000005</v>
      </c>
      <c r="H4228" s="3">
        <f t="shared" si="509"/>
        <v>74.260000000000005</v>
      </c>
      <c r="I4228" s="5" t="str">
        <f t="shared" si="510"/>
        <v>017</v>
      </c>
      <c r="J4228" s="5" t="str">
        <f t="shared" si="511"/>
        <v>2220</v>
      </c>
      <c r="K4228" s="5" t="str">
        <f t="shared" si="512"/>
        <v>000</v>
      </c>
      <c r="L4228" s="5">
        <f t="shared" si="513"/>
        <v>10</v>
      </c>
      <c r="M4228" s="5">
        <f t="shared" si="514"/>
        <v>2012</v>
      </c>
    </row>
    <row r="4229" spans="1:13" ht="17.45" customHeight="1" x14ac:dyDescent="0.25">
      <c r="A4229" s="1">
        <f>DATE(2012,10,21)</f>
        <v>41203</v>
      </c>
      <c r="B4229" t="s">
        <v>18</v>
      </c>
      <c r="C4229" t="s">
        <v>10</v>
      </c>
      <c r="D4229" s="3">
        <v>31.187999999999999</v>
      </c>
      <c r="E4229" s="3">
        <v>0</v>
      </c>
      <c r="F4229" t="s">
        <v>45</v>
      </c>
      <c r="G4229" s="3">
        <f t="shared" si="508"/>
        <v>-31.187999999999999</v>
      </c>
      <c r="H4229" s="3">
        <f t="shared" si="509"/>
        <v>31.187999999999999</v>
      </c>
      <c r="I4229" s="5" t="str">
        <f t="shared" si="510"/>
        <v>017</v>
      </c>
      <c r="J4229" s="5" t="str">
        <f t="shared" si="511"/>
        <v>2230</v>
      </c>
      <c r="K4229" s="5" t="str">
        <f t="shared" si="512"/>
        <v>000</v>
      </c>
      <c r="L4229" s="5">
        <f t="shared" si="513"/>
        <v>10</v>
      </c>
      <c r="M4229" s="5">
        <f t="shared" si="514"/>
        <v>2012</v>
      </c>
    </row>
    <row r="4230" spans="1:13" ht="17.45" customHeight="1" x14ac:dyDescent="0.25">
      <c r="A4230" s="1">
        <f>DATE(2012,10,15)</f>
        <v>41197</v>
      </c>
      <c r="B4230" t="s">
        <v>19</v>
      </c>
      <c r="C4230" t="s">
        <v>6</v>
      </c>
      <c r="D4230" s="3">
        <v>4971.3498</v>
      </c>
      <c r="E4230" s="3">
        <v>0</v>
      </c>
      <c r="F4230" t="s">
        <v>45</v>
      </c>
      <c r="G4230" s="3">
        <f t="shared" si="508"/>
        <v>-4971.3498</v>
      </c>
      <c r="H4230" s="3">
        <f t="shared" si="509"/>
        <v>4971.3498</v>
      </c>
      <c r="I4230" s="5" t="str">
        <f t="shared" si="510"/>
        <v>018</v>
      </c>
      <c r="J4230" s="5" t="str">
        <f t="shared" si="511"/>
        <v>2100</v>
      </c>
      <c r="K4230" s="5" t="str">
        <f t="shared" si="512"/>
        <v>000</v>
      </c>
      <c r="L4230" s="5">
        <f t="shared" si="513"/>
        <v>10</v>
      </c>
      <c r="M4230" s="5">
        <f t="shared" si="514"/>
        <v>2012</v>
      </c>
    </row>
    <row r="4231" spans="1:13" ht="17.45" customHeight="1" x14ac:dyDescent="0.25">
      <c r="A4231" s="1">
        <f>DATE(2012,10,15)</f>
        <v>41197</v>
      </c>
      <c r="B4231" t="s">
        <v>20</v>
      </c>
      <c r="C4231" t="s">
        <v>8</v>
      </c>
      <c r="D4231" s="3">
        <v>687.39799999999991</v>
      </c>
      <c r="E4231" s="3">
        <v>0</v>
      </c>
      <c r="F4231" t="s">
        <v>45</v>
      </c>
      <c r="G4231" s="3">
        <f t="shared" si="508"/>
        <v>-687.39799999999991</v>
      </c>
      <c r="H4231" s="3">
        <f t="shared" si="509"/>
        <v>687.39799999999991</v>
      </c>
      <c r="I4231" s="5" t="str">
        <f t="shared" si="510"/>
        <v>018</v>
      </c>
      <c r="J4231" s="5" t="str">
        <f t="shared" si="511"/>
        <v>2210</v>
      </c>
      <c r="K4231" s="5" t="str">
        <f t="shared" si="512"/>
        <v>000</v>
      </c>
      <c r="L4231" s="5">
        <f t="shared" si="513"/>
        <v>10</v>
      </c>
      <c r="M4231" s="5">
        <f t="shared" si="514"/>
        <v>2012</v>
      </c>
    </row>
    <row r="4232" spans="1:13" ht="17.45" customHeight="1" x14ac:dyDescent="0.25">
      <c r="A4232" s="1">
        <f>DATE(2012,10,15)</f>
        <v>41197</v>
      </c>
      <c r="B4232" t="s">
        <v>21</v>
      </c>
      <c r="C4232" t="s">
        <v>9</v>
      </c>
      <c r="D4232" s="3">
        <v>107.11800000000001</v>
      </c>
      <c r="E4232" s="3">
        <v>0</v>
      </c>
      <c r="F4232" t="s">
        <v>45</v>
      </c>
      <c r="G4232" s="3">
        <f t="shared" si="508"/>
        <v>-107.11800000000001</v>
      </c>
      <c r="H4232" s="3">
        <f t="shared" si="509"/>
        <v>107.11800000000001</v>
      </c>
      <c r="I4232" s="5" t="str">
        <f t="shared" si="510"/>
        <v>018</v>
      </c>
      <c r="J4232" s="5" t="str">
        <f t="shared" si="511"/>
        <v>2220</v>
      </c>
      <c r="K4232" s="5" t="str">
        <f t="shared" si="512"/>
        <v>000</v>
      </c>
      <c r="L4232" s="5">
        <f t="shared" si="513"/>
        <v>10</v>
      </c>
      <c r="M4232" s="5">
        <f t="shared" si="514"/>
        <v>2012</v>
      </c>
    </row>
    <row r="4233" spans="1:13" ht="17.45" customHeight="1" x14ac:dyDescent="0.25">
      <c r="A4233" s="1">
        <f>DATE(2012,10,15)</f>
        <v>41197</v>
      </c>
      <c r="B4233" t="s">
        <v>22</v>
      </c>
      <c r="C4233" t="s">
        <v>10</v>
      </c>
      <c r="D4233" s="3">
        <v>10.322999999999999</v>
      </c>
      <c r="E4233" s="3">
        <v>0</v>
      </c>
      <c r="F4233" t="s">
        <v>45</v>
      </c>
      <c r="G4233" s="3">
        <f t="shared" si="508"/>
        <v>-10.322999999999999</v>
      </c>
      <c r="H4233" s="3">
        <f t="shared" si="509"/>
        <v>10.322999999999999</v>
      </c>
      <c r="I4233" s="5" t="str">
        <f t="shared" si="510"/>
        <v>018</v>
      </c>
      <c r="J4233" s="5" t="str">
        <f t="shared" si="511"/>
        <v>2230</v>
      </c>
      <c r="K4233" s="5" t="str">
        <f t="shared" si="512"/>
        <v>000</v>
      </c>
      <c r="L4233" s="5">
        <f t="shared" si="513"/>
        <v>10</v>
      </c>
      <c r="M4233" s="5">
        <f t="shared" si="514"/>
        <v>2012</v>
      </c>
    </row>
    <row r="4234" spans="1:13" ht="17.45" customHeight="1" x14ac:dyDescent="0.25">
      <c r="A4234" s="1">
        <f>DATE(2012,10,16)</f>
        <v>41198</v>
      </c>
      <c r="B4234" t="s">
        <v>19</v>
      </c>
      <c r="C4234" t="s">
        <v>6</v>
      </c>
      <c r="D4234" s="3">
        <v>3164.6114999999995</v>
      </c>
      <c r="E4234" s="3">
        <v>0</v>
      </c>
      <c r="F4234" t="s">
        <v>45</v>
      </c>
      <c r="G4234" s="3">
        <f t="shared" si="508"/>
        <v>-3164.6114999999995</v>
      </c>
      <c r="H4234" s="3">
        <f t="shared" si="509"/>
        <v>3164.6114999999995</v>
      </c>
      <c r="I4234" s="5" t="str">
        <f t="shared" si="510"/>
        <v>018</v>
      </c>
      <c r="J4234" s="5" t="str">
        <f t="shared" si="511"/>
        <v>2100</v>
      </c>
      <c r="K4234" s="5" t="str">
        <f t="shared" si="512"/>
        <v>000</v>
      </c>
      <c r="L4234" s="5">
        <f t="shared" si="513"/>
        <v>10</v>
      </c>
      <c r="M4234" s="5">
        <f t="shared" si="514"/>
        <v>2012</v>
      </c>
    </row>
    <row r="4235" spans="1:13" ht="17.45" customHeight="1" x14ac:dyDescent="0.25">
      <c r="A4235" s="1">
        <f>DATE(2012,10,16)</f>
        <v>41198</v>
      </c>
      <c r="B4235" t="s">
        <v>20</v>
      </c>
      <c r="C4235" t="s">
        <v>8</v>
      </c>
      <c r="D4235" s="3">
        <v>524.56950000000006</v>
      </c>
      <c r="E4235" s="3">
        <v>0</v>
      </c>
      <c r="F4235" t="s">
        <v>45</v>
      </c>
      <c r="G4235" s="3">
        <f t="shared" si="508"/>
        <v>-524.56950000000006</v>
      </c>
      <c r="H4235" s="3">
        <f t="shared" si="509"/>
        <v>524.56950000000006</v>
      </c>
      <c r="I4235" s="5" t="str">
        <f t="shared" si="510"/>
        <v>018</v>
      </c>
      <c r="J4235" s="5" t="str">
        <f t="shared" si="511"/>
        <v>2210</v>
      </c>
      <c r="K4235" s="5" t="str">
        <f t="shared" si="512"/>
        <v>000</v>
      </c>
      <c r="L4235" s="5">
        <f t="shared" si="513"/>
        <v>10</v>
      </c>
      <c r="M4235" s="5">
        <f t="shared" si="514"/>
        <v>2012</v>
      </c>
    </row>
    <row r="4236" spans="1:13" ht="17.45" customHeight="1" x14ac:dyDescent="0.25">
      <c r="A4236" s="1">
        <f>DATE(2012,10,16)</f>
        <v>41198</v>
      </c>
      <c r="B4236" t="s">
        <v>21</v>
      </c>
      <c r="C4236" t="s">
        <v>9</v>
      </c>
      <c r="D4236" s="3">
        <v>210.37199999999999</v>
      </c>
      <c r="E4236" s="3">
        <v>0</v>
      </c>
      <c r="F4236" t="s">
        <v>45</v>
      </c>
      <c r="G4236" s="3">
        <f t="shared" si="508"/>
        <v>-210.37199999999999</v>
      </c>
      <c r="H4236" s="3">
        <f t="shared" si="509"/>
        <v>210.37199999999999</v>
      </c>
      <c r="I4236" s="5" t="str">
        <f t="shared" si="510"/>
        <v>018</v>
      </c>
      <c r="J4236" s="5" t="str">
        <f t="shared" si="511"/>
        <v>2220</v>
      </c>
      <c r="K4236" s="5" t="str">
        <f t="shared" si="512"/>
        <v>000</v>
      </c>
      <c r="L4236" s="5">
        <f t="shared" si="513"/>
        <v>10</v>
      </c>
      <c r="M4236" s="5">
        <f t="shared" si="514"/>
        <v>2012</v>
      </c>
    </row>
    <row r="4237" spans="1:13" ht="17.45" customHeight="1" x14ac:dyDescent="0.25">
      <c r="A4237" s="1">
        <f>DATE(2012,10,16)</f>
        <v>41198</v>
      </c>
      <c r="B4237" t="s">
        <v>22</v>
      </c>
      <c r="C4237" t="s">
        <v>10</v>
      </c>
      <c r="D4237" s="3">
        <v>65.649000000000001</v>
      </c>
      <c r="E4237" s="3">
        <v>0</v>
      </c>
      <c r="F4237" t="s">
        <v>45</v>
      </c>
      <c r="G4237" s="3">
        <f t="shared" si="508"/>
        <v>-65.649000000000001</v>
      </c>
      <c r="H4237" s="3">
        <f t="shared" si="509"/>
        <v>65.649000000000001</v>
      </c>
      <c r="I4237" s="5" t="str">
        <f t="shared" si="510"/>
        <v>018</v>
      </c>
      <c r="J4237" s="5" t="str">
        <f t="shared" si="511"/>
        <v>2230</v>
      </c>
      <c r="K4237" s="5" t="str">
        <f t="shared" si="512"/>
        <v>000</v>
      </c>
      <c r="L4237" s="5">
        <f t="shared" si="513"/>
        <v>10</v>
      </c>
      <c r="M4237" s="5">
        <f t="shared" si="514"/>
        <v>2012</v>
      </c>
    </row>
    <row r="4238" spans="1:13" ht="17.45" customHeight="1" x14ac:dyDescent="0.25">
      <c r="A4238" s="1">
        <f>DATE(2012,10,17)</f>
        <v>41199</v>
      </c>
      <c r="B4238" t="s">
        <v>19</v>
      </c>
      <c r="C4238" t="s">
        <v>6</v>
      </c>
      <c r="D4238" s="3">
        <v>4659.1657999999998</v>
      </c>
      <c r="E4238" s="3">
        <v>0</v>
      </c>
      <c r="F4238" t="s">
        <v>45</v>
      </c>
      <c r="G4238" s="3">
        <f t="shared" si="508"/>
        <v>-4659.1657999999998</v>
      </c>
      <c r="H4238" s="3">
        <f t="shared" si="509"/>
        <v>4659.1657999999998</v>
      </c>
      <c r="I4238" s="5" t="str">
        <f t="shared" si="510"/>
        <v>018</v>
      </c>
      <c r="J4238" s="5" t="str">
        <f t="shared" si="511"/>
        <v>2100</v>
      </c>
      <c r="K4238" s="5" t="str">
        <f t="shared" si="512"/>
        <v>000</v>
      </c>
      <c r="L4238" s="5">
        <f t="shared" si="513"/>
        <v>10</v>
      </c>
      <c r="M4238" s="5">
        <f t="shared" si="514"/>
        <v>2012</v>
      </c>
    </row>
    <row r="4239" spans="1:13" ht="17.45" customHeight="1" x14ac:dyDescent="0.25">
      <c r="A4239" s="1">
        <f>DATE(2012,10,17)</f>
        <v>41199</v>
      </c>
      <c r="B4239" t="s">
        <v>20</v>
      </c>
      <c r="C4239" t="s">
        <v>8</v>
      </c>
      <c r="D4239" s="3">
        <v>1134.2094999999999</v>
      </c>
      <c r="E4239" s="3">
        <v>0</v>
      </c>
      <c r="F4239" t="s">
        <v>45</v>
      </c>
      <c r="G4239" s="3">
        <f t="shared" si="508"/>
        <v>-1134.2094999999999</v>
      </c>
      <c r="H4239" s="3">
        <f t="shared" si="509"/>
        <v>1134.2094999999999</v>
      </c>
      <c r="I4239" s="5" t="str">
        <f t="shared" si="510"/>
        <v>018</v>
      </c>
      <c r="J4239" s="5" t="str">
        <f t="shared" si="511"/>
        <v>2210</v>
      </c>
      <c r="K4239" s="5" t="str">
        <f t="shared" si="512"/>
        <v>000</v>
      </c>
      <c r="L4239" s="5">
        <f t="shared" si="513"/>
        <v>10</v>
      </c>
      <c r="M4239" s="5">
        <f t="shared" si="514"/>
        <v>2012</v>
      </c>
    </row>
    <row r="4240" spans="1:13" ht="17.45" customHeight="1" x14ac:dyDescent="0.25">
      <c r="A4240" s="1">
        <f>DATE(2012,10,17)</f>
        <v>41199</v>
      </c>
      <c r="B4240" t="s">
        <v>21</v>
      </c>
      <c r="C4240" t="s">
        <v>9</v>
      </c>
      <c r="D4240" s="3">
        <v>330.572</v>
      </c>
      <c r="E4240" s="3">
        <v>0</v>
      </c>
      <c r="F4240" t="s">
        <v>45</v>
      </c>
      <c r="G4240" s="3">
        <f t="shared" si="508"/>
        <v>-330.572</v>
      </c>
      <c r="H4240" s="3">
        <f t="shared" si="509"/>
        <v>330.572</v>
      </c>
      <c r="I4240" s="5" t="str">
        <f t="shared" si="510"/>
        <v>018</v>
      </c>
      <c r="J4240" s="5" t="str">
        <f t="shared" si="511"/>
        <v>2220</v>
      </c>
      <c r="K4240" s="5" t="str">
        <f t="shared" si="512"/>
        <v>000</v>
      </c>
      <c r="L4240" s="5">
        <f t="shared" si="513"/>
        <v>10</v>
      </c>
      <c r="M4240" s="5">
        <f t="shared" si="514"/>
        <v>2012</v>
      </c>
    </row>
    <row r="4241" spans="1:13" ht="17.45" customHeight="1" x14ac:dyDescent="0.25">
      <c r="A4241" s="1">
        <f>DATE(2012,10,17)</f>
        <v>41199</v>
      </c>
      <c r="B4241" t="s">
        <v>22</v>
      </c>
      <c r="C4241" t="s">
        <v>10</v>
      </c>
      <c r="D4241" s="3">
        <v>76.467500000000001</v>
      </c>
      <c r="E4241" s="3">
        <v>0</v>
      </c>
      <c r="F4241" t="s">
        <v>45</v>
      </c>
      <c r="G4241" s="3">
        <f t="shared" si="508"/>
        <v>-76.467500000000001</v>
      </c>
      <c r="H4241" s="3">
        <f t="shared" si="509"/>
        <v>76.467500000000001</v>
      </c>
      <c r="I4241" s="5" t="str">
        <f t="shared" si="510"/>
        <v>018</v>
      </c>
      <c r="J4241" s="5" t="str">
        <f t="shared" si="511"/>
        <v>2230</v>
      </c>
      <c r="K4241" s="5" t="str">
        <f t="shared" si="512"/>
        <v>000</v>
      </c>
      <c r="L4241" s="5">
        <f t="shared" si="513"/>
        <v>10</v>
      </c>
      <c r="M4241" s="5">
        <f t="shared" si="514"/>
        <v>2012</v>
      </c>
    </row>
    <row r="4242" spans="1:13" ht="17.45" customHeight="1" x14ac:dyDescent="0.25">
      <c r="A4242" s="1">
        <f>DATE(2012,10,18)</f>
        <v>41200</v>
      </c>
      <c r="B4242" t="s">
        <v>19</v>
      </c>
      <c r="C4242" t="s">
        <v>6</v>
      </c>
      <c r="D4242" s="3">
        <v>4592.1810000000005</v>
      </c>
      <c r="E4242" s="3">
        <v>0</v>
      </c>
      <c r="F4242" t="s">
        <v>45</v>
      </c>
      <c r="G4242" s="3">
        <f t="shared" si="508"/>
        <v>-4592.1810000000005</v>
      </c>
      <c r="H4242" s="3">
        <f t="shared" si="509"/>
        <v>4592.1810000000005</v>
      </c>
      <c r="I4242" s="5" t="str">
        <f t="shared" si="510"/>
        <v>018</v>
      </c>
      <c r="J4242" s="5" t="str">
        <f t="shared" si="511"/>
        <v>2100</v>
      </c>
      <c r="K4242" s="5" t="str">
        <f t="shared" si="512"/>
        <v>000</v>
      </c>
      <c r="L4242" s="5">
        <f t="shared" si="513"/>
        <v>10</v>
      </c>
      <c r="M4242" s="5">
        <f t="shared" si="514"/>
        <v>2012</v>
      </c>
    </row>
    <row r="4243" spans="1:13" ht="17.45" customHeight="1" x14ac:dyDescent="0.25">
      <c r="A4243" s="1">
        <f>DATE(2012,10,18)</f>
        <v>41200</v>
      </c>
      <c r="B4243" t="s">
        <v>20</v>
      </c>
      <c r="C4243" t="s">
        <v>8</v>
      </c>
      <c r="D4243" s="3">
        <v>1037.9180000000001</v>
      </c>
      <c r="E4243" s="3">
        <v>0</v>
      </c>
      <c r="F4243" t="s">
        <v>45</v>
      </c>
      <c r="G4243" s="3">
        <f t="shared" si="508"/>
        <v>-1037.9180000000001</v>
      </c>
      <c r="H4243" s="3">
        <f t="shared" si="509"/>
        <v>1037.9180000000001</v>
      </c>
      <c r="I4243" s="5" t="str">
        <f t="shared" si="510"/>
        <v>018</v>
      </c>
      <c r="J4243" s="5" t="str">
        <f t="shared" si="511"/>
        <v>2210</v>
      </c>
      <c r="K4243" s="5" t="str">
        <f t="shared" si="512"/>
        <v>000</v>
      </c>
      <c r="L4243" s="5">
        <f t="shared" si="513"/>
        <v>10</v>
      </c>
      <c r="M4243" s="5">
        <f t="shared" si="514"/>
        <v>2012</v>
      </c>
    </row>
    <row r="4244" spans="1:13" ht="17.45" customHeight="1" x14ac:dyDescent="0.25">
      <c r="A4244" s="1">
        <f>DATE(2012,10,18)</f>
        <v>41200</v>
      </c>
      <c r="B4244" t="s">
        <v>21</v>
      </c>
      <c r="C4244" t="s">
        <v>9</v>
      </c>
      <c r="D4244" s="3">
        <v>285.12</v>
      </c>
      <c r="E4244" s="3">
        <v>0</v>
      </c>
      <c r="F4244" t="s">
        <v>45</v>
      </c>
      <c r="G4244" s="3">
        <f t="shared" si="508"/>
        <v>-285.12</v>
      </c>
      <c r="H4244" s="3">
        <f t="shared" si="509"/>
        <v>285.12</v>
      </c>
      <c r="I4244" s="5" t="str">
        <f t="shared" si="510"/>
        <v>018</v>
      </c>
      <c r="J4244" s="5" t="str">
        <f t="shared" si="511"/>
        <v>2220</v>
      </c>
      <c r="K4244" s="5" t="str">
        <f t="shared" si="512"/>
        <v>000</v>
      </c>
      <c r="L4244" s="5">
        <f t="shared" si="513"/>
        <v>10</v>
      </c>
      <c r="M4244" s="5">
        <f t="shared" si="514"/>
        <v>2012</v>
      </c>
    </row>
    <row r="4245" spans="1:13" ht="17.45" customHeight="1" x14ac:dyDescent="0.25">
      <c r="A4245" s="1">
        <f>DATE(2012,10,18)</f>
        <v>41200</v>
      </c>
      <c r="B4245" t="s">
        <v>22</v>
      </c>
      <c r="C4245" t="s">
        <v>10</v>
      </c>
      <c r="D4245" s="3">
        <v>120.39999999999999</v>
      </c>
      <c r="E4245" s="3">
        <v>0</v>
      </c>
      <c r="F4245" t="s">
        <v>45</v>
      </c>
      <c r="G4245" s="3">
        <f t="shared" si="508"/>
        <v>-120.39999999999999</v>
      </c>
      <c r="H4245" s="3">
        <f t="shared" si="509"/>
        <v>120.39999999999999</v>
      </c>
      <c r="I4245" s="5" t="str">
        <f t="shared" si="510"/>
        <v>018</v>
      </c>
      <c r="J4245" s="5" t="str">
        <f t="shared" si="511"/>
        <v>2230</v>
      </c>
      <c r="K4245" s="5" t="str">
        <f t="shared" si="512"/>
        <v>000</v>
      </c>
      <c r="L4245" s="5">
        <f t="shared" si="513"/>
        <v>10</v>
      </c>
      <c r="M4245" s="5">
        <f t="shared" si="514"/>
        <v>2012</v>
      </c>
    </row>
    <row r="4246" spans="1:13" ht="17.45" customHeight="1" x14ac:dyDescent="0.25">
      <c r="A4246" s="1">
        <f>DATE(2012,10,19)</f>
        <v>41201</v>
      </c>
      <c r="B4246" t="s">
        <v>19</v>
      </c>
      <c r="C4246" t="s">
        <v>6</v>
      </c>
      <c r="D4246" s="3">
        <v>10413.248000000001</v>
      </c>
      <c r="E4246" s="3">
        <v>0</v>
      </c>
      <c r="F4246" t="s">
        <v>45</v>
      </c>
      <c r="G4246" s="3">
        <f t="shared" si="508"/>
        <v>-10413.248000000001</v>
      </c>
      <c r="H4246" s="3">
        <f t="shared" si="509"/>
        <v>10413.248000000001</v>
      </c>
      <c r="I4246" s="5" t="str">
        <f t="shared" si="510"/>
        <v>018</v>
      </c>
      <c r="J4246" s="5" t="str">
        <f t="shared" si="511"/>
        <v>2100</v>
      </c>
      <c r="K4246" s="5" t="str">
        <f t="shared" si="512"/>
        <v>000</v>
      </c>
      <c r="L4246" s="5">
        <f t="shared" si="513"/>
        <v>10</v>
      </c>
      <c r="M4246" s="5">
        <f t="shared" si="514"/>
        <v>2012</v>
      </c>
    </row>
    <row r="4247" spans="1:13" ht="17.45" customHeight="1" x14ac:dyDescent="0.25">
      <c r="A4247" s="1">
        <f>DATE(2012,10,19)</f>
        <v>41201</v>
      </c>
      <c r="B4247" t="s">
        <v>20</v>
      </c>
      <c r="C4247" t="s">
        <v>8</v>
      </c>
      <c r="D4247" s="3">
        <v>3384.14</v>
      </c>
      <c r="E4247" s="3">
        <v>0</v>
      </c>
      <c r="F4247" t="s">
        <v>45</v>
      </c>
      <c r="G4247" s="3">
        <f t="shared" si="508"/>
        <v>-3384.14</v>
      </c>
      <c r="H4247" s="3">
        <f t="shared" si="509"/>
        <v>3384.14</v>
      </c>
      <c r="I4247" s="5" t="str">
        <f t="shared" si="510"/>
        <v>018</v>
      </c>
      <c r="J4247" s="5" t="str">
        <f t="shared" si="511"/>
        <v>2210</v>
      </c>
      <c r="K4247" s="5" t="str">
        <f t="shared" si="512"/>
        <v>000</v>
      </c>
      <c r="L4247" s="5">
        <f t="shared" si="513"/>
        <v>10</v>
      </c>
      <c r="M4247" s="5">
        <f t="shared" si="514"/>
        <v>2012</v>
      </c>
    </row>
    <row r="4248" spans="1:13" ht="17.45" customHeight="1" x14ac:dyDescent="0.25">
      <c r="A4248" s="1">
        <f>DATE(2012,10,19)</f>
        <v>41201</v>
      </c>
      <c r="B4248" t="s">
        <v>21</v>
      </c>
      <c r="C4248" t="s">
        <v>9</v>
      </c>
      <c r="D4248" s="3">
        <v>818.59799999999996</v>
      </c>
      <c r="E4248" s="3">
        <v>0</v>
      </c>
      <c r="F4248" t="s">
        <v>45</v>
      </c>
      <c r="G4248" s="3">
        <f t="shared" si="508"/>
        <v>-818.59799999999996</v>
      </c>
      <c r="H4248" s="3">
        <f t="shared" si="509"/>
        <v>818.59799999999996</v>
      </c>
      <c r="I4248" s="5" t="str">
        <f t="shared" si="510"/>
        <v>018</v>
      </c>
      <c r="J4248" s="5" t="str">
        <f t="shared" si="511"/>
        <v>2220</v>
      </c>
      <c r="K4248" s="5" t="str">
        <f t="shared" si="512"/>
        <v>000</v>
      </c>
      <c r="L4248" s="5">
        <f t="shared" si="513"/>
        <v>10</v>
      </c>
      <c r="M4248" s="5">
        <f t="shared" si="514"/>
        <v>2012</v>
      </c>
    </row>
    <row r="4249" spans="1:13" ht="17.45" customHeight="1" x14ac:dyDescent="0.25">
      <c r="A4249" s="1">
        <f>DATE(2012,10,19)</f>
        <v>41201</v>
      </c>
      <c r="B4249" t="s">
        <v>22</v>
      </c>
      <c r="C4249" t="s">
        <v>10</v>
      </c>
      <c r="D4249" s="3">
        <v>96.505999999999986</v>
      </c>
      <c r="E4249" s="3">
        <v>0</v>
      </c>
      <c r="F4249" t="s">
        <v>45</v>
      </c>
      <c r="G4249" s="3">
        <f t="shared" si="508"/>
        <v>-96.505999999999986</v>
      </c>
      <c r="H4249" s="3">
        <f t="shared" si="509"/>
        <v>96.505999999999986</v>
      </c>
      <c r="I4249" s="5" t="str">
        <f t="shared" si="510"/>
        <v>018</v>
      </c>
      <c r="J4249" s="5" t="str">
        <f t="shared" si="511"/>
        <v>2230</v>
      </c>
      <c r="K4249" s="5" t="str">
        <f t="shared" si="512"/>
        <v>000</v>
      </c>
      <c r="L4249" s="5">
        <f t="shared" si="513"/>
        <v>10</v>
      </c>
      <c r="M4249" s="5">
        <f t="shared" si="514"/>
        <v>2012</v>
      </c>
    </row>
    <row r="4250" spans="1:13" ht="17.45" customHeight="1" x14ac:dyDescent="0.25">
      <c r="A4250" s="1">
        <f>DATE(2012,10,20)</f>
        <v>41202</v>
      </c>
      <c r="B4250" t="s">
        <v>19</v>
      </c>
      <c r="C4250" t="s">
        <v>6</v>
      </c>
      <c r="D4250" s="3">
        <v>18739.365000000002</v>
      </c>
      <c r="E4250" s="3">
        <v>0</v>
      </c>
      <c r="F4250" t="s">
        <v>45</v>
      </c>
      <c r="G4250" s="3">
        <f t="shared" si="508"/>
        <v>-18739.365000000002</v>
      </c>
      <c r="H4250" s="3">
        <f t="shared" si="509"/>
        <v>18739.365000000002</v>
      </c>
      <c r="I4250" s="5" t="str">
        <f t="shared" si="510"/>
        <v>018</v>
      </c>
      <c r="J4250" s="5" t="str">
        <f t="shared" si="511"/>
        <v>2100</v>
      </c>
      <c r="K4250" s="5" t="str">
        <f t="shared" si="512"/>
        <v>000</v>
      </c>
      <c r="L4250" s="5">
        <f t="shared" si="513"/>
        <v>10</v>
      </c>
      <c r="M4250" s="5">
        <f t="shared" si="514"/>
        <v>2012</v>
      </c>
    </row>
    <row r="4251" spans="1:13" ht="17.45" customHeight="1" x14ac:dyDescent="0.25">
      <c r="A4251" s="1">
        <f>DATE(2012,10,20)</f>
        <v>41202</v>
      </c>
      <c r="B4251" t="s">
        <v>20</v>
      </c>
      <c r="C4251" t="s">
        <v>8</v>
      </c>
      <c r="D4251" s="3">
        <v>4646.5650000000005</v>
      </c>
      <c r="E4251" s="3">
        <v>0</v>
      </c>
      <c r="F4251" t="s">
        <v>45</v>
      </c>
      <c r="G4251" s="3">
        <f t="shared" si="508"/>
        <v>-4646.5650000000005</v>
      </c>
      <c r="H4251" s="3">
        <f t="shared" si="509"/>
        <v>4646.5650000000005</v>
      </c>
      <c r="I4251" s="5" t="str">
        <f t="shared" si="510"/>
        <v>018</v>
      </c>
      <c r="J4251" s="5" t="str">
        <f t="shared" si="511"/>
        <v>2210</v>
      </c>
      <c r="K4251" s="5" t="str">
        <f t="shared" si="512"/>
        <v>000</v>
      </c>
      <c r="L4251" s="5">
        <f t="shared" si="513"/>
        <v>10</v>
      </c>
      <c r="M4251" s="5">
        <f t="shared" si="514"/>
        <v>2012</v>
      </c>
    </row>
    <row r="4252" spans="1:13" ht="17.45" customHeight="1" x14ac:dyDescent="0.25">
      <c r="A4252" s="1">
        <f>DATE(2012,10,20)</f>
        <v>41202</v>
      </c>
      <c r="B4252" t="s">
        <v>21</v>
      </c>
      <c r="C4252" t="s">
        <v>9</v>
      </c>
      <c r="D4252" s="3">
        <v>802.31399999999996</v>
      </c>
      <c r="E4252" s="3">
        <v>0</v>
      </c>
      <c r="F4252" t="s">
        <v>45</v>
      </c>
      <c r="G4252" s="3">
        <f t="shared" si="508"/>
        <v>-802.31399999999996</v>
      </c>
      <c r="H4252" s="3">
        <f t="shared" si="509"/>
        <v>802.31399999999996</v>
      </c>
      <c r="I4252" s="5" t="str">
        <f t="shared" si="510"/>
        <v>018</v>
      </c>
      <c r="J4252" s="5" t="str">
        <f t="shared" si="511"/>
        <v>2220</v>
      </c>
      <c r="K4252" s="5" t="str">
        <f t="shared" si="512"/>
        <v>000</v>
      </c>
      <c r="L4252" s="5">
        <f t="shared" si="513"/>
        <v>10</v>
      </c>
      <c r="M4252" s="5">
        <f t="shared" si="514"/>
        <v>2012</v>
      </c>
    </row>
    <row r="4253" spans="1:13" ht="17.45" customHeight="1" x14ac:dyDescent="0.25">
      <c r="A4253" s="1">
        <f>DATE(2012,10,20)</f>
        <v>41202</v>
      </c>
      <c r="B4253" t="s">
        <v>22</v>
      </c>
      <c r="C4253" t="s">
        <v>10</v>
      </c>
      <c r="D4253" s="3">
        <v>149.5615</v>
      </c>
      <c r="E4253" s="3">
        <v>0</v>
      </c>
      <c r="F4253" t="s">
        <v>45</v>
      </c>
      <c r="G4253" s="3">
        <f t="shared" si="508"/>
        <v>-149.5615</v>
      </c>
      <c r="H4253" s="3">
        <f t="shared" si="509"/>
        <v>149.5615</v>
      </c>
      <c r="I4253" s="5" t="str">
        <f t="shared" si="510"/>
        <v>018</v>
      </c>
      <c r="J4253" s="5" t="str">
        <f t="shared" si="511"/>
        <v>2230</v>
      </c>
      <c r="K4253" s="5" t="str">
        <f t="shared" si="512"/>
        <v>000</v>
      </c>
      <c r="L4253" s="5">
        <f t="shared" si="513"/>
        <v>10</v>
      </c>
      <c r="M4253" s="5">
        <f t="shared" si="514"/>
        <v>2012</v>
      </c>
    </row>
    <row r="4254" spans="1:13" ht="17.45" customHeight="1" x14ac:dyDescent="0.25">
      <c r="A4254" s="1">
        <f>DATE(2012,10,21)</f>
        <v>41203</v>
      </c>
      <c r="B4254" t="s">
        <v>19</v>
      </c>
      <c r="C4254" t="s">
        <v>6</v>
      </c>
      <c r="D4254" s="3">
        <v>11400.773999999999</v>
      </c>
      <c r="E4254" s="3">
        <v>0</v>
      </c>
      <c r="F4254" t="s">
        <v>45</v>
      </c>
      <c r="G4254" s="3">
        <f t="shared" si="508"/>
        <v>-11400.773999999999</v>
      </c>
      <c r="H4254" s="3">
        <f t="shared" si="509"/>
        <v>11400.773999999999</v>
      </c>
      <c r="I4254" s="5" t="str">
        <f t="shared" si="510"/>
        <v>018</v>
      </c>
      <c r="J4254" s="5" t="str">
        <f t="shared" si="511"/>
        <v>2100</v>
      </c>
      <c r="K4254" s="5" t="str">
        <f t="shared" si="512"/>
        <v>000</v>
      </c>
      <c r="L4254" s="5">
        <f t="shared" si="513"/>
        <v>10</v>
      </c>
      <c r="M4254" s="5">
        <f t="shared" si="514"/>
        <v>2012</v>
      </c>
    </row>
    <row r="4255" spans="1:13" ht="17.45" customHeight="1" x14ac:dyDescent="0.25">
      <c r="A4255" s="1">
        <f>DATE(2012,10,21)</f>
        <v>41203</v>
      </c>
      <c r="B4255" t="s">
        <v>20</v>
      </c>
      <c r="C4255" t="s">
        <v>8</v>
      </c>
      <c r="D4255" s="3">
        <v>1660.89</v>
      </c>
      <c r="E4255" s="3">
        <v>0</v>
      </c>
      <c r="F4255" t="s">
        <v>45</v>
      </c>
      <c r="G4255" s="3">
        <f t="shared" si="508"/>
        <v>-1660.89</v>
      </c>
      <c r="H4255" s="3">
        <f t="shared" si="509"/>
        <v>1660.89</v>
      </c>
      <c r="I4255" s="5" t="str">
        <f t="shared" si="510"/>
        <v>018</v>
      </c>
      <c r="J4255" s="5" t="str">
        <f t="shared" si="511"/>
        <v>2210</v>
      </c>
      <c r="K4255" s="5" t="str">
        <f t="shared" si="512"/>
        <v>000</v>
      </c>
      <c r="L4255" s="5">
        <f t="shared" si="513"/>
        <v>10</v>
      </c>
      <c r="M4255" s="5">
        <f t="shared" si="514"/>
        <v>2012</v>
      </c>
    </row>
    <row r="4256" spans="1:13" ht="17.45" customHeight="1" x14ac:dyDescent="0.25">
      <c r="A4256" s="1">
        <f>DATE(2012,10,21)</f>
        <v>41203</v>
      </c>
      <c r="B4256" t="s">
        <v>21</v>
      </c>
      <c r="C4256" t="s">
        <v>9</v>
      </c>
      <c r="D4256" s="3">
        <v>307.83150000000001</v>
      </c>
      <c r="E4256" s="3">
        <v>0</v>
      </c>
      <c r="F4256" t="s">
        <v>45</v>
      </c>
      <c r="G4256" s="3">
        <f t="shared" si="508"/>
        <v>-307.83150000000001</v>
      </c>
      <c r="H4256" s="3">
        <f t="shared" si="509"/>
        <v>307.83150000000001</v>
      </c>
      <c r="I4256" s="5" t="str">
        <f t="shared" si="510"/>
        <v>018</v>
      </c>
      <c r="J4256" s="5" t="str">
        <f t="shared" si="511"/>
        <v>2220</v>
      </c>
      <c r="K4256" s="5" t="str">
        <f t="shared" si="512"/>
        <v>000</v>
      </c>
      <c r="L4256" s="5">
        <f t="shared" si="513"/>
        <v>10</v>
      </c>
      <c r="M4256" s="5">
        <f t="shared" si="514"/>
        <v>2012</v>
      </c>
    </row>
    <row r="4257" spans="1:13" ht="17.45" customHeight="1" x14ac:dyDescent="0.25">
      <c r="A4257" s="1">
        <f>DATE(2012,10,21)</f>
        <v>41203</v>
      </c>
      <c r="B4257" t="s">
        <v>22</v>
      </c>
      <c r="C4257" t="s">
        <v>10</v>
      </c>
      <c r="D4257" s="3">
        <v>105.74100000000001</v>
      </c>
      <c r="E4257" s="3">
        <v>0</v>
      </c>
      <c r="F4257" t="s">
        <v>45</v>
      </c>
      <c r="G4257" s="3">
        <f t="shared" si="508"/>
        <v>-105.74100000000001</v>
      </c>
      <c r="H4257" s="3">
        <f t="shared" si="509"/>
        <v>105.74100000000001</v>
      </c>
      <c r="I4257" s="5" t="str">
        <f t="shared" si="510"/>
        <v>018</v>
      </c>
      <c r="J4257" s="5" t="str">
        <f t="shared" si="511"/>
        <v>2230</v>
      </c>
      <c r="K4257" s="5" t="str">
        <f t="shared" si="512"/>
        <v>000</v>
      </c>
      <c r="L4257" s="5">
        <f t="shared" si="513"/>
        <v>10</v>
      </c>
      <c r="M4257" s="5">
        <f t="shared" si="514"/>
        <v>2012</v>
      </c>
    </row>
    <row r="4258" spans="1:13" ht="17.45" customHeight="1" x14ac:dyDescent="0.25">
      <c r="A4258" s="1">
        <f>DATE(2012,10,22)</f>
        <v>41204</v>
      </c>
      <c r="B4258" t="s">
        <v>11</v>
      </c>
      <c r="C4258" t="s">
        <v>6</v>
      </c>
      <c r="D4258" s="3">
        <v>3404.6739999999995</v>
      </c>
      <c r="E4258" s="3">
        <v>0</v>
      </c>
      <c r="F4258" t="s">
        <v>45</v>
      </c>
      <c r="G4258" s="3">
        <f t="shared" si="508"/>
        <v>-3404.6739999999995</v>
      </c>
      <c r="H4258" s="3">
        <f t="shared" si="509"/>
        <v>3404.6739999999995</v>
      </c>
      <c r="I4258" s="5" t="str">
        <f t="shared" si="510"/>
        <v>016</v>
      </c>
      <c r="J4258" s="5" t="str">
        <f t="shared" si="511"/>
        <v>2100</v>
      </c>
      <c r="K4258" s="5" t="str">
        <f t="shared" si="512"/>
        <v>000</v>
      </c>
      <c r="L4258" s="5">
        <f t="shared" si="513"/>
        <v>10</v>
      </c>
      <c r="M4258" s="5">
        <f t="shared" si="514"/>
        <v>2012</v>
      </c>
    </row>
    <row r="4259" spans="1:13" ht="17.45" customHeight="1" x14ac:dyDescent="0.25">
      <c r="A4259" s="1">
        <f>DATE(2012,10,22)</f>
        <v>41204</v>
      </c>
      <c r="B4259" t="s">
        <v>12</v>
      </c>
      <c r="C4259" t="s">
        <v>8</v>
      </c>
      <c r="D4259" s="3">
        <v>1571.0725</v>
      </c>
      <c r="E4259" s="3">
        <v>0</v>
      </c>
      <c r="F4259" t="s">
        <v>45</v>
      </c>
      <c r="G4259" s="3">
        <f t="shared" si="508"/>
        <v>-1571.0725</v>
      </c>
      <c r="H4259" s="3">
        <f t="shared" si="509"/>
        <v>1571.0725</v>
      </c>
      <c r="I4259" s="5" t="str">
        <f t="shared" si="510"/>
        <v>016</v>
      </c>
      <c r="J4259" s="5" t="str">
        <f t="shared" si="511"/>
        <v>2210</v>
      </c>
      <c r="K4259" s="5" t="str">
        <f t="shared" si="512"/>
        <v>000</v>
      </c>
      <c r="L4259" s="5">
        <f t="shared" si="513"/>
        <v>10</v>
      </c>
      <c r="M4259" s="5">
        <f t="shared" si="514"/>
        <v>2012</v>
      </c>
    </row>
    <row r="4260" spans="1:13" ht="17.45" customHeight="1" x14ac:dyDescent="0.25">
      <c r="A4260" s="1">
        <f>DATE(2012,10,22)</f>
        <v>41204</v>
      </c>
      <c r="B4260" t="s">
        <v>13</v>
      </c>
      <c r="C4260" t="s">
        <v>9</v>
      </c>
      <c r="D4260" s="3">
        <v>308.06849999999997</v>
      </c>
      <c r="E4260" s="3">
        <v>0</v>
      </c>
      <c r="F4260" t="s">
        <v>45</v>
      </c>
      <c r="G4260" s="3">
        <f t="shared" si="508"/>
        <v>-308.06849999999997</v>
      </c>
      <c r="H4260" s="3">
        <f t="shared" si="509"/>
        <v>308.06849999999997</v>
      </c>
      <c r="I4260" s="5" t="str">
        <f t="shared" si="510"/>
        <v>016</v>
      </c>
      <c r="J4260" s="5" t="str">
        <f t="shared" si="511"/>
        <v>2220</v>
      </c>
      <c r="K4260" s="5" t="str">
        <f t="shared" si="512"/>
        <v>000</v>
      </c>
      <c r="L4260" s="5">
        <f t="shared" si="513"/>
        <v>10</v>
      </c>
      <c r="M4260" s="5">
        <f t="shared" si="514"/>
        <v>2012</v>
      </c>
    </row>
    <row r="4261" spans="1:13" ht="17.45" customHeight="1" x14ac:dyDescent="0.25">
      <c r="A4261" s="1">
        <f>DATE(2012,10,22)</f>
        <v>41204</v>
      </c>
      <c r="B4261" t="s">
        <v>14</v>
      </c>
      <c r="C4261" t="s">
        <v>10</v>
      </c>
      <c r="D4261" s="3">
        <v>134.9015</v>
      </c>
      <c r="E4261" s="3">
        <v>0</v>
      </c>
      <c r="F4261" t="s">
        <v>45</v>
      </c>
      <c r="G4261" s="3">
        <f t="shared" si="508"/>
        <v>-134.9015</v>
      </c>
      <c r="H4261" s="3">
        <f t="shared" si="509"/>
        <v>134.9015</v>
      </c>
      <c r="I4261" s="5" t="str">
        <f t="shared" si="510"/>
        <v>016</v>
      </c>
      <c r="J4261" s="5" t="str">
        <f t="shared" si="511"/>
        <v>2230</v>
      </c>
      <c r="K4261" s="5" t="str">
        <f t="shared" si="512"/>
        <v>000</v>
      </c>
      <c r="L4261" s="5">
        <f t="shared" si="513"/>
        <v>10</v>
      </c>
      <c r="M4261" s="5">
        <f t="shared" si="514"/>
        <v>2012</v>
      </c>
    </row>
    <row r="4262" spans="1:13" ht="17.45" customHeight="1" x14ac:dyDescent="0.25">
      <c r="A4262" s="1">
        <f>DATE(2012,10,23)</f>
        <v>41205</v>
      </c>
      <c r="B4262" t="s">
        <v>11</v>
      </c>
      <c r="C4262" t="s">
        <v>6</v>
      </c>
      <c r="D4262" s="3">
        <v>6982.4480000000003</v>
      </c>
      <c r="E4262" s="3">
        <v>0</v>
      </c>
      <c r="F4262" t="s">
        <v>45</v>
      </c>
      <c r="G4262" s="3">
        <f t="shared" si="508"/>
        <v>-6982.4480000000003</v>
      </c>
      <c r="H4262" s="3">
        <f t="shared" si="509"/>
        <v>6982.4480000000003</v>
      </c>
      <c r="I4262" s="5" t="str">
        <f t="shared" si="510"/>
        <v>016</v>
      </c>
      <c r="J4262" s="5" t="str">
        <f t="shared" si="511"/>
        <v>2100</v>
      </c>
      <c r="K4262" s="5" t="str">
        <f t="shared" si="512"/>
        <v>000</v>
      </c>
      <c r="L4262" s="5">
        <f t="shared" si="513"/>
        <v>10</v>
      </c>
      <c r="M4262" s="5">
        <f t="shared" si="514"/>
        <v>2012</v>
      </c>
    </row>
    <row r="4263" spans="1:13" ht="17.45" customHeight="1" x14ac:dyDescent="0.25">
      <c r="A4263" s="1">
        <f>DATE(2012,10,23)</f>
        <v>41205</v>
      </c>
      <c r="B4263" t="s">
        <v>12</v>
      </c>
      <c r="C4263" t="s">
        <v>8</v>
      </c>
      <c r="D4263" s="3">
        <v>2559.3000000000002</v>
      </c>
      <c r="E4263" s="3">
        <v>0</v>
      </c>
      <c r="F4263" t="s">
        <v>45</v>
      </c>
      <c r="G4263" s="3">
        <f t="shared" si="508"/>
        <v>-2559.3000000000002</v>
      </c>
      <c r="H4263" s="3">
        <f t="shared" si="509"/>
        <v>2559.3000000000002</v>
      </c>
      <c r="I4263" s="5" t="str">
        <f t="shared" si="510"/>
        <v>016</v>
      </c>
      <c r="J4263" s="5" t="str">
        <f t="shared" si="511"/>
        <v>2210</v>
      </c>
      <c r="K4263" s="5" t="str">
        <f t="shared" si="512"/>
        <v>000</v>
      </c>
      <c r="L4263" s="5">
        <f t="shared" si="513"/>
        <v>10</v>
      </c>
      <c r="M4263" s="5">
        <f t="shared" si="514"/>
        <v>2012</v>
      </c>
    </row>
    <row r="4264" spans="1:13" ht="17.45" customHeight="1" x14ac:dyDescent="0.25">
      <c r="A4264" s="1">
        <f>DATE(2012,10,23)</f>
        <v>41205</v>
      </c>
      <c r="B4264" t="s">
        <v>13</v>
      </c>
      <c r="C4264" t="s">
        <v>9</v>
      </c>
      <c r="D4264" s="3">
        <v>622.04700000000003</v>
      </c>
      <c r="E4264" s="3">
        <v>0</v>
      </c>
      <c r="F4264" t="s">
        <v>45</v>
      </c>
      <c r="G4264" s="3">
        <f t="shared" si="508"/>
        <v>-622.04700000000003</v>
      </c>
      <c r="H4264" s="3">
        <f t="shared" si="509"/>
        <v>622.04700000000003</v>
      </c>
      <c r="I4264" s="5" t="str">
        <f t="shared" si="510"/>
        <v>016</v>
      </c>
      <c r="J4264" s="5" t="str">
        <f t="shared" si="511"/>
        <v>2220</v>
      </c>
      <c r="K4264" s="5" t="str">
        <f t="shared" si="512"/>
        <v>000</v>
      </c>
      <c r="L4264" s="5">
        <f t="shared" si="513"/>
        <v>10</v>
      </c>
      <c r="M4264" s="5">
        <f t="shared" si="514"/>
        <v>2012</v>
      </c>
    </row>
    <row r="4265" spans="1:13" ht="17.45" customHeight="1" x14ac:dyDescent="0.25">
      <c r="A4265" s="1">
        <f>DATE(2012,10,23)</f>
        <v>41205</v>
      </c>
      <c r="B4265" t="s">
        <v>14</v>
      </c>
      <c r="C4265" t="s">
        <v>10</v>
      </c>
      <c r="D4265" s="3">
        <v>137.43199999999999</v>
      </c>
      <c r="E4265" s="3">
        <v>0</v>
      </c>
      <c r="F4265" t="s">
        <v>45</v>
      </c>
      <c r="G4265" s="3">
        <f t="shared" si="508"/>
        <v>-137.43199999999999</v>
      </c>
      <c r="H4265" s="3">
        <f t="shared" si="509"/>
        <v>137.43199999999999</v>
      </c>
      <c r="I4265" s="5" t="str">
        <f t="shared" si="510"/>
        <v>016</v>
      </c>
      <c r="J4265" s="5" t="str">
        <f t="shared" si="511"/>
        <v>2230</v>
      </c>
      <c r="K4265" s="5" t="str">
        <f t="shared" si="512"/>
        <v>000</v>
      </c>
      <c r="L4265" s="5">
        <f t="shared" si="513"/>
        <v>10</v>
      </c>
      <c r="M4265" s="5">
        <f t="shared" si="514"/>
        <v>2012</v>
      </c>
    </row>
    <row r="4266" spans="1:13" ht="17.45" customHeight="1" x14ac:dyDescent="0.25">
      <c r="A4266" s="1">
        <f>DATE(2012,10,24)</f>
        <v>41206</v>
      </c>
      <c r="B4266" t="s">
        <v>11</v>
      </c>
      <c r="C4266" t="s">
        <v>6</v>
      </c>
      <c r="D4266" s="3">
        <v>1926.0223999999998</v>
      </c>
      <c r="E4266" s="3">
        <v>0</v>
      </c>
      <c r="F4266" t="s">
        <v>45</v>
      </c>
      <c r="G4266" s="3">
        <f t="shared" si="508"/>
        <v>-1926.0223999999998</v>
      </c>
      <c r="H4266" s="3">
        <f t="shared" si="509"/>
        <v>1926.0223999999998</v>
      </c>
      <c r="I4266" s="5" t="str">
        <f t="shared" si="510"/>
        <v>016</v>
      </c>
      <c r="J4266" s="5" t="str">
        <f t="shared" si="511"/>
        <v>2100</v>
      </c>
      <c r="K4266" s="5" t="str">
        <f t="shared" si="512"/>
        <v>000</v>
      </c>
      <c r="L4266" s="5">
        <f t="shared" si="513"/>
        <v>10</v>
      </c>
      <c r="M4266" s="5">
        <f t="shared" si="514"/>
        <v>2012</v>
      </c>
    </row>
    <row r="4267" spans="1:13" ht="17.45" customHeight="1" x14ac:dyDescent="0.25">
      <c r="A4267" s="1">
        <f>DATE(2012,10,24)</f>
        <v>41206</v>
      </c>
      <c r="B4267" t="s">
        <v>12</v>
      </c>
      <c r="C4267" t="s">
        <v>8</v>
      </c>
      <c r="D4267" s="3">
        <v>1185.8475999999998</v>
      </c>
      <c r="E4267" s="3">
        <v>0</v>
      </c>
      <c r="F4267" t="s">
        <v>45</v>
      </c>
      <c r="G4267" s="3">
        <f t="shared" si="508"/>
        <v>-1185.8475999999998</v>
      </c>
      <c r="H4267" s="3">
        <f t="shared" si="509"/>
        <v>1185.8475999999998</v>
      </c>
      <c r="I4267" s="5" t="str">
        <f t="shared" si="510"/>
        <v>016</v>
      </c>
      <c r="J4267" s="5" t="str">
        <f t="shared" si="511"/>
        <v>2210</v>
      </c>
      <c r="K4267" s="5" t="str">
        <f t="shared" si="512"/>
        <v>000</v>
      </c>
      <c r="L4267" s="5">
        <f t="shared" si="513"/>
        <v>10</v>
      </c>
      <c r="M4267" s="5">
        <f t="shared" si="514"/>
        <v>2012</v>
      </c>
    </row>
    <row r="4268" spans="1:13" ht="17.45" customHeight="1" x14ac:dyDescent="0.25">
      <c r="A4268" s="1">
        <f>DATE(2012,10,24)</f>
        <v>41206</v>
      </c>
      <c r="B4268" t="s">
        <v>13</v>
      </c>
      <c r="C4268" t="s">
        <v>9</v>
      </c>
      <c r="D4268" s="3">
        <v>91.381500000000003</v>
      </c>
      <c r="E4268" s="3">
        <v>0</v>
      </c>
      <c r="F4268" t="s">
        <v>45</v>
      </c>
      <c r="G4268" s="3">
        <f t="shared" si="508"/>
        <v>-91.381500000000003</v>
      </c>
      <c r="H4268" s="3">
        <f t="shared" si="509"/>
        <v>91.381500000000003</v>
      </c>
      <c r="I4268" s="5" t="str">
        <f t="shared" si="510"/>
        <v>016</v>
      </c>
      <c r="J4268" s="5" t="str">
        <f t="shared" si="511"/>
        <v>2220</v>
      </c>
      <c r="K4268" s="5" t="str">
        <f t="shared" si="512"/>
        <v>000</v>
      </c>
      <c r="L4268" s="5">
        <f t="shared" si="513"/>
        <v>10</v>
      </c>
      <c r="M4268" s="5">
        <f t="shared" si="514"/>
        <v>2012</v>
      </c>
    </row>
    <row r="4269" spans="1:13" ht="17.45" customHeight="1" x14ac:dyDescent="0.25">
      <c r="A4269" s="1">
        <f>DATE(2012,10,24)</f>
        <v>41206</v>
      </c>
      <c r="B4269" t="s">
        <v>14</v>
      </c>
      <c r="C4269" t="s">
        <v>10</v>
      </c>
      <c r="D4269" s="3">
        <v>16.285500000000003</v>
      </c>
      <c r="E4269" s="3">
        <v>0</v>
      </c>
      <c r="F4269" t="s">
        <v>45</v>
      </c>
      <c r="G4269" s="3">
        <f t="shared" si="508"/>
        <v>-16.285500000000003</v>
      </c>
      <c r="H4269" s="3">
        <f t="shared" si="509"/>
        <v>16.285500000000003</v>
      </c>
      <c r="I4269" s="5" t="str">
        <f t="shared" si="510"/>
        <v>016</v>
      </c>
      <c r="J4269" s="5" t="str">
        <f t="shared" si="511"/>
        <v>2230</v>
      </c>
      <c r="K4269" s="5" t="str">
        <f t="shared" si="512"/>
        <v>000</v>
      </c>
      <c r="L4269" s="5">
        <f t="shared" si="513"/>
        <v>10</v>
      </c>
      <c r="M4269" s="5">
        <f t="shared" si="514"/>
        <v>2012</v>
      </c>
    </row>
    <row r="4270" spans="1:13" ht="17.45" customHeight="1" x14ac:dyDescent="0.25">
      <c r="A4270" s="1">
        <f>DATE(2012,10,25)</f>
        <v>41207</v>
      </c>
      <c r="B4270" t="s">
        <v>11</v>
      </c>
      <c r="C4270" t="s">
        <v>6</v>
      </c>
      <c r="D4270" s="3">
        <v>2715.4140000000002</v>
      </c>
      <c r="E4270" s="3">
        <v>0</v>
      </c>
      <c r="F4270" t="s">
        <v>45</v>
      </c>
      <c r="G4270" s="3">
        <f t="shared" si="508"/>
        <v>-2715.4140000000002</v>
      </c>
      <c r="H4270" s="3">
        <f t="shared" si="509"/>
        <v>2715.4140000000002</v>
      </c>
      <c r="I4270" s="5" t="str">
        <f t="shared" si="510"/>
        <v>016</v>
      </c>
      <c r="J4270" s="5" t="str">
        <f t="shared" si="511"/>
        <v>2100</v>
      </c>
      <c r="K4270" s="5" t="str">
        <f t="shared" si="512"/>
        <v>000</v>
      </c>
      <c r="L4270" s="5">
        <f t="shared" si="513"/>
        <v>10</v>
      </c>
      <c r="M4270" s="5">
        <f t="shared" si="514"/>
        <v>2012</v>
      </c>
    </row>
    <row r="4271" spans="1:13" ht="17.45" customHeight="1" x14ac:dyDescent="0.25">
      <c r="A4271" s="1">
        <f>DATE(2012,10,25)</f>
        <v>41207</v>
      </c>
      <c r="B4271" t="s">
        <v>12</v>
      </c>
      <c r="C4271" t="s">
        <v>8</v>
      </c>
      <c r="D4271" s="3">
        <v>627.44600000000003</v>
      </c>
      <c r="E4271" s="3">
        <v>0</v>
      </c>
      <c r="F4271" t="s">
        <v>45</v>
      </c>
      <c r="G4271" s="3">
        <f t="shared" si="508"/>
        <v>-627.44600000000003</v>
      </c>
      <c r="H4271" s="3">
        <f t="shared" si="509"/>
        <v>627.44600000000003</v>
      </c>
      <c r="I4271" s="5" t="str">
        <f t="shared" si="510"/>
        <v>016</v>
      </c>
      <c r="J4271" s="5" t="str">
        <f t="shared" si="511"/>
        <v>2210</v>
      </c>
      <c r="K4271" s="5" t="str">
        <f t="shared" si="512"/>
        <v>000</v>
      </c>
      <c r="L4271" s="5">
        <f t="shared" si="513"/>
        <v>10</v>
      </c>
      <c r="M4271" s="5">
        <f t="shared" si="514"/>
        <v>2012</v>
      </c>
    </row>
    <row r="4272" spans="1:13" ht="17.45" customHeight="1" x14ac:dyDescent="0.25">
      <c r="A4272" s="1">
        <f>DATE(2012,10,25)</f>
        <v>41207</v>
      </c>
      <c r="B4272" t="s">
        <v>13</v>
      </c>
      <c r="C4272" t="s">
        <v>9</v>
      </c>
      <c r="D4272" s="3">
        <v>111.9825</v>
      </c>
      <c r="E4272" s="3">
        <v>0</v>
      </c>
      <c r="F4272" t="s">
        <v>45</v>
      </c>
      <c r="G4272" s="3">
        <f t="shared" si="508"/>
        <v>-111.9825</v>
      </c>
      <c r="H4272" s="3">
        <f t="shared" si="509"/>
        <v>111.9825</v>
      </c>
      <c r="I4272" s="5" t="str">
        <f t="shared" si="510"/>
        <v>016</v>
      </c>
      <c r="J4272" s="5" t="str">
        <f t="shared" si="511"/>
        <v>2220</v>
      </c>
      <c r="K4272" s="5" t="str">
        <f t="shared" si="512"/>
        <v>000</v>
      </c>
      <c r="L4272" s="5">
        <f t="shared" si="513"/>
        <v>10</v>
      </c>
      <c r="M4272" s="5">
        <f t="shared" si="514"/>
        <v>2012</v>
      </c>
    </row>
    <row r="4273" spans="1:13" ht="17.45" customHeight="1" x14ac:dyDescent="0.25">
      <c r="A4273" s="1">
        <f>DATE(2012,10,25)</f>
        <v>41207</v>
      </c>
      <c r="B4273" t="s">
        <v>14</v>
      </c>
      <c r="C4273" t="s">
        <v>10</v>
      </c>
      <c r="D4273" s="3">
        <v>70.354500000000016</v>
      </c>
      <c r="E4273" s="3">
        <v>0</v>
      </c>
      <c r="F4273" t="s">
        <v>45</v>
      </c>
      <c r="G4273" s="3">
        <f t="shared" si="508"/>
        <v>-70.354500000000016</v>
      </c>
      <c r="H4273" s="3">
        <f t="shared" si="509"/>
        <v>70.354500000000016</v>
      </c>
      <c r="I4273" s="5" t="str">
        <f t="shared" si="510"/>
        <v>016</v>
      </c>
      <c r="J4273" s="5" t="str">
        <f t="shared" si="511"/>
        <v>2230</v>
      </c>
      <c r="K4273" s="5" t="str">
        <f t="shared" si="512"/>
        <v>000</v>
      </c>
      <c r="L4273" s="5">
        <f t="shared" si="513"/>
        <v>10</v>
      </c>
      <c r="M4273" s="5">
        <f t="shared" si="514"/>
        <v>2012</v>
      </c>
    </row>
    <row r="4274" spans="1:13" ht="17.45" customHeight="1" x14ac:dyDescent="0.25">
      <c r="A4274" s="1">
        <f>DATE(2012,10,26)</f>
        <v>41208</v>
      </c>
      <c r="B4274" t="s">
        <v>11</v>
      </c>
      <c r="C4274" t="s">
        <v>6</v>
      </c>
      <c r="D4274" s="3">
        <v>4756.0156999999999</v>
      </c>
      <c r="E4274" s="3">
        <v>0</v>
      </c>
      <c r="F4274" t="s">
        <v>45</v>
      </c>
      <c r="G4274" s="3">
        <f t="shared" si="508"/>
        <v>-4756.0156999999999</v>
      </c>
      <c r="H4274" s="3">
        <f t="shared" si="509"/>
        <v>4756.0156999999999</v>
      </c>
      <c r="I4274" s="5" t="str">
        <f t="shared" si="510"/>
        <v>016</v>
      </c>
      <c r="J4274" s="5" t="str">
        <f t="shared" si="511"/>
        <v>2100</v>
      </c>
      <c r="K4274" s="5" t="str">
        <f t="shared" si="512"/>
        <v>000</v>
      </c>
      <c r="L4274" s="5">
        <f t="shared" si="513"/>
        <v>10</v>
      </c>
      <c r="M4274" s="5">
        <f t="shared" si="514"/>
        <v>2012</v>
      </c>
    </row>
    <row r="4275" spans="1:13" ht="17.45" customHeight="1" x14ac:dyDescent="0.25">
      <c r="A4275" s="1">
        <f>DATE(2012,10,26)</f>
        <v>41208</v>
      </c>
      <c r="B4275" t="s">
        <v>12</v>
      </c>
      <c r="C4275" t="s">
        <v>8</v>
      </c>
      <c r="D4275" s="3">
        <v>1580.5529999999999</v>
      </c>
      <c r="E4275" s="3">
        <v>0</v>
      </c>
      <c r="F4275" t="s">
        <v>45</v>
      </c>
      <c r="G4275" s="3">
        <f t="shared" si="508"/>
        <v>-1580.5529999999999</v>
      </c>
      <c r="H4275" s="3">
        <f t="shared" si="509"/>
        <v>1580.5529999999999</v>
      </c>
      <c r="I4275" s="5" t="str">
        <f t="shared" si="510"/>
        <v>016</v>
      </c>
      <c r="J4275" s="5" t="str">
        <f t="shared" si="511"/>
        <v>2210</v>
      </c>
      <c r="K4275" s="5" t="str">
        <f t="shared" si="512"/>
        <v>000</v>
      </c>
      <c r="L4275" s="5">
        <f t="shared" si="513"/>
        <v>10</v>
      </c>
      <c r="M4275" s="5">
        <f t="shared" si="514"/>
        <v>2012</v>
      </c>
    </row>
    <row r="4276" spans="1:13" ht="17.45" customHeight="1" x14ac:dyDescent="0.25">
      <c r="A4276" s="1">
        <f>DATE(2012,10,26)</f>
        <v>41208</v>
      </c>
      <c r="B4276" t="s">
        <v>13</v>
      </c>
      <c r="C4276" t="s">
        <v>9</v>
      </c>
      <c r="D4276" s="3">
        <v>463.68000000000006</v>
      </c>
      <c r="E4276" s="3">
        <v>0</v>
      </c>
      <c r="F4276" t="s">
        <v>45</v>
      </c>
      <c r="G4276" s="3">
        <f t="shared" si="508"/>
        <v>-463.68000000000006</v>
      </c>
      <c r="H4276" s="3">
        <f t="shared" si="509"/>
        <v>463.68000000000006</v>
      </c>
      <c r="I4276" s="5" t="str">
        <f t="shared" si="510"/>
        <v>016</v>
      </c>
      <c r="J4276" s="5" t="str">
        <f t="shared" si="511"/>
        <v>2220</v>
      </c>
      <c r="K4276" s="5" t="str">
        <f t="shared" si="512"/>
        <v>000</v>
      </c>
      <c r="L4276" s="5">
        <f t="shared" si="513"/>
        <v>10</v>
      </c>
      <c r="M4276" s="5">
        <f t="shared" si="514"/>
        <v>2012</v>
      </c>
    </row>
    <row r="4277" spans="1:13" ht="17.45" customHeight="1" x14ac:dyDescent="0.25">
      <c r="A4277" s="1">
        <f>DATE(2012,10,26)</f>
        <v>41208</v>
      </c>
      <c r="B4277" t="s">
        <v>14</v>
      </c>
      <c r="C4277" t="s">
        <v>10</v>
      </c>
      <c r="D4277" s="3">
        <v>69.567999999999998</v>
      </c>
      <c r="E4277" s="3">
        <v>0</v>
      </c>
      <c r="F4277" t="s">
        <v>45</v>
      </c>
      <c r="G4277" s="3">
        <f t="shared" si="508"/>
        <v>-69.567999999999998</v>
      </c>
      <c r="H4277" s="3">
        <f t="shared" si="509"/>
        <v>69.567999999999998</v>
      </c>
      <c r="I4277" s="5" t="str">
        <f t="shared" si="510"/>
        <v>016</v>
      </c>
      <c r="J4277" s="5" t="str">
        <f t="shared" si="511"/>
        <v>2230</v>
      </c>
      <c r="K4277" s="5" t="str">
        <f t="shared" si="512"/>
        <v>000</v>
      </c>
      <c r="L4277" s="5">
        <f t="shared" si="513"/>
        <v>10</v>
      </c>
      <c r="M4277" s="5">
        <f t="shared" si="514"/>
        <v>2012</v>
      </c>
    </row>
    <row r="4278" spans="1:13" ht="17.45" customHeight="1" x14ac:dyDescent="0.25">
      <c r="A4278" s="1">
        <f t="shared" ref="A4278:A4281" si="515">DATE(2012,10,27)</f>
        <v>41209</v>
      </c>
      <c r="B4278" t="s">
        <v>11</v>
      </c>
      <c r="C4278" t="s">
        <v>6</v>
      </c>
      <c r="D4278" s="3">
        <v>9644.4270000000015</v>
      </c>
      <c r="E4278" s="3">
        <v>0</v>
      </c>
      <c r="F4278" t="s">
        <v>45</v>
      </c>
      <c r="G4278" s="3">
        <f t="shared" si="508"/>
        <v>-9644.4270000000015</v>
      </c>
      <c r="H4278" s="3">
        <f t="shared" si="509"/>
        <v>9644.4270000000015</v>
      </c>
      <c r="I4278" s="5" t="str">
        <f t="shared" si="510"/>
        <v>016</v>
      </c>
      <c r="J4278" s="5" t="str">
        <f t="shared" si="511"/>
        <v>2100</v>
      </c>
      <c r="K4278" s="5" t="str">
        <f t="shared" si="512"/>
        <v>000</v>
      </c>
      <c r="L4278" s="5">
        <f t="shared" si="513"/>
        <v>10</v>
      </c>
      <c r="M4278" s="5">
        <f t="shared" si="514"/>
        <v>2012</v>
      </c>
    </row>
    <row r="4279" spans="1:13" ht="17.45" customHeight="1" x14ac:dyDescent="0.25">
      <c r="A4279" s="1">
        <f t="shared" si="515"/>
        <v>41209</v>
      </c>
      <c r="B4279" t="s">
        <v>12</v>
      </c>
      <c r="C4279" t="s">
        <v>8</v>
      </c>
      <c r="D4279" s="3">
        <v>3391.2960000000003</v>
      </c>
      <c r="E4279" s="3">
        <v>0</v>
      </c>
      <c r="F4279" t="s">
        <v>45</v>
      </c>
      <c r="G4279" s="3">
        <f t="shared" si="508"/>
        <v>-3391.2960000000003</v>
      </c>
      <c r="H4279" s="3">
        <f t="shared" si="509"/>
        <v>3391.2960000000003</v>
      </c>
      <c r="I4279" s="5" t="str">
        <f t="shared" si="510"/>
        <v>016</v>
      </c>
      <c r="J4279" s="5" t="str">
        <f t="shared" si="511"/>
        <v>2210</v>
      </c>
      <c r="K4279" s="5" t="str">
        <f t="shared" si="512"/>
        <v>000</v>
      </c>
      <c r="L4279" s="5">
        <f t="shared" si="513"/>
        <v>10</v>
      </c>
      <c r="M4279" s="5">
        <f t="shared" si="514"/>
        <v>2012</v>
      </c>
    </row>
    <row r="4280" spans="1:13" ht="17.45" customHeight="1" x14ac:dyDescent="0.25">
      <c r="A4280" s="1">
        <f t="shared" si="515"/>
        <v>41209</v>
      </c>
      <c r="B4280" t="s">
        <v>13</v>
      </c>
      <c r="C4280" t="s">
        <v>9</v>
      </c>
      <c r="D4280" s="3">
        <v>371.05099999999999</v>
      </c>
      <c r="E4280" s="3">
        <v>0</v>
      </c>
      <c r="F4280" t="s">
        <v>45</v>
      </c>
      <c r="G4280" s="3">
        <f t="shared" si="508"/>
        <v>-371.05099999999999</v>
      </c>
      <c r="H4280" s="3">
        <f t="shared" si="509"/>
        <v>371.05099999999999</v>
      </c>
      <c r="I4280" s="5" t="str">
        <f t="shared" si="510"/>
        <v>016</v>
      </c>
      <c r="J4280" s="5" t="str">
        <f t="shared" si="511"/>
        <v>2220</v>
      </c>
      <c r="K4280" s="5" t="str">
        <f t="shared" si="512"/>
        <v>000</v>
      </c>
      <c r="L4280" s="5">
        <f t="shared" si="513"/>
        <v>10</v>
      </c>
      <c r="M4280" s="5">
        <f t="shared" si="514"/>
        <v>2012</v>
      </c>
    </row>
    <row r="4281" spans="1:13" ht="17.45" customHeight="1" x14ac:dyDescent="0.25">
      <c r="A4281" s="1">
        <f t="shared" si="515"/>
        <v>41209</v>
      </c>
      <c r="B4281" t="s">
        <v>14</v>
      </c>
      <c r="C4281" t="s">
        <v>10</v>
      </c>
      <c r="D4281" s="3">
        <v>216.33300000000003</v>
      </c>
      <c r="E4281" s="3">
        <v>0</v>
      </c>
      <c r="F4281" t="s">
        <v>45</v>
      </c>
      <c r="G4281" s="3">
        <f t="shared" si="508"/>
        <v>-216.33300000000003</v>
      </c>
      <c r="H4281" s="3">
        <f t="shared" si="509"/>
        <v>216.33300000000003</v>
      </c>
      <c r="I4281" s="5" t="str">
        <f t="shared" si="510"/>
        <v>016</v>
      </c>
      <c r="J4281" s="5" t="str">
        <f t="shared" si="511"/>
        <v>2230</v>
      </c>
      <c r="K4281" s="5" t="str">
        <f t="shared" si="512"/>
        <v>000</v>
      </c>
      <c r="L4281" s="5">
        <f t="shared" si="513"/>
        <v>10</v>
      </c>
      <c r="M4281" s="5">
        <f t="shared" si="514"/>
        <v>2012</v>
      </c>
    </row>
    <row r="4282" spans="1:13" ht="17.45" customHeight="1" x14ac:dyDescent="0.25">
      <c r="A4282" s="1">
        <f>DATE(2012,10,28)</f>
        <v>41210</v>
      </c>
      <c r="B4282" t="s">
        <v>11</v>
      </c>
      <c r="C4282" t="s">
        <v>6</v>
      </c>
      <c r="D4282" s="3">
        <v>3643.9619999999995</v>
      </c>
      <c r="E4282" s="3">
        <v>0</v>
      </c>
      <c r="F4282" t="s">
        <v>45</v>
      </c>
      <c r="G4282" s="3">
        <f t="shared" si="508"/>
        <v>-3643.9619999999995</v>
      </c>
      <c r="H4282" s="3">
        <f t="shared" si="509"/>
        <v>3643.9619999999995</v>
      </c>
      <c r="I4282" s="5" t="str">
        <f t="shared" si="510"/>
        <v>016</v>
      </c>
      <c r="J4282" s="5" t="str">
        <f t="shared" si="511"/>
        <v>2100</v>
      </c>
      <c r="K4282" s="5" t="str">
        <f t="shared" si="512"/>
        <v>000</v>
      </c>
      <c r="L4282" s="5">
        <f t="shared" si="513"/>
        <v>10</v>
      </c>
      <c r="M4282" s="5">
        <f t="shared" si="514"/>
        <v>2012</v>
      </c>
    </row>
    <row r="4283" spans="1:13" ht="17.45" customHeight="1" x14ac:dyDescent="0.25">
      <c r="A4283" s="1">
        <f>DATE(2012,10,28)</f>
        <v>41210</v>
      </c>
      <c r="B4283" t="s">
        <v>12</v>
      </c>
      <c r="C4283" t="s">
        <v>8</v>
      </c>
      <c r="D4283" s="3">
        <v>960.56999999999994</v>
      </c>
      <c r="E4283" s="3">
        <v>0</v>
      </c>
      <c r="F4283" t="s">
        <v>45</v>
      </c>
      <c r="G4283" s="3">
        <f t="shared" si="508"/>
        <v>-960.56999999999994</v>
      </c>
      <c r="H4283" s="3">
        <f t="shared" si="509"/>
        <v>960.56999999999994</v>
      </c>
      <c r="I4283" s="5" t="str">
        <f t="shared" si="510"/>
        <v>016</v>
      </c>
      <c r="J4283" s="5" t="str">
        <f t="shared" si="511"/>
        <v>2210</v>
      </c>
      <c r="K4283" s="5" t="str">
        <f t="shared" si="512"/>
        <v>000</v>
      </c>
      <c r="L4283" s="5">
        <f t="shared" si="513"/>
        <v>10</v>
      </c>
      <c r="M4283" s="5">
        <f t="shared" si="514"/>
        <v>2012</v>
      </c>
    </row>
    <row r="4284" spans="1:13" ht="17.45" customHeight="1" x14ac:dyDescent="0.25">
      <c r="A4284" s="1">
        <f>DATE(2012,10,28)</f>
        <v>41210</v>
      </c>
      <c r="B4284" t="s">
        <v>13</v>
      </c>
      <c r="C4284" t="s">
        <v>9</v>
      </c>
      <c r="D4284" s="3">
        <v>162.81</v>
      </c>
      <c r="E4284" s="3">
        <v>0</v>
      </c>
      <c r="F4284" t="s">
        <v>45</v>
      </c>
      <c r="G4284" s="3">
        <f t="shared" si="508"/>
        <v>-162.81</v>
      </c>
      <c r="H4284" s="3">
        <f t="shared" si="509"/>
        <v>162.81</v>
      </c>
      <c r="I4284" s="5" t="str">
        <f t="shared" si="510"/>
        <v>016</v>
      </c>
      <c r="J4284" s="5" t="str">
        <f t="shared" si="511"/>
        <v>2220</v>
      </c>
      <c r="K4284" s="5" t="str">
        <f t="shared" si="512"/>
        <v>000</v>
      </c>
      <c r="L4284" s="5">
        <f t="shared" si="513"/>
        <v>10</v>
      </c>
      <c r="M4284" s="5">
        <f t="shared" si="514"/>
        <v>2012</v>
      </c>
    </row>
    <row r="4285" spans="1:13" ht="17.45" customHeight="1" x14ac:dyDescent="0.25">
      <c r="A4285" s="1">
        <f>DATE(2012,10,28)</f>
        <v>41210</v>
      </c>
      <c r="B4285" t="s">
        <v>14</v>
      </c>
      <c r="C4285" t="s">
        <v>10</v>
      </c>
      <c r="D4285" s="3">
        <v>156.48750000000001</v>
      </c>
      <c r="E4285" s="3">
        <v>0</v>
      </c>
      <c r="F4285" t="s">
        <v>45</v>
      </c>
      <c r="G4285" s="3">
        <f t="shared" si="508"/>
        <v>-156.48750000000001</v>
      </c>
      <c r="H4285" s="3">
        <f t="shared" si="509"/>
        <v>156.48750000000001</v>
      </c>
      <c r="I4285" s="5" t="str">
        <f t="shared" si="510"/>
        <v>016</v>
      </c>
      <c r="J4285" s="5" t="str">
        <f t="shared" si="511"/>
        <v>2230</v>
      </c>
      <c r="K4285" s="5" t="str">
        <f t="shared" si="512"/>
        <v>000</v>
      </c>
      <c r="L4285" s="5">
        <f t="shared" si="513"/>
        <v>10</v>
      </c>
      <c r="M4285" s="5">
        <f t="shared" si="514"/>
        <v>2012</v>
      </c>
    </row>
    <row r="4286" spans="1:13" ht="17.45" customHeight="1" x14ac:dyDescent="0.25">
      <c r="A4286" s="1">
        <f>DATE(2012,10,22)</f>
        <v>41204</v>
      </c>
      <c r="B4286" t="s">
        <v>15</v>
      </c>
      <c r="C4286" t="s">
        <v>6</v>
      </c>
      <c r="D4286" s="3">
        <v>4704.9624000000003</v>
      </c>
      <c r="E4286" s="3">
        <v>0</v>
      </c>
      <c r="F4286" t="s">
        <v>45</v>
      </c>
      <c r="G4286" s="3">
        <f t="shared" si="508"/>
        <v>-4704.9624000000003</v>
      </c>
      <c r="H4286" s="3">
        <f t="shared" si="509"/>
        <v>4704.9624000000003</v>
      </c>
      <c r="I4286" s="5" t="str">
        <f t="shared" si="510"/>
        <v>017</v>
      </c>
      <c r="J4286" s="5" t="str">
        <f t="shared" si="511"/>
        <v>2100</v>
      </c>
      <c r="K4286" s="5" t="str">
        <f t="shared" si="512"/>
        <v>000</v>
      </c>
      <c r="L4286" s="5">
        <f t="shared" si="513"/>
        <v>10</v>
      </c>
      <c r="M4286" s="5">
        <f t="shared" si="514"/>
        <v>2012</v>
      </c>
    </row>
    <row r="4287" spans="1:13" ht="17.45" customHeight="1" x14ac:dyDescent="0.25">
      <c r="A4287" s="1">
        <f>DATE(2012,10,22)</f>
        <v>41204</v>
      </c>
      <c r="B4287" t="s">
        <v>16</v>
      </c>
      <c r="C4287" t="s">
        <v>8</v>
      </c>
      <c r="D4287" s="3">
        <v>1311.6899999999998</v>
      </c>
      <c r="E4287" s="3">
        <v>0</v>
      </c>
      <c r="F4287" t="s">
        <v>45</v>
      </c>
      <c r="G4287" s="3">
        <f t="shared" si="508"/>
        <v>-1311.6899999999998</v>
      </c>
      <c r="H4287" s="3">
        <f t="shared" si="509"/>
        <v>1311.6899999999998</v>
      </c>
      <c r="I4287" s="5" t="str">
        <f t="shared" si="510"/>
        <v>017</v>
      </c>
      <c r="J4287" s="5" t="str">
        <f t="shared" si="511"/>
        <v>2210</v>
      </c>
      <c r="K4287" s="5" t="str">
        <f t="shared" si="512"/>
        <v>000</v>
      </c>
      <c r="L4287" s="5">
        <f t="shared" si="513"/>
        <v>10</v>
      </c>
      <c r="M4287" s="5">
        <f t="shared" si="514"/>
        <v>2012</v>
      </c>
    </row>
    <row r="4288" spans="1:13" ht="17.45" customHeight="1" x14ac:dyDescent="0.25">
      <c r="A4288" s="1">
        <f>DATE(2012,10,22)</f>
        <v>41204</v>
      </c>
      <c r="B4288" t="s">
        <v>17</v>
      </c>
      <c r="C4288" t="s">
        <v>9</v>
      </c>
      <c r="D4288" s="3">
        <v>365.625</v>
      </c>
      <c r="E4288" s="3">
        <v>0</v>
      </c>
      <c r="F4288" t="s">
        <v>45</v>
      </c>
      <c r="G4288" s="3">
        <f t="shared" si="508"/>
        <v>-365.625</v>
      </c>
      <c r="H4288" s="3">
        <f t="shared" si="509"/>
        <v>365.625</v>
      </c>
      <c r="I4288" s="5" t="str">
        <f t="shared" si="510"/>
        <v>017</v>
      </c>
      <c r="J4288" s="5" t="str">
        <f t="shared" si="511"/>
        <v>2220</v>
      </c>
      <c r="K4288" s="5" t="str">
        <f t="shared" si="512"/>
        <v>000</v>
      </c>
      <c r="L4288" s="5">
        <f t="shared" si="513"/>
        <v>10</v>
      </c>
      <c r="M4288" s="5">
        <f t="shared" si="514"/>
        <v>2012</v>
      </c>
    </row>
    <row r="4289" spans="1:13" ht="17.45" customHeight="1" x14ac:dyDescent="0.25">
      <c r="A4289" s="1">
        <f>DATE(2012,10,22)</f>
        <v>41204</v>
      </c>
      <c r="B4289" t="s">
        <v>18</v>
      </c>
      <c r="C4289" t="s">
        <v>10</v>
      </c>
      <c r="D4289" s="3">
        <v>95.257500000000007</v>
      </c>
      <c r="E4289" s="3">
        <v>0</v>
      </c>
      <c r="F4289" t="s">
        <v>45</v>
      </c>
      <c r="G4289" s="3">
        <f t="shared" si="508"/>
        <v>-95.257500000000007</v>
      </c>
      <c r="H4289" s="3">
        <f t="shared" si="509"/>
        <v>95.257500000000007</v>
      </c>
      <c r="I4289" s="5" t="str">
        <f t="shared" si="510"/>
        <v>017</v>
      </c>
      <c r="J4289" s="5" t="str">
        <f t="shared" si="511"/>
        <v>2230</v>
      </c>
      <c r="K4289" s="5" t="str">
        <f t="shared" si="512"/>
        <v>000</v>
      </c>
      <c r="L4289" s="5">
        <f t="shared" si="513"/>
        <v>10</v>
      </c>
      <c r="M4289" s="5">
        <f t="shared" si="514"/>
        <v>2012</v>
      </c>
    </row>
    <row r="4290" spans="1:13" ht="17.45" customHeight="1" x14ac:dyDescent="0.25">
      <c r="A4290" s="1">
        <f>DATE(2012,10,23)</f>
        <v>41205</v>
      </c>
      <c r="B4290" t="s">
        <v>15</v>
      </c>
      <c r="C4290" t="s">
        <v>6</v>
      </c>
      <c r="D4290" s="3">
        <v>4520.9625999999998</v>
      </c>
      <c r="E4290" s="3">
        <v>0</v>
      </c>
      <c r="F4290" t="s">
        <v>45</v>
      </c>
      <c r="G4290" s="3">
        <f t="shared" ref="G4290:G4353" si="516">E4290-D4290</f>
        <v>-4520.9625999999998</v>
      </c>
      <c r="H4290" s="3">
        <f t="shared" ref="H4290:H4353" si="517">ABS(G4290)</f>
        <v>4520.9625999999998</v>
      </c>
      <c r="I4290" s="5" t="str">
        <f t="shared" ref="I4290:I4353" si="518">MID(B4290,1,3)</f>
        <v>017</v>
      </c>
      <c r="J4290" s="5" t="str">
        <f t="shared" ref="J4290:J4353" si="519">MID(B4290,5,4)</f>
        <v>2100</v>
      </c>
      <c r="K4290" s="5" t="str">
        <f t="shared" ref="K4290:K4353" si="520">MID(B4290,10,3)</f>
        <v>000</v>
      </c>
      <c r="L4290" s="5">
        <f t="shared" ref="L4290:L4353" si="521">MONTH(A4290)</f>
        <v>10</v>
      </c>
      <c r="M4290" s="5">
        <f t="shared" ref="M4290:M4353" si="522">YEAR(A4290)</f>
        <v>2012</v>
      </c>
    </row>
    <row r="4291" spans="1:13" ht="17.45" customHeight="1" x14ac:dyDescent="0.25">
      <c r="A4291" s="1">
        <f>DATE(2012,10,23)</f>
        <v>41205</v>
      </c>
      <c r="B4291" t="s">
        <v>16</v>
      </c>
      <c r="C4291" t="s">
        <v>8</v>
      </c>
      <c r="D4291" s="3">
        <v>1311.57</v>
      </c>
      <c r="E4291" s="3">
        <v>0</v>
      </c>
      <c r="F4291" t="s">
        <v>45</v>
      </c>
      <c r="G4291" s="3">
        <f t="shared" si="516"/>
        <v>-1311.57</v>
      </c>
      <c r="H4291" s="3">
        <f t="shared" si="517"/>
        <v>1311.57</v>
      </c>
      <c r="I4291" s="5" t="str">
        <f t="shared" si="518"/>
        <v>017</v>
      </c>
      <c r="J4291" s="5" t="str">
        <f t="shared" si="519"/>
        <v>2210</v>
      </c>
      <c r="K4291" s="5" t="str">
        <f t="shared" si="520"/>
        <v>000</v>
      </c>
      <c r="L4291" s="5">
        <f t="shared" si="521"/>
        <v>10</v>
      </c>
      <c r="M4291" s="5">
        <f t="shared" si="522"/>
        <v>2012</v>
      </c>
    </row>
    <row r="4292" spans="1:13" ht="17.45" customHeight="1" x14ac:dyDescent="0.25">
      <c r="A4292" s="1">
        <f>DATE(2012,10,23)</f>
        <v>41205</v>
      </c>
      <c r="B4292" t="s">
        <v>17</v>
      </c>
      <c r="C4292" t="s">
        <v>9</v>
      </c>
      <c r="D4292" s="3">
        <v>401.76</v>
      </c>
      <c r="E4292" s="3">
        <v>0</v>
      </c>
      <c r="F4292" t="s">
        <v>45</v>
      </c>
      <c r="G4292" s="3">
        <f t="shared" si="516"/>
        <v>-401.76</v>
      </c>
      <c r="H4292" s="3">
        <f t="shared" si="517"/>
        <v>401.76</v>
      </c>
      <c r="I4292" s="5" t="str">
        <f t="shared" si="518"/>
        <v>017</v>
      </c>
      <c r="J4292" s="5" t="str">
        <f t="shared" si="519"/>
        <v>2220</v>
      </c>
      <c r="K4292" s="5" t="str">
        <f t="shared" si="520"/>
        <v>000</v>
      </c>
      <c r="L4292" s="5">
        <f t="shared" si="521"/>
        <v>10</v>
      </c>
      <c r="M4292" s="5">
        <f t="shared" si="522"/>
        <v>2012</v>
      </c>
    </row>
    <row r="4293" spans="1:13" ht="17.45" customHeight="1" x14ac:dyDescent="0.25">
      <c r="A4293" s="1">
        <f>DATE(2012,10,23)</f>
        <v>41205</v>
      </c>
      <c r="B4293" t="s">
        <v>18</v>
      </c>
      <c r="C4293" t="s">
        <v>10</v>
      </c>
      <c r="D4293" s="3">
        <v>67.076999999999998</v>
      </c>
      <c r="E4293" s="3">
        <v>0</v>
      </c>
      <c r="F4293" t="s">
        <v>45</v>
      </c>
      <c r="G4293" s="3">
        <f t="shared" si="516"/>
        <v>-67.076999999999998</v>
      </c>
      <c r="H4293" s="3">
        <f t="shared" si="517"/>
        <v>67.076999999999998</v>
      </c>
      <c r="I4293" s="5" t="str">
        <f t="shared" si="518"/>
        <v>017</v>
      </c>
      <c r="J4293" s="5" t="str">
        <f t="shared" si="519"/>
        <v>2230</v>
      </c>
      <c r="K4293" s="5" t="str">
        <f t="shared" si="520"/>
        <v>000</v>
      </c>
      <c r="L4293" s="5">
        <f t="shared" si="521"/>
        <v>10</v>
      </c>
      <c r="M4293" s="5">
        <f t="shared" si="522"/>
        <v>2012</v>
      </c>
    </row>
    <row r="4294" spans="1:13" ht="17.45" customHeight="1" x14ac:dyDescent="0.25">
      <c r="A4294" s="1">
        <f>DATE(2012,10,24)</f>
        <v>41206</v>
      </c>
      <c r="B4294" t="s">
        <v>15</v>
      </c>
      <c r="C4294" t="s">
        <v>6</v>
      </c>
      <c r="D4294" s="3">
        <v>5435.8722000000007</v>
      </c>
      <c r="E4294" s="3">
        <v>0</v>
      </c>
      <c r="F4294" t="s">
        <v>45</v>
      </c>
      <c r="G4294" s="3">
        <f t="shared" si="516"/>
        <v>-5435.8722000000007</v>
      </c>
      <c r="H4294" s="3">
        <f t="shared" si="517"/>
        <v>5435.8722000000007</v>
      </c>
      <c r="I4294" s="5" t="str">
        <f t="shared" si="518"/>
        <v>017</v>
      </c>
      <c r="J4294" s="5" t="str">
        <f t="shared" si="519"/>
        <v>2100</v>
      </c>
      <c r="K4294" s="5" t="str">
        <f t="shared" si="520"/>
        <v>000</v>
      </c>
      <c r="L4294" s="5">
        <f t="shared" si="521"/>
        <v>10</v>
      </c>
      <c r="M4294" s="5">
        <f t="shared" si="522"/>
        <v>2012</v>
      </c>
    </row>
    <row r="4295" spans="1:13" ht="17.45" customHeight="1" x14ac:dyDescent="0.25">
      <c r="A4295" s="1">
        <f>DATE(2012,10,24)</f>
        <v>41206</v>
      </c>
      <c r="B4295" t="s">
        <v>16</v>
      </c>
      <c r="C4295" t="s">
        <v>8</v>
      </c>
      <c r="D4295" s="3">
        <v>1642.6899999999998</v>
      </c>
      <c r="E4295" s="3">
        <v>0</v>
      </c>
      <c r="F4295" t="s">
        <v>45</v>
      </c>
      <c r="G4295" s="3">
        <f t="shared" si="516"/>
        <v>-1642.6899999999998</v>
      </c>
      <c r="H4295" s="3">
        <f t="shared" si="517"/>
        <v>1642.6899999999998</v>
      </c>
      <c r="I4295" s="5" t="str">
        <f t="shared" si="518"/>
        <v>017</v>
      </c>
      <c r="J4295" s="5" t="str">
        <f t="shared" si="519"/>
        <v>2210</v>
      </c>
      <c r="K4295" s="5" t="str">
        <f t="shared" si="520"/>
        <v>000</v>
      </c>
      <c r="L4295" s="5">
        <f t="shared" si="521"/>
        <v>10</v>
      </c>
      <c r="M4295" s="5">
        <f t="shared" si="522"/>
        <v>2012</v>
      </c>
    </row>
    <row r="4296" spans="1:13" ht="17.45" customHeight="1" x14ac:dyDescent="0.25">
      <c r="A4296" s="1">
        <f>DATE(2012,10,24)</f>
        <v>41206</v>
      </c>
      <c r="B4296" t="s">
        <v>17</v>
      </c>
      <c r="C4296" t="s">
        <v>9</v>
      </c>
      <c r="D4296" s="3">
        <v>487.11</v>
      </c>
      <c r="E4296" s="3">
        <v>0</v>
      </c>
      <c r="F4296" t="s">
        <v>45</v>
      </c>
      <c r="G4296" s="3">
        <f t="shared" si="516"/>
        <v>-487.11</v>
      </c>
      <c r="H4296" s="3">
        <f t="shared" si="517"/>
        <v>487.11</v>
      </c>
      <c r="I4296" s="5" t="str">
        <f t="shared" si="518"/>
        <v>017</v>
      </c>
      <c r="J4296" s="5" t="str">
        <f t="shared" si="519"/>
        <v>2220</v>
      </c>
      <c r="K4296" s="5" t="str">
        <f t="shared" si="520"/>
        <v>000</v>
      </c>
      <c r="L4296" s="5">
        <f t="shared" si="521"/>
        <v>10</v>
      </c>
      <c r="M4296" s="5">
        <f t="shared" si="522"/>
        <v>2012</v>
      </c>
    </row>
    <row r="4297" spans="1:13" ht="17.45" customHeight="1" x14ac:dyDescent="0.25">
      <c r="A4297" s="1">
        <f>DATE(2012,10,24)</f>
        <v>41206</v>
      </c>
      <c r="B4297" t="s">
        <v>18</v>
      </c>
      <c r="C4297" t="s">
        <v>10</v>
      </c>
      <c r="D4297" s="3">
        <v>50.830000000000005</v>
      </c>
      <c r="E4297" s="3">
        <v>0</v>
      </c>
      <c r="F4297" t="s">
        <v>45</v>
      </c>
      <c r="G4297" s="3">
        <f t="shared" si="516"/>
        <v>-50.830000000000005</v>
      </c>
      <c r="H4297" s="3">
        <f t="shared" si="517"/>
        <v>50.830000000000005</v>
      </c>
      <c r="I4297" s="5" t="str">
        <f t="shared" si="518"/>
        <v>017</v>
      </c>
      <c r="J4297" s="5" t="str">
        <f t="shared" si="519"/>
        <v>2230</v>
      </c>
      <c r="K4297" s="5" t="str">
        <f t="shared" si="520"/>
        <v>000</v>
      </c>
      <c r="L4297" s="5">
        <f t="shared" si="521"/>
        <v>10</v>
      </c>
      <c r="M4297" s="5">
        <f t="shared" si="522"/>
        <v>2012</v>
      </c>
    </row>
    <row r="4298" spans="1:13" ht="17.45" customHeight="1" x14ac:dyDescent="0.25">
      <c r="A4298" s="1">
        <f>DATE(2012,10,25)</f>
        <v>41207</v>
      </c>
      <c r="B4298" t="s">
        <v>15</v>
      </c>
      <c r="C4298" t="s">
        <v>6</v>
      </c>
      <c r="D4298" s="3">
        <v>5599.8160000000007</v>
      </c>
      <c r="E4298" s="3">
        <v>0</v>
      </c>
      <c r="F4298" t="s">
        <v>45</v>
      </c>
      <c r="G4298" s="3">
        <f t="shared" si="516"/>
        <v>-5599.8160000000007</v>
      </c>
      <c r="H4298" s="3">
        <f t="shared" si="517"/>
        <v>5599.8160000000007</v>
      </c>
      <c r="I4298" s="5" t="str">
        <f t="shared" si="518"/>
        <v>017</v>
      </c>
      <c r="J4298" s="5" t="str">
        <f t="shared" si="519"/>
        <v>2100</v>
      </c>
      <c r="K4298" s="5" t="str">
        <f t="shared" si="520"/>
        <v>000</v>
      </c>
      <c r="L4298" s="5">
        <f t="shared" si="521"/>
        <v>10</v>
      </c>
      <c r="M4298" s="5">
        <f t="shared" si="522"/>
        <v>2012</v>
      </c>
    </row>
    <row r="4299" spans="1:13" ht="17.45" customHeight="1" x14ac:dyDescent="0.25">
      <c r="A4299" s="1">
        <f>DATE(2012,10,25)</f>
        <v>41207</v>
      </c>
      <c r="B4299" t="s">
        <v>16</v>
      </c>
      <c r="C4299" t="s">
        <v>8</v>
      </c>
      <c r="D4299" s="3">
        <v>1440.7840000000003</v>
      </c>
      <c r="E4299" s="3">
        <v>0</v>
      </c>
      <c r="F4299" t="s">
        <v>45</v>
      </c>
      <c r="G4299" s="3">
        <f t="shared" si="516"/>
        <v>-1440.7840000000003</v>
      </c>
      <c r="H4299" s="3">
        <f t="shared" si="517"/>
        <v>1440.7840000000003</v>
      </c>
      <c r="I4299" s="5" t="str">
        <f t="shared" si="518"/>
        <v>017</v>
      </c>
      <c r="J4299" s="5" t="str">
        <f t="shared" si="519"/>
        <v>2210</v>
      </c>
      <c r="K4299" s="5" t="str">
        <f t="shared" si="520"/>
        <v>000</v>
      </c>
      <c r="L4299" s="5">
        <f t="shared" si="521"/>
        <v>10</v>
      </c>
      <c r="M4299" s="5">
        <f t="shared" si="522"/>
        <v>2012</v>
      </c>
    </row>
    <row r="4300" spans="1:13" ht="17.45" customHeight="1" x14ac:dyDescent="0.25">
      <c r="A4300" s="1">
        <f>DATE(2012,10,25)</f>
        <v>41207</v>
      </c>
      <c r="B4300" t="s">
        <v>17</v>
      </c>
      <c r="C4300" t="s">
        <v>9</v>
      </c>
      <c r="D4300" s="3">
        <v>402.4425</v>
      </c>
      <c r="E4300" s="3">
        <v>0</v>
      </c>
      <c r="F4300" t="s">
        <v>45</v>
      </c>
      <c r="G4300" s="3">
        <f t="shared" si="516"/>
        <v>-402.4425</v>
      </c>
      <c r="H4300" s="3">
        <f t="shared" si="517"/>
        <v>402.4425</v>
      </c>
      <c r="I4300" s="5" t="str">
        <f t="shared" si="518"/>
        <v>017</v>
      </c>
      <c r="J4300" s="5" t="str">
        <f t="shared" si="519"/>
        <v>2220</v>
      </c>
      <c r="K4300" s="5" t="str">
        <f t="shared" si="520"/>
        <v>000</v>
      </c>
      <c r="L4300" s="5">
        <f t="shared" si="521"/>
        <v>10</v>
      </c>
      <c r="M4300" s="5">
        <f t="shared" si="522"/>
        <v>2012</v>
      </c>
    </row>
    <row r="4301" spans="1:13" ht="17.45" customHeight="1" x14ac:dyDescent="0.25">
      <c r="A4301" s="1">
        <f>DATE(2012,10,25)</f>
        <v>41207</v>
      </c>
      <c r="B4301" t="s">
        <v>18</v>
      </c>
      <c r="C4301" t="s">
        <v>10</v>
      </c>
      <c r="D4301" s="3">
        <v>218.196</v>
      </c>
      <c r="E4301" s="3">
        <v>0</v>
      </c>
      <c r="F4301" t="s">
        <v>45</v>
      </c>
      <c r="G4301" s="3">
        <f t="shared" si="516"/>
        <v>-218.196</v>
      </c>
      <c r="H4301" s="3">
        <f t="shared" si="517"/>
        <v>218.196</v>
      </c>
      <c r="I4301" s="5" t="str">
        <f t="shared" si="518"/>
        <v>017</v>
      </c>
      <c r="J4301" s="5" t="str">
        <f t="shared" si="519"/>
        <v>2230</v>
      </c>
      <c r="K4301" s="5" t="str">
        <f t="shared" si="520"/>
        <v>000</v>
      </c>
      <c r="L4301" s="5">
        <f t="shared" si="521"/>
        <v>10</v>
      </c>
      <c r="M4301" s="5">
        <f t="shared" si="522"/>
        <v>2012</v>
      </c>
    </row>
    <row r="4302" spans="1:13" ht="17.45" customHeight="1" x14ac:dyDescent="0.25">
      <c r="A4302" s="1">
        <f>DATE(2012,10,26)</f>
        <v>41208</v>
      </c>
      <c r="B4302" t="s">
        <v>15</v>
      </c>
      <c r="C4302" t="s">
        <v>6</v>
      </c>
      <c r="D4302" s="3">
        <v>6433.3824000000004</v>
      </c>
      <c r="E4302" s="3">
        <v>0</v>
      </c>
      <c r="F4302" t="s">
        <v>45</v>
      </c>
      <c r="G4302" s="3">
        <f t="shared" si="516"/>
        <v>-6433.3824000000004</v>
      </c>
      <c r="H4302" s="3">
        <f t="shared" si="517"/>
        <v>6433.3824000000004</v>
      </c>
      <c r="I4302" s="5" t="str">
        <f t="shared" si="518"/>
        <v>017</v>
      </c>
      <c r="J4302" s="5" t="str">
        <f t="shared" si="519"/>
        <v>2100</v>
      </c>
      <c r="K4302" s="5" t="str">
        <f t="shared" si="520"/>
        <v>000</v>
      </c>
      <c r="L4302" s="5">
        <f t="shared" si="521"/>
        <v>10</v>
      </c>
      <c r="M4302" s="5">
        <f t="shared" si="522"/>
        <v>2012</v>
      </c>
    </row>
    <row r="4303" spans="1:13" ht="17.45" customHeight="1" x14ac:dyDescent="0.25">
      <c r="A4303" s="1">
        <f>DATE(2012,10,26)</f>
        <v>41208</v>
      </c>
      <c r="B4303" t="s">
        <v>16</v>
      </c>
      <c r="C4303" t="s">
        <v>8</v>
      </c>
      <c r="D4303" s="3">
        <v>1464.856</v>
      </c>
      <c r="E4303" s="3">
        <v>0</v>
      </c>
      <c r="F4303" t="s">
        <v>45</v>
      </c>
      <c r="G4303" s="3">
        <f t="shared" si="516"/>
        <v>-1464.856</v>
      </c>
      <c r="H4303" s="3">
        <f t="shared" si="517"/>
        <v>1464.856</v>
      </c>
      <c r="I4303" s="5" t="str">
        <f t="shared" si="518"/>
        <v>017</v>
      </c>
      <c r="J4303" s="5" t="str">
        <f t="shared" si="519"/>
        <v>2210</v>
      </c>
      <c r="K4303" s="5" t="str">
        <f t="shared" si="520"/>
        <v>000</v>
      </c>
      <c r="L4303" s="5">
        <f t="shared" si="521"/>
        <v>10</v>
      </c>
      <c r="M4303" s="5">
        <f t="shared" si="522"/>
        <v>2012</v>
      </c>
    </row>
    <row r="4304" spans="1:13" ht="17.45" customHeight="1" x14ac:dyDescent="0.25">
      <c r="A4304" s="1">
        <f>DATE(2012,10,26)</f>
        <v>41208</v>
      </c>
      <c r="B4304" t="s">
        <v>17</v>
      </c>
      <c r="C4304" t="s">
        <v>9</v>
      </c>
      <c r="D4304" s="3">
        <v>490.67499999999995</v>
      </c>
      <c r="E4304" s="3">
        <v>0</v>
      </c>
      <c r="F4304" t="s">
        <v>45</v>
      </c>
      <c r="G4304" s="3">
        <f t="shared" si="516"/>
        <v>-490.67499999999995</v>
      </c>
      <c r="H4304" s="3">
        <f t="shared" si="517"/>
        <v>490.67499999999995</v>
      </c>
      <c r="I4304" s="5" t="str">
        <f t="shared" si="518"/>
        <v>017</v>
      </c>
      <c r="J4304" s="5" t="str">
        <f t="shared" si="519"/>
        <v>2220</v>
      </c>
      <c r="K4304" s="5" t="str">
        <f t="shared" si="520"/>
        <v>000</v>
      </c>
      <c r="L4304" s="5">
        <f t="shared" si="521"/>
        <v>10</v>
      </c>
      <c r="M4304" s="5">
        <f t="shared" si="522"/>
        <v>2012</v>
      </c>
    </row>
    <row r="4305" spans="1:13" ht="17.45" customHeight="1" x14ac:dyDescent="0.25">
      <c r="A4305" s="1">
        <f>DATE(2012,10,26)</f>
        <v>41208</v>
      </c>
      <c r="B4305" t="s">
        <v>18</v>
      </c>
      <c r="C4305" t="s">
        <v>10</v>
      </c>
      <c r="D4305" s="3">
        <v>205.755</v>
      </c>
      <c r="E4305" s="3">
        <v>0</v>
      </c>
      <c r="F4305" t="s">
        <v>45</v>
      </c>
      <c r="G4305" s="3">
        <f t="shared" si="516"/>
        <v>-205.755</v>
      </c>
      <c r="H4305" s="3">
        <f t="shared" si="517"/>
        <v>205.755</v>
      </c>
      <c r="I4305" s="5" t="str">
        <f t="shared" si="518"/>
        <v>017</v>
      </c>
      <c r="J4305" s="5" t="str">
        <f t="shared" si="519"/>
        <v>2230</v>
      </c>
      <c r="K4305" s="5" t="str">
        <f t="shared" si="520"/>
        <v>000</v>
      </c>
      <c r="L4305" s="5">
        <f t="shared" si="521"/>
        <v>10</v>
      </c>
      <c r="M4305" s="5">
        <f t="shared" si="522"/>
        <v>2012</v>
      </c>
    </row>
    <row r="4306" spans="1:13" ht="17.45" customHeight="1" x14ac:dyDescent="0.25">
      <c r="A4306" s="1">
        <f>DATE(2012,10,27)</f>
        <v>41209</v>
      </c>
      <c r="B4306" t="s">
        <v>15</v>
      </c>
      <c r="C4306" t="s">
        <v>6</v>
      </c>
      <c r="D4306" s="3">
        <v>5646.3163999999997</v>
      </c>
      <c r="E4306" s="3">
        <v>0</v>
      </c>
      <c r="F4306" t="s">
        <v>45</v>
      </c>
      <c r="G4306" s="3">
        <f t="shared" si="516"/>
        <v>-5646.3163999999997</v>
      </c>
      <c r="H4306" s="3">
        <f t="shared" si="517"/>
        <v>5646.3163999999997</v>
      </c>
      <c r="I4306" s="5" t="str">
        <f t="shared" si="518"/>
        <v>017</v>
      </c>
      <c r="J4306" s="5" t="str">
        <f t="shared" si="519"/>
        <v>2100</v>
      </c>
      <c r="K4306" s="5" t="str">
        <f t="shared" si="520"/>
        <v>000</v>
      </c>
      <c r="L4306" s="5">
        <f t="shared" si="521"/>
        <v>10</v>
      </c>
      <c r="M4306" s="5">
        <f t="shared" si="522"/>
        <v>2012</v>
      </c>
    </row>
    <row r="4307" spans="1:13" ht="17.45" customHeight="1" x14ac:dyDescent="0.25">
      <c r="A4307" s="1">
        <f>DATE(2012,10,27)</f>
        <v>41209</v>
      </c>
      <c r="B4307" t="s">
        <v>16</v>
      </c>
      <c r="C4307" t="s">
        <v>8</v>
      </c>
      <c r="D4307" s="3">
        <v>1177.7659999999998</v>
      </c>
      <c r="E4307" s="3">
        <v>0</v>
      </c>
      <c r="F4307" t="s">
        <v>45</v>
      </c>
      <c r="G4307" s="3">
        <f t="shared" si="516"/>
        <v>-1177.7659999999998</v>
      </c>
      <c r="H4307" s="3">
        <f t="shared" si="517"/>
        <v>1177.7659999999998</v>
      </c>
      <c r="I4307" s="5" t="str">
        <f t="shared" si="518"/>
        <v>017</v>
      </c>
      <c r="J4307" s="5" t="str">
        <f t="shared" si="519"/>
        <v>2210</v>
      </c>
      <c r="K4307" s="5" t="str">
        <f t="shared" si="520"/>
        <v>000</v>
      </c>
      <c r="L4307" s="5">
        <f t="shared" si="521"/>
        <v>10</v>
      </c>
      <c r="M4307" s="5">
        <f t="shared" si="522"/>
        <v>2012</v>
      </c>
    </row>
    <row r="4308" spans="1:13" ht="17.45" customHeight="1" x14ac:dyDescent="0.25">
      <c r="A4308" s="1">
        <f>DATE(2012,10,27)</f>
        <v>41209</v>
      </c>
      <c r="B4308" t="s">
        <v>17</v>
      </c>
      <c r="C4308" t="s">
        <v>9</v>
      </c>
      <c r="D4308" s="3">
        <v>236.67750000000001</v>
      </c>
      <c r="E4308" s="3">
        <v>0</v>
      </c>
      <c r="F4308" t="s">
        <v>45</v>
      </c>
      <c r="G4308" s="3">
        <f t="shared" si="516"/>
        <v>-236.67750000000001</v>
      </c>
      <c r="H4308" s="3">
        <f t="shared" si="517"/>
        <v>236.67750000000001</v>
      </c>
      <c r="I4308" s="5" t="str">
        <f t="shared" si="518"/>
        <v>017</v>
      </c>
      <c r="J4308" s="5" t="str">
        <f t="shared" si="519"/>
        <v>2220</v>
      </c>
      <c r="K4308" s="5" t="str">
        <f t="shared" si="520"/>
        <v>000</v>
      </c>
      <c r="L4308" s="5">
        <f t="shared" si="521"/>
        <v>10</v>
      </c>
      <c r="M4308" s="5">
        <f t="shared" si="522"/>
        <v>2012</v>
      </c>
    </row>
    <row r="4309" spans="1:13" ht="17.45" customHeight="1" x14ac:dyDescent="0.25">
      <c r="A4309" s="1">
        <f>DATE(2012,10,27)</f>
        <v>41209</v>
      </c>
      <c r="B4309" t="s">
        <v>18</v>
      </c>
      <c r="C4309" t="s">
        <v>10</v>
      </c>
      <c r="D4309" s="3">
        <v>56.375999999999998</v>
      </c>
      <c r="E4309" s="3">
        <v>0</v>
      </c>
      <c r="F4309" t="s">
        <v>45</v>
      </c>
      <c r="G4309" s="3">
        <f t="shared" si="516"/>
        <v>-56.375999999999998</v>
      </c>
      <c r="H4309" s="3">
        <f t="shared" si="517"/>
        <v>56.375999999999998</v>
      </c>
      <c r="I4309" s="5" t="str">
        <f t="shared" si="518"/>
        <v>017</v>
      </c>
      <c r="J4309" s="5" t="str">
        <f t="shared" si="519"/>
        <v>2230</v>
      </c>
      <c r="K4309" s="5" t="str">
        <f t="shared" si="520"/>
        <v>000</v>
      </c>
      <c r="L4309" s="5">
        <f t="shared" si="521"/>
        <v>10</v>
      </c>
      <c r="M4309" s="5">
        <f t="shared" si="522"/>
        <v>2012</v>
      </c>
    </row>
    <row r="4310" spans="1:13" ht="17.45" customHeight="1" x14ac:dyDescent="0.25">
      <c r="A4310" s="1">
        <f>DATE(2012,10,28)</f>
        <v>41210</v>
      </c>
      <c r="B4310" t="s">
        <v>15</v>
      </c>
      <c r="C4310" t="s">
        <v>6</v>
      </c>
      <c r="D4310" s="3">
        <v>3801.1285000000003</v>
      </c>
      <c r="E4310" s="3">
        <v>0</v>
      </c>
      <c r="F4310" t="s">
        <v>45</v>
      </c>
      <c r="G4310" s="3">
        <f t="shared" si="516"/>
        <v>-3801.1285000000003</v>
      </c>
      <c r="H4310" s="3">
        <f t="shared" si="517"/>
        <v>3801.1285000000003</v>
      </c>
      <c r="I4310" s="5" t="str">
        <f t="shared" si="518"/>
        <v>017</v>
      </c>
      <c r="J4310" s="5" t="str">
        <f t="shared" si="519"/>
        <v>2100</v>
      </c>
      <c r="K4310" s="5" t="str">
        <f t="shared" si="520"/>
        <v>000</v>
      </c>
      <c r="L4310" s="5">
        <f t="shared" si="521"/>
        <v>10</v>
      </c>
      <c r="M4310" s="5">
        <f t="shared" si="522"/>
        <v>2012</v>
      </c>
    </row>
    <row r="4311" spans="1:13" ht="17.45" customHeight="1" x14ac:dyDescent="0.25">
      <c r="A4311" s="1">
        <f>DATE(2012,10,28)</f>
        <v>41210</v>
      </c>
      <c r="B4311" t="s">
        <v>16</v>
      </c>
      <c r="C4311" t="s">
        <v>8</v>
      </c>
      <c r="D4311" s="3">
        <v>821.61199999999997</v>
      </c>
      <c r="E4311" s="3">
        <v>0</v>
      </c>
      <c r="F4311" t="s">
        <v>45</v>
      </c>
      <c r="G4311" s="3">
        <f t="shared" si="516"/>
        <v>-821.61199999999997</v>
      </c>
      <c r="H4311" s="3">
        <f t="shared" si="517"/>
        <v>821.61199999999997</v>
      </c>
      <c r="I4311" s="5" t="str">
        <f t="shared" si="518"/>
        <v>017</v>
      </c>
      <c r="J4311" s="5" t="str">
        <f t="shared" si="519"/>
        <v>2210</v>
      </c>
      <c r="K4311" s="5" t="str">
        <f t="shared" si="520"/>
        <v>000</v>
      </c>
      <c r="L4311" s="5">
        <f t="shared" si="521"/>
        <v>10</v>
      </c>
      <c r="M4311" s="5">
        <f t="shared" si="522"/>
        <v>2012</v>
      </c>
    </row>
    <row r="4312" spans="1:13" ht="17.45" customHeight="1" x14ac:dyDescent="0.25">
      <c r="A4312" s="1">
        <f>DATE(2012,10,28)</f>
        <v>41210</v>
      </c>
      <c r="B4312" t="s">
        <v>17</v>
      </c>
      <c r="C4312" t="s">
        <v>9</v>
      </c>
      <c r="D4312" s="3">
        <v>110.205</v>
      </c>
      <c r="E4312" s="3">
        <v>0</v>
      </c>
      <c r="F4312" t="s">
        <v>45</v>
      </c>
      <c r="G4312" s="3">
        <f t="shared" si="516"/>
        <v>-110.205</v>
      </c>
      <c r="H4312" s="3">
        <f t="shared" si="517"/>
        <v>110.205</v>
      </c>
      <c r="I4312" s="5" t="str">
        <f t="shared" si="518"/>
        <v>017</v>
      </c>
      <c r="J4312" s="5" t="str">
        <f t="shared" si="519"/>
        <v>2220</v>
      </c>
      <c r="K4312" s="5" t="str">
        <f t="shared" si="520"/>
        <v>000</v>
      </c>
      <c r="L4312" s="5">
        <f t="shared" si="521"/>
        <v>10</v>
      </c>
      <c r="M4312" s="5">
        <f t="shared" si="522"/>
        <v>2012</v>
      </c>
    </row>
    <row r="4313" spans="1:13" ht="17.45" customHeight="1" x14ac:dyDescent="0.25">
      <c r="A4313" s="1">
        <f>DATE(2012,10,28)</f>
        <v>41210</v>
      </c>
      <c r="B4313" t="s">
        <v>18</v>
      </c>
      <c r="C4313" t="s">
        <v>10</v>
      </c>
      <c r="D4313" s="3">
        <v>32.571000000000005</v>
      </c>
      <c r="E4313" s="3">
        <v>0</v>
      </c>
      <c r="F4313" t="s">
        <v>45</v>
      </c>
      <c r="G4313" s="3">
        <f t="shared" si="516"/>
        <v>-32.571000000000005</v>
      </c>
      <c r="H4313" s="3">
        <f t="shared" si="517"/>
        <v>32.571000000000005</v>
      </c>
      <c r="I4313" s="5" t="str">
        <f t="shared" si="518"/>
        <v>017</v>
      </c>
      <c r="J4313" s="5" t="str">
        <f t="shared" si="519"/>
        <v>2230</v>
      </c>
      <c r="K4313" s="5" t="str">
        <f t="shared" si="520"/>
        <v>000</v>
      </c>
      <c r="L4313" s="5">
        <f t="shared" si="521"/>
        <v>10</v>
      </c>
      <c r="M4313" s="5">
        <f t="shared" si="522"/>
        <v>2012</v>
      </c>
    </row>
    <row r="4314" spans="1:13" ht="17.45" customHeight="1" x14ac:dyDescent="0.25">
      <c r="A4314" s="1">
        <f>DATE(2012,10,22)</f>
        <v>41204</v>
      </c>
      <c r="B4314" t="s">
        <v>19</v>
      </c>
      <c r="C4314" t="s">
        <v>6</v>
      </c>
      <c r="D4314" s="3">
        <v>3677.3896000000004</v>
      </c>
      <c r="E4314" s="3">
        <v>0</v>
      </c>
      <c r="F4314" t="s">
        <v>45</v>
      </c>
      <c r="G4314" s="3">
        <f t="shared" si="516"/>
        <v>-3677.3896000000004</v>
      </c>
      <c r="H4314" s="3">
        <f t="shared" si="517"/>
        <v>3677.3896000000004</v>
      </c>
      <c r="I4314" s="5" t="str">
        <f t="shared" si="518"/>
        <v>018</v>
      </c>
      <c r="J4314" s="5" t="str">
        <f t="shared" si="519"/>
        <v>2100</v>
      </c>
      <c r="K4314" s="5" t="str">
        <f t="shared" si="520"/>
        <v>000</v>
      </c>
      <c r="L4314" s="5">
        <f t="shared" si="521"/>
        <v>10</v>
      </c>
      <c r="M4314" s="5">
        <f t="shared" si="522"/>
        <v>2012</v>
      </c>
    </row>
    <row r="4315" spans="1:13" ht="17.45" customHeight="1" x14ac:dyDescent="0.25">
      <c r="A4315" s="1">
        <f>DATE(2012,10,22)</f>
        <v>41204</v>
      </c>
      <c r="B4315" t="s">
        <v>20</v>
      </c>
      <c r="C4315" t="s">
        <v>8</v>
      </c>
      <c r="D4315" s="3">
        <v>474.23699999999991</v>
      </c>
      <c r="E4315" s="3">
        <v>0</v>
      </c>
      <c r="F4315" t="s">
        <v>45</v>
      </c>
      <c r="G4315" s="3">
        <f t="shared" si="516"/>
        <v>-474.23699999999991</v>
      </c>
      <c r="H4315" s="3">
        <f t="shared" si="517"/>
        <v>474.23699999999991</v>
      </c>
      <c r="I4315" s="5" t="str">
        <f t="shared" si="518"/>
        <v>018</v>
      </c>
      <c r="J4315" s="5" t="str">
        <f t="shared" si="519"/>
        <v>2210</v>
      </c>
      <c r="K4315" s="5" t="str">
        <f t="shared" si="520"/>
        <v>000</v>
      </c>
      <c r="L4315" s="5">
        <f t="shared" si="521"/>
        <v>10</v>
      </c>
      <c r="M4315" s="5">
        <f t="shared" si="522"/>
        <v>2012</v>
      </c>
    </row>
    <row r="4316" spans="1:13" ht="17.45" customHeight="1" x14ac:dyDescent="0.25">
      <c r="A4316" s="1">
        <f>DATE(2012,10,22)</f>
        <v>41204</v>
      </c>
      <c r="B4316" t="s">
        <v>21</v>
      </c>
      <c r="C4316" t="s">
        <v>9</v>
      </c>
      <c r="D4316" s="3">
        <v>114.57600000000001</v>
      </c>
      <c r="E4316" s="3">
        <v>0</v>
      </c>
      <c r="F4316" t="s">
        <v>45</v>
      </c>
      <c r="G4316" s="3">
        <f t="shared" si="516"/>
        <v>-114.57600000000001</v>
      </c>
      <c r="H4316" s="3">
        <f t="shared" si="517"/>
        <v>114.57600000000001</v>
      </c>
      <c r="I4316" s="5" t="str">
        <f t="shared" si="518"/>
        <v>018</v>
      </c>
      <c r="J4316" s="5" t="str">
        <f t="shared" si="519"/>
        <v>2220</v>
      </c>
      <c r="K4316" s="5" t="str">
        <f t="shared" si="520"/>
        <v>000</v>
      </c>
      <c r="L4316" s="5">
        <f t="shared" si="521"/>
        <v>10</v>
      </c>
      <c r="M4316" s="5">
        <f t="shared" si="522"/>
        <v>2012</v>
      </c>
    </row>
    <row r="4317" spans="1:13" ht="17.45" customHeight="1" x14ac:dyDescent="0.25">
      <c r="A4317" s="1">
        <f>DATE(2012,10,22)</f>
        <v>41204</v>
      </c>
      <c r="B4317" t="s">
        <v>22</v>
      </c>
      <c r="C4317" t="s">
        <v>10</v>
      </c>
      <c r="D4317" s="3">
        <v>42.679000000000002</v>
      </c>
      <c r="E4317" s="3">
        <v>0</v>
      </c>
      <c r="F4317" t="s">
        <v>45</v>
      </c>
      <c r="G4317" s="3">
        <f t="shared" si="516"/>
        <v>-42.679000000000002</v>
      </c>
      <c r="H4317" s="3">
        <f t="shared" si="517"/>
        <v>42.679000000000002</v>
      </c>
      <c r="I4317" s="5" t="str">
        <f t="shared" si="518"/>
        <v>018</v>
      </c>
      <c r="J4317" s="5" t="str">
        <f t="shared" si="519"/>
        <v>2230</v>
      </c>
      <c r="K4317" s="5" t="str">
        <f t="shared" si="520"/>
        <v>000</v>
      </c>
      <c r="L4317" s="5">
        <f t="shared" si="521"/>
        <v>10</v>
      </c>
      <c r="M4317" s="5">
        <f t="shared" si="522"/>
        <v>2012</v>
      </c>
    </row>
    <row r="4318" spans="1:13" ht="17.45" customHeight="1" x14ac:dyDescent="0.25">
      <c r="A4318" s="1">
        <f>DATE(2012,10,23)</f>
        <v>41205</v>
      </c>
      <c r="B4318" t="s">
        <v>19</v>
      </c>
      <c r="C4318" t="s">
        <v>6</v>
      </c>
      <c r="D4318" s="3">
        <v>3647.9624999999996</v>
      </c>
      <c r="E4318" s="3">
        <v>0</v>
      </c>
      <c r="F4318" t="s">
        <v>45</v>
      </c>
      <c r="G4318" s="3">
        <f t="shared" si="516"/>
        <v>-3647.9624999999996</v>
      </c>
      <c r="H4318" s="3">
        <f t="shared" si="517"/>
        <v>3647.9624999999996</v>
      </c>
      <c r="I4318" s="5" t="str">
        <f t="shared" si="518"/>
        <v>018</v>
      </c>
      <c r="J4318" s="5" t="str">
        <f t="shared" si="519"/>
        <v>2100</v>
      </c>
      <c r="K4318" s="5" t="str">
        <f t="shared" si="520"/>
        <v>000</v>
      </c>
      <c r="L4318" s="5">
        <f t="shared" si="521"/>
        <v>10</v>
      </c>
      <c r="M4318" s="5">
        <f t="shared" si="522"/>
        <v>2012</v>
      </c>
    </row>
    <row r="4319" spans="1:13" ht="17.45" customHeight="1" x14ac:dyDescent="0.25">
      <c r="A4319" s="1">
        <f>DATE(2012,10,23)</f>
        <v>41205</v>
      </c>
      <c r="B4319" t="s">
        <v>20</v>
      </c>
      <c r="C4319" t="s">
        <v>8</v>
      </c>
      <c r="D4319" s="3">
        <v>1061.55</v>
      </c>
      <c r="E4319" s="3">
        <v>0</v>
      </c>
      <c r="F4319" t="s">
        <v>45</v>
      </c>
      <c r="G4319" s="3">
        <f t="shared" si="516"/>
        <v>-1061.55</v>
      </c>
      <c r="H4319" s="3">
        <f t="shared" si="517"/>
        <v>1061.55</v>
      </c>
      <c r="I4319" s="5" t="str">
        <f t="shared" si="518"/>
        <v>018</v>
      </c>
      <c r="J4319" s="5" t="str">
        <f t="shared" si="519"/>
        <v>2210</v>
      </c>
      <c r="K4319" s="5" t="str">
        <f t="shared" si="520"/>
        <v>000</v>
      </c>
      <c r="L4319" s="5">
        <f t="shared" si="521"/>
        <v>10</v>
      </c>
      <c r="M4319" s="5">
        <f t="shared" si="522"/>
        <v>2012</v>
      </c>
    </row>
    <row r="4320" spans="1:13" ht="17.45" customHeight="1" x14ac:dyDescent="0.25">
      <c r="A4320" s="1">
        <f>DATE(2012,10,23)</f>
        <v>41205</v>
      </c>
      <c r="B4320" t="s">
        <v>21</v>
      </c>
      <c r="C4320" t="s">
        <v>9</v>
      </c>
      <c r="D4320" s="3">
        <v>186.12</v>
      </c>
      <c r="E4320" s="3">
        <v>0</v>
      </c>
      <c r="F4320" t="s">
        <v>45</v>
      </c>
      <c r="G4320" s="3">
        <f t="shared" si="516"/>
        <v>-186.12</v>
      </c>
      <c r="H4320" s="3">
        <f t="shared" si="517"/>
        <v>186.12</v>
      </c>
      <c r="I4320" s="5" t="str">
        <f t="shared" si="518"/>
        <v>018</v>
      </c>
      <c r="J4320" s="5" t="str">
        <f t="shared" si="519"/>
        <v>2220</v>
      </c>
      <c r="K4320" s="5" t="str">
        <f t="shared" si="520"/>
        <v>000</v>
      </c>
      <c r="L4320" s="5">
        <f t="shared" si="521"/>
        <v>10</v>
      </c>
      <c r="M4320" s="5">
        <f t="shared" si="522"/>
        <v>2012</v>
      </c>
    </row>
    <row r="4321" spans="1:13" ht="17.45" customHeight="1" x14ac:dyDescent="0.25">
      <c r="A4321" s="1">
        <f>DATE(2012,10,23)</f>
        <v>41205</v>
      </c>
      <c r="B4321" t="s">
        <v>22</v>
      </c>
      <c r="C4321" t="s">
        <v>10</v>
      </c>
      <c r="D4321" s="3">
        <v>39.195</v>
      </c>
      <c r="E4321" s="3">
        <v>0</v>
      </c>
      <c r="F4321" t="s">
        <v>45</v>
      </c>
      <c r="G4321" s="3">
        <f t="shared" si="516"/>
        <v>-39.195</v>
      </c>
      <c r="H4321" s="3">
        <f t="shared" si="517"/>
        <v>39.195</v>
      </c>
      <c r="I4321" s="5" t="str">
        <f t="shared" si="518"/>
        <v>018</v>
      </c>
      <c r="J4321" s="5" t="str">
        <f t="shared" si="519"/>
        <v>2230</v>
      </c>
      <c r="K4321" s="5" t="str">
        <f t="shared" si="520"/>
        <v>000</v>
      </c>
      <c r="L4321" s="5">
        <f t="shared" si="521"/>
        <v>10</v>
      </c>
      <c r="M4321" s="5">
        <f t="shared" si="522"/>
        <v>2012</v>
      </c>
    </row>
    <row r="4322" spans="1:13" ht="17.45" customHeight="1" x14ac:dyDescent="0.25">
      <c r="A4322" s="1">
        <f>DATE(2012,10,24)</f>
        <v>41206</v>
      </c>
      <c r="B4322" t="s">
        <v>19</v>
      </c>
      <c r="C4322" t="s">
        <v>6</v>
      </c>
      <c r="D4322" s="3">
        <v>6163.7672000000002</v>
      </c>
      <c r="E4322" s="3">
        <v>0</v>
      </c>
      <c r="F4322" t="s">
        <v>45</v>
      </c>
      <c r="G4322" s="3">
        <f t="shared" si="516"/>
        <v>-6163.7672000000002</v>
      </c>
      <c r="H4322" s="3">
        <f t="shared" si="517"/>
        <v>6163.7672000000002</v>
      </c>
      <c r="I4322" s="5" t="str">
        <f t="shared" si="518"/>
        <v>018</v>
      </c>
      <c r="J4322" s="5" t="str">
        <f t="shared" si="519"/>
        <v>2100</v>
      </c>
      <c r="K4322" s="5" t="str">
        <f t="shared" si="520"/>
        <v>000</v>
      </c>
      <c r="L4322" s="5">
        <f t="shared" si="521"/>
        <v>10</v>
      </c>
      <c r="M4322" s="5">
        <f t="shared" si="522"/>
        <v>2012</v>
      </c>
    </row>
    <row r="4323" spans="1:13" ht="17.45" customHeight="1" x14ac:dyDescent="0.25">
      <c r="A4323" s="1">
        <f>DATE(2012,10,24)</f>
        <v>41206</v>
      </c>
      <c r="B4323" t="s">
        <v>20</v>
      </c>
      <c r="C4323" t="s">
        <v>8</v>
      </c>
      <c r="D4323" s="3">
        <v>1165.8</v>
      </c>
      <c r="E4323" s="3">
        <v>0</v>
      </c>
      <c r="F4323" t="s">
        <v>45</v>
      </c>
      <c r="G4323" s="3">
        <f t="shared" si="516"/>
        <v>-1165.8</v>
      </c>
      <c r="H4323" s="3">
        <f t="shared" si="517"/>
        <v>1165.8</v>
      </c>
      <c r="I4323" s="5" t="str">
        <f t="shared" si="518"/>
        <v>018</v>
      </c>
      <c r="J4323" s="5" t="str">
        <f t="shared" si="519"/>
        <v>2210</v>
      </c>
      <c r="K4323" s="5" t="str">
        <f t="shared" si="520"/>
        <v>000</v>
      </c>
      <c r="L4323" s="5">
        <f t="shared" si="521"/>
        <v>10</v>
      </c>
      <c r="M4323" s="5">
        <f t="shared" si="522"/>
        <v>2012</v>
      </c>
    </row>
    <row r="4324" spans="1:13" ht="17.45" customHeight="1" x14ac:dyDescent="0.25">
      <c r="A4324" s="1">
        <f>DATE(2012,10,24)</f>
        <v>41206</v>
      </c>
      <c r="B4324" t="s">
        <v>21</v>
      </c>
      <c r="C4324" t="s">
        <v>9</v>
      </c>
      <c r="D4324" s="3">
        <v>257.64000000000004</v>
      </c>
      <c r="E4324" s="3">
        <v>0</v>
      </c>
      <c r="F4324" t="s">
        <v>45</v>
      </c>
      <c r="G4324" s="3">
        <f t="shared" si="516"/>
        <v>-257.64000000000004</v>
      </c>
      <c r="H4324" s="3">
        <f t="shared" si="517"/>
        <v>257.64000000000004</v>
      </c>
      <c r="I4324" s="5" t="str">
        <f t="shared" si="518"/>
        <v>018</v>
      </c>
      <c r="J4324" s="5" t="str">
        <f t="shared" si="519"/>
        <v>2220</v>
      </c>
      <c r="K4324" s="5" t="str">
        <f t="shared" si="520"/>
        <v>000</v>
      </c>
      <c r="L4324" s="5">
        <f t="shared" si="521"/>
        <v>10</v>
      </c>
      <c r="M4324" s="5">
        <f t="shared" si="522"/>
        <v>2012</v>
      </c>
    </row>
    <row r="4325" spans="1:13" ht="17.45" customHeight="1" x14ac:dyDescent="0.25">
      <c r="A4325" s="1">
        <f>DATE(2012,10,24)</f>
        <v>41206</v>
      </c>
      <c r="B4325" t="s">
        <v>22</v>
      </c>
      <c r="C4325" t="s">
        <v>10</v>
      </c>
      <c r="D4325" s="3">
        <v>42.499499999999998</v>
      </c>
      <c r="E4325" s="3">
        <v>0</v>
      </c>
      <c r="F4325" t="s">
        <v>45</v>
      </c>
      <c r="G4325" s="3">
        <f t="shared" si="516"/>
        <v>-42.499499999999998</v>
      </c>
      <c r="H4325" s="3">
        <f t="shared" si="517"/>
        <v>42.499499999999998</v>
      </c>
      <c r="I4325" s="5" t="str">
        <f t="shared" si="518"/>
        <v>018</v>
      </c>
      <c r="J4325" s="5" t="str">
        <f t="shared" si="519"/>
        <v>2230</v>
      </c>
      <c r="K4325" s="5" t="str">
        <f t="shared" si="520"/>
        <v>000</v>
      </c>
      <c r="L4325" s="5">
        <f t="shared" si="521"/>
        <v>10</v>
      </c>
      <c r="M4325" s="5">
        <f t="shared" si="522"/>
        <v>2012</v>
      </c>
    </row>
    <row r="4326" spans="1:13" ht="17.45" customHeight="1" x14ac:dyDescent="0.25">
      <c r="A4326" s="1">
        <f>DATE(2012,10,25)</f>
        <v>41207</v>
      </c>
      <c r="B4326" t="s">
        <v>19</v>
      </c>
      <c r="C4326" t="s">
        <v>6</v>
      </c>
      <c r="D4326" s="3">
        <v>4143.2236999999996</v>
      </c>
      <c r="E4326" s="3">
        <v>0</v>
      </c>
      <c r="F4326" t="s">
        <v>45</v>
      </c>
      <c r="G4326" s="3">
        <f t="shared" si="516"/>
        <v>-4143.2236999999996</v>
      </c>
      <c r="H4326" s="3">
        <f t="shared" si="517"/>
        <v>4143.2236999999996</v>
      </c>
      <c r="I4326" s="5" t="str">
        <f t="shared" si="518"/>
        <v>018</v>
      </c>
      <c r="J4326" s="5" t="str">
        <f t="shared" si="519"/>
        <v>2100</v>
      </c>
      <c r="K4326" s="5" t="str">
        <f t="shared" si="520"/>
        <v>000</v>
      </c>
      <c r="L4326" s="5">
        <f t="shared" si="521"/>
        <v>10</v>
      </c>
      <c r="M4326" s="5">
        <f t="shared" si="522"/>
        <v>2012</v>
      </c>
    </row>
    <row r="4327" spans="1:13" ht="17.45" customHeight="1" x14ac:dyDescent="0.25">
      <c r="A4327" s="1">
        <f>DATE(2012,10,25)</f>
        <v>41207</v>
      </c>
      <c r="B4327" t="s">
        <v>20</v>
      </c>
      <c r="C4327" t="s">
        <v>8</v>
      </c>
      <c r="D4327" s="3">
        <v>913.15350000000001</v>
      </c>
      <c r="E4327" s="3">
        <v>0</v>
      </c>
      <c r="F4327" t="s">
        <v>45</v>
      </c>
      <c r="G4327" s="3">
        <f t="shared" si="516"/>
        <v>-913.15350000000001</v>
      </c>
      <c r="H4327" s="3">
        <f t="shared" si="517"/>
        <v>913.15350000000001</v>
      </c>
      <c r="I4327" s="5" t="str">
        <f t="shared" si="518"/>
        <v>018</v>
      </c>
      <c r="J4327" s="5" t="str">
        <f t="shared" si="519"/>
        <v>2210</v>
      </c>
      <c r="K4327" s="5" t="str">
        <f t="shared" si="520"/>
        <v>000</v>
      </c>
      <c r="L4327" s="5">
        <f t="shared" si="521"/>
        <v>10</v>
      </c>
      <c r="M4327" s="5">
        <f t="shared" si="522"/>
        <v>2012</v>
      </c>
    </row>
    <row r="4328" spans="1:13" ht="17.45" customHeight="1" x14ac:dyDescent="0.25">
      <c r="A4328" s="1">
        <f>DATE(2012,10,25)</f>
        <v>41207</v>
      </c>
      <c r="B4328" t="s">
        <v>21</v>
      </c>
      <c r="C4328" t="s">
        <v>9</v>
      </c>
      <c r="D4328" s="3">
        <v>284.80500000000001</v>
      </c>
      <c r="E4328" s="3">
        <v>0</v>
      </c>
      <c r="F4328" t="s">
        <v>45</v>
      </c>
      <c r="G4328" s="3">
        <f t="shared" si="516"/>
        <v>-284.80500000000001</v>
      </c>
      <c r="H4328" s="3">
        <f t="shared" si="517"/>
        <v>284.80500000000001</v>
      </c>
      <c r="I4328" s="5" t="str">
        <f t="shared" si="518"/>
        <v>018</v>
      </c>
      <c r="J4328" s="5" t="str">
        <f t="shared" si="519"/>
        <v>2220</v>
      </c>
      <c r="K4328" s="5" t="str">
        <f t="shared" si="520"/>
        <v>000</v>
      </c>
      <c r="L4328" s="5">
        <f t="shared" si="521"/>
        <v>10</v>
      </c>
      <c r="M4328" s="5">
        <f t="shared" si="522"/>
        <v>2012</v>
      </c>
    </row>
    <row r="4329" spans="1:13" ht="17.45" customHeight="1" x14ac:dyDescent="0.25">
      <c r="A4329" s="1">
        <f>DATE(2012,10,25)</f>
        <v>41207</v>
      </c>
      <c r="B4329" t="s">
        <v>22</v>
      </c>
      <c r="C4329" t="s">
        <v>10</v>
      </c>
      <c r="D4329" s="3">
        <v>76.679999999999993</v>
      </c>
      <c r="E4329" s="3">
        <v>0</v>
      </c>
      <c r="F4329" t="s">
        <v>45</v>
      </c>
      <c r="G4329" s="3">
        <f t="shared" si="516"/>
        <v>-76.679999999999993</v>
      </c>
      <c r="H4329" s="3">
        <f t="shared" si="517"/>
        <v>76.679999999999993</v>
      </c>
      <c r="I4329" s="5" t="str">
        <f t="shared" si="518"/>
        <v>018</v>
      </c>
      <c r="J4329" s="5" t="str">
        <f t="shared" si="519"/>
        <v>2230</v>
      </c>
      <c r="K4329" s="5" t="str">
        <f t="shared" si="520"/>
        <v>000</v>
      </c>
      <c r="L4329" s="5">
        <f t="shared" si="521"/>
        <v>10</v>
      </c>
      <c r="M4329" s="5">
        <f t="shared" si="522"/>
        <v>2012</v>
      </c>
    </row>
    <row r="4330" spans="1:13" ht="17.45" customHeight="1" x14ac:dyDescent="0.25">
      <c r="A4330" s="1">
        <f>DATE(2012,10,26)</f>
        <v>41208</v>
      </c>
      <c r="B4330" t="s">
        <v>19</v>
      </c>
      <c r="C4330" t="s">
        <v>6</v>
      </c>
      <c r="D4330" s="3">
        <v>11394.009</v>
      </c>
      <c r="E4330" s="3">
        <v>0</v>
      </c>
      <c r="F4330" t="s">
        <v>45</v>
      </c>
      <c r="G4330" s="3">
        <f t="shared" si="516"/>
        <v>-11394.009</v>
      </c>
      <c r="H4330" s="3">
        <f t="shared" si="517"/>
        <v>11394.009</v>
      </c>
      <c r="I4330" s="5" t="str">
        <f t="shared" si="518"/>
        <v>018</v>
      </c>
      <c r="J4330" s="5" t="str">
        <f t="shared" si="519"/>
        <v>2100</v>
      </c>
      <c r="K4330" s="5" t="str">
        <f t="shared" si="520"/>
        <v>000</v>
      </c>
      <c r="L4330" s="5">
        <f t="shared" si="521"/>
        <v>10</v>
      </c>
      <c r="M4330" s="5">
        <f t="shared" si="522"/>
        <v>2012</v>
      </c>
    </row>
    <row r="4331" spans="1:13" ht="17.45" customHeight="1" x14ac:dyDescent="0.25">
      <c r="A4331" s="1">
        <f>DATE(2012,10,26)</f>
        <v>41208</v>
      </c>
      <c r="B4331" t="s">
        <v>20</v>
      </c>
      <c r="C4331" t="s">
        <v>8</v>
      </c>
      <c r="D4331" s="3">
        <v>2193.8560000000002</v>
      </c>
      <c r="E4331" s="3">
        <v>0</v>
      </c>
      <c r="F4331" t="s">
        <v>45</v>
      </c>
      <c r="G4331" s="3">
        <f t="shared" si="516"/>
        <v>-2193.8560000000002</v>
      </c>
      <c r="H4331" s="3">
        <f t="shared" si="517"/>
        <v>2193.8560000000002</v>
      </c>
      <c r="I4331" s="5" t="str">
        <f t="shared" si="518"/>
        <v>018</v>
      </c>
      <c r="J4331" s="5" t="str">
        <f t="shared" si="519"/>
        <v>2210</v>
      </c>
      <c r="K4331" s="5" t="str">
        <f t="shared" si="520"/>
        <v>000</v>
      </c>
      <c r="L4331" s="5">
        <f t="shared" si="521"/>
        <v>10</v>
      </c>
      <c r="M4331" s="5">
        <f t="shared" si="522"/>
        <v>2012</v>
      </c>
    </row>
    <row r="4332" spans="1:13" ht="17.45" customHeight="1" x14ac:dyDescent="0.25">
      <c r="A4332" s="1">
        <f>DATE(2012,10,26)</f>
        <v>41208</v>
      </c>
      <c r="B4332" t="s">
        <v>21</v>
      </c>
      <c r="C4332" t="s">
        <v>9</v>
      </c>
      <c r="D4332" s="3">
        <v>1029.5039999999999</v>
      </c>
      <c r="E4332" s="3">
        <v>0</v>
      </c>
      <c r="F4332" t="s">
        <v>45</v>
      </c>
      <c r="G4332" s="3">
        <f t="shared" si="516"/>
        <v>-1029.5039999999999</v>
      </c>
      <c r="H4332" s="3">
        <f t="shared" si="517"/>
        <v>1029.5039999999999</v>
      </c>
      <c r="I4332" s="5" t="str">
        <f t="shared" si="518"/>
        <v>018</v>
      </c>
      <c r="J4332" s="5" t="str">
        <f t="shared" si="519"/>
        <v>2220</v>
      </c>
      <c r="K4332" s="5" t="str">
        <f t="shared" si="520"/>
        <v>000</v>
      </c>
      <c r="L4332" s="5">
        <f t="shared" si="521"/>
        <v>10</v>
      </c>
      <c r="M4332" s="5">
        <f t="shared" si="522"/>
        <v>2012</v>
      </c>
    </row>
    <row r="4333" spans="1:13" ht="17.45" customHeight="1" x14ac:dyDescent="0.25">
      <c r="A4333" s="1">
        <f>DATE(2012,10,26)</f>
        <v>41208</v>
      </c>
      <c r="B4333" t="s">
        <v>22</v>
      </c>
      <c r="C4333" t="s">
        <v>10</v>
      </c>
      <c r="D4333" s="3">
        <v>117.33450000000001</v>
      </c>
      <c r="E4333" s="3">
        <v>0</v>
      </c>
      <c r="F4333" t="s">
        <v>45</v>
      </c>
      <c r="G4333" s="3">
        <f t="shared" si="516"/>
        <v>-117.33450000000001</v>
      </c>
      <c r="H4333" s="3">
        <f t="shared" si="517"/>
        <v>117.33450000000001</v>
      </c>
      <c r="I4333" s="5" t="str">
        <f t="shared" si="518"/>
        <v>018</v>
      </c>
      <c r="J4333" s="5" t="str">
        <f t="shared" si="519"/>
        <v>2230</v>
      </c>
      <c r="K4333" s="5" t="str">
        <f t="shared" si="520"/>
        <v>000</v>
      </c>
      <c r="L4333" s="5">
        <f t="shared" si="521"/>
        <v>10</v>
      </c>
      <c r="M4333" s="5">
        <f t="shared" si="522"/>
        <v>2012</v>
      </c>
    </row>
    <row r="4334" spans="1:13" ht="17.45" customHeight="1" x14ac:dyDescent="0.25">
      <c r="A4334" s="1">
        <f>DATE(2012,10,27)</f>
        <v>41209</v>
      </c>
      <c r="B4334" t="s">
        <v>19</v>
      </c>
      <c r="C4334" t="s">
        <v>6</v>
      </c>
      <c r="D4334" s="3">
        <v>13137.254999999999</v>
      </c>
      <c r="E4334" s="3">
        <v>0</v>
      </c>
      <c r="F4334" t="s">
        <v>45</v>
      </c>
      <c r="G4334" s="3">
        <f t="shared" si="516"/>
        <v>-13137.254999999999</v>
      </c>
      <c r="H4334" s="3">
        <f t="shared" si="517"/>
        <v>13137.254999999999</v>
      </c>
      <c r="I4334" s="5" t="str">
        <f t="shared" si="518"/>
        <v>018</v>
      </c>
      <c r="J4334" s="5" t="str">
        <f t="shared" si="519"/>
        <v>2100</v>
      </c>
      <c r="K4334" s="5" t="str">
        <f t="shared" si="520"/>
        <v>000</v>
      </c>
      <c r="L4334" s="5">
        <f t="shared" si="521"/>
        <v>10</v>
      </c>
      <c r="M4334" s="5">
        <f t="shared" si="522"/>
        <v>2012</v>
      </c>
    </row>
    <row r="4335" spans="1:13" ht="17.45" customHeight="1" x14ac:dyDescent="0.25">
      <c r="A4335" s="1">
        <f>DATE(2012,10,27)</f>
        <v>41209</v>
      </c>
      <c r="B4335" t="s">
        <v>20</v>
      </c>
      <c r="C4335" t="s">
        <v>8</v>
      </c>
      <c r="D4335" s="3">
        <v>2249.73</v>
      </c>
      <c r="E4335" s="3">
        <v>0</v>
      </c>
      <c r="F4335" t="s">
        <v>45</v>
      </c>
      <c r="G4335" s="3">
        <f t="shared" si="516"/>
        <v>-2249.73</v>
      </c>
      <c r="H4335" s="3">
        <f t="shared" si="517"/>
        <v>2249.73</v>
      </c>
      <c r="I4335" s="5" t="str">
        <f t="shared" si="518"/>
        <v>018</v>
      </c>
      <c r="J4335" s="5" t="str">
        <f t="shared" si="519"/>
        <v>2210</v>
      </c>
      <c r="K4335" s="5" t="str">
        <f t="shared" si="520"/>
        <v>000</v>
      </c>
      <c r="L4335" s="5">
        <f t="shared" si="521"/>
        <v>10</v>
      </c>
      <c r="M4335" s="5">
        <f t="shared" si="522"/>
        <v>2012</v>
      </c>
    </row>
    <row r="4336" spans="1:13" ht="17.45" customHeight="1" x14ac:dyDescent="0.25">
      <c r="A4336" s="1">
        <f>DATE(2012,10,27)</f>
        <v>41209</v>
      </c>
      <c r="B4336" t="s">
        <v>21</v>
      </c>
      <c r="C4336" t="s">
        <v>9</v>
      </c>
      <c r="D4336" s="3">
        <v>582.048</v>
      </c>
      <c r="E4336" s="3">
        <v>0</v>
      </c>
      <c r="F4336" t="s">
        <v>45</v>
      </c>
      <c r="G4336" s="3">
        <f t="shared" si="516"/>
        <v>-582.048</v>
      </c>
      <c r="H4336" s="3">
        <f t="shared" si="517"/>
        <v>582.048</v>
      </c>
      <c r="I4336" s="5" t="str">
        <f t="shared" si="518"/>
        <v>018</v>
      </c>
      <c r="J4336" s="5" t="str">
        <f t="shared" si="519"/>
        <v>2220</v>
      </c>
      <c r="K4336" s="5" t="str">
        <f t="shared" si="520"/>
        <v>000</v>
      </c>
      <c r="L4336" s="5">
        <f t="shared" si="521"/>
        <v>10</v>
      </c>
      <c r="M4336" s="5">
        <f t="shared" si="522"/>
        <v>2012</v>
      </c>
    </row>
    <row r="4337" spans="1:13" ht="17.45" customHeight="1" x14ac:dyDescent="0.25">
      <c r="A4337" s="1">
        <f>DATE(2012,10,27)</f>
        <v>41209</v>
      </c>
      <c r="B4337" t="s">
        <v>22</v>
      </c>
      <c r="C4337" t="s">
        <v>10</v>
      </c>
      <c r="D4337" s="3">
        <v>327.19050000000004</v>
      </c>
      <c r="E4337" s="3">
        <v>0</v>
      </c>
      <c r="F4337" t="s">
        <v>45</v>
      </c>
      <c r="G4337" s="3">
        <f t="shared" si="516"/>
        <v>-327.19050000000004</v>
      </c>
      <c r="H4337" s="3">
        <f t="shared" si="517"/>
        <v>327.19050000000004</v>
      </c>
      <c r="I4337" s="5" t="str">
        <f t="shared" si="518"/>
        <v>018</v>
      </c>
      <c r="J4337" s="5" t="str">
        <f t="shared" si="519"/>
        <v>2230</v>
      </c>
      <c r="K4337" s="5" t="str">
        <f t="shared" si="520"/>
        <v>000</v>
      </c>
      <c r="L4337" s="5">
        <f t="shared" si="521"/>
        <v>10</v>
      </c>
      <c r="M4337" s="5">
        <f t="shared" si="522"/>
        <v>2012</v>
      </c>
    </row>
    <row r="4338" spans="1:13" ht="17.45" customHeight="1" x14ac:dyDescent="0.25">
      <c r="A4338" s="1">
        <f>DATE(2012,10,28)</f>
        <v>41210</v>
      </c>
      <c r="B4338" t="s">
        <v>19</v>
      </c>
      <c r="C4338" t="s">
        <v>6</v>
      </c>
      <c r="D4338" s="3">
        <v>8836.7840000000015</v>
      </c>
      <c r="E4338" s="3">
        <v>0</v>
      </c>
      <c r="F4338" t="s">
        <v>45</v>
      </c>
      <c r="G4338" s="3">
        <f t="shared" si="516"/>
        <v>-8836.7840000000015</v>
      </c>
      <c r="H4338" s="3">
        <f t="shared" si="517"/>
        <v>8836.7840000000015</v>
      </c>
      <c r="I4338" s="5" t="str">
        <f t="shared" si="518"/>
        <v>018</v>
      </c>
      <c r="J4338" s="5" t="str">
        <f t="shared" si="519"/>
        <v>2100</v>
      </c>
      <c r="K4338" s="5" t="str">
        <f t="shared" si="520"/>
        <v>000</v>
      </c>
      <c r="L4338" s="5">
        <f t="shared" si="521"/>
        <v>10</v>
      </c>
      <c r="M4338" s="5">
        <f t="shared" si="522"/>
        <v>2012</v>
      </c>
    </row>
    <row r="4339" spans="1:13" ht="17.45" customHeight="1" x14ac:dyDescent="0.25">
      <c r="A4339" s="1">
        <f>DATE(2012,10,28)</f>
        <v>41210</v>
      </c>
      <c r="B4339" t="s">
        <v>20</v>
      </c>
      <c r="C4339" t="s">
        <v>8</v>
      </c>
      <c r="D4339" s="3">
        <v>854.84800000000007</v>
      </c>
      <c r="E4339" s="3">
        <v>0</v>
      </c>
      <c r="F4339" t="s">
        <v>45</v>
      </c>
      <c r="G4339" s="3">
        <f t="shared" si="516"/>
        <v>-854.84800000000007</v>
      </c>
      <c r="H4339" s="3">
        <f t="shared" si="517"/>
        <v>854.84800000000007</v>
      </c>
      <c r="I4339" s="5" t="str">
        <f t="shared" si="518"/>
        <v>018</v>
      </c>
      <c r="J4339" s="5" t="str">
        <f t="shared" si="519"/>
        <v>2210</v>
      </c>
      <c r="K4339" s="5" t="str">
        <f t="shared" si="520"/>
        <v>000</v>
      </c>
      <c r="L4339" s="5">
        <f t="shared" si="521"/>
        <v>10</v>
      </c>
      <c r="M4339" s="5">
        <f t="shared" si="522"/>
        <v>2012</v>
      </c>
    </row>
    <row r="4340" spans="1:13" ht="17.45" customHeight="1" x14ac:dyDescent="0.25">
      <c r="A4340" s="1">
        <f>DATE(2012,10,28)</f>
        <v>41210</v>
      </c>
      <c r="B4340" t="s">
        <v>21</v>
      </c>
      <c r="C4340" t="s">
        <v>9</v>
      </c>
      <c r="D4340" s="3">
        <v>194.73749999999998</v>
      </c>
      <c r="E4340" s="3">
        <v>0</v>
      </c>
      <c r="F4340" t="s">
        <v>45</v>
      </c>
      <c r="G4340" s="3">
        <f t="shared" si="516"/>
        <v>-194.73749999999998</v>
      </c>
      <c r="H4340" s="3">
        <f t="shared" si="517"/>
        <v>194.73749999999998</v>
      </c>
      <c r="I4340" s="5" t="str">
        <f t="shared" si="518"/>
        <v>018</v>
      </c>
      <c r="J4340" s="5" t="str">
        <f t="shared" si="519"/>
        <v>2220</v>
      </c>
      <c r="K4340" s="5" t="str">
        <f t="shared" si="520"/>
        <v>000</v>
      </c>
      <c r="L4340" s="5">
        <f t="shared" si="521"/>
        <v>10</v>
      </c>
      <c r="M4340" s="5">
        <f t="shared" si="522"/>
        <v>2012</v>
      </c>
    </row>
    <row r="4341" spans="1:13" ht="17.45" customHeight="1" x14ac:dyDescent="0.25">
      <c r="A4341" s="1">
        <f>DATE(2012,10,28)</f>
        <v>41210</v>
      </c>
      <c r="B4341" t="s">
        <v>22</v>
      </c>
      <c r="C4341" t="s">
        <v>10</v>
      </c>
      <c r="D4341" s="3">
        <v>46.294999999999995</v>
      </c>
      <c r="E4341" s="3">
        <v>0</v>
      </c>
      <c r="F4341" t="s">
        <v>45</v>
      </c>
      <c r="G4341" s="3">
        <f t="shared" si="516"/>
        <v>-46.294999999999995</v>
      </c>
      <c r="H4341" s="3">
        <f t="shared" si="517"/>
        <v>46.294999999999995</v>
      </c>
      <c r="I4341" s="5" t="str">
        <f t="shared" si="518"/>
        <v>018</v>
      </c>
      <c r="J4341" s="5" t="str">
        <f t="shared" si="519"/>
        <v>2230</v>
      </c>
      <c r="K4341" s="5" t="str">
        <f t="shared" si="520"/>
        <v>000</v>
      </c>
      <c r="L4341" s="5">
        <f t="shared" si="521"/>
        <v>10</v>
      </c>
      <c r="M4341" s="5">
        <f t="shared" si="522"/>
        <v>2012</v>
      </c>
    </row>
    <row r="4342" spans="1:13" ht="15" x14ac:dyDescent="0.25">
      <c r="A4342" s="1">
        <f>DATE(2012,10,29)</f>
        <v>41211</v>
      </c>
      <c r="B4342" t="s">
        <v>11</v>
      </c>
      <c r="C4342" t="s">
        <v>6</v>
      </c>
      <c r="D4342" s="3">
        <v>2039.7498000000001</v>
      </c>
      <c r="E4342" s="3">
        <v>0</v>
      </c>
      <c r="F4342" t="s">
        <v>45</v>
      </c>
      <c r="G4342" s="3">
        <f t="shared" si="516"/>
        <v>-2039.7498000000001</v>
      </c>
      <c r="H4342" s="3">
        <f t="shared" si="517"/>
        <v>2039.7498000000001</v>
      </c>
      <c r="I4342" s="5" t="str">
        <f t="shared" si="518"/>
        <v>016</v>
      </c>
      <c r="J4342" s="5" t="str">
        <f t="shared" si="519"/>
        <v>2100</v>
      </c>
      <c r="K4342" s="5" t="str">
        <f t="shared" si="520"/>
        <v>000</v>
      </c>
      <c r="L4342" s="5">
        <f t="shared" si="521"/>
        <v>10</v>
      </c>
      <c r="M4342" s="5">
        <f t="shared" si="522"/>
        <v>2012</v>
      </c>
    </row>
    <row r="4343" spans="1:13" ht="15" x14ac:dyDescent="0.25">
      <c r="A4343" s="1">
        <f>DATE(2012,10,29)</f>
        <v>41211</v>
      </c>
      <c r="B4343" t="s">
        <v>12</v>
      </c>
      <c r="C4343" t="s">
        <v>8</v>
      </c>
      <c r="D4343" s="3">
        <v>483.59999999999997</v>
      </c>
      <c r="E4343" s="3">
        <v>0</v>
      </c>
      <c r="F4343" t="s">
        <v>45</v>
      </c>
      <c r="G4343" s="3">
        <f t="shared" si="516"/>
        <v>-483.59999999999997</v>
      </c>
      <c r="H4343" s="3">
        <f t="shared" si="517"/>
        <v>483.59999999999997</v>
      </c>
      <c r="I4343" s="5" t="str">
        <f t="shared" si="518"/>
        <v>016</v>
      </c>
      <c r="J4343" s="5" t="str">
        <f t="shared" si="519"/>
        <v>2210</v>
      </c>
      <c r="K4343" s="5" t="str">
        <f t="shared" si="520"/>
        <v>000</v>
      </c>
      <c r="L4343" s="5">
        <f t="shared" si="521"/>
        <v>10</v>
      </c>
      <c r="M4343" s="5">
        <f t="shared" si="522"/>
        <v>2012</v>
      </c>
    </row>
    <row r="4344" spans="1:13" ht="15" x14ac:dyDescent="0.25">
      <c r="A4344" s="1">
        <f>DATE(2012,10,29)</f>
        <v>41211</v>
      </c>
      <c r="B4344" t="s">
        <v>13</v>
      </c>
      <c r="C4344" t="s">
        <v>9</v>
      </c>
      <c r="D4344" s="3">
        <v>108.73199999999999</v>
      </c>
      <c r="E4344" s="3">
        <v>0</v>
      </c>
      <c r="F4344" t="s">
        <v>45</v>
      </c>
      <c r="G4344" s="3">
        <f t="shared" si="516"/>
        <v>-108.73199999999999</v>
      </c>
      <c r="H4344" s="3">
        <f t="shared" si="517"/>
        <v>108.73199999999999</v>
      </c>
      <c r="I4344" s="5" t="str">
        <f t="shared" si="518"/>
        <v>016</v>
      </c>
      <c r="J4344" s="5" t="str">
        <f t="shared" si="519"/>
        <v>2220</v>
      </c>
      <c r="K4344" s="5" t="str">
        <f t="shared" si="520"/>
        <v>000</v>
      </c>
      <c r="L4344" s="5">
        <f t="shared" si="521"/>
        <v>10</v>
      </c>
      <c r="M4344" s="5">
        <f t="shared" si="522"/>
        <v>2012</v>
      </c>
    </row>
    <row r="4345" spans="1:13" ht="15" x14ac:dyDescent="0.25">
      <c r="A4345" s="1">
        <f>DATE(2012,10,29)</f>
        <v>41211</v>
      </c>
      <c r="B4345" t="s">
        <v>14</v>
      </c>
      <c r="C4345" t="s">
        <v>10</v>
      </c>
      <c r="D4345" s="3">
        <v>50.704499999999996</v>
      </c>
      <c r="E4345" s="3">
        <v>0</v>
      </c>
      <c r="F4345" t="s">
        <v>45</v>
      </c>
      <c r="G4345" s="3">
        <f t="shared" si="516"/>
        <v>-50.704499999999996</v>
      </c>
      <c r="H4345" s="3">
        <f t="shared" si="517"/>
        <v>50.704499999999996</v>
      </c>
      <c r="I4345" s="5" t="str">
        <f t="shared" si="518"/>
        <v>016</v>
      </c>
      <c r="J4345" s="5" t="str">
        <f t="shared" si="519"/>
        <v>2230</v>
      </c>
      <c r="K4345" s="5" t="str">
        <f t="shared" si="520"/>
        <v>000</v>
      </c>
      <c r="L4345" s="5">
        <f t="shared" si="521"/>
        <v>10</v>
      </c>
      <c r="M4345" s="5">
        <f t="shared" si="522"/>
        <v>2012</v>
      </c>
    </row>
    <row r="4346" spans="1:13" ht="15" x14ac:dyDescent="0.25">
      <c r="A4346" s="1">
        <f>DATE(2012,10,30)</f>
        <v>41212</v>
      </c>
      <c r="B4346" t="s">
        <v>11</v>
      </c>
      <c r="C4346" t="s">
        <v>6</v>
      </c>
      <c r="D4346" s="3">
        <v>4855.7047000000002</v>
      </c>
      <c r="E4346" s="3">
        <v>0</v>
      </c>
      <c r="F4346" t="s">
        <v>45</v>
      </c>
      <c r="G4346" s="3">
        <f t="shared" si="516"/>
        <v>-4855.7047000000002</v>
      </c>
      <c r="H4346" s="3">
        <f t="shared" si="517"/>
        <v>4855.7047000000002</v>
      </c>
      <c r="I4346" s="5" t="str">
        <f t="shared" si="518"/>
        <v>016</v>
      </c>
      <c r="J4346" s="5" t="str">
        <f t="shared" si="519"/>
        <v>2100</v>
      </c>
      <c r="K4346" s="5" t="str">
        <f t="shared" si="520"/>
        <v>000</v>
      </c>
      <c r="L4346" s="5">
        <f t="shared" si="521"/>
        <v>10</v>
      </c>
      <c r="M4346" s="5">
        <f t="shared" si="522"/>
        <v>2012</v>
      </c>
    </row>
    <row r="4347" spans="1:13" ht="15" x14ac:dyDescent="0.25">
      <c r="A4347" s="1">
        <f>DATE(2012,10,30)</f>
        <v>41212</v>
      </c>
      <c r="B4347" t="s">
        <v>12</v>
      </c>
      <c r="C4347" t="s">
        <v>8</v>
      </c>
      <c r="D4347" s="3">
        <v>1965.4290000000001</v>
      </c>
      <c r="E4347" s="3">
        <v>0</v>
      </c>
      <c r="F4347" t="s">
        <v>45</v>
      </c>
      <c r="G4347" s="3">
        <f t="shared" si="516"/>
        <v>-1965.4290000000001</v>
      </c>
      <c r="H4347" s="3">
        <f t="shared" si="517"/>
        <v>1965.4290000000001</v>
      </c>
      <c r="I4347" s="5" t="str">
        <f t="shared" si="518"/>
        <v>016</v>
      </c>
      <c r="J4347" s="5" t="str">
        <f t="shared" si="519"/>
        <v>2210</v>
      </c>
      <c r="K4347" s="5" t="str">
        <f t="shared" si="520"/>
        <v>000</v>
      </c>
      <c r="L4347" s="5">
        <f t="shared" si="521"/>
        <v>10</v>
      </c>
      <c r="M4347" s="5">
        <f t="shared" si="522"/>
        <v>2012</v>
      </c>
    </row>
    <row r="4348" spans="1:13" ht="15" x14ac:dyDescent="0.25">
      <c r="A4348" s="1">
        <f>DATE(2012,10,30)</f>
        <v>41212</v>
      </c>
      <c r="B4348" t="s">
        <v>13</v>
      </c>
      <c r="C4348" t="s">
        <v>9</v>
      </c>
      <c r="D4348" s="3">
        <v>701.61839999999995</v>
      </c>
      <c r="E4348" s="3">
        <v>0</v>
      </c>
      <c r="F4348" t="s">
        <v>45</v>
      </c>
      <c r="G4348" s="3">
        <f t="shared" si="516"/>
        <v>-701.61839999999995</v>
      </c>
      <c r="H4348" s="3">
        <f t="shared" si="517"/>
        <v>701.61839999999995</v>
      </c>
      <c r="I4348" s="5" t="str">
        <f t="shared" si="518"/>
        <v>016</v>
      </c>
      <c r="J4348" s="5" t="str">
        <f t="shared" si="519"/>
        <v>2220</v>
      </c>
      <c r="K4348" s="5" t="str">
        <f t="shared" si="520"/>
        <v>000</v>
      </c>
      <c r="L4348" s="5">
        <f t="shared" si="521"/>
        <v>10</v>
      </c>
      <c r="M4348" s="5">
        <f t="shared" si="522"/>
        <v>2012</v>
      </c>
    </row>
    <row r="4349" spans="1:13" ht="15" x14ac:dyDescent="0.25">
      <c r="A4349" s="1">
        <f>DATE(2012,10,30)</f>
        <v>41212</v>
      </c>
      <c r="B4349" t="s">
        <v>14</v>
      </c>
      <c r="C4349" t="s">
        <v>10</v>
      </c>
      <c r="D4349" s="3">
        <v>121.337</v>
      </c>
      <c r="E4349" s="3">
        <v>0</v>
      </c>
      <c r="F4349" t="s">
        <v>45</v>
      </c>
      <c r="G4349" s="3">
        <f t="shared" si="516"/>
        <v>-121.337</v>
      </c>
      <c r="H4349" s="3">
        <f t="shared" si="517"/>
        <v>121.337</v>
      </c>
      <c r="I4349" s="5" t="str">
        <f t="shared" si="518"/>
        <v>016</v>
      </c>
      <c r="J4349" s="5" t="str">
        <f t="shared" si="519"/>
        <v>2230</v>
      </c>
      <c r="K4349" s="5" t="str">
        <f t="shared" si="520"/>
        <v>000</v>
      </c>
      <c r="L4349" s="5">
        <f t="shared" si="521"/>
        <v>10</v>
      </c>
      <c r="M4349" s="5">
        <f t="shared" si="522"/>
        <v>2012</v>
      </c>
    </row>
    <row r="4350" spans="1:13" ht="15" x14ac:dyDescent="0.25">
      <c r="A4350" s="1">
        <f>DATE(2012,10,31)</f>
        <v>41213</v>
      </c>
      <c r="B4350" t="s">
        <v>11</v>
      </c>
      <c r="C4350" t="s">
        <v>6</v>
      </c>
      <c r="D4350" s="3">
        <v>2297.0198</v>
      </c>
      <c r="E4350" s="3">
        <v>0</v>
      </c>
      <c r="F4350" t="s">
        <v>45</v>
      </c>
      <c r="G4350" s="3">
        <f t="shared" si="516"/>
        <v>-2297.0198</v>
      </c>
      <c r="H4350" s="3">
        <f t="shared" si="517"/>
        <v>2297.0198</v>
      </c>
      <c r="I4350" s="5" t="str">
        <f t="shared" si="518"/>
        <v>016</v>
      </c>
      <c r="J4350" s="5" t="str">
        <f t="shared" si="519"/>
        <v>2100</v>
      </c>
      <c r="K4350" s="5" t="str">
        <f t="shared" si="520"/>
        <v>000</v>
      </c>
      <c r="L4350" s="5">
        <f t="shared" si="521"/>
        <v>10</v>
      </c>
      <c r="M4350" s="5">
        <f t="shared" si="522"/>
        <v>2012</v>
      </c>
    </row>
    <row r="4351" spans="1:13" ht="15" x14ac:dyDescent="0.25">
      <c r="A4351" s="1">
        <f>DATE(2012,10,31)</f>
        <v>41213</v>
      </c>
      <c r="B4351" t="s">
        <v>12</v>
      </c>
      <c r="C4351" t="s">
        <v>8</v>
      </c>
      <c r="D4351" s="3">
        <v>690.6825</v>
      </c>
      <c r="E4351" s="3">
        <v>0</v>
      </c>
      <c r="F4351" t="s">
        <v>45</v>
      </c>
      <c r="G4351" s="3">
        <f t="shared" si="516"/>
        <v>-690.6825</v>
      </c>
      <c r="H4351" s="3">
        <f t="shared" si="517"/>
        <v>690.6825</v>
      </c>
      <c r="I4351" s="5" t="str">
        <f t="shared" si="518"/>
        <v>016</v>
      </c>
      <c r="J4351" s="5" t="str">
        <f t="shared" si="519"/>
        <v>2210</v>
      </c>
      <c r="K4351" s="5" t="str">
        <f t="shared" si="520"/>
        <v>000</v>
      </c>
      <c r="L4351" s="5">
        <f t="shared" si="521"/>
        <v>10</v>
      </c>
      <c r="M4351" s="5">
        <f t="shared" si="522"/>
        <v>2012</v>
      </c>
    </row>
    <row r="4352" spans="1:13" ht="15" x14ac:dyDescent="0.25">
      <c r="A4352" s="1">
        <f>DATE(2012,10,31)</f>
        <v>41213</v>
      </c>
      <c r="B4352" t="s">
        <v>13</v>
      </c>
      <c r="C4352" t="s">
        <v>9</v>
      </c>
      <c r="D4352" s="3">
        <v>94.784999999999997</v>
      </c>
      <c r="E4352" s="3">
        <v>0</v>
      </c>
      <c r="F4352" t="s">
        <v>45</v>
      </c>
      <c r="G4352" s="3">
        <f t="shared" si="516"/>
        <v>-94.784999999999997</v>
      </c>
      <c r="H4352" s="3">
        <f t="shared" si="517"/>
        <v>94.784999999999997</v>
      </c>
      <c r="I4352" s="5" t="str">
        <f t="shared" si="518"/>
        <v>016</v>
      </c>
      <c r="J4352" s="5" t="str">
        <f t="shared" si="519"/>
        <v>2220</v>
      </c>
      <c r="K4352" s="5" t="str">
        <f t="shared" si="520"/>
        <v>000</v>
      </c>
      <c r="L4352" s="5">
        <f t="shared" si="521"/>
        <v>10</v>
      </c>
      <c r="M4352" s="5">
        <f t="shared" si="522"/>
        <v>2012</v>
      </c>
    </row>
    <row r="4353" spans="1:13" ht="15" x14ac:dyDescent="0.25">
      <c r="A4353" s="1">
        <f>DATE(2012,10,31)</f>
        <v>41213</v>
      </c>
      <c r="B4353" t="s">
        <v>14</v>
      </c>
      <c r="C4353" t="s">
        <v>10</v>
      </c>
      <c r="D4353" s="3">
        <v>26.476499999999998</v>
      </c>
      <c r="E4353" s="3">
        <v>0</v>
      </c>
      <c r="F4353" t="s">
        <v>45</v>
      </c>
      <c r="G4353" s="3">
        <f t="shared" si="516"/>
        <v>-26.476499999999998</v>
      </c>
      <c r="H4353" s="3">
        <f t="shared" si="517"/>
        <v>26.476499999999998</v>
      </c>
      <c r="I4353" s="5" t="str">
        <f t="shared" si="518"/>
        <v>016</v>
      </c>
      <c r="J4353" s="5" t="str">
        <f t="shared" si="519"/>
        <v>2230</v>
      </c>
      <c r="K4353" s="5" t="str">
        <f t="shared" si="520"/>
        <v>000</v>
      </c>
      <c r="L4353" s="5">
        <f t="shared" si="521"/>
        <v>10</v>
      </c>
      <c r="M4353" s="5">
        <f t="shared" si="522"/>
        <v>2012</v>
      </c>
    </row>
    <row r="4354" spans="1:13" ht="15" x14ac:dyDescent="0.25">
      <c r="A4354" s="1">
        <f>DATE(2012,11,1)</f>
        <v>41214</v>
      </c>
      <c r="B4354" t="s">
        <v>11</v>
      </c>
      <c r="C4354" t="s">
        <v>6</v>
      </c>
      <c r="D4354" s="3">
        <v>5128.8839999999991</v>
      </c>
      <c r="E4354" s="3">
        <v>0</v>
      </c>
      <c r="F4354" t="s">
        <v>45</v>
      </c>
      <c r="G4354" s="3">
        <f t="shared" ref="G4354:G4417" si="523">E4354-D4354</f>
        <v>-5128.8839999999991</v>
      </c>
      <c r="H4354" s="3">
        <f t="shared" ref="H4354:H4417" si="524">ABS(G4354)</f>
        <v>5128.8839999999991</v>
      </c>
      <c r="I4354" s="5" t="str">
        <f t="shared" ref="I4354:I4417" si="525">MID(B4354,1,3)</f>
        <v>016</v>
      </c>
      <c r="J4354" s="5" t="str">
        <f t="shared" ref="J4354:J4417" si="526">MID(B4354,5,4)</f>
        <v>2100</v>
      </c>
      <c r="K4354" s="5" t="str">
        <f t="shared" ref="K4354:K4417" si="527">MID(B4354,10,3)</f>
        <v>000</v>
      </c>
      <c r="L4354" s="5">
        <f t="shared" ref="L4354:L4417" si="528">MONTH(A4354)</f>
        <v>11</v>
      </c>
      <c r="M4354" s="5">
        <f t="shared" ref="M4354:M4417" si="529">YEAR(A4354)</f>
        <v>2012</v>
      </c>
    </row>
    <row r="4355" spans="1:13" ht="15" x14ac:dyDescent="0.25">
      <c r="A4355" s="1">
        <f>DATE(2012,11,1)</f>
        <v>41214</v>
      </c>
      <c r="B4355" t="s">
        <v>12</v>
      </c>
      <c r="C4355" t="s">
        <v>8</v>
      </c>
      <c r="D4355" s="3">
        <v>4608.6066000000001</v>
      </c>
      <c r="E4355" s="3">
        <v>0</v>
      </c>
      <c r="F4355" t="s">
        <v>45</v>
      </c>
      <c r="G4355" s="3">
        <f t="shared" si="523"/>
        <v>-4608.6066000000001</v>
      </c>
      <c r="H4355" s="3">
        <f t="shared" si="524"/>
        <v>4608.6066000000001</v>
      </c>
      <c r="I4355" s="5" t="str">
        <f t="shared" si="525"/>
        <v>016</v>
      </c>
      <c r="J4355" s="5" t="str">
        <f t="shared" si="526"/>
        <v>2210</v>
      </c>
      <c r="K4355" s="5" t="str">
        <f t="shared" si="527"/>
        <v>000</v>
      </c>
      <c r="L4355" s="5">
        <f t="shared" si="528"/>
        <v>11</v>
      </c>
      <c r="M4355" s="5">
        <f t="shared" si="529"/>
        <v>2012</v>
      </c>
    </row>
    <row r="4356" spans="1:13" ht="15" x14ac:dyDescent="0.25">
      <c r="A4356" s="1">
        <f>DATE(2012,11,1)</f>
        <v>41214</v>
      </c>
      <c r="B4356" t="s">
        <v>13</v>
      </c>
      <c r="C4356" t="s">
        <v>9</v>
      </c>
      <c r="D4356" s="3">
        <v>1310.0175000000002</v>
      </c>
      <c r="E4356" s="3">
        <v>0</v>
      </c>
      <c r="F4356" t="s">
        <v>45</v>
      </c>
      <c r="G4356" s="3">
        <f t="shared" si="523"/>
        <v>-1310.0175000000002</v>
      </c>
      <c r="H4356" s="3">
        <f t="shared" si="524"/>
        <v>1310.0175000000002</v>
      </c>
      <c r="I4356" s="5" t="str">
        <f t="shared" si="525"/>
        <v>016</v>
      </c>
      <c r="J4356" s="5" t="str">
        <f t="shared" si="526"/>
        <v>2220</v>
      </c>
      <c r="K4356" s="5" t="str">
        <f t="shared" si="527"/>
        <v>000</v>
      </c>
      <c r="L4356" s="5">
        <f t="shared" si="528"/>
        <v>11</v>
      </c>
      <c r="M4356" s="5">
        <f t="shared" si="529"/>
        <v>2012</v>
      </c>
    </row>
    <row r="4357" spans="1:13" ht="15" x14ac:dyDescent="0.25">
      <c r="A4357" s="1">
        <f>DATE(2012,11,1)</f>
        <v>41214</v>
      </c>
      <c r="B4357" t="s">
        <v>14</v>
      </c>
      <c r="C4357" t="s">
        <v>10</v>
      </c>
      <c r="D4357" s="3">
        <v>306.31500000000005</v>
      </c>
      <c r="E4357" s="3">
        <v>0</v>
      </c>
      <c r="F4357" t="s">
        <v>45</v>
      </c>
      <c r="G4357" s="3">
        <f t="shared" si="523"/>
        <v>-306.31500000000005</v>
      </c>
      <c r="H4357" s="3">
        <f t="shared" si="524"/>
        <v>306.31500000000005</v>
      </c>
      <c r="I4357" s="5" t="str">
        <f t="shared" si="525"/>
        <v>016</v>
      </c>
      <c r="J4357" s="5" t="str">
        <f t="shared" si="526"/>
        <v>2230</v>
      </c>
      <c r="K4357" s="5" t="str">
        <f t="shared" si="527"/>
        <v>000</v>
      </c>
      <c r="L4357" s="5">
        <f t="shared" si="528"/>
        <v>11</v>
      </c>
      <c r="M4357" s="5">
        <f t="shared" si="529"/>
        <v>2012</v>
      </c>
    </row>
    <row r="4358" spans="1:13" ht="15" x14ac:dyDescent="0.25">
      <c r="A4358" s="1">
        <f>DATE(2012,11,2)</f>
        <v>41215</v>
      </c>
      <c r="B4358" t="s">
        <v>11</v>
      </c>
      <c r="C4358" t="s">
        <v>6</v>
      </c>
      <c r="D4358" s="3">
        <v>8706.5579999999991</v>
      </c>
      <c r="E4358" s="3">
        <v>0</v>
      </c>
      <c r="F4358" t="s">
        <v>45</v>
      </c>
      <c r="G4358" s="3">
        <f t="shared" si="523"/>
        <v>-8706.5579999999991</v>
      </c>
      <c r="H4358" s="3">
        <f t="shared" si="524"/>
        <v>8706.5579999999991</v>
      </c>
      <c r="I4358" s="5" t="str">
        <f t="shared" si="525"/>
        <v>016</v>
      </c>
      <c r="J4358" s="5" t="str">
        <f t="shared" si="526"/>
        <v>2100</v>
      </c>
      <c r="K4358" s="5" t="str">
        <f t="shared" si="527"/>
        <v>000</v>
      </c>
      <c r="L4358" s="5">
        <f t="shared" si="528"/>
        <v>11</v>
      </c>
      <c r="M4358" s="5">
        <f t="shared" si="529"/>
        <v>2012</v>
      </c>
    </row>
    <row r="4359" spans="1:13" ht="15" x14ac:dyDescent="0.25">
      <c r="A4359" s="1">
        <f>DATE(2012,11,2)</f>
        <v>41215</v>
      </c>
      <c r="B4359" t="s">
        <v>12</v>
      </c>
      <c r="C4359" t="s">
        <v>8</v>
      </c>
      <c r="D4359" s="3">
        <v>3940.288</v>
      </c>
      <c r="E4359" s="3">
        <v>0</v>
      </c>
      <c r="F4359" t="s">
        <v>45</v>
      </c>
      <c r="G4359" s="3">
        <f t="shared" si="523"/>
        <v>-3940.288</v>
      </c>
      <c r="H4359" s="3">
        <f t="shared" si="524"/>
        <v>3940.288</v>
      </c>
      <c r="I4359" s="5" t="str">
        <f t="shared" si="525"/>
        <v>016</v>
      </c>
      <c r="J4359" s="5" t="str">
        <f t="shared" si="526"/>
        <v>2210</v>
      </c>
      <c r="K4359" s="5" t="str">
        <f t="shared" si="527"/>
        <v>000</v>
      </c>
      <c r="L4359" s="5">
        <f t="shared" si="528"/>
        <v>11</v>
      </c>
      <c r="M4359" s="5">
        <f t="shared" si="529"/>
        <v>2012</v>
      </c>
    </row>
    <row r="4360" spans="1:13" ht="15" x14ac:dyDescent="0.25">
      <c r="A4360" s="1">
        <f>DATE(2012,11,2)</f>
        <v>41215</v>
      </c>
      <c r="B4360" t="s">
        <v>13</v>
      </c>
      <c r="C4360" t="s">
        <v>9</v>
      </c>
      <c r="D4360" s="3">
        <v>943.48800000000006</v>
      </c>
      <c r="E4360" s="3">
        <v>0</v>
      </c>
      <c r="F4360" t="s">
        <v>45</v>
      </c>
      <c r="G4360" s="3">
        <f t="shared" si="523"/>
        <v>-943.48800000000006</v>
      </c>
      <c r="H4360" s="3">
        <f t="shared" si="524"/>
        <v>943.48800000000006</v>
      </c>
      <c r="I4360" s="5" t="str">
        <f t="shared" si="525"/>
        <v>016</v>
      </c>
      <c r="J4360" s="5" t="str">
        <f t="shared" si="526"/>
        <v>2220</v>
      </c>
      <c r="K4360" s="5" t="str">
        <f t="shared" si="527"/>
        <v>000</v>
      </c>
      <c r="L4360" s="5">
        <f t="shared" si="528"/>
        <v>11</v>
      </c>
      <c r="M4360" s="5">
        <f t="shared" si="529"/>
        <v>2012</v>
      </c>
    </row>
    <row r="4361" spans="1:13" ht="15" x14ac:dyDescent="0.25">
      <c r="A4361" s="1">
        <f>DATE(2012,11,2)</f>
        <v>41215</v>
      </c>
      <c r="B4361" t="s">
        <v>14</v>
      </c>
      <c r="C4361" t="s">
        <v>10</v>
      </c>
      <c r="D4361" s="3">
        <v>244.30500000000001</v>
      </c>
      <c r="E4361" s="3">
        <v>0</v>
      </c>
      <c r="F4361" t="s">
        <v>45</v>
      </c>
      <c r="G4361" s="3">
        <f t="shared" si="523"/>
        <v>-244.30500000000001</v>
      </c>
      <c r="H4361" s="3">
        <f t="shared" si="524"/>
        <v>244.30500000000001</v>
      </c>
      <c r="I4361" s="5" t="str">
        <f t="shared" si="525"/>
        <v>016</v>
      </c>
      <c r="J4361" s="5" t="str">
        <f t="shared" si="526"/>
        <v>2230</v>
      </c>
      <c r="K4361" s="5" t="str">
        <f t="shared" si="527"/>
        <v>000</v>
      </c>
      <c r="L4361" s="5">
        <f t="shared" si="528"/>
        <v>11</v>
      </c>
      <c r="M4361" s="5">
        <f t="shared" si="529"/>
        <v>2012</v>
      </c>
    </row>
    <row r="4362" spans="1:13" ht="15" x14ac:dyDescent="0.25">
      <c r="A4362" s="1">
        <f>DATE(2012,11,3)</f>
        <v>41216</v>
      </c>
      <c r="B4362" t="s">
        <v>11</v>
      </c>
      <c r="C4362" t="s">
        <v>6</v>
      </c>
      <c r="D4362" s="3">
        <v>6596.9679999999998</v>
      </c>
      <c r="E4362" s="3">
        <v>0</v>
      </c>
      <c r="F4362" t="s">
        <v>45</v>
      </c>
      <c r="G4362" s="3">
        <f t="shared" si="523"/>
        <v>-6596.9679999999998</v>
      </c>
      <c r="H4362" s="3">
        <f t="shared" si="524"/>
        <v>6596.9679999999998</v>
      </c>
      <c r="I4362" s="5" t="str">
        <f t="shared" si="525"/>
        <v>016</v>
      </c>
      <c r="J4362" s="5" t="str">
        <f t="shared" si="526"/>
        <v>2100</v>
      </c>
      <c r="K4362" s="5" t="str">
        <f t="shared" si="527"/>
        <v>000</v>
      </c>
      <c r="L4362" s="5">
        <f t="shared" si="528"/>
        <v>11</v>
      </c>
      <c r="M4362" s="5">
        <f t="shared" si="529"/>
        <v>2012</v>
      </c>
    </row>
    <row r="4363" spans="1:13" ht="15" x14ac:dyDescent="0.25">
      <c r="A4363" s="1">
        <f>DATE(2012,11,3)</f>
        <v>41216</v>
      </c>
      <c r="B4363" t="s">
        <v>12</v>
      </c>
      <c r="C4363" t="s">
        <v>8</v>
      </c>
      <c r="D4363" s="3">
        <v>1628.5179999999998</v>
      </c>
      <c r="E4363" s="3">
        <v>0</v>
      </c>
      <c r="F4363" t="s">
        <v>45</v>
      </c>
      <c r="G4363" s="3">
        <f t="shared" si="523"/>
        <v>-1628.5179999999998</v>
      </c>
      <c r="H4363" s="3">
        <f t="shared" si="524"/>
        <v>1628.5179999999998</v>
      </c>
      <c r="I4363" s="5" t="str">
        <f t="shared" si="525"/>
        <v>016</v>
      </c>
      <c r="J4363" s="5" t="str">
        <f t="shared" si="526"/>
        <v>2210</v>
      </c>
      <c r="K4363" s="5" t="str">
        <f t="shared" si="527"/>
        <v>000</v>
      </c>
      <c r="L4363" s="5">
        <f t="shared" si="528"/>
        <v>11</v>
      </c>
      <c r="M4363" s="5">
        <f t="shared" si="529"/>
        <v>2012</v>
      </c>
    </row>
    <row r="4364" spans="1:13" ht="15" x14ac:dyDescent="0.25">
      <c r="A4364" s="1">
        <f>DATE(2012,11,3)</f>
        <v>41216</v>
      </c>
      <c r="B4364" t="s">
        <v>13</v>
      </c>
      <c r="C4364" t="s">
        <v>9</v>
      </c>
      <c r="D4364" s="3">
        <v>291.62399999999997</v>
      </c>
      <c r="E4364" s="3">
        <v>0</v>
      </c>
      <c r="F4364" t="s">
        <v>45</v>
      </c>
      <c r="G4364" s="3">
        <f t="shared" si="523"/>
        <v>-291.62399999999997</v>
      </c>
      <c r="H4364" s="3">
        <f t="shared" si="524"/>
        <v>291.62399999999997</v>
      </c>
      <c r="I4364" s="5" t="str">
        <f t="shared" si="525"/>
        <v>016</v>
      </c>
      <c r="J4364" s="5" t="str">
        <f t="shared" si="526"/>
        <v>2220</v>
      </c>
      <c r="K4364" s="5" t="str">
        <f t="shared" si="527"/>
        <v>000</v>
      </c>
      <c r="L4364" s="5">
        <f t="shared" si="528"/>
        <v>11</v>
      </c>
      <c r="M4364" s="5">
        <f t="shared" si="529"/>
        <v>2012</v>
      </c>
    </row>
    <row r="4365" spans="1:13" ht="15" x14ac:dyDescent="0.25">
      <c r="A4365" s="1">
        <f>DATE(2012,11,3)</f>
        <v>41216</v>
      </c>
      <c r="B4365" t="s">
        <v>14</v>
      </c>
      <c r="C4365" t="s">
        <v>10</v>
      </c>
      <c r="D4365" s="3">
        <v>212.70400000000001</v>
      </c>
      <c r="E4365" s="3">
        <v>0</v>
      </c>
      <c r="F4365" t="s">
        <v>45</v>
      </c>
      <c r="G4365" s="3">
        <f t="shared" si="523"/>
        <v>-212.70400000000001</v>
      </c>
      <c r="H4365" s="3">
        <f t="shared" si="524"/>
        <v>212.70400000000001</v>
      </c>
      <c r="I4365" s="5" t="str">
        <f t="shared" si="525"/>
        <v>016</v>
      </c>
      <c r="J4365" s="5" t="str">
        <f t="shared" si="526"/>
        <v>2230</v>
      </c>
      <c r="K4365" s="5" t="str">
        <f t="shared" si="527"/>
        <v>000</v>
      </c>
      <c r="L4365" s="5">
        <f t="shared" si="528"/>
        <v>11</v>
      </c>
      <c r="M4365" s="5">
        <f t="shared" si="529"/>
        <v>2012</v>
      </c>
    </row>
    <row r="4366" spans="1:13" ht="15" x14ac:dyDescent="0.25">
      <c r="A4366" s="1">
        <f>DATE(2012,11,4)</f>
        <v>41217</v>
      </c>
      <c r="B4366" t="s">
        <v>11</v>
      </c>
      <c r="C4366" t="s">
        <v>6</v>
      </c>
      <c r="D4366" s="3">
        <v>4856.0257000000001</v>
      </c>
      <c r="E4366" s="3">
        <v>0</v>
      </c>
      <c r="F4366" t="s">
        <v>45</v>
      </c>
      <c r="G4366" s="3">
        <f t="shared" si="523"/>
        <v>-4856.0257000000001</v>
      </c>
      <c r="H4366" s="3">
        <f t="shared" si="524"/>
        <v>4856.0257000000001</v>
      </c>
      <c r="I4366" s="5" t="str">
        <f t="shared" si="525"/>
        <v>016</v>
      </c>
      <c r="J4366" s="5" t="str">
        <f t="shared" si="526"/>
        <v>2100</v>
      </c>
      <c r="K4366" s="5" t="str">
        <f t="shared" si="527"/>
        <v>000</v>
      </c>
      <c r="L4366" s="5">
        <f t="shared" si="528"/>
        <v>11</v>
      </c>
      <c r="M4366" s="5">
        <f t="shared" si="529"/>
        <v>2012</v>
      </c>
    </row>
    <row r="4367" spans="1:13" ht="15" x14ac:dyDescent="0.25">
      <c r="A4367" s="1">
        <f>DATE(2012,11,4)</f>
        <v>41217</v>
      </c>
      <c r="B4367" t="s">
        <v>12</v>
      </c>
      <c r="C4367" t="s">
        <v>8</v>
      </c>
      <c r="D4367" s="3">
        <v>867.048</v>
      </c>
      <c r="E4367" s="3">
        <v>0</v>
      </c>
      <c r="F4367" t="s">
        <v>45</v>
      </c>
      <c r="G4367" s="3">
        <f t="shared" si="523"/>
        <v>-867.048</v>
      </c>
      <c r="H4367" s="3">
        <f t="shared" si="524"/>
        <v>867.048</v>
      </c>
      <c r="I4367" s="5" t="str">
        <f t="shared" si="525"/>
        <v>016</v>
      </c>
      <c r="J4367" s="5" t="str">
        <f t="shared" si="526"/>
        <v>2210</v>
      </c>
      <c r="K4367" s="5" t="str">
        <f t="shared" si="527"/>
        <v>000</v>
      </c>
      <c r="L4367" s="5">
        <f t="shared" si="528"/>
        <v>11</v>
      </c>
      <c r="M4367" s="5">
        <f t="shared" si="529"/>
        <v>2012</v>
      </c>
    </row>
    <row r="4368" spans="1:13" ht="15" x14ac:dyDescent="0.25">
      <c r="A4368" s="1">
        <f>DATE(2012,11,4)</f>
        <v>41217</v>
      </c>
      <c r="B4368" t="s">
        <v>13</v>
      </c>
      <c r="C4368" t="s">
        <v>9</v>
      </c>
      <c r="D4368" s="3">
        <v>170.74799999999999</v>
      </c>
      <c r="E4368" s="3">
        <v>0</v>
      </c>
      <c r="F4368" t="s">
        <v>45</v>
      </c>
      <c r="G4368" s="3">
        <f t="shared" si="523"/>
        <v>-170.74799999999999</v>
      </c>
      <c r="H4368" s="3">
        <f t="shared" si="524"/>
        <v>170.74799999999999</v>
      </c>
      <c r="I4368" s="5" t="str">
        <f t="shared" si="525"/>
        <v>016</v>
      </c>
      <c r="J4368" s="5" t="str">
        <f t="shared" si="526"/>
        <v>2220</v>
      </c>
      <c r="K4368" s="5" t="str">
        <f t="shared" si="527"/>
        <v>000</v>
      </c>
      <c r="L4368" s="5">
        <f t="shared" si="528"/>
        <v>11</v>
      </c>
      <c r="M4368" s="5">
        <f t="shared" si="529"/>
        <v>2012</v>
      </c>
    </row>
    <row r="4369" spans="1:13" ht="15" x14ac:dyDescent="0.25">
      <c r="A4369" s="1">
        <f>DATE(2012,11,4)</f>
        <v>41217</v>
      </c>
      <c r="B4369" t="s">
        <v>14</v>
      </c>
      <c r="C4369" t="s">
        <v>10</v>
      </c>
      <c r="D4369" s="3">
        <v>230.43699999999998</v>
      </c>
      <c r="E4369" s="3">
        <v>0</v>
      </c>
      <c r="F4369" t="s">
        <v>45</v>
      </c>
      <c r="G4369" s="3">
        <f t="shared" si="523"/>
        <v>-230.43699999999998</v>
      </c>
      <c r="H4369" s="3">
        <f t="shared" si="524"/>
        <v>230.43699999999998</v>
      </c>
      <c r="I4369" s="5" t="str">
        <f t="shared" si="525"/>
        <v>016</v>
      </c>
      <c r="J4369" s="5" t="str">
        <f t="shared" si="526"/>
        <v>2230</v>
      </c>
      <c r="K4369" s="5" t="str">
        <f t="shared" si="527"/>
        <v>000</v>
      </c>
      <c r="L4369" s="5">
        <f t="shared" si="528"/>
        <v>11</v>
      </c>
      <c r="M4369" s="5">
        <f t="shared" si="529"/>
        <v>2012</v>
      </c>
    </row>
    <row r="4370" spans="1:13" ht="15" x14ac:dyDescent="0.25">
      <c r="A4370" s="1">
        <f>DATE(2012,10,29)</f>
        <v>41211</v>
      </c>
      <c r="B4370" t="s">
        <v>15</v>
      </c>
      <c r="C4370" t="s">
        <v>6</v>
      </c>
      <c r="D4370" s="3">
        <v>4706.8385000000007</v>
      </c>
      <c r="E4370" s="3">
        <v>0</v>
      </c>
      <c r="F4370" t="s">
        <v>45</v>
      </c>
      <c r="G4370" s="3">
        <f t="shared" si="523"/>
        <v>-4706.8385000000007</v>
      </c>
      <c r="H4370" s="3">
        <f t="shared" si="524"/>
        <v>4706.8385000000007</v>
      </c>
      <c r="I4370" s="5" t="str">
        <f t="shared" si="525"/>
        <v>017</v>
      </c>
      <c r="J4370" s="5" t="str">
        <f t="shared" si="526"/>
        <v>2100</v>
      </c>
      <c r="K4370" s="5" t="str">
        <f t="shared" si="527"/>
        <v>000</v>
      </c>
      <c r="L4370" s="5">
        <f t="shared" si="528"/>
        <v>10</v>
      </c>
      <c r="M4370" s="5">
        <f t="shared" si="529"/>
        <v>2012</v>
      </c>
    </row>
    <row r="4371" spans="1:13" ht="15" x14ac:dyDescent="0.25">
      <c r="A4371" s="1">
        <f>DATE(2012,10,29)</f>
        <v>41211</v>
      </c>
      <c r="B4371" t="s">
        <v>16</v>
      </c>
      <c r="C4371" t="s">
        <v>8</v>
      </c>
      <c r="D4371" s="3">
        <v>1473.6219999999998</v>
      </c>
      <c r="E4371" s="3">
        <v>0</v>
      </c>
      <c r="F4371" t="s">
        <v>45</v>
      </c>
      <c r="G4371" s="3">
        <f t="shared" si="523"/>
        <v>-1473.6219999999998</v>
      </c>
      <c r="H4371" s="3">
        <f t="shared" si="524"/>
        <v>1473.6219999999998</v>
      </c>
      <c r="I4371" s="5" t="str">
        <f t="shared" si="525"/>
        <v>017</v>
      </c>
      <c r="J4371" s="5" t="str">
        <f t="shared" si="526"/>
        <v>2210</v>
      </c>
      <c r="K4371" s="5" t="str">
        <f t="shared" si="527"/>
        <v>000</v>
      </c>
      <c r="L4371" s="5">
        <f t="shared" si="528"/>
        <v>10</v>
      </c>
      <c r="M4371" s="5">
        <f t="shared" si="529"/>
        <v>2012</v>
      </c>
    </row>
    <row r="4372" spans="1:13" ht="15" x14ac:dyDescent="0.25">
      <c r="A4372" s="1">
        <f>DATE(2012,10,29)</f>
        <v>41211</v>
      </c>
      <c r="B4372" t="s">
        <v>17</v>
      </c>
      <c r="C4372" t="s">
        <v>9</v>
      </c>
      <c r="D4372" s="3">
        <v>261.95</v>
      </c>
      <c r="E4372" s="3">
        <v>0</v>
      </c>
      <c r="F4372" t="s">
        <v>45</v>
      </c>
      <c r="G4372" s="3">
        <f t="shared" si="523"/>
        <v>-261.95</v>
      </c>
      <c r="H4372" s="3">
        <f t="shared" si="524"/>
        <v>261.95</v>
      </c>
      <c r="I4372" s="5" t="str">
        <f t="shared" si="525"/>
        <v>017</v>
      </c>
      <c r="J4372" s="5" t="str">
        <f t="shared" si="526"/>
        <v>2220</v>
      </c>
      <c r="K4372" s="5" t="str">
        <f t="shared" si="527"/>
        <v>000</v>
      </c>
      <c r="L4372" s="5">
        <f t="shared" si="528"/>
        <v>10</v>
      </c>
      <c r="M4372" s="5">
        <f t="shared" si="529"/>
        <v>2012</v>
      </c>
    </row>
    <row r="4373" spans="1:13" ht="15" x14ac:dyDescent="0.25">
      <c r="A4373" s="1">
        <f>DATE(2012,10,29)</f>
        <v>41211</v>
      </c>
      <c r="B4373" t="s">
        <v>18</v>
      </c>
      <c r="C4373" t="s">
        <v>10</v>
      </c>
      <c r="D4373" s="3">
        <v>131.29</v>
      </c>
      <c r="E4373" s="3">
        <v>0</v>
      </c>
      <c r="F4373" t="s">
        <v>45</v>
      </c>
      <c r="G4373" s="3">
        <f t="shared" si="523"/>
        <v>-131.29</v>
      </c>
      <c r="H4373" s="3">
        <f t="shared" si="524"/>
        <v>131.29</v>
      </c>
      <c r="I4373" s="5" t="str">
        <f t="shared" si="525"/>
        <v>017</v>
      </c>
      <c r="J4373" s="5" t="str">
        <f t="shared" si="526"/>
        <v>2230</v>
      </c>
      <c r="K4373" s="5" t="str">
        <f t="shared" si="527"/>
        <v>000</v>
      </c>
      <c r="L4373" s="5">
        <f t="shared" si="528"/>
        <v>10</v>
      </c>
      <c r="M4373" s="5">
        <f t="shared" si="529"/>
        <v>2012</v>
      </c>
    </row>
    <row r="4374" spans="1:13" ht="15" x14ac:dyDescent="0.25">
      <c r="A4374" s="1">
        <f>DATE(2012,10,30)</f>
        <v>41212</v>
      </c>
      <c r="B4374" t="s">
        <v>15</v>
      </c>
      <c r="C4374" t="s">
        <v>6</v>
      </c>
      <c r="D4374" s="3">
        <v>5154.6239999999998</v>
      </c>
      <c r="E4374" s="3">
        <v>0</v>
      </c>
      <c r="F4374" t="s">
        <v>45</v>
      </c>
      <c r="G4374" s="3">
        <f t="shared" si="523"/>
        <v>-5154.6239999999998</v>
      </c>
      <c r="H4374" s="3">
        <f t="shared" si="524"/>
        <v>5154.6239999999998</v>
      </c>
      <c r="I4374" s="5" t="str">
        <f t="shared" si="525"/>
        <v>017</v>
      </c>
      <c r="J4374" s="5" t="str">
        <f t="shared" si="526"/>
        <v>2100</v>
      </c>
      <c r="K4374" s="5" t="str">
        <f t="shared" si="527"/>
        <v>000</v>
      </c>
      <c r="L4374" s="5">
        <f t="shared" si="528"/>
        <v>10</v>
      </c>
      <c r="M4374" s="5">
        <f t="shared" si="529"/>
        <v>2012</v>
      </c>
    </row>
    <row r="4375" spans="1:13" ht="15" x14ac:dyDescent="0.25">
      <c r="A4375" s="1">
        <f>DATE(2012,10,30)</f>
        <v>41212</v>
      </c>
      <c r="B4375" t="s">
        <v>16</v>
      </c>
      <c r="C4375" t="s">
        <v>8</v>
      </c>
      <c r="D4375" s="3">
        <v>1031.556</v>
      </c>
      <c r="E4375" s="3">
        <v>0</v>
      </c>
      <c r="F4375" t="s">
        <v>45</v>
      </c>
      <c r="G4375" s="3">
        <f t="shared" si="523"/>
        <v>-1031.556</v>
      </c>
      <c r="H4375" s="3">
        <f t="shared" si="524"/>
        <v>1031.556</v>
      </c>
      <c r="I4375" s="5" t="str">
        <f t="shared" si="525"/>
        <v>017</v>
      </c>
      <c r="J4375" s="5" t="str">
        <f t="shared" si="526"/>
        <v>2210</v>
      </c>
      <c r="K4375" s="5" t="str">
        <f t="shared" si="527"/>
        <v>000</v>
      </c>
      <c r="L4375" s="5">
        <f t="shared" si="528"/>
        <v>10</v>
      </c>
      <c r="M4375" s="5">
        <f t="shared" si="529"/>
        <v>2012</v>
      </c>
    </row>
    <row r="4376" spans="1:13" ht="15" x14ac:dyDescent="0.25">
      <c r="A4376" s="1">
        <f>DATE(2012,10,30)</f>
        <v>41212</v>
      </c>
      <c r="B4376" t="s">
        <v>17</v>
      </c>
      <c r="C4376" t="s">
        <v>9</v>
      </c>
      <c r="D4376" s="3">
        <v>229.6</v>
      </c>
      <c r="E4376" s="3">
        <v>0</v>
      </c>
      <c r="F4376" t="s">
        <v>45</v>
      </c>
      <c r="G4376" s="3">
        <f t="shared" si="523"/>
        <v>-229.6</v>
      </c>
      <c r="H4376" s="3">
        <f t="shared" si="524"/>
        <v>229.6</v>
      </c>
      <c r="I4376" s="5" t="str">
        <f t="shared" si="525"/>
        <v>017</v>
      </c>
      <c r="J4376" s="5" t="str">
        <f t="shared" si="526"/>
        <v>2220</v>
      </c>
      <c r="K4376" s="5" t="str">
        <f t="shared" si="527"/>
        <v>000</v>
      </c>
      <c r="L4376" s="5">
        <f t="shared" si="528"/>
        <v>10</v>
      </c>
      <c r="M4376" s="5">
        <f t="shared" si="529"/>
        <v>2012</v>
      </c>
    </row>
    <row r="4377" spans="1:13" ht="15" x14ac:dyDescent="0.25">
      <c r="A4377" s="1">
        <f>DATE(2012,10,30)</f>
        <v>41212</v>
      </c>
      <c r="B4377" t="s">
        <v>18</v>
      </c>
      <c r="C4377" t="s">
        <v>10</v>
      </c>
      <c r="D4377" s="3">
        <v>89.212499999999991</v>
      </c>
      <c r="E4377" s="3">
        <v>0</v>
      </c>
      <c r="F4377" t="s">
        <v>45</v>
      </c>
      <c r="G4377" s="3">
        <f t="shared" si="523"/>
        <v>-89.212499999999991</v>
      </c>
      <c r="H4377" s="3">
        <f t="shared" si="524"/>
        <v>89.212499999999991</v>
      </c>
      <c r="I4377" s="5" t="str">
        <f t="shared" si="525"/>
        <v>017</v>
      </c>
      <c r="J4377" s="5" t="str">
        <f t="shared" si="526"/>
        <v>2230</v>
      </c>
      <c r="K4377" s="5" t="str">
        <f t="shared" si="527"/>
        <v>000</v>
      </c>
      <c r="L4377" s="5">
        <f t="shared" si="528"/>
        <v>10</v>
      </c>
      <c r="M4377" s="5">
        <f t="shared" si="529"/>
        <v>2012</v>
      </c>
    </row>
    <row r="4378" spans="1:13" ht="15" x14ac:dyDescent="0.25">
      <c r="A4378" s="1">
        <f>DATE(2012,10,31)</f>
        <v>41213</v>
      </c>
      <c r="B4378" t="s">
        <v>15</v>
      </c>
      <c r="C4378" t="s">
        <v>6</v>
      </c>
      <c r="D4378" s="3">
        <v>4985.4480000000003</v>
      </c>
      <c r="E4378" s="3">
        <v>0</v>
      </c>
      <c r="F4378" t="s">
        <v>45</v>
      </c>
      <c r="G4378" s="3">
        <f t="shared" si="523"/>
        <v>-4985.4480000000003</v>
      </c>
      <c r="H4378" s="3">
        <f t="shared" si="524"/>
        <v>4985.4480000000003</v>
      </c>
      <c r="I4378" s="5" t="str">
        <f t="shared" si="525"/>
        <v>017</v>
      </c>
      <c r="J4378" s="5" t="str">
        <f t="shared" si="526"/>
        <v>2100</v>
      </c>
      <c r="K4378" s="5" t="str">
        <f t="shared" si="527"/>
        <v>000</v>
      </c>
      <c r="L4378" s="5">
        <f t="shared" si="528"/>
        <v>10</v>
      </c>
      <c r="M4378" s="5">
        <f t="shared" si="529"/>
        <v>2012</v>
      </c>
    </row>
    <row r="4379" spans="1:13" ht="15" x14ac:dyDescent="0.25">
      <c r="A4379" s="1">
        <f>DATE(2012,10,31)</f>
        <v>41213</v>
      </c>
      <c r="B4379" t="s">
        <v>16</v>
      </c>
      <c r="C4379" t="s">
        <v>8</v>
      </c>
      <c r="D4379" s="3">
        <v>871.3125</v>
      </c>
      <c r="E4379" s="3">
        <v>0</v>
      </c>
      <c r="F4379" t="s">
        <v>45</v>
      </c>
      <c r="G4379" s="3">
        <f t="shared" si="523"/>
        <v>-871.3125</v>
      </c>
      <c r="H4379" s="3">
        <f t="shared" si="524"/>
        <v>871.3125</v>
      </c>
      <c r="I4379" s="5" t="str">
        <f t="shared" si="525"/>
        <v>017</v>
      </c>
      <c r="J4379" s="5" t="str">
        <f t="shared" si="526"/>
        <v>2210</v>
      </c>
      <c r="K4379" s="5" t="str">
        <f t="shared" si="527"/>
        <v>000</v>
      </c>
      <c r="L4379" s="5">
        <f t="shared" si="528"/>
        <v>10</v>
      </c>
      <c r="M4379" s="5">
        <f t="shared" si="529"/>
        <v>2012</v>
      </c>
    </row>
    <row r="4380" spans="1:13" ht="15" x14ac:dyDescent="0.25">
      <c r="A4380" s="1">
        <f>DATE(2012,10,31)</f>
        <v>41213</v>
      </c>
      <c r="B4380" t="s">
        <v>17</v>
      </c>
      <c r="C4380" t="s">
        <v>9</v>
      </c>
      <c r="D4380" s="3">
        <v>132.97999999999999</v>
      </c>
      <c r="E4380" s="3">
        <v>0</v>
      </c>
      <c r="F4380" t="s">
        <v>45</v>
      </c>
      <c r="G4380" s="3">
        <f t="shared" si="523"/>
        <v>-132.97999999999999</v>
      </c>
      <c r="H4380" s="3">
        <f t="shared" si="524"/>
        <v>132.97999999999999</v>
      </c>
      <c r="I4380" s="5" t="str">
        <f t="shared" si="525"/>
        <v>017</v>
      </c>
      <c r="J4380" s="5" t="str">
        <f t="shared" si="526"/>
        <v>2220</v>
      </c>
      <c r="K4380" s="5" t="str">
        <f t="shared" si="527"/>
        <v>000</v>
      </c>
      <c r="L4380" s="5">
        <f t="shared" si="528"/>
        <v>10</v>
      </c>
      <c r="M4380" s="5">
        <f t="shared" si="529"/>
        <v>2012</v>
      </c>
    </row>
    <row r="4381" spans="1:13" ht="15" x14ac:dyDescent="0.25">
      <c r="A4381" s="1">
        <f>DATE(2012,10,31)</f>
        <v>41213</v>
      </c>
      <c r="B4381" t="s">
        <v>18</v>
      </c>
      <c r="C4381" t="s">
        <v>10</v>
      </c>
      <c r="D4381" s="3">
        <v>58.089000000000006</v>
      </c>
      <c r="E4381" s="3">
        <v>0</v>
      </c>
      <c r="F4381" t="s">
        <v>45</v>
      </c>
      <c r="G4381" s="3">
        <f t="shared" si="523"/>
        <v>-58.089000000000006</v>
      </c>
      <c r="H4381" s="3">
        <f t="shared" si="524"/>
        <v>58.089000000000006</v>
      </c>
      <c r="I4381" s="5" t="str">
        <f t="shared" si="525"/>
        <v>017</v>
      </c>
      <c r="J4381" s="5" t="str">
        <f t="shared" si="526"/>
        <v>2230</v>
      </c>
      <c r="K4381" s="5" t="str">
        <f t="shared" si="527"/>
        <v>000</v>
      </c>
      <c r="L4381" s="5">
        <f t="shared" si="528"/>
        <v>10</v>
      </c>
      <c r="M4381" s="5">
        <f t="shared" si="529"/>
        <v>2012</v>
      </c>
    </row>
    <row r="4382" spans="1:13" ht="15" x14ac:dyDescent="0.25">
      <c r="A4382" s="1">
        <f>DATE(2012,11,1)</f>
        <v>41214</v>
      </c>
      <c r="B4382" t="s">
        <v>15</v>
      </c>
      <c r="C4382" t="s">
        <v>6</v>
      </c>
      <c r="D4382" s="3">
        <v>5145.5550000000003</v>
      </c>
      <c r="E4382" s="3">
        <v>0</v>
      </c>
      <c r="F4382" t="s">
        <v>45</v>
      </c>
      <c r="G4382" s="3">
        <f t="shared" si="523"/>
        <v>-5145.5550000000003</v>
      </c>
      <c r="H4382" s="3">
        <f t="shared" si="524"/>
        <v>5145.5550000000003</v>
      </c>
      <c r="I4382" s="5" t="str">
        <f t="shared" si="525"/>
        <v>017</v>
      </c>
      <c r="J4382" s="5" t="str">
        <f t="shared" si="526"/>
        <v>2100</v>
      </c>
      <c r="K4382" s="5" t="str">
        <f t="shared" si="527"/>
        <v>000</v>
      </c>
      <c r="L4382" s="5">
        <f t="shared" si="528"/>
        <v>11</v>
      </c>
      <c r="M4382" s="5">
        <f t="shared" si="529"/>
        <v>2012</v>
      </c>
    </row>
    <row r="4383" spans="1:13" ht="15" x14ac:dyDescent="0.25">
      <c r="A4383" s="1">
        <f>DATE(2012,11,1)</f>
        <v>41214</v>
      </c>
      <c r="B4383" t="s">
        <v>16</v>
      </c>
      <c r="C4383" t="s">
        <v>8</v>
      </c>
      <c r="D4383" s="3">
        <v>1672.8439999999998</v>
      </c>
      <c r="E4383" s="3">
        <v>0</v>
      </c>
      <c r="F4383" t="s">
        <v>45</v>
      </c>
      <c r="G4383" s="3">
        <f t="shared" si="523"/>
        <v>-1672.8439999999998</v>
      </c>
      <c r="H4383" s="3">
        <f t="shared" si="524"/>
        <v>1672.8439999999998</v>
      </c>
      <c r="I4383" s="5" t="str">
        <f t="shared" si="525"/>
        <v>017</v>
      </c>
      <c r="J4383" s="5" t="str">
        <f t="shared" si="526"/>
        <v>2210</v>
      </c>
      <c r="K4383" s="5" t="str">
        <f t="shared" si="527"/>
        <v>000</v>
      </c>
      <c r="L4383" s="5">
        <f t="shared" si="528"/>
        <v>11</v>
      </c>
      <c r="M4383" s="5">
        <f t="shared" si="529"/>
        <v>2012</v>
      </c>
    </row>
    <row r="4384" spans="1:13" ht="15" x14ac:dyDescent="0.25">
      <c r="A4384" s="1">
        <f>DATE(2012,11,1)</f>
        <v>41214</v>
      </c>
      <c r="B4384" t="s">
        <v>17</v>
      </c>
      <c r="C4384" t="s">
        <v>9</v>
      </c>
      <c r="D4384" s="3">
        <v>515.28250000000003</v>
      </c>
      <c r="E4384" s="3">
        <v>0</v>
      </c>
      <c r="F4384" t="s">
        <v>45</v>
      </c>
      <c r="G4384" s="3">
        <f t="shared" si="523"/>
        <v>-515.28250000000003</v>
      </c>
      <c r="H4384" s="3">
        <f t="shared" si="524"/>
        <v>515.28250000000003</v>
      </c>
      <c r="I4384" s="5" t="str">
        <f t="shared" si="525"/>
        <v>017</v>
      </c>
      <c r="J4384" s="5" t="str">
        <f t="shared" si="526"/>
        <v>2220</v>
      </c>
      <c r="K4384" s="5" t="str">
        <f t="shared" si="527"/>
        <v>000</v>
      </c>
      <c r="L4384" s="5">
        <f t="shared" si="528"/>
        <v>11</v>
      </c>
      <c r="M4384" s="5">
        <f t="shared" si="529"/>
        <v>2012</v>
      </c>
    </row>
    <row r="4385" spans="1:13" ht="15" x14ac:dyDescent="0.25">
      <c r="A4385" s="1">
        <f>DATE(2012,11,1)</f>
        <v>41214</v>
      </c>
      <c r="B4385" t="s">
        <v>18</v>
      </c>
      <c r="C4385" t="s">
        <v>10</v>
      </c>
      <c r="D4385" s="3">
        <v>216.154</v>
      </c>
      <c r="E4385" s="3">
        <v>0</v>
      </c>
      <c r="F4385" t="s">
        <v>45</v>
      </c>
      <c r="G4385" s="3">
        <f t="shared" si="523"/>
        <v>-216.154</v>
      </c>
      <c r="H4385" s="3">
        <f t="shared" si="524"/>
        <v>216.154</v>
      </c>
      <c r="I4385" s="5" t="str">
        <f t="shared" si="525"/>
        <v>017</v>
      </c>
      <c r="J4385" s="5" t="str">
        <f t="shared" si="526"/>
        <v>2230</v>
      </c>
      <c r="K4385" s="5" t="str">
        <f t="shared" si="527"/>
        <v>000</v>
      </c>
      <c r="L4385" s="5">
        <f t="shared" si="528"/>
        <v>11</v>
      </c>
      <c r="M4385" s="5">
        <f t="shared" si="529"/>
        <v>2012</v>
      </c>
    </row>
    <row r="4386" spans="1:13" ht="15" x14ac:dyDescent="0.25">
      <c r="A4386" s="1">
        <f>DATE(2012,11,2)</f>
        <v>41215</v>
      </c>
      <c r="B4386" t="s">
        <v>15</v>
      </c>
      <c r="C4386" t="s">
        <v>6</v>
      </c>
      <c r="D4386" s="3">
        <v>7042.8140999999996</v>
      </c>
      <c r="E4386" s="3">
        <v>0</v>
      </c>
      <c r="F4386" t="s">
        <v>45</v>
      </c>
      <c r="G4386" s="3">
        <f t="shared" si="523"/>
        <v>-7042.8140999999996</v>
      </c>
      <c r="H4386" s="3">
        <f t="shared" si="524"/>
        <v>7042.8140999999996</v>
      </c>
      <c r="I4386" s="5" t="str">
        <f t="shared" si="525"/>
        <v>017</v>
      </c>
      <c r="J4386" s="5" t="str">
        <f t="shared" si="526"/>
        <v>2100</v>
      </c>
      <c r="K4386" s="5" t="str">
        <f t="shared" si="527"/>
        <v>000</v>
      </c>
      <c r="L4386" s="5">
        <f t="shared" si="528"/>
        <v>11</v>
      </c>
      <c r="M4386" s="5">
        <f t="shared" si="529"/>
        <v>2012</v>
      </c>
    </row>
    <row r="4387" spans="1:13" ht="15" x14ac:dyDescent="0.25">
      <c r="A4387" s="1">
        <f>DATE(2012,11,2)</f>
        <v>41215</v>
      </c>
      <c r="B4387" t="s">
        <v>16</v>
      </c>
      <c r="C4387" t="s">
        <v>8</v>
      </c>
      <c r="D4387" s="3">
        <v>2892.8339999999998</v>
      </c>
      <c r="E4387" s="3">
        <v>0</v>
      </c>
      <c r="F4387" t="s">
        <v>45</v>
      </c>
      <c r="G4387" s="3">
        <f t="shared" si="523"/>
        <v>-2892.8339999999998</v>
      </c>
      <c r="H4387" s="3">
        <f t="shared" si="524"/>
        <v>2892.8339999999998</v>
      </c>
      <c r="I4387" s="5" t="str">
        <f t="shared" si="525"/>
        <v>017</v>
      </c>
      <c r="J4387" s="5" t="str">
        <f t="shared" si="526"/>
        <v>2210</v>
      </c>
      <c r="K4387" s="5" t="str">
        <f t="shared" si="527"/>
        <v>000</v>
      </c>
      <c r="L4387" s="5">
        <f t="shared" si="528"/>
        <v>11</v>
      </c>
      <c r="M4387" s="5">
        <f t="shared" si="529"/>
        <v>2012</v>
      </c>
    </row>
    <row r="4388" spans="1:13" ht="15" x14ac:dyDescent="0.25">
      <c r="A4388" s="1">
        <f>DATE(2012,11,2)</f>
        <v>41215</v>
      </c>
      <c r="B4388" t="s">
        <v>17</v>
      </c>
      <c r="C4388" t="s">
        <v>9</v>
      </c>
      <c r="D4388" s="3">
        <v>428.3725</v>
      </c>
      <c r="E4388" s="3">
        <v>0</v>
      </c>
      <c r="F4388" t="s">
        <v>45</v>
      </c>
      <c r="G4388" s="3">
        <f t="shared" si="523"/>
        <v>-428.3725</v>
      </c>
      <c r="H4388" s="3">
        <f t="shared" si="524"/>
        <v>428.3725</v>
      </c>
      <c r="I4388" s="5" t="str">
        <f t="shared" si="525"/>
        <v>017</v>
      </c>
      <c r="J4388" s="5" t="str">
        <f t="shared" si="526"/>
        <v>2220</v>
      </c>
      <c r="K4388" s="5" t="str">
        <f t="shared" si="527"/>
        <v>000</v>
      </c>
      <c r="L4388" s="5">
        <f t="shared" si="528"/>
        <v>11</v>
      </c>
      <c r="M4388" s="5">
        <f t="shared" si="529"/>
        <v>2012</v>
      </c>
    </row>
    <row r="4389" spans="1:13" ht="15" x14ac:dyDescent="0.25">
      <c r="A4389" s="1">
        <f>DATE(2012,11,2)</f>
        <v>41215</v>
      </c>
      <c r="B4389" t="s">
        <v>18</v>
      </c>
      <c r="C4389" t="s">
        <v>10</v>
      </c>
      <c r="D4389" s="3">
        <v>218.31750000000002</v>
      </c>
      <c r="E4389" s="3">
        <v>0</v>
      </c>
      <c r="F4389" t="s">
        <v>45</v>
      </c>
      <c r="G4389" s="3">
        <f t="shared" si="523"/>
        <v>-218.31750000000002</v>
      </c>
      <c r="H4389" s="3">
        <f t="shared" si="524"/>
        <v>218.31750000000002</v>
      </c>
      <c r="I4389" s="5" t="str">
        <f t="shared" si="525"/>
        <v>017</v>
      </c>
      <c r="J4389" s="5" t="str">
        <f t="shared" si="526"/>
        <v>2230</v>
      </c>
      <c r="K4389" s="5" t="str">
        <f t="shared" si="527"/>
        <v>000</v>
      </c>
      <c r="L4389" s="5">
        <f t="shared" si="528"/>
        <v>11</v>
      </c>
      <c r="M4389" s="5">
        <f t="shared" si="529"/>
        <v>2012</v>
      </c>
    </row>
    <row r="4390" spans="1:13" ht="15" x14ac:dyDescent="0.25">
      <c r="A4390" s="1">
        <f>DATE(2012,11,3)</f>
        <v>41216</v>
      </c>
      <c r="B4390" t="s">
        <v>15</v>
      </c>
      <c r="C4390" t="s">
        <v>6</v>
      </c>
      <c r="D4390" s="3">
        <v>7001.6817000000001</v>
      </c>
      <c r="E4390" s="3">
        <v>0</v>
      </c>
      <c r="F4390" t="s">
        <v>45</v>
      </c>
      <c r="G4390" s="3">
        <f t="shared" si="523"/>
        <v>-7001.6817000000001</v>
      </c>
      <c r="H4390" s="3">
        <f t="shared" si="524"/>
        <v>7001.6817000000001</v>
      </c>
      <c r="I4390" s="5" t="str">
        <f t="shared" si="525"/>
        <v>017</v>
      </c>
      <c r="J4390" s="5" t="str">
        <f t="shared" si="526"/>
        <v>2100</v>
      </c>
      <c r="K4390" s="5" t="str">
        <f t="shared" si="527"/>
        <v>000</v>
      </c>
      <c r="L4390" s="5">
        <f t="shared" si="528"/>
        <v>11</v>
      </c>
      <c r="M4390" s="5">
        <f t="shared" si="529"/>
        <v>2012</v>
      </c>
    </row>
    <row r="4391" spans="1:13" ht="15" x14ac:dyDescent="0.25">
      <c r="A4391" s="1">
        <f>DATE(2012,11,3)</f>
        <v>41216</v>
      </c>
      <c r="B4391" t="s">
        <v>16</v>
      </c>
      <c r="C4391" t="s">
        <v>8</v>
      </c>
      <c r="D4391" s="3">
        <v>1865.1974999999998</v>
      </c>
      <c r="E4391" s="3">
        <v>0</v>
      </c>
      <c r="F4391" t="s">
        <v>45</v>
      </c>
      <c r="G4391" s="3">
        <f t="shared" si="523"/>
        <v>-1865.1974999999998</v>
      </c>
      <c r="H4391" s="3">
        <f t="shared" si="524"/>
        <v>1865.1974999999998</v>
      </c>
      <c r="I4391" s="5" t="str">
        <f t="shared" si="525"/>
        <v>017</v>
      </c>
      <c r="J4391" s="5" t="str">
        <f t="shared" si="526"/>
        <v>2210</v>
      </c>
      <c r="K4391" s="5" t="str">
        <f t="shared" si="527"/>
        <v>000</v>
      </c>
      <c r="L4391" s="5">
        <f t="shared" si="528"/>
        <v>11</v>
      </c>
      <c r="M4391" s="5">
        <f t="shared" si="529"/>
        <v>2012</v>
      </c>
    </row>
    <row r="4392" spans="1:13" ht="15" x14ac:dyDescent="0.25">
      <c r="A4392" s="1">
        <f>DATE(2012,11,3)</f>
        <v>41216</v>
      </c>
      <c r="B4392" t="s">
        <v>17</v>
      </c>
      <c r="C4392" t="s">
        <v>9</v>
      </c>
      <c r="D4392" s="3">
        <v>323.01</v>
      </c>
      <c r="E4392" s="3">
        <v>0</v>
      </c>
      <c r="F4392" t="s">
        <v>45</v>
      </c>
      <c r="G4392" s="3">
        <f t="shared" si="523"/>
        <v>-323.01</v>
      </c>
      <c r="H4392" s="3">
        <f t="shared" si="524"/>
        <v>323.01</v>
      </c>
      <c r="I4392" s="5" t="str">
        <f t="shared" si="525"/>
        <v>017</v>
      </c>
      <c r="J4392" s="5" t="str">
        <f t="shared" si="526"/>
        <v>2220</v>
      </c>
      <c r="K4392" s="5" t="str">
        <f t="shared" si="527"/>
        <v>000</v>
      </c>
      <c r="L4392" s="5">
        <f t="shared" si="528"/>
        <v>11</v>
      </c>
      <c r="M4392" s="5">
        <f t="shared" si="529"/>
        <v>2012</v>
      </c>
    </row>
    <row r="4393" spans="1:13" ht="15" x14ac:dyDescent="0.25">
      <c r="A4393" s="1">
        <f>DATE(2012,11,3)</f>
        <v>41216</v>
      </c>
      <c r="B4393" t="s">
        <v>18</v>
      </c>
      <c r="C4393" t="s">
        <v>10</v>
      </c>
      <c r="D4393" s="3">
        <v>104.21400000000001</v>
      </c>
      <c r="E4393" s="3">
        <v>0</v>
      </c>
      <c r="F4393" t="s">
        <v>45</v>
      </c>
      <c r="G4393" s="3">
        <f t="shared" si="523"/>
        <v>-104.21400000000001</v>
      </c>
      <c r="H4393" s="3">
        <f t="shared" si="524"/>
        <v>104.21400000000001</v>
      </c>
      <c r="I4393" s="5" t="str">
        <f t="shared" si="525"/>
        <v>017</v>
      </c>
      <c r="J4393" s="5" t="str">
        <f t="shared" si="526"/>
        <v>2230</v>
      </c>
      <c r="K4393" s="5" t="str">
        <f t="shared" si="527"/>
        <v>000</v>
      </c>
      <c r="L4393" s="5">
        <f t="shared" si="528"/>
        <v>11</v>
      </c>
      <c r="M4393" s="5">
        <f t="shared" si="529"/>
        <v>2012</v>
      </c>
    </row>
    <row r="4394" spans="1:13" ht="15" x14ac:dyDescent="0.25">
      <c r="A4394" s="1">
        <f>DATE(2012,11,4)</f>
        <v>41217</v>
      </c>
      <c r="B4394" t="s">
        <v>15</v>
      </c>
      <c r="C4394" t="s">
        <v>6</v>
      </c>
      <c r="D4394" s="3">
        <v>5484.3577999999998</v>
      </c>
      <c r="E4394" s="3">
        <v>0</v>
      </c>
      <c r="F4394" t="s">
        <v>45</v>
      </c>
      <c r="G4394" s="3">
        <f t="shared" si="523"/>
        <v>-5484.3577999999998</v>
      </c>
      <c r="H4394" s="3">
        <f t="shared" si="524"/>
        <v>5484.3577999999998</v>
      </c>
      <c r="I4394" s="5" t="str">
        <f t="shared" si="525"/>
        <v>017</v>
      </c>
      <c r="J4394" s="5" t="str">
        <f t="shared" si="526"/>
        <v>2100</v>
      </c>
      <c r="K4394" s="5" t="str">
        <f t="shared" si="527"/>
        <v>000</v>
      </c>
      <c r="L4394" s="5">
        <f t="shared" si="528"/>
        <v>11</v>
      </c>
      <c r="M4394" s="5">
        <f t="shared" si="529"/>
        <v>2012</v>
      </c>
    </row>
    <row r="4395" spans="1:13" ht="15" x14ac:dyDescent="0.25">
      <c r="A4395" s="1">
        <f>DATE(2012,11,4)</f>
        <v>41217</v>
      </c>
      <c r="B4395" t="s">
        <v>16</v>
      </c>
      <c r="C4395" t="s">
        <v>8</v>
      </c>
      <c r="D4395" s="3">
        <v>630.20999999999992</v>
      </c>
      <c r="E4395" s="3">
        <v>0</v>
      </c>
      <c r="F4395" t="s">
        <v>45</v>
      </c>
      <c r="G4395" s="3">
        <f t="shared" si="523"/>
        <v>-630.20999999999992</v>
      </c>
      <c r="H4395" s="3">
        <f t="shared" si="524"/>
        <v>630.20999999999992</v>
      </c>
      <c r="I4395" s="5" t="str">
        <f t="shared" si="525"/>
        <v>017</v>
      </c>
      <c r="J4395" s="5" t="str">
        <f t="shared" si="526"/>
        <v>2210</v>
      </c>
      <c r="K4395" s="5" t="str">
        <f t="shared" si="527"/>
        <v>000</v>
      </c>
      <c r="L4395" s="5">
        <f t="shared" si="528"/>
        <v>11</v>
      </c>
      <c r="M4395" s="5">
        <f t="shared" si="529"/>
        <v>2012</v>
      </c>
    </row>
    <row r="4396" spans="1:13" ht="15" x14ac:dyDescent="0.25">
      <c r="A4396" s="1">
        <f>DATE(2012,11,4)</f>
        <v>41217</v>
      </c>
      <c r="B4396" t="s">
        <v>17</v>
      </c>
      <c r="C4396" t="s">
        <v>9</v>
      </c>
      <c r="D4396" s="3">
        <v>101.44</v>
      </c>
      <c r="E4396" s="3">
        <v>0</v>
      </c>
      <c r="F4396" t="s">
        <v>45</v>
      </c>
      <c r="G4396" s="3">
        <f t="shared" si="523"/>
        <v>-101.44</v>
      </c>
      <c r="H4396" s="3">
        <f t="shared" si="524"/>
        <v>101.44</v>
      </c>
      <c r="I4396" s="5" t="str">
        <f t="shared" si="525"/>
        <v>017</v>
      </c>
      <c r="J4396" s="5" t="str">
        <f t="shared" si="526"/>
        <v>2220</v>
      </c>
      <c r="K4396" s="5" t="str">
        <f t="shared" si="527"/>
        <v>000</v>
      </c>
      <c r="L4396" s="5">
        <f t="shared" si="528"/>
        <v>11</v>
      </c>
      <c r="M4396" s="5">
        <f t="shared" si="529"/>
        <v>2012</v>
      </c>
    </row>
    <row r="4397" spans="1:13" ht="15" x14ac:dyDescent="0.25">
      <c r="A4397" s="1">
        <f>DATE(2012,11,4)</f>
        <v>41217</v>
      </c>
      <c r="B4397" t="s">
        <v>18</v>
      </c>
      <c r="C4397" t="s">
        <v>10</v>
      </c>
      <c r="D4397" s="3">
        <v>65.975000000000009</v>
      </c>
      <c r="E4397" s="3">
        <v>0</v>
      </c>
      <c r="F4397" t="s">
        <v>45</v>
      </c>
      <c r="G4397" s="3">
        <f t="shared" si="523"/>
        <v>-65.975000000000009</v>
      </c>
      <c r="H4397" s="3">
        <f t="shared" si="524"/>
        <v>65.975000000000009</v>
      </c>
      <c r="I4397" s="5" t="str">
        <f t="shared" si="525"/>
        <v>017</v>
      </c>
      <c r="J4397" s="5" t="str">
        <f t="shared" si="526"/>
        <v>2230</v>
      </c>
      <c r="K4397" s="5" t="str">
        <f t="shared" si="527"/>
        <v>000</v>
      </c>
      <c r="L4397" s="5">
        <f t="shared" si="528"/>
        <v>11</v>
      </c>
      <c r="M4397" s="5">
        <f t="shared" si="529"/>
        <v>2012</v>
      </c>
    </row>
    <row r="4398" spans="1:13" ht="15" x14ac:dyDescent="0.25">
      <c r="A4398" s="1">
        <f>DATE(2012,10,29)</f>
        <v>41211</v>
      </c>
      <c r="B4398" t="s">
        <v>19</v>
      </c>
      <c r="C4398" t="s">
        <v>6</v>
      </c>
      <c r="D4398" s="3">
        <v>791.99119999999994</v>
      </c>
      <c r="E4398" s="3">
        <v>0</v>
      </c>
      <c r="F4398" t="s">
        <v>45</v>
      </c>
      <c r="G4398" s="3">
        <f t="shared" si="523"/>
        <v>-791.99119999999994</v>
      </c>
      <c r="H4398" s="3">
        <f t="shared" si="524"/>
        <v>791.99119999999994</v>
      </c>
      <c r="I4398" s="5" t="str">
        <f t="shared" si="525"/>
        <v>018</v>
      </c>
      <c r="J4398" s="5" t="str">
        <f t="shared" si="526"/>
        <v>2100</v>
      </c>
      <c r="K4398" s="5" t="str">
        <f t="shared" si="527"/>
        <v>000</v>
      </c>
      <c r="L4398" s="5">
        <f t="shared" si="528"/>
        <v>10</v>
      </c>
      <c r="M4398" s="5">
        <f t="shared" si="529"/>
        <v>2012</v>
      </c>
    </row>
    <row r="4399" spans="1:13" ht="15" x14ac:dyDescent="0.25">
      <c r="A4399" s="1">
        <f>DATE(2012,10,29)</f>
        <v>41211</v>
      </c>
      <c r="B4399" t="s">
        <v>20</v>
      </c>
      <c r="C4399" t="s">
        <v>8</v>
      </c>
      <c r="D4399" s="3">
        <v>179.22450000000001</v>
      </c>
      <c r="E4399" s="3">
        <v>0</v>
      </c>
      <c r="F4399" t="s">
        <v>45</v>
      </c>
      <c r="G4399" s="3">
        <f t="shared" si="523"/>
        <v>-179.22450000000001</v>
      </c>
      <c r="H4399" s="3">
        <f t="shared" si="524"/>
        <v>179.22450000000001</v>
      </c>
      <c r="I4399" s="5" t="str">
        <f t="shared" si="525"/>
        <v>018</v>
      </c>
      <c r="J4399" s="5" t="str">
        <f t="shared" si="526"/>
        <v>2210</v>
      </c>
      <c r="K4399" s="5" t="str">
        <f t="shared" si="527"/>
        <v>000</v>
      </c>
      <c r="L4399" s="5">
        <f t="shared" si="528"/>
        <v>10</v>
      </c>
      <c r="M4399" s="5">
        <f t="shared" si="529"/>
        <v>2012</v>
      </c>
    </row>
    <row r="4400" spans="1:13" ht="15" x14ac:dyDescent="0.25">
      <c r="A4400" s="1">
        <f>DATE(2012,10,29)</f>
        <v>41211</v>
      </c>
      <c r="B4400" t="s">
        <v>21</v>
      </c>
      <c r="C4400" t="s">
        <v>9</v>
      </c>
      <c r="D4400" s="3">
        <v>15.093000000000002</v>
      </c>
      <c r="E4400" s="3">
        <v>0</v>
      </c>
      <c r="F4400" t="s">
        <v>45</v>
      </c>
      <c r="G4400" s="3">
        <f t="shared" si="523"/>
        <v>-15.093000000000002</v>
      </c>
      <c r="H4400" s="3">
        <f t="shared" si="524"/>
        <v>15.093000000000002</v>
      </c>
      <c r="I4400" s="5" t="str">
        <f t="shared" si="525"/>
        <v>018</v>
      </c>
      <c r="J4400" s="5" t="str">
        <f t="shared" si="526"/>
        <v>2220</v>
      </c>
      <c r="K4400" s="5" t="str">
        <f t="shared" si="527"/>
        <v>000</v>
      </c>
      <c r="L4400" s="5">
        <f t="shared" si="528"/>
        <v>10</v>
      </c>
      <c r="M4400" s="5">
        <f t="shared" si="529"/>
        <v>2012</v>
      </c>
    </row>
    <row r="4401" spans="1:13" ht="15" x14ac:dyDescent="0.25">
      <c r="A4401" s="1">
        <f>DATE(2012,10,30)</f>
        <v>41212</v>
      </c>
      <c r="B4401" t="s">
        <v>19</v>
      </c>
      <c r="C4401" t="s">
        <v>6</v>
      </c>
      <c r="D4401" s="3">
        <v>10984.773999999999</v>
      </c>
      <c r="E4401" s="3">
        <v>0</v>
      </c>
      <c r="F4401" t="s">
        <v>45</v>
      </c>
      <c r="G4401" s="3">
        <f t="shared" si="523"/>
        <v>-10984.773999999999</v>
      </c>
      <c r="H4401" s="3">
        <f t="shared" si="524"/>
        <v>10984.773999999999</v>
      </c>
      <c r="I4401" s="5" t="str">
        <f t="shared" si="525"/>
        <v>018</v>
      </c>
      <c r="J4401" s="5" t="str">
        <f t="shared" si="526"/>
        <v>2100</v>
      </c>
      <c r="K4401" s="5" t="str">
        <f t="shared" si="527"/>
        <v>000</v>
      </c>
      <c r="L4401" s="5">
        <f t="shared" si="528"/>
        <v>10</v>
      </c>
      <c r="M4401" s="5">
        <f t="shared" si="529"/>
        <v>2012</v>
      </c>
    </row>
    <row r="4402" spans="1:13" ht="15" x14ac:dyDescent="0.25">
      <c r="A4402" s="1">
        <f>DATE(2012,10,30)</f>
        <v>41212</v>
      </c>
      <c r="B4402" t="s">
        <v>20</v>
      </c>
      <c r="C4402" t="s">
        <v>8</v>
      </c>
      <c r="D4402" s="3">
        <v>1088.4335000000001</v>
      </c>
      <c r="E4402" s="3">
        <v>0</v>
      </c>
      <c r="F4402" t="s">
        <v>45</v>
      </c>
      <c r="G4402" s="3">
        <f t="shared" si="523"/>
        <v>-1088.4335000000001</v>
      </c>
      <c r="H4402" s="3">
        <f t="shared" si="524"/>
        <v>1088.4335000000001</v>
      </c>
      <c r="I4402" s="5" t="str">
        <f t="shared" si="525"/>
        <v>018</v>
      </c>
      <c r="J4402" s="5" t="str">
        <f t="shared" si="526"/>
        <v>2210</v>
      </c>
      <c r="K4402" s="5" t="str">
        <f t="shared" si="527"/>
        <v>000</v>
      </c>
      <c r="L4402" s="5">
        <f t="shared" si="528"/>
        <v>10</v>
      </c>
      <c r="M4402" s="5">
        <f t="shared" si="529"/>
        <v>2012</v>
      </c>
    </row>
    <row r="4403" spans="1:13" ht="15" x14ac:dyDescent="0.25">
      <c r="A4403" s="1">
        <f>DATE(2012,10,30)</f>
        <v>41212</v>
      </c>
      <c r="B4403" t="s">
        <v>21</v>
      </c>
      <c r="C4403" t="s">
        <v>9</v>
      </c>
      <c r="D4403" s="3">
        <v>447.61500000000001</v>
      </c>
      <c r="E4403" s="3">
        <v>0</v>
      </c>
      <c r="F4403" t="s">
        <v>45</v>
      </c>
      <c r="G4403" s="3">
        <f t="shared" si="523"/>
        <v>-447.61500000000001</v>
      </c>
      <c r="H4403" s="3">
        <f t="shared" si="524"/>
        <v>447.61500000000001</v>
      </c>
      <c r="I4403" s="5" t="str">
        <f t="shared" si="525"/>
        <v>018</v>
      </c>
      <c r="J4403" s="5" t="str">
        <f t="shared" si="526"/>
        <v>2220</v>
      </c>
      <c r="K4403" s="5" t="str">
        <f t="shared" si="527"/>
        <v>000</v>
      </c>
      <c r="L4403" s="5">
        <f t="shared" si="528"/>
        <v>10</v>
      </c>
      <c r="M4403" s="5">
        <f t="shared" si="529"/>
        <v>2012</v>
      </c>
    </row>
    <row r="4404" spans="1:13" ht="15" x14ac:dyDescent="0.25">
      <c r="A4404" s="1">
        <f>DATE(2012,10,30)</f>
        <v>41212</v>
      </c>
      <c r="B4404" t="s">
        <v>22</v>
      </c>
      <c r="C4404" t="s">
        <v>10</v>
      </c>
      <c r="D4404" s="3">
        <v>75.905000000000001</v>
      </c>
      <c r="E4404" s="3">
        <v>0</v>
      </c>
      <c r="F4404" t="s">
        <v>45</v>
      </c>
      <c r="G4404" s="3">
        <f t="shared" si="523"/>
        <v>-75.905000000000001</v>
      </c>
      <c r="H4404" s="3">
        <f t="shared" si="524"/>
        <v>75.905000000000001</v>
      </c>
      <c r="I4404" s="5" t="str">
        <f t="shared" si="525"/>
        <v>018</v>
      </c>
      <c r="J4404" s="5" t="str">
        <f t="shared" si="526"/>
        <v>2230</v>
      </c>
      <c r="K4404" s="5" t="str">
        <f t="shared" si="527"/>
        <v>000</v>
      </c>
      <c r="L4404" s="5">
        <f t="shared" si="528"/>
        <v>10</v>
      </c>
      <c r="M4404" s="5">
        <f t="shared" si="529"/>
        <v>2012</v>
      </c>
    </row>
    <row r="4405" spans="1:13" ht="15" x14ac:dyDescent="0.25">
      <c r="A4405" s="1">
        <f>DATE(2012,10,31)</f>
        <v>41213</v>
      </c>
      <c r="B4405" t="s">
        <v>19</v>
      </c>
      <c r="C4405" t="s">
        <v>6</v>
      </c>
      <c r="D4405" s="3">
        <v>4004.6526000000003</v>
      </c>
      <c r="E4405" s="3">
        <v>0</v>
      </c>
      <c r="F4405" t="s">
        <v>45</v>
      </c>
      <c r="G4405" s="3">
        <f t="shared" si="523"/>
        <v>-4004.6526000000003</v>
      </c>
      <c r="H4405" s="3">
        <f t="shared" si="524"/>
        <v>4004.6526000000003</v>
      </c>
      <c r="I4405" s="5" t="str">
        <f t="shared" si="525"/>
        <v>018</v>
      </c>
      <c r="J4405" s="5" t="str">
        <f t="shared" si="526"/>
        <v>2100</v>
      </c>
      <c r="K4405" s="5" t="str">
        <f t="shared" si="527"/>
        <v>000</v>
      </c>
      <c r="L4405" s="5">
        <f t="shared" si="528"/>
        <v>10</v>
      </c>
      <c r="M4405" s="5">
        <f t="shared" si="529"/>
        <v>2012</v>
      </c>
    </row>
    <row r="4406" spans="1:13" ht="15" x14ac:dyDescent="0.25">
      <c r="A4406" s="1">
        <f>DATE(2012,10,31)</f>
        <v>41213</v>
      </c>
      <c r="B4406" t="s">
        <v>20</v>
      </c>
      <c r="C4406" t="s">
        <v>8</v>
      </c>
      <c r="D4406" s="3">
        <v>509.89500000000004</v>
      </c>
      <c r="E4406" s="3">
        <v>0</v>
      </c>
      <c r="F4406" t="s">
        <v>45</v>
      </c>
      <c r="G4406" s="3">
        <f t="shared" si="523"/>
        <v>-509.89500000000004</v>
      </c>
      <c r="H4406" s="3">
        <f t="shared" si="524"/>
        <v>509.89500000000004</v>
      </c>
      <c r="I4406" s="5" t="str">
        <f t="shared" si="525"/>
        <v>018</v>
      </c>
      <c r="J4406" s="5" t="str">
        <f t="shared" si="526"/>
        <v>2210</v>
      </c>
      <c r="K4406" s="5" t="str">
        <f t="shared" si="527"/>
        <v>000</v>
      </c>
      <c r="L4406" s="5">
        <f t="shared" si="528"/>
        <v>10</v>
      </c>
      <c r="M4406" s="5">
        <f t="shared" si="529"/>
        <v>2012</v>
      </c>
    </row>
    <row r="4407" spans="1:13" ht="15" x14ac:dyDescent="0.25">
      <c r="A4407" s="1">
        <f>DATE(2012,10,31)</f>
        <v>41213</v>
      </c>
      <c r="B4407" t="s">
        <v>21</v>
      </c>
      <c r="C4407" t="s">
        <v>9</v>
      </c>
      <c r="D4407" s="3">
        <v>225.88200000000001</v>
      </c>
      <c r="E4407" s="3">
        <v>0</v>
      </c>
      <c r="F4407" t="s">
        <v>45</v>
      </c>
      <c r="G4407" s="3">
        <f t="shared" si="523"/>
        <v>-225.88200000000001</v>
      </c>
      <c r="H4407" s="3">
        <f t="shared" si="524"/>
        <v>225.88200000000001</v>
      </c>
      <c r="I4407" s="5" t="str">
        <f t="shared" si="525"/>
        <v>018</v>
      </c>
      <c r="J4407" s="5" t="str">
        <f t="shared" si="526"/>
        <v>2220</v>
      </c>
      <c r="K4407" s="5" t="str">
        <f t="shared" si="527"/>
        <v>000</v>
      </c>
      <c r="L4407" s="5">
        <f t="shared" si="528"/>
        <v>10</v>
      </c>
      <c r="M4407" s="5">
        <f t="shared" si="529"/>
        <v>2012</v>
      </c>
    </row>
    <row r="4408" spans="1:13" ht="15" x14ac:dyDescent="0.25">
      <c r="A4408" s="1">
        <f>DATE(2012,10,31)</f>
        <v>41213</v>
      </c>
      <c r="B4408" t="s">
        <v>22</v>
      </c>
      <c r="C4408" t="s">
        <v>10</v>
      </c>
      <c r="D4408" s="3">
        <v>70.372</v>
      </c>
      <c r="E4408" s="3">
        <v>0</v>
      </c>
      <c r="F4408" t="s">
        <v>45</v>
      </c>
      <c r="G4408" s="3">
        <f t="shared" si="523"/>
        <v>-70.372</v>
      </c>
      <c r="H4408" s="3">
        <f t="shared" si="524"/>
        <v>70.372</v>
      </c>
      <c r="I4408" s="5" t="str">
        <f t="shared" si="525"/>
        <v>018</v>
      </c>
      <c r="J4408" s="5" t="str">
        <f t="shared" si="526"/>
        <v>2230</v>
      </c>
      <c r="K4408" s="5" t="str">
        <f t="shared" si="527"/>
        <v>000</v>
      </c>
      <c r="L4408" s="5">
        <f t="shared" si="528"/>
        <v>10</v>
      </c>
      <c r="M4408" s="5">
        <f t="shared" si="529"/>
        <v>2012</v>
      </c>
    </row>
    <row r="4409" spans="1:13" ht="15" x14ac:dyDescent="0.25">
      <c r="A4409" s="1">
        <f t="shared" ref="A4409:A4412" si="530">DATE(2012,11,1)</f>
        <v>41214</v>
      </c>
      <c r="B4409" t="s">
        <v>19</v>
      </c>
      <c r="C4409" t="s">
        <v>6</v>
      </c>
      <c r="D4409" s="3">
        <v>4221.0479999999998</v>
      </c>
      <c r="E4409" s="3">
        <v>0</v>
      </c>
      <c r="F4409" t="s">
        <v>45</v>
      </c>
      <c r="G4409" s="3">
        <f t="shared" si="523"/>
        <v>-4221.0479999999998</v>
      </c>
      <c r="H4409" s="3">
        <f t="shared" si="524"/>
        <v>4221.0479999999998</v>
      </c>
      <c r="I4409" s="5" t="str">
        <f t="shared" si="525"/>
        <v>018</v>
      </c>
      <c r="J4409" s="5" t="str">
        <f t="shared" si="526"/>
        <v>2100</v>
      </c>
      <c r="K4409" s="5" t="str">
        <f t="shared" si="527"/>
        <v>000</v>
      </c>
      <c r="L4409" s="5">
        <f t="shared" si="528"/>
        <v>11</v>
      </c>
      <c r="M4409" s="5">
        <f t="shared" si="529"/>
        <v>2012</v>
      </c>
    </row>
    <row r="4410" spans="1:13" ht="15" x14ac:dyDescent="0.25">
      <c r="A4410" s="1">
        <f t="shared" si="530"/>
        <v>41214</v>
      </c>
      <c r="B4410" t="s">
        <v>20</v>
      </c>
      <c r="C4410" t="s">
        <v>8</v>
      </c>
      <c r="D4410" s="3">
        <v>1205.4549999999999</v>
      </c>
      <c r="E4410" s="3">
        <v>0</v>
      </c>
      <c r="F4410" t="s">
        <v>45</v>
      </c>
      <c r="G4410" s="3">
        <f t="shared" si="523"/>
        <v>-1205.4549999999999</v>
      </c>
      <c r="H4410" s="3">
        <f t="shared" si="524"/>
        <v>1205.4549999999999</v>
      </c>
      <c r="I4410" s="5" t="str">
        <f t="shared" si="525"/>
        <v>018</v>
      </c>
      <c r="J4410" s="5" t="str">
        <f t="shared" si="526"/>
        <v>2210</v>
      </c>
      <c r="K4410" s="5" t="str">
        <f t="shared" si="527"/>
        <v>000</v>
      </c>
      <c r="L4410" s="5">
        <f t="shared" si="528"/>
        <v>11</v>
      </c>
      <c r="M4410" s="5">
        <f t="shared" si="529"/>
        <v>2012</v>
      </c>
    </row>
    <row r="4411" spans="1:13" ht="15" x14ac:dyDescent="0.25">
      <c r="A4411" s="1">
        <f t="shared" si="530"/>
        <v>41214</v>
      </c>
      <c r="B4411" t="s">
        <v>21</v>
      </c>
      <c r="C4411" t="s">
        <v>9</v>
      </c>
      <c r="D4411" s="3">
        <v>235.18799999999999</v>
      </c>
      <c r="E4411" s="3">
        <v>0</v>
      </c>
      <c r="F4411" t="s">
        <v>45</v>
      </c>
      <c r="G4411" s="3">
        <f t="shared" si="523"/>
        <v>-235.18799999999999</v>
      </c>
      <c r="H4411" s="3">
        <f t="shared" si="524"/>
        <v>235.18799999999999</v>
      </c>
      <c r="I4411" s="5" t="str">
        <f t="shared" si="525"/>
        <v>018</v>
      </c>
      <c r="J4411" s="5" t="str">
        <f t="shared" si="526"/>
        <v>2220</v>
      </c>
      <c r="K4411" s="5" t="str">
        <f t="shared" si="527"/>
        <v>000</v>
      </c>
      <c r="L4411" s="5">
        <f t="shared" si="528"/>
        <v>11</v>
      </c>
      <c r="M4411" s="5">
        <f t="shared" si="529"/>
        <v>2012</v>
      </c>
    </row>
    <row r="4412" spans="1:13" ht="15" x14ac:dyDescent="0.25">
      <c r="A4412" s="1">
        <f t="shared" si="530"/>
        <v>41214</v>
      </c>
      <c r="B4412" t="s">
        <v>22</v>
      </c>
      <c r="C4412" t="s">
        <v>10</v>
      </c>
      <c r="D4412" s="3">
        <v>102.99199999999999</v>
      </c>
      <c r="E4412" s="3">
        <v>0</v>
      </c>
      <c r="F4412" t="s">
        <v>45</v>
      </c>
      <c r="G4412" s="3">
        <f t="shared" si="523"/>
        <v>-102.99199999999999</v>
      </c>
      <c r="H4412" s="3">
        <f t="shared" si="524"/>
        <v>102.99199999999999</v>
      </c>
      <c r="I4412" s="5" t="str">
        <f t="shared" si="525"/>
        <v>018</v>
      </c>
      <c r="J4412" s="5" t="str">
        <f t="shared" si="526"/>
        <v>2230</v>
      </c>
      <c r="K4412" s="5" t="str">
        <f t="shared" si="527"/>
        <v>000</v>
      </c>
      <c r="L4412" s="5">
        <f t="shared" si="528"/>
        <v>11</v>
      </c>
      <c r="M4412" s="5">
        <f t="shared" si="529"/>
        <v>2012</v>
      </c>
    </row>
    <row r="4413" spans="1:13" ht="15" x14ac:dyDescent="0.25">
      <c r="A4413" s="1">
        <f>DATE(2012,11,2)</f>
        <v>41215</v>
      </c>
      <c r="B4413" t="s">
        <v>19</v>
      </c>
      <c r="C4413" t="s">
        <v>6</v>
      </c>
      <c r="D4413" s="3">
        <v>11262.498000000001</v>
      </c>
      <c r="E4413" s="3">
        <v>0</v>
      </c>
      <c r="F4413" t="s">
        <v>45</v>
      </c>
      <c r="G4413" s="3">
        <f t="shared" si="523"/>
        <v>-11262.498000000001</v>
      </c>
      <c r="H4413" s="3">
        <f t="shared" si="524"/>
        <v>11262.498000000001</v>
      </c>
      <c r="I4413" s="5" t="str">
        <f t="shared" si="525"/>
        <v>018</v>
      </c>
      <c r="J4413" s="5" t="str">
        <f t="shared" si="526"/>
        <v>2100</v>
      </c>
      <c r="K4413" s="5" t="str">
        <f t="shared" si="527"/>
        <v>000</v>
      </c>
      <c r="L4413" s="5">
        <f t="shared" si="528"/>
        <v>11</v>
      </c>
      <c r="M4413" s="5">
        <f t="shared" si="529"/>
        <v>2012</v>
      </c>
    </row>
    <row r="4414" spans="1:13" ht="15" x14ac:dyDescent="0.25">
      <c r="A4414" s="1">
        <f>DATE(2012,11,2)</f>
        <v>41215</v>
      </c>
      <c r="B4414" t="s">
        <v>20</v>
      </c>
      <c r="C4414" t="s">
        <v>8</v>
      </c>
      <c r="D4414" s="3">
        <v>1898.5400000000002</v>
      </c>
      <c r="E4414" s="3">
        <v>0</v>
      </c>
      <c r="F4414" t="s">
        <v>45</v>
      </c>
      <c r="G4414" s="3">
        <f t="shared" si="523"/>
        <v>-1898.5400000000002</v>
      </c>
      <c r="H4414" s="3">
        <f t="shared" si="524"/>
        <v>1898.5400000000002</v>
      </c>
      <c r="I4414" s="5" t="str">
        <f t="shared" si="525"/>
        <v>018</v>
      </c>
      <c r="J4414" s="5" t="str">
        <f t="shared" si="526"/>
        <v>2210</v>
      </c>
      <c r="K4414" s="5" t="str">
        <f t="shared" si="527"/>
        <v>000</v>
      </c>
      <c r="L4414" s="5">
        <f t="shared" si="528"/>
        <v>11</v>
      </c>
      <c r="M4414" s="5">
        <f t="shared" si="529"/>
        <v>2012</v>
      </c>
    </row>
    <row r="4415" spans="1:13" ht="15" x14ac:dyDescent="0.25">
      <c r="A4415" s="1">
        <f>DATE(2012,11,2)</f>
        <v>41215</v>
      </c>
      <c r="B4415" t="s">
        <v>21</v>
      </c>
      <c r="C4415" t="s">
        <v>9</v>
      </c>
      <c r="D4415" s="3">
        <v>879.35</v>
      </c>
      <c r="E4415" s="3">
        <v>0</v>
      </c>
      <c r="F4415" t="s">
        <v>45</v>
      </c>
      <c r="G4415" s="3">
        <f t="shared" si="523"/>
        <v>-879.35</v>
      </c>
      <c r="H4415" s="3">
        <f t="shared" si="524"/>
        <v>879.35</v>
      </c>
      <c r="I4415" s="5" t="str">
        <f t="shared" si="525"/>
        <v>018</v>
      </c>
      <c r="J4415" s="5" t="str">
        <f t="shared" si="526"/>
        <v>2220</v>
      </c>
      <c r="K4415" s="5" t="str">
        <f t="shared" si="527"/>
        <v>000</v>
      </c>
      <c r="L4415" s="5">
        <f t="shared" si="528"/>
        <v>11</v>
      </c>
      <c r="M4415" s="5">
        <f t="shared" si="529"/>
        <v>2012</v>
      </c>
    </row>
    <row r="4416" spans="1:13" ht="15" x14ac:dyDescent="0.25">
      <c r="A4416" s="1">
        <f>DATE(2012,11,2)</f>
        <v>41215</v>
      </c>
      <c r="B4416" t="s">
        <v>22</v>
      </c>
      <c r="C4416" t="s">
        <v>10</v>
      </c>
      <c r="D4416" s="3">
        <v>162.70349999999999</v>
      </c>
      <c r="E4416" s="3">
        <v>0</v>
      </c>
      <c r="F4416" t="s">
        <v>45</v>
      </c>
      <c r="G4416" s="3">
        <f t="shared" si="523"/>
        <v>-162.70349999999999</v>
      </c>
      <c r="H4416" s="3">
        <f t="shared" si="524"/>
        <v>162.70349999999999</v>
      </c>
      <c r="I4416" s="5" t="str">
        <f t="shared" si="525"/>
        <v>018</v>
      </c>
      <c r="J4416" s="5" t="str">
        <f t="shared" si="526"/>
        <v>2230</v>
      </c>
      <c r="K4416" s="5" t="str">
        <f t="shared" si="527"/>
        <v>000</v>
      </c>
      <c r="L4416" s="5">
        <f t="shared" si="528"/>
        <v>11</v>
      </c>
      <c r="M4416" s="5">
        <f t="shared" si="529"/>
        <v>2012</v>
      </c>
    </row>
    <row r="4417" spans="1:13" ht="15" x14ac:dyDescent="0.25">
      <c r="A4417" s="1">
        <f>DATE(2012,11,3)</f>
        <v>41216</v>
      </c>
      <c r="B4417" t="s">
        <v>19</v>
      </c>
      <c r="C4417" t="s">
        <v>6</v>
      </c>
      <c r="D4417" s="3">
        <v>17824.632000000001</v>
      </c>
      <c r="E4417" s="3">
        <v>0</v>
      </c>
      <c r="F4417" t="s">
        <v>45</v>
      </c>
      <c r="G4417" s="3">
        <f t="shared" si="523"/>
        <v>-17824.632000000001</v>
      </c>
      <c r="H4417" s="3">
        <f t="shared" si="524"/>
        <v>17824.632000000001</v>
      </c>
      <c r="I4417" s="5" t="str">
        <f t="shared" si="525"/>
        <v>018</v>
      </c>
      <c r="J4417" s="5" t="str">
        <f t="shared" si="526"/>
        <v>2100</v>
      </c>
      <c r="K4417" s="5" t="str">
        <f t="shared" si="527"/>
        <v>000</v>
      </c>
      <c r="L4417" s="5">
        <f t="shared" si="528"/>
        <v>11</v>
      </c>
      <c r="M4417" s="5">
        <f t="shared" si="529"/>
        <v>2012</v>
      </c>
    </row>
    <row r="4418" spans="1:13" ht="15" x14ac:dyDescent="0.25">
      <c r="A4418" s="1">
        <f>DATE(2012,11,3)</f>
        <v>41216</v>
      </c>
      <c r="B4418" t="s">
        <v>20</v>
      </c>
      <c r="C4418" t="s">
        <v>8</v>
      </c>
      <c r="D4418" s="3">
        <v>2607.9899999999998</v>
      </c>
      <c r="E4418" s="3">
        <v>0</v>
      </c>
      <c r="F4418" t="s">
        <v>45</v>
      </c>
      <c r="G4418" s="3">
        <f t="shared" ref="G4418:G4481" si="531">E4418-D4418</f>
        <v>-2607.9899999999998</v>
      </c>
      <c r="H4418" s="3">
        <f t="shared" ref="H4418:H4481" si="532">ABS(G4418)</f>
        <v>2607.9899999999998</v>
      </c>
      <c r="I4418" s="5" t="str">
        <f t="shared" ref="I4418:I4481" si="533">MID(B4418,1,3)</f>
        <v>018</v>
      </c>
      <c r="J4418" s="5" t="str">
        <f t="shared" ref="J4418:J4481" si="534">MID(B4418,5,4)</f>
        <v>2210</v>
      </c>
      <c r="K4418" s="5" t="str">
        <f t="shared" ref="K4418:K4481" si="535">MID(B4418,10,3)</f>
        <v>000</v>
      </c>
      <c r="L4418" s="5">
        <f t="shared" ref="L4418:L4481" si="536">MONTH(A4418)</f>
        <v>11</v>
      </c>
      <c r="M4418" s="5">
        <f t="shared" ref="M4418:M4481" si="537">YEAR(A4418)</f>
        <v>2012</v>
      </c>
    </row>
    <row r="4419" spans="1:13" ht="15" x14ac:dyDescent="0.25">
      <c r="A4419" s="1">
        <f>DATE(2012,11,3)</f>
        <v>41216</v>
      </c>
      <c r="B4419" t="s">
        <v>21</v>
      </c>
      <c r="C4419" t="s">
        <v>9</v>
      </c>
      <c r="D4419" s="3">
        <v>1354.2165000000002</v>
      </c>
      <c r="E4419" s="3">
        <v>0</v>
      </c>
      <c r="F4419" t="s">
        <v>45</v>
      </c>
      <c r="G4419" s="3">
        <f t="shared" si="531"/>
        <v>-1354.2165000000002</v>
      </c>
      <c r="H4419" s="3">
        <f t="shared" si="532"/>
        <v>1354.2165000000002</v>
      </c>
      <c r="I4419" s="5" t="str">
        <f t="shared" si="533"/>
        <v>018</v>
      </c>
      <c r="J4419" s="5" t="str">
        <f t="shared" si="534"/>
        <v>2220</v>
      </c>
      <c r="K4419" s="5" t="str">
        <f t="shared" si="535"/>
        <v>000</v>
      </c>
      <c r="L4419" s="5">
        <f t="shared" si="536"/>
        <v>11</v>
      </c>
      <c r="M4419" s="5">
        <f t="shared" si="537"/>
        <v>2012</v>
      </c>
    </row>
    <row r="4420" spans="1:13" ht="15" x14ac:dyDescent="0.25">
      <c r="A4420" s="1">
        <f>DATE(2012,11,3)</f>
        <v>41216</v>
      </c>
      <c r="B4420" t="s">
        <v>22</v>
      </c>
      <c r="C4420" t="s">
        <v>10</v>
      </c>
      <c r="D4420" s="3">
        <v>166.375</v>
      </c>
      <c r="E4420" s="3">
        <v>0</v>
      </c>
      <c r="F4420" t="s">
        <v>45</v>
      </c>
      <c r="G4420" s="3">
        <f t="shared" si="531"/>
        <v>-166.375</v>
      </c>
      <c r="H4420" s="3">
        <f t="shared" si="532"/>
        <v>166.375</v>
      </c>
      <c r="I4420" s="5" t="str">
        <f t="shared" si="533"/>
        <v>018</v>
      </c>
      <c r="J4420" s="5" t="str">
        <f t="shared" si="534"/>
        <v>2230</v>
      </c>
      <c r="K4420" s="5" t="str">
        <f t="shared" si="535"/>
        <v>000</v>
      </c>
      <c r="L4420" s="5">
        <f t="shared" si="536"/>
        <v>11</v>
      </c>
      <c r="M4420" s="5">
        <f t="shared" si="537"/>
        <v>2012</v>
      </c>
    </row>
    <row r="4421" spans="1:13" ht="15" x14ac:dyDescent="0.25">
      <c r="A4421" s="1">
        <f>DATE(2012,11,4)</f>
        <v>41217</v>
      </c>
      <c r="B4421" t="s">
        <v>19</v>
      </c>
      <c r="C4421" t="s">
        <v>6</v>
      </c>
      <c r="D4421" s="3">
        <v>8412.7400000000016</v>
      </c>
      <c r="E4421" s="3">
        <v>0</v>
      </c>
      <c r="F4421" t="s">
        <v>45</v>
      </c>
      <c r="G4421" s="3">
        <f t="shared" si="531"/>
        <v>-8412.7400000000016</v>
      </c>
      <c r="H4421" s="3">
        <f t="shared" si="532"/>
        <v>8412.7400000000016</v>
      </c>
      <c r="I4421" s="5" t="str">
        <f t="shared" si="533"/>
        <v>018</v>
      </c>
      <c r="J4421" s="5" t="str">
        <f t="shared" si="534"/>
        <v>2100</v>
      </c>
      <c r="K4421" s="5" t="str">
        <f t="shared" si="535"/>
        <v>000</v>
      </c>
      <c r="L4421" s="5">
        <f t="shared" si="536"/>
        <v>11</v>
      </c>
      <c r="M4421" s="5">
        <f t="shared" si="537"/>
        <v>2012</v>
      </c>
    </row>
    <row r="4422" spans="1:13" ht="15" x14ac:dyDescent="0.25">
      <c r="A4422" s="1">
        <f>DATE(2012,11,4)</f>
        <v>41217</v>
      </c>
      <c r="B4422" t="s">
        <v>20</v>
      </c>
      <c r="C4422" t="s">
        <v>8</v>
      </c>
      <c r="D4422" s="3">
        <v>1442.79</v>
      </c>
      <c r="E4422" s="3">
        <v>0</v>
      </c>
      <c r="F4422" t="s">
        <v>45</v>
      </c>
      <c r="G4422" s="3">
        <f t="shared" si="531"/>
        <v>-1442.79</v>
      </c>
      <c r="H4422" s="3">
        <f t="shared" si="532"/>
        <v>1442.79</v>
      </c>
      <c r="I4422" s="5" t="str">
        <f t="shared" si="533"/>
        <v>018</v>
      </c>
      <c r="J4422" s="5" t="str">
        <f t="shared" si="534"/>
        <v>2210</v>
      </c>
      <c r="K4422" s="5" t="str">
        <f t="shared" si="535"/>
        <v>000</v>
      </c>
      <c r="L4422" s="5">
        <f t="shared" si="536"/>
        <v>11</v>
      </c>
      <c r="M4422" s="5">
        <f t="shared" si="537"/>
        <v>2012</v>
      </c>
    </row>
    <row r="4423" spans="1:13" ht="15" x14ac:dyDescent="0.25">
      <c r="A4423" s="1">
        <f>DATE(2012,11,4)</f>
        <v>41217</v>
      </c>
      <c r="B4423" t="s">
        <v>21</v>
      </c>
      <c r="C4423" t="s">
        <v>9</v>
      </c>
      <c r="D4423" s="3">
        <v>340.12800000000004</v>
      </c>
      <c r="E4423" s="3">
        <v>0</v>
      </c>
      <c r="F4423" t="s">
        <v>45</v>
      </c>
      <c r="G4423" s="3">
        <f t="shared" si="531"/>
        <v>-340.12800000000004</v>
      </c>
      <c r="H4423" s="3">
        <f t="shared" si="532"/>
        <v>340.12800000000004</v>
      </c>
      <c r="I4423" s="5" t="str">
        <f t="shared" si="533"/>
        <v>018</v>
      </c>
      <c r="J4423" s="5" t="str">
        <f t="shared" si="534"/>
        <v>2220</v>
      </c>
      <c r="K4423" s="5" t="str">
        <f t="shared" si="535"/>
        <v>000</v>
      </c>
      <c r="L4423" s="5">
        <f t="shared" si="536"/>
        <v>11</v>
      </c>
      <c r="M4423" s="5">
        <f t="shared" si="537"/>
        <v>2012</v>
      </c>
    </row>
    <row r="4424" spans="1:13" ht="15" x14ac:dyDescent="0.25">
      <c r="A4424" s="1">
        <f>DATE(2012,11,4)</f>
        <v>41217</v>
      </c>
      <c r="B4424" t="s">
        <v>22</v>
      </c>
      <c r="C4424" t="s">
        <v>10</v>
      </c>
      <c r="D4424" s="3">
        <v>83.887499999999989</v>
      </c>
      <c r="E4424" s="3">
        <v>0</v>
      </c>
      <c r="F4424" t="s">
        <v>45</v>
      </c>
      <c r="G4424" s="3">
        <f t="shared" si="531"/>
        <v>-83.887499999999989</v>
      </c>
      <c r="H4424" s="3">
        <f t="shared" si="532"/>
        <v>83.887499999999989</v>
      </c>
      <c r="I4424" s="5" t="str">
        <f t="shared" si="533"/>
        <v>018</v>
      </c>
      <c r="J4424" s="5" t="str">
        <f t="shared" si="534"/>
        <v>2230</v>
      </c>
      <c r="K4424" s="5" t="str">
        <f t="shared" si="535"/>
        <v>000</v>
      </c>
      <c r="L4424" s="5">
        <f t="shared" si="536"/>
        <v>11</v>
      </c>
      <c r="M4424" s="5">
        <f t="shared" si="537"/>
        <v>2012</v>
      </c>
    </row>
    <row r="4425" spans="1:13" ht="15" x14ac:dyDescent="0.25">
      <c r="A4425" s="1">
        <f>DATE(2012,11,5)</f>
        <v>41218</v>
      </c>
      <c r="B4425" t="s">
        <v>11</v>
      </c>
      <c r="C4425" t="s">
        <v>6</v>
      </c>
      <c r="D4425" s="3">
        <v>2566.0823999999998</v>
      </c>
      <c r="E4425" s="3">
        <v>0</v>
      </c>
      <c r="F4425" t="s">
        <v>45</v>
      </c>
      <c r="G4425" s="3">
        <f t="shared" si="531"/>
        <v>-2566.0823999999998</v>
      </c>
      <c r="H4425" s="3">
        <f t="shared" si="532"/>
        <v>2566.0823999999998</v>
      </c>
      <c r="I4425" s="5" t="str">
        <f t="shared" si="533"/>
        <v>016</v>
      </c>
      <c r="J4425" s="5" t="str">
        <f t="shared" si="534"/>
        <v>2100</v>
      </c>
      <c r="K4425" s="5" t="str">
        <f t="shared" si="535"/>
        <v>000</v>
      </c>
      <c r="L4425" s="5">
        <f t="shared" si="536"/>
        <v>11</v>
      </c>
      <c r="M4425" s="5">
        <f t="shared" si="537"/>
        <v>2012</v>
      </c>
    </row>
    <row r="4426" spans="1:13" ht="15" x14ac:dyDescent="0.25">
      <c r="A4426" s="1">
        <f>DATE(2012,11,5)</f>
        <v>41218</v>
      </c>
      <c r="B4426" t="s">
        <v>12</v>
      </c>
      <c r="C4426" t="s">
        <v>8</v>
      </c>
      <c r="D4426" s="3">
        <v>381.56800000000004</v>
      </c>
      <c r="E4426" s="3">
        <v>0</v>
      </c>
      <c r="F4426" t="s">
        <v>45</v>
      </c>
      <c r="G4426" s="3">
        <f t="shared" si="531"/>
        <v>-381.56800000000004</v>
      </c>
      <c r="H4426" s="3">
        <f t="shared" si="532"/>
        <v>381.56800000000004</v>
      </c>
      <c r="I4426" s="5" t="str">
        <f t="shared" si="533"/>
        <v>016</v>
      </c>
      <c r="J4426" s="5" t="str">
        <f t="shared" si="534"/>
        <v>2210</v>
      </c>
      <c r="K4426" s="5" t="str">
        <f t="shared" si="535"/>
        <v>000</v>
      </c>
      <c r="L4426" s="5">
        <f t="shared" si="536"/>
        <v>11</v>
      </c>
      <c r="M4426" s="5">
        <f t="shared" si="537"/>
        <v>2012</v>
      </c>
    </row>
    <row r="4427" spans="1:13" ht="15" x14ac:dyDescent="0.25">
      <c r="A4427" s="1">
        <f>DATE(2012,11,5)</f>
        <v>41218</v>
      </c>
      <c r="B4427" t="s">
        <v>13</v>
      </c>
      <c r="C4427" t="s">
        <v>9</v>
      </c>
      <c r="D4427" s="3">
        <v>67.099500000000006</v>
      </c>
      <c r="E4427" s="3">
        <v>0</v>
      </c>
      <c r="F4427" t="s">
        <v>45</v>
      </c>
      <c r="G4427" s="3">
        <f t="shared" si="531"/>
        <v>-67.099500000000006</v>
      </c>
      <c r="H4427" s="3">
        <f t="shared" si="532"/>
        <v>67.099500000000006</v>
      </c>
      <c r="I4427" s="5" t="str">
        <f t="shared" si="533"/>
        <v>016</v>
      </c>
      <c r="J4427" s="5" t="str">
        <f t="shared" si="534"/>
        <v>2220</v>
      </c>
      <c r="K4427" s="5" t="str">
        <f t="shared" si="535"/>
        <v>000</v>
      </c>
      <c r="L4427" s="5">
        <f t="shared" si="536"/>
        <v>11</v>
      </c>
      <c r="M4427" s="5">
        <f t="shared" si="537"/>
        <v>2012</v>
      </c>
    </row>
    <row r="4428" spans="1:13" ht="15" x14ac:dyDescent="0.25">
      <c r="A4428" s="1">
        <f>DATE(2012,11,5)</f>
        <v>41218</v>
      </c>
      <c r="B4428" t="s">
        <v>14</v>
      </c>
      <c r="C4428" t="s">
        <v>10</v>
      </c>
      <c r="D4428" s="3">
        <v>6.9309999999999992</v>
      </c>
      <c r="E4428" s="3">
        <v>0</v>
      </c>
      <c r="F4428" t="s">
        <v>45</v>
      </c>
      <c r="G4428" s="3">
        <f t="shared" si="531"/>
        <v>-6.9309999999999992</v>
      </c>
      <c r="H4428" s="3">
        <f t="shared" si="532"/>
        <v>6.9309999999999992</v>
      </c>
      <c r="I4428" s="5" t="str">
        <f t="shared" si="533"/>
        <v>016</v>
      </c>
      <c r="J4428" s="5" t="str">
        <f t="shared" si="534"/>
        <v>2230</v>
      </c>
      <c r="K4428" s="5" t="str">
        <f t="shared" si="535"/>
        <v>000</v>
      </c>
      <c r="L4428" s="5">
        <f t="shared" si="536"/>
        <v>11</v>
      </c>
      <c r="M4428" s="5">
        <f t="shared" si="537"/>
        <v>2012</v>
      </c>
    </row>
    <row r="4429" spans="1:13" ht="15" x14ac:dyDescent="0.25">
      <c r="A4429" s="1">
        <f>DATE(2012,11,6)</f>
        <v>41219</v>
      </c>
      <c r="B4429" t="s">
        <v>11</v>
      </c>
      <c r="C4429" t="s">
        <v>6</v>
      </c>
      <c r="D4429" s="3">
        <v>6083.7420000000002</v>
      </c>
      <c r="E4429" s="3">
        <v>0</v>
      </c>
      <c r="F4429" t="s">
        <v>45</v>
      </c>
      <c r="G4429" s="3">
        <f t="shared" si="531"/>
        <v>-6083.7420000000002</v>
      </c>
      <c r="H4429" s="3">
        <f t="shared" si="532"/>
        <v>6083.7420000000002</v>
      </c>
      <c r="I4429" s="5" t="str">
        <f t="shared" si="533"/>
        <v>016</v>
      </c>
      <c r="J4429" s="5" t="str">
        <f t="shared" si="534"/>
        <v>2100</v>
      </c>
      <c r="K4429" s="5" t="str">
        <f t="shared" si="535"/>
        <v>000</v>
      </c>
      <c r="L4429" s="5">
        <f t="shared" si="536"/>
        <v>11</v>
      </c>
      <c r="M4429" s="5">
        <f t="shared" si="537"/>
        <v>2012</v>
      </c>
    </row>
    <row r="4430" spans="1:13" ht="15" x14ac:dyDescent="0.25">
      <c r="A4430" s="1">
        <f>DATE(2012,11,6)</f>
        <v>41219</v>
      </c>
      <c r="B4430" t="s">
        <v>12</v>
      </c>
      <c r="C4430" t="s">
        <v>8</v>
      </c>
      <c r="D4430" s="3">
        <v>2209.4304999999999</v>
      </c>
      <c r="E4430" s="3">
        <v>0</v>
      </c>
      <c r="F4430" t="s">
        <v>45</v>
      </c>
      <c r="G4430" s="3">
        <f t="shared" si="531"/>
        <v>-2209.4304999999999</v>
      </c>
      <c r="H4430" s="3">
        <f t="shared" si="532"/>
        <v>2209.4304999999999</v>
      </c>
      <c r="I4430" s="5" t="str">
        <f t="shared" si="533"/>
        <v>016</v>
      </c>
      <c r="J4430" s="5" t="str">
        <f t="shared" si="534"/>
        <v>2210</v>
      </c>
      <c r="K4430" s="5" t="str">
        <f t="shared" si="535"/>
        <v>000</v>
      </c>
      <c r="L4430" s="5">
        <f t="shared" si="536"/>
        <v>11</v>
      </c>
      <c r="M4430" s="5">
        <f t="shared" si="537"/>
        <v>2012</v>
      </c>
    </row>
    <row r="4431" spans="1:13" ht="15" x14ac:dyDescent="0.25">
      <c r="A4431" s="1">
        <f>DATE(2012,11,6)</f>
        <v>41219</v>
      </c>
      <c r="B4431" t="s">
        <v>13</v>
      </c>
      <c r="C4431" t="s">
        <v>9</v>
      </c>
      <c r="D4431" s="3">
        <v>745.55159999999989</v>
      </c>
      <c r="E4431" s="3">
        <v>0</v>
      </c>
      <c r="F4431" t="s">
        <v>45</v>
      </c>
      <c r="G4431" s="3">
        <f t="shared" si="531"/>
        <v>-745.55159999999989</v>
      </c>
      <c r="H4431" s="3">
        <f t="shared" si="532"/>
        <v>745.55159999999989</v>
      </c>
      <c r="I4431" s="5" t="str">
        <f t="shared" si="533"/>
        <v>016</v>
      </c>
      <c r="J4431" s="5" t="str">
        <f t="shared" si="534"/>
        <v>2220</v>
      </c>
      <c r="K4431" s="5" t="str">
        <f t="shared" si="535"/>
        <v>000</v>
      </c>
      <c r="L4431" s="5">
        <f t="shared" si="536"/>
        <v>11</v>
      </c>
      <c r="M4431" s="5">
        <f t="shared" si="537"/>
        <v>2012</v>
      </c>
    </row>
    <row r="4432" spans="1:13" ht="15" x14ac:dyDescent="0.25">
      <c r="A4432" s="1">
        <f>DATE(2012,11,6)</f>
        <v>41219</v>
      </c>
      <c r="B4432" t="s">
        <v>14</v>
      </c>
      <c r="C4432" t="s">
        <v>10</v>
      </c>
      <c r="D4432" s="3">
        <v>174.173</v>
      </c>
      <c r="E4432" s="3">
        <v>0</v>
      </c>
      <c r="F4432" t="s">
        <v>45</v>
      </c>
      <c r="G4432" s="3">
        <f t="shared" si="531"/>
        <v>-174.173</v>
      </c>
      <c r="H4432" s="3">
        <f t="shared" si="532"/>
        <v>174.173</v>
      </c>
      <c r="I4432" s="5" t="str">
        <f t="shared" si="533"/>
        <v>016</v>
      </c>
      <c r="J4432" s="5" t="str">
        <f t="shared" si="534"/>
        <v>2230</v>
      </c>
      <c r="K4432" s="5" t="str">
        <f t="shared" si="535"/>
        <v>000</v>
      </c>
      <c r="L4432" s="5">
        <f t="shared" si="536"/>
        <v>11</v>
      </c>
      <c r="M4432" s="5">
        <f t="shared" si="537"/>
        <v>2012</v>
      </c>
    </row>
    <row r="4433" spans="1:13" ht="15" x14ac:dyDescent="0.25">
      <c r="A4433" s="1">
        <f t="shared" ref="A4433:A4436" si="538">DATE(2012,11,7)</f>
        <v>41220</v>
      </c>
      <c r="B4433" t="s">
        <v>11</v>
      </c>
      <c r="C4433" t="s">
        <v>6</v>
      </c>
      <c r="D4433" s="3">
        <v>2239.3139999999999</v>
      </c>
      <c r="E4433" s="3">
        <v>0</v>
      </c>
      <c r="F4433" t="s">
        <v>45</v>
      </c>
      <c r="G4433" s="3">
        <f t="shared" si="531"/>
        <v>-2239.3139999999999</v>
      </c>
      <c r="H4433" s="3">
        <f t="shared" si="532"/>
        <v>2239.3139999999999</v>
      </c>
      <c r="I4433" s="5" t="str">
        <f t="shared" si="533"/>
        <v>016</v>
      </c>
      <c r="J4433" s="5" t="str">
        <f t="shared" si="534"/>
        <v>2100</v>
      </c>
      <c r="K4433" s="5" t="str">
        <f t="shared" si="535"/>
        <v>000</v>
      </c>
      <c r="L4433" s="5">
        <f t="shared" si="536"/>
        <v>11</v>
      </c>
      <c r="M4433" s="5">
        <f t="shared" si="537"/>
        <v>2012</v>
      </c>
    </row>
    <row r="4434" spans="1:13" ht="15" x14ac:dyDescent="0.25">
      <c r="A4434" s="1">
        <f t="shared" si="538"/>
        <v>41220</v>
      </c>
      <c r="B4434" t="s">
        <v>12</v>
      </c>
      <c r="C4434" t="s">
        <v>8</v>
      </c>
      <c r="D4434" s="3">
        <v>468.6</v>
      </c>
      <c r="E4434" s="3">
        <v>0</v>
      </c>
      <c r="F4434" t="s">
        <v>45</v>
      </c>
      <c r="G4434" s="3">
        <f t="shared" si="531"/>
        <v>-468.6</v>
      </c>
      <c r="H4434" s="3">
        <f t="shared" si="532"/>
        <v>468.6</v>
      </c>
      <c r="I4434" s="5" t="str">
        <f t="shared" si="533"/>
        <v>016</v>
      </c>
      <c r="J4434" s="5" t="str">
        <f t="shared" si="534"/>
        <v>2210</v>
      </c>
      <c r="K4434" s="5" t="str">
        <f t="shared" si="535"/>
        <v>000</v>
      </c>
      <c r="L4434" s="5">
        <f t="shared" si="536"/>
        <v>11</v>
      </c>
      <c r="M4434" s="5">
        <f t="shared" si="537"/>
        <v>2012</v>
      </c>
    </row>
    <row r="4435" spans="1:13" ht="15" x14ac:dyDescent="0.25">
      <c r="A4435" s="1">
        <f t="shared" si="538"/>
        <v>41220</v>
      </c>
      <c r="B4435" t="s">
        <v>13</v>
      </c>
      <c r="C4435" t="s">
        <v>9</v>
      </c>
      <c r="D4435" s="3">
        <v>193.61249999999998</v>
      </c>
      <c r="E4435" s="3">
        <v>0</v>
      </c>
      <c r="F4435" t="s">
        <v>45</v>
      </c>
      <c r="G4435" s="3">
        <f t="shared" si="531"/>
        <v>-193.61249999999998</v>
      </c>
      <c r="H4435" s="3">
        <f t="shared" si="532"/>
        <v>193.61249999999998</v>
      </c>
      <c r="I4435" s="5" t="str">
        <f t="shared" si="533"/>
        <v>016</v>
      </c>
      <c r="J4435" s="5" t="str">
        <f t="shared" si="534"/>
        <v>2220</v>
      </c>
      <c r="K4435" s="5" t="str">
        <f t="shared" si="535"/>
        <v>000</v>
      </c>
      <c r="L4435" s="5">
        <f t="shared" si="536"/>
        <v>11</v>
      </c>
      <c r="M4435" s="5">
        <f t="shared" si="537"/>
        <v>2012</v>
      </c>
    </row>
    <row r="4436" spans="1:13" ht="15" x14ac:dyDescent="0.25">
      <c r="A4436" s="1">
        <f t="shared" si="538"/>
        <v>41220</v>
      </c>
      <c r="B4436" t="s">
        <v>14</v>
      </c>
      <c r="C4436" t="s">
        <v>10</v>
      </c>
      <c r="D4436" s="3">
        <v>96.453999999999994</v>
      </c>
      <c r="E4436" s="3">
        <v>0</v>
      </c>
      <c r="F4436" t="s">
        <v>45</v>
      </c>
      <c r="G4436" s="3">
        <f t="shared" si="531"/>
        <v>-96.453999999999994</v>
      </c>
      <c r="H4436" s="3">
        <f t="shared" si="532"/>
        <v>96.453999999999994</v>
      </c>
      <c r="I4436" s="5" t="str">
        <f t="shared" si="533"/>
        <v>016</v>
      </c>
      <c r="J4436" s="5" t="str">
        <f t="shared" si="534"/>
        <v>2230</v>
      </c>
      <c r="K4436" s="5" t="str">
        <f t="shared" si="535"/>
        <v>000</v>
      </c>
      <c r="L4436" s="5">
        <f t="shared" si="536"/>
        <v>11</v>
      </c>
      <c r="M4436" s="5">
        <f t="shared" si="537"/>
        <v>2012</v>
      </c>
    </row>
    <row r="4437" spans="1:13" ht="15" x14ac:dyDescent="0.25">
      <c r="A4437" s="1">
        <f>DATE(2012,11,8)</f>
        <v>41221</v>
      </c>
      <c r="B4437" t="s">
        <v>11</v>
      </c>
      <c r="C4437" t="s">
        <v>6</v>
      </c>
      <c r="D4437" s="3">
        <v>2164.5360000000001</v>
      </c>
      <c r="E4437" s="3">
        <v>0</v>
      </c>
      <c r="F4437" t="s">
        <v>45</v>
      </c>
      <c r="G4437" s="3">
        <f t="shared" si="531"/>
        <v>-2164.5360000000001</v>
      </c>
      <c r="H4437" s="3">
        <f t="shared" si="532"/>
        <v>2164.5360000000001</v>
      </c>
      <c r="I4437" s="5" t="str">
        <f t="shared" si="533"/>
        <v>016</v>
      </c>
      <c r="J4437" s="5" t="str">
        <f t="shared" si="534"/>
        <v>2100</v>
      </c>
      <c r="K4437" s="5" t="str">
        <f t="shared" si="535"/>
        <v>000</v>
      </c>
      <c r="L4437" s="5">
        <f t="shared" si="536"/>
        <v>11</v>
      </c>
      <c r="M4437" s="5">
        <f t="shared" si="537"/>
        <v>2012</v>
      </c>
    </row>
    <row r="4438" spans="1:13" ht="15" x14ac:dyDescent="0.25">
      <c r="A4438" s="1">
        <f>DATE(2012,11,8)</f>
        <v>41221</v>
      </c>
      <c r="B4438" t="s">
        <v>12</v>
      </c>
      <c r="C4438" t="s">
        <v>8</v>
      </c>
      <c r="D4438" s="3">
        <v>870.86650000000009</v>
      </c>
      <c r="E4438" s="3">
        <v>0</v>
      </c>
      <c r="F4438" t="s">
        <v>45</v>
      </c>
      <c r="G4438" s="3">
        <f t="shared" si="531"/>
        <v>-870.86650000000009</v>
      </c>
      <c r="H4438" s="3">
        <f t="shared" si="532"/>
        <v>870.86650000000009</v>
      </c>
      <c r="I4438" s="5" t="str">
        <f t="shared" si="533"/>
        <v>016</v>
      </c>
      <c r="J4438" s="5" t="str">
        <f t="shared" si="534"/>
        <v>2210</v>
      </c>
      <c r="K4438" s="5" t="str">
        <f t="shared" si="535"/>
        <v>000</v>
      </c>
      <c r="L4438" s="5">
        <f t="shared" si="536"/>
        <v>11</v>
      </c>
      <c r="M4438" s="5">
        <f t="shared" si="537"/>
        <v>2012</v>
      </c>
    </row>
    <row r="4439" spans="1:13" ht="15" x14ac:dyDescent="0.25">
      <c r="A4439" s="1">
        <f>DATE(2012,11,8)</f>
        <v>41221</v>
      </c>
      <c r="B4439" t="s">
        <v>13</v>
      </c>
      <c r="C4439" t="s">
        <v>9</v>
      </c>
      <c r="D4439" s="3">
        <v>163.59479999999999</v>
      </c>
      <c r="E4439" s="3">
        <v>0</v>
      </c>
      <c r="F4439" t="s">
        <v>45</v>
      </c>
      <c r="G4439" s="3">
        <f t="shared" si="531"/>
        <v>-163.59479999999999</v>
      </c>
      <c r="H4439" s="3">
        <f t="shared" si="532"/>
        <v>163.59479999999999</v>
      </c>
      <c r="I4439" s="5" t="str">
        <f t="shared" si="533"/>
        <v>016</v>
      </c>
      <c r="J4439" s="5" t="str">
        <f t="shared" si="534"/>
        <v>2220</v>
      </c>
      <c r="K4439" s="5" t="str">
        <f t="shared" si="535"/>
        <v>000</v>
      </c>
      <c r="L4439" s="5">
        <f t="shared" si="536"/>
        <v>11</v>
      </c>
      <c r="M4439" s="5">
        <f t="shared" si="537"/>
        <v>2012</v>
      </c>
    </row>
    <row r="4440" spans="1:13" ht="15" x14ac:dyDescent="0.25">
      <c r="A4440" s="1">
        <f>DATE(2012,11,8)</f>
        <v>41221</v>
      </c>
      <c r="B4440" t="s">
        <v>14</v>
      </c>
      <c r="C4440" t="s">
        <v>10</v>
      </c>
      <c r="D4440" s="3">
        <v>159.3766</v>
      </c>
      <c r="E4440" s="3">
        <v>0</v>
      </c>
      <c r="F4440" t="s">
        <v>45</v>
      </c>
      <c r="G4440" s="3">
        <f t="shared" si="531"/>
        <v>-159.3766</v>
      </c>
      <c r="H4440" s="3">
        <f t="shared" si="532"/>
        <v>159.3766</v>
      </c>
      <c r="I4440" s="5" t="str">
        <f t="shared" si="533"/>
        <v>016</v>
      </c>
      <c r="J4440" s="5" t="str">
        <f t="shared" si="534"/>
        <v>2230</v>
      </c>
      <c r="K4440" s="5" t="str">
        <f t="shared" si="535"/>
        <v>000</v>
      </c>
      <c r="L4440" s="5">
        <f t="shared" si="536"/>
        <v>11</v>
      </c>
      <c r="M4440" s="5">
        <f t="shared" si="537"/>
        <v>2012</v>
      </c>
    </row>
    <row r="4441" spans="1:13" ht="15" x14ac:dyDescent="0.25">
      <c r="A4441" s="1">
        <f>DATE(2012,11,9)</f>
        <v>41222</v>
      </c>
      <c r="B4441" t="s">
        <v>11</v>
      </c>
      <c r="C4441" t="s">
        <v>6</v>
      </c>
      <c r="D4441" s="3">
        <v>5582.3472000000002</v>
      </c>
      <c r="E4441" s="3">
        <v>0</v>
      </c>
      <c r="F4441" t="s">
        <v>45</v>
      </c>
      <c r="G4441" s="3">
        <f t="shared" si="531"/>
        <v>-5582.3472000000002</v>
      </c>
      <c r="H4441" s="3">
        <f t="shared" si="532"/>
        <v>5582.3472000000002</v>
      </c>
      <c r="I4441" s="5" t="str">
        <f t="shared" si="533"/>
        <v>016</v>
      </c>
      <c r="J4441" s="5" t="str">
        <f t="shared" si="534"/>
        <v>2100</v>
      </c>
      <c r="K4441" s="5" t="str">
        <f t="shared" si="535"/>
        <v>000</v>
      </c>
      <c r="L4441" s="5">
        <f t="shared" si="536"/>
        <v>11</v>
      </c>
      <c r="M4441" s="5">
        <f t="shared" si="537"/>
        <v>2012</v>
      </c>
    </row>
    <row r="4442" spans="1:13" ht="15" x14ac:dyDescent="0.25">
      <c r="A4442" s="1">
        <f>DATE(2012,11,9)</f>
        <v>41222</v>
      </c>
      <c r="B4442" t="s">
        <v>12</v>
      </c>
      <c r="C4442" t="s">
        <v>8</v>
      </c>
      <c r="D4442" s="3">
        <v>1857.0603999999998</v>
      </c>
      <c r="E4442" s="3">
        <v>0</v>
      </c>
      <c r="F4442" t="s">
        <v>45</v>
      </c>
      <c r="G4442" s="3">
        <f t="shared" si="531"/>
        <v>-1857.0603999999998</v>
      </c>
      <c r="H4442" s="3">
        <f t="shared" si="532"/>
        <v>1857.0603999999998</v>
      </c>
      <c r="I4442" s="5" t="str">
        <f t="shared" si="533"/>
        <v>016</v>
      </c>
      <c r="J4442" s="5" t="str">
        <f t="shared" si="534"/>
        <v>2210</v>
      </c>
      <c r="K4442" s="5" t="str">
        <f t="shared" si="535"/>
        <v>000</v>
      </c>
      <c r="L4442" s="5">
        <f t="shared" si="536"/>
        <v>11</v>
      </c>
      <c r="M4442" s="5">
        <f t="shared" si="537"/>
        <v>2012</v>
      </c>
    </row>
    <row r="4443" spans="1:13" ht="15" x14ac:dyDescent="0.25">
      <c r="A4443" s="1">
        <f>DATE(2012,11,9)</f>
        <v>41222</v>
      </c>
      <c r="B4443" t="s">
        <v>13</v>
      </c>
      <c r="C4443" t="s">
        <v>9</v>
      </c>
      <c r="D4443" s="3">
        <v>491.83200000000005</v>
      </c>
      <c r="E4443" s="3">
        <v>0</v>
      </c>
      <c r="F4443" t="s">
        <v>45</v>
      </c>
      <c r="G4443" s="3">
        <f t="shared" si="531"/>
        <v>-491.83200000000005</v>
      </c>
      <c r="H4443" s="3">
        <f t="shared" si="532"/>
        <v>491.83200000000005</v>
      </c>
      <c r="I4443" s="5" t="str">
        <f t="shared" si="533"/>
        <v>016</v>
      </c>
      <c r="J4443" s="5" t="str">
        <f t="shared" si="534"/>
        <v>2220</v>
      </c>
      <c r="K4443" s="5" t="str">
        <f t="shared" si="535"/>
        <v>000</v>
      </c>
      <c r="L4443" s="5">
        <f t="shared" si="536"/>
        <v>11</v>
      </c>
      <c r="M4443" s="5">
        <f t="shared" si="537"/>
        <v>2012</v>
      </c>
    </row>
    <row r="4444" spans="1:13" ht="15" x14ac:dyDescent="0.25">
      <c r="A4444" s="1">
        <f>DATE(2012,11,9)</f>
        <v>41222</v>
      </c>
      <c r="B4444" t="s">
        <v>14</v>
      </c>
      <c r="C4444" t="s">
        <v>10</v>
      </c>
      <c r="D4444" s="3">
        <v>126.61799999999998</v>
      </c>
      <c r="E4444" s="3">
        <v>0</v>
      </c>
      <c r="F4444" t="s">
        <v>45</v>
      </c>
      <c r="G4444" s="3">
        <f t="shared" si="531"/>
        <v>-126.61799999999998</v>
      </c>
      <c r="H4444" s="3">
        <f t="shared" si="532"/>
        <v>126.61799999999998</v>
      </c>
      <c r="I4444" s="5" t="str">
        <f t="shared" si="533"/>
        <v>016</v>
      </c>
      <c r="J4444" s="5" t="str">
        <f t="shared" si="534"/>
        <v>2230</v>
      </c>
      <c r="K4444" s="5" t="str">
        <f t="shared" si="535"/>
        <v>000</v>
      </c>
      <c r="L4444" s="5">
        <f t="shared" si="536"/>
        <v>11</v>
      </c>
      <c r="M4444" s="5">
        <f t="shared" si="537"/>
        <v>2012</v>
      </c>
    </row>
    <row r="4445" spans="1:13" ht="15" x14ac:dyDescent="0.25">
      <c r="A4445" s="1">
        <f>DATE(2012,11,10)</f>
        <v>41223</v>
      </c>
      <c r="B4445" t="s">
        <v>11</v>
      </c>
      <c r="C4445" t="s">
        <v>6</v>
      </c>
      <c r="D4445" s="3">
        <v>5674.43</v>
      </c>
      <c r="E4445" s="3">
        <v>0</v>
      </c>
      <c r="F4445" t="s">
        <v>45</v>
      </c>
      <c r="G4445" s="3">
        <f t="shared" si="531"/>
        <v>-5674.43</v>
      </c>
      <c r="H4445" s="3">
        <f t="shared" si="532"/>
        <v>5674.43</v>
      </c>
      <c r="I4445" s="5" t="str">
        <f t="shared" si="533"/>
        <v>016</v>
      </c>
      <c r="J4445" s="5" t="str">
        <f t="shared" si="534"/>
        <v>2100</v>
      </c>
      <c r="K4445" s="5" t="str">
        <f t="shared" si="535"/>
        <v>000</v>
      </c>
      <c r="L4445" s="5">
        <f t="shared" si="536"/>
        <v>11</v>
      </c>
      <c r="M4445" s="5">
        <f t="shared" si="537"/>
        <v>2012</v>
      </c>
    </row>
    <row r="4446" spans="1:13" ht="15" x14ac:dyDescent="0.25">
      <c r="A4446" s="1">
        <f>DATE(2012,11,10)</f>
        <v>41223</v>
      </c>
      <c r="B4446" t="s">
        <v>12</v>
      </c>
      <c r="C4446" t="s">
        <v>8</v>
      </c>
      <c r="D4446" s="3">
        <v>1392.5800000000002</v>
      </c>
      <c r="E4446" s="3">
        <v>0</v>
      </c>
      <c r="F4446" t="s">
        <v>45</v>
      </c>
      <c r="G4446" s="3">
        <f t="shared" si="531"/>
        <v>-1392.5800000000002</v>
      </c>
      <c r="H4446" s="3">
        <f t="shared" si="532"/>
        <v>1392.5800000000002</v>
      </c>
      <c r="I4446" s="5" t="str">
        <f t="shared" si="533"/>
        <v>016</v>
      </c>
      <c r="J4446" s="5" t="str">
        <f t="shared" si="534"/>
        <v>2210</v>
      </c>
      <c r="K4446" s="5" t="str">
        <f t="shared" si="535"/>
        <v>000</v>
      </c>
      <c r="L4446" s="5">
        <f t="shared" si="536"/>
        <v>11</v>
      </c>
      <c r="M4446" s="5">
        <f t="shared" si="537"/>
        <v>2012</v>
      </c>
    </row>
    <row r="4447" spans="1:13" ht="15" x14ac:dyDescent="0.25">
      <c r="A4447" s="1">
        <f>DATE(2012,11,10)</f>
        <v>41223</v>
      </c>
      <c r="B4447" t="s">
        <v>13</v>
      </c>
      <c r="C4447" t="s">
        <v>9</v>
      </c>
      <c r="D4447" s="3">
        <v>275.94</v>
      </c>
      <c r="E4447" s="3">
        <v>0</v>
      </c>
      <c r="F4447" t="s">
        <v>45</v>
      </c>
      <c r="G4447" s="3">
        <f t="shared" si="531"/>
        <v>-275.94</v>
      </c>
      <c r="H4447" s="3">
        <f t="shared" si="532"/>
        <v>275.94</v>
      </c>
      <c r="I4447" s="5" t="str">
        <f t="shared" si="533"/>
        <v>016</v>
      </c>
      <c r="J4447" s="5" t="str">
        <f t="shared" si="534"/>
        <v>2220</v>
      </c>
      <c r="K4447" s="5" t="str">
        <f t="shared" si="535"/>
        <v>000</v>
      </c>
      <c r="L4447" s="5">
        <f t="shared" si="536"/>
        <v>11</v>
      </c>
      <c r="M4447" s="5">
        <f t="shared" si="537"/>
        <v>2012</v>
      </c>
    </row>
    <row r="4448" spans="1:13" ht="15" x14ac:dyDescent="0.25">
      <c r="A4448" s="1">
        <f>DATE(2012,11,10)</f>
        <v>41223</v>
      </c>
      <c r="B4448" t="s">
        <v>14</v>
      </c>
      <c r="C4448" t="s">
        <v>10</v>
      </c>
      <c r="D4448" s="3">
        <v>153.27199999999999</v>
      </c>
      <c r="E4448" s="3">
        <v>0</v>
      </c>
      <c r="F4448" t="s">
        <v>45</v>
      </c>
      <c r="G4448" s="3">
        <f t="shared" si="531"/>
        <v>-153.27199999999999</v>
      </c>
      <c r="H4448" s="3">
        <f t="shared" si="532"/>
        <v>153.27199999999999</v>
      </c>
      <c r="I4448" s="5" t="str">
        <f t="shared" si="533"/>
        <v>016</v>
      </c>
      <c r="J4448" s="5" t="str">
        <f t="shared" si="534"/>
        <v>2230</v>
      </c>
      <c r="K4448" s="5" t="str">
        <f t="shared" si="535"/>
        <v>000</v>
      </c>
      <c r="L4448" s="5">
        <f t="shared" si="536"/>
        <v>11</v>
      </c>
      <c r="M4448" s="5">
        <f t="shared" si="537"/>
        <v>2012</v>
      </c>
    </row>
    <row r="4449" spans="1:13" ht="15" x14ac:dyDescent="0.25">
      <c r="A4449" s="1">
        <f>DATE(2012,11,11)</f>
        <v>41224</v>
      </c>
      <c r="B4449" t="s">
        <v>11</v>
      </c>
      <c r="C4449" t="s">
        <v>6</v>
      </c>
      <c r="D4449" s="3">
        <v>4040.3616000000002</v>
      </c>
      <c r="E4449" s="3">
        <v>0</v>
      </c>
      <c r="F4449" t="s">
        <v>45</v>
      </c>
      <c r="G4449" s="3">
        <f t="shared" si="531"/>
        <v>-4040.3616000000002</v>
      </c>
      <c r="H4449" s="3">
        <f t="shared" si="532"/>
        <v>4040.3616000000002</v>
      </c>
      <c r="I4449" s="5" t="str">
        <f t="shared" si="533"/>
        <v>016</v>
      </c>
      <c r="J4449" s="5" t="str">
        <f t="shared" si="534"/>
        <v>2100</v>
      </c>
      <c r="K4449" s="5" t="str">
        <f t="shared" si="535"/>
        <v>000</v>
      </c>
      <c r="L4449" s="5">
        <f t="shared" si="536"/>
        <v>11</v>
      </c>
      <c r="M4449" s="5">
        <f t="shared" si="537"/>
        <v>2012</v>
      </c>
    </row>
    <row r="4450" spans="1:13" ht="15" x14ac:dyDescent="0.25">
      <c r="A4450" s="1">
        <f>DATE(2012,11,11)</f>
        <v>41224</v>
      </c>
      <c r="B4450" t="s">
        <v>12</v>
      </c>
      <c r="C4450" t="s">
        <v>8</v>
      </c>
      <c r="D4450" s="3">
        <v>785.82799999999997</v>
      </c>
      <c r="E4450" s="3">
        <v>0</v>
      </c>
      <c r="F4450" t="s">
        <v>45</v>
      </c>
      <c r="G4450" s="3">
        <f t="shared" si="531"/>
        <v>-785.82799999999997</v>
      </c>
      <c r="H4450" s="3">
        <f t="shared" si="532"/>
        <v>785.82799999999997</v>
      </c>
      <c r="I4450" s="5" t="str">
        <f t="shared" si="533"/>
        <v>016</v>
      </c>
      <c r="J4450" s="5" t="str">
        <f t="shared" si="534"/>
        <v>2210</v>
      </c>
      <c r="K4450" s="5" t="str">
        <f t="shared" si="535"/>
        <v>000</v>
      </c>
      <c r="L4450" s="5">
        <f t="shared" si="536"/>
        <v>11</v>
      </c>
      <c r="M4450" s="5">
        <f t="shared" si="537"/>
        <v>2012</v>
      </c>
    </row>
    <row r="4451" spans="1:13" ht="15" x14ac:dyDescent="0.25">
      <c r="A4451" s="1">
        <f>DATE(2012,11,11)</f>
        <v>41224</v>
      </c>
      <c r="B4451" t="s">
        <v>13</v>
      </c>
      <c r="C4451" t="s">
        <v>9</v>
      </c>
      <c r="D4451" s="3">
        <v>130.30199999999999</v>
      </c>
      <c r="E4451" s="3">
        <v>0</v>
      </c>
      <c r="F4451" t="s">
        <v>45</v>
      </c>
      <c r="G4451" s="3">
        <f t="shared" si="531"/>
        <v>-130.30199999999999</v>
      </c>
      <c r="H4451" s="3">
        <f t="shared" si="532"/>
        <v>130.30199999999999</v>
      </c>
      <c r="I4451" s="5" t="str">
        <f t="shared" si="533"/>
        <v>016</v>
      </c>
      <c r="J4451" s="5" t="str">
        <f t="shared" si="534"/>
        <v>2220</v>
      </c>
      <c r="K4451" s="5" t="str">
        <f t="shared" si="535"/>
        <v>000</v>
      </c>
      <c r="L4451" s="5">
        <f t="shared" si="536"/>
        <v>11</v>
      </c>
      <c r="M4451" s="5">
        <f t="shared" si="537"/>
        <v>2012</v>
      </c>
    </row>
    <row r="4452" spans="1:13" ht="15" x14ac:dyDescent="0.25">
      <c r="A4452" s="1">
        <f>DATE(2012,11,11)</f>
        <v>41224</v>
      </c>
      <c r="B4452" t="s">
        <v>14</v>
      </c>
      <c r="C4452" t="s">
        <v>10</v>
      </c>
      <c r="D4452" s="3">
        <v>105.96</v>
      </c>
      <c r="E4452" s="3">
        <v>0</v>
      </c>
      <c r="F4452" t="s">
        <v>45</v>
      </c>
      <c r="G4452" s="3">
        <f t="shared" si="531"/>
        <v>-105.96</v>
      </c>
      <c r="H4452" s="3">
        <f t="shared" si="532"/>
        <v>105.96</v>
      </c>
      <c r="I4452" s="5" t="str">
        <f t="shared" si="533"/>
        <v>016</v>
      </c>
      <c r="J4452" s="5" t="str">
        <f t="shared" si="534"/>
        <v>2230</v>
      </c>
      <c r="K4452" s="5" t="str">
        <f t="shared" si="535"/>
        <v>000</v>
      </c>
      <c r="L4452" s="5">
        <f t="shared" si="536"/>
        <v>11</v>
      </c>
      <c r="M4452" s="5">
        <f t="shared" si="537"/>
        <v>2012</v>
      </c>
    </row>
    <row r="4453" spans="1:13" ht="15" x14ac:dyDescent="0.25">
      <c r="A4453" s="1">
        <f>DATE(2012,11,5)</f>
        <v>41218</v>
      </c>
      <c r="B4453" t="s">
        <v>15</v>
      </c>
      <c r="C4453" t="s">
        <v>6</v>
      </c>
      <c r="D4453" s="3">
        <v>4720.6579999999994</v>
      </c>
      <c r="E4453" s="3">
        <v>0</v>
      </c>
      <c r="F4453" t="s">
        <v>45</v>
      </c>
      <c r="G4453" s="3">
        <f t="shared" si="531"/>
        <v>-4720.6579999999994</v>
      </c>
      <c r="H4453" s="3">
        <f t="shared" si="532"/>
        <v>4720.6579999999994</v>
      </c>
      <c r="I4453" s="5" t="str">
        <f t="shared" si="533"/>
        <v>017</v>
      </c>
      <c r="J4453" s="5" t="str">
        <f t="shared" si="534"/>
        <v>2100</v>
      </c>
      <c r="K4453" s="5" t="str">
        <f t="shared" si="535"/>
        <v>000</v>
      </c>
      <c r="L4453" s="5">
        <f t="shared" si="536"/>
        <v>11</v>
      </c>
      <c r="M4453" s="5">
        <f t="shared" si="537"/>
        <v>2012</v>
      </c>
    </row>
    <row r="4454" spans="1:13" ht="15" x14ac:dyDescent="0.25">
      <c r="A4454" s="1">
        <f>DATE(2012,11,5)</f>
        <v>41218</v>
      </c>
      <c r="B4454" t="s">
        <v>16</v>
      </c>
      <c r="C4454" t="s">
        <v>8</v>
      </c>
      <c r="D4454" s="3">
        <v>582.38900000000001</v>
      </c>
      <c r="E4454" s="3">
        <v>0</v>
      </c>
      <c r="F4454" t="s">
        <v>45</v>
      </c>
      <c r="G4454" s="3">
        <f t="shared" si="531"/>
        <v>-582.38900000000001</v>
      </c>
      <c r="H4454" s="3">
        <f t="shared" si="532"/>
        <v>582.38900000000001</v>
      </c>
      <c r="I4454" s="5" t="str">
        <f t="shared" si="533"/>
        <v>017</v>
      </c>
      <c r="J4454" s="5" t="str">
        <f t="shared" si="534"/>
        <v>2210</v>
      </c>
      <c r="K4454" s="5" t="str">
        <f t="shared" si="535"/>
        <v>000</v>
      </c>
      <c r="L4454" s="5">
        <f t="shared" si="536"/>
        <v>11</v>
      </c>
      <c r="M4454" s="5">
        <f t="shared" si="537"/>
        <v>2012</v>
      </c>
    </row>
    <row r="4455" spans="1:13" ht="15" x14ac:dyDescent="0.25">
      <c r="A4455" s="1">
        <f>DATE(2012,11,5)</f>
        <v>41218</v>
      </c>
      <c r="B4455" t="s">
        <v>17</v>
      </c>
      <c r="C4455" t="s">
        <v>9</v>
      </c>
      <c r="D4455" s="3">
        <v>251.76499999999999</v>
      </c>
      <c r="E4455" s="3">
        <v>0</v>
      </c>
      <c r="F4455" t="s">
        <v>45</v>
      </c>
      <c r="G4455" s="3">
        <f t="shared" si="531"/>
        <v>-251.76499999999999</v>
      </c>
      <c r="H4455" s="3">
        <f t="shared" si="532"/>
        <v>251.76499999999999</v>
      </c>
      <c r="I4455" s="5" t="str">
        <f t="shared" si="533"/>
        <v>017</v>
      </c>
      <c r="J4455" s="5" t="str">
        <f t="shared" si="534"/>
        <v>2220</v>
      </c>
      <c r="K4455" s="5" t="str">
        <f t="shared" si="535"/>
        <v>000</v>
      </c>
      <c r="L4455" s="5">
        <f t="shared" si="536"/>
        <v>11</v>
      </c>
      <c r="M4455" s="5">
        <f t="shared" si="537"/>
        <v>2012</v>
      </c>
    </row>
    <row r="4456" spans="1:13" ht="15" x14ac:dyDescent="0.25">
      <c r="A4456" s="1">
        <f>DATE(2012,11,5)</f>
        <v>41218</v>
      </c>
      <c r="B4456" t="s">
        <v>18</v>
      </c>
      <c r="C4456" t="s">
        <v>10</v>
      </c>
      <c r="D4456" s="3">
        <v>48.919500000000006</v>
      </c>
      <c r="E4456" s="3">
        <v>0</v>
      </c>
      <c r="F4456" t="s">
        <v>45</v>
      </c>
      <c r="G4456" s="3">
        <f t="shared" si="531"/>
        <v>-48.919500000000006</v>
      </c>
      <c r="H4456" s="3">
        <f t="shared" si="532"/>
        <v>48.919500000000006</v>
      </c>
      <c r="I4456" s="5" t="str">
        <f t="shared" si="533"/>
        <v>017</v>
      </c>
      <c r="J4456" s="5" t="str">
        <f t="shared" si="534"/>
        <v>2230</v>
      </c>
      <c r="K4456" s="5" t="str">
        <f t="shared" si="535"/>
        <v>000</v>
      </c>
      <c r="L4456" s="5">
        <f t="shared" si="536"/>
        <v>11</v>
      </c>
      <c r="M4456" s="5">
        <f t="shared" si="537"/>
        <v>2012</v>
      </c>
    </row>
    <row r="4457" spans="1:13" ht="15" x14ac:dyDescent="0.25">
      <c r="A4457" s="1">
        <f>DATE(2012,11,6)</f>
        <v>41219</v>
      </c>
      <c r="B4457" t="s">
        <v>15</v>
      </c>
      <c r="C4457" t="s">
        <v>6</v>
      </c>
      <c r="D4457" s="3">
        <v>5563.58</v>
      </c>
      <c r="E4457" s="3">
        <v>0</v>
      </c>
      <c r="F4457" t="s">
        <v>45</v>
      </c>
      <c r="G4457" s="3">
        <f t="shared" si="531"/>
        <v>-5563.58</v>
      </c>
      <c r="H4457" s="3">
        <f t="shared" si="532"/>
        <v>5563.58</v>
      </c>
      <c r="I4457" s="5" t="str">
        <f t="shared" si="533"/>
        <v>017</v>
      </c>
      <c r="J4457" s="5" t="str">
        <f t="shared" si="534"/>
        <v>2100</v>
      </c>
      <c r="K4457" s="5" t="str">
        <f t="shared" si="535"/>
        <v>000</v>
      </c>
      <c r="L4457" s="5">
        <f t="shared" si="536"/>
        <v>11</v>
      </c>
      <c r="M4457" s="5">
        <f t="shared" si="537"/>
        <v>2012</v>
      </c>
    </row>
    <row r="4458" spans="1:13" ht="15" x14ac:dyDescent="0.25">
      <c r="A4458" s="1">
        <f>DATE(2012,11,6)</f>
        <v>41219</v>
      </c>
      <c r="B4458" t="s">
        <v>16</v>
      </c>
      <c r="C4458" t="s">
        <v>8</v>
      </c>
      <c r="D4458" s="3">
        <v>1335.1679999999999</v>
      </c>
      <c r="E4458" s="3">
        <v>0</v>
      </c>
      <c r="F4458" t="s">
        <v>45</v>
      </c>
      <c r="G4458" s="3">
        <f t="shared" si="531"/>
        <v>-1335.1679999999999</v>
      </c>
      <c r="H4458" s="3">
        <f t="shared" si="532"/>
        <v>1335.1679999999999</v>
      </c>
      <c r="I4458" s="5" t="str">
        <f t="shared" si="533"/>
        <v>017</v>
      </c>
      <c r="J4458" s="5" t="str">
        <f t="shared" si="534"/>
        <v>2210</v>
      </c>
      <c r="K4458" s="5" t="str">
        <f t="shared" si="535"/>
        <v>000</v>
      </c>
      <c r="L4458" s="5">
        <f t="shared" si="536"/>
        <v>11</v>
      </c>
      <c r="M4458" s="5">
        <f t="shared" si="537"/>
        <v>2012</v>
      </c>
    </row>
    <row r="4459" spans="1:13" ht="15" x14ac:dyDescent="0.25">
      <c r="A4459" s="1">
        <f>DATE(2012,11,6)</f>
        <v>41219</v>
      </c>
      <c r="B4459" t="s">
        <v>17</v>
      </c>
      <c r="C4459" t="s">
        <v>9</v>
      </c>
      <c r="D4459" s="3">
        <v>483.15</v>
      </c>
      <c r="E4459" s="3">
        <v>0</v>
      </c>
      <c r="F4459" t="s">
        <v>45</v>
      </c>
      <c r="G4459" s="3">
        <f t="shared" si="531"/>
        <v>-483.15</v>
      </c>
      <c r="H4459" s="3">
        <f t="shared" si="532"/>
        <v>483.15</v>
      </c>
      <c r="I4459" s="5" t="str">
        <f t="shared" si="533"/>
        <v>017</v>
      </c>
      <c r="J4459" s="5" t="str">
        <f t="shared" si="534"/>
        <v>2220</v>
      </c>
      <c r="K4459" s="5" t="str">
        <f t="shared" si="535"/>
        <v>000</v>
      </c>
      <c r="L4459" s="5">
        <f t="shared" si="536"/>
        <v>11</v>
      </c>
      <c r="M4459" s="5">
        <f t="shared" si="537"/>
        <v>2012</v>
      </c>
    </row>
    <row r="4460" spans="1:13" ht="15" x14ac:dyDescent="0.25">
      <c r="A4460" s="1">
        <f>DATE(2012,11,6)</f>
        <v>41219</v>
      </c>
      <c r="B4460" t="s">
        <v>18</v>
      </c>
      <c r="C4460" t="s">
        <v>10</v>
      </c>
      <c r="D4460" s="3">
        <v>174.33199999999999</v>
      </c>
      <c r="E4460" s="3">
        <v>0</v>
      </c>
      <c r="F4460" t="s">
        <v>45</v>
      </c>
      <c r="G4460" s="3">
        <f t="shared" si="531"/>
        <v>-174.33199999999999</v>
      </c>
      <c r="H4460" s="3">
        <f t="shared" si="532"/>
        <v>174.33199999999999</v>
      </c>
      <c r="I4460" s="5" t="str">
        <f t="shared" si="533"/>
        <v>017</v>
      </c>
      <c r="J4460" s="5" t="str">
        <f t="shared" si="534"/>
        <v>2230</v>
      </c>
      <c r="K4460" s="5" t="str">
        <f t="shared" si="535"/>
        <v>000</v>
      </c>
      <c r="L4460" s="5">
        <f t="shared" si="536"/>
        <v>11</v>
      </c>
      <c r="M4460" s="5">
        <f t="shared" si="537"/>
        <v>2012</v>
      </c>
    </row>
    <row r="4461" spans="1:13" ht="15" x14ac:dyDescent="0.25">
      <c r="A4461" s="1">
        <f t="shared" ref="A4461:A4464" si="539">DATE(2012,11,7)</f>
        <v>41220</v>
      </c>
      <c r="B4461" t="s">
        <v>15</v>
      </c>
      <c r="C4461" t="s">
        <v>6</v>
      </c>
      <c r="D4461" s="3">
        <v>9095.2134000000005</v>
      </c>
      <c r="E4461" s="3">
        <v>0</v>
      </c>
      <c r="F4461" t="s">
        <v>45</v>
      </c>
      <c r="G4461" s="3">
        <f t="shared" si="531"/>
        <v>-9095.2134000000005</v>
      </c>
      <c r="H4461" s="3">
        <f t="shared" si="532"/>
        <v>9095.2134000000005</v>
      </c>
      <c r="I4461" s="5" t="str">
        <f t="shared" si="533"/>
        <v>017</v>
      </c>
      <c r="J4461" s="5" t="str">
        <f t="shared" si="534"/>
        <v>2100</v>
      </c>
      <c r="K4461" s="5" t="str">
        <f t="shared" si="535"/>
        <v>000</v>
      </c>
      <c r="L4461" s="5">
        <f t="shared" si="536"/>
        <v>11</v>
      </c>
      <c r="M4461" s="5">
        <f t="shared" si="537"/>
        <v>2012</v>
      </c>
    </row>
    <row r="4462" spans="1:13" ht="15" x14ac:dyDescent="0.25">
      <c r="A4462" s="1">
        <f t="shared" si="539"/>
        <v>41220</v>
      </c>
      <c r="B4462" t="s">
        <v>16</v>
      </c>
      <c r="C4462" t="s">
        <v>8</v>
      </c>
      <c r="D4462" s="3">
        <v>2991.15</v>
      </c>
      <c r="E4462" s="3">
        <v>0</v>
      </c>
      <c r="F4462" t="s">
        <v>45</v>
      </c>
      <c r="G4462" s="3">
        <f t="shared" si="531"/>
        <v>-2991.15</v>
      </c>
      <c r="H4462" s="3">
        <f t="shared" si="532"/>
        <v>2991.15</v>
      </c>
      <c r="I4462" s="5" t="str">
        <f t="shared" si="533"/>
        <v>017</v>
      </c>
      <c r="J4462" s="5" t="str">
        <f t="shared" si="534"/>
        <v>2210</v>
      </c>
      <c r="K4462" s="5" t="str">
        <f t="shared" si="535"/>
        <v>000</v>
      </c>
      <c r="L4462" s="5">
        <f t="shared" si="536"/>
        <v>11</v>
      </c>
      <c r="M4462" s="5">
        <f t="shared" si="537"/>
        <v>2012</v>
      </c>
    </row>
    <row r="4463" spans="1:13" ht="15" x14ac:dyDescent="0.25">
      <c r="A4463" s="1">
        <f t="shared" si="539"/>
        <v>41220</v>
      </c>
      <c r="B4463" t="s">
        <v>17</v>
      </c>
      <c r="C4463" t="s">
        <v>9</v>
      </c>
      <c r="D4463" s="3">
        <v>492.79749999999996</v>
      </c>
      <c r="E4463" s="3">
        <v>0</v>
      </c>
      <c r="F4463" t="s">
        <v>45</v>
      </c>
      <c r="G4463" s="3">
        <f t="shared" si="531"/>
        <v>-492.79749999999996</v>
      </c>
      <c r="H4463" s="3">
        <f t="shared" si="532"/>
        <v>492.79749999999996</v>
      </c>
      <c r="I4463" s="5" t="str">
        <f t="shared" si="533"/>
        <v>017</v>
      </c>
      <c r="J4463" s="5" t="str">
        <f t="shared" si="534"/>
        <v>2220</v>
      </c>
      <c r="K4463" s="5" t="str">
        <f t="shared" si="535"/>
        <v>000</v>
      </c>
      <c r="L4463" s="5">
        <f t="shared" si="536"/>
        <v>11</v>
      </c>
      <c r="M4463" s="5">
        <f t="shared" si="537"/>
        <v>2012</v>
      </c>
    </row>
    <row r="4464" spans="1:13" ht="15" x14ac:dyDescent="0.25">
      <c r="A4464" s="1">
        <f t="shared" si="539"/>
        <v>41220</v>
      </c>
      <c r="B4464" t="s">
        <v>18</v>
      </c>
      <c r="C4464" t="s">
        <v>10</v>
      </c>
      <c r="D4464" s="3">
        <v>161.994</v>
      </c>
      <c r="E4464" s="3">
        <v>0</v>
      </c>
      <c r="F4464" t="s">
        <v>45</v>
      </c>
      <c r="G4464" s="3">
        <f t="shared" si="531"/>
        <v>-161.994</v>
      </c>
      <c r="H4464" s="3">
        <f t="shared" si="532"/>
        <v>161.994</v>
      </c>
      <c r="I4464" s="5" t="str">
        <f t="shared" si="533"/>
        <v>017</v>
      </c>
      <c r="J4464" s="5" t="str">
        <f t="shared" si="534"/>
        <v>2230</v>
      </c>
      <c r="K4464" s="5" t="str">
        <f t="shared" si="535"/>
        <v>000</v>
      </c>
      <c r="L4464" s="5">
        <f t="shared" si="536"/>
        <v>11</v>
      </c>
      <c r="M4464" s="5">
        <f t="shared" si="537"/>
        <v>2012</v>
      </c>
    </row>
    <row r="4465" spans="1:13" ht="15" x14ac:dyDescent="0.25">
      <c r="A4465" s="1">
        <f>DATE(2012,11,8)</f>
        <v>41221</v>
      </c>
      <c r="B4465" t="s">
        <v>15</v>
      </c>
      <c r="C4465" t="s">
        <v>6</v>
      </c>
      <c r="D4465" s="3">
        <v>7153.46</v>
      </c>
      <c r="E4465" s="3">
        <v>0</v>
      </c>
      <c r="F4465" t="s">
        <v>45</v>
      </c>
      <c r="G4465" s="3">
        <f t="shared" si="531"/>
        <v>-7153.46</v>
      </c>
      <c r="H4465" s="3">
        <f t="shared" si="532"/>
        <v>7153.46</v>
      </c>
      <c r="I4465" s="5" t="str">
        <f t="shared" si="533"/>
        <v>017</v>
      </c>
      <c r="J4465" s="5" t="str">
        <f t="shared" si="534"/>
        <v>2100</v>
      </c>
      <c r="K4465" s="5" t="str">
        <f t="shared" si="535"/>
        <v>000</v>
      </c>
      <c r="L4465" s="5">
        <f t="shared" si="536"/>
        <v>11</v>
      </c>
      <c r="M4465" s="5">
        <f t="shared" si="537"/>
        <v>2012</v>
      </c>
    </row>
    <row r="4466" spans="1:13" ht="15" x14ac:dyDescent="0.25">
      <c r="A4466" s="1">
        <f>DATE(2012,11,8)</f>
        <v>41221</v>
      </c>
      <c r="B4466" t="s">
        <v>16</v>
      </c>
      <c r="C4466" t="s">
        <v>8</v>
      </c>
      <c r="D4466" s="3">
        <v>1571.3899999999999</v>
      </c>
      <c r="E4466" s="3">
        <v>0</v>
      </c>
      <c r="F4466" t="s">
        <v>45</v>
      </c>
      <c r="G4466" s="3">
        <f t="shared" si="531"/>
        <v>-1571.3899999999999</v>
      </c>
      <c r="H4466" s="3">
        <f t="shared" si="532"/>
        <v>1571.3899999999999</v>
      </c>
      <c r="I4466" s="5" t="str">
        <f t="shared" si="533"/>
        <v>017</v>
      </c>
      <c r="J4466" s="5" t="str">
        <f t="shared" si="534"/>
        <v>2210</v>
      </c>
      <c r="K4466" s="5" t="str">
        <f t="shared" si="535"/>
        <v>000</v>
      </c>
      <c r="L4466" s="5">
        <f t="shared" si="536"/>
        <v>11</v>
      </c>
      <c r="M4466" s="5">
        <f t="shared" si="537"/>
        <v>2012</v>
      </c>
    </row>
    <row r="4467" spans="1:13" ht="15" x14ac:dyDescent="0.25">
      <c r="A4467" s="1">
        <f>DATE(2012,11,8)</f>
        <v>41221</v>
      </c>
      <c r="B4467" t="s">
        <v>17</v>
      </c>
      <c r="C4467" t="s">
        <v>9</v>
      </c>
      <c r="D4467" s="3">
        <v>331.65000000000003</v>
      </c>
      <c r="E4467" s="3">
        <v>0</v>
      </c>
      <c r="F4467" t="s">
        <v>45</v>
      </c>
      <c r="G4467" s="3">
        <f t="shared" si="531"/>
        <v>-331.65000000000003</v>
      </c>
      <c r="H4467" s="3">
        <f t="shared" si="532"/>
        <v>331.65000000000003</v>
      </c>
      <c r="I4467" s="5" t="str">
        <f t="shared" si="533"/>
        <v>017</v>
      </c>
      <c r="J4467" s="5" t="str">
        <f t="shared" si="534"/>
        <v>2220</v>
      </c>
      <c r="K4467" s="5" t="str">
        <f t="shared" si="535"/>
        <v>000</v>
      </c>
      <c r="L4467" s="5">
        <f t="shared" si="536"/>
        <v>11</v>
      </c>
      <c r="M4467" s="5">
        <f t="shared" si="537"/>
        <v>2012</v>
      </c>
    </row>
    <row r="4468" spans="1:13" ht="15" x14ac:dyDescent="0.25">
      <c r="A4468" s="1">
        <f>DATE(2012,11,8)</f>
        <v>41221</v>
      </c>
      <c r="B4468" t="s">
        <v>18</v>
      </c>
      <c r="C4468" t="s">
        <v>10</v>
      </c>
      <c r="D4468" s="3">
        <v>173.62199999999999</v>
      </c>
      <c r="E4468" s="3">
        <v>0</v>
      </c>
      <c r="F4468" t="s">
        <v>45</v>
      </c>
      <c r="G4468" s="3">
        <f t="shared" si="531"/>
        <v>-173.62199999999999</v>
      </c>
      <c r="H4468" s="3">
        <f t="shared" si="532"/>
        <v>173.62199999999999</v>
      </c>
      <c r="I4468" s="5" t="str">
        <f t="shared" si="533"/>
        <v>017</v>
      </c>
      <c r="J4468" s="5" t="str">
        <f t="shared" si="534"/>
        <v>2230</v>
      </c>
      <c r="K4468" s="5" t="str">
        <f t="shared" si="535"/>
        <v>000</v>
      </c>
      <c r="L4468" s="5">
        <f t="shared" si="536"/>
        <v>11</v>
      </c>
      <c r="M4468" s="5">
        <f t="shared" si="537"/>
        <v>2012</v>
      </c>
    </row>
    <row r="4469" spans="1:13" ht="15" x14ac:dyDescent="0.25">
      <c r="A4469" s="1">
        <f>DATE(2012,11,9)</f>
        <v>41222</v>
      </c>
      <c r="B4469" t="s">
        <v>15</v>
      </c>
      <c r="C4469" t="s">
        <v>6</v>
      </c>
      <c r="D4469" s="3">
        <v>5746.9850999999999</v>
      </c>
      <c r="E4469" s="3">
        <v>0</v>
      </c>
      <c r="F4469" t="s">
        <v>45</v>
      </c>
      <c r="G4469" s="3">
        <f t="shared" si="531"/>
        <v>-5746.9850999999999</v>
      </c>
      <c r="H4469" s="3">
        <f t="shared" si="532"/>
        <v>5746.9850999999999</v>
      </c>
      <c r="I4469" s="5" t="str">
        <f t="shared" si="533"/>
        <v>017</v>
      </c>
      <c r="J4469" s="5" t="str">
        <f t="shared" si="534"/>
        <v>2100</v>
      </c>
      <c r="K4469" s="5" t="str">
        <f t="shared" si="535"/>
        <v>000</v>
      </c>
      <c r="L4469" s="5">
        <f t="shared" si="536"/>
        <v>11</v>
      </c>
      <c r="M4469" s="5">
        <f t="shared" si="537"/>
        <v>2012</v>
      </c>
    </row>
    <row r="4470" spans="1:13" ht="15" x14ac:dyDescent="0.25">
      <c r="A4470" s="1">
        <f>DATE(2012,11,9)</f>
        <v>41222</v>
      </c>
      <c r="B4470" t="s">
        <v>16</v>
      </c>
      <c r="C4470" t="s">
        <v>8</v>
      </c>
      <c r="D4470" s="3">
        <v>2198.7249999999999</v>
      </c>
      <c r="E4470" s="3">
        <v>0</v>
      </c>
      <c r="F4470" t="s">
        <v>45</v>
      </c>
      <c r="G4470" s="3">
        <f t="shared" si="531"/>
        <v>-2198.7249999999999</v>
      </c>
      <c r="H4470" s="3">
        <f t="shared" si="532"/>
        <v>2198.7249999999999</v>
      </c>
      <c r="I4470" s="5" t="str">
        <f t="shared" si="533"/>
        <v>017</v>
      </c>
      <c r="J4470" s="5" t="str">
        <f t="shared" si="534"/>
        <v>2210</v>
      </c>
      <c r="K4470" s="5" t="str">
        <f t="shared" si="535"/>
        <v>000</v>
      </c>
      <c r="L4470" s="5">
        <f t="shared" si="536"/>
        <v>11</v>
      </c>
      <c r="M4470" s="5">
        <f t="shared" si="537"/>
        <v>2012</v>
      </c>
    </row>
    <row r="4471" spans="1:13" ht="15" x14ac:dyDescent="0.25">
      <c r="A4471" s="1">
        <f>DATE(2012,11,9)</f>
        <v>41222</v>
      </c>
      <c r="B4471" t="s">
        <v>17</v>
      </c>
      <c r="C4471" t="s">
        <v>9</v>
      </c>
      <c r="D4471" s="3">
        <v>359.59999999999997</v>
      </c>
      <c r="E4471" s="3">
        <v>0</v>
      </c>
      <c r="F4471" t="s">
        <v>45</v>
      </c>
      <c r="G4471" s="3">
        <f t="shared" si="531"/>
        <v>-359.59999999999997</v>
      </c>
      <c r="H4471" s="3">
        <f t="shared" si="532"/>
        <v>359.59999999999997</v>
      </c>
      <c r="I4471" s="5" t="str">
        <f t="shared" si="533"/>
        <v>017</v>
      </c>
      <c r="J4471" s="5" t="str">
        <f t="shared" si="534"/>
        <v>2220</v>
      </c>
      <c r="K4471" s="5" t="str">
        <f t="shared" si="535"/>
        <v>000</v>
      </c>
      <c r="L4471" s="5">
        <f t="shared" si="536"/>
        <v>11</v>
      </c>
      <c r="M4471" s="5">
        <f t="shared" si="537"/>
        <v>2012</v>
      </c>
    </row>
    <row r="4472" spans="1:13" ht="15" x14ac:dyDescent="0.25">
      <c r="A4472" s="1">
        <f>DATE(2012,11,9)</f>
        <v>41222</v>
      </c>
      <c r="B4472" t="s">
        <v>18</v>
      </c>
      <c r="C4472" t="s">
        <v>10</v>
      </c>
      <c r="D4472" s="3">
        <v>58.905000000000001</v>
      </c>
      <c r="E4472" s="3">
        <v>0</v>
      </c>
      <c r="F4472" t="s">
        <v>45</v>
      </c>
      <c r="G4472" s="3">
        <f t="shared" si="531"/>
        <v>-58.905000000000001</v>
      </c>
      <c r="H4472" s="3">
        <f t="shared" si="532"/>
        <v>58.905000000000001</v>
      </c>
      <c r="I4472" s="5" t="str">
        <f t="shared" si="533"/>
        <v>017</v>
      </c>
      <c r="J4472" s="5" t="str">
        <f t="shared" si="534"/>
        <v>2230</v>
      </c>
      <c r="K4472" s="5" t="str">
        <f t="shared" si="535"/>
        <v>000</v>
      </c>
      <c r="L4472" s="5">
        <f t="shared" si="536"/>
        <v>11</v>
      </c>
      <c r="M4472" s="5">
        <f t="shared" si="537"/>
        <v>2012</v>
      </c>
    </row>
    <row r="4473" spans="1:13" ht="15" x14ac:dyDescent="0.25">
      <c r="A4473" s="1">
        <f>DATE(2012,11,10)</f>
        <v>41223</v>
      </c>
      <c r="B4473" t="s">
        <v>15</v>
      </c>
      <c r="C4473" t="s">
        <v>6</v>
      </c>
      <c r="D4473" s="3">
        <v>6083.8028999999997</v>
      </c>
      <c r="E4473" s="3">
        <v>0</v>
      </c>
      <c r="F4473" t="s">
        <v>45</v>
      </c>
      <c r="G4473" s="3">
        <f t="shared" si="531"/>
        <v>-6083.8028999999997</v>
      </c>
      <c r="H4473" s="3">
        <f t="shared" si="532"/>
        <v>6083.8028999999997</v>
      </c>
      <c r="I4473" s="5" t="str">
        <f t="shared" si="533"/>
        <v>017</v>
      </c>
      <c r="J4473" s="5" t="str">
        <f t="shared" si="534"/>
        <v>2100</v>
      </c>
      <c r="K4473" s="5" t="str">
        <f t="shared" si="535"/>
        <v>000</v>
      </c>
      <c r="L4473" s="5">
        <f t="shared" si="536"/>
        <v>11</v>
      </c>
      <c r="M4473" s="5">
        <f t="shared" si="537"/>
        <v>2012</v>
      </c>
    </row>
    <row r="4474" spans="1:13" ht="15" x14ac:dyDescent="0.25">
      <c r="A4474" s="1">
        <f>DATE(2012,11,10)</f>
        <v>41223</v>
      </c>
      <c r="B4474" t="s">
        <v>16</v>
      </c>
      <c r="C4474" t="s">
        <v>8</v>
      </c>
      <c r="D4474" s="3">
        <v>1448.6890000000001</v>
      </c>
      <c r="E4474" s="3">
        <v>0</v>
      </c>
      <c r="F4474" t="s">
        <v>45</v>
      </c>
      <c r="G4474" s="3">
        <f t="shared" si="531"/>
        <v>-1448.6890000000001</v>
      </c>
      <c r="H4474" s="3">
        <f t="shared" si="532"/>
        <v>1448.6890000000001</v>
      </c>
      <c r="I4474" s="5" t="str">
        <f t="shared" si="533"/>
        <v>017</v>
      </c>
      <c r="J4474" s="5" t="str">
        <f t="shared" si="534"/>
        <v>2210</v>
      </c>
      <c r="K4474" s="5" t="str">
        <f t="shared" si="535"/>
        <v>000</v>
      </c>
      <c r="L4474" s="5">
        <f t="shared" si="536"/>
        <v>11</v>
      </c>
      <c r="M4474" s="5">
        <f t="shared" si="537"/>
        <v>2012</v>
      </c>
    </row>
    <row r="4475" spans="1:13" ht="15" x14ac:dyDescent="0.25">
      <c r="A4475" s="1">
        <f>DATE(2012,11,10)</f>
        <v>41223</v>
      </c>
      <c r="B4475" t="s">
        <v>17</v>
      </c>
      <c r="C4475" t="s">
        <v>9</v>
      </c>
      <c r="D4475" s="3">
        <v>411.98500000000001</v>
      </c>
      <c r="E4475" s="3">
        <v>0</v>
      </c>
      <c r="F4475" t="s">
        <v>45</v>
      </c>
      <c r="G4475" s="3">
        <f t="shared" si="531"/>
        <v>-411.98500000000001</v>
      </c>
      <c r="H4475" s="3">
        <f t="shared" si="532"/>
        <v>411.98500000000001</v>
      </c>
      <c r="I4475" s="5" t="str">
        <f t="shared" si="533"/>
        <v>017</v>
      </c>
      <c r="J4475" s="5" t="str">
        <f t="shared" si="534"/>
        <v>2220</v>
      </c>
      <c r="K4475" s="5" t="str">
        <f t="shared" si="535"/>
        <v>000</v>
      </c>
      <c r="L4475" s="5">
        <f t="shared" si="536"/>
        <v>11</v>
      </c>
      <c r="M4475" s="5">
        <f t="shared" si="537"/>
        <v>2012</v>
      </c>
    </row>
    <row r="4476" spans="1:13" ht="15" x14ac:dyDescent="0.25">
      <c r="A4476" s="1">
        <f>DATE(2012,11,10)</f>
        <v>41223</v>
      </c>
      <c r="B4476" t="s">
        <v>18</v>
      </c>
      <c r="C4476" t="s">
        <v>10</v>
      </c>
      <c r="D4476" s="3">
        <v>106.413</v>
      </c>
      <c r="E4476" s="3">
        <v>0</v>
      </c>
      <c r="F4476" t="s">
        <v>45</v>
      </c>
      <c r="G4476" s="3">
        <f t="shared" si="531"/>
        <v>-106.413</v>
      </c>
      <c r="H4476" s="3">
        <f t="shared" si="532"/>
        <v>106.413</v>
      </c>
      <c r="I4476" s="5" t="str">
        <f t="shared" si="533"/>
        <v>017</v>
      </c>
      <c r="J4476" s="5" t="str">
        <f t="shared" si="534"/>
        <v>2230</v>
      </c>
      <c r="K4476" s="5" t="str">
        <f t="shared" si="535"/>
        <v>000</v>
      </c>
      <c r="L4476" s="5">
        <f t="shared" si="536"/>
        <v>11</v>
      </c>
      <c r="M4476" s="5">
        <f t="shared" si="537"/>
        <v>2012</v>
      </c>
    </row>
    <row r="4477" spans="1:13" ht="15" x14ac:dyDescent="0.25">
      <c r="A4477" s="1">
        <f>DATE(2012,11,11)</f>
        <v>41224</v>
      </c>
      <c r="B4477" t="s">
        <v>15</v>
      </c>
      <c r="C4477" t="s">
        <v>6</v>
      </c>
      <c r="D4477" s="3">
        <v>5545.5036</v>
      </c>
      <c r="E4477" s="3">
        <v>0</v>
      </c>
      <c r="F4477" t="s">
        <v>45</v>
      </c>
      <c r="G4477" s="3">
        <f t="shared" si="531"/>
        <v>-5545.5036</v>
      </c>
      <c r="H4477" s="3">
        <f t="shared" si="532"/>
        <v>5545.5036</v>
      </c>
      <c r="I4477" s="5" t="str">
        <f t="shared" si="533"/>
        <v>017</v>
      </c>
      <c r="J4477" s="5" t="str">
        <f t="shared" si="534"/>
        <v>2100</v>
      </c>
      <c r="K4477" s="5" t="str">
        <f t="shared" si="535"/>
        <v>000</v>
      </c>
      <c r="L4477" s="5">
        <f t="shared" si="536"/>
        <v>11</v>
      </c>
      <c r="M4477" s="5">
        <f t="shared" si="537"/>
        <v>2012</v>
      </c>
    </row>
    <row r="4478" spans="1:13" ht="15" x14ac:dyDescent="0.25">
      <c r="A4478" s="1">
        <f>DATE(2012,11,11)</f>
        <v>41224</v>
      </c>
      <c r="B4478" t="s">
        <v>16</v>
      </c>
      <c r="C4478" t="s">
        <v>8</v>
      </c>
      <c r="D4478" s="3">
        <v>873.82799999999997</v>
      </c>
      <c r="E4478" s="3">
        <v>0</v>
      </c>
      <c r="F4478" t="s">
        <v>45</v>
      </c>
      <c r="G4478" s="3">
        <f t="shared" si="531"/>
        <v>-873.82799999999997</v>
      </c>
      <c r="H4478" s="3">
        <f t="shared" si="532"/>
        <v>873.82799999999997</v>
      </c>
      <c r="I4478" s="5" t="str">
        <f t="shared" si="533"/>
        <v>017</v>
      </c>
      <c r="J4478" s="5" t="str">
        <f t="shared" si="534"/>
        <v>2210</v>
      </c>
      <c r="K4478" s="5" t="str">
        <f t="shared" si="535"/>
        <v>000</v>
      </c>
      <c r="L4478" s="5">
        <f t="shared" si="536"/>
        <v>11</v>
      </c>
      <c r="M4478" s="5">
        <f t="shared" si="537"/>
        <v>2012</v>
      </c>
    </row>
    <row r="4479" spans="1:13" ht="15" x14ac:dyDescent="0.25">
      <c r="A4479" s="1">
        <f>DATE(2012,11,11)</f>
        <v>41224</v>
      </c>
      <c r="B4479" t="s">
        <v>17</v>
      </c>
      <c r="C4479" t="s">
        <v>9</v>
      </c>
      <c r="D4479" s="3">
        <v>153.12</v>
      </c>
      <c r="E4479" s="3">
        <v>0</v>
      </c>
      <c r="F4479" t="s">
        <v>45</v>
      </c>
      <c r="G4479" s="3">
        <f t="shared" si="531"/>
        <v>-153.12</v>
      </c>
      <c r="H4479" s="3">
        <f t="shared" si="532"/>
        <v>153.12</v>
      </c>
      <c r="I4479" s="5" t="str">
        <f t="shared" si="533"/>
        <v>017</v>
      </c>
      <c r="J4479" s="5" t="str">
        <f t="shared" si="534"/>
        <v>2220</v>
      </c>
      <c r="K4479" s="5" t="str">
        <f t="shared" si="535"/>
        <v>000</v>
      </c>
      <c r="L4479" s="5">
        <f t="shared" si="536"/>
        <v>11</v>
      </c>
      <c r="M4479" s="5">
        <f t="shared" si="537"/>
        <v>2012</v>
      </c>
    </row>
    <row r="4480" spans="1:13" ht="15" x14ac:dyDescent="0.25">
      <c r="A4480" s="1">
        <f>DATE(2012,11,11)</f>
        <v>41224</v>
      </c>
      <c r="B4480" t="s">
        <v>18</v>
      </c>
      <c r="C4480" t="s">
        <v>10</v>
      </c>
      <c r="D4480" s="3">
        <v>56.681999999999995</v>
      </c>
      <c r="E4480" s="3">
        <v>0</v>
      </c>
      <c r="F4480" t="s">
        <v>45</v>
      </c>
      <c r="G4480" s="3">
        <f t="shared" si="531"/>
        <v>-56.681999999999995</v>
      </c>
      <c r="H4480" s="3">
        <f t="shared" si="532"/>
        <v>56.681999999999995</v>
      </c>
      <c r="I4480" s="5" t="str">
        <f t="shared" si="533"/>
        <v>017</v>
      </c>
      <c r="J4480" s="5" t="str">
        <f t="shared" si="534"/>
        <v>2230</v>
      </c>
      <c r="K4480" s="5" t="str">
        <f t="shared" si="535"/>
        <v>000</v>
      </c>
      <c r="L4480" s="5">
        <f t="shared" si="536"/>
        <v>11</v>
      </c>
      <c r="M4480" s="5">
        <f t="shared" si="537"/>
        <v>2012</v>
      </c>
    </row>
    <row r="4481" spans="1:13" ht="15" x14ac:dyDescent="0.25">
      <c r="A4481" s="1">
        <f>DATE(2012,11,5)</f>
        <v>41218</v>
      </c>
      <c r="B4481" t="s">
        <v>19</v>
      </c>
      <c r="C4481" t="s">
        <v>6</v>
      </c>
      <c r="D4481" s="3">
        <v>5056.4668000000001</v>
      </c>
      <c r="E4481" s="3">
        <v>0</v>
      </c>
      <c r="F4481" t="s">
        <v>45</v>
      </c>
      <c r="G4481" s="3">
        <f t="shared" si="531"/>
        <v>-5056.4668000000001</v>
      </c>
      <c r="H4481" s="3">
        <f t="shared" si="532"/>
        <v>5056.4668000000001</v>
      </c>
      <c r="I4481" s="5" t="str">
        <f t="shared" si="533"/>
        <v>018</v>
      </c>
      <c r="J4481" s="5" t="str">
        <f t="shared" si="534"/>
        <v>2100</v>
      </c>
      <c r="K4481" s="5" t="str">
        <f t="shared" si="535"/>
        <v>000</v>
      </c>
      <c r="L4481" s="5">
        <f t="shared" si="536"/>
        <v>11</v>
      </c>
      <c r="M4481" s="5">
        <f t="shared" si="537"/>
        <v>2012</v>
      </c>
    </row>
    <row r="4482" spans="1:13" ht="15" x14ac:dyDescent="0.25">
      <c r="A4482" s="1">
        <f>DATE(2012,11,5)</f>
        <v>41218</v>
      </c>
      <c r="B4482" t="s">
        <v>20</v>
      </c>
      <c r="C4482" t="s">
        <v>8</v>
      </c>
      <c r="D4482" s="3">
        <v>404.45999999999992</v>
      </c>
      <c r="E4482" s="3">
        <v>0</v>
      </c>
      <c r="F4482" t="s">
        <v>45</v>
      </c>
      <c r="G4482" s="3">
        <f t="shared" ref="G4482:G4545" si="540">E4482-D4482</f>
        <v>-404.45999999999992</v>
      </c>
      <c r="H4482" s="3">
        <f t="shared" ref="H4482:H4545" si="541">ABS(G4482)</f>
        <v>404.45999999999992</v>
      </c>
      <c r="I4482" s="5" t="str">
        <f t="shared" ref="I4482:I4545" si="542">MID(B4482,1,3)</f>
        <v>018</v>
      </c>
      <c r="J4482" s="5" t="str">
        <f t="shared" ref="J4482:J4545" si="543">MID(B4482,5,4)</f>
        <v>2210</v>
      </c>
      <c r="K4482" s="5" t="str">
        <f t="shared" ref="K4482:K4545" si="544">MID(B4482,10,3)</f>
        <v>000</v>
      </c>
      <c r="L4482" s="5">
        <f t="shared" ref="L4482:L4545" si="545">MONTH(A4482)</f>
        <v>11</v>
      </c>
      <c r="M4482" s="5">
        <f t="shared" ref="M4482:M4545" si="546">YEAR(A4482)</f>
        <v>2012</v>
      </c>
    </row>
    <row r="4483" spans="1:13" ht="15" x14ac:dyDescent="0.25">
      <c r="A4483" s="1">
        <f>DATE(2012,11,5)</f>
        <v>41218</v>
      </c>
      <c r="B4483" t="s">
        <v>21</v>
      </c>
      <c r="C4483" t="s">
        <v>9</v>
      </c>
      <c r="D4483" s="3">
        <v>156.92099999999999</v>
      </c>
      <c r="E4483" s="3">
        <v>0</v>
      </c>
      <c r="F4483" t="s">
        <v>45</v>
      </c>
      <c r="G4483" s="3">
        <f t="shared" si="540"/>
        <v>-156.92099999999999</v>
      </c>
      <c r="H4483" s="3">
        <f t="shared" si="541"/>
        <v>156.92099999999999</v>
      </c>
      <c r="I4483" s="5" t="str">
        <f t="shared" si="542"/>
        <v>018</v>
      </c>
      <c r="J4483" s="5" t="str">
        <f t="shared" si="543"/>
        <v>2220</v>
      </c>
      <c r="K4483" s="5" t="str">
        <f t="shared" si="544"/>
        <v>000</v>
      </c>
      <c r="L4483" s="5">
        <f t="shared" si="545"/>
        <v>11</v>
      </c>
      <c r="M4483" s="5">
        <f t="shared" si="546"/>
        <v>2012</v>
      </c>
    </row>
    <row r="4484" spans="1:13" ht="15" x14ac:dyDescent="0.25">
      <c r="A4484" s="1">
        <f>DATE(2012,11,5)</f>
        <v>41218</v>
      </c>
      <c r="B4484" t="s">
        <v>22</v>
      </c>
      <c r="C4484" t="s">
        <v>10</v>
      </c>
      <c r="D4484" s="3">
        <v>60.378499999999995</v>
      </c>
      <c r="E4484" s="3">
        <v>0</v>
      </c>
      <c r="F4484" t="s">
        <v>45</v>
      </c>
      <c r="G4484" s="3">
        <f t="shared" si="540"/>
        <v>-60.378499999999995</v>
      </c>
      <c r="H4484" s="3">
        <f t="shared" si="541"/>
        <v>60.378499999999995</v>
      </c>
      <c r="I4484" s="5" t="str">
        <f t="shared" si="542"/>
        <v>018</v>
      </c>
      <c r="J4484" s="5" t="str">
        <f t="shared" si="543"/>
        <v>2230</v>
      </c>
      <c r="K4484" s="5" t="str">
        <f t="shared" si="544"/>
        <v>000</v>
      </c>
      <c r="L4484" s="5">
        <f t="shared" si="545"/>
        <v>11</v>
      </c>
      <c r="M4484" s="5">
        <f t="shared" si="546"/>
        <v>2012</v>
      </c>
    </row>
    <row r="4485" spans="1:13" ht="15" x14ac:dyDescent="0.25">
      <c r="A4485" s="1">
        <f>DATE(2012,11,6)</f>
        <v>41219</v>
      </c>
      <c r="B4485" t="s">
        <v>19</v>
      </c>
      <c r="C4485" t="s">
        <v>6</v>
      </c>
      <c r="D4485" s="3">
        <v>4962.9606000000003</v>
      </c>
      <c r="E4485" s="3">
        <v>0</v>
      </c>
      <c r="F4485" t="s">
        <v>45</v>
      </c>
      <c r="G4485" s="3">
        <f t="shared" si="540"/>
        <v>-4962.9606000000003</v>
      </c>
      <c r="H4485" s="3">
        <f t="shared" si="541"/>
        <v>4962.9606000000003</v>
      </c>
      <c r="I4485" s="5" t="str">
        <f t="shared" si="542"/>
        <v>018</v>
      </c>
      <c r="J4485" s="5" t="str">
        <f t="shared" si="543"/>
        <v>2100</v>
      </c>
      <c r="K4485" s="5" t="str">
        <f t="shared" si="544"/>
        <v>000</v>
      </c>
      <c r="L4485" s="5">
        <f t="shared" si="545"/>
        <v>11</v>
      </c>
      <c r="M4485" s="5">
        <f t="shared" si="546"/>
        <v>2012</v>
      </c>
    </row>
    <row r="4486" spans="1:13" ht="15" x14ac:dyDescent="0.25">
      <c r="A4486" s="1">
        <f>DATE(2012,11,6)</f>
        <v>41219</v>
      </c>
      <c r="B4486" t="s">
        <v>20</v>
      </c>
      <c r="C4486" t="s">
        <v>8</v>
      </c>
      <c r="D4486" s="3">
        <v>662.85450000000003</v>
      </c>
      <c r="E4486" s="3">
        <v>0</v>
      </c>
      <c r="F4486" t="s">
        <v>45</v>
      </c>
      <c r="G4486" s="3">
        <f t="shared" si="540"/>
        <v>-662.85450000000003</v>
      </c>
      <c r="H4486" s="3">
        <f t="shared" si="541"/>
        <v>662.85450000000003</v>
      </c>
      <c r="I4486" s="5" t="str">
        <f t="shared" si="542"/>
        <v>018</v>
      </c>
      <c r="J4486" s="5" t="str">
        <f t="shared" si="543"/>
        <v>2210</v>
      </c>
      <c r="K4486" s="5" t="str">
        <f t="shared" si="544"/>
        <v>000</v>
      </c>
      <c r="L4486" s="5">
        <f t="shared" si="545"/>
        <v>11</v>
      </c>
      <c r="M4486" s="5">
        <f t="shared" si="546"/>
        <v>2012</v>
      </c>
    </row>
    <row r="4487" spans="1:13" ht="15" x14ac:dyDescent="0.25">
      <c r="A4487" s="1">
        <f>DATE(2012,11,6)</f>
        <v>41219</v>
      </c>
      <c r="B4487" t="s">
        <v>21</v>
      </c>
      <c r="C4487" t="s">
        <v>9</v>
      </c>
      <c r="D4487" s="3">
        <v>172.08750000000001</v>
      </c>
      <c r="E4487" s="3">
        <v>0</v>
      </c>
      <c r="F4487" t="s">
        <v>45</v>
      </c>
      <c r="G4487" s="3">
        <f t="shared" si="540"/>
        <v>-172.08750000000001</v>
      </c>
      <c r="H4487" s="3">
        <f t="shared" si="541"/>
        <v>172.08750000000001</v>
      </c>
      <c r="I4487" s="5" t="str">
        <f t="shared" si="542"/>
        <v>018</v>
      </c>
      <c r="J4487" s="5" t="str">
        <f t="shared" si="543"/>
        <v>2220</v>
      </c>
      <c r="K4487" s="5" t="str">
        <f t="shared" si="544"/>
        <v>000</v>
      </c>
      <c r="L4487" s="5">
        <f t="shared" si="545"/>
        <v>11</v>
      </c>
      <c r="M4487" s="5">
        <f t="shared" si="546"/>
        <v>2012</v>
      </c>
    </row>
    <row r="4488" spans="1:13" ht="15" x14ac:dyDescent="0.25">
      <c r="A4488" s="1">
        <f>DATE(2012,11,6)</f>
        <v>41219</v>
      </c>
      <c r="B4488" t="s">
        <v>22</v>
      </c>
      <c r="C4488" t="s">
        <v>10</v>
      </c>
      <c r="D4488" s="3">
        <v>114.89999999999999</v>
      </c>
      <c r="E4488" s="3">
        <v>0</v>
      </c>
      <c r="F4488" t="s">
        <v>45</v>
      </c>
      <c r="G4488" s="3">
        <f t="shared" si="540"/>
        <v>-114.89999999999999</v>
      </c>
      <c r="H4488" s="3">
        <f t="shared" si="541"/>
        <v>114.89999999999999</v>
      </c>
      <c r="I4488" s="5" t="str">
        <f t="shared" si="542"/>
        <v>018</v>
      </c>
      <c r="J4488" s="5" t="str">
        <f t="shared" si="543"/>
        <v>2230</v>
      </c>
      <c r="K4488" s="5" t="str">
        <f t="shared" si="544"/>
        <v>000</v>
      </c>
      <c r="L4488" s="5">
        <f t="shared" si="545"/>
        <v>11</v>
      </c>
      <c r="M4488" s="5">
        <f t="shared" si="546"/>
        <v>2012</v>
      </c>
    </row>
    <row r="4489" spans="1:13" ht="15" x14ac:dyDescent="0.25">
      <c r="A4489" s="1">
        <f>DATE(2012,11,7)</f>
        <v>41220</v>
      </c>
      <c r="B4489" t="s">
        <v>19</v>
      </c>
      <c r="C4489" t="s">
        <v>6</v>
      </c>
      <c r="D4489" s="3">
        <v>3633.3229000000001</v>
      </c>
      <c r="E4489" s="3">
        <v>0</v>
      </c>
      <c r="F4489" t="s">
        <v>45</v>
      </c>
      <c r="G4489" s="3">
        <f t="shared" si="540"/>
        <v>-3633.3229000000001</v>
      </c>
      <c r="H4489" s="3">
        <f t="shared" si="541"/>
        <v>3633.3229000000001</v>
      </c>
      <c r="I4489" s="5" t="str">
        <f t="shared" si="542"/>
        <v>018</v>
      </c>
      <c r="J4489" s="5" t="str">
        <f t="shared" si="543"/>
        <v>2100</v>
      </c>
      <c r="K4489" s="5" t="str">
        <f t="shared" si="544"/>
        <v>000</v>
      </c>
      <c r="L4489" s="5">
        <f t="shared" si="545"/>
        <v>11</v>
      </c>
      <c r="M4489" s="5">
        <f t="shared" si="546"/>
        <v>2012</v>
      </c>
    </row>
    <row r="4490" spans="1:13" ht="15" x14ac:dyDescent="0.25">
      <c r="A4490" s="1">
        <f>DATE(2012,11,7)</f>
        <v>41220</v>
      </c>
      <c r="B4490" t="s">
        <v>20</v>
      </c>
      <c r="C4490" t="s">
        <v>8</v>
      </c>
      <c r="D4490" s="3">
        <v>555.28000000000009</v>
      </c>
      <c r="E4490" s="3">
        <v>0</v>
      </c>
      <c r="F4490" t="s">
        <v>45</v>
      </c>
      <c r="G4490" s="3">
        <f t="shared" si="540"/>
        <v>-555.28000000000009</v>
      </c>
      <c r="H4490" s="3">
        <f t="shared" si="541"/>
        <v>555.28000000000009</v>
      </c>
      <c r="I4490" s="5" t="str">
        <f t="shared" si="542"/>
        <v>018</v>
      </c>
      <c r="J4490" s="5" t="str">
        <f t="shared" si="543"/>
        <v>2210</v>
      </c>
      <c r="K4490" s="5" t="str">
        <f t="shared" si="544"/>
        <v>000</v>
      </c>
      <c r="L4490" s="5">
        <f t="shared" si="545"/>
        <v>11</v>
      </c>
      <c r="M4490" s="5">
        <f t="shared" si="546"/>
        <v>2012</v>
      </c>
    </row>
    <row r="4491" spans="1:13" ht="15" x14ac:dyDescent="0.25">
      <c r="A4491" s="1">
        <f>DATE(2012,11,7)</f>
        <v>41220</v>
      </c>
      <c r="B4491" t="s">
        <v>21</v>
      </c>
      <c r="C4491" t="s">
        <v>9</v>
      </c>
      <c r="D4491" s="3">
        <v>225.41200000000001</v>
      </c>
      <c r="E4491" s="3">
        <v>0</v>
      </c>
      <c r="F4491" t="s">
        <v>45</v>
      </c>
      <c r="G4491" s="3">
        <f t="shared" si="540"/>
        <v>-225.41200000000001</v>
      </c>
      <c r="H4491" s="3">
        <f t="shared" si="541"/>
        <v>225.41200000000001</v>
      </c>
      <c r="I4491" s="5" t="str">
        <f t="shared" si="542"/>
        <v>018</v>
      </c>
      <c r="J4491" s="5" t="str">
        <f t="shared" si="543"/>
        <v>2220</v>
      </c>
      <c r="K4491" s="5" t="str">
        <f t="shared" si="544"/>
        <v>000</v>
      </c>
      <c r="L4491" s="5">
        <f t="shared" si="545"/>
        <v>11</v>
      </c>
      <c r="M4491" s="5">
        <f t="shared" si="546"/>
        <v>2012</v>
      </c>
    </row>
    <row r="4492" spans="1:13" ht="15" x14ac:dyDescent="0.25">
      <c r="A4492" s="1">
        <f>DATE(2012,11,7)</f>
        <v>41220</v>
      </c>
      <c r="B4492" t="s">
        <v>22</v>
      </c>
      <c r="C4492" t="s">
        <v>10</v>
      </c>
      <c r="D4492" s="3">
        <v>31.772499999999997</v>
      </c>
      <c r="E4492" s="3">
        <v>0</v>
      </c>
      <c r="F4492" t="s">
        <v>45</v>
      </c>
      <c r="G4492" s="3">
        <f t="shared" si="540"/>
        <v>-31.772499999999997</v>
      </c>
      <c r="H4492" s="3">
        <f t="shared" si="541"/>
        <v>31.772499999999997</v>
      </c>
      <c r="I4492" s="5" t="str">
        <f t="shared" si="542"/>
        <v>018</v>
      </c>
      <c r="J4492" s="5" t="str">
        <f t="shared" si="543"/>
        <v>2230</v>
      </c>
      <c r="K4492" s="5" t="str">
        <f t="shared" si="544"/>
        <v>000</v>
      </c>
      <c r="L4492" s="5">
        <f t="shared" si="545"/>
        <v>11</v>
      </c>
      <c r="M4492" s="5">
        <f t="shared" si="546"/>
        <v>2012</v>
      </c>
    </row>
    <row r="4493" spans="1:13" ht="15" x14ac:dyDescent="0.25">
      <c r="A4493" s="1">
        <f>DATE(2012,11,8)</f>
        <v>41221</v>
      </c>
      <c r="B4493" t="s">
        <v>19</v>
      </c>
      <c r="C4493" t="s">
        <v>6</v>
      </c>
      <c r="D4493" s="3">
        <v>3908.0596999999998</v>
      </c>
      <c r="E4493" s="3">
        <v>0</v>
      </c>
      <c r="F4493" t="s">
        <v>45</v>
      </c>
      <c r="G4493" s="3">
        <f t="shared" si="540"/>
        <v>-3908.0596999999998</v>
      </c>
      <c r="H4493" s="3">
        <f t="shared" si="541"/>
        <v>3908.0596999999998</v>
      </c>
      <c r="I4493" s="5" t="str">
        <f t="shared" si="542"/>
        <v>018</v>
      </c>
      <c r="J4493" s="5" t="str">
        <f t="shared" si="543"/>
        <v>2100</v>
      </c>
      <c r="K4493" s="5" t="str">
        <f t="shared" si="544"/>
        <v>000</v>
      </c>
      <c r="L4493" s="5">
        <f t="shared" si="545"/>
        <v>11</v>
      </c>
      <c r="M4493" s="5">
        <f t="shared" si="546"/>
        <v>2012</v>
      </c>
    </row>
    <row r="4494" spans="1:13" ht="15" x14ac:dyDescent="0.25">
      <c r="A4494" s="1">
        <f>DATE(2012,11,8)</f>
        <v>41221</v>
      </c>
      <c r="B4494" t="s">
        <v>20</v>
      </c>
      <c r="C4494" t="s">
        <v>8</v>
      </c>
      <c r="D4494" s="3">
        <v>862.57749999999999</v>
      </c>
      <c r="E4494" s="3">
        <v>0</v>
      </c>
      <c r="F4494" t="s">
        <v>45</v>
      </c>
      <c r="G4494" s="3">
        <f t="shared" si="540"/>
        <v>-862.57749999999999</v>
      </c>
      <c r="H4494" s="3">
        <f t="shared" si="541"/>
        <v>862.57749999999999</v>
      </c>
      <c r="I4494" s="5" t="str">
        <f t="shared" si="542"/>
        <v>018</v>
      </c>
      <c r="J4494" s="5" t="str">
        <f t="shared" si="543"/>
        <v>2210</v>
      </c>
      <c r="K4494" s="5" t="str">
        <f t="shared" si="544"/>
        <v>000</v>
      </c>
      <c r="L4494" s="5">
        <f t="shared" si="545"/>
        <v>11</v>
      </c>
      <c r="M4494" s="5">
        <f t="shared" si="546"/>
        <v>2012</v>
      </c>
    </row>
    <row r="4495" spans="1:13" ht="15" x14ac:dyDescent="0.25">
      <c r="A4495" s="1">
        <f>DATE(2012,11,8)</f>
        <v>41221</v>
      </c>
      <c r="B4495" t="s">
        <v>21</v>
      </c>
      <c r="C4495" t="s">
        <v>9</v>
      </c>
      <c r="D4495" s="3">
        <v>160.84200000000001</v>
      </c>
      <c r="E4495" s="3">
        <v>0</v>
      </c>
      <c r="F4495" t="s">
        <v>45</v>
      </c>
      <c r="G4495" s="3">
        <f t="shared" si="540"/>
        <v>-160.84200000000001</v>
      </c>
      <c r="H4495" s="3">
        <f t="shared" si="541"/>
        <v>160.84200000000001</v>
      </c>
      <c r="I4495" s="5" t="str">
        <f t="shared" si="542"/>
        <v>018</v>
      </c>
      <c r="J4495" s="5" t="str">
        <f t="shared" si="543"/>
        <v>2220</v>
      </c>
      <c r="K4495" s="5" t="str">
        <f t="shared" si="544"/>
        <v>000</v>
      </c>
      <c r="L4495" s="5">
        <f t="shared" si="545"/>
        <v>11</v>
      </c>
      <c r="M4495" s="5">
        <f t="shared" si="546"/>
        <v>2012</v>
      </c>
    </row>
    <row r="4496" spans="1:13" ht="15" x14ac:dyDescent="0.25">
      <c r="A4496" s="1">
        <f>DATE(2012,11,8)</f>
        <v>41221</v>
      </c>
      <c r="B4496" t="s">
        <v>22</v>
      </c>
      <c r="C4496" t="s">
        <v>10</v>
      </c>
      <c r="D4496" s="3">
        <v>88.66</v>
      </c>
      <c r="E4496" s="3">
        <v>0</v>
      </c>
      <c r="F4496" t="s">
        <v>45</v>
      </c>
      <c r="G4496" s="3">
        <f t="shared" si="540"/>
        <v>-88.66</v>
      </c>
      <c r="H4496" s="3">
        <f t="shared" si="541"/>
        <v>88.66</v>
      </c>
      <c r="I4496" s="5" t="str">
        <f t="shared" si="542"/>
        <v>018</v>
      </c>
      <c r="J4496" s="5" t="str">
        <f t="shared" si="543"/>
        <v>2230</v>
      </c>
      <c r="K4496" s="5" t="str">
        <f t="shared" si="544"/>
        <v>000</v>
      </c>
      <c r="L4496" s="5">
        <f t="shared" si="545"/>
        <v>11</v>
      </c>
      <c r="M4496" s="5">
        <f t="shared" si="546"/>
        <v>2012</v>
      </c>
    </row>
    <row r="4497" spans="1:13" ht="15" x14ac:dyDescent="0.25">
      <c r="A4497" s="1">
        <f t="shared" ref="A4497:A4500" si="547">DATE(2012,11,9)</f>
        <v>41222</v>
      </c>
      <c r="B4497" t="s">
        <v>19</v>
      </c>
      <c r="C4497" t="s">
        <v>6</v>
      </c>
      <c r="D4497" s="3">
        <v>8572.452299999999</v>
      </c>
      <c r="E4497" s="3">
        <v>0</v>
      </c>
      <c r="F4497" t="s">
        <v>45</v>
      </c>
      <c r="G4497" s="3">
        <f t="shared" si="540"/>
        <v>-8572.452299999999</v>
      </c>
      <c r="H4497" s="3">
        <f t="shared" si="541"/>
        <v>8572.452299999999</v>
      </c>
      <c r="I4497" s="5" t="str">
        <f t="shared" si="542"/>
        <v>018</v>
      </c>
      <c r="J4497" s="5" t="str">
        <f t="shared" si="543"/>
        <v>2100</v>
      </c>
      <c r="K4497" s="5" t="str">
        <f t="shared" si="544"/>
        <v>000</v>
      </c>
      <c r="L4497" s="5">
        <f t="shared" si="545"/>
        <v>11</v>
      </c>
      <c r="M4497" s="5">
        <f t="shared" si="546"/>
        <v>2012</v>
      </c>
    </row>
    <row r="4498" spans="1:13" ht="15" x14ac:dyDescent="0.25">
      <c r="A4498" s="1">
        <f t="shared" si="547"/>
        <v>41222</v>
      </c>
      <c r="B4498" t="s">
        <v>20</v>
      </c>
      <c r="C4498" t="s">
        <v>8</v>
      </c>
      <c r="D4498" s="3">
        <v>2260.06</v>
      </c>
      <c r="E4498" s="3">
        <v>0</v>
      </c>
      <c r="F4498" t="s">
        <v>45</v>
      </c>
      <c r="G4498" s="3">
        <f t="shared" si="540"/>
        <v>-2260.06</v>
      </c>
      <c r="H4498" s="3">
        <f t="shared" si="541"/>
        <v>2260.06</v>
      </c>
      <c r="I4498" s="5" t="str">
        <f t="shared" si="542"/>
        <v>018</v>
      </c>
      <c r="J4498" s="5" t="str">
        <f t="shared" si="543"/>
        <v>2210</v>
      </c>
      <c r="K4498" s="5" t="str">
        <f t="shared" si="544"/>
        <v>000</v>
      </c>
      <c r="L4498" s="5">
        <f t="shared" si="545"/>
        <v>11</v>
      </c>
      <c r="M4498" s="5">
        <f t="shared" si="546"/>
        <v>2012</v>
      </c>
    </row>
    <row r="4499" spans="1:13" ht="15" x14ac:dyDescent="0.25">
      <c r="A4499" s="1">
        <f t="shared" si="547"/>
        <v>41222</v>
      </c>
      <c r="B4499" t="s">
        <v>21</v>
      </c>
      <c r="C4499" t="s">
        <v>9</v>
      </c>
      <c r="D4499" s="3">
        <v>729.21300000000008</v>
      </c>
      <c r="E4499" s="3">
        <v>0</v>
      </c>
      <c r="F4499" t="s">
        <v>45</v>
      </c>
      <c r="G4499" s="3">
        <f t="shared" si="540"/>
        <v>-729.21300000000008</v>
      </c>
      <c r="H4499" s="3">
        <f t="shared" si="541"/>
        <v>729.21300000000008</v>
      </c>
      <c r="I4499" s="5" t="str">
        <f t="shared" si="542"/>
        <v>018</v>
      </c>
      <c r="J4499" s="5" t="str">
        <f t="shared" si="543"/>
        <v>2220</v>
      </c>
      <c r="K4499" s="5" t="str">
        <f t="shared" si="544"/>
        <v>000</v>
      </c>
      <c r="L4499" s="5">
        <f t="shared" si="545"/>
        <v>11</v>
      </c>
      <c r="M4499" s="5">
        <f t="shared" si="546"/>
        <v>2012</v>
      </c>
    </row>
    <row r="4500" spans="1:13" ht="15" x14ac:dyDescent="0.25">
      <c r="A4500" s="1">
        <f t="shared" si="547"/>
        <v>41222</v>
      </c>
      <c r="B4500" t="s">
        <v>22</v>
      </c>
      <c r="C4500" t="s">
        <v>10</v>
      </c>
      <c r="D4500" s="3">
        <v>107.976</v>
      </c>
      <c r="E4500" s="3">
        <v>0</v>
      </c>
      <c r="F4500" t="s">
        <v>45</v>
      </c>
      <c r="G4500" s="3">
        <f t="shared" si="540"/>
        <v>-107.976</v>
      </c>
      <c r="H4500" s="3">
        <f t="shared" si="541"/>
        <v>107.976</v>
      </c>
      <c r="I4500" s="5" t="str">
        <f t="shared" si="542"/>
        <v>018</v>
      </c>
      <c r="J4500" s="5" t="str">
        <f t="shared" si="543"/>
        <v>2230</v>
      </c>
      <c r="K4500" s="5" t="str">
        <f t="shared" si="544"/>
        <v>000</v>
      </c>
      <c r="L4500" s="5">
        <f t="shared" si="545"/>
        <v>11</v>
      </c>
      <c r="M4500" s="5">
        <f t="shared" si="546"/>
        <v>2012</v>
      </c>
    </row>
    <row r="4501" spans="1:13" ht="15" x14ac:dyDescent="0.25">
      <c r="A4501" s="1">
        <f>DATE(2012,11,10)</f>
        <v>41223</v>
      </c>
      <c r="B4501" t="s">
        <v>19</v>
      </c>
      <c r="C4501" t="s">
        <v>6</v>
      </c>
      <c r="D4501" s="3">
        <v>13174.846500000001</v>
      </c>
      <c r="E4501" s="3">
        <v>0</v>
      </c>
      <c r="F4501" t="s">
        <v>45</v>
      </c>
      <c r="G4501" s="3">
        <f t="shared" si="540"/>
        <v>-13174.846500000001</v>
      </c>
      <c r="H4501" s="3">
        <f t="shared" si="541"/>
        <v>13174.846500000001</v>
      </c>
      <c r="I4501" s="5" t="str">
        <f t="shared" si="542"/>
        <v>018</v>
      </c>
      <c r="J4501" s="5" t="str">
        <f t="shared" si="543"/>
        <v>2100</v>
      </c>
      <c r="K4501" s="5" t="str">
        <f t="shared" si="544"/>
        <v>000</v>
      </c>
      <c r="L4501" s="5">
        <f t="shared" si="545"/>
        <v>11</v>
      </c>
      <c r="M4501" s="5">
        <f t="shared" si="546"/>
        <v>2012</v>
      </c>
    </row>
    <row r="4502" spans="1:13" ht="15" x14ac:dyDescent="0.25">
      <c r="A4502" s="1">
        <f>DATE(2012,11,10)</f>
        <v>41223</v>
      </c>
      <c r="B4502" t="s">
        <v>20</v>
      </c>
      <c r="C4502" t="s">
        <v>8</v>
      </c>
      <c r="D4502" s="3">
        <v>5427.1720000000005</v>
      </c>
      <c r="E4502" s="3">
        <v>0</v>
      </c>
      <c r="F4502" t="s">
        <v>45</v>
      </c>
      <c r="G4502" s="3">
        <f t="shared" si="540"/>
        <v>-5427.1720000000005</v>
      </c>
      <c r="H4502" s="3">
        <f t="shared" si="541"/>
        <v>5427.1720000000005</v>
      </c>
      <c r="I4502" s="5" t="str">
        <f t="shared" si="542"/>
        <v>018</v>
      </c>
      <c r="J4502" s="5" t="str">
        <f t="shared" si="543"/>
        <v>2210</v>
      </c>
      <c r="K4502" s="5" t="str">
        <f t="shared" si="544"/>
        <v>000</v>
      </c>
      <c r="L4502" s="5">
        <f t="shared" si="545"/>
        <v>11</v>
      </c>
      <c r="M4502" s="5">
        <f t="shared" si="546"/>
        <v>2012</v>
      </c>
    </row>
    <row r="4503" spans="1:13" ht="15" x14ac:dyDescent="0.25">
      <c r="A4503" s="1">
        <f>DATE(2012,11,10)</f>
        <v>41223</v>
      </c>
      <c r="B4503" t="s">
        <v>21</v>
      </c>
      <c r="C4503" t="s">
        <v>9</v>
      </c>
      <c r="D4503" s="3">
        <v>813.88800000000003</v>
      </c>
      <c r="E4503" s="3">
        <v>0</v>
      </c>
      <c r="F4503" t="s">
        <v>45</v>
      </c>
      <c r="G4503" s="3">
        <f t="shared" si="540"/>
        <v>-813.88800000000003</v>
      </c>
      <c r="H4503" s="3">
        <f t="shared" si="541"/>
        <v>813.88800000000003</v>
      </c>
      <c r="I4503" s="5" t="str">
        <f t="shared" si="542"/>
        <v>018</v>
      </c>
      <c r="J4503" s="5" t="str">
        <f t="shared" si="543"/>
        <v>2220</v>
      </c>
      <c r="K4503" s="5" t="str">
        <f t="shared" si="544"/>
        <v>000</v>
      </c>
      <c r="L4503" s="5">
        <f t="shared" si="545"/>
        <v>11</v>
      </c>
      <c r="M4503" s="5">
        <f t="shared" si="546"/>
        <v>2012</v>
      </c>
    </row>
    <row r="4504" spans="1:13" ht="15" x14ac:dyDescent="0.25">
      <c r="A4504" s="1">
        <f>DATE(2012,11,10)</f>
        <v>41223</v>
      </c>
      <c r="B4504" t="s">
        <v>22</v>
      </c>
      <c r="C4504" t="s">
        <v>10</v>
      </c>
      <c r="D4504" s="3">
        <v>73.901499999999999</v>
      </c>
      <c r="E4504" s="3">
        <v>0</v>
      </c>
      <c r="F4504" t="s">
        <v>45</v>
      </c>
      <c r="G4504" s="3">
        <f t="shared" si="540"/>
        <v>-73.901499999999999</v>
      </c>
      <c r="H4504" s="3">
        <f t="shared" si="541"/>
        <v>73.901499999999999</v>
      </c>
      <c r="I4504" s="5" t="str">
        <f t="shared" si="542"/>
        <v>018</v>
      </c>
      <c r="J4504" s="5" t="str">
        <f t="shared" si="543"/>
        <v>2230</v>
      </c>
      <c r="K4504" s="5" t="str">
        <f t="shared" si="544"/>
        <v>000</v>
      </c>
      <c r="L4504" s="5">
        <f t="shared" si="545"/>
        <v>11</v>
      </c>
      <c r="M4504" s="5">
        <f t="shared" si="546"/>
        <v>2012</v>
      </c>
    </row>
    <row r="4505" spans="1:13" ht="15" x14ac:dyDescent="0.25">
      <c r="A4505" s="1">
        <f>DATE(2012,11,11)</f>
        <v>41224</v>
      </c>
      <c r="B4505" t="s">
        <v>19</v>
      </c>
      <c r="C4505" t="s">
        <v>6</v>
      </c>
      <c r="D4505" s="3">
        <v>16583.865000000002</v>
      </c>
      <c r="E4505" s="3">
        <v>0</v>
      </c>
      <c r="F4505" t="s">
        <v>45</v>
      </c>
      <c r="G4505" s="3">
        <f t="shared" si="540"/>
        <v>-16583.865000000002</v>
      </c>
      <c r="H4505" s="3">
        <f t="shared" si="541"/>
        <v>16583.865000000002</v>
      </c>
      <c r="I4505" s="5" t="str">
        <f t="shared" si="542"/>
        <v>018</v>
      </c>
      <c r="J4505" s="5" t="str">
        <f t="shared" si="543"/>
        <v>2100</v>
      </c>
      <c r="K4505" s="5" t="str">
        <f t="shared" si="544"/>
        <v>000</v>
      </c>
      <c r="L4505" s="5">
        <f t="shared" si="545"/>
        <v>11</v>
      </c>
      <c r="M4505" s="5">
        <f t="shared" si="546"/>
        <v>2012</v>
      </c>
    </row>
    <row r="4506" spans="1:13" ht="15" x14ac:dyDescent="0.25">
      <c r="A4506" s="1">
        <f>DATE(2012,11,11)</f>
        <v>41224</v>
      </c>
      <c r="B4506" t="s">
        <v>20</v>
      </c>
      <c r="C4506" t="s">
        <v>8</v>
      </c>
      <c r="D4506" s="3">
        <v>2115.4210000000003</v>
      </c>
      <c r="E4506" s="3">
        <v>0</v>
      </c>
      <c r="F4506" t="s">
        <v>45</v>
      </c>
      <c r="G4506" s="3">
        <f t="shared" si="540"/>
        <v>-2115.4210000000003</v>
      </c>
      <c r="H4506" s="3">
        <f t="shared" si="541"/>
        <v>2115.4210000000003</v>
      </c>
      <c r="I4506" s="5" t="str">
        <f t="shared" si="542"/>
        <v>018</v>
      </c>
      <c r="J4506" s="5" t="str">
        <f t="shared" si="543"/>
        <v>2210</v>
      </c>
      <c r="K4506" s="5" t="str">
        <f t="shared" si="544"/>
        <v>000</v>
      </c>
      <c r="L4506" s="5">
        <f t="shared" si="545"/>
        <v>11</v>
      </c>
      <c r="M4506" s="5">
        <f t="shared" si="546"/>
        <v>2012</v>
      </c>
    </row>
    <row r="4507" spans="1:13" ht="15" x14ac:dyDescent="0.25">
      <c r="A4507" s="1">
        <f>DATE(2012,11,11)</f>
        <v>41224</v>
      </c>
      <c r="B4507" t="s">
        <v>21</v>
      </c>
      <c r="C4507" t="s">
        <v>9</v>
      </c>
      <c r="D4507" s="3">
        <v>469.55700000000007</v>
      </c>
      <c r="E4507" s="3">
        <v>0</v>
      </c>
      <c r="F4507" t="s">
        <v>45</v>
      </c>
      <c r="G4507" s="3">
        <f t="shared" si="540"/>
        <v>-469.55700000000007</v>
      </c>
      <c r="H4507" s="3">
        <f t="shared" si="541"/>
        <v>469.55700000000007</v>
      </c>
      <c r="I4507" s="5" t="str">
        <f t="shared" si="542"/>
        <v>018</v>
      </c>
      <c r="J4507" s="5" t="str">
        <f t="shared" si="543"/>
        <v>2220</v>
      </c>
      <c r="K4507" s="5" t="str">
        <f t="shared" si="544"/>
        <v>000</v>
      </c>
      <c r="L4507" s="5">
        <f t="shared" si="545"/>
        <v>11</v>
      </c>
      <c r="M4507" s="5">
        <f t="shared" si="546"/>
        <v>2012</v>
      </c>
    </row>
    <row r="4508" spans="1:13" ht="15" x14ac:dyDescent="0.25">
      <c r="A4508" s="1">
        <f>DATE(2012,11,11)</f>
        <v>41224</v>
      </c>
      <c r="B4508" t="s">
        <v>22</v>
      </c>
      <c r="C4508" t="s">
        <v>10</v>
      </c>
      <c r="D4508" s="3">
        <v>230.46549999999999</v>
      </c>
      <c r="E4508" s="3">
        <v>0</v>
      </c>
      <c r="F4508" t="s">
        <v>45</v>
      </c>
      <c r="G4508" s="3">
        <f t="shared" si="540"/>
        <v>-230.46549999999999</v>
      </c>
      <c r="H4508" s="3">
        <f t="shared" si="541"/>
        <v>230.46549999999999</v>
      </c>
      <c r="I4508" s="5" t="str">
        <f t="shared" si="542"/>
        <v>018</v>
      </c>
      <c r="J4508" s="5" t="str">
        <f t="shared" si="543"/>
        <v>2230</v>
      </c>
      <c r="K4508" s="5" t="str">
        <f t="shared" si="544"/>
        <v>000</v>
      </c>
      <c r="L4508" s="5">
        <f t="shared" si="545"/>
        <v>11</v>
      </c>
      <c r="M4508" s="5">
        <f t="shared" si="546"/>
        <v>2012</v>
      </c>
    </row>
    <row r="4509" spans="1:13" ht="15" x14ac:dyDescent="0.25">
      <c r="A4509" s="1">
        <f>DATE(2012,11,12)</f>
        <v>41225</v>
      </c>
      <c r="B4509" t="s">
        <v>11</v>
      </c>
      <c r="C4509" t="s">
        <v>6</v>
      </c>
      <c r="D4509" s="3">
        <v>2074.7532000000001</v>
      </c>
      <c r="E4509" s="3">
        <v>0</v>
      </c>
      <c r="F4509" t="s">
        <v>45</v>
      </c>
      <c r="G4509" s="3">
        <f t="shared" si="540"/>
        <v>-2074.7532000000001</v>
      </c>
      <c r="H4509" s="3">
        <f t="shared" si="541"/>
        <v>2074.7532000000001</v>
      </c>
      <c r="I4509" s="5" t="str">
        <f t="shared" si="542"/>
        <v>016</v>
      </c>
      <c r="J4509" s="5" t="str">
        <f t="shared" si="543"/>
        <v>2100</v>
      </c>
      <c r="K4509" s="5" t="str">
        <f t="shared" si="544"/>
        <v>000</v>
      </c>
      <c r="L4509" s="5">
        <f t="shared" si="545"/>
        <v>11</v>
      </c>
      <c r="M4509" s="5">
        <f t="shared" si="546"/>
        <v>2012</v>
      </c>
    </row>
    <row r="4510" spans="1:13" ht="15" x14ac:dyDescent="0.25">
      <c r="A4510" s="1">
        <f>DATE(2012,11,12)</f>
        <v>41225</v>
      </c>
      <c r="B4510" t="s">
        <v>12</v>
      </c>
      <c r="C4510" t="s">
        <v>8</v>
      </c>
      <c r="D4510" s="3">
        <v>315.74400000000003</v>
      </c>
      <c r="E4510" s="3">
        <v>0</v>
      </c>
      <c r="F4510" t="s">
        <v>45</v>
      </c>
      <c r="G4510" s="3">
        <f t="shared" si="540"/>
        <v>-315.74400000000003</v>
      </c>
      <c r="H4510" s="3">
        <f t="shared" si="541"/>
        <v>315.74400000000003</v>
      </c>
      <c r="I4510" s="5" t="str">
        <f t="shared" si="542"/>
        <v>016</v>
      </c>
      <c r="J4510" s="5" t="str">
        <f t="shared" si="543"/>
        <v>2210</v>
      </c>
      <c r="K4510" s="5" t="str">
        <f t="shared" si="544"/>
        <v>000</v>
      </c>
      <c r="L4510" s="5">
        <f t="shared" si="545"/>
        <v>11</v>
      </c>
      <c r="M4510" s="5">
        <f t="shared" si="546"/>
        <v>2012</v>
      </c>
    </row>
    <row r="4511" spans="1:13" ht="15" x14ac:dyDescent="0.25">
      <c r="A4511" s="1">
        <f>DATE(2012,11,12)</f>
        <v>41225</v>
      </c>
      <c r="B4511" t="s">
        <v>13</v>
      </c>
      <c r="C4511" t="s">
        <v>9</v>
      </c>
      <c r="D4511" s="3">
        <v>115.63200000000001</v>
      </c>
      <c r="E4511" s="3">
        <v>0</v>
      </c>
      <c r="F4511" t="s">
        <v>45</v>
      </c>
      <c r="G4511" s="3">
        <f t="shared" si="540"/>
        <v>-115.63200000000001</v>
      </c>
      <c r="H4511" s="3">
        <f t="shared" si="541"/>
        <v>115.63200000000001</v>
      </c>
      <c r="I4511" s="5" t="str">
        <f t="shared" si="542"/>
        <v>016</v>
      </c>
      <c r="J4511" s="5" t="str">
        <f t="shared" si="543"/>
        <v>2220</v>
      </c>
      <c r="K4511" s="5" t="str">
        <f t="shared" si="544"/>
        <v>000</v>
      </c>
      <c r="L4511" s="5">
        <f t="shared" si="545"/>
        <v>11</v>
      </c>
      <c r="M4511" s="5">
        <f t="shared" si="546"/>
        <v>2012</v>
      </c>
    </row>
    <row r="4512" spans="1:13" ht="15" x14ac:dyDescent="0.25">
      <c r="A4512" s="1">
        <f>DATE(2012,11,12)</f>
        <v>41225</v>
      </c>
      <c r="B4512" t="s">
        <v>14</v>
      </c>
      <c r="C4512" t="s">
        <v>10</v>
      </c>
      <c r="D4512" s="3">
        <v>90.824999999999989</v>
      </c>
      <c r="E4512" s="3">
        <v>0</v>
      </c>
      <c r="F4512" t="s">
        <v>45</v>
      </c>
      <c r="G4512" s="3">
        <f t="shared" si="540"/>
        <v>-90.824999999999989</v>
      </c>
      <c r="H4512" s="3">
        <f t="shared" si="541"/>
        <v>90.824999999999989</v>
      </c>
      <c r="I4512" s="5" t="str">
        <f t="shared" si="542"/>
        <v>016</v>
      </c>
      <c r="J4512" s="5" t="str">
        <f t="shared" si="543"/>
        <v>2230</v>
      </c>
      <c r="K4512" s="5" t="str">
        <f t="shared" si="544"/>
        <v>000</v>
      </c>
      <c r="L4512" s="5">
        <f t="shared" si="545"/>
        <v>11</v>
      </c>
      <c r="M4512" s="5">
        <f t="shared" si="546"/>
        <v>2012</v>
      </c>
    </row>
    <row r="4513" spans="1:13" ht="15" x14ac:dyDescent="0.25">
      <c r="A4513" s="1">
        <f>DATE(2012,11,13)</f>
        <v>41226</v>
      </c>
      <c r="B4513" t="s">
        <v>11</v>
      </c>
      <c r="C4513" t="s">
        <v>6</v>
      </c>
      <c r="D4513" s="3">
        <v>4271.5468999999994</v>
      </c>
      <c r="E4513" s="3">
        <v>0</v>
      </c>
      <c r="F4513" t="s">
        <v>45</v>
      </c>
      <c r="G4513" s="3">
        <f t="shared" si="540"/>
        <v>-4271.5468999999994</v>
      </c>
      <c r="H4513" s="3">
        <f t="shared" si="541"/>
        <v>4271.5468999999994</v>
      </c>
      <c r="I4513" s="5" t="str">
        <f t="shared" si="542"/>
        <v>016</v>
      </c>
      <c r="J4513" s="5" t="str">
        <f t="shared" si="543"/>
        <v>2100</v>
      </c>
      <c r="K4513" s="5" t="str">
        <f t="shared" si="544"/>
        <v>000</v>
      </c>
      <c r="L4513" s="5">
        <f t="shared" si="545"/>
        <v>11</v>
      </c>
      <c r="M4513" s="5">
        <f t="shared" si="546"/>
        <v>2012</v>
      </c>
    </row>
    <row r="4514" spans="1:13" ht="15" x14ac:dyDescent="0.25">
      <c r="A4514" s="1">
        <f>DATE(2012,11,13)</f>
        <v>41226</v>
      </c>
      <c r="B4514" t="s">
        <v>12</v>
      </c>
      <c r="C4514" t="s">
        <v>8</v>
      </c>
      <c r="D4514" s="3">
        <v>1825.6679999999999</v>
      </c>
      <c r="E4514" s="3">
        <v>0</v>
      </c>
      <c r="F4514" t="s">
        <v>45</v>
      </c>
      <c r="G4514" s="3">
        <f t="shared" si="540"/>
        <v>-1825.6679999999999</v>
      </c>
      <c r="H4514" s="3">
        <f t="shared" si="541"/>
        <v>1825.6679999999999</v>
      </c>
      <c r="I4514" s="5" t="str">
        <f t="shared" si="542"/>
        <v>016</v>
      </c>
      <c r="J4514" s="5" t="str">
        <f t="shared" si="543"/>
        <v>2210</v>
      </c>
      <c r="K4514" s="5" t="str">
        <f t="shared" si="544"/>
        <v>000</v>
      </c>
      <c r="L4514" s="5">
        <f t="shared" si="545"/>
        <v>11</v>
      </c>
      <c r="M4514" s="5">
        <f t="shared" si="546"/>
        <v>2012</v>
      </c>
    </row>
    <row r="4515" spans="1:13" ht="15" x14ac:dyDescent="0.25">
      <c r="A4515" s="1">
        <f>DATE(2012,11,13)</f>
        <v>41226</v>
      </c>
      <c r="B4515" t="s">
        <v>13</v>
      </c>
      <c r="C4515" t="s">
        <v>9</v>
      </c>
      <c r="D4515" s="3">
        <v>498.5847</v>
      </c>
      <c r="E4515" s="3">
        <v>0</v>
      </c>
      <c r="F4515" t="s">
        <v>45</v>
      </c>
      <c r="G4515" s="3">
        <f t="shared" si="540"/>
        <v>-498.5847</v>
      </c>
      <c r="H4515" s="3">
        <f t="shared" si="541"/>
        <v>498.5847</v>
      </c>
      <c r="I4515" s="5" t="str">
        <f t="shared" si="542"/>
        <v>016</v>
      </c>
      <c r="J4515" s="5" t="str">
        <f t="shared" si="543"/>
        <v>2220</v>
      </c>
      <c r="K4515" s="5" t="str">
        <f t="shared" si="544"/>
        <v>000</v>
      </c>
      <c r="L4515" s="5">
        <f t="shared" si="545"/>
        <v>11</v>
      </c>
      <c r="M4515" s="5">
        <f t="shared" si="546"/>
        <v>2012</v>
      </c>
    </row>
    <row r="4516" spans="1:13" ht="15" x14ac:dyDescent="0.25">
      <c r="A4516" s="1">
        <f>DATE(2012,11,13)</f>
        <v>41226</v>
      </c>
      <c r="B4516" t="s">
        <v>14</v>
      </c>
      <c r="C4516" t="s">
        <v>10</v>
      </c>
      <c r="D4516" s="3">
        <v>171.054</v>
      </c>
      <c r="E4516" s="3">
        <v>0</v>
      </c>
      <c r="F4516" t="s">
        <v>45</v>
      </c>
      <c r="G4516" s="3">
        <f t="shared" si="540"/>
        <v>-171.054</v>
      </c>
      <c r="H4516" s="3">
        <f t="shared" si="541"/>
        <v>171.054</v>
      </c>
      <c r="I4516" s="5" t="str">
        <f t="shared" si="542"/>
        <v>016</v>
      </c>
      <c r="J4516" s="5" t="str">
        <f t="shared" si="543"/>
        <v>2230</v>
      </c>
      <c r="K4516" s="5" t="str">
        <f t="shared" si="544"/>
        <v>000</v>
      </c>
      <c r="L4516" s="5">
        <f t="shared" si="545"/>
        <v>11</v>
      </c>
      <c r="M4516" s="5">
        <f t="shared" si="546"/>
        <v>2012</v>
      </c>
    </row>
    <row r="4517" spans="1:13" ht="15" x14ac:dyDescent="0.25">
      <c r="A4517" s="1">
        <f>DATE(2012,11,14)</f>
        <v>41227</v>
      </c>
      <c r="B4517" t="s">
        <v>11</v>
      </c>
      <c r="C4517" t="s">
        <v>6</v>
      </c>
      <c r="D4517" s="3">
        <v>2172.36</v>
      </c>
      <c r="E4517" s="3">
        <v>0</v>
      </c>
      <c r="F4517" t="s">
        <v>45</v>
      </c>
      <c r="G4517" s="3">
        <f t="shared" si="540"/>
        <v>-2172.36</v>
      </c>
      <c r="H4517" s="3">
        <f t="shared" si="541"/>
        <v>2172.36</v>
      </c>
      <c r="I4517" s="5" t="str">
        <f t="shared" si="542"/>
        <v>016</v>
      </c>
      <c r="J4517" s="5" t="str">
        <f t="shared" si="543"/>
        <v>2100</v>
      </c>
      <c r="K4517" s="5" t="str">
        <f t="shared" si="544"/>
        <v>000</v>
      </c>
      <c r="L4517" s="5">
        <f t="shared" si="545"/>
        <v>11</v>
      </c>
      <c r="M4517" s="5">
        <f t="shared" si="546"/>
        <v>2012</v>
      </c>
    </row>
    <row r="4518" spans="1:13" ht="15" x14ac:dyDescent="0.25">
      <c r="A4518" s="1">
        <f>DATE(2012,11,14)</f>
        <v>41227</v>
      </c>
      <c r="B4518" t="s">
        <v>12</v>
      </c>
      <c r="C4518" t="s">
        <v>8</v>
      </c>
      <c r="D4518" s="3">
        <v>618.23300000000006</v>
      </c>
      <c r="E4518" s="3">
        <v>0</v>
      </c>
      <c r="F4518" t="s">
        <v>45</v>
      </c>
      <c r="G4518" s="3">
        <f t="shared" si="540"/>
        <v>-618.23300000000006</v>
      </c>
      <c r="H4518" s="3">
        <f t="shared" si="541"/>
        <v>618.23300000000006</v>
      </c>
      <c r="I4518" s="5" t="str">
        <f t="shared" si="542"/>
        <v>016</v>
      </c>
      <c r="J4518" s="5" t="str">
        <f t="shared" si="543"/>
        <v>2210</v>
      </c>
      <c r="K4518" s="5" t="str">
        <f t="shared" si="544"/>
        <v>000</v>
      </c>
      <c r="L4518" s="5">
        <f t="shared" si="545"/>
        <v>11</v>
      </c>
      <c r="M4518" s="5">
        <f t="shared" si="546"/>
        <v>2012</v>
      </c>
    </row>
    <row r="4519" spans="1:13" ht="15" x14ac:dyDescent="0.25">
      <c r="A4519" s="1">
        <f>DATE(2012,11,14)</f>
        <v>41227</v>
      </c>
      <c r="B4519" t="s">
        <v>13</v>
      </c>
      <c r="C4519" t="s">
        <v>9</v>
      </c>
      <c r="D4519" s="3">
        <v>128.65049999999999</v>
      </c>
      <c r="E4519" s="3">
        <v>0</v>
      </c>
      <c r="F4519" t="s">
        <v>45</v>
      </c>
      <c r="G4519" s="3">
        <f t="shared" si="540"/>
        <v>-128.65049999999999</v>
      </c>
      <c r="H4519" s="3">
        <f t="shared" si="541"/>
        <v>128.65049999999999</v>
      </c>
      <c r="I4519" s="5" t="str">
        <f t="shared" si="542"/>
        <v>016</v>
      </c>
      <c r="J4519" s="5" t="str">
        <f t="shared" si="543"/>
        <v>2220</v>
      </c>
      <c r="K4519" s="5" t="str">
        <f t="shared" si="544"/>
        <v>000</v>
      </c>
      <c r="L4519" s="5">
        <f t="shared" si="545"/>
        <v>11</v>
      </c>
      <c r="M4519" s="5">
        <f t="shared" si="546"/>
        <v>2012</v>
      </c>
    </row>
    <row r="4520" spans="1:13" ht="15" x14ac:dyDescent="0.25">
      <c r="A4520" s="1">
        <f>DATE(2012,11,14)</f>
        <v>41227</v>
      </c>
      <c r="B4520" t="s">
        <v>14</v>
      </c>
      <c r="C4520" t="s">
        <v>10</v>
      </c>
      <c r="D4520" s="3">
        <v>41.814500000000002</v>
      </c>
      <c r="E4520" s="3">
        <v>0</v>
      </c>
      <c r="F4520" t="s">
        <v>45</v>
      </c>
      <c r="G4520" s="3">
        <f t="shared" si="540"/>
        <v>-41.814500000000002</v>
      </c>
      <c r="H4520" s="3">
        <f t="shared" si="541"/>
        <v>41.814500000000002</v>
      </c>
      <c r="I4520" s="5" t="str">
        <f t="shared" si="542"/>
        <v>016</v>
      </c>
      <c r="J4520" s="5" t="str">
        <f t="shared" si="543"/>
        <v>2230</v>
      </c>
      <c r="K4520" s="5" t="str">
        <f t="shared" si="544"/>
        <v>000</v>
      </c>
      <c r="L4520" s="5">
        <f t="shared" si="545"/>
        <v>11</v>
      </c>
      <c r="M4520" s="5">
        <f t="shared" si="546"/>
        <v>2012</v>
      </c>
    </row>
    <row r="4521" spans="1:13" ht="15" x14ac:dyDescent="0.25">
      <c r="A4521" s="1">
        <f>DATE(2012,11,15)</f>
        <v>41228</v>
      </c>
      <c r="B4521" t="s">
        <v>11</v>
      </c>
      <c r="C4521" t="s">
        <v>6</v>
      </c>
      <c r="D4521" s="3">
        <v>3665.3089999999997</v>
      </c>
      <c r="E4521" s="3">
        <v>0</v>
      </c>
      <c r="F4521" t="s">
        <v>45</v>
      </c>
      <c r="G4521" s="3">
        <f t="shared" si="540"/>
        <v>-3665.3089999999997</v>
      </c>
      <c r="H4521" s="3">
        <f t="shared" si="541"/>
        <v>3665.3089999999997</v>
      </c>
      <c r="I4521" s="5" t="str">
        <f t="shared" si="542"/>
        <v>016</v>
      </c>
      <c r="J4521" s="5" t="str">
        <f t="shared" si="543"/>
        <v>2100</v>
      </c>
      <c r="K4521" s="5" t="str">
        <f t="shared" si="544"/>
        <v>000</v>
      </c>
      <c r="L4521" s="5">
        <f t="shared" si="545"/>
        <v>11</v>
      </c>
      <c r="M4521" s="5">
        <f t="shared" si="546"/>
        <v>2012</v>
      </c>
    </row>
    <row r="4522" spans="1:13" ht="15" x14ac:dyDescent="0.25">
      <c r="A4522" s="1">
        <f>DATE(2012,11,15)</f>
        <v>41228</v>
      </c>
      <c r="B4522" t="s">
        <v>12</v>
      </c>
      <c r="C4522" t="s">
        <v>8</v>
      </c>
      <c r="D4522" s="3">
        <v>769.47</v>
      </c>
      <c r="E4522" s="3">
        <v>0</v>
      </c>
      <c r="F4522" t="s">
        <v>45</v>
      </c>
      <c r="G4522" s="3">
        <f t="shared" si="540"/>
        <v>-769.47</v>
      </c>
      <c r="H4522" s="3">
        <f t="shared" si="541"/>
        <v>769.47</v>
      </c>
      <c r="I4522" s="5" t="str">
        <f t="shared" si="542"/>
        <v>016</v>
      </c>
      <c r="J4522" s="5" t="str">
        <f t="shared" si="543"/>
        <v>2210</v>
      </c>
      <c r="K4522" s="5" t="str">
        <f t="shared" si="544"/>
        <v>000</v>
      </c>
      <c r="L4522" s="5">
        <f t="shared" si="545"/>
        <v>11</v>
      </c>
      <c r="M4522" s="5">
        <f t="shared" si="546"/>
        <v>2012</v>
      </c>
    </row>
    <row r="4523" spans="1:13" ht="15" x14ac:dyDescent="0.25">
      <c r="A4523" s="1">
        <f>DATE(2012,11,15)</f>
        <v>41228</v>
      </c>
      <c r="B4523" t="s">
        <v>13</v>
      </c>
      <c r="C4523" t="s">
        <v>9</v>
      </c>
      <c r="D4523" s="3">
        <v>76.02000000000001</v>
      </c>
      <c r="E4523" s="3">
        <v>0</v>
      </c>
      <c r="F4523" t="s">
        <v>45</v>
      </c>
      <c r="G4523" s="3">
        <f t="shared" si="540"/>
        <v>-76.02000000000001</v>
      </c>
      <c r="H4523" s="3">
        <f t="shared" si="541"/>
        <v>76.02000000000001</v>
      </c>
      <c r="I4523" s="5" t="str">
        <f t="shared" si="542"/>
        <v>016</v>
      </c>
      <c r="J4523" s="5" t="str">
        <f t="shared" si="543"/>
        <v>2220</v>
      </c>
      <c r="K4523" s="5" t="str">
        <f t="shared" si="544"/>
        <v>000</v>
      </c>
      <c r="L4523" s="5">
        <f t="shared" si="545"/>
        <v>11</v>
      </c>
      <c r="M4523" s="5">
        <f t="shared" si="546"/>
        <v>2012</v>
      </c>
    </row>
    <row r="4524" spans="1:13" ht="15" x14ac:dyDescent="0.25">
      <c r="A4524" s="1">
        <f>DATE(2012,11,15)</f>
        <v>41228</v>
      </c>
      <c r="B4524" t="s">
        <v>14</v>
      </c>
      <c r="C4524" t="s">
        <v>10</v>
      </c>
      <c r="D4524" s="3">
        <v>44.85</v>
      </c>
      <c r="E4524" s="3">
        <v>0</v>
      </c>
      <c r="F4524" t="s">
        <v>45</v>
      </c>
      <c r="G4524" s="3">
        <f t="shared" si="540"/>
        <v>-44.85</v>
      </c>
      <c r="H4524" s="3">
        <f t="shared" si="541"/>
        <v>44.85</v>
      </c>
      <c r="I4524" s="5" t="str">
        <f t="shared" si="542"/>
        <v>016</v>
      </c>
      <c r="J4524" s="5" t="str">
        <f t="shared" si="543"/>
        <v>2230</v>
      </c>
      <c r="K4524" s="5" t="str">
        <f t="shared" si="544"/>
        <v>000</v>
      </c>
      <c r="L4524" s="5">
        <f t="shared" si="545"/>
        <v>11</v>
      </c>
      <c r="M4524" s="5">
        <f t="shared" si="546"/>
        <v>2012</v>
      </c>
    </row>
    <row r="4525" spans="1:13" ht="15" x14ac:dyDescent="0.25">
      <c r="A4525" s="1">
        <f>DATE(2012,11,16)</f>
        <v>41229</v>
      </c>
      <c r="B4525" t="s">
        <v>11</v>
      </c>
      <c r="C4525" t="s">
        <v>6</v>
      </c>
      <c r="D4525" s="3">
        <v>5700.2686999999996</v>
      </c>
      <c r="E4525" s="3">
        <v>0</v>
      </c>
      <c r="F4525" t="s">
        <v>45</v>
      </c>
      <c r="G4525" s="3">
        <f t="shared" si="540"/>
        <v>-5700.2686999999996</v>
      </c>
      <c r="H4525" s="3">
        <f t="shared" si="541"/>
        <v>5700.2686999999996</v>
      </c>
      <c r="I4525" s="5" t="str">
        <f t="shared" si="542"/>
        <v>016</v>
      </c>
      <c r="J4525" s="5" t="str">
        <f t="shared" si="543"/>
        <v>2100</v>
      </c>
      <c r="K4525" s="5" t="str">
        <f t="shared" si="544"/>
        <v>000</v>
      </c>
      <c r="L4525" s="5">
        <f t="shared" si="545"/>
        <v>11</v>
      </c>
      <c r="M4525" s="5">
        <f t="shared" si="546"/>
        <v>2012</v>
      </c>
    </row>
    <row r="4526" spans="1:13" ht="15" x14ac:dyDescent="0.25">
      <c r="A4526" s="1">
        <f>DATE(2012,11,16)</f>
        <v>41229</v>
      </c>
      <c r="B4526" t="s">
        <v>12</v>
      </c>
      <c r="C4526" t="s">
        <v>8</v>
      </c>
      <c r="D4526" s="3">
        <v>2387.6194999999998</v>
      </c>
      <c r="E4526" s="3">
        <v>0</v>
      </c>
      <c r="F4526" t="s">
        <v>45</v>
      </c>
      <c r="G4526" s="3">
        <f t="shared" si="540"/>
        <v>-2387.6194999999998</v>
      </c>
      <c r="H4526" s="3">
        <f t="shared" si="541"/>
        <v>2387.6194999999998</v>
      </c>
      <c r="I4526" s="5" t="str">
        <f t="shared" si="542"/>
        <v>016</v>
      </c>
      <c r="J4526" s="5" t="str">
        <f t="shared" si="543"/>
        <v>2210</v>
      </c>
      <c r="K4526" s="5" t="str">
        <f t="shared" si="544"/>
        <v>000</v>
      </c>
      <c r="L4526" s="5">
        <f t="shared" si="545"/>
        <v>11</v>
      </c>
      <c r="M4526" s="5">
        <f t="shared" si="546"/>
        <v>2012</v>
      </c>
    </row>
    <row r="4527" spans="1:13" ht="15" x14ac:dyDescent="0.25">
      <c r="A4527" s="1">
        <f>DATE(2012,11,16)</f>
        <v>41229</v>
      </c>
      <c r="B4527" t="s">
        <v>13</v>
      </c>
      <c r="C4527" t="s">
        <v>9</v>
      </c>
      <c r="D4527" s="3">
        <v>307.11600000000004</v>
      </c>
      <c r="E4527" s="3">
        <v>0</v>
      </c>
      <c r="F4527" t="s">
        <v>45</v>
      </c>
      <c r="G4527" s="3">
        <f t="shared" si="540"/>
        <v>-307.11600000000004</v>
      </c>
      <c r="H4527" s="3">
        <f t="shared" si="541"/>
        <v>307.11600000000004</v>
      </c>
      <c r="I4527" s="5" t="str">
        <f t="shared" si="542"/>
        <v>016</v>
      </c>
      <c r="J4527" s="5" t="str">
        <f t="shared" si="543"/>
        <v>2220</v>
      </c>
      <c r="K4527" s="5" t="str">
        <f t="shared" si="544"/>
        <v>000</v>
      </c>
      <c r="L4527" s="5">
        <f t="shared" si="545"/>
        <v>11</v>
      </c>
      <c r="M4527" s="5">
        <f t="shared" si="546"/>
        <v>2012</v>
      </c>
    </row>
    <row r="4528" spans="1:13" ht="15" x14ac:dyDescent="0.25">
      <c r="A4528" s="1">
        <f>DATE(2012,11,16)</f>
        <v>41229</v>
      </c>
      <c r="B4528" t="s">
        <v>14</v>
      </c>
      <c r="C4528" t="s">
        <v>10</v>
      </c>
      <c r="D4528" s="3">
        <v>109.45200000000001</v>
      </c>
      <c r="E4528" s="3">
        <v>0</v>
      </c>
      <c r="F4528" t="s">
        <v>45</v>
      </c>
      <c r="G4528" s="3">
        <f t="shared" si="540"/>
        <v>-109.45200000000001</v>
      </c>
      <c r="H4528" s="3">
        <f t="shared" si="541"/>
        <v>109.45200000000001</v>
      </c>
      <c r="I4528" s="5" t="str">
        <f t="shared" si="542"/>
        <v>016</v>
      </c>
      <c r="J4528" s="5" t="str">
        <f t="shared" si="543"/>
        <v>2230</v>
      </c>
      <c r="K4528" s="5" t="str">
        <f t="shared" si="544"/>
        <v>000</v>
      </c>
      <c r="L4528" s="5">
        <f t="shared" si="545"/>
        <v>11</v>
      </c>
      <c r="M4528" s="5">
        <f t="shared" si="546"/>
        <v>2012</v>
      </c>
    </row>
    <row r="4529" spans="1:13" ht="15" x14ac:dyDescent="0.25">
      <c r="A4529" s="1">
        <f>DATE(2012,11,17)</f>
        <v>41230</v>
      </c>
      <c r="B4529" t="s">
        <v>11</v>
      </c>
      <c r="C4529" t="s">
        <v>6</v>
      </c>
      <c r="D4529" s="3">
        <v>7555.11</v>
      </c>
      <c r="E4529" s="3">
        <v>0</v>
      </c>
      <c r="F4529" t="s">
        <v>45</v>
      </c>
      <c r="G4529" s="3">
        <f t="shared" si="540"/>
        <v>-7555.11</v>
      </c>
      <c r="H4529" s="3">
        <f t="shared" si="541"/>
        <v>7555.11</v>
      </c>
      <c r="I4529" s="5" t="str">
        <f t="shared" si="542"/>
        <v>016</v>
      </c>
      <c r="J4529" s="5" t="str">
        <f t="shared" si="543"/>
        <v>2100</v>
      </c>
      <c r="K4529" s="5" t="str">
        <f t="shared" si="544"/>
        <v>000</v>
      </c>
      <c r="L4529" s="5">
        <f t="shared" si="545"/>
        <v>11</v>
      </c>
      <c r="M4529" s="5">
        <f t="shared" si="546"/>
        <v>2012</v>
      </c>
    </row>
    <row r="4530" spans="1:13" ht="15" x14ac:dyDescent="0.25">
      <c r="A4530" s="1">
        <f>DATE(2012,11,17)</f>
        <v>41230</v>
      </c>
      <c r="B4530" t="s">
        <v>12</v>
      </c>
      <c r="C4530" t="s">
        <v>8</v>
      </c>
      <c r="D4530" s="3">
        <v>2092.2089999999998</v>
      </c>
      <c r="E4530" s="3">
        <v>0</v>
      </c>
      <c r="F4530" t="s">
        <v>45</v>
      </c>
      <c r="G4530" s="3">
        <f t="shared" si="540"/>
        <v>-2092.2089999999998</v>
      </c>
      <c r="H4530" s="3">
        <f t="shared" si="541"/>
        <v>2092.2089999999998</v>
      </c>
      <c r="I4530" s="5" t="str">
        <f t="shared" si="542"/>
        <v>016</v>
      </c>
      <c r="J4530" s="5" t="str">
        <f t="shared" si="543"/>
        <v>2210</v>
      </c>
      <c r="K4530" s="5" t="str">
        <f t="shared" si="544"/>
        <v>000</v>
      </c>
      <c r="L4530" s="5">
        <f t="shared" si="545"/>
        <v>11</v>
      </c>
      <c r="M4530" s="5">
        <f t="shared" si="546"/>
        <v>2012</v>
      </c>
    </row>
    <row r="4531" spans="1:13" ht="15" x14ac:dyDescent="0.25">
      <c r="A4531" s="1">
        <f>DATE(2012,11,17)</f>
        <v>41230</v>
      </c>
      <c r="B4531" t="s">
        <v>13</v>
      </c>
      <c r="C4531" t="s">
        <v>9</v>
      </c>
      <c r="D4531" s="3">
        <v>518.24699999999996</v>
      </c>
      <c r="E4531" s="3">
        <v>0</v>
      </c>
      <c r="F4531" t="s">
        <v>45</v>
      </c>
      <c r="G4531" s="3">
        <f t="shared" si="540"/>
        <v>-518.24699999999996</v>
      </c>
      <c r="H4531" s="3">
        <f t="shared" si="541"/>
        <v>518.24699999999996</v>
      </c>
      <c r="I4531" s="5" t="str">
        <f t="shared" si="542"/>
        <v>016</v>
      </c>
      <c r="J4531" s="5" t="str">
        <f t="shared" si="543"/>
        <v>2220</v>
      </c>
      <c r="K4531" s="5" t="str">
        <f t="shared" si="544"/>
        <v>000</v>
      </c>
      <c r="L4531" s="5">
        <f t="shared" si="545"/>
        <v>11</v>
      </c>
      <c r="M4531" s="5">
        <f t="shared" si="546"/>
        <v>2012</v>
      </c>
    </row>
    <row r="4532" spans="1:13" ht="15" x14ac:dyDescent="0.25">
      <c r="A4532" s="1">
        <f>DATE(2012,11,17)</f>
        <v>41230</v>
      </c>
      <c r="B4532" t="s">
        <v>14</v>
      </c>
      <c r="C4532" t="s">
        <v>10</v>
      </c>
      <c r="D4532" s="3">
        <v>207.0728</v>
      </c>
      <c r="E4532" s="3">
        <v>0</v>
      </c>
      <c r="F4532" t="s">
        <v>45</v>
      </c>
      <c r="G4532" s="3">
        <f t="shared" si="540"/>
        <v>-207.0728</v>
      </c>
      <c r="H4532" s="3">
        <f t="shared" si="541"/>
        <v>207.0728</v>
      </c>
      <c r="I4532" s="5" t="str">
        <f t="shared" si="542"/>
        <v>016</v>
      </c>
      <c r="J4532" s="5" t="str">
        <f t="shared" si="543"/>
        <v>2230</v>
      </c>
      <c r="K4532" s="5" t="str">
        <f t="shared" si="544"/>
        <v>000</v>
      </c>
      <c r="L4532" s="5">
        <f t="shared" si="545"/>
        <v>11</v>
      </c>
      <c r="M4532" s="5">
        <f t="shared" si="546"/>
        <v>2012</v>
      </c>
    </row>
    <row r="4533" spans="1:13" ht="15" x14ac:dyDescent="0.25">
      <c r="A4533" s="1">
        <f>DATE(2012,11,18)</f>
        <v>41231</v>
      </c>
      <c r="B4533" t="s">
        <v>11</v>
      </c>
      <c r="C4533" t="s">
        <v>6</v>
      </c>
      <c r="D4533" s="3">
        <v>3894.848</v>
      </c>
      <c r="E4533" s="3">
        <v>0</v>
      </c>
      <c r="F4533" t="s">
        <v>45</v>
      </c>
      <c r="G4533" s="3">
        <f t="shared" si="540"/>
        <v>-3894.848</v>
      </c>
      <c r="H4533" s="3">
        <f t="shared" si="541"/>
        <v>3894.848</v>
      </c>
      <c r="I4533" s="5" t="str">
        <f t="shared" si="542"/>
        <v>016</v>
      </c>
      <c r="J4533" s="5" t="str">
        <f t="shared" si="543"/>
        <v>2100</v>
      </c>
      <c r="K4533" s="5" t="str">
        <f t="shared" si="544"/>
        <v>000</v>
      </c>
      <c r="L4533" s="5">
        <f t="shared" si="545"/>
        <v>11</v>
      </c>
      <c r="M4533" s="5">
        <f t="shared" si="546"/>
        <v>2012</v>
      </c>
    </row>
    <row r="4534" spans="1:13" ht="15" x14ac:dyDescent="0.25">
      <c r="A4534" s="1">
        <f>DATE(2012,11,18)</f>
        <v>41231</v>
      </c>
      <c r="B4534" t="s">
        <v>12</v>
      </c>
      <c r="C4534" t="s">
        <v>8</v>
      </c>
      <c r="D4534" s="3">
        <v>1553.0256000000002</v>
      </c>
      <c r="E4534" s="3">
        <v>0</v>
      </c>
      <c r="F4534" t="s">
        <v>45</v>
      </c>
      <c r="G4534" s="3">
        <f t="shared" si="540"/>
        <v>-1553.0256000000002</v>
      </c>
      <c r="H4534" s="3">
        <f t="shared" si="541"/>
        <v>1553.0256000000002</v>
      </c>
      <c r="I4534" s="5" t="str">
        <f t="shared" si="542"/>
        <v>016</v>
      </c>
      <c r="J4534" s="5" t="str">
        <f t="shared" si="543"/>
        <v>2210</v>
      </c>
      <c r="K4534" s="5" t="str">
        <f t="shared" si="544"/>
        <v>000</v>
      </c>
      <c r="L4534" s="5">
        <f t="shared" si="545"/>
        <v>11</v>
      </c>
      <c r="M4534" s="5">
        <f t="shared" si="546"/>
        <v>2012</v>
      </c>
    </row>
    <row r="4535" spans="1:13" ht="15" x14ac:dyDescent="0.25">
      <c r="A4535" s="1">
        <f>DATE(2012,11,18)</f>
        <v>41231</v>
      </c>
      <c r="B4535" t="s">
        <v>13</v>
      </c>
      <c r="C4535" t="s">
        <v>9</v>
      </c>
      <c r="D4535" s="3">
        <v>306.58499999999998</v>
      </c>
      <c r="E4535" s="3">
        <v>0</v>
      </c>
      <c r="F4535" t="s">
        <v>45</v>
      </c>
      <c r="G4535" s="3">
        <f t="shared" si="540"/>
        <v>-306.58499999999998</v>
      </c>
      <c r="H4535" s="3">
        <f t="shared" si="541"/>
        <v>306.58499999999998</v>
      </c>
      <c r="I4535" s="5" t="str">
        <f t="shared" si="542"/>
        <v>016</v>
      </c>
      <c r="J4535" s="5" t="str">
        <f t="shared" si="543"/>
        <v>2220</v>
      </c>
      <c r="K4535" s="5" t="str">
        <f t="shared" si="544"/>
        <v>000</v>
      </c>
      <c r="L4535" s="5">
        <f t="shared" si="545"/>
        <v>11</v>
      </c>
      <c r="M4535" s="5">
        <f t="shared" si="546"/>
        <v>2012</v>
      </c>
    </row>
    <row r="4536" spans="1:13" ht="15" x14ac:dyDescent="0.25">
      <c r="A4536" s="1">
        <f>DATE(2012,11,18)</f>
        <v>41231</v>
      </c>
      <c r="B4536" t="s">
        <v>14</v>
      </c>
      <c r="C4536" t="s">
        <v>10</v>
      </c>
      <c r="D4536" s="3">
        <v>243.64350000000002</v>
      </c>
      <c r="E4536" s="3">
        <v>0</v>
      </c>
      <c r="F4536" t="s">
        <v>45</v>
      </c>
      <c r="G4536" s="3">
        <f t="shared" si="540"/>
        <v>-243.64350000000002</v>
      </c>
      <c r="H4536" s="3">
        <f t="shared" si="541"/>
        <v>243.64350000000002</v>
      </c>
      <c r="I4536" s="5" t="str">
        <f t="shared" si="542"/>
        <v>016</v>
      </c>
      <c r="J4536" s="5" t="str">
        <f t="shared" si="543"/>
        <v>2230</v>
      </c>
      <c r="K4536" s="5" t="str">
        <f t="shared" si="544"/>
        <v>000</v>
      </c>
      <c r="L4536" s="5">
        <f t="shared" si="545"/>
        <v>11</v>
      </c>
      <c r="M4536" s="5">
        <f t="shared" si="546"/>
        <v>2012</v>
      </c>
    </row>
    <row r="4537" spans="1:13" ht="15" x14ac:dyDescent="0.25">
      <c r="A4537" s="1">
        <f>DATE(2012,11,12)</f>
        <v>41225</v>
      </c>
      <c r="B4537" t="s">
        <v>15</v>
      </c>
      <c r="C4537" t="s">
        <v>6</v>
      </c>
      <c r="D4537" s="3">
        <v>3019.5550000000003</v>
      </c>
      <c r="E4537" s="3">
        <v>0</v>
      </c>
      <c r="F4537" t="s">
        <v>45</v>
      </c>
      <c r="G4537" s="3">
        <f t="shared" si="540"/>
        <v>-3019.5550000000003</v>
      </c>
      <c r="H4537" s="3">
        <f t="shared" si="541"/>
        <v>3019.5550000000003</v>
      </c>
      <c r="I4537" s="5" t="str">
        <f t="shared" si="542"/>
        <v>017</v>
      </c>
      <c r="J4537" s="5" t="str">
        <f t="shared" si="543"/>
        <v>2100</v>
      </c>
      <c r="K4537" s="5" t="str">
        <f t="shared" si="544"/>
        <v>000</v>
      </c>
      <c r="L4537" s="5">
        <f t="shared" si="545"/>
        <v>11</v>
      </c>
      <c r="M4537" s="5">
        <f t="shared" si="546"/>
        <v>2012</v>
      </c>
    </row>
    <row r="4538" spans="1:13" ht="15" x14ac:dyDescent="0.25">
      <c r="A4538" s="1">
        <f>DATE(2012,11,12)</f>
        <v>41225</v>
      </c>
      <c r="B4538" t="s">
        <v>16</v>
      </c>
      <c r="C4538" t="s">
        <v>8</v>
      </c>
      <c r="D4538" s="3">
        <v>999.005</v>
      </c>
      <c r="E4538" s="3">
        <v>0</v>
      </c>
      <c r="F4538" t="s">
        <v>45</v>
      </c>
      <c r="G4538" s="3">
        <f t="shared" si="540"/>
        <v>-999.005</v>
      </c>
      <c r="H4538" s="3">
        <f t="shared" si="541"/>
        <v>999.005</v>
      </c>
      <c r="I4538" s="5" t="str">
        <f t="shared" si="542"/>
        <v>017</v>
      </c>
      <c r="J4538" s="5" t="str">
        <f t="shared" si="543"/>
        <v>2210</v>
      </c>
      <c r="K4538" s="5" t="str">
        <f t="shared" si="544"/>
        <v>000</v>
      </c>
      <c r="L4538" s="5">
        <f t="shared" si="545"/>
        <v>11</v>
      </c>
      <c r="M4538" s="5">
        <f t="shared" si="546"/>
        <v>2012</v>
      </c>
    </row>
    <row r="4539" spans="1:13" ht="15" x14ac:dyDescent="0.25">
      <c r="A4539" s="1">
        <f>DATE(2012,11,12)</f>
        <v>41225</v>
      </c>
      <c r="B4539" t="s">
        <v>17</v>
      </c>
      <c r="C4539" t="s">
        <v>9</v>
      </c>
      <c r="D4539" s="3">
        <v>229.50749999999999</v>
      </c>
      <c r="E4539" s="3">
        <v>0</v>
      </c>
      <c r="F4539" t="s">
        <v>45</v>
      </c>
      <c r="G4539" s="3">
        <f t="shared" si="540"/>
        <v>-229.50749999999999</v>
      </c>
      <c r="H4539" s="3">
        <f t="shared" si="541"/>
        <v>229.50749999999999</v>
      </c>
      <c r="I4539" s="5" t="str">
        <f t="shared" si="542"/>
        <v>017</v>
      </c>
      <c r="J4539" s="5" t="str">
        <f t="shared" si="543"/>
        <v>2220</v>
      </c>
      <c r="K4539" s="5" t="str">
        <f t="shared" si="544"/>
        <v>000</v>
      </c>
      <c r="L4539" s="5">
        <f t="shared" si="545"/>
        <v>11</v>
      </c>
      <c r="M4539" s="5">
        <f t="shared" si="546"/>
        <v>2012</v>
      </c>
    </row>
    <row r="4540" spans="1:13" ht="15" x14ac:dyDescent="0.25">
      <c r="A4540" s="1">
        <f>DATE(2012,11,12)</f>
        <v>41225</v>
      </c>
      <c r="B4540" t="s">
        <v>18</v>
      </c>
      <c r="C4540" t="s">
        <v>10</v>
      </c>
      <c r="D4540" s="3">
        <v>45.583999999999996</v>
      </c>
      <c r="E4540" s="3">
        <v>0</v>
      </c>
      <c r="F4540" t="s">
        <v>45</v>
      </c>
      <c r="G4540" s="3">
        <f t="shared" si="540"/>
        <v>-45.583999999999996</v>
      </c>
      <c r="H4540" s="3">
        <f t="shared" si="541"/>
        <v>45.583999999999996</v>
      </c>
      <c r="I4540" s="5" t="str">
        <f t="shared" si="542"/>
        <v>017</v>
      </c>
      <c r="J4540" s="5" t="str">
        <f t="shared" si="543"/>
        <v>2230</v>
      </c>
      <c r="K4540" s="5" t="str">
        <f t="shared" si="544"/>
        <v>000</v>
      </c>
      <c r="L4540" s="5">
        <f t="shared" si="545"/>
        <v>11</v>
      </c>
      <c r="M4540" s="5">
        <f t="shared" si="546"/>
        <v>2012</v>
      </c>
    </row>
    <row r="4541" spans="1:13" ht="15" x14ac:dyDescent="0.25">
      <c r="A4541" s="1">
        <f>DATE(2012,11,13)</f>
        <v>41226</v>
      </c>
      <c r="B4541" t="s">
        <v>15</v>
      </c>
      <c r="C4541" t="s">
        <v>6</v>
      </c>
      <c r="D4541" s="3">
        <v>5508.0459000000001</v>
      </c>
      <c r="E4541" s="3">
        <v>0</v>
      </c>
      <c r="F4541" t="s">
        <v>45</v>
      </c>
      <c r="G4541" s="3">
        <f t="shared" si="540"/>
        <v>-5508.0459000000001</v>
      </c>
      <c r="H4541" s="3">
        <f t="shared" si="541"/>
        <v>5508.0459000000001</v>
      </c>
      <c r="I4541" s="5" t="str">
        <f t="shared" si="542"/>
        <v>017</v>
      </c>
      <c r="J4541" s="5" t="str">
        <f t="shared" si="543"/>
        <v>2100</v>
      </c>
      <c r="K4541" s="5" t="str">
        <f t="shared" si="544"/>
        <v>000</v>
      </c>
      <c r="L4541" s="5">
        <f t="shared" si="545"/>
        <v>11</v>
      </c>
      <c r="M4541" s="5">
        <f t="shared" si="546"/>
        <v>2012</v>
      </c>
    </row>
    <row r="4542" spans="1:13" ht="15" x14ac:dyDescent="0.25">
      <c r="A4542" s="1">
        <f>DATE(2012,11,13)</f>
        <v>41226</v>
      </c>
      <c r="B4542" t="s">
        <v>16</v>
      </c>
      <c r="C4542" t="s">
        <v>8</v>
      </c>
      <c r="D4542" s="3">
        <v>2196.569</v>
      </c>
      <c r="E4542" s="3">
        <v>0</v>
      </c>
      <c r="F4542" t="s">
        <v>45</v>
      </c>
      <c r="G4542" s="3">
        <f t="shared" si="540"/>
        <v>-2196.569</v>
      </c>
      <c r="H4542" s="3">
        <f t="shared" si="541"/>
        <v>2196.569</v>
      </c>
      <c r="I4542" s="5" t="str">
        <f t="shared" si="542"/>
        <v>017</v>
      </c>
      <c r="J4542" s="5" t="str">
        <f t="shared" si="543"/>
        <v>2210</v>
      </c>
      <c r="K4542" s="5" t="str">
        <f t="shared" si="544"/>
        <v>000</v>
      </c>
      <c r="L4542" s="5">
        <f t="shared" si="545"/>
        <v>11</v>
      </c>
      <c r="M4542" s="5">
        <f t="shared" si="546"/>
        <v>2012</v>
      </c>
    </row>
    <row r="4543" spans="1:13" ht="15" x14ac:dyDescent="0.25">
      <c r="A4543" s="1">
        <f>DATE(2012,11,13)</f>
        <v>41226</v>
      </c>
      <c r="B4543" t="s">
        <v>17</v>
      </c>
      <c r="C4543" t="s">
        <v>9</v>
      </c>
      <c r="D4543" s="3">
        <v>491.68</v>
      </c>
      <c r="E4543" s="3">
        <v>0</v>
      </c>
      <c r="F4543" t="s">
        <v>45</v>
      </c>
      <c r="G4543" s="3">
        <f t="shared" si="540"/>
        <v>-491.68</v>
      </c>
      <c r="H4543" s="3">
        <f t="shared" si="541"/>
        <v>491.68</v>
      </c>
      <c r="I4543" s="5" t="str">
        <f t="shared" si="542"/>
        <v>017</v>
      </c>
      <c r="J4543" s="5" t="str">
        <f t="shared" si="543"/>
        <v>2220</v>
      </c>
      <c r="K4543" s="5" t="str">
        <f t="shared" si="544"/>
        <v>000</v>
      </c>
      <c r="L4543" s="5">
        <f t="shared" si="545"/>
        <v>11</v>
      </c>
      <c r="M4543" s="5">
        <f t="shared" si="546"/>
        <v>2012</v>
      </c>
    </row>
    <row r="4544" spans="1:13" ht="15" x14ac:dyDescent="0.25">
      <c r="A4544" s="1">
        <f>DATE(2012,11,13)</f>
        <v>41226</v>
      </c>
      <c r="B4544" t="s">
        <v>18</v>
      </c>
      <c r="C4544" t="s">
        <v>10</v>
      </c>
      <c r="D4544" s="3">
        <v>330.93</v>
      </c>
      <c r="E4544" s="3">
        <v>0</v>
      </c>
      <c r="F4544" t="s">
        <v>45</v>
      </c>
      <c r="G4544" s="3">
        <f t="shared" si="540"/>
        <v>-330.93</v>
      </c>
      <c r="H4544" s="3">
        <f t="shared" si="541"/>
        <v>330.93</v>
      </c>
      <c r="I4544" s="5" t="str">
        <f t="shared" si="542"/>
        <v>017</v>
      </c>
      <c r="J4544" s="5" t="str">
        <f t="shared" si="543"/>
        <v>2230</v>
      </c>
      <c r="K4544" s="5" t="str">
        <f t="shared" si="544"/>
        <v>000</v>
      </c>
      <c r="L4544" s="5">
        <f t="shared" si="545"/>
        <v>11</v>
      </c>
      <c r="M4544" s="5">
        <f t="shared" si="546"/>
        <v>2012</v>
      </c>
    </row>
    <row r="4545" spans="1:13" ht="15" x14ac:dyDescent="0.25">
      <c r="A4545" s="1">
        <f>DATE(2012,11,14)</f>
        <v>41227</v>
      </c>
      <c r="B4545" t="s">
        <v>15</v>
      </c>
      <c r="C4545" t="s">
        <v>6</v>
      </c>
      <c r="D4545" s="3">
        <v>5484.1442999999999</v>
      </c>
      <c r="E4545" s="3">
        <v>0</v>
      </c>
      <c r="F4545" t="s">
        <v>45</v>
      </c>
      <c r="G4545" s="3">
        <f t="shared" si="540"/>
        <v>-5484.1442999999999</v>
      </c>
      <c r="H4545" s="3">
        <f t="shared" si="541"/>
        <v>5484.1442999999999</v>
      </c>
      <c r="I4545" s="5" t="str">
        <f t="shared" si="542"/>
        <v>017</v>
      </c>
      <c r="J4545" s="5" t="str">
        <f t="shared" si="543"/>
        <v>2100</v>
      </c>
      <c r="K4545" s="5" t="str">
        <f t="shared" si="544"/>
        <v>000</v>
      </c>
      <c r="L4545" s="5">
        <f t="shared" si="545"/>
        <v>11</v>
      </c>
      <c r="M4545" s="5">
        <f t="shared" si="546"/>
        <v>2012</v>
      </c>
    </row>
    <row r="4546" spans="1:13" ht="15" x14ac:dyDescent="0.25">
      <c r="A4546" s="1">
        <f>DATE(2012,11,14)</f>
        <v>41227</v>
      </c>
      <c r="B4546" t="s">
        <v>16</v>
      </c>
      <c r="C4546" t="s">
        <v>8</v>
      </c>
      <c r="D4546" s="3">
        <v>2097.0495000000001</v>
      </c>
      <c r="E4546" s="3">
        <v>0</v>
      </c>
      <c r="F4546" t="s">
        <v>45</v>
      </c>
      <c r="G4546" s="3">
        <f t="shared" ref="G4546:G4609" si="548">E4546-D4546</f>
        <v>-2097.0495000000001</v>
      </c>
      <c r="H4546" s="3">
        <f t="shared" ref="H4546:H4609" si="549">ABS(G4546)</f>
        <v>2097.0495000000001</v>
      </c>
      <c r="I4546" s="5" t="str">
        <f t="shared" ref="I4546:I4609" si="550">MID(B4546,1,3)</f>
        <v>017</v>
      </c>
      <c r="J4546" s="5" t="str">
        <f t="shared" ref="J4546:J4609" si="551">MID(B4546,5,4)</f>
        <v>2210</v>
      </c>
      <c r="K4546" s="5" t="str">
        <f t="shared" ref="K4546:K4609" si="552">MID(B4546,10,3)</f>
        <v>000</v>
      </c>
      <c r="L4546" s="5">
        <f t="shared" ref="L4546:L4609" si="553">MONTH(A4546)</f>
        <v>11</v>
      </c>
      <c r="M4546" s="5">
        <f t="shared" ref="M4546:M4609" si="554">YEAR(A4546)</f>
        <v>2012</v>
      </c>
    </row>
    <row r="4547" spans="1:13" ht="15" x14ac:dyDescent="0.25">
      <c r="A4547" s="1">
        <f>DATE(2012,11,14)</f>
        <v>41227</v>
      </c>
      <c r="B4547" t="s">
        <v>17</v>
      </c>
      <c r="C4547" t="s">
        <v>9</v>
      </c>
      <c r="D4547" s="3">
        <v>553.6</v>
      </c>
      <c r="E4547" s="3">
        <v>0</v>
      </c>
      <c r="F4547" t="s">
        <v>45</v>
      </c>
      <c r="G4547" s="3">
        <f t="shared" si="548"/>
        <v>-553.6</v>
      </c>
      <c r="H4547" s="3">
        <f t="shared" si="549"/>
        <v>553.6</v>
      </c>
      <c r="I4547" s="5" t="str">
        <f t="shared" si="550"/>
        <v>017</v>
      </c>
      <c r="J4547" s="5" t="str">
        <f t="shared" si="551"/>
        <v>2220</v>
      </c>
      <c r="K4547" s="5" t="str">
        <f t="shared" si="552"/>
        <v>000</v>
      </c>
      <c r="L4547" s="5">
        <f t="shared" si="553"/>
        <v>11</v>
      </c>
      <c r="M4547" s="5">
        <f t="shared" si="554"/>
        <v>2012</v>
      </c>
    </row>
    <row r="4548" spans="1:13" ht="15" x14ac:dyDescent="0.25">
      <c r="A4548" s="1">
        <f>DATE(2012,11,14)</f>
        <v>41227</v>
      </c>
      <c r="B4548" t="s">
        <v>18</v>
      </c>
      <c r="C4548" t="s">
        <v>10</v>
      </c>
      <c r="D4548" s="3">
        <v>252.245</v>
      </c>
      <c r="E4548" s="3">
        <v>0</v>
      </c>
      <c r="F4548" t="s">
        <v>45</v>
      </c>
      <c r="G4548" s="3">
        <f t="shared" si="548"/>
        <v>-252.245</v>
      </c>
      <c r="H4548" s="3">
        <f t="shared" si="549"/>
        <v>252.245</v>
      </c>
      <c r="I4548" s="5" t="str">
        <f t="shared" si="550"/>
        <v>017</v>
      </c>
      <c r="J4548" s="5" t="str">
        <f t="shared" si="551"/>
        <v>2230</v>
      </c>
      <c r="K4548" s="5" t="str">
        <f t="shared" si="552"/>
        <v>000</v>
      </c>
      <c r="L4548" s="5">
        <f t="shared" si="553"/>
        <v>11</v>
      </c>
      <c r="M4548" s="5">
        <f t="shared" si="554"/>
        <v>2012</v>
      </c>
    </row>
    <row r="4549" spans="1:13" ht="15" x14ac:dyDescent="0.25">
      <c r="A4549" s="1">
        <f>DATE(2012,11,15)</f>
        <v>41228</v>
      </c>
      <c r="B4549" t="s">
        <v>15</v>
      </c>
      <c r="C4549" t="s">
        <v>6</v>
      </c>
      <c r="D4549" s="3">
        <v>4966.1243999999997</v>
      </c>
      <c r="E4549" s="3">
        <v>0</v>
      </c>
      <c r="F4549" t="s">
        <v>45</v>
      </c>
      <c r="G4549" s="3">
        <f t="shared" si="548"/>
        <v>-4966.1243999999997</v>
      </c>
      <c r="H4549" s="3">
        <f t="shared" si="549"/>
        <v>4966.1243999999997</v>
      </c>
      <c r="I4549" s="5" t="str">
        <f t="shared" si="550"/>
        <v>017</v>
      </c>
      <c r="J4549" s="5" t="str">
        <f t="shared" si="551"/>
        <v>2100</v>
      </c>
      <c r="K4549" s="5" t="str">
        <f t="shared" si="552"/>
        <v>000</v>
      </c>
      <c r="L4549" s="5">
        <f t="shared" si="553"/>
        <v>11</v>
      </c>
      <c r="M4549" s="5">
        <f t="shared" si="554"/>
        <v>2012</v>
      </c>
    </row>
    <row r="4550" spans="1:13" ht="15" x14ac:dyDescent="0.25">
      <c r="A4550" s="1">
        <f>DATE(2012,11,15)</f>
        <v>41228</v>
      </c>
      <c r="B4550" t="s">
        <v>16</v>
      </c>
      <c r="C4550" t="s">
        <v>8</v>
      </c>
      <c r="D4550" s="3">
        <v>2805.1200000000003</v>
      </c>
      <c r="E4550" s="3">
        <v>0</v>
      </c>
      <c r="F4550" t="s">
        <v>45</v>
      </c>
      <c r="G4550" s="3">
        <f t="shared" si="548"/>
        <v>-2805.1200000000003</v>
      </c>
      <c r="H4550" s="3">
        <f t="shared" si="549"/>
        <v>2805.1200000000003</v>
      </c>
      <c r="I4550" s="5" t="str">
        <f t="shared" si="550"/>
        <v>017</v>
      </c>
      <c r="J4550" s="5" t="str">
        <f t="shared" si="551"/>
        <v>2210</v>
      </c>
      <c r="K4550" s="5" t="str">
        <f t="shared" si="552"/>
        <v>000</v>
      </c>
      <c r="L4550" s="5">
        <f t="shared" si="553"/>
        <v>11</v>
      </c>
      <c r="M4550" s="5">
        <f t="shared" si="554"/>
        <v>2012</v>
      </c>
    </row>
    <row r="4551" spans="1:13" ht="15" x14ac:dyDescent="0.25">
      <c r="A4551" s="1">
        <f>DATE(2012,11,15)</f>
        <v>41228</v>
      </c>
      <c r="B4551" t="s">
        <v>17</v>
      </c>
      <c r="C4551" t="s">
        <v>9</v>
      </c>
      <c r="D4551" s="3">
        <v>587.57999999999993</v>
      </c>
      <c r="E4551" s="3">
        <v>0</v>
      </c>
      <c r="F4551" t="s">
        <v>45</v>
      </c>
      <c r="G4551" s="3">
        <f t="shared" si="548"/>
        <v>-587.57999999999993</v>
      </c>
      <c r="H4551" s="3">
        <f t="shared" si="549"/>
        <v>587.57999999999993</v>
      </c>
      <c r="I4551" s="5" t="str">
        <f t="shared" si="550"/>
        <v>017</v>
      </c>
      <c r="J4551" s="5" t="str">
        <f t="shared" si="551"/>
        <v>2220</v>
      </c>
      <c r="K4551" s="5" t="str">
        <f t="shared" si="552"/>
        <v>000</v>
      </c>
      <c r="L4551" s="5">
        <f t="shared" si="553"/>
        <v>11</v>
      </c>
      <c r="M4551" s="5">
        <f t="shared" si="554"/>
        <v>2012</v>
      </c>
    </row>
    <row r="4552" spans="1:13" ht="15" x14ac:dyDescent="0.25">
      <c r="A4552" s="1">
        <f>DATE(2012,11,15)</f>
        <v>41228</v>
      </c>
      <c r="B4552" t="s">
        <v>18</v>
      </c>
      <c r="C4552" t="s">
        <v>10</v>
      </c>
      <c r="D4552" s="3">
        <v>260.245</v>
      </c>
      <c r="E4552" s="3">
        <v>0</v>
      </c>
      <c r="F4552" t="s">
        <v>45</v>
      </c>
      <c r="G4552" s="3">
        <f t="shared" si="548"/>
        <v>-260.245</v>
      </c>
      <c r="H4552" s="3">
        <f t="shared" si="549"/>
        <v>260.245</v>
      </c>
      <c r="I4552" s="5" t="str">
        <f t="shared" si="550"/>
        <v>017</v>
      </c>
      <c r="J4552" s="5" t="str">
        <f t="shared" si="551"/>
        <v>2230</v>
      </c>
      <c r="K4552" s="5" t="str">
        <f t="shared" si="552"/>
        <v>000</v>
      </c>
      <c r="L4552" s="5">
        <f t="shared" si="553"/>
        <v>11</v>
      </c>
      <c r="M4552" s="5">
        <f t="shared" si="554"/>
        <v>2012</v>
      </c>
    </row>
    <row r="4553" spans="1:13" ht="15" x14ac:dyDescent="0.25">
      <c r="A4553" s="1">
        <f>DATE(2012,11,16)</f>
        <v>41229</v>
      </c>
      <c r="B4553" t="s">
        <v>15</v>
      </c>
      <c r="C4553" t="s">
        <v>6</v>
      </c>
      <c r="D4553" s="3">
        <v>8776.7908000000007</v>
      </c>
      <c r="E4553" s="3">
        <v>0</v>
      </c>
      <c r="F4553" t="s">
        <v>45</v>
      </c>
      <c r="G4553" s="3">
        <f t="shared" si="548"/>
        <v>-8776.7908000000007</v>
      </c>
      <c r="H4553" s="3">
        <f t="shared" si="549"/>
        <v>8776.7908000000007</v>
      </c>
      <c r="I4553" s="5" t="str">
        <f t="shared" si="550"/>
        <v>017</v>
      </c>
      <c r="J4553" s="5" t="str">
        <f t="shared" si="551"/>
        <v>2100</v>
      </c>
      <c r="K4553" s="5" t="str">
        <f t="shared" si="552"/>
        <v>000</v>
      </c>
      <c r="L4553" s="5">
        <f t="shared" si="553"/>
        <v>11</v>
      </c>
      <c r="M4553" s="5">
        <f t="shared" si="554"/>
        <v>2012</v>
      </c>
    </row>
    <row r="4554" spans="1:13" ht="15" x14ac:dyDescent="0.25">
      <c r="A4554" s="1">
        <f>DATE(2012,11,16)</f>
        <v>41229</v>
      </c>
      <c r="B4554" t="s">
        <v>16</v>
      </c>
      <c r="C4554" t="s">
        <v>8</v>
      </c>
      <c r="D4554" s="3">
        <v>1977.6429999999998</v>
      </c>
      <c r="E4554" s="3">
        <v>0</v>
      </c>
      <c r="F4554" t="s">
        <v>45</v>
      </c>
      <c r="G4554" s="3">
        <f t="shared" si="548"/>
        <v>-1977.6429999999998</v>
      </c>
      <c r="H4554" s="3">
        <f t="shared" si="549"/>
        <v>1977.6429999999998</v>
      </c>
      <c r="I4554" s="5" t="str">
        <f t="shared" si="550"/>
        <v>017</v>
      </c>
      <c r="J4554" s="5" t="str">
        <f t="shared" si="551"/>
        <v>2210</v>
      </c>
      <c r="K4554" s="5" t="str">
        <f t="shared" si="552"/>
        <v>000</v>
      </c>
      <c r="L4554" s="5">
        <f t="shared" si="553"/>
        <v>11</v>
      </c>
      <c r="M4554" s="5">
        <f t="shared" si="554"/>
        <v>2012</v>
      </c>
    </row>
    <row r="4555" spans="1:13" ht="15" x14ac:dyDescent="0.25">
      <c r="A4555" s="1">
        <f>DATE(2012,11,16)</f>
        <v>41229</v>
      </c>
      <c r="B4555" t="s">
        <v>17</v>
      </c>
      <c r="C4555" t="s">
        <v>9</v>
      </c>
      <c r="D4555" s="3">
        <v>409.11750000000001</v>
      </c>
      <c r="E4555" s="3">
        <v>0</v>
      </c>
      <c r="F4555" t="s">
        <v>45</v>
      </c>
      <c r="G4555" s="3">
        <f t="shared" si="548"/>
        <v>-409.11750000000001</v>
      </c>
      <c r="H4555" s="3">
        <f t="shared" si="549"/>
        <v>409.11750000000001</v>
      </c>
      <c r="I4555" s="5" t="str">
        <f t="shared" si="550"/>
        <v>017</v>
      </c>
      <c r="J4555" s="5" t="str">
        <f t="shared" si="551"/>
        <v>2220</v>
      </c>
      <c r="K4555" s="5" t="str">
        <f t="shared" si="552"/>
        <v>000</v>
      </c>
      <c r="L4555" s="5">
        <f t="shared" si="553"/>
        <v>11</v>
      </c>
      <c r="M4555" s="5">
        <f t="shared" si="554"/>
        <v>2012</v>
      </c>
    </row>
    <row r="4556" spans="1:13" ht="15" x14ac:dyDescent="0.25">
      <c r="A4556" s="1">
        <f>DATE(2012,11,16)</f>
        <v>41229</v>
      </c>
      <c r="B4556" t="s">
        <v>18</v>
      </c>
      <c r="C4556" t="s">
        <v>10</v>
      </c>
      <c r="D4556" s="3">
        <v>160.072</v>
      </c>
      <c r="E4556" s="3">
        <v>0</v>
      </c>
      <c r="F4556" t="s">
        <v>45</v>
      </c>
      <c r="G4556" s="3">
        <f t="shared" si="548"/>
        <v>-160.072</v>
      </c>
      <c r="H4556" s="3">
        <f t="shared" si="549"/>
        <v>160.072</v>
      </c>
      <c r="I4556" s="5" t="str">
        <f t="shared" si="550"/>
        <v>017</v>
      </c>
      <c r="J4556" s="5" t="str">
        <f t="shared" si="551"/>
        <v>2230</v>
      </c>
      <c r="K4556" s="5" t="str">
        <f t="shared" si="552"/>
        <v>000</v>
      </c>
      <c r="L4556" s="5">
        <f t="shared" si="553"/>
        <v>11</v>
      </c>
      <c r="M4556" s="5">
        <f t="shared" si="554"/>
        <v>2012</v>
      </c>
    </row>
    <row r="4557" spans="1:13" ht="15" x14ac:dyDescent="0.25">
      <c r="A4557" s="1">
        <f>DATE(2012,11,17)</f>
        <v>41230</v>
      </c>
      <c r="B4557" t="s">
        <v>15</v>
      </c>
      <c r="C4557" t="s">
        <v>6</v>
      </c>
      <c r="D4557" s="3">
        <v>4971.5810999999994</v>
      </c>
      <c r="E4557" s="3">
        <v>0</v>
      </c>
      <c r="F4557" t="s">
        <v>45</v>
      </c>
      <c r="G4557" s="3">
        <f t="shared" si="548"/>
        <v>-4971.5810999999994</v>
      </c>
      <c r="H4557" s="3">
        <f t="shared" si="549"/>
        <v>4971.5810999999994</v>
      </c>
      <c r="I4557" s="5" t="str">
        <f t="shared" si="550"/>
        <v>017</v>
      </c>
      <c r="J4557" s="5" t="str">
        <f t="shared" si="551"/>
        <v>2100</v>
      </c>
      <c r="K4557" s="5" t="str">
        <f t="shared" si="552"/>
        <v>000</v>
      </c>
      <c r="L4557" s="5">
        <f t="shared" si="553"/>
        <v>11</v>
      </c>
      <c r="M4557" s="5">
        <f t="shared" si="554"/>
        <v>2012</v>
      </c>
    </row>
    <row r="4558" spans="1:13" ht="15" x14ac:dyDescent="0.25">
      <c r="A4558" s="1">
        <f>DATE(2012,11,17)</f>
        <v>41230</v>
      </c>
      <c r="B4558" t="s">
        <v>16</v>
      </c>
      <c r="C4558" t="s">
        <v>8</v>
      </c>
      <c r="D4558" s="3">
        <v>1585.9299999999998</v>
      </c>
      <c r="E4558" s="3">
        <v>0</v>
      </c>
      <c r="F4558" t="s">
        <v>45</v>
      </c>
      <c r="G4558" s="3">
        <f t="shared" si="548"/>
        <v>-1585.9299999999998</v>
      </c>
      <c r="H4558" s="3">
        <f t="shared" si="549"/>
        <v>1585.9299999999998</v>
      </c>
      <c r="I4558" s="5" t="str">
        <f t="shared" si="550"/>
        <v>017</v>
      </c>
      <c r="J4558" s="5" t="str">
        <f t="shared" si="551"/>
        <v>2210</v>
      </c>
      <c r="K4558" s="5" t="str">
        <f t="shared" si="552"/>
        <v>000</v>
      </c>
      <c r="L4558" s="5">
        <f t="shared" si="553"/>
        <v>11</v>
      </c>
      <c r="M4558" s="5">
        <f t="shared" si="554"/>
        <v>2012</v>
      </c>
    </row>
    <row r="4559" spans="1:13" ht="15" x14ac:dyDescent="0.25">
      <c r="A4559" s="1">
        <f>DATE(2012,11,17)</f>
        <v>41230</v>
      </c>
      <c r="B4559" t="s">
        <v>17</v>
      </c>
      <c r="C4559" t="s">
        <v>9</v>
      </c>
      <c r="D4559" s="3">
        <v>403.39249999999998</v>
      </c>
      <c r="E4559" s="3">
        <v>0</v>
      </c>
      <c r="F4559" t="s">
        <v>45</v>
      </c>
      <c r="G4559" s="3">
        <f t="shared" si="548"/>
        <v>-403.39249999999998</v>
      </c>
      <c r="H4559" s="3">
        <f t="shared" si="549"/>
        <v>403.39249999999998</v>
      </c>
      <c r="I4559" s="5" t="str">
        <f t="shared" si="550"/>
        <v>017</v>
      </c>
      <c r="J4559" s="5" t="str">
        <f t="shared" si="551"/>
        <v>2220</v>
      </c>
      <c r="K4559" s="5" t="str">
        <f t="shared" si="552"/>
        <v>000</v>
      </c>
      <c r="L4559" s="5">
        <f t="shared" si="553"/>
        <v>11</v>
      </c>
      <c r="M4559" s="5">
        <f t="shared" si="554"/>
        <v>2012</v>
      </c>
    </row>
    <row r="4560" spans="1:13" ht="15" x14ac:dyDescent="0.25">
      <c r="A4560" s="1">
        <f>DATE(2012,11,17)</f>
        <v>41230</v>
      </c>
      <c r="B4560" t="s">
        <v>18</v>
      </c>
      <c r="C4560" t="s">
        <v>10</v>
      </c>
      <c r="D4560" s="3">
        <v>106.85400000000001</v>
      </c>
      <c r="E4560" s="3">
        <v>0</v>
      </c>
      <c r="F4560" t="s">
        <v>45</v>
      </c>
      <c r="G4560" s="3">
        <f t="shared" si="548"/>
        <v>-106.85400000000001</v>
      </c>
      <c r="H4560" s="3">
        <f t="shared" si="549"/>
        <v>106.85400000000001</v>
      </c>
      <c r="I4560" s="5" t="str">
        <f t="shared" si="550"/>
        <v>017</v>
      </c>
      <c r="J4560" s="5" t="str">
        <f t="shared" si="551"/>
        <v>2230</v>
      </c>
      <c r="K4560" s="5" t="str">
        <f t="shared" si="552"/>
        <v>000</v>
      </c>
      <c r="L4560" s="5">
        <f t="shared" si="553"/>
        <v>11</v>
      </c>
      <c r="M4560" s="5">
        <f t="shared" si="554"/>
        <v>2012</v>
      </c>
    </row>
    <row r="4561" spans="1:13" ht="15" x14ac:dyDescent="0.25">
      <c r="A4561" s="1">
        <f>DATE(2012,11,18)</f>
        <v>41231</v>
      </c>
      <c r="B4561" t="s">
        <v>15</v>
      </c>
      <c r="C4561" t="s">
        <v>6</v>
      </c>
      <c r="D4561" s="3">
        <v>5209.7219999999998</v>
      </c>
      <c r="E4561" s="3">
        <v>0</v>
      </c>
      <c r="F4561" t="s">
        <v>45</v>
      </c>
      <c r="G4561" s="3">
        <f t="shared" si="548"/>
        <v>-5209.7219999999998</v>
      </c>
      <c r="H4561" s="3">
        <f t="shared" si="549"/>
        <v>5209.7219999999998</v>
      </c>
      <c r="I4561" s="5" t="str">
        <f t="shared" si="550"/>
        <v>017</v>
      </c>
      <c r="J4561" s="5" t="str">
        <f t="shared" si="551"/>
        <v>2100</v>
      </c>
      <c r="K4561" s="5" t="str">
        <f t="shared" si="552"/>
        <v>000</v>
      </c>
      <c r="L4561" s="5">
        <f t="shared" si="553"/>
        <v>11</v>
      </c>
      <c r="M4561" s="5">
        <f t="shared" si="554"/>
        <v>2012</v>
      </c>
    </row>
    <row r="4562" spans="1:13" ht="15" x14ac:dyDescent="0.25">
      <c r="A4562" s="1">
        <f>DATE(2012,11,18)</f>
        <v>41231</v>
      </c>
      <c r="B4562" t="s">
        <v>16</v>
      </c>
      <c r="C4562" t="s">
        <v>8</v>
      </c>
      <c r="D4562" s="3">
        <v>722.25599999999997</v>
      </c>
      <c r="E4562" s="3">
        <v>0</v>
      </c>
      <c r="F4562" t="s">
        <v>45</v>
      </c>
      <c r="G4562" s="3">
        <f t="shared" si="548"/>
        <v>-722.25599999999997</v>
      </c>
      <c r="H4562" s="3">
        <f t="shared" si="549"/>
        <v>722.25599999999997</v>
      </c>
      <c r="I4562" s="5" t="str">
        <f t="shared" si="550"/>
        <v>017</v>
      </c>
      <c r="J4562" s="5" t="str">
        <f t="shared" si="551"/>
        <v>2210</v>
      </c>
      <c r="K4562" s="5" t="str">
        <f t="shared" si="552"/>
        <v>000</v>
      </c>
      <c r="L4562" s="5">
        <f t="shared" si="553"/>
        <v>11</v>
      </c>
      <c r="M4562" s="5">
        <f t="shared" si="554"/>
        <v>2012</v>
      </c>
    </row>
    <row r="4563" spans="1:13" ht="15" x14ac:dyDescent="0.25">
      <c r="A4563" s="1">
        <f>DATE(2012,11,18)</f>
        <v>41231</v>
      </c>
      <c r="B4563" t="s">
        <v>17</v>
      </c>
      <c r="C4563" t="s">
        <v>9</v>
      </c>
      <c r="D4563" s="3">
        <v>105.86</v>
      </c>
      <c r="E4563" s="3">
        <v>0</v>
      </c>
      <c r="F4563" t="s">
        <v>45</v>
      </c>
      <c r="G4563" s="3">
        <f t="shared" si="548"/>
        <v>-105.86</v>
      </c>
      <c r="H4563" s="3">
        <f t="shared" si="549"/>
        <v>105.86</v>
      </c>
      <c r="I4563" s="5" t="str">
        <f t="shared" si="550"/>
        <v>017</v>
      </c>
      <c r="J4563" s="5" t="str">
        <f t="shared" si="551"/>
        <v>2220</v>
      </c>
      <c r="K4563" s="5" t="str">
        <f t="shared" si="552"/>
        <v>000</v>
      </c>
      <c r="L4563" s="5">
        <f t="shared" si="553"/>
        <v>11</v>
      </c>
      <c r="M4563" s="5">
        <f t="shared" si="554"/>
        <v>2012</v>
      </c>
    </row>
    <row r="4564" spans="1:13" ht="15" x14ac:dyDescent="0.25">
      <c r="A4564" s="1">
        <f>DATE(2012,11,18)</f>
        <v>41231</v>
      </c>
      <c r="B4564" t="s">
        <v>18</v>
      </c>
      <c r="C4564" t="s">
        <v>10</v>
      </c>
      <c r="D4564" s="3">
        <v>94.516999999999996</v>
      </c>
      <c r="E4564" s="3">
        <v>0</v>
      </c>
      <c r="F4564" t="s">
        <v>45</v>
      </c>
      <c r="G4564" s="3">
        <f t="shared" si="548"/>
        <v>-94.516999999999996</v>
      </c>
      <c r="H4564" s="3">
        <f t="shared" si="549"/>
        <v>94.516999999999996</v>
      </c>
      <c r="I4564" s="5" t="str">
        <f t="shared" si="550"/>
        <v>017</v>
      </c>
      <c r="J4564" s="5" t="str">
        <f t="shared" si="551"/>
        <v>2230</v>
      </c>
      <c r="K4564" s="5" t="str">
        <f t="shared" si="552"/>
        <v>000</v>
      </c>
      <c r="L4564" s="5">
        <f t="shared" si="553"/>
        <v>11</v>
      </c>
      <c r="M4564" s="5">
        <f t="shared" si="554"/>
        <v>2012</v>
      </c>
    </row>
    <row r="4565" spans="1:13" ht="15" x14ac:dyDescent="0.25">
      <c r="A4565" s="1">
        <f>DATE(2012,11,12)</f>
        <v>41225</v>
      </c>
      <c r="B4565" t="s">
        <v>19</v>
      </c>
      <c r="C4565" t="s">
        <v>6</v>
      </c>
      <c r="D4565" s="3">
        <v>5408.8016000000007</v>
      </c>
      <c r="E4565" s="3">
        <v>0</v>
      </c>
      <c r="F4565" t="s">
        <v>45</v>
      </c>
      <c r="G4565" s="3">
        <f t="shared" si="548"/>
        <v>-5408.8016000000007</v>
      </c>
      <c r="H4565" s="3">
        <f t="shared" si="549"/>
        <v>5408.8016000000007</v>
      </c>
      <c r="I4565" s="5" t="str">
        <f t="shared" si="550"/>
        <v>018</v>
      </c>
      <c r="J4565" s="5" t="str">
        <f t="shared" si="551"/>
        <v>2100</v>
      </c>
      <c r="K4565" s="5" t="str">
        <f t="shared" si="552"/>
        <v>000</v>
      </c>
      <c r="L4565" s="5">
        <f t="shared" si="553"/>
        <v>11</v>
      </c>
      <c r="M4565" s="5">
        <f t="shared" si="554"/>
        <v>2012</v>
      </c>
    </row>
    <row r="4566" spans="1:13" ht="15" x14ac:dyDescent="0.25">
      <c r="A4566" s="1">
        <f>DATE(2012,11,12)</f>
        <v>41225</v>
      </c>
      <c r="B4566" t="s">
        <v>20</v>
      </c>
      <c r="C4566" t="s">
        <v>8</v>
      </c>
      <c r="D4566" s="3">
        <v>841.7115</v>
      </c>
      <c r="E4566" s="3">
        <v>0</v>
      </c>
      <c r="F4566" t="s">
        <v>45</v>
      </c>
      <c r="G4566" s="3">
        <f t="shared" si="548"/>
        <v>-841.7115</v>
      </c>
      <c r="H4566" s="3">
        <f t="shared" si="549"/>
        <v>841.7115</v>
      </c>
      <c r="I4566" s="5" t="str">
        <f t="shared" si="550"/>
        <v>018</v>
      </c>
      <c r="J4566" s="5" t="str">
        <f t="shared" si="551"/>
        <v>2210</v>
      </c>
      <c r="K4566" s="5" t="str">
        <f t="shared" si="552"/>
        <v>000</v>
      </c>
      <c r="L4566" s="5">
        <f t="shared" si="553"/>
        <v>11</v>
      </c>
      <c r="M4566" s="5">
        <f t="shared" si="554"/>
        <v>2012</v>
      </c>
    </row>
    <row r="4567" spans="1:13" ht="15" x14ac:dyDescent="0.25">
      <c r="A4567" s="1">
        <f>DATE(2012,11,12)</f>
        <v>41225</v>
      </c>
      <c r="B4567" t="s">
        <v>21</v>
      </c>
      <c r="C4567" t="s">
        <v>9</v>
      </c>
      <c r="D4567" s="3">
        <v>223.74799999999999</v>
      </c>
      <c r="E4567" s="3">
        <v>0</v>
      </c>
      <c r="F4567" t="s">
        <v>45</v>
      </c>
      <c r="G4567" s="3">
        <f t="shared" si="548"/>
        <v>-223.74799999999999</v>
      </c>
      <c r="H4567" s="3">
        <f t="shared" si="549"/>
        <v>223.74799999999999</v>
      </c>
      <c r="I4567" s="5" t="str">
        <f t="shared" si="550"/>
        <v>018</v>
      </c>
      <c r="J4567" s="5" t="str">
        <f t="shared" si="551"/>
        <v>2220</v>
      </c>
      <c r="K4567" s="5" t="str">
        <f t="shared" si="552"/>
        <v>000</v>
      </c>
      <c r="L4567" s="5">
        <f t="shared" si="553"/>
        <v>11</v>
      </c>
      <c r="M4567" s="5">
        <f t="shared" si="554"/>
        <v>2012</v>
      </c>
    </row>
    <row r="4568" spans="1:13" ht="15" x14ac:dyDescent="0.25">
      <c r="A4568" s="1">
        <f>DATE(2012,11,12)</f>
        <v>41225</v>
      </c>
      <c r="B4568" t="s">
        <v>22</v>
      </c>
      <c r="C4568" t="s">
        <v>10</v>
      </c>
      <c r="D4568" s="3">
        <v>17.891999999999999</v>
      </c>
      <c r="E4568" s="3">
        <v>0</v>
      </c>
      <c r="F4568" t="s">
        <v>45</v>
      </c>
      <c r="G4568" s="3">
        <f t="shared" si="548"/>
        <v>-17.891999999999999</v>
      </c>
      <c r="H4568" s="3">
        <f t="shared" si="549"/>
        <v>17.891999999999999</v>
      </c>
      <c r="I4568" s="5" t="str">
        <f t="shared" si="550"/>
        <v>018</v>
      </c>
      <c r="J4568" s="5" t="str">
        <f t="shared" si="551"/>
        <v>2230</v>
      </c>
      <c r="K4568" s="5" t="str">
        <f t="shared" si="552"/>
        <v>000</v>
      </c>
      <c r="L4568" s="5">
        <f t="shared" si="553"/>
        <v>11</v>
      </c>
      <c r="M4568" s="5">
        <f t="shared" si="554"/>
        <v>2012</v>
      </c>
    </row>
    <row r="4569" spans="1:13" ht="15" x14ac:dyDescent="0.25">
      <c r="A4569" s="1">
        <f>DATE(2012,11,13)</f>
        <v>41226</v>
      </c>
      <c r="B4569" t="s">
        <v>19</v>
      </c>
      <c r="C4569" t="s">
        <v>6</v>
      </c>
      <c r="D4569" s="3">
        <v>2824.9575</v>
      </c>
      <c r="E4569" s="3">
        <v>0</v>
      </c>
      <c r="F4569" t="s">
        <v>45</v>
      </c>
      <c r="G4569" s="3">
        <f t="shared" si="548"/>
        <v>-2824.9575</v>
      </c>
      <c r="H4569" s="3">
        <f t="shared" si="549"/>
        <v>2824.9575</v>
      </c>
      <c r="I4569" s="5" t="str">
        <f t="shared" si="550"/>
        <v>018</v>
      </c>
      <c r="J4569" s="5" t="str">
        <f t="shared" si="551"/>
        <v>2100</v>
      </c>
      <c r="K4569" s="5" t="str">
        <f t="shared" si="552"/>
        <v>000</v>
      </c>
      <c r="L4569" s="5">
        <f t="shared" si="553"/>
        <v>11</v>
      </c>
      <c r="M4569" s="5">
        <f t="shared" si="554"/>
        <v>2012</v>
      </c>
    </row>
    <row r="4570" spans="1:13" ht="15" x14ac:dyDescent="0.25">
      <c r="A4570" s="1">
        <f>DATE(2012,11,13)</f>
        <v>41226</v>
      </c>
      <c r="B4570" t="s">
        <v>20</v>
      </c>
      <c r="C4570" t="s">
        <v>8</v>
      </c>
      <c r="D4570" s="3">
        <v>578.7589999999999</v>
      </c>
      <c r="E4570" s="3">
        <v>0</v>
      </c>
      <c r="F4570" t="s">
        <v>45</v>
      </c>
      <c r="G4570" s="3">
        <f t="shared" si="548"/>
        <v>-578.7589999999999</v>
      </c>
      <c r="H4570" s="3">
        <f t="shared" si="549"/>
        <v>578.7589999999999</v>
      </c>
      <c r="I4570" s="5" t="str">
        <f t="shared" si="550"/>
        <v>018</v>
      </c>
      <c r="J4570" s="5" t="str">
        <f t="shared" si="551"/>
        <v>2210</v>
      </c>
      <c r="K4570" s="5" t="str">
        <f t="shared" si="552"/>
        <v>000</v>
      </c>
      <c r="L4570" s="5">
        <f t="shared" si="553"/>
        <v>11</v>
      </c>
      <c r="M4570" s="5">
        <f t="shared" si="554"/>
        <v>2012</v>
      </c>
    </row>
    <row r="4571" spans="1:13" ht="15" x14ac:dyDescent="0.25">
      <c r="A4571" s="1">
        <f>DATE(2012,11,13)</f>
        <v>41226</v>
      </c>
      <c r="B4571" t="s">
        <v>21</v>
      </c>
      <c r="C4571" t="s">
        <v>9</v>
      </c>
      <c r="D4571" s="3">
        <v>124.90800000000002</v>
      </c>
      <c r="E4571" s="3">
        <v>0</v>
      </c>
      <c r="F4571" t="s">
        <v>45</v>
      </c>
      <c r="G4571" s="3">
        <f t="shared" si="548"/>
        <v>-124.90800000000002</v>
      </c>
      <c r="H4571" s="3">
        <f t="shared" si="549"/>
        <v>124.90800000000002</v>
      </c>
      <c r="I4571" s="5" t="str">
        <f t="shared" si="550"/>
        <v>018</v>
      </c>
      <c r="J4571" s="5" t="str">
        <f t="shared" si="551"/>
        <v>2220</v>
      </c>
      <c r="K4571" s="5" t="str">
        <f t="shared" si="552"/>
        <v>000</v>
      </c>
      <c r="L4571" s="5">
        <f t="shared" si="553"/>
        <v>11</v>
      </c>
      <c r="M4571" s="5">
        <f t="shared" si="554"/>
        <v>2012</v>
      </c>
    </row>
    <row r="4572" spans="1:13" ht="15" x14ac:dyDescent="0.25">
      <c r="A4572" s="1">
        <f>DATE(2012,11,13)</f>
        <v>41226</v>
      </c>
      <c r="B4572" t="s">
        <v>22</v>
      </c>
      <c r="C4572" t="s">
        <v>10</v>
      </c>
      <c r="D4572" s="3">
        <v>18.213000000000001</v>
      </c>
      <c r="E4572" s="3">
        <v>0</v>
      </c>
      <c r="F4572" t="s">
        <v>45</v>
      </c>
      <c r="G4572" s="3">
        <f t="shared" si="548"/>
        <v>-18.213000000000001</v>
      </c>
      <c r="H4572" s="3">
        <f t="shared" si="549"/>
        <v>18.213000000000001</v>
      </c>
      <c r="I4572" s="5" t="str">
        <f t="shared" si="550"/>
        <v>018</v>
      </c>
      <c r="J4572" s="5" t="str">
        <f t="shared" si="551"/>
        <v>2230</v>
      </c>
      <c r="K4572" s="5" t="str">
        <f t="shared" si="552"/>
        <v>000</v>
      </c>
      <c r="L4572" s="5">
        <f t="shared" si="553"/>
        <v>11</v>
      </c>
      <c r="M4572" s="5">
        <f t="shared" si="554"/>
        <v>2012</v>
      </c>
    </row>
    <row r="4573" spans="1:13" ht="15" x14ac:dyDescent="0.25">
      <c r="A4573" s="1">
        <f>DATE(2012,11,14)</f>
        <v>41227</v>
      </c>
      <c r="B4573" t="s">
        <v>19</v>
      </c>
      <c r="C4573" t="s">
        <v>6</v>
      </c>
      <c r="D4573" s="3">
        <v>4092.9585000000002</v>
      </c>
      <c r="E4573" s="3">
        <v>0</v>
      </c>
      <c r="F4573" t="s">
        <v>45</v>
      </c>
      <c r="G4573" s="3">
        <f t="shared" si="548"/>
        <v>-4092.9585000000002</v>
      </c>
      <c r="H4573" s="3">
        <f t="shared" si="549"/>
        <v>4092.9585000000002</v>
      </c>
      <c r="I4573" s="5" t="str">
        <f t="shared" si="550"/>
        <v>018</v>
      </c>
      <c r="J4573" s="5" t="str">
        <f t="shared" si="551"/>
        <v>2100</v>
      </c>
      <c r="K4573" s="5" t="str">
        <f t="shared" si="552"/>
        <v>000</v>
      </c>
      <c r="L4573" s="5">
        <f t="shared" si="553"/>
        <v>11</v>
      </c>
      <c r="M4573" s="5">
        <f t="shared" si="554"/>
        <v>2012</v>
      </c>
    </row>
    <row r="4574" spans="1:13" ht="15" x14ac:dyDescent="0.25">
      <c r="A4574" s="1">
        <f>DATE(2012,11,14)</f>
        <v>41227</v>
      </c>
      <c r="B4574" t="s">
        <v>20</v>
      </c>
      <c r="C4574" t="s">
        <v>8</v>
      </c>
      <c r="D4574" s="3">
        <v>568.65</v>
      </c>
      <c r="E4574" s="3">
        <v>0</v>
      </c>
      <c r="F4574" t="s">
        <v>45</v>
      </c>
      <c r="G4574" s="3">
        <f t="shared" si="548"/>
        <v>-568.65</v>
      </c>
      <c r="H4574" s="3">
        <f t="shared" si="549"/>
        <v>568.65</v>
      </c>
      <c r="I4574" s="5" t="str">
        <f t="shared" si="550"/>
        <v>018</v>
      </c>
      <c r="J4574" s="5" t="str">
        <f t="shared" si="551"/>
        <v>2210</v>
      </c>
      <c r="K4574" s="5" t="str">
        <f t="shared" si="552"/>
        <v>000</v>
      </c>
      <c r="L4574" s="5">
        <f t="shared" si="553"/>
        <v>11</v>
      </c>
      <c r="M4574" s="5">
        <f t="shared" si="554"/>
        <v>2012</v>
      </c>
    </row>
    <row r="4575" spans="1:13" ht="15" x14ac:dyDescent="0.25">
      <c r="A4575" s="1">
        <f>DATE(2012,11,14)</f>
        <v>41227</v>
      </c>
      <c r="B4575" t="s">
        <v>21</v>
      </c>
      <c r="C4575" t="s">
        <v>9</v>
      </c>
      <c r="D4575" s="3">
        <v>110.46599999999999</v>
      </c>
      <c r="E4575" s="3">
        <v>0</v>
      </c>
      <c r="F4575" t="s">
        <v>45</v>
      </c>
      <c r="G4575" s="3">
        <f t="shared" si="548"/>
        <v>-110.46599999999999</v>
      </c>
      <c r="H4575" s="3">
        <f t="shared" si="549"/>
        <v>110.46599999999999</v>
      </c>
      <c r="I4575" s="5" t="str">
        <f t="shared" si="550"/>
        <v>018</v>
      </c>
      <c r="J4575" s="5" t="str">
        <f t="shared" si="551"/>
        <v>2220</v>
      </c>
      <c r="K4575" s="5" t="str">
        <f t="shared" si="552"/>
        <v>000</v>
      </c>
      <c r="L4575" s="5">
        <f t="shared" si="553"/>
        <v>11</v>
      </c>
      <c r="M4575" s="5">
        <f t="shared" si="554"/>
        <v>2012</v>
      </c>
    </row>
    <row r="4576" spans="1:13" ht="15" x14ac:dyDescent="0.25">
      <c r="A4576" s="1">
        <f>DATE(2012,11,14)</f>
        <v>41227</v>
      </c>
      <c r="B4576" t="s">
        <v>22</v>
      </c>
      <c r="C4576" t="s">
        <v>10</v>
      </c>
      <c r="D4576" s="3">
        <v>17.6435</v>
      </c>
      <c r="E4576" s="3">
        <v>0</v>
      </c>
      <c r="F4576" t="s">
        <v>45</v>
      </c>
      <c r="G4576" s="3">
        <f t="shared" si="548"/>
        <v>-17.6435</v>
      </c>
      <c r="H4576" s="3">
        <f t="shared" si="549"/>
        <v>17.6435</v>
      </c>
      <c r="I4576" s="5" t="str">
        <f t="shared" si="550"/>
        <v>018</v>
      </c>
      <c r="J4576" s="5" t="str">
        <f t="shared" si="551"/>
        <v>2230</v>
      </c>
      <c r="K4576" s="5" t="str">
        <f t="shared" si="552"/>
        <v>000</v>
      </c>
      <c r="L4576" s="5">
        <f t="shared" si="553"/>
        <v>11</v>
      </c>
      <c r="M4576" s="5">
        <f t="shared" si="554"/>
        <v>2012</v>
      </c>
    </row>
    <row r="4577" spans="1:13" ht="15" x14ac:dyDescent="0.25">
      <c r="A4577" s="1">
        <f>DATE(2012,11,15)</f>
        <v>41228</v>
      </c>
      <c r="B4577" t="s">
        <v>19</v>
      </c>
      <c r="C4577" t="s">
        <v>6</v>
      </c>
      <c r="D4577" s="3">
        <v>4962.415</v>
      </c>
      <c r="E4577" s="3">
        <v>0</v>
      </c>
      <c r="F4577" t="s">
        <v>45</v>
      </c>
      <c r="G4577" s="3">
        <f t="shared" si="548"/>
        <v>-4962.415</v>
      </c>
      <c r="H4577" s="3">
        <f t="shared" si="549"/>
        <v>4962.415</v>
      </c>
      <c r="I4577" s="5" t="str">
        <f t="shared" si="550"/>
        <v>018</v>
      </c>
      <c r="J4577" s="5" t="str">
        <f t="shared" si="551"/>
        <v>2100</v>
      </c>
      <c r="K4577" s="5" t="str">
        <f t="shared" si="552"/>
        <v>000</v>
      </c>
      <c r="L4577" s="5">
        <f t="shared" si="553"/>
        <v>11</v>
      </c>
      <c r="M4577" s="5">
        <f t="shared" si="554"/>
        <v>2012</v>
      </c>
    </row>
    <row r="4578" spans="1:13" ht="15" x14ac:dyDescent="0.25">
      <c r="A4578" s="1">
        <f>DATE(2012,11,15)</f>
        <v>41228</v>
      </c>
      <c r="B4578" t="s">
        <v>20</v>
      </c>
      <c r="C4578" t="s">
        <v>8</v>
      </c>
      <c r="D4578" s="3">
        <v>856.98900000000003</v>
      </c>
      <c r="E4578" s="3">
        <v>0</v>
      </c>
      <c r="F4578" t="s">
        <v>45</v>
      </c>
      <c r="G4578" s="3">
        <f t="shared" si="548"/>
        <v>-856.98900000000003</v>
      </c>
      <c r="H4578" s="3">
        <f t="shared" si="549"/>
        <v>856.98900000000003</v>
      </c>
      <c r="I4578" s="5" t="str">
        <f t="shared" si="550"/>
        <v>018</v>
      </c>
      <c r="J4578" s="5" t="str">
        <f t="shared" si="551"/>
        <v>2210</v>
      </c>
      <c r="K4578" s="5" t="str">
        <f t="shared" si="552"/>
        <v>000</v>
      </c>
      <c r="L4578" s="5">
        <f t="shared" si="553"/>
        <v>11</v>
      </c>
      <c r="M4578" s="5">
        <f t="shared" si="554"/>
        <v>2012</v>
      </c>
    </row>
    <row r="4579" spans="1:13" ht="15" x14ac:dyDescent="0.25">
      <c r="A4579" s="1">
        <f>DATE(2012,11,15)</f>
        <v>41228</v>
      </c>
      <c r="B4579" t="s">
        <v>21</v>
      </c>
      <c r="C4579" t="s">
        <v>9</v>
      </c>
      <c r="D4579" s="3">
        <v>110.60599999999998</v>
      </c>
      <c r="E4579" s="3">
        <v>0</v>
      </c>
      <c r="F4579" t="s">
        <v>45</v>
      </c>
      <c r="G4579" s="3">
        <f t="shared" si="548"/>
        <v>-110.60599999999998</v>
      </c>
      <c r="H4579" s="3">
        <f t="shared" si="549"/>
        <v>110.60599999999998</v>
      </c>
      <c r="I4579" s="5" t="str">
        <f t="shared" si="550"/>
        <v>018</v>
      </c>
      <c r="J4579" s="5" t="str">
        <f t="shared" si="551"/>
        <v>2220</v>
      </c>
      <c r="K4579" s="5" t="str">
        <f t="shared" si="552"/>
        <v>000</v>
      </c>
      <c r="L4579" s="5">
        <f t="shared" si="553"/>
        <v>11</v>
      </c>
      <c r="M4579" s="5">
        <f t="shared" si="554"/>
        <v>2012</v>
      </c>
    </row>
    <row r="4580" spans="1:13" ht="15" x14ac:dyDescent="0.25">
      <c r="A4580" s="1">
        <f>DATE(2012,11,15)</f>
        <v>41228</v>
      </c>
      <c r="B4580" t="s">
        <v>22</v>
      </c>
      <c r="C4580" t="s">
        <v>10</v>
      </c>
      <c r="D4580" s="3">
        <v>71.213999999999999</v>
      </c>
      <c r="E4580" s="3">
        <v>0</v>
      </c>
      <c r="F4580" t="s">
        <v>45</v>
      </c>
      <c r="G4580" s="3">
        <f t="shared" si="548"/>
        <v>-71.213999999999999</v>
      </c>
      <c r="H4580" s="3">
        <f t="shared" si="549"/>
        <v>71.213999999999999</v>
      </c>
      <c r="I4580" s="5" t="str">
        <f t="shared" si="550"/>
        <v>018</v>
      </c>
      <c r="J4580" s="5" t="str">
        <f t="shared" si="551"/>
        <v>2230</v>
      </c>
      <c r="K4580" s="5" t="str">
        <f t="shared" si="552"/>
        <v>000</v>
      </c>
      <c r="L4580" s="5">
        <f t="shared" si="553"/>
        <v>11</v>
      </c>
      <c r="M4580" s="5">
        <f t="shared" si="554"/>
        <v>2012</v>
      </c>
    </row>
    <row r="4581" spans="1:13" ht="15" x14ac:dyDescent="0.25">
      <c r="A4581" s="1">
        <f>DATE(2012,11,16)</f>
        <v>41229</v>
      </c>
      <c r="B4581" t="s">
        <v>19</v>
      </c>
      <c r="C4581" t="s">
        <v>6</v>
      </c>
      <c r="D4581" s="3">
        <v>11102.3055</v>
      </c>
      <c r="E4581" s="3">
        <v>0</v>
      </c>
      <c r="F4581" t="s">
        <v>45</v>
      </c>
      <c r="G4581" s="3">
        <f t="shared" si="548"/>
        <v>-11102.3055</v>
      </c>
      <c r="H4581" s="3">
        <f t="shared" si="549"/>
        <v>11102.3055</v>
      </c>
      <c r="I4581" s="5" t="str">
        <f t="shared" si="550"/>
        <v>018</v>
      </c>
      <c r="J4581" s="5" t="str">
        <f t="shared" si="551"/>
        <v>2100</v>
      </c>
      <c r="K4581" s="5" t="str">
        <f t="shared" si="552"/>
        <v>000</v>
      </c>
      <c r="L4581" s="5">
        <f t="shared" si="553"/>
        <v>11</v>
      </c>
      <c r="M4581" s="5">
        <f t="shared" si="554"/>
        <v>2012</v>
      </c>
    </row>
    <row r="4582" spans="1:13" ht="15" x14ac:dyDescent="0.25">
      <c r="A4582" s="1">
        <f>DATE(2012,11,16)</f>
        <v>41229</v>
      </c>
      <c r="B4582" t="s">
        <v>20</v>
      </c>
      <c r="C4582" t="s">
        <v>8</v>
      </c>
      <c r="D4582" s="3">
        <v>2519.0549999999998</v>
      </c>
      <c r="E4582" s="3">
        <v>0</v>
      </c>
      <c r="F4582" t="s">
        <v>45</v>
      </c>
      <c r="G4582" s="3">
        <f t="shared" si="548"/>
        <v>-2519.0549999999998</v>
      </c>
      <c r="H4582" s="3">
        <f t="shared" si="549"/>
        <v>2519.0549999999998</v>
      </c>
      <c r="I4582" s="5" t="str">
        <f t="shared" si="550"/>
        <v>018</v>
      </c>
      <c r="J4582" s="5" t="str">
        <f t="shared" si="551"/>
        <v>2210</v>
      </c>
      <c r="K4582" s="5" t="str">
        <f t="shared" si="552"/>
        <v>000</v>
      </c>
      <c r="L4582" s="5">
        <f t="shared" si="553"/>
        <v>11</v>
      </c>
      <c r="M4582" s="5">
        <f t="shared" si="554"/>
        <v>2012</v>
      </c>
    </row>
    <row r="4583" spans="1:13" ht="15" x14ac:dyDescent="0.25">
      <c r="A4583" s="1">
        <f>DATE(2012,11,16)</f>
        <v>41229</v>
      </c>
      <c r="B4583" t="s">
        <v>21</v>
      </c>
      <c r="C4583" t="s">
        <v>9</v>
      </c>
      <c r="D4583" s="3">
        <v>649.93500000000006</v>
      </c>
      <c r="E4583" s="3">
        <v>0</v>
      </c>
      <c r="F4583" t="s">
        <v>45</v>
      </c>
      <c r="G4583" s="3">
        <f t="shared" si="548"/>
        <v>-649.93500000000006</v>
      </c>
      <c r="H4583" s="3">
        <f t="shared" si="549"/>
        <v>649.93500000000006</v>
      </c>
      <c r="I4583" s="5" t="str">
        <f t="shared" si="550"/>
        <v>018</v>
      </c>
      <c r="J4583" s="5" t="str">
        <f t="shared" si="551"/>
        <v>2220</v>
      </c>
      <c r="K4583" s="5" t="str">
        <f t="shared" si="552"/>
        <v>000</v>
      </c>
      <c r="L4583" s="5">
        <f t="shared" si="553"/>
        <v>11</v>
      </c>
      <c r="M4583" s="5">
        <f t="shared" si="554"/>
        <v>2012</v>
      </c>
    </row>
    <row r="4584" spans="1:13" ht="15" x14ac:dyDescent="0.25">
      <c r="A4584" s="1">
        <f>DATE(2012,11,16)</f>
        <v>41229</v>
      </c>
      <c r="B4584" t="s">
        <v>22</v>
      </c>
      <c r="C4584" t="s">
        <v>10</v>
      </c>
      <c r="D4584" s="3">
        <v>124.992</v>
      </c>
      <c r="E4584" s="3">
        <v>0</v>
      </c>
      <c r="F4584" t="s">
        <v>45</v>
      </c>
      <c r="G4584" s="3">
        <f t="shared" si="548"/>
        <v>-124.992</v>
      </c>
      <c r="H4584" s="3">
        <f t="shared" si="549"/>
        <v>124.992</v>
      </c>
      <c r="I4584" s="5" t="str">
        <f t="shared" si="550"/>
        <v>018</v>
      </c>
      <c r="J4584" s="5" t="str">
        <f t="shared" si="551"/>
        <v>2230</v>
      </c>
      <c r="K4584" s="5" t="str">
        <f t="shared" si="552"/>
        <v>000</v>
      </c>
      <c r="L4584" s="5">
        <f t="shared" si="553"/>
        <v>11</v>
      </c>
      <c r="M4584" s="5">
        <f t="shared" si="554"/>
        <v>2012</v>
      </c>
    </row>
    <row r="4585" spans="1:13" ht="15" x14ac:dyDescent="0.25">
      <c r="A4585" s="1">
        <f>DATE(2012,11,17)</f>
        <v>41230</v>
      </c>
      <c r="B4585" t="s">
        <v>19</v>
      </c>
      <c r="C4585" t="s">
        <v>6</v>
      </c>
      <c r="D4585" s="3">
        <v>17340.626499999998</v>
      </c>
      <c r="E4585" s="3">
        <v>0</v>
      </c>
      <c r="F4585" t="s">
        <v>45</v>
      </c>
      <c r="G4585" s="3">
        <f t="shared" si="548"/>
        <v>-17340.626499999998</v>
      </c>
      <c r="H4585" s="3">
        <f t="shared" si="549"/>
        <v>17340.626499999998</v>
      </c>
      <c r="I4585" s="5" t="str">
        <f t="shared" si="550"/>
        <v>018</v>
      </c>
      <c r="J4585" s="5" t="str">
        <f t="shared" si="551"/>
        <v>2100</v>
      </c>
      <c r="K4585" s="5" t="str">
        <f t="shared" si="552"/>
        <v>000</v>
      </c>
      <c r="L4585" s="5">
        <f t="shared" si="553"/>
        <v>11</v>
      </c>
      <c r="M4585" s="5">
        <f t="shared" si="554"/>
        <v>2012</v>
      </c>
    </row>
    <row r="4586" spans="1:13" ht="15" x14ac:dyDescent="0.25">
      <c r="A4586" s="1">
        <f>DATE(2012,11,17)</f>
        <v>41230</v>
      </c>
      <c r="B4586" t="s">
        <v>20</v>
      </c>
      <c r="C4586" t="s">
        <v>8</v>
      </c>
      <c r="D4586" s="3">
        <v>4246.6849999999995</v>
      </c>
      <c r="E4586" s="3">
        <v>0</v>
      </c>
      <c r="F4586" t="s">
        <v>45</v>
      </c>
      <c r="G4586" s="3">
        <f t="shared" si="548"/>
        <v>-4246.6849999999995</v>
      </c>
      <c r="H4586" s="3">
        <f t="shared" si="549"/>
        <v>4246.6849999999995</v>
      </c>
      <c r="I4586" s="5" t="str">
        <f t="shared" si="550"/>
        <v>018</v>
      </c>
      <c r="J4586" s="5" t="str">
        <f t="shared" si="551"/>
        <v>2210</v>
      </c>
      <c r="K4586" s="5" t="str">
        <f t="shared" si="552"/>
        <v>000</v>
      </c>
      <c r="L4586" s="5">
        <f t="shared" si="553"/>
        <v>11</v>
      </c>
      <c r="M4586" s="5">
        <f t="shared" si="554"/>
        <v>2012</v>
      </c>
    </row>
    <row r="4587" spans="1:13" ht="15" x14ac:dyDescent="0.25">
      <c r="A4587" s="1">
        <f>DATE(2012,11,17)</f>
        <v>41230</v>
      </c>
      <c r="B4587" t="s">
        <v>21</v>
      </c>
      <c r="C4587" t="s">
        <v>9</v>
      </c>
      <c r="D4587" s="3">
        <v>645.71399999999994</v>
      </c>
      <c r="E4587" s="3">
        <v>0</v>
      </c>
      <c r="F4587" t="s">
        <v>45</v>
      </c>
      <c r="G4587" s="3">
        <f t="shared" si="548"/>
        <v>-645.71399999999994</v>
      </c>
      <c r="H4587" s="3">
        <f t="shared" si="549"/>
        <v>645.71399999999994</v>
      </c>
      <c r="I4587" s="5" t="str">
        <f t="shared" si="550"/>
        <v>018</v>
      </c>
      <c r="J4587" s="5" t="str">
        <f t="shared" si="551"/>
        <v>2220</v>
      </c>
      <c r="K4587" s="5" t="str">
        <f t="shared" si="552"/>
        <v>000</v>
      </c>
      <c r="L4587" s="5">
        <f t="shared" si="553"/>
        <v>11</v>
      </c>
      <c r="M4587" s="5">
        <f t="shared" si="554"/>
        <v>2012</v>
      </c>
    </row>
    <row r="4588" spans="1:13" ht="15" x14ac:dyDescent="0.25">
      <c r="A4588" s="1">
        <f>DATE(2012,11,17)</f>
        <v>41230</v>
      </c>
      <c r="B4588" t="s">
        <v>22</v>
      </c>
      <c r="C4588" t="s">
        <v>10</v>
      </c>
      <c r="D4588" s="3">
        <v>160.29100000000003</v>
      </c>
      <c r="E4588" s="3">
        <v>0</v>
      </c>
      <c r="F4588" t="s">
        <v>45</v>
      </c>
      <c r="G4588" s="3">
        <f t="shared" si="548"/>
        <v>-160.29100000000003</v>
      </c>
      <c r="H4588" s="3">
        <f t="shared" si="549"/>
        <v>160.29100000000003</v>
      </c>
      <c r="I4588" s="5" t="str">
        <f t="shared" si="550"/>
        <v>018</v>
      </c>
      <c r="J4588" s="5" t="str">
        <f t="shared" si="551"/>
        <v>2230</v>
      </c>
      <c r="K4588" s="5" t="str">
        <f t="shared" si="552"/>
        <v>000</v>
      </c>
      <c r="L4588" s="5">
        <f t="shared" si="553"/>
        <v>11</v>
      </c>
      <c r="M4588" s="5">
        <f t="shared" si="554"/>
        <v>2012</v>
      </c>
    </row>
    <row r="4589" spans="1:13" ht="15" x14ac:dyDescent="0.25">
      <c r="A4589" s="1">
        <f>DATE(2012,11,18)</f>
        <v>41231</v>
      </c>
      <c r="B4589" t="s">
        <v>19</v>
      </c>
      <c r="C4589" t="s">
        <v>6</v>
      </c>
      <c r="D4589" s="3">
        <v>8181.8064000000004</v>
      </c>
      <c r="E4589" s="3">
        <v>0</v>
      </c>
      <c r="F4589" t="s">
        <v>45</v>
      </c>
      <c r="G4589" s="3">
        <f t="shared" si="548"/>
        <v>-8181.8064000000004</v>
      </c>
      <c r="H4589" s="3">
        <f t="shared" si="549"/>
        <v>8181.8064000000004</v>
      </c>
      <c r="I4589" s="5" t="str">
        <f t="shared" si="550"/>
        <v>018</v>
      </c>
      <c r="J4589" s="5" t="str">
        <f t="shared" si="551"/>
        <v>2100</v>
      </c>
      <c r="K4589" s="5" t="str">
        <f t="shared" si="552"/>
        <v>000</v>
      </c>
      <c r="L4589" s="5">
        <f t="shared" si="553"/>
        <v>11</v>
      </c>
      <c r="M4589" s="5">
        <f t="shared" si="554"/>
        <v>2012</v>
      </c>
    </row>
    <row r="4590" spans="1:13" ht="15" x14ac:dyDescent="0.25">
      <c r="A4590" s="1">
        <f>DATE(2012,11,18)</f>
        <v>41231</v>
      </c>
      <c r="B4590" t="s">
        <v>20</v>
      </c>
      <c r="C4590" t="s">
        <v>8</v>
      </c>
      <c r="D4590" s="3">
        <v>812.73500000000013</v>
      </c>
      <c r="E4590" s="3">
        <v>0</v>
      </c>
      <c r="F4590" t="s">
        <v>45</v>
      </c>
      <c r="G4590" s="3">
        <f t="shared" si="548"/>
        <v>-812.73500000000013</v>
      </c>
      <c r="H4590" s="3">
        <f t="shared" si="549"/>
        <v>812.73500000000013</v>
      </c>
      <c r="I4590" s="5" t="str">
        <f t="shared" si="550"/>
        <v>018</v>
      </c>
      <c r="J4590" s="5" t="str">
        <f t="shared" si="551"/>
        <v>2210</v>
      </c>
      <c r="K4590" s="5" t="str">
        <f t="shared" si="552"/>
        <v>000</v>
      </c>
      <c r="L4590" s="5">
        <f t="shared" si="553"/>
        <v>11</v>
      </c>
      <c r="M4590" s="5">
        <f t="shared" si="554"/>
        <v>2012</v>
      </c>
    </row>
    <row r="4591" spans="1:13" ht="15" x14ac:dyDescent="0.25">
      <c r="A4591" s="1">
        <f>DATE(2012,11,18)</f>
        <v>41231</v>
      </c>
      <c r="B4591" t="s">
        <v>21</v>
      </c>
      <c r="C4591" t="s">
        <v>9</v>
      </c>
      <c r="D4591" s="3">
        <v>185.12550000000002</v>
      </c>
      <c r="E4591" s="3">
        <v>0</v>
      </c>
      <c r="F4591" t="s">
        <v>45</v>
      </c>
      <c r="G4591" s="3">
        <f t="shared" si="548"/>
        <v>-185.12550000000002</v>
      </c>
      <c r="H4591" s="3">
        <f t="shared" si="549"/>
        <v>185.12550000000002</v>
      </c>
      <c r="I4591" s="5" t="str">
        <f t="shared" si="550"/>
        <v>018</v>
      </c>
      <c r="J4591" s="5" t="str">
        <f t="shared" si="551"/>
        <v>2220</v>
      </c>
      <c r="K4591" s="5" t="str">
        <f t="shared" si="552"/>
        <v>000</v>
      </c>
      <c r="L4591" s="5">
        <f t="shared" si="553"/>
        <v>11</v>
      </c>
      <c r="M4591" s="5">
        <f t="shared" si="554"/>
        <v>2012</v>
      </c>
    </row>
    <row r="4592" spans="1:13" ht="15" x14ac:dyDescent="0.25">
      <c r="A4592" s="1">
        <f>DATE(2012,11,18)</f>
        <v>41231</v>
      </c>
      <c r="B4592" t="s">
        <v>22</v>
      </c>
      <c r="C4592" t="s">
        <v>10</v>
      </c>
      <c r="D4592" s="3">
        <v>58.704999999999998</v>
      </c>
      <c r="E4592" s="3">
        <v>0</v>
      </c>
      <c r="F4592" t="s">
        <v>45</v>
      </c>
      <c r="G4592" s="3">
        <f t="shared" si="548"/>
        <v>-58.704999999999998</v>
      </c>
      <c r="H4592" s="3">
        <f t="shared" si="549"/>
        <v>58.704999999999998</v>
      </c>
      <c r="I4592" s="5" t="str">
        <f t="shared" si="550"/>
        <v>018</v>
      </c>
      <c r="J4592" s="5" t="str">
        <f t="shared" si="551"/>
        <v>2230</v>
      </c>
      <c r="K4592" s="5" t="str">
        <f t="shared" si="552"/>
        <v>000</v>
      </c>
      <c r="L4592" s="5">
        <f t="shared" si="553"/>
        <v>11</v>
      </c>
      <c r="M4592" s="5">
        <f t="shared" si="554"/>
        <v>2012</v>
      </c>
    </row>
    <row r="4593" spans="1:13" ht="15" x14ac:dyDescent="0.25">
      <c r="A4593" s="1">
        <f>DATE(2012,11,19)</f>
        <v>41232</v>
      </c>
      <c r="B4593" t="s">
        <v>11</v>
      </c>
      <c r="C4593" t="s">
        <v>6</v>
      </c>
      <c r="D4593" s="3">
        <v>2270.7047999999995</v>
      </c>
      <c r="E4593" s="3">
        <v>0</v>
      </c>
      <c r="F4593" t="s">
        <v>45</v>
      </c>
      <c r="G4593" s="3">
        <f t="shared" si="548"/>
        <v>-2270.7047999999995</v>
      </c>
      <c r="H4593" s="3">
        <f t="shared" si="549"/>
        <v>2270.7047999999995</v>
      </c>
      <c r="I4593" s="5" t="str">
        <f t="shared" si="550"/>
        <v>016</v>
      </c>
      <c r="J4593" s="5" t="str">
        <f t="shared" si="551"/>
        <v>2100</v>
      </c>
      <c r="K4593" s="5" t="str">
        <f t="shared" si="552"/>
        <v>000</v>
      </c>
      <c r="L4593" s="5">
        <f t="shared" si="553"/>
        <v>11</v>
      </c>
      <c r="M4593" s="5">
        <f t="shared" si="554"/>
        <v>2012</v>
      </c>
    </row>
    <row r="4594" spans="1:13" ht="15" x14ac:dyDescent="0.25">
      <c r="A4594" s="1">
        <f>DATE(2012,11,19)</f>
        <v>41232</v>
      </c>
      <c r="B4594" t="s">
        <v>12</v>
      </c>
      <c r="C4594" t="s">
        <v>8</v>
      </c>
      <c r="D4594" s="3">
        <v>450.00839999999999</v>
      </c>
      <c r="E4594" s="3">
        <v>0</v>
      </c>
      <c r="F4594" t="s">
        <v>45</v>
      </c>
      <c r="G4594" s="3">
        <f t="shared" si="548"/>
        <v>-450.00839999999999</v>
      </c>
      <c r="H4594" s="3">
        <f t="shared" si="549"/>
        <v>450.00839999999999</v>
      </c>
      <c r="I4594" s="5" t="str">
        <f t="shared" si="550"/>
        <v>016</v>
      </c>
      <c r="J4594" s="5" t="str">
        <f t="shared" si="551"/>
        <v>2210</v>
      </c>
      <c r="K4594" s="5" t="str">
        <f t="shared" si="552"/>
        <v>000</v>
      </c>
      <c r="L4594" s="5">
        <f t="shared" si="553"/>
        <v>11</v>
      </c>
      <c r="M4594" s="5">
        <f t="shared" si="554"/>
        <v>2012</v>
      </c>
    </row>
    <row r="4595" spans="1:13" ht="15" x14ac:dyDescent="0.25">
      <c r="A4595" s="1">
        <f>DATE(2012,11,19)</f>
        <v>41232</v>
      </c>
      <c r="B4595" t="s">
        <v>13</v>
      </c>
      <c r="C4595" t="s">
        <v>9</v>
      </c>
      <c r="D4595" s="3">
        <v>67.694800000000001</v>
      </c>
      <c r="E4595" s="3">
        <v>0</v>
      </c>
      <c r="F4595" t="s">
        <v>45</v>
      </c>
      <c r="G4595" s="3">
        <f t="shared" si="548"/>
        <v>-67.694800000000001</v>
      </c>
      <c r="H4595" s="3">
        <f t="shared" si="549"/>
        <v>67.694800000000001</v>
      </c>
      <c r="I4595" s="5" t="str">
        <f t="shared" si="550"/>
        <v>016</v>
      </c>
      <c r="J4595" s="5" t="str">
        <f t="shared" si="551"/>
        <v>2220</v>
      </c>
      <c r="K4595" s="5" t="str">
        <f t="shared" si="552"/>
        <v>000</v>
      </c>
      <c r="L4595" s="5">
        <f t="shared" si="553"/>
        <v>11</v>
      </c>
      <c r="M4595" s="5">
        <f t="shared" si="554"/>
        <v>2012</v>
      </c>
    </row>
    <row r="4596" spans="1:13" ht="15" x14ac:dyDescent="0.25">
      <c r="A4596" s="1">
        <f>DATE(2012,11,19)</f>
        <v>41232</v>
      </c>
      <c r="B4596" t="s">
        <v>14</v>
      </c>
      <c r="C4596" t="s">
        <v>10</v>
      </c>
      <c r="D4596" s="3">
        <v>31.006799999999998</v>
      </c>
      <c r="E4596" s="3">
        <v>0</v>
      </c>
      <c r="F4596" t="s">
        <v>45</v>
      </c>
      <c r="G4596" s="3">
        <f t="shared" si="548"/>
        <v>-31.006799999999998</v>
      </c>
      <c r="H4596" s="3">
        <f t="shared" si="549"/>
        <v>31.006799999999998</v>
      </c>
      <c r="I4596" s="5" t="str">
        <f t="shared" si="550"/>
        <v>016</v>
      </c>
      <c r="J4596" s="5" t="str">
        <f t="shared" si="551"/>
        <v>2230</v>
      </c>
      <c r="K4596" s="5" t="str">
        <f t="shared" si="552"/>
        <v>000</v>
      </c>
      <c r="L4596" s="5">
        <f t="shared" si="553"/>
        <v>11</v>
      </c>
      <c r="M4596" s="5">
        <f t="shared" si="554"/>
        <v>2012</v>
      </c>
    </row>
    <row r="4597" spans="1:13" ht="15" x14ac:dyDescent="0.25">
      <c r="A4597" s="1">
        <f>DATE(2012,11,20)</f>
        <v>41233</v>
      </c>
      <c r="B4597" t="s">
        <v>11</v>
      </c>
      <c r="C4597" t="s">
        <v>6</v>
      </c>
      <c r="D4597" s="3">
        <v>5046.3140000000003</v>
      </c>
      <c r="E4597" s="3">
        <v>0</v>
      </c>
      <c r="F4597" t="s">
        <v>45</v>
      </c>
      <c r="G4597" s="3">
        <f t="shared" si="548"/>
        <v>-5046.3140000000003</v>
      </c>
      <c r="H4597" s="3">
        <f t="shared" si="549"/>
        <v>5046.3140000000003</v>
      </c>
      <c r="I4597" s="5" t="str">
        <f t="shared" si="550"/>
        <v>016</v>
      </c>
      <c r="J4597" s="5" t="str">
        <f t="shared" si="551"/>
        <v>2100</v>
      </c>
      <c r="K4597" s="5" t="str">
        <f t="shared" si="552"/>
        <v>000</v>
      </c>
      <c r="L4597" s="5">
        <f t="shared" si="553"/>
        <v>11</v>
      </c>
      <c r="M4597" s="5">
        <f t="shared" si="554"/>
        <v>2012</v>
      </c>
    </row>
    <row r="4598" spans="1:13" ht="15" x14ac:dyDescent="0.25">
      <c r="A4598" s="1">
        <f>DATE(2012,11,20)</f>
        <v>41233</v>
      </c>
      <c r="B4598" t="s">
        <v>12</v>
      </c>
      <c r="C4598" t="s">
        <v>8</v>
      </c>
      <c r="D4598" s="3">
        <v>2557.4070000000002</v>
      </c>
      <c r="E4598" s="3">
        <v>0</v>
      </c>
      <c r="F4598" t="s">
        <v>45</v>
      </c>
      <c r="G4598" s="3">
        <f t="shared" si="548"/>
        <v>-2557.4070000000002</v>
      </c>
      <c r="H4598" s="3">
        <f t="shared" si="549"/>
        <v>2557.4070000000002</v>
      </c>
      <c r="I4598" s="5" t="str">
        <f t="shared" si="550"/>
        <v>016</v>
      </c>
      <c r="J4598" s="5" t="str">
        <f t="shared" si="551"/>
        <v>2210</v>
      </c>
      <c r="K4598" s="5" t="str">
        <f t="shared" si="552"/>
        <v>000</v>
      </c>
      <c r="L4598" s="5">
        <f t="shared" si="553"/>
        <v>11</v>
      </c>
      <c r="M4598" s="5">
        <f t="shared" si="554"/>
        <v>2012</v>
      </c>
    </row>
    <row r="4599" spans="1:13" ht="15" x14ac:dyDescent="0.25">
      <c r="A4599" s="1">
        <f>DATE(2012,11,20)</f>
        <v>41233</v>
      </c>
      <c r="B4599" t="s">
        <v>13</v>
      </c>
      <c r="C4599" t="s">
        <v>9</v>
      </c>
      <c r="D4599" s="3">
        <v>460.67079999999999</v>
      </c>
      <c r="E4599" s="3">
        <v>0</v>
      </c>
      <c r="F4599" t="s">
        <v>45</v>
      </c>
      <c r="G4599" s="3">
        <f t="shared" si="548"/>
        <v>-460.67079999999999</v>
      </c>
      <c r="H4599" s="3">
        <f t="shared" si="549"/>
        <v>460.67079999999999</v>
      </c>
      <c r="I4599" s="5" t="str">
        <f t="shared" si="550"/>
        <v>016</v>
      </c>
      <c r="J4599" s="5" t="str">
        <f t="shared" si="551"/>
        <v>2220</v>
      </c>
      <c r="K4599" s="5" t="str">
        <f t="shared" si="552"/>
        <v>000</v>
      </c>
      <c r="L4599" s="5">
        <f t="shared" si="553"/>
        <v>11</v>
      </c>
      <c r="M4599" s="5">
        <f t="shared" si="554"/>
        <v>2012</v>
      </c>
    </row>
    <row r="4600" spans="1:13" ht="15" x14ac:dyDescent="0.25">
      <c r="A4600" s="1">
        <f>DATE(2012,11,20)</f>
        <v>41233</v>
      </c>
      <c r="B4600" t="s">
        <v>14</v>
      </c>
      <c r="C4600" t="s">
        <v>10</v>
      </c>
      <c r="D4600" s="3">
        <v>119.17960000000001</v>
      </c>
      <c r="E4600" s="3">
        <v>0</v>
      </c>
      <c r="F4600" t="s">
        <v>45</v>
      </c>
      <c r="G4600" s="3">
        <f t="shared" si="548"/>
        <v>-119.17960000000001</v>
      </c>
      <c r="H4600" s="3">
        <f t="shared" si="549"/>
        <v>119.17960000000001</v>
      </c>
      <c r="I4600" s="5" t="str">
        <f t="shared" si="550"/>
        <v>016</v>
      </c>
      <c r="J4600" s="5" t="str">
        <f t="shared" si="551"/>
        <v>2230</v>
      </c>
      <c r="K4600" s="5" t="str">
        <f t="shared" si="552"/>
        <v>000</v>
      </c>
      <c r="L4600" s="5">
        <f t="shared" si="553"/>
        <v>11</v>
      </c>
      <c r="M4600" s="5">
        <f t="shared" si="554"/>
        <v>2012</v>
      </c>
    </row>
    <row r="4601" spans="1:13" ht="15" x14ac:dyDescent="0.25">
      <c r="A4601" s="1">
        <f>DATE(2012,11,21)</f>
        <v>41234</v>
      </c>
      <c r="B4601" t="s">
        <v>11</v>
      </c>
      <c r="C4601" t="s">
        <v>6</v>
      </c>
      <c r="D4601" s="3">
        <v>3334.8723999999997</v>
      </c>
      <c r="E4601" s="3">
        <v>0</v>
      </c>
      <c r="F4601" t="s">
        <v>45</v>
      </c>
      <c r="G4601" s="3">
        <f t="shared" si="548"/>
        <v>-3334.8723999999997</v>
      </c>
      <c r="H4601" s="3">
        <f t="shared" si="549"/>
        <v>3334.8723999999997</v>
      </c>
      <c r="I4601" s="5" t="str">
        <f t="shared" si="550"/>
        <v>016</v>
      </c>
      <c r="J4601" s="5" t="str">
        <f t="shared" si="551"/>
        <v>2100</v>
      </c>
      <c r="K4601" s="5" t="str">
        <f t="shared" si="552"/>
        <v>000</v>
      </c>
      <c r="L4601" s="5">
        <f t="shared" si="553"/>
        <v>11</v>
      </c>
      <c r="M4601" s="5">
        <f t="shared" si="554"/>
        <v>2012</v>
      </c>
    </row>
    <row r="4602" spans="1:13" ht="15" x14ac:dyDescent="0.25">
      <c r="A4602" s="1">
        <f>DATE(2012,11,21)</f>
        <v>41234</v>
      </c>
      <c r="B4602" t="s">
        <v>12</v>
      </c>
      <c r="C4602" t="s">
        <v>8</v>
      </c>
      <c r="D4602" s="3">
        <v>1223.2605000000001</v>
      </c>
      <c r="E4602" s="3">
        <v>0</v>
      </c>
      <c r="F4602" t="s">
        <v>45</v>
      </c>
      <c r="G4602" s="3">
        <f t="shared" si="548"/>
        <v>-1223.2605000000001</v>
      </c>
      <c r="H4602" s="3">
        <f t="shared" si="549"/>
        <v>1223.2605000000001</v>
      </c>
      <c r="I4602" s="5" t="str">
        <f t="shared" si="550"/>
        <v>016</v>
      </c>
      <c r="J4602" s="5" t="str">
        <f t="shared" si="551"/>
        <v>2210</v>
      </c>
      <c r="K4602" s="5" t="str">
        <f t="shared" si="552"/>
        <v>000</v>
      </c>
      <c r="L4602" s="5">
        <f t="shared" si="553"/>
        <v>11</v>
      </c>
      <c r="M4602" s="5">
        <f t="shared" si="554"/>
        <v>2012</v>
      </c>
    </row>
    <row r="4603" spans="1:13" ht="15" x14ac:dyDescent="0.25">
      <c r="A4603" s="1">
        <f>DATE(2012,11,21)</f>
        <v>41234</v>
      </c>
      <c r="B4603" t="s">
        <v>13</v>
      </c>
      <c r="C4603" t="s">
        <v>9</v>
      </c>
      <c r="D4603" s="3">
        <v>211.01879999999997</v>
      </c>
      <c r="E4603" s="3">
        <v>0</v>
      </c>
      <c r="F4603" t="s">
        <v>45</v>
      </c>
      <c r="G4603" s="3">
        <f t="shared" si="548"/>
        <v>-211.01879999999997</v>
      </c>
      <c r="H4603" s="3">
        <f t="shared" si="549"/>
        <v>211.01879999999997</v>
      </c>
      <c r="I4603" s="5" t="str">
        <f t="shared" si="550"/>
        <v>016</v>
      </c>
      <c r="J4603" s="5" t="str">
        <f t="shared" si="551"/>
        <v>2220</v>
      </c>
      <c r="K4603" s="5" t="str">
        <f t="shared" si="552"/>
        <v>000</v>
      </c>
      <c r="L4603" s="5">
        <f t="shared" si="553"/>
        <v>11</v>
      </c>
      <c r="M4603" s="5">
        <f t="shared" si="554"/>
        <v>2012</v>
      </c>
    </row>
    <row r="4604" spans="1:13" ht="15" x14ac:dyDescent="0.25">
      <c r="A4604" s="1">
        <f>DATE(2012,11,21)</f>
        <v>41234</v>
      </c>
      <c r="B4604" t="s">
        <v>14</v>
      </c>
      <c r="C4604" t="s">
        <v>10</v>
      </c>
      <c r="D4604" s="3">
        <v>46.562799999999996</v>
      </c>
      <c r="E4604" s="3">
        <v>0</v>
      </c>
      <c r="F4604" t="s">
        <v>45</v>
      </c>
      <c r="G4604" s="3">
        <f t="shared" si="548"/>
        <v>-46.562799999999996</v>
      </c>
      <c r="H4604" s="3">
        <f t="shared" si="549"/>
        <v>46.562799999999996</v>
      </c>
      <c r="I4604" s="5" t="str">
        <f t="shared" si="550"/>
        <v>016</v>
      </c>
      <c r="J4604" s="5" t="str">
        <f t="shared" si="551"/>
        <v>2230</v>
      </c>
      <c r="K4604" s="5" t="str">
        <f t="shared" si="552"/>
        <v>000</v>
      </c>
      <c r="L4604" s="5">
        <f t="shared" si="553"/>
        <v>11</v>
      </c>
      <c r="M4604" s="5">
        <f t="shared" si="554"/>
        <v>2012</v>
      </c>
    </row>
    <row r="4605" spans="1:13" ht="15" x14ac:dyDescent="0.25">
      <c r="A4605" s="1">
        <f>DATE(2012,11,23)</f>
        <v>41236</v>
      </c>
      <c r="B4605" t="s">
        <v>11</v>
      </c>
      <c r="C4605" t="s">
        <v>6</v>
      </c>
      <c r="D4605" s="3">
        <v>10416.474</v>
      </c>
      <c r="E4605" s="3">
        <v>0</v>
      </c>
      <c r="F4605" t="s">
        <v>45</v>
      </c>
      <c r="G4605" s="3">
        <f t="shared" si="548"/>
        <v>-10416.474</v>
      </c>
      <c r="H4605" s="3">
        <f t="shared" si="549"/>
        <v>10416.474</v>
      </c>
      <c r="I4605" s="5" t="str">
        <f t="shared" si="550"/>
        <v>016</v>
      </c>
      <c r="J4605" s="5" t="str">
        <f t="shared" si="551"/>
        <v>2100</v>
      </c>
      <c r="K4605" s="5" t="str">
        <f t="shared" si="552"/>
        <v>000</v>
      </c>
      <c r="L4605" s="5">
        <f t="shared" si="553"/>
        <v>11</v>
      </c>
      <c r="M4605" s="5">
        <f t="shared" si="554"/>
        <v>2012</v>
      </c>
    </row>
    <row r="4606" spans="1:13" ht="15" x14ac:dyDescent="0.25">
      <c r="A4606" s="1">
        <f>DATE(2012,11,23)</f>
        <v>41236</v>
      </c>
      <c r="B4606" t="s">
        <v>12</v>
      </c>
      <c r="C4606" t="s">
        <v>8</v>
      </c>
      <c r="D4606" s="3">
        <v>3697.761</v>
      </c>
      <c r="E4606" s="3">
        <v>0</v>
      </c>
      <c r="F4606" t="s">
        <v>45</v>
      </c>
      <c r="G4606" s="3">
        <f t="shared" si="548"/>
        <v>-3697.761</v>
      </c>
      <c r="H4606" s="3">
        <f t="shared" si="549"/>
        <v>3697.761</v>
      </c>
      <c r="I4606" s="5" t="str">
        <f t="shared" si="550"/>
        <v>016</v>
      </c>
      <c r="J4606" s="5" t="str">
        <f t="shared" si="551"/>
        <v>2210</v>
      </c>
      <c r="K4606" s="5" t="str">
        <f t="shared" si="552"/>
        <v>000</v>
      </c>
      <c r="L4606" s="5">
        <f t="shared" si="553"/>
        <v>11</v>
      </c>
      <c r="M4606" s="5">
        <f t="shared" si="554"/>
        <v>2012</v>
      </c>
    </row>
    <row r="4607" spans="1:13" ht="15" x14ac:dyDescent="0.25">
      <c r="A4607" s="1">
        <f>DATE(2012,11,23)</f>
        <v>41236</v>
      </c>
      <c r="B4607" t="s">
        <v>13</v>
      </c>
      <c r="C4607" t="s">
        <v>9</v>
      </c>
      <c r="D4607" s="3">
        <v>827.64499999999998</v>
      </c>
      <c r="E4607" s="3">
        <v>0</v>
      </c>
      <c r="F4607" t="s">
        <v>45</v>
      </c>
      <c r="G4607" s="3">
        <f t="shared" si="548"/>
        <v>-827.64499999999998</v>
      </c>
      <c r="H4607" s="3">
        <f t="shared" si="549"/>
        <v>827.64499999999998</v>
      </c>
      <c r="I4607" s="5" t="str">
        <f t="shared" si="550"/>
        <v>016</v>
      </c>
      <c r="J4607" s="5" t="str">
        <f t="shared" si="551"/>
        <v>2220</v>
      </c>
      <c r="K4607" s="5" t="str">
        <f t="shared" si="552"/>
        <v>000</v>
      </c>
      <c r="L4607" s="5">
        <f t="shared" si="553"/>
        <v>11</v>
      </c>
      <c r="M4607" s="5">
        <f t="shared" si="554"/>
        <v>2012</v>
      </c>
    </row>
    <row r="4608" spans="1:13" ht="15" x14ac:dyDescent="0.25">
      <c r="A4608" s="1">
        <f>DATE(2012,11,23)</f>
        <v>41236</v>
      </c>
      <c r="B4608" t="s">
        <v>14</v>
      </c>
      <c r="C4608" t="s">
        <v>10</v>
      </c>
      <c r="D4608" s="3">
        <v>511.39759999999995</v>
      </c>
      <c r="E4608" s="3">
        <v>0</v>
      </c>
      <c r="F4608" t="s">
        <v>45</v>
      </c>
      <c r="G4608" s="3">
        <f t="shared" si="548"/>
        <v>-511.39759999999995</v>
      </c>
      <c r="H4608" s="3">
        <f t="shared" si="549"/>
        <v>511.39759999999995</v>
      </c>
      <c r="I4608" s="5" t="str">
        <f t="shared" si="550"/>
        <v>016</v>
      </c>
      <c r="J4608" s="5" t="str">
        <f t="shared" si="551"/>
        <v>2230</v>
      </c>
      <c r="K4608" s="5" t="str">
        <f t="shared" si="552"/>
        <v>000</v>
      </c>
      <c r="L4608" s="5">
        <f t="shared" si="553"/>
        <v>11</v>
      </c>
      <c r="M4608" s="5">
        <f t="shared" si="554"/>
        <v>2012</v>
      </c>
    </row>
    <row r="4609" spans="1:13" ht="15" x14ac:dyDescent="0.25">
      <c r="A4609" s="1">
        <f>DATE(2012,11,24)</f>
        <v>41237</v>
      </c>
      <c r="B4609" t="s">
        <v>11</v>
      </c>
      <c r="C4609" t="s">
        <v>6</v>
      </c>
      <c r="D4609" s="3">
        <v>9335.5253999999986</v>
      </c>
      <c r="E4609" s="3">
        <v>0</v>
      </c>
      <c r="F4609" t="s">
        <v>45</v>
      </c>
      <c r="G4609" s="3">
        <f t="shared" si="548"/>
        <v>-9335.5253999999986</v>
      </c>
      <c r="H4609" s="3">
        <f t="shared" si="549"/>
        <v>9335.5253999999986</v>
      </c>
      <c r="I4609" s="5" t="str">
        <f t="shared" si="550"/>
        <v>016</v>
      </c>
      <c r="J4609" s="5" t="str">
        <f t="shared" si="551"/>
        <v>2100</v>
      </c>
      <c r="K4609" s="5" t="str">
        <f t="shared" si="552"/>
        <v>000</v>
      </c>
      <c r="L4609" s="5">
        <f t="shared" si="553"/>
        <v>11</v>
      </c>
      <c r="M4609" s="5">
        <f t="shared" si="554"/>
        <v>2012</v>
      </c>
    </row>
    <row r="4610" spans="1:13" ht="15" x14ac:dyDescent="0.25">
      <c r="A4610" s="1">
        <f>DATE(2012,11,24)</f>
        <v>41237</v>
      </c>
      <c r="B4610" t="s">
        <v>12</v>
      </c>
      <c r="C4610" t="s">
        <v>8</v>
      </c>
      <c r="D4610" s="3">
        <v>1584.1456000000001</v>
      </c>
      <c r="E4610" s="3">
        <v>0</v>
      </c>
      <c r="F4610" t="s">
        <v>45</v>
      </c>
      <c r="G4610" s="3">
        <f t="shared" ref="G4610:G4673" si="555">E4610-D4610</f>
        <v>-1584.1456000000001</v>
      </c>
      <c r="H4610" s="3">
        <f t="shared" ref="H4610:H4673" si="556">ABS(G4610)</f>
        <v>1584.1456000000001</v>
      </c>
      <c r="I4610" s="5" t="str">
        <f t="shared" ref="I4610:I4673" si="557">MID(B4610,1,3)</f>
        <v>016</v>
      </c>
      <c r="J4610" s="5" t="str">
        <f t="shared" ref="J4610:J4673" si="558">MID(B4610,5,4)</f>
        <v>2210</v>
      </c>
      <c r="K4610" s="5" t="str">
        <f t="shared" ref="K4610:K4673" si="559">MID(B4610,10,3)</f>
        <v>000</v>
      </c>
      <c r="L4610" s="5">
        <f t="shared" ref="L4610:L4673" si="560">MONTH(A4610)</f>
        <v>11</v>
      </c>
      <c r="M4610" s="5">
        <f t="shared" ref="M4610:M4673" si="561">YEAR(A4610)</f>
        <v>2012</v>
      </c>
    </row>
    <row r="4611" spans="1:13" ht="15" x14ac:dyDescent="0.25">
      <c r="A4611" s="1">
        <f>DATE(2012,11,24)</f>
        <v>41237</v>
      </c>
      <c r="B4611" t="s">
        <v>13</v>
      </c>
      <c r="C4611" t="s">
        <v>9</v>
      </c>
      <c r="D4611" s="3">
        <v>385.7176</v>
      </c>
      <c r="E4611" s="3">
        <v>0</v>
      </c>
      <c r="F4611" t="s">
        <v>45</v>
      </c>
      <c r="G4611" s="3">
        <f t="shared" si="555"/>
        <v>-385.7176</v>
      </c>
      <c r="H4611" s="3">
        <f t="shared" si="556"/>
        <v>385.7176</v>
      </c>
      <c r="I4611" s="5" t="str">
        <f t="shared" si="557"/>
        <v>016</v>
      </c>
      <c r="J4611" s="5" t="str">
        <f t="shared" si="558"/>
        <v>2220</v>
      </c>
      <c r="K4611" s="5" t="str">
        <f t="shared" si="559"/>
        <v>000</v>
      </c>
      <c r="L4611" s="5">
        <f t="shared" si="560"/>
        <v>11</v>
      </c>
      <c r="M4611" s="5">
        <f t="shared" si="561"/>
        <v>2012</v>
      </c>
    </row>
    <row r="4612" spans="1:13" ht="15" x14ac:dyDescent="0.25">
      <c r="A4612" s="1">
        <f>DATE(2012,11,24)</f>
        <v>41237</v>
      </c>
      <c r="B4612" t="s">
        <v>14</v>
      </c>
      <c r="C4612" t="s">
        <v>10</v>
      </c>
      <c r="D4612" s="3">
        <v>236.56319999999999</v>
      </c>
      <c r="E4612" s="3">
        <v>0</v>
      </c>
      <c r="F4612" t="s">
        <v>45</v>
      </c>
      <c r="G4612" s="3">
        <f t="shared" si="555"/>
        <v>-236.56319999999999</v>
      </c>
      <c r="H4612" s="3">
        <f t="shared" si="556"/>
        <v>236.56319999999999</v>
      </c>
      <c r="I4612" s="5" t="str">
        <f t="shared" si="557"/>
        <v>016</v>
      </c>
      <c r="J4612" s="5" t="str">
        <f t="shared" si="558"/>
        <v>2230</v>
      </c>
      <c r="K4612" s="5" t="str">
        <f t="shared" si="559"/>
        <v>000</v>
      </c>
      <c r="L4612" s="5">
        <f t="shared" si="560"/>
        <v>11</v>
      </c>
      <c r="M4612" s="5">
        <f t="shared" si="561"/>
        <v>2012</v>
      </c>
    </row>
    <row r="4613" spans="1:13" ht="15" x14ac:dyDescent="0.25">
      <c r="A4613" s="1">
        <f>DATE(2012,11,25)</f>
        <v>41238</v>
      </c>
      <c r="B4613" t="s">
        <v>11</v>
      </c>
      <c r="C4613" t="s">
        <v>6</v>
      </c>
      <c r="D4613" s="3">
        <v>5074.9650000000001</v>
      </c>
      <c r="E4613" s="3">
        <v>0</v>
      </c>
      <c r="F4613" t="s">
        <v>45</v>
      </c>
      <c r="G4613" s="3">
        <f t="shared" si="555"/>
        <v>-5074.9650000000001</v>
      </c>
      <c r="H4613" s="3">
        <f t="shared" si="556"/>
        <v>5074.9650000000001</v>
      </c>
      <c r="I4613" s="5" t="str">
        <f t="shared" si="557"/>
        <v>016</v>
      </c>
      <c r="J4613" s="5" t="str">
        <f t="shared" si="558"/>
        <v>2100</v>
      </c>
      <c r="K4613" s="5" t="str">
        <f t="shared" si="559"/>
        <v>000</v>
      </c>
      <c r="L4613" s="5">
        <f t="shared" si="560"/>
        <v>11</v>
      </c>
      <c r="M4613" s="5">
        <f t="shared" si="561"/>
        <v>2012</v>
      </c>
    </row>
    <row r="4614" spans="1:13" ht="15" x14ac:dyDescent="0.25">
      <c r="A4614" s="1">
        <f>DATE(2012,11,25)</f>
        <v>41238</v>
      </c>
      <c r="B4614" t="s">
        <v>12</v>
      </c>
      <c r="C4614" t="s">
        <v>8</v>
      </c>
      <c r="D4614" s="3">
        <v>1063.9423999999999</v>
      </c>
      <c r="E4614" s="3">
        <v>0</v>
      </c>
      <c r="F4614" t="s">
        <v>45</v>
      </c>
      <c r="G4614" s="3">
        <f t="shared" si="555"/>
        <v>-1063.9423999999999</v>
      </c>
      <c r="H4614" s="3">
        <f t="shared" si="556"/>
        <v>1063.9423999999999</v>
      </c>
      <c r="I4614" s="5" t="str">
        <f t="shared" si="557"/>
        <v>016</v>
      </c>
      <c r="J4614" s="5" t="str">
        <f t="shared" si="558"/>
        <v>2210</v>
      </c>
      <c r="K4614" s="5" t="str">
        <f t="shared" si="559"/>
        <v>000</v>
      </c>
      <c r="L4614" s="5">
        <f t="shared" si="560"/>
        <v>11</v>
      </c>
      <c r="M4614" s="5">
        <f t="shared" si="561"/>
        <v>2012</v>
      </c>
    </row>
    <row r="4615" spans="1:13" ht="15" x14ac:dyDescent="0.25">
      <c r="A4615" s="1">
        <f>DATE(2012,11,25)</f>
        <v>41238</v>
      </c>
      <c r="B4615" t="s">
        <v>13</v>
      </c>
      <c r="C4615" t="s">
        <v>9</v>
      </c>
      <c r="D4615" s="3">
        <v>134.096</v>
      </c>
      <c r="E4615" s="3">
        <v>0</v>
      </c>
      <c r="F4615" t="s">
        <v>45</v>
      </c>
      <c r="G4615" s="3">
        <f t="shared" si="555"/>
        <v>-134.096</v>
      </c>
      <c r="H4615" s="3">
        <f t="shared" si="556"/>
        <v>134.096</v>
      </c>
      <c r="I4615" s="5" t="str">
        <f t="shared" si="557"/>
        <v>016</v>
      </c>
      <c r="J4615" s="5" t="str">
        <f t="shared" si="558"/>
        <v>2220</v>
      </c>
      <c r="K4615" s="5" t="str">
        <f t="shared" si="559"/>
        <v>000</v>
      </c>
      <c r="L4615" s="5">
        <f t="shared" si="560"/>
        <v>11</v>
      </c>
      <c r="M4615" s="5">
        <f t="shared" si="561"/>
        <v>2012</v>
      </c>
    </row>
    <row r="4616" spans="1:13" ht="15" x14ac:dyDescent="0.25">
      <c r="A4616" s="1">
        <f>DATE(2012,11,25)</f>
        <v>41238</v>
      </c>
      <c r="B4616" t="s">
        <v>14</v>
      </c>
      <c r="C4616" t="s">
        <v>10</v>
      </c>
      <c r="D4616" s="3">
        <v>96.976500000000001</v>
      </c>
      <c r="E4616" s="3">
        <v>0</v>
      </c>
      <c r="F4616" t="s">
        <v>45</v>
      </c>
      <c r="G4616" s="3">
        <f t="shared" si="555"/>
        <v>-96.976500000000001</v>
      </c>
      <c r="H4616" s="3">
        <f t="shared" si="556"/>
        <v>96.976500000000001</v>
      </c>
      <c r="I4616" s="5" t="str">
        <f t="shared" si="557"/>
        <v>016</v>
      </c>
      <c r="J4616" s="5" t="str">
        <f t="shared" si="558"/>
        <v>2230</v>
      </c>
      <c r="K4616" s="5" t="str">
        <f t="shared" si="559"/>
        <v>000</v>
      </c>
      <c r="L4616" s="5">
        <f t="shared" si="560"/>
        <v>11</v>
      </c>
      <c r="M4616" s="5">
        <f t="shared" si="561"/>
        <v>2012</v>
      </c>
    </row>
    <row r="4617" spans="1:13" ht="15" x14ac:dyDescent="0.25">
      <c r="A4617" s="1">
        <f>DATE(2012,11,19)</f>
        <v>41232</v>
      </c>
      <c r="B4617" t="s">
        <v>15</v>
      </c>
      <c r="C4617" t="s">
        <v>6</v>
      </c>
      <c r="D4617" s="3">
        <v>4104.5861999999997</v>
      </c>
      <c r="E4617" s="3">
        <v>0</v>
      </c>
      <c r="F4617" t="s">
        <v>45</v>
      </c>
      <c r="G4617" s="3">
        <f t="shared" si="555"/>
        <v>-4104.5861999999997</v>
      </c>
      <c r="H4617" s="3">
        <f t="shared" si="556"/>
        <v>4104.5861999999997</v>
      </c>
      <c r="I4617" s="5" t="str">
        <f t="shared" si="557"/>
        <v>017</v>
      </c>
      <c r="J4617" s="5" t="str">
        <f t="shared" si="558"/>
        <v>2100</v>
      </c>
      <c r="K4617" s="5" t="str">
        <f t="shared" si="559"/>
        <v>000</v>
      </c>
      <c r="L4617" s="5">
        <f t="shared" si="560"/>
        <v>11</v>
      </c>
      <c r="M4617" s="5">
        <f t="shared" si="561"/>
        <v>2012</v>
      </c>
    </row>
    <row r="4618" spans="1:13" ht="15" x14ac:dyDescent="0.25">
      <c r="A4618" s="1">
        <f>DATE(2012,11,19)</f>
        <v>41232</v>
      </c>
      <c r="B4618" t="s">
        <v>16</v>
      </c>
      <c r="C4618" t="s">
        <v>8</v>
      </c>
      <c r="D4618" s="3">
        <v>1042.9286999999999</v>
      </c>
      <c r="E4618" s="3">
        <v>0</v>
      </c>
      <c r="F4618" t="s">
        <v>45</v>
      </c>
      <c r="G4618" s="3">
        <f t="shared" si="555"/>
        <v>-1042.9286999999999</v>
      </c>
      <c r="H4618" s="3">
        <f t="shared" si="556"/>
        <v>1042.9286999999999</v>
      </c>
      <c r="I4618" s="5" t="str">
        <f t="shared" si="557"/>
        <v>017</v>
      </c>
      <c r="J4618" s="5" t="str">
        <f t="shared" si="558"/>
        <v>2210</v>
      </c>
      <c r="K4618" s="5" t="str">
        <f t="shared" si="559"/>
        <v>000</v>
      </c>
      <c r="L4618" s="5">
        <f t="shared" si="560"/>
        <v>11</v>
      </c>
      <c r="M4618" s="5">
        <f t="shared" si="561"/>
        <v>2012</v>
      </c>
    </row>
    <row r="4619" spans="1:13" ht="15" x14ac:dyDescent="0.25">
      <c r="A4619" s="1">
        <f>DATE(2012,11,19)</f>
        <v>41232</v>
      </c>
      <c r="B4619" t="s">
        <v>17</v>
      </c>
      <c r="C4619" t="s">
        <v>9</v>
      </c>
      <c r="D4619" s="3">
        <v>287.00279999999998</v>
      </c>
      <c r="E4619" s="3">
        <v>0</v>
      </c>
      <c r="F4619" t="s">
        <v>45</v>
      </c>
      <c r="G4619" s="3">
        <f t="shared" si="555"/>
        <v>-287.00279999999998</v>
      </c>
      <c r="H4619" s="3">
        <f t="shared" si="556"/>
        <v>287.00279999999998</v>
      </c>
      <c r="I4619" s="5" t="str">
        <f t="shared" si="557"/>
        <v>017</v>
      </c>
      <c r="J4619" s="5" t="str">
        <f t="shared" si="558"/>
        <v>2220</v>
      </c>
      <c r="K4619" s="5" t="str">
        <f t="shared" si="559"/>
        <v>000</v>
      </c>
      <c r="L4619" s="5">
        <f t="shared" si="560"/>
        <v>11</v>
      </c>
      <c r="M4619" s="5">
        <f t="shared" si="561"/>
        <v>2012</v>
      </c>
    </row>
    <row r="4620" spans="1:13" ht="15" x14ac:dyDescent="0.25">
      <c r="A4620" s="1">
        <f>DATE(2012,11,19)</f>
        <v>41232</v>
      </c>
      <c r="B4620" t="s">
        <v>18</v>
      </c>
      <c r="C4620" t="s">
        <v>10</v>
      </c>
      <c r="D4620" s="3">
        <v>46.185600000000008</v>
      </c>
      <c r="E4620" s="3">
        <v>0</v>
      </c>
      <c r="F4620" t="s">
        <v>45</v>
      </c>
      <c r="G4620" s="3">
        <f t="shared" si="555"/>
        <v>-46.185600000000008</v>
      </c>
      <c r="H4620" s="3">
        <f t="shared" si="556"/>
        <v>46.185600000000008</v>
      </c>
      <c r="I4620" s="5" t="str">
        <f t="shared" si="557"/>
        <v>017</v>
      </c>
      <c r="J4620" s="5" t="str">
        <f t="shared" si="558"/>
        <v>2230</v>
      </c>
      <c r="K4620" s="5" t="str">
        <f t="shared" si="559"/>
        <v>000</v>
      </c>
      <c r="L4620" s="5">
        <f t="shared" si="560"/>
        <v>11</v>
      </c>
      <c r="M4620" s="5">
        <f t="shared" si="561"/>
        <v>2012</v>
      </c>
    </row>
    <row r="4621" spans="1:13" ht="15" x14ac:dyDescent="0.25">
      <c r="A4621" s="1">
        <f>DATE(2012,11,20)</f>
        <v>41233</v>
      </c>
      <c r="B4621" t="s">
        <v>15</v>
      </c>
      <c r="C4621" t="s">
        <v>6</v>
      </c>
      <c r="D4621" s="3">
        <v>4871.1440000000002</v>
      </c>
      <c r="E4621" s="3">
        <v>0</v>
      </c>
      <c r="F4621" t="s">
        <v>45</v>
      </c>
      <c r="G4621" s="3">
        <f t="shared" si="555"/>
        <v>-4871.1440000000002</v>
      </c>
      <c r="H4621" s="3">
        <f t="shared" si="556"/>
        <v>4871.1440000000002</v>
      </c>
      <c r="I4621" s="5" t="str">
        <f t="shared" si="557"/>
        <v>017</v>
      </c>
      <c r="J4621" s="5" t="str">
        <f t="shared" si="558"/>
        <v>2100</v>
      </c>
      <c r="K4621" s="5" t="str">
        <f t="shared" si="559"/>
        <v>000</v>
      </c>
      <c r="L4621" s="5">
        <f t="shared" si="560"/>
        <v>11</v>
      </c>
      <c r="M4621" s="5">
        <f t="shared" si="561"/>
        <v>2012</v>
      </c>
    </row>
    <row r="4622" spans="1:13" ht="15" x14ac:dyDescent="0.25">
      <c r="A4622" s="1">
        <f>DATE(2012,11,20)</f>
        <v>41233</v>
      </c>
      <c r="B4622" t="s">
        <v>16</v>
      </c>
      <c r="C4622" t="s">
        <v>8</v>
      </c>
      <c r="D4622" s="3">
        <v>1103.3375999999998</v>
      </c>
      <c r="E4622" s="3">
        <v>0</v>
      </c>
      <c r="F4622" t="s">
        <v>45</v>
      </c>
      <c r="G4622" s="3">
        <f t="shared" si="555"/>
        <v>-1103.3375999999998</v>
      </c>
      <c r="H4622" s="3">
        <f t="shared" si="556"/>
        <v>1103.3375999999998</v>
      </c>
      <c r="I4622" s="5" t="str">
        <f t="shared" si="557"/>
        <v>017</v>
      </c>
      <c r="J4622" s="5" t="str">
        <f t="shared" si="558"/>
        <v>2210</v>
      </c>
      <c r="K4622" s="5" t="str">
        <f t="shared" si="559"/>
        <v>000</v>
      </c>
      <c r="L4622" s="5">
        <f t="shared" si="560"/>
        <v>11</v>
      </c>
      <c r="M4622" s="5">
        <f t="shared" si="561"/>
        <v>2012</v>
      </c>
    </row>
    <row r="4623" spans="1:13" ht="15" x14ac:dyDescent="0.25">
      <c r="A4623" s="1">
        <f>DATE(2012,11,20)</f>
        <v>41233</v>
      </c>
      <c r="B4623" t="s">
        <v>17</v>
      </c>
      <c r="C4623" t="s">
        <v>9</v>
      </c>
      <c r="D4623" s="3">
        <v>413.54660000000001</v>
      </c>
      <c r="E4623" s="3">
        <v>0</v>
      </c>
      <c r="F4623" t="s">
        <v>45</v>
      </c>
      <c r="G4623" s="3">
        <f t="shared" si="555"/>
        <v>-413.54660000000001</v>
      </c>
      <c r="H4623" s="3">
        <f t="shared" si="556"/>
        <v>413.54660000000001</v>
      </c>
      <c r="I4623" s="5" t="str">
        <f t="shared" si="557"/>
        <v>017</v>
      </c>
      <c r="J4623" s="5" t="str">
        <f t="shared" si="558"/>
        <v>2220</v>
      </c>
      <c r="K4623" s="5" t="str">
        <f t="shared" si="559"/>
        <v>000</v>
      </c>
      <c r="L4623" s="5">
        <f t="shared" si="560"/>
        <v>11</v>
      </c>
      <c r="M4623" s="5">
        <f t="shared" si="561"/>
        <v>2012</v>
      </c>
    </row>
    <row r="4624" spans="1:13" ht="15" x14ac:dyDescent="0.25">
      <c r="A4624" s="1">
        <f>DATE(2012,11,20)</f>
        <v>41233</v>
      </c>
      <c r="B4624" t="s">
        <v>18</v>
      </c>
      <c r="C4624" t="s">
        <v>10</v>
      </c>
      <c r="D4624" s="3">
        <v>115.43839999999999</v>
      </c>
      <c r="E4624" s="3">
        <v>0</v>
      </c>
      <c r="F4624" t="s">
        <v>45</v>
      </c>
      <c r="G4624" s="3">
        <f t="shared" si="555"/>
        <v>-115.43839999999999</v>
      </c>
      <c r="H4624" s="3">
        <f t="shared" si="556"/>
        <v>115.43839999999999</v>
      </c>
      <c r="I4624" s="5" t="str">
        <f t="shared" si="557"/>
        <v>017</v>
      </c>
      <c r="J4624" s="5" t="str">
        <f t="shared" si="558"/>
        <v>2230</v>
      </c>
      <c r="K4624" s="5" t="str">
        <f t="shared" si="559"/>
        <v>000</v>
      </c>
      <c r="L4624" s="5">
        <f t="shared" si="560"/>
        <v>11</v>
      </c>
      <c r="M4624" s="5">
        <f t="shared" si="561"/>
        <v>2012</v>
      </c>
    </row>
    <row r="4625" spans="1:13" ht="15" x14ac:dyDescent="0.25">
      <c r="A4625" s="1">
        <f>DATE(2012,11,21)</f>
        <v>41234</v>
      </c>
      <c r="B4625" t="s">
        <v>15</v>
      </c>
      <c r="C4625" t="s">
        <v>6</v>
      </c>
      <c r="D4625" s="3">
        <v>5745.0623999999998</v>
      </c>
      <c r="E4625" s="3">
        <v>0</v>
      </c>
      <c r="F4625" t="s">
        <v>45</v>
      </c>
      <c r="G4625" s="3">
        <f t="shared" si="555"/>
        <v>-5745.0623999999998</v>
      </c>
      <c r="H4625" s="3">
        <f t="shared" si="556"/>
        <v>5745.0623999999998</v>
      </c>
      <c r="I4625" s="5" t="str">
        <f t="shared" si="557"/>
        <v>017</v>
      </c>
      <c r="J4625" s="5" t="str">
        <f t="shared" si="558"/>
        <v>2100</v>
      </c>
      <c r="K4625" s="5" t="str">
        <f t="shared" si="559"/>
        <v>000</v>
      </c>
      <c r="L4625" s="5">
        <f t="shared" si="560"/>
        <v>11</v>
      </c>
      <c r="M4625" s="5">
        <f t="shared" si="561"/>
        <v>2012</v>
      </c>
    </row>
    <row r="4626" spans="1:13" ht="15" x14ac:dyDescent="0.25">
      <c r="A4626" s="1">
        <f>DATE(2012,11,21)</f>
        <v>41234</v>
      </c>
      <c r="B4626" t="s">
        <v>16</v>
      </c>
      <c r="C4626" t="s">
        <v>8</v>
      </c>
      <c r="D4626" s="3">
        <v>888.94079999999985</v>
      </c>
      <c r="E4626" s="3">
        <v>0</v>
      </c>
      <c r="F4626" t="s">
        <v>45</v>
      </c>
      <c r="G4626" s="3">
        <f t="shared" si="555"/>
        <v>-888.94079999999985</v>
      </c>
      <c r="H4626" s="3">
        <f t="shared" si="556"/>
        <v>888.94079999999985</v>
      </c>
      <c r="I4626" s="5" t="str">
        <f t="shared" si="557"/>
        <v>017</v>
      </c>
      <c r="J4626" s="5" t="str">
        <f t="shared" si="558"/>
        <v>2210</v>
      </c>
      <c r="K4626" s="5" t="str">
        <f t="shared" si="559"/>
        <v>000</v>
      </c>
      <c r="L4626" s="5">
        <f t="shared" si="560"/>
        <v>11</v>
      </c>
      <c r="M4626" s="5">
        <f t="shared" si="561"/>
        <v>2012</v>
      </c>
    </row>
    <row r="4627" spans="1:13" ht="15" x14ac:dyDescent="0.25">
      <c r="A4627" s="1">
        <f>DATE(2012,11,21)</f>
        <v>41234</v>
      </c>
      <c r="B4627" t="s">
        <v>17</v>
      </c>
      <c r="C4627" t="s">
        <v>9</v>
      </c>
      <c r="D4627" s="3">
        <v>127.89579999999998</v>
      </c>
      <c r="E4627" s="3">
        <v>0</v>
      </c>
      <c r="F4627" t="s">
        <v>45</v>
      </c>
      <c r="G4627" s="3">
        <f t="shared" si="555"/>
        <v>-127.89579999999998</v>
      </c>
      <c r="H4627" s="3">
        <f t="shared" si="556"/>
        <v>127.89579999999998</v>
      </c>
      <c r="I4627" s="5" t="str">
        <f t="shared" si="557"/>
        <v>017</v>
      </c>
      <c r="J4627" s="5" t="str">
        <f t="shared" si="558"/>
        <v>2220</v>
      </c>
      <c r="K4627" s="5" t="str">
        <f t="shared" si="559"/>
        <v>000</v>
      </c>
      <c r="L4627" s="5">
        <f t="shared" si="560"/>
        <v>11</v>
      </c>
      <c r="M4627" s="5">
        <f t="shared" si="561"/>
        <v>2012</v>
      </c>
    </row>
    <row r="4628" spans="1:13" ht="15" x14ac:dyDescent="0.25">
      <c r="A4628" s="1">
        <f>DATE(2012,11,21)</f>
        <v>41234</v>
      </c>
      <c r="B4628" t="s">
        <v>18</v>
      </c>
      <c r="C4628" t="s">
        <v>10</v>
      </c>
      <c r="D4628" s="3">
        <v>42.869700000000002</v>
      </c>
      <c r="E4628" s="3">
        <v>0</v>
      </c>
      <c r="F4628" t="s">
        <v>45</v>
      </c>
      <c r="G4628" s="3">
        <f t="shared" si="555"/>
        <v>-42.869700000000002</v>
      </c>
      <c r="H4628" s="3">
        <f t="shared" si="556"/>
        <v>42.869700000000002</v>
      </c>
      <c r="I4628" s="5" t="str">
        <f t="shared" si="557"/>
        <v>017</v>
      </c>
      <c r="J4628" s="5" t="str">
        <f t="shared" si="558"/>
        <v>2230</v>
      </c>
      <c r="K4628" s="5" t="str">
        <f t="shared" si="559"/>
        <v>000</v>
      </c>
      <c r="L4628" s="5">
        <f t="shared" si="560"/>
        <v>11</v>
      </c>
      <c r="M4628" s="5">
        <f t="shared" si="561"/>
        <v>2012</v>
      </c>
    </row>
    <row r="4629" spans="1:13" ht="15" x14ac:dyDescent="0.25">
      <c r="A4629" s="1">
        <f>DATE(2012,11,23)</f>
        <v>41236</v>
      </c>
      <c r="B4629" t="s">
        <v>15</v>
      </c>
      <c r="C4629" t="s">
        <v>6</v>
      </c>
      <c r="D4629" s="3">
        <v>4561.4025000000001</v>
      </c>
      <c r="E4629" s="3">
        <v>0</v>
      </c>
      <c r="F4629" t="s">
        <v>45</v>
      </c>
      <c r="G4629" s="3">
        <f t="shared" si="555"/>
        <v>-4561.4025000000001</v>
      </c>
      <c r="H4629" s="3">
        <f t="shared" si="556"/>
        <v>4561.4025000000001</v>
      </c>
      <c r="I4629" s="5" t="str">
        <f t="shared" si="557"/>
        <v>017</v>
      </c>
      <c r="J4629" s="5" t="str">
        <f t="shared" si="558"/>
        <v>2100</v>
      </c>
      <c r="K4629" s="5" t="str">
        <f t="shared" si="559"/>
        <v>000</v>
      </c>
      <c r="L4629" s="5">
        <f t="shared" si="560"/>
        <v>11</v>
      </c>
      <c r="M4629" s="5">
        <f t="shared" si="561"/>
        <v>2012</v>
      </c>
    </row>
    <row r="4630" spans="1:13" ht="15" x14ac:dyDescent="0.25">
      <c r="A4630" s="1">
        <f>DATE(2012,11,23)</f>
        <v>41236</v>
      </c>
      <c r="B4630" t="s">
        <v>16</v>
      </c>
      <c r="C4630" t="s">
        <v>8</v>
      </c>
      <c r="D4630" s="3">
        <v>1189.2727</v>
      </c>
      <c r="E4630" s="3">
        <v>0</v>
      </c>
      <c r="F4630" t="s">
        <v>45</v>
      </c>
      <c r="G4630" s="3">
        <f t="shared" si="555"/>
        <v>-1189.2727</v>
      </c>
      <c r="H4630" s="3">
        <f t="shared" si="556"/>
        <v>1189.2727</v>
      </c>
      <c r="I4630" s="5" t="str">
        <f t="shared" si="557"/>
        <v>017</v>
      </c>
      <c r="J4630" s="5" t="str">
        <f t="shared" si="558"/>
        <v>2210</v>
      </c>
      <c r="K4630" s="5" t="str">
        <f t="shared" si="559"/>
        <v>000</v>
      </c>
      <c r="L4630" s="5">
        <f t="shared" si="560"/>
        <v>11</v>
      </c>
      <c r="M4630" s="5">
        <f t="shared" si="561"/>
        <v>2012</v>
      </c>
    </row>
    <row r="4631" spans="1:13" ht="15" x14ac:dyDescent="0.25">
      <c r="A4631" s="1">
        <f>DATE(2012,11,23)</f>
        <v>41236</v>
      </c>
      <c r="B4631" t="s">
        <v>17</v>
      </c>
      <c r="C4631" t="s">
        <v>9</v>
      </c>
      <c r="D4631" s="3">
        <v>268.85520000000002</v>
      </c>
      <c r="E4631" s="3">
        <v>0</v>
      </c>
      <c r="F4631" t="s">
        <v>45</v>
      </c>
      <c r="G4631" s="3">
        <f t="shared" si="555"/>
        <v>-268.85520000000002</v>
      </c>
      <c r="H4631" s="3">
        <f t="shared" si="556"/>
        <v>268.85520000000002</v>
      </c>
      <c r="I4631" s="5" t="str">
        <f t="shared" si="557"/>
        <v>017</v>
      </c>
      <c r="J4631" s="5" t="str">
        <f t="shared" si="558"/>
        <v>2220</v>
      </c>
      <c r="K4631" s="5" t="str">
        <f t="shared" si="559"/>
        <v>000</v>
      </c>
      <c r="L4631" s="5">
        <f t="shared" si="560"/>
        <v>11</v>
      </c>
      <c r="M4631" s="5">
        <f t="shared" si="561"/>
        <v>2012</v>
      </c>
    </row>
    <row r="4632" spans="1:13" ht="15" x14ac:dyDescent="0.25">
      <c r="A4632" s="1">
        <f>DATE(2012,11,23)</f>
        <v>41236</v>
      </c>
      <c r="B4632" t="s">
        <v>18</v>
      </c>
      <c r="C4632" t="s">
        <v>10</v>
      </c>
      <c r="D4632" s="3">
        <v>128.97</v>
      </c>
      <c r="E4632" s="3">
        <v>0</v>
      </c>
      <c r="F4632" t="s">
        <v>45</v>
      </c>
      <c r="G4632" s="3">
        <f t="shared" si="555"/>
        <v>-128.97</v>
      </c>
      <c r="H4632" s="3">
        <f t="shared" si="556"/>
        <v>128.97</v>
      </c>
      <c r="I4632" s="5" t="str">
        <f t="shared" si="557"/>
        <v>017</v>
      </c>
      <c r="J4632" s="5" t="str">
        <f t="shared" si="558"/>
        <v>2230</v>
      </c>
      <c r="K4632" s="5" t="str">
        <f t="shared" si="559"/>
        <v>000</v>
      </c>
      <c r="L4632" s="5">
        <f t="shared" si="560"/>
        <v>11</v>
      </c>
      <c r="M4632" s="5">
        <f t="shared" si="561"/>
        <v>2012</v>
      </c>
    </row>
    <row r="4633" spans="1:13" ht="15" x14ac:dyDescent="0.25">
      <c r="A4633" s="1">
        <f>DATE(2012,11,24)</f>
        <v>41237</v>
      </c>
      <c r="B4633" t="s">
        <v>15</v>
      </c>
      <c r="C4633" t="s">
        <v>6</v>
      </c>
      <c r="D4633" s="3">
        <v>4279.7273999999998</v>
      </c>
      <c r="E4633" s="3">
        <v>0</v>
      </c>
      <c r="F4633" t="s">
        <v>45</v>
      </c>
      <c r="G4633" s="3">
        <f t="shared" si="555"/>
        <v>-4279.7273999999998</v>
      </c>
      <c r="H4633" s="3">
        <f t="shared" si="556"/>
        <v>4279.7273999999998</v>
      </c>
      <c r="I4633" s="5" t="str">
        <f t="shared" si="557"/>
        <v>017</v>
      </c>
      <c r="J4633" s="5" t="str">
        <f t="shared" si="558"/>
        <v>2100</v>
      </c>
      <c r="K4633" s="5" t="str">
        <f t="shared" si="559"/>
        <v>000</v>
      </c>
      <c r="L4633" s="5">
        <f t="shared" si="560"/>
        <v>11</v>
      </c>
      <c r="M4633" s="5">
        <f t="shared" si="561"/>
        <v>2012</v>
      </c>
    </row>
    <row r="4634" spans="1:13" ht="15" x14ac:dyDescent="0.25">
      <c r="A4634" s="1">
        <f>DATE(2012,11,24)</f>
        <v>41237</v>
      </c>
      <c r="B4634" t="s">
        <v>16</v>
      </c>
      <c r="C4634" t="s">
        <v>8</v>
      </c>
      <c r="D4634" s="3">
        <v>1062.8487</v>
      </c>
      <c r="E4634" s="3">
        <v>0</v>
      </c>
      <c r="F4634" t="s">
        <v>45</v>
      </c>
      <c r="G4634" s="3">
        <f t="shared" si="555"/>
        <v>-1062.8487</v>
      </c>
      <c r="H4634" s="3">
        <f t="shared" si="556"/>
        <v>1062.8487</v>
      </c>
      <c r="I4634" s="5" t="str">
        <f t="shared" si="557"/>
        <v>017</v>
      </c>
      <c r="J4634" s="5" t="str">
        <f t="shared" si="558"/>
        <v>2210</v>
      </c>
      <c r="K4634" s="5" t="str">
        <f t="shared" si="559"/>
        <v>000</v>
      </c>
      <c r="L4634" s="5">
        <f t="shared" si="560"/>
        <v>11</v>
      </c>
      <c r="M4634" s="5">
        <f t="shared" si="561"/>
        <v>2012</v>
      </c>
    </row>
    <row r="4635" spans="1:13" ht="15" x14ac:dyDescent="0.25">
      <c r="A4635" s="1">
        <f>DATE(2012,11,24)</f>
        <v>41237</v>
      </c>
      <c r="B4635" t="s">
        <v>17</v>
      </c>
      <c r="C4635" t="s">
        <v>9</v>
      </c>
      <c r="D4635" s="3">
        <v>144.9246</v>
      </c>
      <c r="E4635" s="3">
        <v>0</v>
      </c>
      <c r="F4635" t="s">
        <v>45</v>
      </c>
      <c r="G4635" s="3">
        <f t="shared" si="555"/>
        <v>-144.9246</v>
      </c>
      <c r="H4635" s="3">
        <f t="shared" si="556"/>
        <v>144.9246</v>
      </c>
      <c r="I4635" s="5" t="str">
        <f t="shared" si="557"/>
        <v>017</v>
      </c>
      <c r="J4635" s="5" t="str">
        <f t="shared" si="558"/>
        <v>2220</v>
      </c>
      <c r="K4635" s="5" t="str">
        <f t="shared" si="559"/>
        <v>000</v>
      </c>
      <c r="L4635" s="5">
        <f t="shared" si="560"/>
        <v>11</v>
      </c>
      <c r="M4635" s="5">
        <f t="shared" si="561"/>
        <v>2012</v>
      </c>
    </row>
    <row r="4636" spans="1:13" ht="15" x14ac:dyDescent="0.25">
      <c r="A4636" s="1">
        <f>DATE(2012,11,24)</f>
        <v>41237</v>
      </c>
      <c r="B4636" t="s">
        <v>18</v>
      </c>
      <c r="C4636" t="s">
        <v>10</v>
      </c>
      <c r="D4636" s="3">
        <v>27.8385</v>
      </c>
      <c r="E4636" s="3">
        <v>0</v>
      </c>
      <c r="F4636" t="s">
        <v>45</v>
      </c>
      <c r="G4636" s="3">
        <f t="shared" si="555"/>
        <v>-27.8385</v>
      </c>
      <c r="H4636" s="3">
        <f t="shared" si="556"/>
        <v>27.8385</v>
      </c>
      <c r="I4636" s="5" t="str">
        <f t="shared" si="557"/>
        <v>017</v>
      </c>
      <c r="J4636" s="5" t="str">
        <f t="shared" si="558"/>
        <v>2230</v>
      </c>
      <c r="K4636" s="5" t="str">
        <f t="shared" si="559"/>
        <v>000</v>
      </c>
      <c r="L4636" s="5">
        <f t="shared" si="560"/>
        <v>11</v>
      </c>
      <c r="M4636" s="5">
        <f t="shared" si="561"/>
        <v>2012</v>
      </c>
    </row>
    <row r="4637" spans="1:13" ht="15" x14ac:dyDescent="0.25">
      <c r="A4637" s="1">
        <f t="shared" ref="A4637:A4640" si="562">DATE(2012,11,25)</f>
        <v>41238</v>
      </c>
      <c r="B4637" t="s">
        <v>15</v>
      </c>
      <c r="C4637" t="s">
        <v>6</v>
      </c>
      <c r="D4637" s="3">
        <v>3730.2999999999997</v>
      </c>
      <c r="E4637" s="3">
        <v>0</v>
      </c>
      <c r="F4637" t="s">
        <v>45</v>
      </c>
      <c r="G4637" s="3">
        <f t="shared" si="555"/>
        <v>-3730.2999999999997</v>
      </c>
      <c r="H4637" s="3">
        <f t="shared" si="556"/>
        <v>3730.2999999999997</v>
      </c>
      <c r="I4637" s="5" t="str">
        <f t="shared" si="557"/>
        <v>017</v>
      </c>
      <c r="J4637" s="5" t="str">
        <f t="shared" si="558"/>
        <v>2100</v>
      </c>
      <c r="K4637" s="5" t="str">
        <f t="shared" si="559"/>
        <v>000</v>
      </c>
      <c r="L4637" s="5">
        <f t="shared" si="560"/>
        <v>11</v>
      </c>
      <c r="M4637" s="5">
        <f t="shared" si="561"/>
        <v>2012</v>
      </c>
    </row>
    <row r="4638" spans="1:13" ht="15" x14ac:dyDescent="0.25">
      <c r="A4638" s="1">
        <f t="shared" si="562"/>
        <v>41238</v>
      </c>
      <c r="B4638" t="s">
        <v>16</v>
      </c>
      <c r="C4638" t="s">
        <v>8</v>
      </c>
      <c r="D4638" s="3">
        <v>589.18860000000006</v>
      </c>
      <c r="E4638" s="3">
        <v>0</v>
      </c>
      <c r="F4638" t="s">
        <v>45</v>
      </c>
      <c r="G4638" s="3">
        <f t="shared" si="555"/>
        <v>-589.18860000000006</v>
      </c>
      <c r="H4638" s="3">
        <f t="shared" si="556"/>
        <v>589.18860000000006</v>
      </c>
      <c r="I4638" s="5" t="str">
        <f t="shared" si="557"/>
        <v>017</v>
      </c>
      <c r="J4638" s="5" t="str">
        <f t="shared" si="558"/>
        <v>2210</v>
      </c>
      <c r="K4638" s="5" t="str">
        <f t="shared" si="559"/>
        <v>000</v>
      </c>
      <c r="L4638" s="5">
        <f t="shared" si="560"/>
        <v>11</v>
      </c>
      <c r="M4638" s="5">
        <f t="shared" si="561"/>
        <v>2012</v>
      </c>
    </row>
    <row r="4639" spans="1:13" ht="15" x14ac:dyDescent="0.25">
      <c r="A4639" s="1">
        <f t="shared" si="562"/>
        <v>41238</v>
      </c>
      <c r="B4639" t="s">
        <v>17</v>
      </c>
      <c r="C4639" t="s">
        <v>9</v>
      </c>
      <c r="D4639" s="3">
        <v>93.113600000000005</v>
      </c>
      <c r="E4639" s="3">
        <v>0</v>
      </c>
      <c r="F4639" t="s">
        <v>45</v>
      </c>
      <c r="G4639" s="3">
        <f t="shared" si="555"/>
        <v>-93.113600000000005</v>
      </c>
      <c r="H4639" s="3">
        <f t="shared" si="556"/>
        <v>93.113600000000005</v>
      </c>
      <c r="I4639" s="5" t="str">
        <f t="shared" si="557"/>
        <v>017</v>
      </c>
      <c r="J4639" s="5" t="str">
        <f t="shared" si="558"/>
        <v>2220</v>
      </c>
      <c r="K4639" s="5" t="str">
        <f t="shared" si="559"/>
        <v>000</v>
      </c>
      <c r="L4639" s="5">
        <f t="shared" si="560"/>
        <v>11</v>
      </c>
      <c r="M4639" s="5">
        <f t="shared" si="561"/>
        <v>2012</v>
      </c>
    </row>
    <row r="4640" spans="1:13" ht="15" x14ac:dyDescent="0.25">
      <c r="A4640" s="1">
        <f t="shared" si="562"/>
        <v>41238</v>
      </c>
      <c r="B4640" t="s">
        <v>18</v>
      </c>
      <c r="C4640" t="s">
        <v>10</v>
      </c>
      <c r="D4640" s="3">
        <v>59.765200000000007</v>
      </c>
      <c r="E4640" s="3">
        <v>0</v>
      </c>
      <c r="F4640" t="s">
        <v>45</v>
      </c>
      <c r="G4640" s="3">
        <f t="shared" si="555"/>
        <v>-59.765200000000007</v>
      </c>
      <c r="H4640" s="3">
        <f t="shared" si="556"/>
        <v>59.765200000000007</v>
      </c>
      <c r="I4640" s="5" t="str">
        <f t="shared" si="557"/>
        <v>017</v>
      </c>
      <c r="J4640" s="5" t="str">
        <f t="shared" si="558"/>
        <v>2230</v>
      </c>
      <c r="K4640" s="5" t="str">
        <f t="shared" si="559"/>
        <v>000</v>
      </c>
      <c r="L4640" s="5">
        <f t="shared" si="560"/>
        <v>11</v>
      </c>
      <c r="M4640" s="5">
        <f t="shared" si="561"/>
        <v>2012</v>
      </c>
    </row>
    <row r="4641" spans="1:13" ht="15" x14ac:dyDescent="0.25">
      <c r="A4641" s="1">
        <f>DATE(2012,11,19)</f>
        <v>41232</v>
      </c>
      <c r="B4641" t="s">
        <v>19</v>
      </c>
      <c r="C4641" t="s">
        <v>6</v>
      </c>
      <c r="D4641" s="3">
        <v>3325.0214999999998</v>
      </c>
      <c r="E4641" s="3">
        <v>0</v>
      </c>
      <c r="F4641" t="s">
        <v>45</v>
      </c>
      <c r="G4641" s="3">
        <f t="shared" si="555"/>
        <v>-3325.0214999999998</v>
      </c>
      <c r="H4641" s="3">
        <f t="shared" si="556"/>
        <v>3325.0214999999998</v>
      </c>
      <c r="I4641" s="5" t="str">
        <f t="shared" si="557"/>
        <v>018</v>
      </c>
      <c r="J4641" s="5" t="str">
        <f t="shared" si="558"/>
        <v>2100</v>
      </c>
      <c r="K4641" s="5" t="str">
        <f t="shared" si="559"/>
        <v>000</v>
      </c>
      <c r="L4641" s="5">
        <f t="shared" si="560"/>
        <v>11</v>
      </c>
      <c r="M4641" s="5">
        <f t="shared" si="561"/>
        <v>2012</v>
      </c>
    </row>
    <row r="4642" spans="1:13" ht="15" x14ac:dyDescent="0.25">
      <c r="A4642" s="1">
        <f>DATE(2012,11,19)</f>
        <v>41232</v>
      </c>
      <c r="B4642" t="s">
        <v>20</v>
      </c>
      <c r="C4642" t="s">
        <v>8</v>
      </c>
      <c r="D4642" s="3">
        <v>315.90019999999998</v>
      </c>
      <c r="E4642" s="3">
        <v>0</v>
      </c>
      <c r="F4642" t="s">
        <v>45</v>
      </c>
      <c r="G4642" s="3">
        <f t="shared" si="555"/>
        <v>-315.90019999999998</v>
      </c>
      <c r="H4642" s="3">
        <f t="shared" si="556"/>
        <v>315.90019999999998</v>
      </c>
      <c r="I4642" s="5" t="str">
        <f t="shared" si="557"/>
        <v>018</v>
      </c>
      <c r="J4642" s="5" t="str">
        <f t="shared" si="558"/>
        <v>2210</v>
      </c>
      <c r="K4642" s="5" t="str">
        <f t="shared" si="559"/>
        <v>000</v>
      </c>
      <c r="L4642" s="5">
        <f t="shared" si="560"/>
        <v>11</v>
      </c>
      <c r="M4642" s="5">
        <f t="shared" si="561"/>
        <v>2012</v>
      </c>
    </row>
    <row r="4643" spans="1:13" ht="15" x14ac:dyDescent="0.25">
      <c r="A4643" s="1">
        <f>DATE(2012,11,19)</f>
        <v>41232</v>
      </c>
      <c r="B4643" t="s">
        <v>21</v>
      </c>
      <c r="C4643" t="s">
        <v>9</v>
      </c>
      <c r="D4643" s="3">
        <v>117.2307</v>
      </c>
      <c r="E4643" s="3">
        <v>0</v>
      </c>
      <c r="F4643" t="s">
        <v>45</v>
      </c>
      <c r="G4643" s="3">
        <f t="shared" si="555"/>
        <v>-117.2307</v>
      </c>
      <c r="H4643" s="3">
        <f t="shared" si="556"/>
        <v>117.2307</v>
      </c>
      <c r="I4643" s="5" t="str">
        <f t="shared" si="557"/>
        <v>018</v>
      </c>
      <c r="J4643" s="5" t="str">
        <f t="shared" si="558"/>
        <v>2220</v>
      </c>
      <c r="K4643" s="5" t="str">
        <f t="shared" si="559"/>
        <v>000</v>
      </c>
      <c r="L4643" s="5">
        <f t="shared" si="560"/>
        <v>11</v>
      </c>
      <c r="M4643" s="5">
        <f t="shared" si="561"/>
        <v>2012</v>
      </c>
    </row>
    <row r="4644" spans="1:13" ht="15" x14ac:dyDescent="0.25">
      <c r="A4644" s="1">
        <f>DATE(2012,11,19)</f>
        <v>41232</v>
      </c>
      <c r="B4644" t="s">
        <v>22</v>
      </c>
      <c r="C4644" t="s">
        <v>10</v>
      </c>
      <c r="D4644" s="3">
        <v>23.002799999999997</v>
      </c>
      <c r="E4644" s="3">
        <v>0</v>
      </c>
      <c r="F4644" t="s">
        <v>45</v>
      </c>
      <c r="G4644" s="3">
        <f t="shared" si="555"/>
        <v>-23.002799999999997</v>
      </c>
      <c r="H4644" s="3">
        <f t="shared" si="556"/>
        <v>23.002799999999997</v>
      </c>
      <c r="I4644" s="5" t="str">
        <f t="shared" si="557"/>
        <v>018</v>
      </c>
      <c r="J4644" s="5" t="str">
        <f t="shared" si="558"/>
        <v>2230</v>
      </c>
      <c r="K4644" s="5" t="str">
        <f t="shared" si="559"/>
        <v>000</v>
      </c>
      <c r="L4644" s="5">
        <f t="shared" si="560"/>
        <v>11</v>
      </c>
      <c r="M4644" s="5">
        <f t="shared" si="561"/>
        <v>2012</v>
      </c>
    </row>
    <row r="4645" spans="1:13" ht="15" x14ac:dyDescent="0.25">
      <c r="A4645" s="1">
        <f>DATE(2012,11,20)</f>
        <v>41233</v>
      </c>
      <c r="B4645" t="s">
        <v>19</v>
      </c>
      <c r="C4645" t="s">
        <v>6</v>
      </c>
      <c r="D4645" s="3">
        <v>5813.5689999999995</v>
      </c>
      <c r="E4645" s="3">
        <v>0</v>
      </c>
      <c r="F4645" t="s">
        <v>45</v>
      </c>
      <c r="G4645" s="3">
        <f t="shared" si="555"/>
        <v>-5813.5689999999995</v>
      </c>
      <c r="H4645" s="3">
        <f t="shared" si="556"/>
        <v>5813.5689999999995</v>
      </c>
      <c r="I4645" s="5" t="str">
        <f t="shared" si="557"/>
        <v>018</v>
      </c>
      <c r="J4645" s="5" t="str">
        <f t="shared" si="558"/>
        <v>2100</v>
      </c>
      <c r="K4645" s="5" t="str">
        <f t="shared" si="559"/>
        <v>000</v>
      </c>
      <c r="L4645" s="5">
        <f t="shared" si="560"/>
        <v>11</v>
      </c>
      <c r="M4645" s="5">
        <f t="shared" si="561"/>
        <v>2012</v>
      </c>
    </row>
    <row r="4646" spans="1:13" ht="15" x14ac:dyDescent="0.25">
      <c r="A4646" s="1">
        <f>DATE(2012,11,20)</f>
        <v>41233</v>
      </c>
      <c r="B4646" t="s">
        <v>20</v>
      </c>
      <c r="C4646" t="s">
        <v>8</v>
      </c>
      <c r="D4646" s="3">
        <v>1061.9284</v>
      </c>
      <c r="E4646" s="3">
        <v>0</v>
      </c>
      <c r="F4646" t="s">
        <v>45</v>
      </c>
      <c r="G4646" s="3">
        <f t="shared" si="555"/>
        <v>-1061.9284</v>
      </c>
      <c r="H4646" s="3">
        <f t="shared" si="556"/>
        <v>1061.9284</v>
      </c>
      <c r="I4646" s="5" t="str">
        <f t="shared" si="557"/>
        <v>018</v>
      </c>
      <c r="J4646" s="5" t="str">
        <f t="shared" si="558"/>
        <v>2210</v>
      </c>
      <c r="K4646" s="5" t="str">
        <f t="shared" si="559"/>
        <v>000</v>
      </c>
      <c r="L4646" s="5">
        <f t="shared" si="560"/>
        <v>11</v>
      </c>
      <c r="M4646" s="5">
        <f t="shared" si="561"/>
        <v>2012</v>
      </c>
    </row>
    <row r="4647" spans="1:13" ht="15" x14ac:dyDescent="0.25">
      <c r="A4647" s="1">
        <f>DATE(2012,11,20)</f>
        <v>41233</v>
      </c>
      <c r="B4647" t="s">
        <v>21</v>
      </c>
      <c r="C4647" t="s">
        <v>9</v>
      </c>
      <c r="D4647" s="3">
        <v>195.5025</v>
      </c>
      <c r="E4647" s="3">
        <v>0</v>
      </c>
      <c r="F4647" t="s">
        <v>45</v>
      </c>
      <c r="G4647" s="3">
        <f t="shared" si="555"/>
        <v>-195.5025</v>
      </c>
      <c r="H4647" s="3">
        <f t="shared" si="556"/>
        <v>195.5025</v>
      </c>
      <c r="I4647" s="5" t="str">
        <f t="shared" si="557"/>
        <v>018</v>
      </c>
      <c r="J4647" s="5" t="str">
        <f t="shared" si="558"/>
        <v>2220</v>
      </c>
      <c r="K4647" s="5" t="str">
        <f t="shared" si="559"/>
        <v>000</v>
      </c>
      <c r="L4647" s="5">
        <f t="shared" si="560"/>
        <v>11</v>
      </c>
      <c r="M4647" s="5">
        <f t="shared" si="561"/>
        <v>2012</v>
      </c>
    </row>
    <row r="4648" spans="1:13" ht="15" x14ac:dyDescent="0.25">
      <c r="A4648" s="1">
        <f>DATE(2012,11,20)</f>
        <v>41233</v>
      </c>
      <c r="B4648" t="s">
        <v>22</v>
      </c>
      <c r="C4648" t="s">
        <v>10</v>
      </c>
      <c r="D4648" s="3">
        <v>55.091999999999992</v>
      </c>
      <c r="E4648" s="3">
        <v>0</v>
      </c>
      <c r="F4648" t="s">
        <v>45</v>
      </c>
      <c r="G4648" s="3">
        <f t="shared" si="555"/>
        <v>-55.091999999999992</v>
      </c>
      <c r="H4648" s="3">
        <f t="shared" si="556"/>
        <v>55.091999999999992</v>
      </c>
      <c r="I4648" s="5" t="str">
        <f t="shared" si="557"/>
        <v>018</v>
      </c>
      <c r="J4648" s="5" t="str">
        <f t="shared" si="558"/>
        <v>2230</v>
      </c>
      <c r="K4648" s="5" t="str">
        <f t="shared" si="559"/>
        <v>000</v>
      </c>
      <c r="L4648" s="5">
        <f t="shared" si="560"/>
        <v>11</v>
      </c>
      <c r="M4648" s="5">
        <f t="shared" si="561"/>
        <v>2012</v>
      </c>
    </row>
    <row r="4649" spans="1:13" ht="15" x14ac:dyDescent="0.25">
      <c r="A4649" s="1">
        <f>DATE(2012,11,21)</f>
        <v>41234</v>
      </c>
      <c r="B4649" t="s">
        <v>19</v>
      </c>
      <c r="C4649" t="s">
        <v>6</v>
      </c>
      <c r="D4649" s="3">
        <v>5497.3567000000003</v>
      </c>
      <c r="E4649" s="3">
        <v>0</v>
      </c>
      <c r="F4649" t="s">
        <v>45</v>
      </c>
      <c r="G4649" s="3">
        <f t="shared" si="555"/>
        <v>-5497.3567000000003</v>
      </c>
      <c r="H4649" s="3">
        <f t="shared" si="556"/>
        <v>5497.3567000000003</v>
      </c>
      <c r="I4649" s="5" t="str">
        <f t="shared" si="557"/>
        <v>018</v>
      </c>
      <c r="J4649" s="5" t="str">
        <f t="shared" si="558"/>
        <v>2100</v>
      </c>
      <c r="K4649" s="5" t="str">
        <f t="shared" si="559"/>
        <v>000</v>
      </c>
      <c r="L4649" s="5">
        <f t="shared" si="560"/>
        <v>11</v>
      </c>
      <c r="M4649" s="5">
        <f t="shared" si="561"/>
        <v>2012</v>
      </c>
    </row>
    <row r="4650" spans="1:13" ht="15" x14ac:dyDescent="0.25">
      <c r="A4650" s="1">
        <f>DATE(2012,11,21)</f>
        <v>41234</v>
      </c>
      <c r="B4650" t="s">
        <v>20</v>
      </c>
      <c r="C4650" t="s">
        <v>8</v>
      </c>
      <c r="D4650" s="3">
        <v>1924.6722</v>
      </c>
      <c r="E4650" s="3">
        <v>0</v>
      </c>
      <c r="F4650" t="s">
        <v>45</v>
      </c>
      <c r="G4650" s="3">
        <f t="shared" si="555"/>
        <v>-1924.6722</v>
      </c>
      <c r="H4650" s="3">
        <f t="shared" si="556"/>
        <v>1924.6722</v>
      </c>
      <c r="I4650" s="5" t="str">
        <f t="shared" si="557"/>
        <v>018</v>
      </c>
      <c r="J4650" s="5" t="str">
        <f t="shared" si="558"/>
        <v>2210</v>
      </c>
      <c r="K4650" s="5" t="str">
        <f t="shared" si="559"/>
        <v>000</v>
      </c>
      <c r="L4650" s="5">
        <f t="shared" si="560"/>
        <v>11</v>
      </c>
      <c r="M4650" s="5">
        <f t="shared" si="561"/>
        <v>2012</v>
      </c>
    </row>
    <row r="4651" spans="1:13" ht="15" x14ac:dyDescent="0.25">
      <c r="A4651" s="1">
        <f>DATE(2012,11,21)</f>
        <v>41234</v>
      </c>
      <c r="B4651" t="s">
        <v>21</v>
      </c>
      <c r="C4651" t="s">
        <v>9</v>
      </c>
      <c r="D4651" s="3">
        <v>280.52339999999998</v>
      </c>
      <c r="E4651" s="3">
        <v>0</v>
      </c>
      <c r="F4651" t="s">
        <v>45</v>
      </c>
      <c r="G4651" s="3">
        <f t="shared" si="555"/>
        <v>-280.52339999999998</v>
      </c>
      <c r="H4651" s="3">
        <f t="shared" si="556"/>
        <v>280.52339999999998</v>
      </c>
      <c r="I4651" s="5" t="str">
        <f t="shared" si="557"/>
        <v>018</v>
      </c>
      <c r="J4651" s="5" t="str">
        <f t="shared" si="558"/>
        <v>2220</v>
      </c>
      <c r="K4651" s="5" t="str">
        <f t="shared" si="559"/>
        <v>000</v>
      </c>
      <c r="L4651" s="5">
        <f t="shared" si="560"/>
        <v>11</v>
      </c>
      <c r="M4651" s="5">
        <f t="shared" si="561"/>
        <v>2012</v>
      </c>
    </row>
    <row r="4652" spans="1:13" ht="15" x14ac:dyDescent="0.25">
      <c r="A4652" s="1">
        <f>DATE(2012,11,21)</f>
        <v>41234</v>
      </c>
      <c r="B4652" t="s">
        <v>22</v>
      </c>
      <c r="C4652" t="s">
        <v>10</v>
      </c>
      <c r="D4652" s="3">
        <v>27.872</v>
      </c>
      <c r="E4652" s="3">
        <v>0</v>
      </c>
      <c r="F4652" t="s">
        <v>45</v>
      </c>
      <c r="G4652" s="3">
        <f t="shared" si="555"/>
        <v>-27.872</v>
      </c>
      <c r="H4652" s="3">
        <f t="shared" si="556"/>
        <v>27.872</v>
      </c>
      <c r="I4652" s="5" t="str">
        <f t="shared" si="557"/>
        <v>018</v>
      </c>
      <c r="J4652" s="5" t="str">
        <f t="shared" si="558"/>
        <v>2230</v>
      </c>
      <c r="K4652" s="5" t="str">
        <f t="shared" si="559"/>
        <v>000</v>
      </c>
      <c r="L4652" s="5">
        <f t="shared" si="560"/>
        <v>11</v>
      </c>
      <c r="M4652" s="5">
        <f t="shared" si="561"/>
        <v>2012</v>
      </c>
    </row>
    <row r="4653" spans="1:13" ht="15" x14ac:dyDescent="0.25">
      <c r="A4653" s="1">
        <f>DATE(2012,11,23)</f>
        <v>41236</v>
      </c>
      <c r="B4653" t="s">
        <v>19</v>
      </c>
      <c r="C4653" t="s">
        <v>6</v>
      </c>
      <c r="D4653" s="3">
        <v>11368.1433</v>
      </c>
      <c r="E4653" s="3">
        <v>0</v>
      </c>
      <c r="F4653" t="s">
        <v>45</v>
      </c>
      <c r="G4653" s="3">
        <f t="shared" si="555"/>
        <v>-11368.1433</v>
      </c>
      <c r="H4653" s="3">
        <f t="shared" si="556"/>
        <v>11368.1433</v>
      </c>
      <c r="I4653" s="5" t="str">
        <f t="shared" si="557"/>
        <v>018</v>
      </c>
      <c r="J4653" s="5" t="str">
        <f t="shared" si="558"/>
        <v>2100</v>
      </c>
      <c r="K4653" s="5" t="str">
        <f t="shared" si="559"/>
        <v>000</v>
      </c>
      <c r="L4653" s="5">
        <f t="shared" si="560"/>
        <v>11</v>
      </c>
      <c r="M4653" s="5">
        <f t="shared" si="561"/>
        <v>2012</v>
      </c>
    </row>
    <row r="4654" spans="1:13" ht="15" x14ac:dyDescent="0.25">
      <c r="A4654" s="1">
        <f>DATE(2012,11,23)</f>
        <v>41236</v>
      </c>
      <c r="B4654" t="s">
        <v>20</v>
      </c>
      <c r="C4654" t="s">
        <v>8</v>
      </c>
      <c r="D4654" s="3">
        <v>1728.8079</v>
      </c>
      <c r="E4654" s="3">
        <v>0</v>
      </c>
      <c r="F4654" t="s">
        <v>45</v>
      </c>
      <c r="G4654" s="3">
        <f t="shared" si="555"/>
        <v>-1728.8079</v>
      </c>
      <c r="H4654" s="3">
        <f t="shared" si="556"/>
        <v>1728.8079</v>
      </c>
      <c r="I4654" s="5" t="str">
        <f t="shared" si="557"/>
        <v>018</v>
      </c>
      <c r="J4654" s="5" t="str">
        <f t="shared" si="558"/>
        <v>2210</v>
      </c>
      <c r="K4654" s="5" t="str">
        <f t="shared" si="559"/>
        <v>000</v>
      </c>
      <c r="L4654" s="5">
        <f t="shared" si="560"/>
        <v>11</v>
      </c>
      <c r="M4654" s="5">
        <f t="shared" si="561"/>
        <v>2012</v>
      </c>
    </row>
    <row r="4655" spans="1:13" ht="15" x14ac:dyDescent="0.25">
      <c r="A4655" s="1">
        <f>DATE(2012,11,23)</f>
        <v>41236</v>
      </c>
      <c r="B4655" t="s">
        <v>21</v>
      </c>
      <c r="C4655" t="s">
        <v>9</v>
      </c>
      <c r="D4655" s="3">
        <v>495.3732</v>
      </c>
      <c r="E4655" s="3">
        <v>0</v>
      </c>
      <c r="F4655" t="s">
        <v>45</v>
      </c>
      <c r="G4655" s="3">
        <f t="shared" si="555"/>
        <v>-495.3732</v>
      </c>
      <c r="H4655" s="3">
        <f t="shared" si="556"/>
        <v>495.3732</v>
      </c>
      <c r="I4655" s="5" t="str">
        <f t="shared" si="557"/>
        <v>018</v>
      </c>
      <c r="J4655" s="5" t="str">
        <f t="shared" si="558"/>
        <v>2220</v>
      </c>
      <c r="K4655" s="5" t="str">
        <f t="shared" si="559"/>
        <v>000</v>
      </c>
      <c r="L4655" s="5">
        <f t="shared" si="560"/>
        <v>11</v>
      </c>
      <c r="M4655" s="5">
        <f t="shared" si="561"/>
        <v>2012</v>
      </c>
    </row>
    <row r="4656" spans="1:13" ht="15" x14ac:dyDescent="0.25">
      <c r="A4656" s="1">
        <f>DATE(2012,11,23)</f>
        <v>41236</v>
      </c>
      <c r="B4656" t="s">
        <v>22</v>
      </c>
      <c r="C4656" t="s">
        <v>10</v>
      </c>
      <c r="D4656" s="3">
        <v>70.884</v>
      </c>
      <c r="E4656" s="3">
        <v>0</v>
      </c>
      <c r="F4656" t="s">
        <v>45</v>
      </c>
      <c r="G4656" s="3">
        <f t="shared" si="555"/>
        <v>-70.884</v>
      </c>
      <c r="H4656" s="3">
        <f t="shared" si="556"/>
        <v>70.884</v>
      </c>
      <c r="I4656" s="5" t="str">
        <f t="shared" si="557"/>
        <v>018</v>
      </c>
      <c r="J4656" s="5" t="str">
        <f t="shared" si="558"/>
        <v>2230</v>
      </c>
      <c r="K4656" s="5" t="str">
        <f t="shared" si="559"/>
        <v>000</v>
      </c>
      <c r="L4656" s="5">
        <f t="shared" si="560"/>
        <v>11</v>
      </c>
      <c r="M4656" s="5">
        <f t="shared" si="561"/>
        <v>2012</v>
      </c>
    </row>
    <row r="4657" spans="1:13" ht="15" x14ac:dyDescent="0.25">
      <c r="A4657" s="1">
        <f>DATE(2012,11,24)</f>
        <v>41237</v>
      </c>
      <c r="B4657" t="s">
        <v>19</v>
      </c>
      <c r="C4657" t="s">
        <v>6</v>
      </c>
      <c r="D4657" s="3">
        <v>11807.298999999999</v>
      </c>
      <c r="E4657" s="3">
        <v>0</v>
      </c>
      <c r="F4657" t="s">
        <v>45</v>
      </c>
      <c r="G4657" s="3">
        <f t="shared" si="555"/>
        <v>-11807.298999999999</v>
      </c>
      <c r="H4657" s="3">
        <f t="shared" si="556"/>
        <v>11807.298999999999</v>
      </c>
      <c r="I4657" s="5" t="str">
        <f t="shared" si="557"/>
        <v>018</v>
      </c>
      <c r="J4657" s="5" t="str">
        <f t="shared" si="558"/>
        <v>2100</v>
      </c>
      <c r="K4657" s="5" t="str">
        <f t="shared" si="559"/>
        <v>000</v>
      </c>
      <c r="L4657" s="5">
        <f t="shared" si="560"/>
        <v>11</v>
      </c>
      <c r="M4657" s="5">
        <f t="shared" si="561"/>
        <v>2012</v>
      </c>
    </row>
    <row r="4658" spans="1:13" ht="15" x14ac:dyDescent="0.25">
      <c r="A4658" s="1">
        <f>DATE(2012,11,24)</f>
        <v>41237</v>
      </c>
      <c r="B4658" t="s">
        <v>20</v>
      </c>
      <c r="C4658" t="s">
        <v>8</v>
      </c>
      <c r="D4658" s="3">
        <v>2431.3362000000002</v>
      </c>
      <c r="E4658" s="3">
        <v>0</v>
      </c>
      <c r="F4658" t="s">
        <v>45</v>
      </c>
      <c r="G4658" s="3">
        <f t="shared" si="555"/>
        <v>-2431.3362000000002</v>
      </c>
      <c r="H4658" s="3">
        <f t="shared" si="556"/>
        <v>2431.3362000000002</v>
      </c>
      <c r="I4658" s="5" t="str">
        <f t="shared" si="557"/>
        <v>018</v>
      </c>
      <c r="J4658" s="5" t="str">
        <f t="shared" si="558"/>
        <v>2210</v>
      </c>
      <c r="K4658" s="5" t="str">
        <f t="shared" si="559"/>
        <v>000</v>
      </c>
      <c r="L4658" s="5">
        <f t="shared" si="560"/>
        <v>11</v>
      </c>
      <c r="M4658" s="5">
        <f t="shared" si="561"/>
        <v>2012</v>
      </c>
    </row>
    <row r="4659" spans="1:13" ht="15" x14ac:dyDescent="0.25">
      <c r="A4659" s="1">
        <f>DATE(2012,11,24)</f>
        <v>41237</v>
      </c>
      <c r="B4659" t="s">
        <v>21</v>
      </c>
      <c r="C4659" t="s">
        <v>9</v>
      </c>
      <c r="D4659" s="3">
        <v>703.96800000000007</v>
      </c>
      <c r="E4659" s="3">
        <v>0</v>
      </c>
      <c r="F4659" t="s">
        <v>45</v>
      </c>
      <c r="G4659" s="3">
        <f t="shared" si="555"/>
        <v>-703.96800000000007</v>
      </c>
      <c r="H4659" s="3">
        <f t="shared" si="556"/>
        <v>703.96800000000007</v>
      </c>
      <c r="I4659" s="5" t="str">
        <f t="shared" si="557"/>
        <v>018</v>
      </c>
      <c r="J4659" s="5" t="str">
        <f t="shared" si="558"/>
        <v>2220</v>
      </c>
      <c r="K4659" s="5" t="str">
        <f t="shared" si="559"/>
        <v>000</v>
      </c>
      <c r="L4659" s="5">
        <f t="shared" si="560"/>
        <v>11</v>
      </c>
      <c r="M4659" s="5">
        <f t="shared" si="561"/>
        <v>2012</v>
      </c>
    </row>
    <row r="4660" spans="1:13" ht="15" x14ac:dyDescent="0.25">
      <c r="A4660" s="1">
        <f>DATE(2012,11,24)</f>
        <v>41237</v>
      </c>
      <c r="B4660" t="s">
        <v>22</v>
      </c>
      <c r="C4660" t="s">
        <v>10</v>
      </c>
      <c r="D4660" s="3">
        <v>124.3968</v>
      </c>
      <c r="E4660" s="3">
        <v>0</v>
      </c>
      <c r="F4660" t="s">
        <v>45</v>
      </c>
      <c r="G4660" s="3">
        <f t="shared" si="555"/>
        <v>-124.3968</v>
      </c>
      <c r="H4660" s="3">
        <f t="shared" si="556"/>
        <v>124.3968</v>
      </c>
      <c r="I4660" s="5" t="str">
        <f t="shared" si="557"/>
        <v>018</v>
      </c>
      <c r="J4660" s="5" t="str">
        <f t="shared" si="558"/>
        <v>2230</v>
      </c>
      <c r="K4660" s="5" t="str">
        <f t="shared" si="559"/>
        <v>000</v>
      </c>
      <c r="L4660" s="5">
        <f t="shared" si="560"/>
        <v>11</v>
      </c>
      <c r="M4660" s="5">
        <f t="shared" si="561"/>
        <v>2012</v>
      </c>
    </row>
    <row r="4661" spans="1:13" ht="15" x14ac:dyDescent="0.25">
      <c r="A4661" s="1">
        <f>DATE(2012,11,25)</f>
        <v>41238</v>
      </c>
      <c r="B4661" t="s">
        <v>19</v>
      </c>
      <c r="C4661" t="s">
        <v>6</v>
      </c>
      <c r="D4661" s="3">
        <v>7719.1376</v>
      </c>
      <c r="E4661" s="3">
        <v>0</v>
      </c>
      <c r="F4661" t="s">
        <v>45</v>
      </c>
      <c r="G4661" s="3">
        <f t="shared" si="555"/>
        <v>-7719.1376</v>
      </c>
      <c r="H4661" s="3">
        <f t="shared" si="556"/>
        <v>7719.1376</v>
      </c>
      <c r="I4661" s="5" t="str">
        <f t="shared" si="557"/>
        <v>018</v>
      </c>
      <c r="J4661" s="5" t="str">
        <f t="shared" si="558"/>
        <v>2100</v>
      </c>
      <c r="K4661" s="5" t="str">
        <f t="shared" si="559"/>
        <v>000</v>
      </c>
      <c r="L4661" s="5">
        <f t="shared" si="560"/>
        <v>11</v>
      </c>
      <c r="M4661" s="5">
        <f t="shared" si="561"/>
        <v>2012</v>
      </c>
    </row>
    <row r="4662" spans="1:13" ht="15" x14ac:dyDescent="0.25">
      <c r="A4662" s="1">
        <f>DATE(2012,11,25)</f>
        <v>41238</v>
      </c>
      <c r="B4662" t="s">
        <v>20</v>
      </c>
      <c r="C4662" t="s">
        <v>8</v>
      </c>
      <c r="D4662" s="3">
        <v>671.84</v>
      </c>
      <c r="E4662" s="3">
        <v>0</v>
      </c>
      <c r="F4662" t="s">
        <v>45</v>
      </c>
      <c r="G4662" s="3">
        <f t="shared" si="555"/>
        <v>-671.84</v>
      </c>
      <c r="H4662" s="3">
        <f t="shared" si="556"/>
        <v>671.84</v>
      </c>
      <c r="I4662" s="5" t="str">
        <f t="shared" si="557"/>
        <v>018</v>
      </c>
      <c r="J4662" s="5" t="str">
        <f t="shared" si="558"/>
        <v>2210</v>
      </c>
      <c r="K4662" s="5" t="str">
        <f t="shared" si="559"/>
        <v>000</v>
      </c>
      <c r="L4662" s="5">
        <f t="shared" si="560"/>
        <v>11</v>
      </c>
      <c r="M4662" s="5">
        <f t="shared" si="561"/>
        <v>2012</v>
      </c>
    </row>
    <row r="4663" spans="1:13" ht="15" x14ac:dyDescent="0.25">
      <c r="A4663" s="1">
        <f>DATE(2012,11,25)</f>
        <v>41238</v>
      </c>
      <c r="B4663" t="s">
        <v>21</v>
      </c>
      <c r="C4663" t="s">
        <v>9</v>
      </c>
      <c r="D4663" s="3">
        <v>160.32060000000001</v>
      </c>
      <c r="E4663" s="3">
        <v>0</v>
      </c>
      <c r="F4663" t="s">
        <v>45</v>
      </c>
      <c r="G4663" s="3">
        <f t="shared" si="555"/>
        <v>-160.32060000000001</v>
      </c>
      <c r="H4663" s="3">
        <f t="shared" si="556"/>
        <v>160.32060000000001</v>
      </c>
      <c r="I4663" s="5" t="str">
        <f t="shared" si="557"/>
        <v>018</v>
      </c>
      <c r="J4663" s="5" t="str">
        <f t="shared" si="558"/>
        <v>2220</v>
      </c>
      <c r="K4663" s="5" t="str">
        <f t="shared" si="559"/>
        <v>000</v>
      </c>
      <c r="L4663" s="5">
        <f t="shared" si="560"/>
        <v>11</v>
      </c>
      <c r="M4663" s="5">
        <f t="shared" si="561"/>
        <v>2012</v>
      </c>
    </row>
    <row r="4664" spans="1:13" ht="15" x14ac:dyDescent="0.25">
      <c r="A4664" s="1">
        <f>DATE(2012,11,25)</f>
        <v>41238</v>
      </c>
      <c r="B4664" t="s">
        <v>22</v>
      </c>
      <c r="C4664" t="s">
        <v>10</v>
      </c>
      <c r="D4664" s="3">
        <v>39.228500000000004</v>
      </c>
      <c r="E4664" s="3">
        <v>0</v>
      </c>
      <c r="F4664" t="s">
        <v>45</v>
      </c>
      <c r="G4664" s="3">
        <f t="shared" si="555"/>
        <v>-39.228500000000004</v>
      </c>
      <c r="H4664" s="3">
        <f t="shared" si="556"/>
        <v>39.228500000000004</v>
      </c>
      <c r="I4664" s="5" t="str">
        <f t="shared" si="557"/>
        <v>018</v>
      </c>
      <c r="J4664" s="5" t="str">
        <f t="shared" si="558"/>
        <v>2230</v>
      </c>
      <c r="K4664" s="5" t="str">
        <f t="shared" si="559"/>
        <v>000</v>
      </c>
      <c r="L4664" s="5">
        <f t="shared" si="560"/>
        <v>11</v>
      </c>
      <c r="M4664" s="5">
        <f t="shared" si="561"/>
        <v>2012</v>
      </c>
    </row>
    <row r="4665" spans="1:13" ht="15" x14ac:dyDescent="0.25">
      <c r="A4665" s="1">
        <f>DATE(2012,11,26)</f>
        <v>41239</v>
      </c>
      <c r="B4665" t="s">
        <v>11</v>
      </c>
      <c r="C4665" t="s">
        <v>6</v>
      </c>
      <c r="D4665" s="3">
        <v>2280.1615000000002</v>
      </c>
      <c r="E4665" s="3">
        <v>0</v>
      </c>
      <c r="F4665" t="s">
        <v>45</v>
      </c>
      <c r="G4665" s="3">
        <f t="shared" si="555"/>
        <v>-2280.1615000000002</v>
      </c>
      <c r="H4665" s="3">
        <f t="shared" si="556"/>
        <v>2280.1615000000002</v>
      </c>
      <c r="I4665" s="5" t="str">
        <f t="shared" si="557"/>
        <v>016</v>
      </c>
      <c r="J4665" s="5" t="str">
        <f t="shared" si="558"/>
        <v>2100</v>
      </c>
      <c r="K4665" s="5" t="str">
        <f t="shared" si="559"/>
        <v>000</v>
      </c>
      <c r="L4665" s="5">
        <f t="shared" si="560"/>
        <v>11</v>
      </c>
      <c r="M4665" s="5">
        <f t="shared" si="561"/>
        <v>2012</v>
      </c>
    </row>
    <row r="4666" spans="1:13" ht="15" x14ac:dyDescent="0.25">
      <c r="A4666" s="1">
        <f>DATE(2012,11,26)</f>
        <v>41239</v>
      </c>
      <c r="B4666" t="s">
        <v>12</v>
      </c>
      <c r="C4666" t="s">
        <v>8</v>
      </c>
      <c r="D4666" s="3">
        <v>537.68460000000005</v>
      </c>
      <c r="E4666" s="3">
        <v>0</v>
      </c>
      <c r="F4666" t="s">
        <v>45</v>
      </c>
      <c r="G4666" s="3">
        <f t="shared" si="555"/>
        <v>-537.68460000000005</v>
      </c>
      <c r="H4666" s="3">
        <f t="shared" si="556"/>
        <v>537.68460000000005</v>
      </c>
      <c r="I4666" s="5" t="str">
        <f t="shared" si="557"/>
        <v>016</v>
      </c>
      <c r="J4666" s="5" t="str">
        <f t="shared" si="558"/>
        <v>2210</v>
      </c>
      <c r="K4666" s="5" t="str">
        <f t="shared" si="559"/>
        <v>000</v>
      </c>
      <c r="L4666" s="5">
        <f t="shared" si="560"/>
        <v>11</v>
      </c>
      <c r="M4666" s="5">
        <f t="shared" si="561"/>
        <v>2012</v>
      </c>
    </row>
    <row r="4667" spans="1:13" ht="15" x14ac:dyDescent="0.25">
      <c r="A4667" s="1">
        <f>DATE(2012,11,26)</f>
        <v>41239</v>
      </c>
      <c r="B4667" t="s">
        <v>13</v>
      </c>
      <c r="C4667" t="s">
        <v>9</v>
      </c>
      <c r="D4667" s="3">
        <v>127.4465</v>
      </c>
      <c r="E4667" s="3">
        <v>0</v>
      </c>
      <c r="F4667" t="s">
        <v>45</v>
      </c>
      <c r="G4667" s="3">
        <f t="shared" si="555"/>
        <v>-127.4465</v>
      </c>
      <c r="H4667" s="3">
        <f t="shared" si="556"/>
        <v>127.4465</v>
      </c>
      <c r="I4667" s="5" t="str">
        <f t="shared" si="557"/>
        <v>016</v>
      </c>
      <c r="J4667" s="5" t="str">
        <f t="shared" si="558"/>
        <v>2220</v>
      </c>
      <c r="K4667" s="5" t="str">
        <f t="shared" si="559"/>
        <v>000</v>
      </c>
      <c r="L4667" s="5">
        <f t="shared" si="560"/>
        <v>11</v>
      </c>
      <c r="M4667" s="5">
        <f t="shared" si="561"/>
        <v>2012</v>
      </c>
    </row>
    <row r="4668" spans="1:13" ht="15" x14ac:dyDescent="0.25">
      <c r="A4668" s="1">
        <f>DATE(2012,11,26)</f>
        <v>41239</v>
      </c>
      <c r="B4668" t="s">
        <v>14</v>
      </c>
      <c r="C4668" t="s">
        <v>10</v>
      </c>
      <c r="D4668" s="3">
        <v>54.075600000000009</v>
      </c>
      <c r="E4668" s="3">
        <v>0</v>
      </c>
      <c r="F4668" t="s">
        <v>45</v>
      </c>
      <c r="G4668" s="3">
        <f t="shared" si="555"/>
        <v>-54.075600000000009</v>
      </c>
      <c r="H4668" s="3">
        <f t="shared" si="556"/>
        <v>54.075600000000009</v>
      </c>
      <c r="I4668" s="5" t="str">
        <f t="shared" si="557"/>
        <v>016</v>
      </c>
      <c r="J4668" s="5" t="str">
        <f t="shared" si="558"/>
        <v>2230</v>
      </c>
      <c r="K4668" s="5" t="str">
        <f t="shared" si="559"/>
        <v>000</v>
      </c>
      <c r="L4668" s="5">
        <f t="shared" si="560"/>
        <v>11</v>
      </c>
      <c r="M4668" s="5">
        <f t="shared" si="561"/>
        <v>2012</v>
      </c>
    </row>
    <row r="4669" spans="1:13" ht="15" x14ac:dyDescent="0.25">
      <c r="A4669" s="1">
        <f>DATE(2012,11,27)</f>
        <v>41240</v>
      </c>
      <c r="B4669" t="s">
        <v>11</v>
      </c>
      <c r="C4669" t="s">
        <v>6</v>
      </c>
      <c r="D4669" s="3">
        <v>4887.7924000000003</v>
      </c>
      <c r="E4669" s="3">
        <v>0</v>
      </c>
      <c r="F4669" t="s">
        <v>45</v>
      </c>
      <c r="G4669" s="3">
        <f t="shared" si="555"/>
        <v>-4887.7924000000003</v>
      </c>
      <c r="H4669" s="3">
        <f t="shared" si="556"/>
        <v>4887.7924000000003</v>
      </c>
      <c r="I4669" s="5" t="str">
        <f t="shared" si="557"/>
        <v>016</v>
      </c>
      <c r="J4669" s="5" t="str">
        <f t="shared" si="558"/>
        <v>2100</v>
      </c>
      <c r="K4669" s="5" t="str">
        <f t="shared" si="559"/>
        <v>000</v>
      </c>
      <c r="L4669" s="5">
        <f t="shared" si="560"/>
        <v>11</v>
      </c>
      <c r="M4669" s="5">
        <f t="shared" si="561"/>
        <v>2012</v>
      </c>
    </row>
    <row r="4670" spans="1:13" ht="15" x14ac:dyDescent="0.25">
      <c r="A4670" s="1">
        <f>DATE(2012,11,27)</f>
        <v>41240</v>
      </c>
      <c r="B4670" t="s">
        <v>12</v>
      </c>
      <c r="C4670" t="s">
        <v>8</v>
      </c>
      <c r="D4670" s="3">
        <v>1974.5896</v>
      </c>
      <c r="E4670" s="3">
        <v>0</v>
      </c>
      <c r="F4670" t="s">
        <v>45</v>
      </c>
      <c r="G4670" s="3">
        <f t="shared" si="555"/>
        <v>-1974.5896</v>
      </c>
      <c r="H4670" s="3">
        <f t="shared" si="556"/>
        <v>1974.5896</v>
      </c>
      <c r="I4670" s="5" t="str">
        <f t="shared" si="557"/>
        <v>016</v>
      </c>
      <c r="J4670" s="5" t="str">
        <f t="shared" si="558"/>
        <v>2210</v>
      </c>
      <c r="K4670" s="5" t="str">
        <f t="shared" si="559"/>
        <v>000</v>
      </c>
      <c r="L4670" s="5">
        <f t="shared" si="560"/>
        <v>11</v>
      </c>
      <c r="M4670" s="5">
        <f t="shared" si="561"/>
        <v>2012</v>
      </c>
    </row>
    <row r="4671" spans="1:13" ht="15" x14ac:dyDescent="0.25">
      <c r="A4671" s="1">
        <f>DATE(2012,11,27)</f>
        <v>41240</v>
      </c>
      <c r="B4671" t="s">
        <v>13</v>
      </c>
      <c r="C4671" t="s">
        <v>9</v>
      </c>
      <c r="D4671" s="3">
        <v>431.97449999999992</v>
      </c>
      <c r="E4671" s="3">
        <v>0</v>
      </c>
      <c r="F4671" t="s">
        <v>45</v>
      </c>
      <c r="G4671" s="3">
        <f t="shared" si="555"/>
        <v>-431.97449999999992</v>
      </c>
      <c r="H4671" s="3">
        <f t="shared" si="556"/>
        <v>431.97449999999992</v>
      </c>
      <c r="I4671" s="5" t="str">
        <f t="shared" si="557"/>
        <v>016</v>
      </c>
      <c r="J4671" s="5" t="str">
        <f t="shared" si="558"/>
        <v>2220</v>
      </c>
      <c r="K4671" s="5" t="str">
        <f t="shared" si="559"/>
        <v>000</v>
      </c>
      <c r="L4671" s="5">
        <f t="shared" si="560"/>
        <v>11</v>
      </c>
      <c r="M4671" s="5">
        <f t="shared" si="561"/>
        <v>2012</v>
      </c>
    </row>
    <row r="4672" spans="1:13" ht="15" x14ac:dyDescent="0.25">
      <c r="A4672" s="1">
        <f>DATE(2012,11,27)</f>
        <v>41240</v>
      </c>
      <c r="B4672" t="s">
        <v>14</v>
      </c>
      <c r="C4672" t="s">
        <v>10</v>
      </c>
      <c r="D4672" s="3">
        <v>108.00160000000002</v>
      </c>
      <c r="E4672" s="3">
        <v>0</v>
      </c>
      <c r="F4672" t="s">
        <v>45</v>
      </c>
      <c r="G4672" s="3">
        <f t="shared" si="555"/>
        <v>-108.00160000000002</v>
      </c>
      <c r="H4672" s="3">
        <f t="shared" si="556"/>
        <v>108.00160000000002</v>
      </c>
      <c r="I4672" s="5" t="str">
        <f t="shared" si="557"/>
        <v>016</v>
      </c>
      <c r="J4672" s="5" t="str">
        <f t="shared" si="558"/>
        <v>2230</v>
      </c>
      <c r="K4672" s="5" t="str">
        <f t="shared" si="559"/>
        <v>000</v>
      </c>
      <c r="L4672" s="5">
        <f t="shared" si="560"/>
        <v>11</v>
      </c>
      <c r="M4672" s="5">
        <f t="shared" si="561"/>
        <v>2012</v>
      </c>
    </row>
    <row r="4673" spans="1:13" ht="15" x14ac:dyDescent="0.25">
      <c r="A4673" s="1">
        <f>DATE(2012,11,28)</f>
        <v>41241</v>
      </c>
      <c r="B4673" t="s">
        <v>11</v>
      </c>
      <c r="C4673" t="s">
        <v>6</v>
      </c>
      <c r="D4673" s="3">
        <v>2052.9920000000002</v>
      </c>
      <c r="E4673" s="3">
        <v>0</v>
      </c>
      <c r="F4673" t="s">
        <v>45</v>
      </c>
      <c r="G4673" s="3">
        <f t="shared" si="555"/>
        <v>-2052.9920000000002</v>
      </c>
      <c r="H4673" s="3">
        <f t="shared" si="556"/>
        <v>2052.9920000000002</v>
      </c>
      <c r="I4673" s="5" t="str">
        <f t="shared" si="557"/>
        <v>016</v>
      </c>
      <c r="J4673" s="5" t="str">
        <f t="shared" si="558"/>
        <v>2100</v>
      </c>
      <c r="K4673" s="5" t="str">
        <f t="shared" si="559"/>
        <v>000</v>
      </c>
      <c r="L4673" s="5">
        <f t="shared" si="560"/>
        <v>11</v>
      </c>
      <c r="M4673" s="5">
        <f t="shared" si="561"/>
        <v>2012</v>
      </c>
    </row>
    <row r="4674" spans="1:13" ht="15" x14ac:dyDescent="0.25">
      <c r="A4674" s="1">
        <f>DATE(2012,11,28)</f>
        <v>41241</v>
      </c>
      <c r="B4674" t="s">
        <v>12</v>
      </c>
      <c r="C4674" t="s">
        <v>8</v>
      </c>
      <c r="D4674" s="3">
        <v>691.98360000000002</v>
      </c>
      <c r="E4674" s="3">
        <v>0</v>
      </c>
      <c r="F4674" t="s">
        <v>45</v>
      </c>
      <c r="G4674" s="3">
        <f t="shared" ref="G4674:G4737" si="563">E4674-D4674</f>
        <v>-691.98360000000002</v>
      </c>
      <c r="H4674" s="3">
        <f t="shared" ref="H4674:H4737" si="564">ABS(G4674)</f>
        <v>691.98360000000002</v>
      </c>
      <c r="I4674" s="5" t="str">
        <f t="shared" ref="I4674:I4737" si="565">MID(B4674,1,3)</f>
        <v>016</v>
      </c>
      <c r="J4674" s="5" t="str">
        <f t="shared" ref="J4674:J4737" si="566">MID(B4674,5,4)</f>
        <v>2210</v>
      </c>
      <c r="K4674" s="5" t="str">
        <f t="shared" ref="K4674:K4737" si="567">MID(B4674,10,3)</f>
        <v>000</v>
      </c>
      <c r="L4674" s="5">
        <f t="shared" ref="L4674:L4737" si="568">MONTH(A4674)</f>
        <v>11</v>
      </c>
      <c r="M4674" s="5">
        <f t="shared" ref="M4674:M4737" si="569">YEAR(A4674)</f>
        <v>2012</v>
      </c>
    </row>
    <row r="4675" spans="1:13" ht="15" x14ac:dyDescent="0.25">
      <c r="A4675" s="1">
        <f>DATE(2012,11,28)</f>
        <v>41241</v>
      </c>
      <c r="B4675" t="s">
        <v>13</v>
      </c>
      <c r="C4675" t="s">
        <v>9</v>
      </c>
      <c r="D4675" s="3">
        <v>95.234000000000009</v>
      </c>
      <c r="E4675" s="3">
        <v>0</v>
      </c>
      <c r="F4675" t="s">
        <v>45</v>
      </c>
      <c r="G4675" s="3">
        <f t="shared" si="563"/>
        <v>-95.234000000000009</v>
      </c>
      <c r="H4675" s="3">
        <f t="shared" si="564"/>
        <v>95.234000000000009</v>
      </c>
      <c r="I4675" s="5" t="str">
        <f t="shared" si="565"/>
        <v>016</v>
      </c>
      <c r="J4675" s="5" t="str">
        <f t="shared" si="566"/>
        <v>2220</v>
      </c>
      <c r="K4675" s="5" t="str">
        <f t="shared" si="567"/>
        <v>000</v>
      </c>
      <c r="L4675" s="5">
        <f t="shared" si="568"/>
        <v>11</v>
      </c>
      <c r="M4675" s="5">
        <f t="shared" si="569"/>
        <v>2012</v>
      </c>
    </row>
    <row r="4676" spans="1:13" ht="15" x14ac:dyDescent="0.25">
      <c r="A4676" s="1">
        <f>DATE(2012,11,28)</f>
        <v>41241</v>
      </c>
      <c r="B4676" t="s">
        <v>14</v>
      </c>
      <c r="C4676" t="s">
        <v>10</v>
      </c>
      <c r="D4676" s="3">
        <v>32.071199999999997</v>
      </c>
      <c r="E4676" s="3">
        <v>0</v>
      </c>
      <c r="F4676" t="s">
        <v>45</v>
      </c>
      <c r="G4676" s="3">
        <f t="shared" si="563"/>
        <v>-32.071199999999997</v>
      </c>
      <c r="H4676" s="3">
        <f t="shared" si="564"/>
        <v>32.071199999999997</v>
      </c>
      <c r="I4676" s="5" t="str">
        <f t="shared" si="565"/>
        <v>016</v>
      </c>
      <c r="J4676" s="5" t="str">
        <f t="shared" si="566"/>
        <v>2230</v>
      </c>
      <c r="K4676" s="5" t="str">
        <f t="shared" si="567"/>
        <v>000</v>
      </c>
      <c r="L4676" s="5">
        <f t="shared" si="568"/>
        <v>11</v>
      </c>
      <c r="M4676" s="5">
        <f t="shared" si="569"/>
        <v>2012</v>
      </c>
    </row>
    <row r="4677" spans="1:13" ht="15" x14ac:dyDescent="0.25">
      <c r="A4677" s="1">
        <f>DATE(2012,11,29)</f>
        <v>41242</v>
      </c>
      <c r="B4677" t="s">
        <v>11</v>
      </c>
      <c r="C4677" t="s">
        <v>6</v>
      </c>
      <c r="D4677" s="3">
        <v>3253.5434</v>
      </c>
      <c r="E4677" s="3">
        <v>0</v>
      </c>
      <c r="F4677" t="s">
        <v>45</v>
      </c>
      <c r="G4677" s="3">
        <f t="shared" si="563"/>
        <v>-3253.5434</v>
      </c>
      <c r="H4677" s="3">
        <f t="shared" si="564"/>
        <v>3253.5434</v>
      </c>
      <c r="I4677" s="5" t="str">
        <f t="shared" si="565"/>
        <v>016</v>
      </c>
      <c r="J4677" s="5" t="str">
        <f t="shared" si="566"/>
        <v>2100</v>
      </c>
      <c r="K4677" s="5" t="str">
        <f t="shared" si="567"/>
        <v>000</v>
      </c>
      <c r="L4677" s="5">
        <f t="shared" si="568"/>
        <v>11</v>
      </c>
      <c r="M4677" s="5">
        <f t="shared" si="569"/>
        <v>2012</v>
      </c>
    </row>
    <row r="4678" spans="1:13" ht="15" x14ac:dyDescent="0.25">
      <c r="A4678" s="1">
        <f>DATE(2012,11,29)</f>
        <v>41242</v>
      </c>
      <c r="B4678" t="s">
        <v>12</v>
      </c>
      <c r="C4678" t="s">
        <v>8</v>
      </c>
      <c r="D4678" s="3">
        <v>406.66419999999999</v>
      </c>
      <c r="E4678" s="3">
        <v>0</v>
      </c>
      <c r="F4678" t="s">
        <v>45</v>
      </c>
      <c r="G4678" s="3">
        <f t="shared" si="563"/>
        <v>-406.66419999999999</v>
      </c>
      <c r="H4678" s="3">
        <f t="shared" si="564"/>
        <v>406.66419999999999</v>
      </c>
      <c r="I4678" s="5" t="str">
        <f t="shared" si="565"/>
        <v>016</v>
      </c>
      <c r="J4678" s="5" t="str">
        <f t="shared" si="566"/>
        <v>2210</v>
      </c>
      <c r="K4678" s="5" t="str">
        <f t="shared" si="567"/>
        <v>000</v>
      </c>
      <c r="L4678" s="5">
        <f t="shared" si="568"/>
        <v>11</v>
      </c>
      <c r="M4678" s="5">
        <f t="shared" si="569"/>
        <v>2012</v>
      </c>
    </row>
    <row r="4679" spans="1:13" ht="15" x14ac:dyDescent="0.25">
      <c r="A4679" s="1">
        <f>DATE(2012,11,29)</f>
        <v>41242</v>
      </c>
      <c r="B4679" t="s">
        <v>13</v>
      </c>
      <c r="C4679" t="s">
        <v>9</v>
      </c>
      <c r="D4679" s="3">
        <v>103.9049</v>
      </c>
      <c r="E4679" s="3">
        <v>0</v>
      </c>
      <c r="F4679" t="s">
        <v>45</v>
      </c>
      <c r="G4679" s="3">
        <f t="shared" si="563"/>
        <v>-103.9049</v>
      </c>
      <c r="H4679" s="3">
        <f t="shared" si="564"/>
        <v>103.9049</v>
      </c>
      <c r="I4679" s="5" t="str">
        <f t="shared" si="565"/>
        <v>016</v>
      </c>
      <c r="J4679" s="5" t="str">
        <f t="shared" si="566"/>
        <v>2220</v>
      </c>
      <c r="K4679" s="5" t="str">
        <f t="shared" si="567"/>
        <v>000</v>
      </c>
      <c r="L4679" s="5">
        <f t="shared" si="568"/>
        <v>11</v>
      </c>
      <c r="M4679" s="5">
        <f t="shared" si="569"/>
        <v>2012</v>
      </c>
    </row>
    <row r="4680" spans="1:13" ht="15" x14ac:dyDescent="0.25">
      <c r="A4680" s="1">
        <f>DATE(2012,11,29)</f>
        <v>41242</v>
      </c>
      <c r="B4680" t="s">
        <v>14</v>
      </c>
      <c r="C4680" t="s">
        <v>10</v>
      </c>
      <c r="D4680" s="3">
        <v>58.304999999999993</v>
      </c>
      <c r="E4680" s="3">
        <v>0</v>
      </c>
      <c r="F4680" t="s">
        <v>45</v>
      </c>
      <c r="G4680" s="3">
        <f t="shared" si="563"/>
        <v>-58.304999999999993</v>
      </c>
      <c r="H4680" s="3">
        <f t="shared" si="564"/>
        <v>58.304999999999993</v>
      </c>
      <c r="I4680" s="5" t="str">
        <f t="shared" si="565"/>
        <v>016</v>
      </c>
      <c r="J4680" s="5" t="str">
        <f t="shared" si="566"/>
        <v>2230</v>
      </c>
      <c r="K4680" s="5" t="str">
        <f t="shared" si="567"/>
        <v>000</v>
      </c>
      <c r="L4680" s="5">
        <f t="shared" si="568"/>
        <v>11</v>
      </c>
      <c r="M4680" s="5">
        <f t="shared" si="569"/>
        <v>2012</v>
      </c>
    </row>
    <row r="4681" spans="1:13" ht="15" x14ac:dyDescent="0.25">
      <c r="A4681" s="1">
        <f>DATE(2012,11,30)</f>
        <v>41243</v>
      </c>
      <c r="B4681" t="s">
        <v>11</v>
      </c>
      <c r="C4681" t="s">
        <v>6</v>
      </c>
      <c r="D4681" s="3">
        <v>5010.4080000000004</v>
      </c>
      <c r="E4681" s="3">
        <v>0</v>
      </c>
      <c r="F4681" t="s">
        <v>45</v>
      </c>
      <c r="G4681" s="3">
        <f t="shared" si="563"/>
        <v>-5010.4080000000004</v>
      </c>
      <c r="H4681" s="3">
        <f t="shared" si="564"/>
        <v>5010.4080000000004</v>
      </c>
      <c r="I4681" s="5" t="str">
        <f t="shared" si="565"/>
        <v>016</v>
      </c>
      <c r="J4681" s="5" t="str">
        <f t="shared" si="566"/>
        <v>2100</v>
      </c>
      <c r="K4681" s="5" t="str">
        <f t="shared" si="567"/>
        <v>000</v>
      </c>
      <c r="L4681" s="5">
        <f t="shared" si="568"/>
        <v>11</v>
      </c>
      <c r="M4681" s="5">
        <f t="shared" si="569"/>
        <v>2012</v>
      </c>
    </row>
    <row r="4682" spans="1:13" ht="15" x14ac:dyDescent="0.25">
      <c r="A4682" s="1">
        <f>DATE(2012,11,30)</f>
        <v>41243</v>
      </c>
      <c r="B4682" t="s">
        <v>12</v>
      </c>
      <c r="C4682" t="s">
        <v>8</v>
      </c>
      <c r="D4682" s="3">
        <v>1321.1328000000001</v>
      </c>
      <c r="E4682" s="3">
        <v>0</v>
      </c>
      <c r="F4682" t="s">
        <v>45</v>
      </c>
      <c r="G4682" s="3">
        <f t="shared" si="563"/>
        <v>-1321.1328000000001</v>
      </c>
      <c r="H4682" s="3">
        <f t="shared" si="564"/>
        <v>1321.1328000000001</v>
      </c>
      <c r="I4682" s="5" t="str">
        <f t="shared" si="565"/>
        <v>016</v>
      </c>
      <c r="J4682" s="5" t="str">
        <f t="shared" si="566"/>
        <v>2210</v>
      </c>
      <c r="K4682" s="5" t="str">
        <f t="shared" si="567"/>
        <v>000</v>
      </c>
      <c r="L4682" s="5">
        <f t="shared" si="568"/>
        <v>11</v>
      </c>
      <c r="M4682" s="5">
        <f t="shared" si="569"/>
        <v>2012</v>
      </c>
    </row>
    <row r="4683" spans="1:13" ht="15" x14ac:dyDescent="0.25">
      <c r="A4683" s="1">
        <f>DATE(2012,11,30)</f>
        <v>41243</v>
      </c>
      <c r="B4683" t="s">
        <v>13</v>
      </c>
      <c r="C4683" t="s">
        <v>9</v>
      </c>
      <c r="D4683" s="3">
        <v>346.22199999999998</v>
      </c>
      <c r="E4683" s="3">
        <v>0</v>
      </c>
      <c r="F4683" t="s">
        <v>45</v>
      </c>
      <c r="G4683" s="3">
        <f t="shared" si="563"/>
        <v>-346.22199999999998</v>
      </c>
      <c r="H4683" s="3">
        <f t="shared" si="564"/>
        <v>346.22199999999998</v>
      </c>
      <c r="I4683" s="5" t="str">
        <f t="shared" si="565"/>
        <v>016</v>
      </c>
      <c r="J4683" s="5" t="str">
        <f t="shared" si="566"/>
        <v>2220</v>
      </c>
      <c r="K4683" s="5" t="str">
        <f t="shared" si="567"/>
        <v>000</v>
      </c>
      <c r="L4683" s="5">
        <f t="shared" si="568"/>
        <v>11</v>
      </c>
      <c r="M4683" s="5">
        <f t="shared" si="569"/>
        <v>2012</v>
      </c>
    </row>
    <row r="4684" spans="1:13" ht="15" x14ac:dyDescent="0.25">
      <c r="A4684" s="1">
        <f>DATE(2012,11,30)</f>
        <v>41243</v>
      </c>
      <c r="B4684" t="s">
        <v>14</v>
      </c>
      <c r="C4684" t="s">
        <v>10</v>
      </c>
      <c r="D4684" s="3">
        <v>75.753</v>
      </c>
      <c r="E4684" s="3">
        <v>0</v>
      </c>
      <c r="F4684" t="s">
        <v>45</v>
      </c>
      <c r="G4684" s="3">
        <f t="shared" si="563"/>
        <v>-75.753</v>
      </c>
      <c r="H4684" s="3">
        <f t="shared" si="564"/>
        <v>75.753</v>
      </c>
      <c r="I4684" s="5" t="str">
        <f t="shared" si="565"/>
        <v>016</v>
      </c>
      <c r="J4684" s="5" t="str">
        <f t="shared" si="566"/>
        <v>2230</v>
      </c>
      <c r="K4684" s="5" t="str">
        <f t="shared" si="567"/>
        <v>000</v>
      </c>
      <c r="L4684" s="5">
        <f t="shared" si="568"/>
        <v>11</v>
      </c>
      <c r="M4684" s="5">
        <f t="shared" si="569"/>
        <v>2012</v>
      </c>
    </row>
    <row r="4685" spans="1:13" ht="15" x14ac:dyDescent="0.25">
      <c r="A4685" s="1">
        <f>DATE(2012,12,1)</f>
        <v>41244</v>
      </c>
      <c r="B4685" t="s">
        <v>11</v>
      </c>
      <c r="C4685" t="s">
        <v>6</v>
      </c>
      <c r="D4685" s="3">
        <v>7445.7372000000005</v>
      </c>
      <c r="E4685" s="3">
        <v>0</v>
      </c>
      <c r="F4685" t="s">
        <v>45</v>
      </c>
      <c r="G4685" s="3">
        <f t="shared" si="563"/>
        <v>-7445.7372000000005</v>
      </c>
      <c r="H4685" s="3">
        <f t="shared" si="564"/>
        <v>7445.7372000000005</v>
      </c>
      <c r="I4685" s="5" t="str">
        <f t="shared" si="565"/>
        <v>016</v>
      </c>
      <c r="J4685" s="5" t="str">
        <f t="shared" si="566"/>
        <v>2100</v>
      </c>
      <c r="K4685" s="5" t="str">
        <f t="shared" si="567"/>
        <v>000</v>
      </c>
      <c r="L4685" s="5">
        <f t="shared" si="568"/>
        <v>12</v>
      </c>
      <c r="M4685" s="5">
        <f t="shared" si="569"/>
        <v>2012</v>
      </c>
    </row>
    <row r="4686" spans="1:13" ht="15" x14ac:dyDescent="0.25">
      <c r="A4686" s="1">
        <f>DATE(2012,12,1)</f>
        <v>41244</v>
      </c>
      <c r="B4686" t="s">
        <v>12</v>
      </c>
      <c r="C4686" t="s">
        <v>8</v>
      </c>
      <c r="D4686" s="3">
        <v>3695.6248000000001</v>
      </c>
      <c r="E4686" s="3">
        <v>0</v>
      </c>
      <c r="F4686" t="s">
        <v>45</v>
      </c>
      <c r="G4686" s="3">
        <f t="shared" si="563"/>
        <v>-3695.6248000000001</v>
      </c>
      <c r="H4686" s="3">
        <f t="shared" si="564"/>
        <v>3695.6248000000001</v>
      </c>
      <c r="I4686" s="5" t="str">
        <f t="shared" si="565"/>
        <v>016</v>
      </c>
      <c r="J4686" s="5" t="str">
        <f t="shared" si="566"/>
        <v>2210</v>
      </c>
      <c r="K4686" s="5" t="str">
        <f t="shared" si="567"/>
        <v>000</v>
      </c>
      <c r="L4686" s="5">
        <f t="shared" si="568"/>
        <v>12</v>
      </c>
      <c r="M4686" s="5">
        <f t="shared" si="569"/>
        <v>2012</v>
      </c>
    </row>
    <row r="4687" spans="1:13" ht="15" x14ac:dyDescent="0.25">
      <c r="A4687" s="1">
        <f>DATE(2012,12,1)</f>
        <v>41244</v>
      </c>
      <c r="B4687" t="s">
        <v>13</v>
      </c>
      <c r="C4687" t="s">
        <v>9</v>
      </c>
      <c r="D4687" s="3">
        <v>752.87940000000003</v>
      </c>
      <c r="E4687" s="3">
        <v>0</v>
      </c>
      <c r="F4687" t="s">
        <v>45</v>
      </c>
      <c r="G4687" s="3">
        <f t="shared" si="563"/>
        <v>-752.87940000000003</v>
      </c>
      <c r="H4687" s="3">
        <f t="shared" si="564"/>
        <v>752.87940000000003</v>
      </c>
      <c r="I4687" s="5" t="str">
        <f t="shared" si="565"/>
        <v>016</v>
      </c>
      <c r="J4687" s="5" t="str">
        <f t="shared" si="566"/>
        <v>2220</v>
      </c>
      <c r="K4687" s="5" t="str">
        <f t="shared" si="567"/>
        <v>000</v>
      </c>
      <c r="L4687" s="5">
        <f t="shared" si="568"/>
        <v>12</v>
      </c>
      <c r="M4687" s="5">
        <f t="shared" si="569"/>
        <v>2012</v>
      </c>
    </row>
    <row r="4688" spans="1:13" ht="15" x14ac:dyDescent="0.25">
      <c r="A4688" s="1">
        <f>DATE(2012,12,1)</f>
        <v>41244</v>
      </c>
      <c r="B4688" t="s">
        <v>14</v>
      </c>
      <c r="C4688" t="s">
        <v>10</v>
      </c>
      <c r="D4688" s="3">
        <v>441.64549999999997</v>
      </c>
      <c r="E4688" s="3">
        <v>0</v>
      </c>
      <c r="F4688" t="s">
        <v>45</v>
      </c>
      <c r="G4688" s="3">
        <f t="shared" si="563"/>
        <v>-441.64549999999997</v>
      </c>
      <c r="H4688" s="3">
        <f t="shared" si="564"/>
        <v>441.64549999999997</v>
      </c>
      <c r="I4688" s="5" t="str">
        <f t="shared" si="565"/>
        <v>016</v>
      </c>
      <c r="J4688" s="5" t="str">
        <f t="shared" si="566"/>
        <v>2230</v>
      </c>
      <c r="K4688" s="5" t="str">
        <f t="shared" si="567"/>
        <v>000</v>
      </c>
      <c r="L4688" s="5">
        <f t="shared" si="568"/>
        <v>12</v>
      </c>
      <c r="M4688" s="5">
        <f t="shared" si="569"/>
        <v>2012</v>
      </c>
    </row>
    <row r="4689" spans="1:13" ht="15" x14ac:dyDescent="0.25">
      <c r="A4689" s="1">
        <f>DATE(2012,12,2)</f>
        <v>41245</v>
      </c>
      <c r="B4689" t="s">
        <v>11</v>
      </c>
      <c r="C4689" t="s">
        <v>6</v>
      </c>
      <c r="D4689" s="3">
        <v>3578.6642999999999</v>
      </c>
      <c r="E4689" s="3">
        <v>0</v>
      </c>
      <c r="F4689" t="s">
        <v>45</v>
      </c>
      <c r="G4689" s="3">
        <f t="shared" si="563"/>
        <v>-3578.6642999999999</v>
      </c>
      <c r="H4689" s="3">
        <f t="shared" si="564"/>
        <v>3578.6642999999999</v>
      </c>
      <c r="I4689" s="5" t="str">
        <f t="shared" si="565"/>
        <v>016</v>
      </c>
      <c r="J4689" s="5" t="str">
        <f t="shared" si="566"/>
        <v>2100</v>
      </c>
      <c r="K4689" s="5" t="str">
        <f t="shared" si="567"/>
        <v>000</v>
      </c>
      <c r="L4689" s="5">
        <f t="shared" si="568"/>
        <v>12</v>
      </c>
      <c r="M4689" s="5">
        <f t="shared" si="569"/>
        <v>2012</v>
      </c>
    </row>
    <row r="4690" spans="1:13" ht="15" x14ac:dyDescent="0.25">
      <c r="A4690" s="1">
        <f>DATE(2012,12,2)</f>
        <v>41245</v>
      </c>
      <c r="B4690" t="s">
        <v>12</v>
      </c>
      <c r="C4690" t="s">
        <v>8</v>
      </c>
      <c r="D4690" s="3">
        <v>567.08439999999996</v>
      </c>
      <c r="E4690" s="3">
        <v>0</v>
      </c>
      <c r="F4690" t="s">
        <v>45</v>
      </c>
      <c r="G4690" s="3">
        <f t="shared" si="563"/>
        <v>-567.08439999999996</v>
      </c>
      <c r="H4690" s="3">
        <f t="shared" si="564"/>
        <v>567.08439999999996</v>
      </c>
      <c r="I4690" s="5" t="str">
        <f t="shared" si="565"/>
        <v>016</v>
      </c>
      <c r="J4690" s="5" t="str">
        <f t="shared" si="566"/>
        <v>2210</v>
      </c>
      <c r="K4690" s="5" t="str">
        <f t="shared" si="567"/>
        <v>000</v>
      </c>
      <c r="L4690" s="5">
        <f t="shared" si="568"/>
        <v>12</v>
      </c>
      <c r="M4690" s="5">
        <f t="shared" si="569"/>
        <v>2012</v>
      </c>
    </row>
    <row r="4691" spans="1:13" ht="15" x14ac:dyDescent="0.25">
      <c r="A4691" s="1">
        <f>DATE(2012,12,2)</f>
        <v>41245</v>
      </c>
      <c r="B4691" t="s">
        <v>13</v>
      </c>
      <c r="C4691" t="s">
        <v>9</v>
      </c>
      <c r="D4691" s="3">
        <v>147.87359999999998</v>
      </c>
      <c r="E4691" s="3">
        <v>0</v>
      </c>
      <c r="F4691" t="s">
        <v>45</v>
      </c>
      <c r="G4691" s="3">
        <f t="shared" si="563"/>
        <v>-147.87359999999998</v>
      </c>
      <c r="H4691" s="3">
        <f t="shared" si="564"/>
        <v>147.87359999999998</v>
      </c>
      <c r="I4691" s="5" t="str">
        <f t="shared" si="565"/>
        <v>016</v>
      </c>
      <c r="J4691" s="5" t="str">
        <f t="shared" si="566"/>
        <v>2220</v>
      </c>
      <c r="K4691" s="5" t="str">
        <f t="shared" si="567"/>
        <v>000</v>
      </c>
      <c r="L4691" s="5">
        <f t="shared" si="568"/>
        <v>12</v>
      </c>
      <c r="M4691" s="5">
        <f t="shared" si="569"/>
        <v>2012</v>
      </c>
    </row>
    <row r="4692" spans="1:13" ht="15" x14ac:dyDescent="0.25">
      <c r="A4692" s="1">
        <f>DATE(2012,12,2)</f>
        <v>41245</v>
      </c>
      <c r="B4692" t="s">
        <v>14</v>
      </c>
      <c r="C4692" t="s">
        <v>10</v>
      </c>
      <c r="D4692" s="3">
        <v>75.254999999999995</v>
      </c>
      <c r="E4692" s="3">
        <v>0</v>
      </c>
      <c r="F4692" t="s">
        <v>45</v>
      </c>
      <c r="G4692" s="3">
        <f t="shared" si="563"/>
        <v>-75.254999999999995</v>
      </c>
      <c r="H4692" s="3">
        <f t="shared" si="564"/>
        <v>75.254999999999995</v>
      </c>
      <c r="I4692" s="5" t="str">
        <f t="shared" si="565"/>
        <v>016</v>
      </c>
      <c r="J4692" s="5" t="str">
        <f t="shared" si="566"/>
        <v>2230</v>
      </c>
      <c r="K4692" s="5" t="str">
        <f t="shared" si="567"/>
        <v>000</v>
      </c>
      <c r="L4692" s="5">
        <f t="shared" si="568"/>
        <v>12</v>
      </c>
      <c r="M4692" s="5">
        <f t="shared" si="569"/>
        <v>2012</v>
      </c>
    </row>
    <row r="4693" spans="1:13" ht="15" x14ac:dyDescent="0.25">
      <c r="A4693" s="1">
        <f>DATE(2012,11,26)</f>
        <v>41239</v>
      </c>
      <c r="B4693" t="s">
        <v>15</v>
      </c>
      <c r="C4693" t="s">
        <v>6</v>
      </c>
      <c r="D4693" s="3">
        <v>3060.9641999999999</v>
      </c>
      <c r="E4693" s="3">
        <v>0</v>
      </c>
      <c r="F4693" t="s">
        <v>45</v>
      </c>
      <c r="G4693" s="3">
        <f t="shared" si="563"/>
        <v>-3060.9641999999999</v>
      </c>
      <c r="H4693" s="3">
        <f t="shared" si="564"/>
        <v>3060.9641999999999</v>
      </c>
      <c r="I4693" s="5" t="str">
        <f t="shared" si="565"/>
        <v>017</v>
      </c>
      <c r="J4693" s="5" t="str">
        <f t="shared" si="566"/>
        <v>2100</v>
      </c>
      <c r="K4693" s="5" t="str">
        <f t="shared" si="567"/>
        <v>000</v>
      </c>
      <c r="L4693" s="5">
        <f t="shared" si="568"/>
        <v>11</v>
      </c>
      <c r="M4693" s="5">
        <f t="shared" si="569"/>
        <v>2012</v>
      </c>
    </row>
    <row r="4694" spans="1:13" ht="15" x14ac:dyDescent="0.25">
      <c r="A4694" s="1">
        <f>DATE(2012,11,26)</f>
        <v>41239</v>
      </c>
      <c r="B4694" t="s">
        <v>16</v>
      </c>
      <c r="C4694" t="s">
        <v>8</v>
      </c>
      <c r="D4694" s="3">
        <v>505.85340000000002</v>
      </c>
      <c r="E4694" s="3">
        <v>0</v>
      </c>
      <c r="F4694" t="s">
        <v>45</v>
      </c>
      <c r="G4694" s="3">
        <f t="shared" si="563"/>
        <v>-505.85340000000002</v>
      </c>
      <c r="H4694" s="3">
        <f t="shared" si="564"/>
        <v>505.85340000000002</v>
      </c>
      <c r="I4694" s="5" t="str">
        <f t="shared" si="565"/>
        <v>017</v>
      </c>
      <c r="J4694" s="5" t="str">
        <f t="shared" si="566"/>
        <v>2210</v>
      </c>
      <c r="K4694" s="5" t="str">
        <f t="shared" si="567"/>
        <v>000</v>
      </c>
      <c r="L4694" s="5">
        <f t="shared" si="568"/>
        <v>11</v>
      </c>
      <c r="M4694" s="5">
        <f t="shared" si="569"/>
        <v>2012</v>
      </c>
    </row>
    <row r="4695" spans="1:13" ht="15" x14ac:dyDescent="0.25">
      <c r="A4695" s="1">
        <f>DATE(2012,11,26)</f>
        <v>41239</v>
      </c>
      <c r="B4695" t="s">
        <v>17</v>
      </c>
      <c r="C4695" t="s">
        <v>9</v>
      </c>
      <c r="D4695" s="3">
        <v>124.39699999999999</v>
      </c>
      <c r="E4695" s="3">
        <v>0</v>
      </c>
      <c r="F4695" t="s">
        <v>45</v>
      </c>
      <c r="G4695" s="3">
        <f t="shared" si="563"/>
        <v>-124.39699999999999</v>
      </c>
      <c r="H4695" s="3">
        <f t="shared" si="564"/>
        <v>124.39699999999999</v>
      </c>
      <c r="I4695" s="5" t="str">
        <f t="shared" si="565"/>
        <v>017</v>
      </c>
      <c r="J4695" s="5" t="str">
        <f t="shared" si="566"/>
        <v>2220</v>
      </c>
      <c r="K4695" s="5" t="str">
        <f t="shared" si="567"/>
        <v>000</v>
      </c>
      <c r="L4695" s="5">
        <f t="shared" si="568"/>
        <v>11</v>
      </c>
      <c r="M4695" s="5">
        <f t="shared" si="569"/>
        <v>2012</v>
      </c>
    </row>
    <row r="4696" spans="1:13" ht="15" x14ac:dyDescent="0.25">
      <c r="A4696" s="1">
        <f>DATE(2012,11,26)</f>
        <v>41239</v>
      </c>
      <c r="B4696" t="s">
        <v>18</v>
      </c>
      <c r="C4696" t="s">
        <v>10</v>
      </c>
      <c r="D4696" s="3">
        <v>116.6613</v>
      </c>
      <c r="E4696" s="3">
        <v>0</v>
      </c>
      <c r="F4696" t="s">
        <v>45</v>
      </c>
      <c r="G4696" s="3">
        <f t="shared" si="563"/>
        <v>-116.6613</v>
      </c>
      <c r="H4696" s="3">
        <f t="shared" si="564"/>
        <v>116.6613</v>
      </c>
      <c r="I4696" s="5" t="str">
        <f t="shared" si="565"/>
        <v>017</v>
      </c>
      <c r="J4696" s="5" t="str">
        <f t="shared" si="566"/>
        <v>2230</v>
      </c>
      <c r="K4696" s="5" t="str">
        <f t="shared" si="567"/>
        <v>000</v>
      </c>
      <c r="L4696" s="5">
        <f t="shared" si="568"/>
        <v>11</v>
      </c>
      <c r="M4696" s="5">
        <f t="shared" si="569"/>
        <v>2012</v>
      </c>
    </row>
    <row r="4697" spans="1:13" ht="15" x14ac:dyDescent="0.25">
      <c r="A4697" s="1">
        <f>DATE(2012,11,27)</f>
        <v>41240</v>
      </c>
      <c r="B4697" t="s">
        <v>15</v>
      </c>
      <c r="C4697" t="s">
        <v>6</v>
      </c>
      <c r="D4697" s="3">
        <v>5652.9503999999997</v>
      </c>
      <c r="E4697" s="3">
        <v>0</v>
      </c>
      <c r="F4697" t="s">
        <v>45</v>
      </c>
      <c r="G4697" s="3">
        <f t="shared" si="563"/>
        <v>-5652.9503999999997</v>
      </c>
      <c r="H4697" s="3">
        <f t="shared" si="564"/>
        <v>5652.9503999999997</v>
      </c>
      <c r="I4697" s="5" t="str">
        <f t="shared" si="565"/>
        <v>017</v>
      </c>
      <c r="J4697" s="5" t="str">
        <f t="shared" si="566"/>
        <v>2100</v>
      </c>
      <c r="K4697" s="5" t="str">
        <f t="shared" si="567"/>
        <v>000</v>
      </c>
      <c r="L4697" s="5">
        <f t="shared" si="568"/>
        <v>11</v>
      </c>
      <c r="M4697" s="5">
        <f t="shared" si="569"/>
        <v>2012</v>
      </c>
    </row>
    <row r="4698" spans="1:13" ht="15" x14ac:dyDescent="0.25">
      <c r="A4698" s="1">
        <f>DATE(2012,11,27)</f>
        <v>41240</v>
      </c>
      <c r="B4698" t="s">
        <v>16</v>
      </c>
      <c r="C4698" t="s">
        <v>8</v>
      </c>
      <c r="D4698" s="3">
        <v>1305.3225</v>
      </c>
      <c r="E4698" s="3">
        <v>0</v>
      </c>
      <c r="F4698" t="s">
        <v>45</v>
      </c>
      <c r="G4698" s="3">
        <f t="shared" si="563"/>
        <v>-1305.3225</v>
      </c>
      <c r="H4698" s="3">
        <f t="shared" si="564"/>
        <v>1305.3225</v>
      </c>
      <c r="I4698" s="5" t="str">
        <f t="shared" si="565"/>
        <v>017</v>
      </c>
      <c r="J4698" s="5" t="str">
        <f t="shared" si="566"/>
        <v>2210</v>
      </c>
      <c r="K4698" s="5" t="str">
        <f t="shared" si="567"/>
        <v>000</v>
      </c>
      <c r="L4698" s="5">
        <f t="shared" si="568"/>
        <v>11</v>
      </c>
      <c r="M4698" s="5">
        <f t="shared" si="569"/>
        <v>2012</v>
      </c>
    </row>
    <row r="4699" spans="1:13" ht="15" x14ac:dyDescent="0.25">
      <c r="A4699" s="1">
        <f>DATE(2012,11,27)</f>
        <v>41240</v>
      </c>
      <c r="B4699" t="s">
        <v>17</v>
      </c>
      <c r="C4699" t="s">
        <v>9</v>
      </c>
      <c r="D4699" s="3">
        <v>327.4744</v>
      </c>
      <c r="E4699" s="3">
        <v>0</v>
      </c>
      <c r="F4699" t="s">
        <v>45</v>
      </c>
      <c r="G4699" s="3">
        <f t="shared" si="563"/>
        <v>-327.4744</v>
      </c>
      <c r="H4699" s="3">
        <f t="shared" si="564"/>
        <v>327.4744</v>
      </c>
      <c r="I4699" s="5" t="str">
        <f t="shared" si="565"/>
        <v>017</v>
      </c>
      <c r="J4699" s="5" t="str">
        <f t="shared" si="566"/>
        <v>2220</v>
      </c>
      <c r="K4699" s="5" t="str">
        <f t="shared" si="567"/>
        <v>000</v>
      </c>
      <c r="L4699" s="5">
        <f t="shared" si="568"/>
        <v>11</v>
      </c>
      <c r="M4699" s="5">
        <f t="shared" si="569"/>
        <v>2012</v>
      </c>
    </row>
    <row r="4700" spans="1:13" ht="15" x14ac:dyDescent="0.25">
      <c r="A4700" s="1">
        <f>DATE(2012,11,27)</f>
        <v>41240</v>
      </c>
      <c r="B4700" t="s">
        <v>18</v>
      </c>
      <c r="C4700" t="s">
        <v>10</v>
      </c>
      <c r="D4700" s="3">
        <v>157.55749999999998</v>
      </c>
      <c r="E4700" s="3">
        <v>0</v>
      </c>
      <c r="F4700" t="s">
        <v>45</v>
      </c>
      <c r="G4700" s="3">
        <f t="shared" si="563"/>
        <v>-157.55749999999998</v>
      </c>
      <c r="H4700" s="3">
        <f t="shared" si="564"/>
        <v>157.55749999999998</v>
      </c>
      <c r="I4700" s="5" t="str">
        <f t="shared" si="565"/>
        <v>017</v>
      </c>
      <c r="J4700" s="5" t="str">
        <f t="shared" si="566"/>
        <v>2230</v>
      </c>
      <c r="K4700" s="5" t="str">
        <f t="shared" si="567"/>
        <v>000</v>
      </c>
      <c r="L4700" s="5">
        <f t="shared" si="568"/>
        <v>11</v>
      </c>
      <c r="M4700" s="5">
        <f t="shared" si="569"/>
        <v>2012</v>
      </c>
    </row>
    <row r="4701" spans="1:13" ht="15" x14ac:dyDescent="0.25">
      <c r="A4701" s="1">
        <f>DATE(2012,11,28)</f>
        <v>41241</v>
      </c>
      <c r="B4701" t="s">
        <v>15</v>
      </c>
      <c r="C4701" t="s">
        <v>6</v>
      </c>
      <c r="D4701" s="3">
        <v>4315.616</v>
      </c>
      <c r="E4701" s="3">
        <v>0</v>
      </c>
      <c r="F4701" t="s">
        <v>45</v>
      </c>
      <c r="G4701" s="3">
        <f t="shared" si="563"/>
        <v>-4315.616</v>
      </c>
      <c r="H4701" s="3">
        <f t="shared" si="564"/>
        <v>4315.616</v>
      </c>
      <c r="I4701" s="5" t="str">
        <f t="shared" si="565"/>
        <v>017</v>
      </c>
      <c r="J4701" s="5" t="str">
        <f t="shared" si="566"/>
        <v>2100</v>
      </c>
      <c r="K4701" s="5" t="str">
        <f t="shared" si="567"/>
        <v>000</v>
      </c>
      <c r="L4701" s="5">
        <f t="shared" si="568"/>
        <v>11</v>
      </c>
      <c r="M4701" s="5">
        <f t="shared" si="569"/>
        <v>2012</v>
      </c>
    </row>
    <row r="4702" spans="1:13" ht="15" x14ac:dyDescent="0.25">
      <c r="A4702" s="1">
        <f>DATE(2012,11,28)</f>
        <v>41241</v>
      </c>
      <c r="B4702" t="s">
        <v>16</v>
      </c>
      <c r="C4702" t="s">
        <v>8</v>
      </c>
      <c r="D4702" s="3">
        <v>1730.2296000000001</v>
      </c>
      <c r="E4702" s="3">
        <v>0</v>
      </c>
      <c r="F4702" t="s">
        <v>45</v>
      </c>
      <c r="G4702" s="3">
        <f t="shared" si="563"/>
        <v>-1730.2296000000001</v>
      </c>
      <c r="H4702" s="3">
        <f t="shared" si="564"/>
        <v>1730.2296000000001</v>
      </c>
      <c r="I4702" s="5" t="str">
        <f t="shared" si="565"/>
        <v>017</v>
      </c>
      <c r="J4702" s="5" t="str">
        <f t="shared" si="566"/>
        <v>2210</v>
      </c>
      <c r="K4702" s="5" t="str">
        <f t="shared" si="567"/>
        <v>000</v>
      </c>
      <c r="L4702" s="5">
        <f t="shared" si="568"/>
        <v>11</v>
      </c>
      <c r="M4702" s="5">
        <f t="shared" si="569"/>
        <v>2012</v>
      </c>
    </row>
    <row r="4703" spans="1:13" ht="15" x14ac:dyDescent="0.25">
      <c r="A4703" s="1">
        <f>DATE(2012,11,28)</f>
        <v>41241</v>
      </c>
      <c r="B4703" t="s">
        <v>17</v>
      </c>
      <c r="C4703" t="s">
        <v>9</v>
      </c>
      <c r="D4703" s="3">
        <v>458.8186</v>
      </c>
      <c r="E4703" s="3">
        <v>0</v>
      </c>
      <c r="F4703" t="s">
        <v>45</v>
      </c>
      <c r="G4703" s="3">
        <f t="shared" si="563"/>
        <v>-458.8186</v>
      </c>
      <c r="H4703" s="3">
        <f t="shared" si="564"/>
        <v>458.8186</v>
      </c>
      <c r="I4703" s="5" t="str">
        <f t="shared" si="565"/>
        <v>017</v>
      </c>
      <c r="J4703" s="5" t="str">
        <f t="shared" si="566"/>
        <v>2220</v>
      </c>
      <c r="K4703" s="5" t="str">
        <f t="shared" si="567"/>
        <v>000</v>
      </c>
      <c r="L4703" s="5">
        <f t="shared" si="568"/>
        <v>11</v>
      </c>
      <c r="M4703" s="5">
        <f t="shared" si="569"/>
        <v>2012</v>
      </c>
    </row>
    <row r="4704" spans="1:13" ht="15" x14ac:dyDescent="0.25">
      <c r="A4704" s="1">
        <f>DATE(2012,11,28)</f>
        <v>41241</v>
      </c>
      <c r="B4704" t="s">
        <v>18</v>
      </c>
      <c r="C4704" t="s">
        <v>10</v>
      </c>
      <c r="D4704" s="3">
        <v>64.797200000000004</v>
      </c>
      <c r="E4704" s="3">
        <v>0</v>
      </c>
      <c r="F4704" t="s">
        <v>45</v>
      </c>
      <c r="G4704" s="3">
        <f t="shared" si="563"/>
        <v>-64.797200000000004</v>
      </c>
      <c r="H4704" s="3">
        <f t="shared" si="564"/>
        <v>64.797200000000004</v>
      </c>
      <c r="I4704" s="5" t="str">
        <f t="shared" si="565"/>
        <v>017</v>
      </c>
      <c r="J4704" s="5" t="str">
        <f t="shared" si="566"/>
        <v>2230</v>
      </c>
      <c r="K4704" s="5" t="str">
        <f t="shared" si="567"/>
        <v>000</v>
      </c>
      <c r="L4704" s="5">
        <f t="shared" si="568"/>
        <v>11</v>
      </c>
      <c r="M4704" s="5">
        <f t="shared" si="569"/>
        <v>2012</v>
      </c>
    </row>
    <row r="4705" spans="1:13" ht="15" x14ac:dyDescent="0.25">
      <c r="A4705" s="1">
        <f>DATE(2012,11,29)</f>
        <v>41242</v>
      </c>
      <c r="B4705" t="s">
        <v>15</v>
      </c>
      <c r="C4705" t="s">
        <v>6</v>
      </c>
      <c r="D4705" s="3">
        <v>3887.8993999999998</v>
      </c>
      <c r="E4705" s="3">
        <v>0</v>
      </c>
      <c r="F4705" t="s">
        <v>45</v>
      </c>
      <c r="G4705" s="3">
        <f t="shared" si="563"/>
        <v>-3887.8993999999998</v>
      </c>
      <c r="H4705" s="3">
        <f t="shared" si="564"/>
        <v>3887.8993999999998</v>
      </c>
      <c r="I4705" s="5" t="str">
        <f t="shared" si="565"/>
        <v>017</v>
      </c>
      <c r="J4705" s="5" t="str">
        <f t="shared" si="566"/>
        <v>2100</v>
      </c>
      <c r="K4705" s="5" t="str">
        <f t="shared" si="567"/>
        <v>000</v>
      </c>
      <c r="L4705" s="5">
        <f t="shared" si="568"/>
        <v>11</v>
      </c>
      <c r="M4705" s="5">
        <f t="shared" si="569"/>
        <v>2012</v>
      </c>
    </row>
    <row r="4706" spans="1:13" ht="15" x14ac:dyDescent="0.25">
      <c r="A4706" s="1">
        <f>DATE(2012,11,29)</f>
        <v>41242</v>
      </c>
      <c r="B4706" t="s">
        <v>16</v>
      </c>
      <c r="C4706" t="s">
        <v>8</v>
      </c>
      <c r="D4706" s="3">
        <v>886.92</v>
      </c>
      <c r="E4706" s="3">
        <v>0</v>
      </c>
      <c r="F4706" t="s">
        <v>45</v>
      </c>
      <c r="G4706" s="3">
        <f t="shared" si="563"/>
        <v>-886.92</v>
      </c>
      <c r="H4706" s="3">
        <f t="shared" si="564"/>
        <v>886.92</v>
      </c>
      <c r="I4706" s="5" t="str">
        <f t="shared" si="565"/>
        <v>017</v>
      </c>
      <c r="J4706" s="5" t="str">
        <f t="shared" si="566"/>
        <v>2210</v>
      </c>
      <c r="K4706" s="5" t="str">
        <f t="shared" si="567"/>
        <v>000</v>
      </c>
      <c r="L4706" s="5">
        <f t="shared" si="568"/>
        <v>11</v>
      </c>
      <c r="M4706" s="5">
        <f t="shared" si="569"/>
        <v>2012</v>
      </c>
    </row>
    <row r="4707" spans="1:13" ht="15" x14ac:dyDescent="0.25">
      <c r="A4707" s="1">
        <f>DATE(2012,11,29)</f>
        <v>41242</v>
      </c>
      <c r="B4707" t="s">
        <v>17</v>
      </c>
      <c r="C4707" t="s">
        <v>9</v>
      </c>
      <c r="D4707" s="3">
        <v>329.84189999999995</v>
      </c>
      <c r="E4707" s="3">
        <v>0</v>
      </c>
      <c r="F4707" t="s">
        <v>45</v>
      </c>
      <c r="G4707" s="3">
        <f t="shared" si="563"/>
        <v>-329.84189999999995</v>
      </c>
      <c r="H4707" s="3">
        <f t="shared" si="564"/>
        <v>329.84189999999995</v>
      </c>
      <c r="I4707" s="5" t="str">
        <f t="shared" si="565"/>
        <v>017</v>
      </c>
      <c r="J4707" s="5" t="str">
        <f t="shared" si="566"/>
        <v>2220</v>
      </c>
      <c r="K4707" s="5" t="str">
        <f t="shared" si="567"/>
        <v>000</v>
      </c>
      <c r="L4707" s="5">
        <f t="shared" si="568"/>
        <v>11</v>
      </c>
      <c r="M4707" s="5">
        <f t="shared" si="569"/>
        <v>2012</v>
      </c>
    </row>
    <row r="4708" spans="1:13" ht="15" x14ac:dyDescent="0.25">
      <c r="A4708" s="1">
        <f>DATE(2012,11,29)</f>
        <v>41242</v>
      </c>
      <c r="B4708" t="s">
        <v>18</v>
      </c>
      <c r="C4708" t="s">
        <v>10</v>
      </c>
      <c r="D4708" s="3">
        <v>56.933999999999997</v>
      </c>
      <c r="E4708" s="3">
        <v>0</v>
      </c>
      <c r="F4708" t="s">
        <v>45</v>
      </c>
      <c r="G4708" s="3">
        <f t="shared" si="563"/>
        <v>-56.933999999999997</v>
      </c>
      <c r="H4708" s="3">
        <f t="shared" si="564"/>
        <v>56.933999999999997</v>
      </c>
      <c r="I4708" s="5" t="str">
        <f t="shared" si="565"/>
        <v>017</v>
      </c>
      <c r="J4708" s="5" t="str">
        <f t="shared" si="566"/>
        <v>2230</v>
      </c>
      <c r="K4708" s="5" t="str">
        <f t="shared" si="567"/>
        <v>000</v>
      </c>
      <c r="L4708" s="5">
        <f t="shared" si="568"/>
        <v>11</v>
      </c>
      <c r="M4708" s="5">
        <f t="shared" si="569"/>
        <v>2012</v>
      </c>
    </row>
    <row r="4709" spans="1:13" ht="15" x14ac:dyDescent="0.25">
      <c r="A4709" s="1">
        <f>DATE(2012,11,30)</f>
        <v>41243</v>
      </c>
      <c r="B4709" t="s">
        <v>15</v>
      </c>
      <c r="C4709" t="s">
        <v>6</v>
      </c>
      <c r="D4709" s="3">
        <v>7974.7199999999993</v>
      </c>
      <c r="E4709" s="3">
        <v>0</v>
      </c>
      <c r="F4709" t="s">
        <v>45</v>
      </c>
      <c r="G4709" s="3">
        <f t="shared" si="563"/>
        <v>-7974.7199999999993</v>
      </c>
      <c r="H4709" s="3">
        <f t="shared" si="564"/>
        <v>7974.7199999999993</v>
      </c>
      <c r="I4709" s="5" t="str">
        <f t="shared" si="565"/>
        <v>017</v>
      </c>
      <c r="J4709" s="5" t="str">
        <f t="shared" si="566"/>
        <v>2100</v>
      </c>
      <c r="K4709" s="5" t="str">
        <f t="shared" si="567"/>
        <v>000</v>
      </c>
      <c r="L4709" s="5">
        <f t="shared" si="568"/>
        <v>11</v>
      </c>
      <c r="M4709" s="5">
        <f t="shared" si="569"/>
        <v>2012</v>
      </c>
    </row>
    <row r="4710" spans="1:13" ht="15" x14ac:dyDescent="0.25">
      <c r="A4710" s="1">
        <f>DATE(2012,11,30)</f>
        <v>41243</v>
      </c>
      <c r="B4710" t="s">
        <v>16</v>
      </c>
      <c r="C4710" t="s">
        <v>8</v>
      </c>
      <c r="D4710" s="3">
        <v>4699.2341999999999</v>
      </c>
      <c r="E4710" s="3">
        <v>0</v>
      </c>
      <c r="F4710" t="s">
        <v>45</v>
      </c>
      <c r="G4710" s="3">
        <f t="shared" si="563"/>
        <v>-4699.2341999999999</v>
      </c>
      <c r="H4710" s="3">
        <f t="shared" si="564"/>
        <v>4699.2341999999999</v>
      </c>
      <c r="I4710" s="5" t="str">
        <f t="shared" si="565"/>
        <v>017</v>
      </c>
      <c r="J4710" s="5" t="str">
        <f t="shared" si="566"/>
        <v>2210</v>
      </c>
      <c r="K4710" s="5" t="str">
        <f t="shared" si="567"/>
        <v>000</v>
      </c>
      <c r="L4710" s="5">
        <f t="shared" si="568"/>
        <v>11</v>
      </c>
      <c r="M4710" s="5">
        <f t="shared" si="569"/>
        <v>2012</v>
      </c>
    </row>
    <row r="4711" spans="1:13" ht="15" x14ac:dyDescent="0.25">
      <c r="A4711" s="1">
        <f>DATE(2012,11,30)</f>
        <v>41243</v>
      </c>
      <c r="B4711" t="s">
        <v>17</v>
      </c>
      <c r="C4711" t="s">
        <v>9</v>
      </c>
      <c r="D4711" s="3">
        <v>676.23119999999994</v>
      </c>
      <c r="E4711" s="3">
        <v>0</v>
      </c>
      <c r="F4711" t="s">
        <v>45</v>
      </c>
      <c r="G4711" s="3">
        <f t="shared" si="563"/>
        <v>-676.23119999999994</v>
      </c>
      <c r="H4711" s="3">
        <f t="shared" si="564"/>
        <v>676.23119999999994</v>
      </c>
      <c r="I4711" s="5" t="str">
        <f t="shared" si="565"/>
        <v>017</v>
      </c>
      <c r="J4711" s="5" t="str">
        <f t="shared" si="566"/>
        <v>2220</v>
      </c>
      <c r="K4711" s="5" t="str">
        <f t="shared" si="567"/>
        <v>000</v>
      </c>
      <c r="L4711" s="5">
        <f t="shared" si="568"/>
        <v>11</v>
      </c>
      <c r="M4711" s="5">
        <f t="shared" si="569"/>
        <v>2012</v>
      </c>
    </row>
    <row r="4712" spans="1:13" ht="15" x14ac:dyDescent="0.25">
      <c r="A4712" s="1">
        <f>DATE(2012,11,30)</f>
        <v>41243</v>
      </c>
      <c r="B4712" t="s">
        <v>18</v>
      </c>
      <c r="C4712" t="s">
        <v>10</v>
      </c>
      <c r="D4712" s="3">
        <v>384.78719999999998</v>
      </c>
      <c r="E4712" s="3">
        <v>0</v>
      </c>
      <c r="F4712" t="s">
        <v>45</v>
      </c>
      <c r="G4712" s="3">
        <f t="shared" si="563"/>
        <v>-384.78719999999998</v>
      </c>
      <c r="H4712" s="3">
        <f t="shared" si="564"/>
        <v>384.78719999999998</v>
      </c>
      <c r="I4712" s="5" t="str">
        <f t="shared" si="565"/>
        <v>017</v>
      </c>
      <c r="J4712" s="5" t="str">
        <f t="shared" si="566"/>
        <v>2230</v>
      </c>
      <c r="K4712" s="5" t="str">
        <f t="shared" si="567"/>
        <v>000</v>
      </c>
      <c r="L4712" s="5">
        <f t="shared" si="568"/>
        <v>11</v>
      </c>
      <c r="M4712" s="5">
        <f t="shared" si="569"/>
        <v>2012</v>
      </c>
    </row>
    <row r="4713" spans="1:13" ht="15" x14ac:dyDescent="0.25">
      <c r="A4713" s="1">
        <f>DATE(2012,12,1)</f>
        <v>41244</v>
      </c>
      <c r="B4713" t="s">
        <v>15</v>
      </c>
      <c r="C4713" t="s">
        <v>6</v>
      </c>
      <c r="D4713" s="3">
        <v>8011.927200000001</v>
      </c>
      <c r="E4713" s="3">
        <v>0</v>
      </c>
      <c r="F4713" t="s">
        <v>45</v>
      </c>
      <c r="G4713" s="3">
        <f t="shared" si="563"/>
        <v>-8011.927200000001</v>
      </c>
      <c r="H4713" s="3">
        <f t="shared" si="564"/>
        <v>8011.927200000001</v>
      </c>
      <c r="I4713" s="5" t="str">
        <f t="shared" si="565"/>
        <v>017</v>
      </c>
      <c r="J4713" s="5" t="str">
        <f t="shared" si="566"/>
        <v>2100</v>
      </c>
      <c r="K4713" s="5" t="str">
        <f t="shared" si="567"/>
        <v>000</v>
      </c>
      <c r="L4713" s="5">
        <f t="shared" si="568"/>
        <v>12</v>
      </c>
      <c r="M4713" s="5">
        <f t="shared" si="569"/>
        <v>2012</v>
      </c>
    </row>
    <row r="4714" spans="1:13" ht="15" x14ac:dyDescent="0.25">
      <c r="A4714" s="1">
        <f>DATE(2012,12,1)</f>
        <v>41244</v>
      </c>
      <c r="B4714" t="s">
        <v>16</v>
      </c>
      <c r="C4714" t="s">
        <v>8</v>
      </c>
      <c r="D4714" s="3">
        <v>1913.598</v>
      </c>
      <c r="E4714" s="3">
        <v>0</v>
      </c>
      <c r="F4714" t="s">
        <v>45</v>
      </c>
      <c r="G4714" s="3">
        <f t="shared" si="563"/>
        <v>-1913.598</v>
      </c>
      <c r="H4714" s="3">
        <f t="shared" si="564"/>
        <v>1913.598</v>
      </c>
      <c r="I4714" s="5" t="str">
        <f t="shared" si="565"/>
        <v>017</v>
      </c>
      <c r="J4714" s="5" t="str">
        <f t="shared" si="566"/>
        <v>2210</v>
      </c>
      <c r="K4714" s="5" t="str">
        <f t="shared" si="567"/>
        <v>000</v>
      </c>
      <c r="L4714" s="5">
        <f t="shared" si="568"/>
        <v>12</v>
      </c>
      <c r="M4714" s="5">
        <f t="shared" si="569"/>
        <v>2012</v>
      </c>
    </row>
    <row r="4715" spans="1:13" ht="15" x14ac:dyDescent="0.25">
      <c r="A4715" s="1">
        <f>DATE(2012,12,1)</f>
        <v>41244</v>
      </c>
      <c r="B4715" t="s">
        <v>17</v>
      </c>
      <c r="C4715" t="s">
        <v>9</v>
      </c>
      <c r="D4715" s="3">
        <v>280.2276</v>
      </c>
      <c r="E4715" s="3">
        <v>0</v>
      </c>
      <c r="F4715" t="s">
        <v>45</v>
      </c>
      <c r="G4715" s="3">
        <f t="shared" si="563"/>
        <v>-280.2276</v>
      </c>
      <c r="H4715" s="3">
        <f t="shared" si="564"/>
        <v>280.2276</v>
      </c>
      <c r="I4715" s="5" t="str">
        <f t="shared" si="565"/>
        <v>017</v>
      </c>
      <c r="J4715" s="5" t="str">
        <f t="shared" si="566"/>
        <v>2220</v>
      </c>
      <c r="K4715" s="5" t="str">
        <f t="shared" si="567"/>
        <v>000</v>
      </c>
      <c r="L4715" s="5">
        <f t="shared" si="568"/>
        <v>12</v>
      </c>
      <c r="M4715" s="5">
        <f t="shared" si="569"/>
        <v>2012</v>
      </c>
    </row>
    <row r="4716" spans="1:13" ht="15" x14ac:dyDescent="0.25">
      <c r="A4716" s="1">
        <f>DATE(2012,12,1)</f>
        <v>41244</v>
      </c>
      <c r="B4716" t="s">
        <v>18</v>
      </c>
      <c r="C4716" t="s">
        <v>10</v>
      </c>
      <c r="D4716" s="3">
        <v>76.478999999999999</v>
      </c>
      <c r="E4716" s="3">
        <v>0</v>
      </c>
      <c r="F4716" t="s">
        <v>45</v>
      </c>
      <c r="G4716" s="3">
        <f t="shared" si="563"/>
        <v>-76.478999999999999</v>
      </c>
      <c r="H4716" s="3">
        <f t="shared" si="564"/>
        <v>76.478999999999999</v>
      </c>
      <c r="I4716" s="5" t="str">
        <f t="shared" si="565"/>
        <v>017</v>
      </c>
      <c r="J4716" s="5" t="str">
        <f t="shared" si="566"/>
        <v>2230</v>
      </c>
      <c r="K4716" s="5" t="str">
        <f t="shared" si="567"/>
        <v>000</v>
      </c>
      <c r="L4716" s="5">
        <f t="shared" si="568"/>
        <v>12</v>
      </c>
      <c r="M4716" s="5">
        <f t="shared" si="569"/>
        <v>2012</v>
      </c>
    </row>
    <row r="4717" spans="1:13" ht="15" x14ac:dyDescent="0.25">
      <c r="A4717" s="1">
        <f>DATE(2012,12,2)</f>
        <v>41245</v>
      </c>
      <c r="B4717" t="s">
        <v>15</v>
      </c>
      <c r="C4717" t="s">
        <v>6</v>
      </c>
      <c r="D4717" s="3">
        <v>4250.3303999999998</v>
      </c>
      <c r="E4717" s="3">
        <v>0</v>
      </c>
      <c r="F4717" t="s">
        <v>45</v>
      </c>
      <c r="G4717" s="3">
        <f t="shared" si="563"/>
        <v>-4250.3303999999998</v>
      </c>
      <c r="H4717" s="3">
        <f t="shared" si="564"/>
        <v>4250.3303999999998</v>
      </c>
      <c r="I4717" s="5" t="str">
        <f t="shared" si="565"/>
        <v>017</v>
      </c>
      <c r="J4717" s="5" t="str">
        <f t="shared" si="566"/>
        <v>2100</v>
      </c>
      <c r="K4717" s="5" t="str">
        <f t="shared" si="567"/>
        <v>000</v>
      </c>
      <c r="L4717" s="5">
        <f t="shared" si="568"/>
        <v>12</v>
      </c>
      <c r="M4717" s="5">
        <f t="shared" si="569"/>
        <v>2012</v>
      </c>
    </row>
    <row r="4718" spans="1:13" ht="15" x14ac:dyDescent="0.25">
      <c r="A4718" s="1">
        <f>DATE(2012,12,2)</f>
        <v>41245</v>
      </c>
      <c r="B4718" t="s">
        <v>16</v>
      </c>
      <c r="C4718" t="s">
        <v>8</v>
      </c>
      <c r="D4718" s="3">
        <v>577.60640000000001</v>
      </c>
      <c r="E4718" s="3">
        <v>0</v>
      </c>
      <c r="F4718" t="s">
        <v>45</v>
      </c>
      <c r="G4718" s="3">
        <f t="shared" si="563"/>
        <v>-577.60640000000001</v>
      </c>
      <c r="H4718" s="3">
        <f t="shared" si="564"/>
        <v>577.60640000000001</v>
      </c>
      <c r="I4718" s="5" t="str">
        <f t="shared" si="565"/>
        <v>017</v>
      </c>
      <c r="J4718" s="5" t="str">
        <f t="shared" si="566"/>
        <v>2210</v>
      </c>
      <c r="K4718" s="5" t="str">
        <f t="shared" si="567"/>
        <v>000</v>
      </c>
      <c r="L4718" s="5">
        <f t="shared" si="568"/>
        <v>12</v>
      </c>
      <c r="M4718" s="5">
        <f t="shared" si="569"/>
        <v>2012</v>
      </c>
    </row>
    <row r="4719" spans="1:13" ht="15" x14ac:dyDescent="0.25">
      <c r="A4719" s="1">
        <f>DATE(2012,12,2)</f>
        <v>41245</v>
      </c>
      <c r="B4719" t="s">
        <v>17</v>
      </c>
      <c r="C4719" t="s">
        <v>9</v>
      </c>
      <c r="D4719" s="3">
        <v>278.24959999999999</v>
      </c>
      <c r="E4719" s="3">
        <v>0</v>
      </c>
      <c r="F4719" t="s">
        <v>45</v>
      </c>
      <c r="G4719" s="3">
        <f t="shared" si="563"/>
        <v>-278.24959999999999</v>
      </c>
      <c r="H4719" s="3">
        <f t="shared" si="564"/>
        <v>278.24959999999999</v>
      </c>
      <c r="I4719" s="5" t="str">
        <f t="shared" si="565"/>
        <v>017</v>
      </c>
      <c r="J4719" s="5" t="str">
        <f t="shared" si="566"/>
        <v>2220</v>
      </c>
      <c r="K4719" s="5" t="str">
        <f t="shared" si="567"/>
        <v>000</v>
      </c>
      <c r="L4719" s="5">
        <f t="shared" si="568"/>
        <v>12</v>
      </c>
      <c r="M4719" s="5">
        <f t="shared" si="569"/>
        <v>2012</v>
      </c>
    </row>
    <row r="4720" spans="1:13" ht="15" x14ac:dyDescent="0.25">
      <c r="A4720" s="1">
        <f>DATE(2012,12,2)</f>
        <v>41245</v>
      </c>
      <c r="B4720" t="s">
        <v>18</v>
      </c>
      <c r="C4720" t="s">
        <v>10</v>
      </c>
      <c r="D4720" s="3">
        <v>31.339000000000002</v>
      </c>
      <c r="E4720" s="3">
        <v>0</v>
      </c>
      <c r="F4720" t="s">
        <v>45</v>
      </c>
      <c r="G4720" s="3">
        <f t="shared" si="563"/>
        <v>-31.339000000000002</v>
      </c>
      <c r="H4720" s="3">
        <f t="shared" si="564"/>
        <v>31.339000000000002</v>
      </c>
      <c r="I4720" s="5" t="str">
        <f t="shared" si="565"/>
        <v>017</v>
      </c>
      <c r="J4720" s="5" t="str">
        <f t="shared" si="566"/>
        <v>2230</v>
      </c>
      <c r="K4720" s="5" t="str">
        <f t="shared" si="567"/>
        <v>000</v>
      </c>
      <c r="L4720" s="5">
        <f t="shared" si="568"/>
        <v>12</v>
      </c>
      <c r="M4720" s="5">
        <f t="shared" si="569"/>
        <v>2012</v>
      </c>
    </row>
    <row r="4721" spans="1:13" ht="15" x14ac:dyDescent="0.25">
      <c r="A4721" s="1">
        <f>DATE(2012,11,26)</f>
        <v>41239</v>
      </c>
      <c r="B4721" t="s">
        <v>19</v>
      </c>
      <c r="C4721" t="s">
        <v>6</v>
      </c>
      <c r="D4721" s="3">
        <v>3029.2627999999995</v>
      </c>
      <c r="E4721" s="3">
        <v>0</v>
      </c>
      <c r="F4721" t="s">
        <v>45</v>
      </c>
      <c r="G4721" s="3">
        <f t="shared" si="563"/>
        <v>-3029.2627999999995</v>
      </c>
      <c r="H4721" s="3">
        <f t="shared" si="564"/>
        <v>3029.2627999999995</v>
      </c>
      <c r="I4721" s="5" t="str">
        <f t="shared" si="565"/>
        <v>018</v>
      </c>
      <c r="J4721" s="5" t="str">
        <f t="shared" si="566"/>
        <v>2100</v>
      </c>
      <c r="K4721" s="5" t="str">
        <f t="shared" si="567"/>
        <v>000</v>
      </c>
      <c r="L4721" s="5">
        <f t="shared" si="568"/>
        <v>11</v>
      </c>
      <c r="M4721" s="5">
        <f t="shared" si="569"/>
        <v>2012</v>
      </c>
    </row>
    <row r="4722" spans="1:13" ht="15" x14ac:dyDescent="0.25">
      <c r="A4722" s="1">
        <f>DATE(2012,11,26)</f>
        <v>41239</v>
      </c>
      <c r="B4722" t="s">
        <v>20</v>
      </c>
      <c r="C4722" t="s">
        <v>8</v>
      </c>
      <c r="D4722" s="3">
        <v>594.90970000000004</v>
      </c>
      <c r="E4722" s="3">
        <v>0</v>
      </c>
      <c r="F4722" t="s">
        <v>45</v>
      </c>
      <c r="G4722" s="3">
        <f t="shared" si="563"/>
        <v>-594.90970000000004</v>
      </c>
      <c r="H4722" s="3">
        <f t="shared" si="564"/>
        <v>594.90970000000004</v>
      </c>
      <c r="I4722" s="5" t="str">
        <f t="shared" si="565"/>
        <v>018</v>
      </c>
      <c r="J4722" s="5" t="str">
        <f t="shared" si="566"/>
        <v>2210</v>
      </c>
      <c r="K4722" s="5" t="str">
        <f t="shared" si="567"/>
        <v>000</v>
      </c>
      <c r="L4722" s="5">
        <f t="shared" si="568"/>
        <v>11</v>
      </c>
      <c r="M4722" s="5">
        <f t="shared" si="569"/>
        <v>2012</v>
      </c>
    </row>
    <row r="4723" spans="1:13" ht="15" x14ac:dyDescent="0.25">
      <c r="A4723" s="1">
        <f>DATE(2012,11,26)</f>
        <v>41239</v>
      </c>
      <c r="B4723" t="s">
        <v>21</v>
      </c>
      <c r="C4723" t="s">
        <v>9</v>
      </c>
      <c r="D4723" s="3">
        <v>154.9564</v>
      </c>
      <c r="E4723" s="3">
        <v>0</v>
      </c>
      <c r="F4723" t="s">
        <v>45</v>
      </c>
      <c r="G4723" s="3">
        <f t="shared" si="563"/>
        <v>-154.9564</v>
      </c>
      <c r="H4723" s="3">
        <f t="shared" si="564"/>
        <v>154.9564</v>
      </c>
      <c r="I4723" s="5" t="str">
        <f t="shared" si="565"/>
        <v>018</v>
      </c>
      <c r="J4723" s="5" t="str">
        <f t="shared" si="566"/>
        <v>2220</v>
      </c>
      <c r="K4723" s="5" t="str">
        <f t="shared" si="567"/>
        <v>000</v>
      </c>
      <c r="L4723" s="5">
        <f t="shared" si="568"/>
        <v>11</v>
      </c>
      <c r="M4723" s="5">
        <f t="shared" si="569"/>
        <v>2012</v>
      </c>
    </row>
    <row r="4724" spans="1:13" ht="15" x14ac:dyDescent="0.25">
      <c r="A4724" s="1">
        <f>DATE(2012,11,26)</f>
        <v>41239</v>
      </c>
      <c r="B4724" t="s">
        <v>22</v>
      </c>
      <c r="C4724" t="s">
        <v>10</v>
      </c>
      <c r="D4724" s="3">
        <v>15.180999999999999</v>
      </c>
      <c r="E4724" s="3">
        <v>0</v>
      </c>
      <c r="F4724" t="s">
        <v>45</v>
      </c>
      <c r="G4724" s="3">
        <f t="shared" si="563"/>
        <v>-15.180999999999999</v>
      </c>
      <c r="H4724" s="3">
        <f t="shared" si="564"/>
        <v>15.180999999999999</v>
      </c>
      <c r="I4724" s="5" t="str">
        <f t="shared" si="565"/>
        <v>018</v>
      </c>
      <c r="J4724" s="5" t="str">
        <f t="shared" si="566"/>
        <v>2230</v>
      </c>
      <c r="K4724" s="5" t="str">
        <f t="shared" si="567"/>
        <v>000</v>
      </c>
      <c r="L4724" s="5">
        <f t="shared" si="568"/>
        <v>11</v>
      </c>
      <c r="M4724" s="5">
        <f t="shared" si="569"/>
        <v>2012</v>
      </c>
    </row>
    <row r="4725" spans="1:13" ht="15" x14ac:dyDescent="0.25">
      <c r="A4725" s="1">
        <f>DATE(2012,11,27)</f>
        <v>41240</v>
      </c>
      <c r="B4725" t="s">
        <v>19</v>
      </c>
      <c r="C4725" t="s">
        <v>6</v>
      </c>
      <c r="D4725" s="3">
        <v>2892.6432</v>
      </c>
      <c r="E4725" s="3">
        <v>0</v>
      </c>
      <c r="F4725" t="s">
        <v>45</v>
      </c>
      <c r="G4725" s="3">
        <f t="shared" si="563"/>
        <v>-2892.6432</v>
      </c>
      <c r="H4725" s="3">
        <f t="shared" si="564"/>
        <v>2892.6432</v>
      </c>
      <c r="I4725" s="5" t="str">
        <f t="shared" si="565"/>
        <v>018</v>
      </c>
      <c r="J4725" s="5" t="str">
        <f t="shared" si="566"/>
        <v>2100</v>
      </c>
      <c r="K4725" s="5" t="str">
        <f t="shared" si="567"/>
        <v>000</v>
      </c>
      <c r="L4725" s="5">
        <f t="shared" si="568"/>
        <v>11</v>
      </c>
      <c r="M4725" s="5">
        <f t="shared" si="569"/>
        <v>2012</v>
      </c>
    </row>
    <row r="4726" spans="1:13" ht="15" x14ac:dyDescent="0.25">
      <c r="A4726" s="1">
        <f>DATE(2012,11,27)</f>
        <v>41240</v>
      </c>
      <c r="B4726" t="s">
        <v>20</v>
      </c>
      <c r="C4726" t="s">
        <v>8</v>
      </c>
      <c r="D4726" s="3">
        <v>384.54650000000004</v>
      </c>
      <c r="E4726" s="3">
        <v>0</v>
      </c>
      <c r="F4726" t="s">
        <v>45</v>
      </c>
      <c r="G4726" s="3">
        <f t="shared" si="563"/>
        <v>-384.54650000000004</v>
      </c>
      <c r="H4726" s="3">
        <f t="shared" si="564"/>
        <v>384.54650000000004</v>
      </c>
      <c r="I4726" s="5" t="str">
        <f t="shared" si="565"/>
        <v>018</v>
      </c>
      <c r="J4726" s="5" t="str">
        <f t="shared" si="566"/>
        <v>2210</v>
      </c>
      <c r="K4726" s="5" t="str">
        <f t="shared" si="567"/>
        <v>000</v>
      </c>
      <c r="L4726" s="5">
        <f t="shared" si="568"/>
        <v>11</v>
      </c>
      <c r="M4726" s="5">
        <f t="shared" si="569"/>
        <v>2012</v>
      </c>
    </row>
    <row r="4727" spans="1:13" ht="15" x14ac:dyDescent="0.25">
      <c r="A4727" s="1">
        <f>DATE(2012,11,27)</f>
        <v>41240</v>
      </c>
      <c r="B4727" t="s">
        <v>21</v>
      </c>
      <c r="C4727" t="s">
        <v>9</v>
      </c>
      <c r="D4727" s="3">
        <v>88.946000000000012</v>
      </c>
      <c r="E4727" s="3">
        <v>0</v>
      </c>
      <c r="F4727" t="s">
        <v>45</v>
      </c>
      <c r="G4727" s="3">
        <f t="shared" si="563"/>
        <v>-88.946000000000012</v>
      </c>
      <c r="H4727" s="3">
        <f t="shared" si="564"/>
        <v>88.946000000000012</v>
      </c>
      <c r="I4727" s="5" t="str">
        <f t="shared" si="565"/>
        <v>018</v>
      </c>
      <c r="J4727" s="5" t="str">
        <f t="shared" si="566"/>
        <v>2220</v>
      </c>
      <c r="K4727" s="5" t="str">
        <f t="shared" si="567"/>
        <v>000</v>
      </c>
      <c r="L4727" s="5">
        <f t="shared" si="568"/>
        <v>11</v>
      </c>
      <c r="M4727" s="5">
        <f t="shared" si="569"/>
        <v>2012</v>
      </c>
    </row>
    <row r="4728" spans="1:13" ht="15" x14ac:dyDescent="0.25">
      <c r="A4728" s="1">
        <f>DATE(2012,11,27)</f>
        <v>41240</v>
      </c>
      <c r="B4728" t="s">
        <v>22</v>
      </c>
      <c r="C4728" t="s">
        <v>10</v>
      </c>
      <c r="D4728" s="3">
        <v>7.0965999999999996</v>
      </c>
      <c r="E4728" s="3">
        <v>0</v>
      </c>
      <c r="F4728" t="s">
        <v>45</v>
      </c>
      <c r="G4728" s="3">
        <f t="shared" si="563"/>
        <v>-7.0965999999999996</v>
      </c>
      <c r="H4728" s="3">
        <f t="shared" si="564"/>
        <v>7.0965999999999996</v>
      </c>
      <c r="I4728" s="5" t="str">
        <f t="shared" si="565"/>
        <v>018</v>
      </c>
      <c r="J4728" s="5" t="str">
        <f t="shared" si="566"/>
        <v>2230</v>
      </c>
      <c r="K4728" s="5" t="str">
        <f t="shared" si="567"/>
        <v>000</v>
      </c>
      <c r="L4728" s="5">
        <f t="shared" si="568"/>
        <v>11</v>
      </c>
      <c r="M4728" s="5">
        <f t="shared" si="569"/>
        <v>2012</v>
      </c>
    </row>
    <row r="4729" spans="1:13" ht="15" x14ac:dyDescent="0.25">
      <c r="A4729" s="1">
        <f>DATE(2012,11,28)</f>
        <v>41241</v>
      </c>
      <c r="B4729" t="s">
        <v>19</v>
      </c>
      <c r="C4729" t="s">
        <v>6</v>
      </c>
      <c r="D4729" s="3">
        <v>3870.0064000000002</v>
      </c>
      <c r="E4729" s="3">
        <v>0</v>
      </c>
      <c r="F4729" t="s">
        <v>45</v>
      </c>
      <c r="G4729" s="3">
        <f t="shared" si="563"/>
        <v>-3870.0064000000002</v>
      </c>
      <c r="H4729" s="3">
        <f t="shared" si="564"/>
        <v>3870.0064000000002</v>
      </c>
      <c r="I4729" s="5" t="str">
        <f t="shared" si="565"/>
        <v>018</v>
      </c>
      <c r="J4729" s="5" t="str">
        <f t="shared" si="566"/>
        <v>2100</v>
      </c>
      <c r="K4729" s="5" t="str">
        <f t="shared" si="567"/>
        <v>000</v>
      </c>
      <c r="L4729" s="5">
        <f t="shared" si="568"/>
        <v>11</v>
      </c>
      <c r="M4729" s="5">
        <f t="shared" si="569"/>
        <v>2012</v>
      </c>
    </row>
    <row r="4730" spans="1:13" ht="15" x14ac:dyDescent="0.25">
      <c r="A4730" s="1">
        <f>DATE(2012,11,28)</f>
        <v>41241</v>
      </c>
      <c r="B4730" t="s">
        <v>20</v>
      </c>
      <c r="C4730" t="s">
        <v>8</v>
      </c>
      <c r="D4730" s="3">
        <v>434.9117</v>
      </c>
      <c r="E4730" s="3">
        <v>0</v>
      </c>
      <c r="F4730" t="s">
        <v>45</v>
      </c>
      <c r="G4730" s="3">
        <f t="shared" si="563"/>
        <v>-434.9117</v>
      </c>
      <c r="H4730" s="3">
        <f t="shared" si="564"/>
        <v>434.9117</v>
      </c>
      <c r="I4730" s="5" t="str">
        <f t="shared" si="565"/>
        <v>018</v>
      </c>
      <c r="J4730" s="5" t="str">
        <f t="shared" si="566"/>
        <v>2210</v>
      </c>
      <c r="K4730" s="5" t="str">
        <f t="shared" si="567"/>
        <v>000</v>
      </c>
      <c r="L4730" s="5">
        <f t="shared" si="568"/>
        <v>11</v>
      </c>
      <c r="M4730" s="5">
        <f t="shared" si="569"/>
        <v>2012</v>
      </c>
    </row>
    <row r="4731" spans="1:13" ht="15" x14ac:dyDescent="0.25">
      <c r="A4731" s="1">
        <f>DATE(2012,11,28)</f>
        <v>41241</v>
      </c>
      <c r="B4731" t="s">
        <v>21</v>
      </c>
      <c r="C4731" t="s">
        <v>9</v>
      </c>
      <c r="D4731" s="3">
        <v>173.83860000000001</v>
      </c>
      <c r="E4731" s="3">
        <v>0</v>
      </c>
      <c r="F4731" t="s">
        <v>45</v>
      </c>
      <c r="G4731" s="3">
        <f t="shared" si="563"/>
        <v>-173.83860000000001</v>
      </c>
      <c r="H4731" s="3">
        <f t="shared" si="564"/>
        <v>173.83860000000001</v>
      </c>
      <c r="I4731" s="5" t="str">
        <f t="shared" si="565"/>
        <v>018</v>
      </c>
      <c r="J4731" s="5" t="str">
        <f t="shared" si="566"/>
        <v>2220</v>
      </c>
      <c r="K4731" s="5" t="str">
        <f t="shared" si="567"/>
        <v>000</v>
      </c>
      <c r="L4731" s="5">
        <f t="shared" si="568"/>
        <v>11</v>
      </c>
      <c r="M4731" s="5">
        <f t="shared" si="569"/>
        <v>2012</v>
      </c>
    </row>
    <row r="4732" spans="1:13" ht="15" x14ac:dyDescent="0.25">
      <c r="A4732" s="1">
        <f>DATE(2012,11,28)</f>
        <v>41241</v>
      </c>
      <c r="B4732" t="s">
        <v>22</v>
      </c>
      <c r="C4732" t="s">
        <v>10</v>
      </c>
      <c r="D4732" s="3">
        <v>36.624400000000001</v>
      </c>
      <c r="E4732" s="3">
        <v>0</v>
      </c>
      <c r="F4732" t="s">
        <v>45</v>
      </c>
      <c r="G4732" s="3">
        <f t="shared" si="563"/>
        <v>-36.624400000000001</v>
      </c>
      <c r="H4732" s="3">
        <f t="shared" si="564"/>
        <v>36.624400000000001</v>
      </c>
      <c r="I4732" s="5" t="str">
        <f t="shared" si="565"/>
        <v>018</v>
      </c>
      <c r="J4732" s="5" t="str">
        <f t="shared" si="566"/>
        <v>2230</v>
      </c>
      <c r="K4732" s="5" t="str">
        <f t="shared" si="567"/>
        <v>000</v>
      </c>
      <c r="L4732" s="5">
        <f t="shared" si="568"/>
        <v>11</v>
      </c>
      <c r="M4732" s="5">
        <f t="shared" si="569"/>
        <v>2012</v>
      </c>
    </row>
    <row r="4733" spans="1:13" ht="15" x14ac:dyDescent="0.25">
      <c r="A4733" s="1">
        <f>DATE(2012,11,29)</f>
        <v>41242</v>
      </c>
      <c r="B4733" t="s">
        <v>19</v>
      </c>
      <c r="C4733" t="s">
        <v>6</v>
      </c>
      <c r="D4733" s="3">
        <v>3228.4970999999996</v>
      </c>
      <c r="E4733" s="3">
        <v>0</v>
      </c>
      <c r="F4733" t="s">
        <v>45</v>
      </c>
      <c r="G4733" s="3">
        <f t="shared" si="563"/>
        <v>-3228.4970999999996</v>
      </c>
      <c r="H4733" s="3">
        <f t="shared" si="564"/>
        <v>3228.4970999999996</v>
      </c>
      <c r="I4733" s="5" t="str">
        <f t="shared" si="565"/>
        <v>018</v>
      </c>
      <c r="J4733" s="5" t="str">
        <f t="shared" si="566"/>
        <v>2100</v>
      </c>
      <c r="K4733" s="5" t="str">
        <f t="shared" si="567"/>
        <v>000</v>
      </c>
      <c r="L4733" s="5">
        <f t="shared" si="568"/>
        <v>11</v>
      </c>
      <c r="M4733" s="5">
        <f t="shared" si="569"/>
        <v>2012</v>
      </c>
    </row>
    <row r="4734" spans="1:13" ht="15" x14ac:dyDescent="0.25">
      <c r="A4734" s="1">
        <f>DATE(2012,11,29)</f>
        <v>41242</v>
      </c>
      <c r="B4734" t="s">
        <v>20</v>
      </c>
      <c r="C4734" t="s">
        <v>8</v>
      </c>
      <c r="D4734" s="3">
        <v>486.90779999999995</v>
      </c>
      <c r="E4734" s="3">
        <v>0</v>
      </c>
      <c r="F4734" t="s">
        <v>45</v>
      </c>
      <c r="G4734" s="3">
        <f t="shared" si="563"/>
        <v>-486.90779999999995</v>
      </c>
      <c r="H4734" s="3">
        <f t="shared" si="564"/>
        <v>486.90779999999995</v>
      </c>
      <c r="I4734" s="5" t="str">
        <f t="shared" si="565"/>
        <v>018</v>
      </c>
      <c r="J4734" s="5" t="str">
        <f t="shared" si="566"/>
        <v>2210</v>
      </c>
      <c r="K4734" s="5" t="str">
        <f t="shared" si="567"/>
        <v>000</v>
      </c>
      <c r="L4734" s="5">
        <f t="shared" si="568"/>
        <v>11</v>
      </c>
      <c r="M4734" s="5">
        <f t="shared" si="569"/>
        <v>2012</v>
      </c>
    </row>
    <row r="4735" spans="1:13" ht="15" x14ac:dyDescent="0.25">
      <c r="A4735" s="1">
        <f>DATE(2012,11,29)</f>
        <v>41242</v>
      </c>
      <c r="B4735" t="s">
        <v>21</v>
      </c>
      <c r="C4735" t="s">
        <v>9</v>
      </c>
      <c r="D4735" s="3">
        <v>214.86959999999999</v>
      </c>
      <c r="E4735" s="3">
        <v>0</v>
      </c>
      <c r="F4735" t="s">
        <v>45</v>
      </c>
      <c r="G4735" s="3">
        <f t="shared" si="563"/>
        <v>-214.86959999999999</v>
      </c>
      <c r="H4735" s="3">
        <f t="shared" si="564"/>
        <v>214.86959999999999</v>
      </c>
      <c r="I4735" s="5" t="str">
        <f t="shared" si="565"/>
        <v>018</v>
      </c>
      <c r="J4735" s="5" t="str">
        <f t="shared" si="566"/>
        <v>2220</v>
      </c>
      <c r="K4735" s="5" t="str">
        <f t="shared" si="567"/>
        <v>000</v>
      </c>
      <c r="L4735" s="5">
        <f t="shared" si="568"/>
        <v>11</v>
      </c>
      <c r="M4735" s="5">
        <f t="shared" si="569"/>
        <v>2012</v>
      </c>
    </row>
    <row r="4736" spans="1:13" ht="15" x14ac:dyDescent="0.25">
      <c r="A4736" s="1">
        <f>DATE(2012,11,29)</f>
        <v>41242</v>
      </c>
      <c r="B4736" t="s">
        <v>22</v>
      </c>
      <c r="C4736" t="s">
        <v>10</v>
      </c>
      <c r="D4736" s="3">
        <v>6.4728000000000003</v>
      </c>
      <c r="E4736" s="3">
        <v>0</v>
      </c>
      <c r="F4736" t="s">
        <v>45</v>
      </c>
      <c r="G4736" s="3">
        <f t="shared" si="563"/>
        <v>-6.4728000000000003</v>
      </c>
      <c r="H4736" s="3">
        <f t="shared" si="564"/>
        <v>6.4728000000000003</v>
      </c>
      <c r="I4736" s="5" t="str">
        <f t="shared" si="565"/>
        <v>018</v>
      </c>
      <c r="J4736" s="5" t="str">
        <f t="shared" si="566"/>
        <v>2230</v>
      </c>
      <c r="K4736" s="5" t="str">
        <f t="shared" si="567"/>
        <v>000</v>
      </c>
      <c r="L4736" s="5">
        <f t="shared" si="568"/>
        <v>11</v>
      </c>
      <c r="M4736" s="5">
        <f t="shared" si="569"/>
        <v>2012</v>
      </c>
    </row>
    <row r="4737" spans="1:13" ht="15" x14ac:dyDescent="0.25">
      <c r="A4737" s="1">
        <f>DATE(2012,11,30)</f>
        <v>41243</v>
      </c>
      <c r="B4737" t="s">
        <v>19</v>
      </c>
      <c r="C4737" t="s">
        <v>6</v>
      </c>
      <c r="D4737" s="3">
        <v>10858.6764</v>
      </c>
      <c r="E4737" s="3">
        <v>0</v>
      </c>
      <c r="F4737" t="s">
        <v>45</v>
      </c>
      <c r="G4737" s="3">
        <f t="shared" si="563"/>
        <v>-10858.6764</v>
      </c>
      <c r="H4737" s="3">
        <f t="shared" si="564"/>
        <v>10858.6764</v>
      </c>
      <c r="I4737" s="5" t="str">
        <f t="shared" si="565"/>
        <v>018</v>
      </c>
      <c r="J4737" s="5" t="str">
        <f t="shared" si="566"/>
        <v>2100</v>
      </c>
      <c r="K4737" s="5" t="str">
        <f t="shared" si="567"/>
        <v>000</v>
      </c>
      <c r="L4737" s="5">
        <f t="shared" si="568"/>
        <v>11</v>
      </c>
      <c r="M4737" s="5">
        <f t="shared" si="569"/>
        <v>2012</v>
      </c>
    </row>
    <row r="4738" spans="1:13" ht="15" x14ac:dyDescent="0.25">
      <c r="A4738" s="1">
        <f>DATE(2012,11,30)</f>
        <v>41243</v>
      </c>
      <c r="B4738" t="s">
        <v>20</v>
      </c>
      <c r="C4738" t="s">
        <v>8</v>
      </c>
      <c r="D4738" s="3">
        <v>2088.0365999999999</v>
      </c>
      <c r="E4738" s="3">
        <v>0</v>
      </c>
      <c r="F4738" t="s">
        <v>45</v>
      </c>
      <c r="G4738" s="3">
        <f t="shared" ref="G4738:G4801" si="570">E4738-D4738</f>
        <v>-2088.0365999999999</v>
      </c>
      <c r="H4738" s="3">
        <f t="shared" ref="H4738:H4801" si="571">ABS(G4738)</f>
        <v>2088.0365999999999</v>
      </c>
      <c r="I4738" s="5" t="str">
        <f t="shared" ref="I4738:I4801" si="572">MID(B4738,1,3)</f>
        <v>018</v>
      </c>
      <c r="J4738" s="5" t="str">
        <f t="shared" ref="J4738:J4801" si="573">MID(B4738,5,4)</f>
        <v>2210</v>
      </c>
      <c r="K4738" s="5" t="str">
        <f t="shared" ref="K4738:K4801" si="574">MID(B4738,10,3)</f>
        <v>000</v>
      </c>
      <c r="L4738" s="5">
        <f t="shared" ref="L4738:L4801" si="575">MONTH(A4738)</f>
        <v>11</v>
      </c>
      <c r="M4738" s="5">
        <f t="shared" ref="M4738:M4801" si="576">YEAR(A4738)</f>
        <v>2012</v>
      </c>
    </row>
    <row r="4739" spans="1:13" ht="15" x14ac:dyDescent="0.25">
      <c r="A4739" s="1">
        <f>DATE(2012,11,30)</f>
        <v>41243</v>
      </c>
      <c r="B4739" t="s">
        <v>21</v>
      </c>
      <c r="C4739" t="s">
        <v>9</v>
      </c>
      <c r="D4739" s="3">
        <v>528.02819999999997</v>
      </c>
      <c r="E4739" s="3">
        <v>0</v>
      </c>
      <c r="F4739" t="s">
        <v>45</v>
      </c>
      <c r="G4739" s="3">
        <f t="shared" si="570"/>
        <v>-528.02819999999997</v>
      </c>
      <c r="H4739" s="3">
        <f t="shared" si="571"/>
        <v>528.02819999999997</v>
      </c>
      <c r="I4739" s="5" t="str">
        <f t="shared" si="572"/>
        <v>018</v>
      </c>
      <c r="J4739" s="5" t="str">
        <f t="shared" si="573"/>
        <v>2220</v>
      </c>
      <c r="K4739" s="5" t="str">
        <f t="shared" si="574"/>
        <v>000</v>
      </c>
      <c r="L4739" s="5">
        <f t="shared" si="575"/>
        <v>11</v>
      </c>
      <c r="M4739" s="5">
        <f t="shared" si="576"/>
        <v>2012</v>
      </c>
    </row>
    <row r="4740" spans="1:13" ht="15" x14ac:dyDescent="0.25">
      <c r="A4740" s="1">
        <f>DATE(2012,11,30)</f>
        <v>41243</v>
      </c>
      <c r="B4740" t="s">
        <v>22</v>
      </c>
      <c r="C4740" t="s">
        <v>10</v>
      </c>
      <c r="D4740" s="3">
        <v>121.13380000000001</v>
      </c>
      <c r="E4740" s="3">
        <v>0</v>
      </c>
      <c r="F4740" t="s">
        <v>45</v>
      </c>
      <c r="G4740" s="3">
        <f t="shared" si="570"/>
        <v>-121.13380000000001</v>
      </c>
      <c r="H4740" s="3">
        <f t="shared" si="571"/>
        <v>121.13380000000001</v>
      </c>
      <c r="I4740" s="5" t="str">
        <f t="shared" si="572"/>
        <v>018</v>
      </c>
      <c r="J4740" s="5" t="str">
        <f t="shared" si="573"/>
        <v>2230</v>
      </c>
      <c r="K4740" s="5" t="str">
        <f t="shared" si="574"/>
        <v>000</v>
      </c>
      <c r="L4740" s="5">
        <f t="shared" si="575"/>
        <v>11</v>
      </c>
      <c r="M4740" s="5">
        <f t="shared" si="576"/>
        <v>2012</v>
      </c>
    </row>
    <row r="4741" spans="1:13" ht="15" x14ac:dyDescent="0.25">
      <c r="A4741" s="1">
        <f>DATE(2012,12,1)</f>
        <v>41244</v>
      </c>
      <c r="B4741" t="s">
        <v>19</v>
      </c>
      <c r="C4741" t="s">
        <v>6</v>
      </c>
      <c r="D4741" s="3">
        <v>13626.536</v>
      </c>
      <c r="E4741" s="3">
        <v>0</v>
      </c>
      <c r="F4741" t="s">
        <v>45</v>
      </c>
      <c r="G4741" s="3">
        <f t="shared" si="570"/>
        <v>-13626.536</v>
      </c>
      <c r="H4741" s="3">
        <f t="shared" si="571"/>
        <v>13626.536</v>
      </c>
      <c r="I4741" s="5" t="str">
        <f t="shared" si="572"/>
        <v>018</v>
      </c>
      <c r="J4741" s="5" t="str">
        <f t="shared" si="573"/>
        <v>2100</v>
      </c>
      <c r="K4741" s="5" t="str">
        <f t="shared" si="574"/>
        <v>000</v>
      </c>
      <c r="L4741" s="5">
        <f t="shared" si="575"/>
        <v>12</v>
      </c>
      <c r="M4741" s="5">
        <f t="shared" si="576"/>
        <v>2012</v>
      </c>
    </row>
    <row r="4742" spans="1:13" ht="15" x14ac:dyDescent="0.25">
      <c r="A4742" s="1">
        <f>DATE(2012,12,1)</f>
        <v>41244</v>
      </c>
      <c r="B4742" t="s">
        <v>20</v>
      </c>
      <c r="C4742" t="s">
        <v>8</v>
      </c>
      <c r="D4742" s="3">
        <v>3341.6473999999998</v>
      </c>
      <c r="E4742" s="3">
        <v>0</v>
      </c>
      <c r="F4742" t="s">
        <v>45</v>
      </c>
      <c r="G4742" s="3">
        <f t="shared" si="570"/>
        <v>-3341.6473999999998</v>
      </c>
      <c r="H4742" s="3">
        <f t="shared" si="571"/>
        <v>3341.6473999999998</v>
      </c>
      <c r="I4742" s="5" t="str">
        <f t="shared" si="572"/>
        <v>018</v>
      </c>
      <c r="J4742" s="5" t="str">
        <f t="shared" si="573"/>
        <v>2210</v>
      </c>
      <c r="K4742" s="5" t="str">
        <f t="shared" si="574"/>
        <v>000</v>
      </c>
      <c r="L4742" s="5">
        <f t="shared" si="575"/>
        <v>12</v>
      </c>
      <c r="M4742" s="5">
        <f t="shared" si="576"/>
        <v>2012</v>
      </c>
    </row>
    <row r="4743" spans="1:13" ht="15" x14ac:dyDescent="0.25">
      <c r="A4743" s="1">
        <f>DATE(2012,12,1)</f>
        <v>41244</v>
      </c>
      <c r="B4743" t="s">
        <v>21</v>
      </c>
      <c r="C4743" t="s">
        <v>9</v>
      </c>
      <c r="D4743" s="3">
        <v>807.3252</v>
      </c>
      <c r="E4743" s="3">
        <v>0</v>
      </c>
      <c r="F4743" t="s">
        <v>45</v>
      </c>
      <c r="G4743" s="3">
        <f t="shared" si="570"/>
        <v>-807.3252</v>
      </c>
      <c r="H4743" s="3">
        <f t="shared" si="571"/>
        <v>807.3252</v>
      </c>
      <c r="I4743" s="5" t="str">
        <f t="shared" si="572"/>
        <v>018</v>
      </c>
      <c r="J4743" s="5" t="str">
        <f t="shared" si="573"/>
        <v>2220</v>
      </c>
      <c r="K4743" s="5" t="str">
        <f t="shared" si="574"/>
        <v>000</v>
      </c>
      <c r="L4743" s="5">
        <f t="shared" si="575"/>
        <v>12</v>
      </c>
      <c r="M4743" s="5">
        <f t="shared" si="576"/>
        <v>2012</v>
      </c>
    </row>
    <row r="4744" spans="1:13" ht="15" x14ac:dyDescent="0.25">
      <c r="A4744" s="1">
        <f>DATE(2012,12,1)</f>
        <v>41244</v>
      </c>
      <c r="B4744" t="s">
        <v>22</v>
      </c>
      <c r="C4744" t="s">
        <v>10</v>
      </c>
      <c r="D4744" s="3">
        <v>114.81699999999999</v>
      </c>
      <c r="E4744" s="3">
        <v>0</v>
      </c>
      <c r="F4744" t="s">
        <v>45</v>
      </c>
      <c r="G4744" s="3">
        <f t="shared" si="570"/>
        <v>-114.81699999999999</v>
      </c>
      <c r="H4744" s="3">
        <f t="shared" si="571"/>
        <v>114.81699999999999</v>
      </c>
      <c r="I4744" s="5" t="str">
        <f t="shared" si="572"/>
        <v>018</v>
      </c>
      <c r="J4744" s="5" t="str">
        <f t="shared" si="573"/>
        <v>2230</v>
      </c>
      <c r="K4744" s="5" t="str">
        <f t="shared" si="574"/>
        <v>000</v>
      </c>
      <c r="L4744" s="5">
        <f t="shared" si="575"/>
        <v>12</v>
      </c>
      <c r="M4744" s="5">
        <f t="shared" si="576"/>
        <v>2012</v>
      </c>
    </row>
    <row r="4745" spans="1:13" ht="15" x14ac:dyDescent="0.25">
      <c r="A4745" s="1">
        <f>DATE(2012,12,2)</f>
        <v>41245</v>
      </c>
      <c r="B4745" t="s">
        <v>19</v>
      </c>
      <c r="C4745" t="s">
        <v>6</v>
      </c>
      <c r="D4745" s="3">
        <v>5992.9825000000001</v>
      </c>
      <c r="E4745" s="3">
        <v>0</v>
      </c>
      <c r="F4745" t="s">
        <v>45</v>
      </c>
      <c r="G4745" s="3">
        <f t="shared" si="570"/>
        <v>-5992.9825000000001</v>
      </c>
      <c r="H4745" s="3">
        <f t="shared" si="571"/>
        <v>5992.9825000000001</v>
      </c>
      <c r="I4745" s="5" t="str">
        <f t="shared" si="572"/>
        <v>018</v>
      </c>
      <c r="J4745" s="5" t="str">
        <f t="shared" si="573"/>
        <v>2100</v>
      </c>
      <c r="K4745" s="5" t="str">
        <f t="shared" si="574"/>
        <v>000</v>
      </c>
      <c r="L4745" s="5">
        <f t="shared" si="575"/>
        <v>12</v>
      </c>
      <c r="M4745" s="5">
        <f t="shared" si="576"/>
        <v>2012</v>
      </c>
    </row>
    <row r="4746" spans="1:13" ht="15" x14ac:dyDescent="0.25">
      <c r="A4746" s="1">
        <f>DATE(2012,12,2)</f>
        <v>41245</v>
      </c>
      <c r="B4746" t="s">
        <v>20</v>
      </c>
      <c r="C4746" t="s">
        <v>8</v>
      </c>
      <c r="D4746" s="3">
        <v>737.46519999999998</v>
      </c>
      <c r="E4746" s="3">
        <v>0</v>
      </c>
      <c r="F4746" t="s">
        <v>45</v>
      </c>
      <c r="G4746" s="3">
        <f t="shared" si="570"/>
        <v>-737.46519999999998</v>
      </c>
      <c r="H4746" s="3">
        <f t="shared" si="571"/>
        <v>737.46519999999998</v>
      </c>
      <c r="I4746" s="5" t="str">
        <f t="shared" si="572"/>
        <v>018</v>
      </c>
      <c r="J4746" s="5" t="str">
        <f t="shared" si="573"/>
        <v>2210</v>
      </c>
      <c r="K4746" s="5" t="str">
        <f t="shared" si="574"/>
        <v>000</v>
      </c>
      <c r="L4746" s="5">
        <f t="shared" si="575"/>
        <v>12</v>
      </c>
      <c r="M4746" s="5">
        <f t="shared" si="576"/>
        <v>2012</v>
      </c>
    </row>
    <row r="4747" spans="1:13" ht="15" x14ac:dyDescent="0.25">
      <c r="A4747" s="1">
        <f>DATE(2012,12,2)</f>
        <v>41245</v>
      </c>
      <c r="B4747" t="s">
        <v>21</v>
      </c>
      <c r="C4747" t="s">
        <v>9</v>
      </c>
      <c r="D4747" s="3">
        <v>183.63400000000001</v>
      </c>
      <c r="E4747" s="3">
        <v>0</v>
      </c>
      <c r="F4747" t="s">
        <v>45</v>
      </c>
      <c r="G4747" s="3">
        <f t="shared" si="570"/>
        <v>-183.63400000000001</v>
      </c>
      <c r="H4747" s="3">
        <f t="shared" si="571"/>
        <v>183.63400000000001</v>
      </c>
      <c r="I4747" s="5" t="str">
        <f t="shared" si="572"/>
        <v>018</v>
      </c>
      <c r="J4747" s="5" t="str">
        <f t="shared" si="573"/>
        <v>2220</v>
      </c>
      <c r="K4747" s="5" t="str">
        <f t="shared" si="574"/>
        <v>000</v>
      </c>
      <c r="L4747" s="5">
        <f t="shared" si="575"/>
        <v>12</v>
      </c>
      <c r="M4747" s="5">
        <f t="shared" si="576"/>
        <v>2012</v>
      </c>
    </row>
    <row r="4748" spans="1:13" ht="15" x14ac:dyDescent="0.25">
      <c r="A4748" s="1">
        <f>DATE(2012,12,2)</f>
        <v>41245</v>
      </c>
      <c r="B4748" t="s">
        <v>22</v>
      </c>
      <c r="C4748" t="s">
        <v>10</v>
      </c>
      <c r="D4748" s="3">
        <v>93.912000000000006</v>
      </c>
      <c r="E4748" s="3">
        <v>0</v>
      </c>
      <c r="F4748" t="s">
        <v>45</v>
      </c>
      <c r="G4748" s="3">
        <f t="shared" si="570"/>
        <v>-93.912000000000006</v>
      </c>
      <c r="H4748" s="3">
        <f t="shared" si="571"/>
        <v>93.912000000000006</v>
      </c>
      <c r="I4748" s="5" t="str">
        <f t="shared" si="572"/>
        <v>018</v>
      </c>
      <c r="J4748" s="5" t="str">
        <f t="shared" si="573"/>
        <v>2230</v>
      </c>
      <c r="K4748" s="5" t="str">
        <f t="shared" si="574"/>
        <v>000</v>
      </c>
      <c r="L4748" s="5">
        <f t="shared" si="575"/>
        <v>12</v>
      </c>
      <c r="M4748" s="5">
        <f t="shared" si="576"/>
        <v>2012</v>
      </c>
    </row>
    <row r="4749" spans="1:13" ht="15" x14ac:dyDescent="0.25">
      <c r="A4749" s="1">
        <f t="shared" ref="A4749:A4752" si="577">DATE(2012,12,3)</f>
        <v>41246</v>
      </c>
      <c r="B4749" t="s">
        <v>11</v>
      </c>
      <c r="C4749" t="s">
        <v>6</v>
      </c>
      <c r="D4749" s="3">
        <v>2598.1064999999999</v>
      </c>
      <c r="E4749" s="3">
        <v>0</v>
      </c>
      <c r="F4749" t="s">
        <v>45</v>
      </c>
      <c r="G4749" s="3">
        <f t="shared" si="570"/>
        <v>-2598.1064999999999</v>
      </c>
      <c r="H4749" s="3">
        <f t="shared" si="571"/>
        <v>2598.1064999999999</v>
      </c>
      <c r="I4749" s="5" t="str">
        <f t="shared" si="572"/>
        <v>016</v>
      </c>
      <c r="J4749" s="5" t="str">
        <f t="shared" si="573"/>
        <v>2100</v>
      </c>
      <c r="K4749" s="5" t="str">
        <f t="shared" si="574"/>
        <v>000</v>
      </c>
      <c r="L4749" s="5">
        <f t="shared" si="575"/>
        <v>12</v>
      </c>
      <c r="M4749" s="5">
        <f t="shared" si="576"/>
        <v>2012</v>
      </c>
    </row>
    <row r="4750" spans="1:13" ht="15" x14ac:dyDescent="0.25">
      <c r="A4750" s="1">
        <f t="shared" si="577"/>
        <v>41246</v>
      </c>
      <c r="B4750" t="s">
        <v>12</v>
      </c>
      <c r="C4750" t="s">
        <v>8</v>
      </c>
      <c r="D4750" s="3">
        <v>947.13459999999998</v>
      </c>
      <c r="E4750" s="3">
        <v>0</v>
      </c>
      <c r="F4750" t="s">
        <v>45</v>
      </c>
      <c r="G4750" s="3">
        <f t="shared" si="570"/>
        <v>-947.13459999999998</v>
      </c>
      <c r="H4750" s="3">
        <f t="shared" si="571"/>
        <v>947.13459999999998</v>
      </c>
      <c r="I4750" s="5" t="str">
        <f t="shared" si="572"/>
        <v>016</v>
      </c>
      <c r="J4750" s="5" t="str">
        <f t="shared" si="573"/>
        <v>2210</v>
      </c>
      <c r="K4750" s="5" t="str">
        <f t="shared" si="574"/>
        <v>000</v>
      </c>
      <c r="L4750" s="5">
        <f t="shared" si="575"/>
        <v>12</v>
      </c>
      <c r="M4750" s="5">
        <f t="shared" si="576"/>
        <v>2012</v>
      </c>
    </row>
    <row r="4751" spans="1:13" ht="15" x14ac:dyDescent="0.25">
      <c r="A4751" s="1">
        <f t="shared" si="577"/>
        <v>41246</v>
      </c>
      <c r="B4751" t="s">
        <v>13</v>
      </c>
      <c r="C4751" t="s">
        <v>9</v>
      </c>
      <c r="D4751" s="3">
        <v>202.21289999999999</v>
      </c>
      <c r="E4751" s="3">
        <v>0</v>
      </c>
      <c r="F4751" t="s">
        <v>45</v>
      </c>
      <c r="G4751" s="3">
        <f t="shared" si="570"/>
        <v>-202.21289999999999</v>
      </c>
      <c r="H4751" s="3">
        <f t="shared" si="571"/>
        <v>202.21289999999999</v>
      </c>
      <c r="I4751" s="5" t="str">
        <f t="shared" si="572"/>
        <v>016</v>
      </c>
      <c r="J4751" s="5" t="str">
        <f t="shared" si="573"/>
        <v>2220</v>
      </c>
      <c r="K4751" s="5" t="str">
        <f t="shared" si="574"/>
        <v>000</v>
      </c>
      <c r="L4751" s="5">
        <f t="shared" si="575"/>
        <v>12</v>
      </c>
      <c r="M4751" s="5">
        <f t="shared" si="576"/>
        <v>2012</v>
      </c>
    </row>
    <row r="4752" spans="1:13" ht="15" x14ac:dyDescent="0.25">
      <c r="A4752" s="1">
        <f t="shared" si="577"/>
        <v>41246</v>
      </c>
      <c r="B4752" t="s">
        <v>14</v>
      </c>
      <c r="C4752" t="s">
        <v>10</v>
      </c>
      <c r="D4752" s="3">
        <v>77.061199999999999</v>
      </c>
      <c r="E4752" s="3">
        <v>0</v>
      </c>
      <c r="F4752" t="s">
        <v>45</v>
      </c>
      <c r="G4752" s="3">
        <f t="shared" si="570"/>
        <v>-77.061199999999999</v>
      </c>
      <c r="H4752" s="3">
        <f t="shared" si="571"/>
        <v>77.061199999999999</v>
      </c>
      <c r="I4752" s="5" t="str">
        <f t="shared" si="572"/>
        <v>016</v>
      </c>
      <c r="J4752" s="5" t="str">
        <f t="shared" si="573"/>
        <v>2230</v>
      </c>
      <c r="K4752" s="5" t="str">
        <f t="shared" si="574"/>
        <v>000</v>
      </c>
      <c r="L4752" s="5">
        <f t="shared" si="575"/>
        <v>12</v>
      </c>
      <c r="M4752" s="5">
        <f t="shared" si="576"/>
        <v>2012</v>
      </c>
    </row>
    <row r="4753" spans="1:13" ht="15" x14ac:dyDescent="0.25">
      <c r="A4753" s="1">
        <f>DATE(2012,12,4)</f>
        <v>41247</v>
      </c>
      <c r="B4753" t="s">
        <v>11</v>
      </c>
      <c r="C4753" t="s">
        <v>6</v>
      </c>
      <c r="D4753" s="3">
        <v>5510.9543999999996</v>
      </c>
      <c r="E4753" s="3">
        <v>0</v>
      </c>
      <c r="F4753" t="s">
        <v>45</v>
      </c>
      <c r="G4753" s="3">
        <f t="shared" si="570"/>
        <v>-5510.9543999999996</v>
      </c>
      <c r="H4753" s="3">
        <f t="shared" si="571"/>
        <v>5510.9543999999996</v>
      </c>
      <c r="I4753" s="5" t="str">
        <f t="shared" si="572"/>
        <v>016</v>
      </c>
      <c r="J4753" s="5" t="str">
        <f t="shared" si="573"/>
        <v>2100</v>
      </c>
      <c r="K4753" s="5" t="str">
        <f t="shared" si="574"/>
        <v>000</v>
      </c>
      <c r="L4753" s="5">
        <f t="shared" si="575"/>
        <v>12</v>
      </c>
      <c r="M4753" s="5">
        <f t="shared" si="576"/>
        <v>2012</v>
      </c>
    </row>
    <row r="4754" spans="1:13" ht="15" x14ac:dyDescent="0.25">
      <c r="A4754" s="1">
        <f>DATE(2012,12,4)</f>
        <v>41247</v>
      </c>
      <c r="B4754" t="s">
        <v>12</v>
      </c>
      <c r="C4754" t="s">
        <v>8</v>
      </c>
      <c r="D4754" s="3">
        <v>2167.0048000000002</v>
      </c>
      <c r="E4754" s="3">
        <v>0</v>
      </c>
      <c r="F4754" t="s">
        <v>45</v>
      </c>
      <c r="G4754" s="3">
        <f t="shared" si="570"/>
        <v>-2167.0048000000002</v>
      </c>
      <c r="H4754" s="3">
        <f t="shared" si="571"/>
        <v>2167.0048000000002</v>
      </c>
      <c r="I4754" s="5" t="str">
        <f t="shared" si="572"/>
        <v>016</v>
      </c>
      <c r="J4754" s="5" t="str">
        <f t="shared" si="573"/>
        <v>2210</v>
      </c>
      <c r="K4754" s="5" t="str">
        <f t="shared" si="574"/>
        <v>000</v>
      </c>
      <c r="L4754" s="5">
        <f t="shared" si="575"/>
        <v>12</v>
      </c>
      <c r="M4754" s="5">
        <f t="shared" si="576"/>
        <v>2012</v>
      </c>
    </row>
    <row r="4755" spans="1:13" ht="15" x14ac:dyDescent="0.25">
      <c r="A4755" s="1">
        <f>DATE(2012,12,4)</f>
        <v>41247</v>
      </c>
      <c r="B4755" t="s">
        <v>13</v>
      </c>
      <c r="C4755" t="s">
        <v>9</v>
      </c>
      <c r="D4755" s="3">
        <v>384.62459999999993</v>
      </c>
      <c r="E4755" s="3">
        <v>0</v>
      </c>
      <c r="F4755" t="s">
        <v>45</v>
      </c>
      <c r="G4755" s="3">
        <f t="shared" si="570"/>
        <v>-384.62459999999993</v>
      </c>
      <c r="H4755" s="3">
        <f t="shared" si="571"/>
        <v>384.62459999999993</v>
      </c>
      <c r="I4755" s="5" t="str">
        <f t="shared" si="572"/>
        <v>016</v>
      </c>
      <c r="J4755" s="5" t="str">
        <f t="shared" si="573"/>
        <v>2220</v>
      </c>
      <c r="K4755" s="5" t="str">
        <f t="shared" si="574"/>
        <v>000</v>
      </c>
      <c r="L4755" s="5">
        <f t="shared" si="575"/>
        <v>12</v>
      </c>
      <c r="M4755" s="5">
        <f t="shared" si="576"/>
        <v>2012</v>
      </c>
    </row>
    <row r="4756" spans="1:13" ht="15" x14ac:dyDescent="0.25">
      <c r="A4756" s="1">
        <f>DATE(2012,12,4)</f>
        <v>41247</v>
      </c>
      <c r="B4756" t="s">
        <v>14</v>
      </c>
      <c r="C4756" t="s">
        <v>10</v>
      </c>
      <c r="D4756" s="3">
        <v>121.7856</v>
      </c>
      <c r="E4756" s="3">
        <v>0</v>
      </c>
      <c r="F4756" t="s">
        <v>45</v>
      </c>
      <c r="G4756" s="3">
        <f t="shared" si="570"/>
        <v>-121.7856</v>
      </c>
      <c r="H4756" s="3">
        <f t="shared" si="571"/>
        <v>121.7856</v>
      </c>
      <c r="I4756" s="5" t="str">
        <f t="shared" si="572"/>
        <v>016</v>
      </c>
      <c r="J4756" s="5" t="str">
        <f t="shared" si="573"/>
        <v>2230</v>
      </c>
      <c r="K4756" s="5" t="str">
        <f t="shared" si="574"/>
        <v>000</v>
      </c>
      <c r="L4756" s="5">
        <f t="shared" si="575"/>
        <v>12</v>
      </c>
      <c r="M4756" s="5">
        <f t="shared" si="576"/>
        <v>2012</v>
      </c>
    </row>
    <row r="4757" spans="1:13" ht="15" x14ac:dyDescent="0.25">
      <c r="A4757" s="1">
        <f>DATE(2012,12,5)</f>
        <v>41248</v>
      </c>
      <c r="B4757" t="s">
        <v>11</v>
      </c>
      <c r="C4757" t="s">
        <v>6</v>
      </c>
      <c r="D4757" s="3">
        <v>2912.9828000000002</v>
      </c>
      <c r="E4757" s="3">
        <v>0</v>
      </c>
      <c r="F4757" t="s">
        <v>45</v>
      </c>
      <c r="G4757" s="3">
        <f t="shared" si="570"/>
        <v>-2912.9828000000002</v>
      </c>
      <c r="H4757" s="3">
        <f t="shared" si="571"/>
        <v>2912.9828000000002</v>
      </c>
      <c r="I4757" s="5" t="str">
        <f t="shared" si="572"/>
        <v>016</v>
      </c>
      <c r="J4757" s="5" t="str">
        <f t="shared" si="573"/>
        <v>2100</v>
      </c>
      <c r="K4757" s="5" t="str">
        <f t="shared" si="574"/>
        <v>000</v>
      </c>
      <c r="L4757" s="5">
        <f t="shared" si="575"/>
        <v>12</v>
      </c>
      <c r="M4757" s="5">
        <f t="shared" si="576"/>
        <v>2012</v>
      </c>
    </row>
    <row r="4758" spans="1:13" ht="15" x14ac:dyDescent="0.25">
      <c r="A4758" s="1">
        <f>DATE(2012,12,5)</f>
        <v>41248</v>
      </c>
      <c r="B4758" t="s">
        <v>12</v>
      </c>
      <c r="C4758" t="s">
        <v>8</v>
      </c>
      <c r="D4758" s="3">
        <v>635.5859999999999</v>
      </c>
      <c r="E4758" s="3">
        <v>0</v>
      </c>
      <c r="F4758" t="s">
        <v>45</v>
      </c>
      <c r="G4758" s="3">
        <f t="shared" si="570"/>
        <v>-635.5859999999999</v>
      </c>
      <c r="H4758" s="3">
        <f t="shared" si="571"/>
        <v>635.5859999999999</v>
      </c>
      <c r="I4758" s="5" t="str">
        <f t="shared" si="572"/>
        <v>016</v>
      </c>
      <c r="J4758" s="5" t="str">
        <f t="shared" si="573"/>
        <v>2210</v>
      </c>
      <c r="K4758" s="5" t="str">
        <f t="shared" si="574"/>
        <v>000</v>
      </c>
      <c r="L4758" s="5">
        <f t="shared" si="575"/>
        <v>12</v>
      </c>
      <c r="M4758" s="5">
        <f t="shared" si="576"/>
        <v>2012</v>
      </c>
    </row>
    <row r="4759" spans="1:13" ht="15" x14ac:dyDescent="0.25">
      <c r="A4759" s="1">
        <f>DATE(2012,12,5)</f>
        <v>41248</v>
      </c>
      <c r="B4759" t="s">
        <v>13</v>
      </c>
      <c r="C4759" t="s">
        <v>9</v>
      </c>
      <c r="D4759" s="3">
        <v>212.64679999999998</v>
      </c>
      <c r="E4759" s="3">
        <v>0</v>
      </c>
      <c r="F4759" t="s">
        <v>45</v>
      </c>
      <c r="G4759" s="3">
        <f t="shared" si="570"/>
        <v>-212.64679999999998</v>
      </c>
      <c r="H4759" s="3">
        <f t="shared" si="571"/>
        <v>212.64679999999998</v>
      </c>
      <c r="I4759" s="5" t="str">
        <f t="shared" si="572"/>
        <v>016</v>
      </c>
      <c r="J4759" s="5" t="str">
        <f t="shared" si="573"/>
        <v>2220</v>
      </c>
      <c r="K4759" s="5" t="str">
        <f t="shared" si="574"/>
        <v>000</v>
      </c>
      <c r="L4759" s="5">
        <f t="shared" si="575"/>
        <v>12</v>
      </c>
      <c r="M4759" s="5">
        <f t="shared" si="576"/>
        <v>2012</v>
      </c>
    </row>
    <row r="4760" spans="1:13" ht="15" x14ac:dyDescent="0.25">
      <c r="A4760" s="1">
        <f>DATE(2012,12,5)</f>
        <v>41248</v>
      </c>
      <c r="B4760" t="s">
        <v>14</v>
      </c>
      <c r="C4760" t="s">
        <v>10</v>
      </c>
      <c r="D4760" s="3">
        <v>63.185600000000008</v>
      </c>
      <c r="E4760" s="3">
        <v>0</v>
      </c>
      <c r="F4760" t="s">
        <v>45</v>
      </c>
      <c r="G4760" s="3">
        <f t="shared" si="570"/>
        <v>-63.185600000000008</v>
      </c>
      <c r="H4760" s="3">
        <f t="shared" si="571"/>
        <v>63.185600000000008</v>
      </c>
      <c r="I4760" s="5" t="str">
        <f t="shared" si="572"/>
        <v>016</v>
      </c>
      <c r="J4760" s="5" t="str">
        <f t="shared" si="573"/>
        <v>2230</v>
      </c>
      <c r="K4760" s="5" t="str">
        <f t="shared" si="574"/>
        <v>000</v>
      </c>
      <c r="L4760" s="5">
        <f t="shared" si="575"/>
        <v>12</v>
      </c>
      <c r="M4760" s="5">
        <f t="shared" si="576"/>
        <v>2012</v>
      </c>
    </row>
    <row r="4761" spans="1:13" ht="15" x14ac:dyDescent="0.25">
      <c r="A4761" s="1">
        <f>DATE(2012,12,6)</f>
        <v>41249</v>
      </c>
      <c r="B4761" t="s">
        <v>11</v>
      </c>
      <c r="C4761" t="s">
        <v>6</v>
      </c>
      <c r="D4761" s="3">
        <v>3356.2435999999998</v>
      </c>
      <c r="E4761" s="3">
        <v>0</v>
      </c>
      <c r="F4761" t="s">
        <v>45</v>
      </c>
      <c r="G4761" s="3">
        <f t="shared" si="570"/>
        <v>-3356.2435999999998</v>
      </c>
      <c r="H4761" s="3">
        <f t="shared" si="571"/>
        <v>3356.2435999999998</v>
      </c>
      <c r="I4761" s="5" t="str">
        <f t="shared" si="572"/>
        <v>016</v>
      </c>
      <c r="J4761" s="5" t="str">
        <f t="shared" si="573"/>
        <v>2100</v>
      </c>
      <c r="K4761" s="5" t="str">
        <f t="shared" si="574"/>
        <v>000</v>
      </c>
      <c r="L4761" s="5">
        <f t="shared" si="575"/>
        <v>12</v>
      </c>
      <c r="M4761" s="5">
        <f t="shared" si="576"/>
        <v>2012</v>
      </c>
    </row>
    <row r="4762" spans="1:13" ht="15" x14ac:dyDescent="0.25">
      <c r="A4762" s="1">
        <f>DATE(2012,12,6)</f>
        <v>41249</v>
      </c>
      <c r="B4762" t="s">
        <v>12</v>
      </c>
      <c r="C4762" t="s">
        <v>8</v>
      </c>
      <c r="D4762" s="3">
        <v>841.21569999999997</v>
      </c>
      <c r="E4762" s="3">
        <v>0</v>
      </c>
      <c r="F4762" t="s">
        <v>45</v>
      </c>
      <c r="G4762" s="3">
        <f t="shared" si="570"/>
        <v>-841.21569999999997</v>
      </c>
      <c r="H4762" s="3">
        <f t="shared" si="571"/>
        <v>841.21569999999997</v>
      </c>
      <c r="I4762" s="5" t="str">
        <f t="shared" si="572"/>
        <v>016</v>
      </c>
      <c r="J4762" s="5" t="str">
        <f t="shared" si="573"/>
        <v>2210</v>
      </c>
      <c r="K4762" s="5" t="str">
        <f t="shared" si="574"/>
        <v>000</v>
      </c>
      <c r="L4762" s="5">
        <f t="shared" si="575"/>
        <v>12</v>
      </c>
      <c r="M4762" s="5">
        <f t="shared" si="576"/>
        <v>2012</v>
      </c>
    </row>
    <row r="4763" spans="1:13" ht="15" x14ac:dyDescent="0.25">
      <c r="A4763" s="1">
        <f>DATE(2012,12,6)</f>
        <v>41249</v>
      </c>
      <c r="B4763" t="s">
        <v>13</v>
      </c>
      <c r="C4763" t="s">
        <v>9</v>
      </c>
      <c r="D4763" s="3">
        <v>110.17069999999998</v>
      </c>
      <c r="E4763" s="3">
        <v>0</v>
      </c>
      <c r="F4763" t="s">
        <v>45</v>
      </c>
      <c r="G4763" s="3">
        <f t="shared" si="570"/>
        <v>-110.17069999999998</v>
      </c>
      <c r="H4763" s="3">
        <f t="shared" si="571"/>
        <v>110.17069999999998</v>
      </c>
      <c r="I4763" s="5" t="str">
        <f t="shared" si="572"/>
        <v>016</v>
      </c>
      <c r="J4763" s="5" t="str">
        <f t="shared" si="573"/>
        <v>2220</v>
      </c>
      <c r="K4763" s="5" t="str">
        <f t="shared" si="574"/>
        <v>000</v>
      </c>
      <c r="L4763" s="5">
        <f t="shared" si="575"/>
        <v>12</v>
      </c>
      <c r="M4763" s="5">
        <f t="shared" si="576"/>
        <v>2012</v>
      </c>
    </row>
    <row r="4764" spans="1:13" ht="15" x14ac:dyDescent="0.25">
      <c r="A4764" s="1">
        <f>DATE(2012,12,6)</f>
        <v>41249</v>
      </c>
      <c r="B4764" t="s">
        <v>14</v>
      </c>
      <c r="C4764" t="s">
        <v>10</v>
      </c>
      <c r="D4764" s="3">
        <v>75.850700000000003</v>
      </c>
      <c r="E4764" s="3">
        <v>0</v>
      </c>
      <c r="F4764" t="s">
        <v>45</v>
      </c>
      <c r="G4764" s="3">
        <f t="shared" si="570"/>
        <v>-75.850700000000003</v>
      </c>
      <c r="H4764" s="3">
        <f t="shared" si="571"/>
        <v>75.850700000000003</v>
      </c>
      <c r="I4764" s="5" t="str">
        <f t="shared" si="572"/>
        <v>016</v>
      </c>
      <c r="J4764" s="5" t="str">
        <f t="shared" si="573"/>
        <v>2230</v>
      </c>
      <c r="K4764" s="5" t="str">
        <f t="shared" si="574"/>
        <v>000</v>
      </c>
      <c r="L4764" s="5">
        <f t="shared" si="575"/>
        <v>12</v>
      </c>
      <c r="M4764" s="5">
        <f t="shared" si="576"/>
        <v>2012</v>
      </c>
    </row>
    <row r="4765" spans="1:13" ht="15" x14ac:dyDescent="0.25">
      <c r="A4765" s="1">
        <f>DATE(2012,12,7)</f>
        <v>41250</v>
      </c>
      <c r="B4765" t="s">
        <v>11</v>
      </c>
      <c r="C4765" t="s">
        <v>6</v>
      </c>
      <c r="D4765" s="3">
        <v>6981.2925000000005</v>
      </c>
      <c r="E4765" s="3">
        <v>0</v>
      </c>
      <c r="F4765" t="s">
        <v>45</v>
      </c>
      <c r="G4765" s="3">
        <f t="shared" si="570"/>
        <v>-6981.2925000000005</v>
      </c>
      <c r="H4765" s="3">
        <f t="shared" si="571"/>
        <v>6981.2925000000005</v>
      </c>
      <c r="I4765" s="5" t="str">
        <f t="shared" si="572"/>
        <v>016</v>
      </c>
      <c r="J4765" s="5" t="str">
        <f t="shared" si="573"/>
        <v>2100</v>
      </c>
      <c r="K4765" s="5" t="str">
        <f t="shared" si="574"/>
        <v>000</v>
      </c>
      <c r="L4765" s="5">
        <f t="shared" si="575"/>
        <v>12</v>
      </c>
      <c r="M4765" s="5">
        <f t="shared" si="576"/>
        <v>2012</v>
      </c>
    </row>
    <row r="4766" spans="1:13" ht="15" x14ac:dyDescent="0.25">
      <c r="A4766" s="1">
        <f>DATE(2012,12,7)</f>
        <v>41250</v>
      </c>
      <c r="B4766" t="s">
        <v>12</v>
      </c>
      <c r="C4766" t="s">
        <v>8</v>
      </c>
      <c r="D4766" s="3">
        <v>2176.4000999999998</v>
      </c>
      <c r="E4766" s="3">
        <v>0</v>
      </c>
      <c r="F4766" t="s">
        <v>45</v>
      </c>
      <c r="G4766" s="3">
        <f t="shared" si="570"/>
        <v>-2176.4000999999998</v>
      </c>
      <c r="H4766" s="3">
        <f t="shared" si="571"/>
        <v>2176.4000999999998</v>
      </c>
      <c r="I4766" s="5" t="str">
        <f t="shared" si="572"/>
        <v>016</v>
      </c>
      <c r="J4766" s="5" t="str">
        <f t="shared" si="573"/>
        <v>2210</v>
      </c>
      <c r="K4766" s="5" t="str">
        <f t="shared" si="574"/>
        <v>000</v>
      </c>
      <c r="L4766" s="5">
        <f t="shared" si="575"/>
        <v>12</v>
      </c>
      <c r="M4766" s="5">
        <f t="shared" si="576"/>
        <v>2012</v>
      </c>
    </row>
    <row r="4767" spans="1:13" ht="15" x14ac:dyDescent="0.25">
      <c r="A4767" s="1">
        <f>DATE(2012,12,7)</f>
        <v>41250</v>
      </c>
      <c r="B4767" t="s">
        <v>13</v>
      </c>
      <c r="C4767" t="s">
        <v>9</v>
      </c>
      <c r="D4767" s="3">
        <v>462.87359999999995</v>
      </c>
      <c r="E4767" s="3">
        <v>0</v>
      </c>
      <c r="F4767" t="s">
        <v>45</v>
      </c>
      <c r="G4767" s="3">
        <f t="shared" si="570"/>
        <v>-462.87359999999995</v>
      </c>
      <c r="H4767" s="3">
        <f t="shared" si="571"/>
        <v>462.87359999999995</v>
      </c>
      <c r="I4767" s="5" t="str">
        <f t="shared" si="572"/>
        <v>016</v>
      </c>
      <c r="J4767" s="5" t="str">
        <f t="shared" si="573"/>
        <v>2220</v>
      </c>
      <c r="K4767" s="5" t="str">
        <f t="shared" si="574"/>
        <v>000</v>
      </c>
      <c r="L4767" s="5">
        <f t="shared" si="575"/>
        <v>12</v>
      </c>
      <c r="M4767" s="5">
        <f t="shared" si="576"/>
        <v>2012</v>
      </c>
    </row>
    <row r="4768" spans="1:13" ht="15" x14ac:dyDescent="0.25">
      <c r="A4768" s="1">
        <f>DATE(2012,12,7)</f>
        <v>41250</v>
      </c>
      <c r="B4768" t="s">
        <v>14</v>
      </c>
      <c r="C4768" t="s">
        <v>10</v>
      </c>
      <c r="D4768" s="3">
        <v>138.03790000000001</v>
      </c>
      <c r="E4768" s="3">
        <v>0</v>
      </c>
      <c r="F4768" t="s">
        <v>45</v>
      </c>
      <c r="G4768" s="3">
        <f t="shared" si="570"/>
        <v>-138.03790000000001</v>
      </c>
      <c r="H4768" s="3">
        <f t="shared" si="571"/>
        <v>138.03790000000001</v>
      </c>
      <c r="I4768" s="5" t="str">
        <f t="shared" si="572"/>
        <v>016</v>
      </c>
      <c r="J4768" s="5" t="str">
        <f t="shared" si="573"/>
        <v>2230</v>
      </c>
      <c r="K4768" s="5" t="str">
        <f t="shared" si="574"/>
        <v>000</v>
      </c>
      <c r="L4768" s="5">
        <f t="shared" si="575"/>
        <v>12</v>
      </c>
      <c r="M4768" s="5">
        <f t="shared" si="576"/>
        <v>2012</v>
      </c>
    </row>
    <row r="4769" spans="1:13" ht="15" x14ac:dyDescent="0.25">
      <c r="A4769" s="1">
        <f>DATE(2012,12,8)</f>
        <v>41251</v>
      </c>
      <c r="B4769" t="s">
        <v>11</v>
      </c>
      <c r="C4769" t="s">
        <v>6</v>
      </c>
      <c r="D4769" s="3">
        <v>6809.0320000000011</v>
      </c>
      <c r="E4769" s="3">
        <v>0</v>
      </c>
      <c r="F4769" t="s">
        <v>45</v>
      </c>
      <c r="G4769" s="3">
        <f t="shared" si="570"/>
        <v>-6809.0320000000011</v>
      </c>
      <c r="H4769" s="3">
        <f t="shared" si="571"/>
        <v>6809.0320000000011</v>
      </c>
      <c r="I4769" s="5" t="str">
        <f t="shared" si="572"/>
        <v>016</v>
      </c>
      <c r="J4769" s="5" t="str">
        <f t="shared" si="573"/>
        <v>2100</v>
      </c>
      <c r="K4769" s="5" t="str">
        <f t="shared" si="574"/>
        <v>000</v>
      </c>
      <c r="L4769" s="5">
        <f t="shared" si="575"/>
        <v>12</v>
      </c>
      <c r="M4769" s="5">
        <f t="shared" si="576"/>
        <v>2012</v>
      </c>
    </row>
    <row r="4770" spans="1:13" ht="15" x14ac:dyDescent="0.25">
      <c r="A4770" s="1">
        <f>DATE(2012,12,8)</f>
        <v>41251</v>
      </c>
      <c r="B4770" t="s">
        <v>12</v>
      </c>
      <c r="C4770" t="s">
        <v>8</v>
      </c>
      <c r="D4770" s="3">
        <v>1110.8159999999998</v>
      </c>
      <c r="E4770" s="3">
        <v>0</v>
      </c>
      <c r="F4770" t="s">
        <v>45</v>
      </c>
      <c r="G4770" s="3">
        <f t="shared" si="570"/>
        <v>-1110.8159999999998</v>
      </c>
      <c r="H4770" s="3">
        <f t="shared" si="571"/>
        <v>1110.8159999999998</v>
      </c>
      <c r="I4770" s="5" t="str">
        <f t="shared" si="572"/>
        <v>016</v>
      </c>
      <c r="J4770" s="5" t="str">
        <f t="shared" si="573"/>
        <v>2210</v>
      </c>
      <c r="K4770" s="5" t="str">
        <f t="shared" si="574"/>
        <v>000</v>
      </c>
      <c r="L4770" s="5">
        <f t="shared" si="575"/>
        <v>12</v>
      </c>
      <c r="M4770" s="5">
        <f t="shared" si="576"/>
        <v>2012</v>
      </c>
    </row>
    <row r="4771" spans="1:13" ht="15" x14ac:dyDescent="0.25">
      <c r="A4771" s="1">
        <f>DATE(2012,12,8)</f>
        <v>41251</v>
      </c>
      <c r="B4771" t="s">
        <v>13</v>
      </c>
      <c r="C4771" t="s">
        <v>9</v>
      </c>
      <c r="D4771" s="3">
        <v>329.6044</v>
      </c>
      <c r="E4771" s="3">
        <v>0</v>
      </c>
      <c r="F4771" t="s">
        <v>45</v>
      </c>
      <c r="G4771" s="3">
        <f t="shared" si="570"/>
        <v>-329.6044</v>
      </c>
      <c r="H4771" s="3">
        <f t="shared" si="571"/>
        <v>329.6044</v>
      </c>
      <c r="I4771" s="5" t="str">
        <f t="shared" si="572"/>
        <v>016</v>
      </c>
      <c r="J4771" s="5" t="str">
        <f t="shared" si="573"/>
        <v>2220</v>
      </c>
      <c r="K4771" s="5" t="str">
        <f t="shared" si="574"/>
        <v>000</v>
      </c>
      <c r="L4771" s="5">
        <f t="shared" si="575"/>
        <v>12</v>
      </c>
      <c r="M4771" s="5">
        <f t="shared" si="576"/>
        <v>2012</v>
      </c>
    </row>
    <row r="4772" spans="1:13" ht="15" x14ac:dyDescent="0.25">
      <c r="A4772" s="1">
        <f>DATE(2012,12,8)</f>
        <v>41251</v>
      </c>
      <c r="B4772" t="s">
        <v>14</v>
      </c>
      <c r="C4772" t="s">
        <v>10</v>
      </c>
      <c r="D4772" s="3">
        <v>177.1028</v>
      </c>
      <c r="E4772" s="3">
        <v>0</v>
      </c>
      <c r="F4772" t="s">
        <v>45</v>
      </c>
      <c r="G4772" s="3">
        <f t="shared" si="570"/>
        <v>-177.1028</v>
      </c>
      <c r="H4772" s="3">
        <f t="shared" si="571"/>
        <v>177.1028</v>
      </c>
      <c r="I4772" s="5" t="str">
        <f t="shared" si="572"/>
        <v>016</v>
      </c>
      <c r="J4772" s="5" t="str">
        <f t="shared" si="573"/>
        <v>2230</v>
      </c>
      <c r="K4772" s="5" t="str">
        <f t="shared" si="574"/>
        <v>000</v>
      </c>
      <c r="L4772" s="5">
        <f t="shared" si="575"/>
        <v>12</v>
      </c>
      <c r="M4772" s="5">
        <f t="shared" si="576"/>
        <v>2012</v>
      </c>
    </row>
    <row r="4773" spans="1:13" ht="15" x14ac:dyDescent="0.25">
      <c r="A4773" s="1">
        <f>DATE(2012,12,9)</f>
        <v>41252</v>
      </c>
      <c r="B4773" t="s">
        <v>11</v>
      </c>
      <c r="C4773" t="s">
        <v>6</v>
      </c>
      <c r="D4773" s="3">
        <v>3945.0176000000001</v>
      </c>
      <c r="E4773" s="3">
        <v>0</v>
      </c>
      <c r="F4773" t="s">
        <v>45</v>
      </c>
      <c r="G4773" s="3">
        <f t="shared" si="570"/>
        <v>-3945.0176000000001</v>
      </c>
      <c r="H4773" s="3">
        <f t="shared" si="571"/>
        <v>3945.0176000000001</v>
      </c>
      <c r="I4773" s="5" t="str">
        <f t="shared" si="572"/>
        <v>016</v>
      </c>
      <c r="J4773" s="5" t="str">
        <f t="shared" si="573"/>
        <v>2100</v>
      </c>
      <c r="K4773" s="5" t="str">
        <f t="shared" si="574"/>
        <v>000</v>
      </c>
      <c r="L4773" s="5">
        <f t="shared" si="575"/>
        <v>12</v>
      </c>
      <c r="M4773" s="5">
        <f t="shared" si="576"/>
        <v>2012</v>
      </c>
    </row>
    <row r="4774" spans="1:13" ht="15" x14ac:dyDescent="0.25">
      <c r="A4774" s="1">
        <f>DATE(2012,12,9)</f>
        <v>41252</v>
      </c>
      <c r="B4774" t="s">
        <v>12</v>
      </c>
      <c r="C4774" t="s">
        <v>8</v>
      </c>
      <c r="D4774" s="3">
        <v>936.27660000000003</v>
      </c>
      <c r="E4774" s="3">
        <v>0</v>
      </c>
      <c r="F4774" t="s">
        <v>45</v>
      </c>
      <c r="G4774" s="3">
        <f t="shared" si="570"/>
        <v>-936.27660000000003</v>
      </c>
      <c r="H4774" s="3">
        <f t="shared" si="571"/>
        <v>936.27660000000003</v>
      </c>
      <c r="I4774" s="5" t="str">
        <f t="shared" si="572"/>
        <v>016</v>
      </c>
      <c r="J4774" s="5" t="str">
        <f t="shared" si="573"/>
        <v>2210</v>
      </c>
      <c r="K4774" s="5" t="str">
        <f t="shared" si="574"/>
        <v>000</v>
      </c>
      <c r="L4774" s="5">
        <f t="shared" si="575"/>
        <v>12</v>
      </c>
      <c r="M4774" s="5">
        <f t="shared" si="576"/>
        <v>2012</v>
      </c>
    </row>
    <row r="4775" spans="1:13" ht="15" x14ac:dyDescent="0.25">
      <c r="A4775" s="1">
        <f>DATE(2012,12,9)</f>
        <v>41252</v>
      </c>
      <c r="B4775" t="s">
        <v>13</v>
      </c>
      <c r="C4775" t="s">
        <v>9</v>
      </c>
      <c r="D4775" s="3">
        <v>302.16980000000001</v>
      </c>
      <c r="E4775" s="3">
        <v>0</v>
      </c>
      <c r="F4775" t="s">
        <v>45</v>
      </c>
      <c r="G4775" s="3">
        <f t="shared" si="570"/>
        <v>-302.16980000000001</v>
      </c>
      <c r="H4775" s="3">
        <f t="shared" si="571"/>
        <v>302.16980000000001</v>
      </c>
      <c r="I4775" s="5" t="str">
        <f t="shared" si="572"/>
        <v>016</v>
      </c>
      <c r="J4775" s="5" t="str">
        <f t="shared" si="573"/>
        <v>2220</v>
      </c>
      <c r="K4775" s="5" t="str">
        <f t="shared" si="574"/>
        <v>000</v>
      </c>
      <c r="L4775" s="5">
        <f t="shared" si="575"/>
        <v>12</v>
      </c>
      <c r="M4775" s="5">
        <f t="shared" si="576"/>
        <v>2012</v>
      </c>
    </row>
    <row r="4776" spans="1:13" ht="15" x14ac:dyDescent="0.25">
      <c r="A4776" s="1">
        <f>DATE(2012,12,9)</f>
        <v>41252</v>
      </c>
      <c r="B4776" t="s">
        <v>14</v>
      </c>
      <c r="C4776" t="s">
        <v>10</v>
      </c>
      <c r="D4776" s="3">
        <v>163.2595</v>
      </c>
      <c r="E4776" s="3">
        <v>0</v>
      </c>
      <c r="F4776" t="s">
        <v>45</v>
      </c>
      <c r="G4776" s="3">
        <f t="shared" si="570"/>
        <v>-163.2595</v>
      </c>
      <c r="H4776" s="3">
        <f t="shared" si="571"/>
        <v>163.2595</v>
      </c>
      <c r="I4776" s="5" t="str">
        <f t="shared" si="572"/>
        <v>016</v>
      </c>
      <c r="J4776" s="5" t="str">
        <f t="shared" si="573"/>
        <v>2230</v>
      </c>
      <c r="K4776" s="5" t="str">
        <f t="shared" si="574"/>
        <v>000</v>
      </c>
      <c r="L4776" s="5">
        <f t="shared" si="575"/>
        <v>12</v>
      </c>
      <c r="M4776" s="5">
        <f t="shared" si="576"/>
        <v>2012</v>
      </c>
    </row>
    <row r="4777" spans="1:13" ht="15" x14ac:dyDescent="0.25">
      <c r="A4777" s="1">
        <f>DATE(2012,12,3)</f>
        <v>41246</v>
      </c>
      <c r="B4777" t="s">
        <v>15</v>
      </c>
      <c r="C4777" t="s">
        <v>6</v>
      </c>
      <c r="D4777" s="3">
        <v>5703.6852999999992</v>
      </c>
      <c r="E4777" s="3">
        <v>0</v>
      </c>
      <c r="F4777" t="s">
        <v>45</v>
      </c>
      <c r="G4777" s="3">
        <f t="shared" si="570"/>
        <v>-5703.6852999999992</v>
      </c>
      <c r="H4777" s="3">
        <f t="shared" si="571"/>
        <v>5703.6852999999992</v>
      </c>
      <c r="I4777" s="5" t="str">
        <f t="shared" si="572"/>
        <v>017</v>
      </c>
      <c r="J4777" s="5" t="str">
        <f t="shared" si="573"/>
        <v>2100</v>
      </c>
      <c r="K4777" s="5" t="str">
        <f t="shared" si="574"/>
        <v>000</v>
      </c>
      <c r="L4777" s="5">
        <f t="shared" si="575"/>
        <v>12</v>
      </c>
      <c r="M4777" s="5">
        <f t="shared" si="576"/>
        <v>2012</v>
      </c>
    </row>
    <row r="4778" spans="1:13" ht="15" x14ac:dyDescent="0.25">
      <c r="A4778" s="1">
        <f>DATE(2012,12,3)</f>
        <v>41246</v>
      </c>
      <c r="B4778" t="s">
        <v>16</v>
      </c>
      <c r="C4778" t="s">
        <v>8</v>
      </c>
      <c r="D4778" s="3">
        <v>1125.3680999999999</v>
      </c>
      <c r="E4778" s="3">
        <v>0</v>
      </c>
      <c r="F4778" t="s">
        <v>45</v>
      </c>
      <c r="G4778" s="3">
        <f t="shared" si="570"/>
        <v>-1125.3680999999999</v>
      </c>
      <c r="H4778" s="3">
        <f t="shared" si="571"/>
        <v>1125.3680999999999</v>
      </c>
      <c r="I4778" s="5" t="str">
        <f t="shared" si="572"/>
        <v>017</v>
      </c>
      <c r="J4778" s="5" t="str">
        <f t="shared" si="573"/>
        <v>2210</v>
      </c>
      <c r="K4778" s="5" t="str">
        <f t="shared" si="574"/>
        <v>000</v>
      </c>
      <c r="L4778" s="5">
        <f t="shared" si="575"/>
        <v>12</v>
      </c>
      <c r="M4778" s="5">
        <f t="shared" si="576"/>
        <v>2012</v>
      </c>
    </row>
    <row r="4779" spans="1:13" ht="15" x14ac:dyDescent="0.25">
      <c r="A4779" s="1">
        <f>DATE(2012,12,3)</f>
        <v>41246</v>
      </c>
      <c r="B4779" t="s">
        <v>17</v>
      </c>
      <c r="C4779" t="s">
        <v>9</v>
      </c>
      <c r="D4779" s="3">
        <v>709.03840000000002</v>
      </c>
      <c r="E4779" s="3">
        <v>0</v>
      </c>
      <c r="F4779" t="s">
        <v>45</v>
      </c>
      <c r="G4779" s="3">
        <f t="shared" si="570"/>
        <v>-709.03840000000002</v>
      </c>
      <c r="H4779" s="3">
        <f t="shared" si="571"/>
        <v>709.03840000000002</v>
      </c>
      <c r="I4779" s="5" t="str">
        <f t="shared" si="572"/>
        <v>017</v>
      </c>
      <c r="J4779" s="5" t="str">
        <f t="shared" si="573"/>
        <v>2220</v>
      </c>
      <c r="K4779" s="5" t="str">
        <f t="shared" si="574"/>
        <v>000</v>
      </c>
      <c r="L4779" s="5">
        <f t="shared" si="575"/>
        <v>12</v>
      </c>
      <c r="M4779" s="5">
        <f t="shared" si="576"/>
        <v>2012</v>
      </c>
    </row>
    <row r="4780" spans="1:13" ht="15" x14ac:dyDescent="0.25">
      <c r="A4780" s="1">
        <f>DATE(2012,12,3)</f>
        <v>41246</v>
      </c>
      <c r="B4780" t="s">
        <v>18</v>
      </c>
      <c r="C4780" t="s">
        <v>10</v>
      </c>
      <c r="D4780" s="3">
        <v>146.43200000000002</v>
      </c>
      <c r="E4780" s="3">
        <v>0</v>
      </c>
      <c r="F4780" t="s">
        <v>45</v>
      </c>
      <c r="G4780" s="3">
        <f t="shared" si="570"/>
        <v>-146.43200000000002</v>
      </c>
      <c r="H4780" s="3">
        <f t="shared" si="571"/>
        <v>146.43200000000002</v>
      </c>
      <c r="I4780" s="5" t="str">
        <f t="shared" si="572"/>
        <v>017</v>
      </c>
      <c r="J4780" s="5" t="str">
        <f t="shared" si="573"/>
        <v>2230</v>
      </c>
      <c r="K4780" s="5" t="str">
        <f t="shared" si="574"/>
        <v>000</v>
      </c>
      <c r="L4780" s="5">
        <f t="shared" si="575"/>
        <v>12</v>
      </c>
      <c r="M4780" s="5">
        <f t="shared" si="576"/>
        <v>2012</v>
      </c>
    </row>
    <row r="4781" spans="1:13" ht="15" x14ac:dyDescent="0.25">
      <c r="A4781" s="1">
        <f>DATE(2012,12,4)</f>
        <v>41247</v>
      </c>
      <c r="B4781" t="s">
        <v>15</v>
      </c>
      <c r="C4781" t="s">
        <v>6</v>
      </c>
      <c r="D4781" s="3">
        <v>8404.6214999999993</v>
      </c>
      <c r="E4781" s="3">
        <v>0</v>
      </c>
      <c r="F4781" t="s">
        <v>45</v>
      </c>
      <c r="G4781" s="3">
        <f t="shared" si="570"/>
        <v>-8404.6214999999993</v>
      </c>
      <c r="H4781" s="3">
        <f t="shared" si="571"/>
        <v>8404.6214999999993</v>
      </c>
      <c r="I4781" s="5" t="str">
        <f t="shared" si="572"/>
        <v>017</v>
      </c>
      <c r="J4781" s="5" t="str">
        <f t="shared" si="573"/>
        <v>2100</v>
      </c>
      <c r="K4781" s="5" t="str">
        <f t="shared" si="574"/>
        <v>000</v>
      </c>
      <c r="L4781" s="5">
        <f t="shared" si="575"/>
        <v>12</v>
      </c>
      <c r="M4781" s="5">
        <f t="shared" si="576"/>
        <v>2012</v>
      </c>
    </row>
    <row r="4782" spans="1:13" ht="15" x14ac:dyDescent="0.25">
      <c r="A4782" s="1">
        <f>DATE(2012,12,4)</f>
        <v>41247</v>
      </c>
      <c r="B4782" t="s">
        <v>16</v>
      </c>
      <c r="C4782" t="s">
        <v>8</v>
      </c>
      <c r="D4782" s="3">
        <v>1522.9478999999999</v>
      </c>
      <c r="E4782" s="3">
        <v>0</v>
      </c>
      <c r="F4782" t="s">
        <v>45</v>
      </c>
      <c r="G4782" s="3">
        <f t="shared" si="570"/>
        <v>-1522.9478999999999</v>
      </c>
      <c r="H4782" s="3">
        <f t="shared" si="571"/>
        <v>1522.9478999999999</v>
      </c>
      <c r="I4782" s="5" t="str">
        <f t="shared" si="572"/>
        <v>017</v>
      </c>
      <c r="J4782" s="5" t="str">
        <f t="shared" si="573"/>
        <v>2210</v>
      </c>
      <c r="K4782" s="5" t="str">
        <f t="shared" si="574"/>
        <v>000</v>
      </c>
      <c r="L4782" s="5">
        <f t="shared" si="575"/>
        <v>12</v>
      </c>
      <c r="M4782" s="5">
        <f t="shared" si="576"/>
        <v>2012</v>
      </c>
    </row>
    <row r="4783" spans="1:13" ht="15" x14ac:dyDescent="0.25">
      <c r="A4783" s="1">
        <f>DATE(2012,12,4)</f>
        <v>41247</v>
      </c>
      <c r="B4783" t="s">
        <v>17</v>
      </c>
      <c r="C4783" t="s">
        <v>9</v>
      </c>
      <c r="D4783" s="3">
        <v>412.995</v>
      </c>
      <c r="E4783" s="3">
        <v>0</v>
      </c>
      <c r="F4783" t="s">
        <v>45</v>
      </c>
      <c r="G4783" s="3">
        <f t="shared" si="570"/>
        <v>-412.995</v>
      </c>
      <c r="H4783" s="3">
        <f t="shared" si="571"/>
        <v>412.995</v>
      </c>
      <c r="I4783" s="5" t="str">
        <f t="shared" si="572"/>
        <v>017</v>
      </c>
      <c r="J4783" s="5" t="str">
        <f t="shared" si="573"/>
        <v>2220</v>
      </c>
      <c r="K4783" s="5" t="str">
        <f t="shared" si="574"/>
        <v>000</v>
      </c>
      <c r="L4783" s="5">
        <f t="shared" si="575"/>
        <v>12</v>
      </c>
      <c r="M4783" s="5">
        <f t="shared" si="576"/>
        <v>2012</v>
      </c>
    </row>
    <row r="4784" spans="1:13" ht="15" x14ac:dyDescent="0.25">
      <c r="A4784" s="1">
        <f>DATE(2012,12,4)</f>
        <v>41247</v>
      </c>
      <c r="B4784" t="s">
        <v>18</v>
      </c>
      <c r="C4784" t="s">
        <v>10</v>
      </c>
      <c r="D4784" s="3">
        <v>216.55379999999997</v>
      </c>
      <c r="E4784" s="3">
        <v>0</v>
      </c>
      <c r="F4784" t="s">
        <v>45</v>
      </c>
      <c r="G4784" s="3">
        <f t="shared" si="570"/>
        <v>-216.55379999999997</v>
      </c>
      <c r="H4784" s="3">
        <f t="shared" si="571"/>
        <v>216.55379999999997</v>
      </c>
      <c r="I4784" s="5" t="str">
        <f t="shared" si="572"/>
        <v>017</v>
      </c>
      <c r="J4784" s="5" t="str">
        <f t="shared" si="573"/>
        <v>2230</v>
      </c>
      <c r="K4784" s="5" t="str">
        <f t="shared" si="574"/>
        <v>000</v>
      </c>
      <c r="L4784" s="5">
        <f t="shared" si="575"/>
        <v>12</v>
      </c>
      <c r="M4784" s="5">
        <f t="shared" si="576"/>
        <v>2012</v>
      </c>
    </row>
    <row r="4785" spans="1:13" ht="15" x14ac:dyDescent="0.25">
      <c r="A4785" s="1">
        <f>DATE(2012,12,5)</f>
        <v>41248</v>
      </c>
      <c r="B4785" t="s">
        <v>15</v>
      </c>
      <c r="C4785" t="s">
        <v>6</v>
      </c>
      <c r="D4785" s="3">
        <v>5292.8512000000001</v>
      </c>
      <c r="E4785" s="3">
        <v>0</v>
      </c>
      <c r="F4785" t="s">
        <v>45</v>
      </c>
      <c r="G4785" s="3">
        <f t="shared" si="570"/>
        <v>-5292.8512000000001</v>
      </c>
      <c r="H4785" s="3">
        <f t="shared" si="571"/>
        <v>5292.8512000000001</v>
      </c>
      <c r="I4785" s="5" t="str">
        <f t="shared" si="572"/>
        <v>017</v>
      </c>
      <c r="J4785" s="5" t="str">
        <f t="shared" si="573"/>
        <v>2100</v>
      </c>
      <c r="K4785" s="5" t="str">
        <f t="shared" si="574"/>
        <v>000</v>
      </c>
      <c r="L4785" s="5">
        <f t="shared" si="575"/>
        <v>12</v>
      </c>
      <c r="M4785" s="5">
        <f t="shared" si="576"/>
        <v>2012</v>
      </c>
    </row>
    <row r="4786" spans="1:13" ht="15" x14ac:dyDescent="0.25">
      <c r="A4786" s="1">
        <f>DATE(2012,12,5)</f>
        <v>41248</v>
      </c>
      <c r="B4786" t="s">
        <v>16</v>
      </c>
      <c r="C4786" t="s">
        <v>8</v>
      </c>
      <c r="D4786" s="3">
        <v>1304.3118000000002</v>
      </c>
      <c r="E4786" s="3">
        <v>0</v>
      </c>
      <c r="F4786" t="s">
        <v>45</v>
      </c>
      <c r="G4786" s="3">
        <f t="shared" si="570"/>
        <v>-1304.3118000000002</v>
      </c>
      <c r="H4786" s="3">
        <f t="shared" si="571"/>
        <v>1304.3118000000002</v>
      </c>
      <c r="I4786" s="5" t="str">
        <f t="shared" si="572"/>
        <v>017</v>
      </c>
      <c r="J4786" s="5" t="str">
        <f t="shared" si="573"/>
        <v>2210</v>
      </c>
      <c r="K4786" s="5" t="str">
        <f t="shared" si="574"/>
        <v>000</v>
      </c>
      <c r="L4786" s="5">
        <f t="shared" si="575"/>
        <v>12</v>
      </c>
      <c r="M4786" s="5">
        <f t="shared" si="576"/>
        <v>2012</v>
      </c>
    </row>
    <row r="4787" spans="1:13" ht="15" x14ac:dyDescent="0.25">
      <c r="A4787" s="1">
        <f>DATE(2012,12,5)</f>
        <v>41248</v>
      </c>
      <c r="B4787" t="s">
        <v>17</v>
      </c>
      <c r="C4787" t="s">
        <v>9</v>
      </c>
      <c r="D4787" s="3">
        <v>446.53440000000001</v>
      </c>
      <c r="E4787" s="3">
        <v>0</v>
      </c>
      <c r="F4787" t="s">
        <v>45</v>
      </c>
      <c r="G4787" s="3">
        <f t="shared" si="570"/>
        <v>-446.53440000000001</v>
      </c>
      <c r="H4787" s="3">
        <f t="shared" si="571"/>
        <v>446.53440000000001</v>
      </c>
      <c r="I4787" s="5" t="str">
        <f t="shared" si="572"/>
        <v>017</v>
      </c>
      <c r="J4787" s="5" t="str">
        <f t="shared" si="573"/>
        <v>2220</v>
      </c>
      <c r="K4787" s="5" t="str">
        <f t="shared" si="574"/>
        <v>000</v>
      </c>
      <c r="L4787" s="5">
        <f t="shared" si="575"/>
        <v>12</v>
      </c>
      <c r="M4787" s="5">
        <f t="shared" si="576"/>
        <v>2012</v>
      </c>
    </row>
    <row r="4788" spans="1:13" ht="15" x14ac:dyDescent="0.25">
      <c r="A4788" s="1">
        <f>DATE(2012,12,5)</f>
        <v>41248</v>
      </c>
      <c r="B4788" t="s">
        <v>18</v>
      </c>
      <c r="C4788" t="s">
        <v>10</v>
      </c>
      <c r="D4788" s="3">
        <v>151.20600000000002</v>
      </c>
      <c r="E4788" s="3">
        <v>0</v>
      </c>
      <c r="F4788" t="s">
        <v>45</v>
      </c>
      <c r="G4788" s="3">
        <f t="shared" si="570"/>
        <v>-151.20600000000002</v>
      </c>
      <c r="H4788" s="3">
        <f t="shared" si="571"/>
        <v>151.20600000000002</v>
      </c>
      <c r="I4788" s="5" t="str">
        <f t="shared" si="572"/>
        <v>017</v>
      </c>
      <c r="J4788" s="5" t="str">
        <f t="shared" si="573"/>
        <v>2230</v>
      </c>
      <c r="K4788" s="5" t="str">
        <f t="shared" si="574"/>
        <v>000</v>
      </c>
      <c r="L4788" s="5">
        <f t="shared" si="575"/>
        <v>12</v>
      </c>
      <c r="M4788" s="5">
        <f t="shared" si="576"/>
        <v>2012</v>
      </c>
    </row>
    <row r="4789" spans="1:13" ht="15" x14ac:dyDescent="0.25">
      <c r="A4789" s="1">
        <f>DATE(2012,12,6)</f>
        <v>41249</v>
      </c>
      <c r="B4789" t="s">
        <v>15</v>
      </c>
      <c r="C4789" t="s">
        <v>6</v>
      </c>
      <c r="D4789" s="3">
        <v>8577.0503000000008</v>
      </c>
      <c r="E4789" s="3">
        <v>0</v>
      </c>
      <c r="F4789" t="s">
        <v>45</v>
      </c>
      <c r="G4789" s="3">
        <f t="shared" si="570"/>
        <v>-8577.0503000000008</v>
      </c>
      <c r="H4789" s="3">
        <f t="shared" si="571"/>
        <v>8577.0503000000008</v>
      </c>
      <c r="I4789" s="5" t="str">
        <f t="shared" si="572"/>
        <v>017</v>
      </c>
      <c r="J4789" s="5" t="str">
        <f t="shared" si="573"/>
        <v>2100</v>
      </c>
      <c r="K4789" s="5" t="str">
        <f t="shared" si="574"/>
        <v>000</v>
      </c>
      <c r="L4789" s="5">
        <f t="shared" si="575"/>
        <v>12</v>
      </c>
      <c r="M4789" s="5">
        <f t="shared" si="576"/>
        <v>2012</v>
      </c>
    </row>
    <row r="4790" spans="1:13" ht="15" x14ac:dyDescent="0.25">
      <c r="A4790" s="1">
        <f>DATE(2012,12,6)</f>
        <v>41249</v>
      </c>
      <c r="B4790" t="s">
        <v>16</v>
      </c>
      <c r="C4790" t="s">
        <v>8</v>
      </c>
      <c r="D4790" s="3">
        <v>2754.69</v>
      </c>
      <c r="E4790" s="3">
        <v>0</v>
      </c>
      <c r="F4790" t="s">
        <v>45</v>
      </c>
      <c r="G4790" s="3">
        <f t="shared" si="570"/>
        <v>-2754.69</v>
      </c>
      <c r="H4790" s="3">
        <f t="shared" si="571"/>
        <v>2754.69</v>
      </c>
      <c r="I4790" s="5" t="str">
        <f t="shared" si="572"/>
        <v>017</v>
      </c>
      <c r="J4790" s="5" t="str">
        <f t="shared" si="573"/>
        <v>2210</v>
      </c>
      <c r="K4790" s="5" t="str">
        <f t="shared" si="574"/>
        <v>000</v>
      </c>
      <c r="L4790" s="5">
        <f t="shared" si="575"/>
        <v>12</v>
      </c>
      <c r="M4790" s="5">
        <f t="shared" si="576"/>
        <v>2012</v>
      </c>
    </row>
    <row r="4791" spans="1:13" ht="15" x14ac:dyDescent="0.25">
      <c r="A4791" s="1">
        <f>DATE(2012,12,6)</f>
        <v>41249</v>
      </c>
      <c r="B4791" t="s">
        <v>17</v>
      </c>
      <c r="C4791" t="s">
        <v>9</v>
      </c>
      <c r="D4791" s="3">
        <v>728.2944</v>
      </c>
      <c r="E4791" s="3">
        <v>0</v>
      </c>
      <c r="F4791" t="s">
        <v>45</v>
      </c>
      <c r="G4791" s="3">
        <f t="shared" si="570"/>
        <v>-728.2944</v>
      </c>
      <c r="H4791" s="3">
        <f t="shared" si="571"/>
        <v>728.2944</v>
      </c>
      <c r="I4791" s="5" t="str">
        <f t="shared" si="572"/>
        <v>017</v>
      </c>
      <c r="J4791" s="5" t="str">
        <f t="shared" si="573"/>
        <v>2220</v>
      </c>
      <c r="K4791" s="5" t="str">
        <f t="shared" si="574"/>
        <v>000</v>
      </c>
      <c r="L4791" s="5">
        <f t="shared" si="575"/>
        <v>12</v>
      </c>
      <c r="M4791" s="5">
        <f t="shared" si="576"/>
        <v>2012</v>
      </c>
    </row>
    <row r="4792" spans="1:13" ht="15" x14ac:dyDescent="0.25">
      <c r="A4792" s="1">
        <f>DATE(2012,12,6)</f>
        <v>41249</v>
      </c>
      <c r="B4792" t="s">
        <v>18</v>
      </c>
      <c r="C4792" t="s">
        <v>10</v>
      </c>
      <c r="D4792" s="3">
        <v>275.23439999999999</v>
      </c>
      <c r="E4792" s="3">
        <v>0</v>
      </c>
      <c r="F4792" t="s">
        <v>45</v>
      </c>
      <c r="G4792" s="3">
        <f t="shared" si="570"/>
        <v>-275.23439999999999</v>
      </c>
      <c r="H4792" s="3">
        <f t="shared" si="571"/>
        <v>275.23439999999999</v>
      </c>
      <c r="I4792" s="5" t="str">
        <f t="shared" si="572"/>
        <v>017</v>
      </c>
      <c r="J4792" s="5" t="str">
        <f t="shared" si="573"/>
        <v>2230</v>
      </c>
      <c r="K4792" s="5" t="str">
        <f t="shared" si="574"/>
        <v>000</v>
      </c>
      <c r="L4792" s="5">
        <f t="shared" si="575"/>
        <v>12</v>
      </c>
      <c r="M4792" s="5">
        <f t="shared" si="576"/>
        <v>2012</v>
      </c>
    </row>
    <row r="4793" spans="1:13" ht="15" x14ac:dyDescent="0.25">
      <c r="A4793" s="1">
        <f>DATE(2012,12,7)</f>
        <v>41250</v>
      </c>
      <c r="B4793" t="s">
        <v>15</v>
      </c>
      <c r="C4793" t="s">
        <v>6</v>
      </c>
      <c r="D4793" s="3">
        <v>10411.654799999998</v>
      </c>
      <c r="E4793" s="3">
        <v>0</v>
      </c>
      <c r="F4793" t="s">
        <v>45</v>
      </c>
      <c r="G4793" s="3">
        <f t="shared" si="570"/>
        <v>-10411.654799999998</v>
      </c>
      <c r="H4793" s="3">
        <f t="shared" si="571"/>
        <v>10411.654799999998</v>
      </c>
      <c r="I4793" s="5" t="str">
        <f t="shared" si="572"/>
        <v>017</v>
      </c>
      <c r="J4793" s="5" t="str">
        <f t="shared" si="573"/>
        <v>2100</v>
      </c>
      <c r="K4793" s="5" t="str">
        <f t="shared" si="574"/>
        <v>000</v>
      </c>
      <c r="L4793" s="5">
        <f t="shared" si="575"/>
        <v>12</v>
      </c>
      <c r="M4793" s="5">
        <f t="shared" si="576"/>
        <v>2012</v>
      </c>
    </row>
    <row r="4794" spans="1:13" ht="15" x14ac:dyDescent="0.25">
      <c r="A4794" s="1">
        <f>DATE(2012,12,7)</f>
        <v>41250</v>
      </c>
      <c r="B4794" t="s">
        <v>16</v>
      </c>
      <c r="C4794" t="s">
        <v>8</v>
      </c>
      <c r="D4794" s="3">
        <v>2648.5505999999996</v>
      </c>
      <c r="E4794" s="3">
        <v>0</v>
      </c>
      <c r="F4794" t="s">
        <v>45</v>
      </c>
      <c r="G4794" s="3">
        <f t="shared" si="570"/>
        <v>-2648.5505999999996</v>
      </c>
      <c r="H4794" s="3">
        <f t="shared" si="571"/>
        <v>2648.5505999999996</v>
      </c>
      <c r="I4794" s="5" t="str">
        <f t="shared" si="572"/>
        <v>017</v>
      </c>
      <c r="J4794" s="5" t="str">
        <f t="shared" si="573"/>
        <v>2210</v>
      </c>
      <c r="K4794" s="5" t="str">
        <f t="shared" si="574"/>
        <v>000</v>
      </c>
      <c r="L4794" s="5">
        <f t="shared" si="575"/>
        <v>12</v>
      </c>
      <c r="M4794" s="5">
        <f t="shared" si="576"/>
        <v>2012</v>
      </c>
    </row>
    <row r="4795" spans="1:13" ht="15" x14ac:dyDescent="0.25">
      <c r="A4795" s="1">
        <f>DATE(2012,12,7)</f>
        <v>41250</v>
      </c>
      <c r="B4795" t="s">
        <v>17</v>
      </c>
      <c r="C4795" t="s">
        <v>9</v>
      </c>
      <c r="D4795" s="3">
        <v>476.55040000000002</v>
      </c>
      <c r="E4795" s="3">
        <v>0</v>
      </c>
      <c r="F4795" t="s">
        <v>45</v>
      </c>
      <c r="G4795" s="3">
        <f t="shared" si="570"/>
        <v>-476.55040000000002</v>
      </c>
      <c r="H4795" s="3">
        <f t="shared" si="571"/>
        <v>476.55040000000002</v>
      </c>
      <c r="I4795" s="5" t="str">
        <f t="shared" si="572"/>
        <v>017</v>
      </c>
      <c r="J4795" s="5" t="str">
        <f t="shared" si="573"/>
        <v>2220</v>
      </c>
      <c r="K4795" s="5" t="str">
        <f t="shared" si="574"/>
        <v>000</v>
      </c>
      <c r="L4795" s="5">
        <f t="shared" si="575"/>
        <v>12</v>
      </c>
      <c r="M4795" s="5">
        <f t="shared" si="576"/>
        <v>2012</v>
      </c>
    </row>
    <row r="4796" spans="1:13" ht="15" x14ac:dyDescent="0.25">
      <c r="A4796" s="1">
        <f>DATE(2012,12,7)</f>
        <v>41250</v>
      </c>
      <c r="B4796" t="s">
        <v>18</v>
      </c>
      <c r="C4796" t="s">
        <v>10</v>
      </c>
      <c r="D4796" s="3">
        <v>387.39609999999999</v>
      </c>
      <c r="E4796" s="3">
        <v>0</v>
      </c>
      <c r="F4796" t="s">
        <v>45</v>
      </c>
      <c r="G4796" s="3">
        <f t="shared" si="570"/>
        <v>-387.39609999999999</v>
      </c>
      <c r="H4796" s="3">
        <f t="shared" si="571"/>
        <v>387.39609999999999</v>
      </c>
      <c r="I4796" s="5" t="str">
        <f t="shared" si="572"/>
        <v>017</v>
      </c>
      <c r="J4796" s="5" t="str">
        <f t="shared" si="573"/>
        <v>2230</v>
      </c>
      <c r="K4796" s="5" t="str">
        <f t="shared" si="574"/>
        <v>000</v>
      </c>
      <c r="L4796" s="5">
        <f t="shared" si="575"/>
        <v>12</v>
      </c>
      <c r="M4796" s="5">
        <f t="shared" si="576"/>
        <v>2012</v>
      </c>
    </row>
    <row r="4797" spans="1:13" ht="15" x14ac:dyDescent="0.25">
      <c r="A4797" s="1">
        <f>DATE(2012,12,8)</f>
        <v>41251</v>
      </c>
      <c r="B4797" t="s">
        <v>15</v>
      </c>
      <c r="C4797" t="s">
        <v>6</v>
      </c>
      <c r="D4797" s="3">
        <v>5639.7488999999996</v>
      </c>
      <c r="E4797" s="3">
        <v>0</v>
      </c>
      <c r="F4797" t="s">
        <v>45</v>
      </c>
      <c r="G4797" s="3">
        <f t="shared" si="570"/>
        <v>-5639.7488999999996</v>
      </c>
      <c r="H4797" s="3">
        <f t="shared" si="571"/>
        <v>5639.7488999999996</v>
      </c>
      <c r="I4797" s="5" t="str">
        <f t="shared" si="572"/>
        <v>017</v>
      </c>
      <c r="J4797" s="5" t="str">
        <f t="shared" si="573"/>
        <v>2100</v>
      </c>
      <c r="K4797" s="5" t="str">
        <f t="shared" si="574"/>
        <v>000</v>
      </c>
      <c r="L4797" s="5">
        <f t="shared" si="575"/>
        <v>12</v>
      </c>
      <c r="M4797" s="5">
        <f t="shared" si="576"/>
        <v>2012</v>
      </c>
    </row>
    <row r="4798" spans="1:13" ht="15" x14ac:dyDescent="0.25">
      <c r="A4798" s="1">
        <f>DATE(2012,12,8)</f>
        <v>41251</v>
      </c>
      <c r="B4798" t="s">
        <v>16</v>
      </c>
      <c r="C4798" t="s">
        <v>8</v>
      </c>
      <c r="D4798" s="3">
        <v>1334.1818999999998</v>
      </c>
      <c r="E4798" s="3">
        <v>0</v>
      </c>
      <c r="F4798" t="s">
        <v>45</v>
      </c>
      <c r="G4798" s="3">
        <f t="shared" si="570"/>
        <v>-1334.1818999999998</v>
      </c>
      <c r="H4798" s="3">
        <f t="shared" si="571"/>
        <v>1334.1818999999998</v>
      </c>
      <c r="I4798" s="5" t="str">
        <f t="shared" si="572"/>
        <v>017</v>
      </c>
      <c r="J4798" s="5" t="str">
        <f t="shared" si="573"/>
        <v>2210</v>
      </c>
      <c r="K4798" s="5" t="str">
        <f t="shared" si="574"/>
        <v>000</v>
      </c>
      <c r="L4798" s="5">
        <f t="shared" si="575"/>
        <v>12</v>
      </c>
      <c r="M4798" s="5">
        <f t="shared" si="576"/>
        <v>2012</v>
      </c>
    </row>
    <row r="4799" spans="1:13" ht="15" x14ac:dyDescent="0.25">
      <c r="A4799" s="1">
        <f>DATE(2012,12,8)</f>
        <v>41251</v>
      </c>
      <c r="B4799" t="s">
        <v>17</v>
      </c>
      <c r="C4799" t="s">
        <v>9</v>
      </c>
      <c r="D4799" s="3">
        <v>181.71</v>
      </c>
      <c r="E4799" s="3">
        <v>0</v>
      </c>
      <c r="F4799" t="s">
        <v>45</v>
      </c>
      <c r="G4799" s="3">
        <f t="shared" si="570"/>
        <v>-181.71</v>
      </c>
      <c r="H4799" s="3">
        <f t="shared" si="571"/>
        <v>181.71</v>
      </c>
      <c r="I4799" s="5" t="str">
        <f t="shared" si="572"/>
        <v>017</v>
      </c>
      <c r="J4799" s="5" t="str">
        <f t="shared" si="573"/>
        <v>2220</v>
      </c>
      <c r="K4799" s="5" t="str">
        <f t="shared" si="574"/>
        <v>000</v>
      </c>
      <c r="L4799" s="5">
        <f t="shared" si="575"/>
        <v>12</v>
      </c>
      <c r="M4799" s="5">
        <f t="shared" si="576"/>
        <v>2012</v>
      </c>
    </row>
    <row r="4800" spans="1:13" ht="15" x14ac:dyDescent="0.25">
      <c r="A4800" s="1">
        <f>DATE(2012,12,8)</f>
        <v>41251</v>
      </c>
      <c r="B4800" t="s">
        <v>18</v>
      </c>
      <c r="C4800" t="s">
        <v>10</v>
      </c>
      <c r="D4800" s="3">
        <v>79.361400000000003</v>
      </c>
      <c r="E4800" s="3">
        <v>0</v>
      </c>
      <c r="F4800" t="s">
        <v>45</v>
      </c>
      <c r="G4800" s="3">
        <f t="shared" si="570"/>
        <v>-79.361400000000003</v>
      </c>
      <c r="H4800" s="3">
        <f t="shared" si="571"/>
        <v>79.361400000000003</v>
      </c>
      <c r="I4800" s="5" t="str">
        <f t="shared" si="572"/>
        <v>017</v>
      </c>
      <c r="J4800" s="5" t="str">
        <f t="shared" si="573"/>
        <v>2230</v>
      </c>
      <c r="K4800" s="5" t="str">
        <f t="shared" si="574"/>
        <v>000</v>
      </c>
      <c r="L4800" s="5">
        <f t="shared" si="575"/>
        <v>12</v>
      </c>
      <c r="M4800" s="5">
        <f t="shared" si="576"/>
        <v>2012</v>
      </c>
    </row>
    <row r="4801" spans="1:13" ht="15" x14ac:dyDescent="0.25">
      <c r="A4801" s="1">
        <f>DATE(2012,12,9)</f>
        <v>41252</v>
      </c>
      <c r="B4801" t="s">
        <v>15</v>
      </c>
      <c r="C4801" t="s">
        <v>6</v>
      </c>
      <c r="D4801" s="3">
        <v>5641.1639999999998</v>
      </c>
      <c r="E4801" s="3">
        <v>0</v>
      </c>
      <c r="F4801" t="s">
        <v>45</v>
      </c>
      <c r="G4801" s="3">
        <f t="shared" si="570"/>
        <v>-5641.1639999999998</v>
      </c>
      <c r="H4801" s="3">
        <f t="shared" si="571"/>
        <v>5641.1639999999998</v>
      </c>
      <c r="I4801" s="5" t="str">
        <f t="shared" si="572"/>
        <v>017</v>
      </c>
      <c r="J4801" s="5" t="str">
        <f t="shared" si="573"/>
        <v>2100</v>
      </c>
      <c r="K4801" s="5" t="str">
        <f t="shared" si="574"/>
        <v>000</v>
      </c>
      <c r="L4801" s="5">
        <f t="shared" si="575"/>
        <v>12</v>
      </c>
      <c r="M4801" s="5">
        <f t="shared" si="576"/>
        <v>2012</v>
      </c>
    </row>
    <row r="4802" spans="1:13" ht="15" x14ac:dyDescent="0.25">
      <c r="A4802" s="1">
        <f>DATE(2012,12,9)</f>
        <v>41252</v>
      </c>
      <c r="B4802" t="s">
        <v>16</v>
      </c>
      <c r="C4802" t="s">
        <v>8</v>
      </c>
      <c r="D4802" s="3">
        <v>734.5702</v>
      </c>
      <c r="E4802" s="3">
        <v>0</v>
      </c>
      <c r="F4802" t="s">
        <v>45</v>
      </c>
      <c r="G4802" s="3">
        <f t="shared" ref="G4802:G4865" si="578">E4802-D4802</f>
        <v>-734.5702</v>
      </c>
      <c r="H4802" s="3">
        <f t="shared" ref="H4802:H4865" si="579">ABS(G4802)</f>
        <v>734.5702</v>
      </c>
      <c r="I4802" s="5" t="str">
        <f t="shared" ref="I4802:I4865" si="580">MID(B4802,1,3)</f>
        <v>017</v>
      </c>
      <c r="J4802" s="5" t="str">
        <f t="shared" ref="J4802:J4865" si="581">MID(B4802,5,4)</f>
        <v>2210</v>
      </c>
      <c r="K4802" s="5" t="str">
        <f t="shared" ref="K4802:K4865" si="582">MID(B4802,10,3)</f>
        <v>000</v>
      </c>
      <c r="L4802" s="5">
        <f t="shared" ref="L4802:L4865" si="583">MONTH(A4802)</f>
        <v>12</v>
      </c>
      <c r="M4802" s="5">
        <f t="shared" ref="M4802:M4865" si="584">YEAR(A4802)</f>
        <v>2012</v>
      </c>
    </row>
    <row r="4803" spans="1:13" ht="15" x14ac:dyDescent="0.25">
      <c r="A4803" s="1">
        <f>DATE(2012,12,9)</f>
        <v>41252</v>
      </c>
      <c r="B4803" t="s">
        <v>17</v>
      </c>
      <c r="C4803" t="s">
        <v>9</v>
      </c>
      <c r="D4803" s="3">
        <v>176.99879999999999</v>
      </c>
      <c r="E4803" s="3">
        <v>0</v>
      </c>
      <c r="F4803" t="s">
        <v>45</v>
      </c>
      <c r="G4803" s="3">
        <f t="shared" si="578"/>
        <v>-176.99879999999999</v>
      </c>
      <c r="H4803" s="3">
        <f t="shared" si="579"/>
        <v>176.99879999999999</v>
      </c>
      <c r="I4803" s="5" t="str">
        <f t="shared" si="580"/>
        <v>017</v>
      </c>
      <c r="J4803" s="5" t="str">
        <f t="shared" si="581"/>
        <v>2220</v>
      </c>
      <c r="K4803" s="5" t="str">
        <f t="shared" si="582"/>
        <v>000</v>
      </c>
      <c r="L4803" s="5">
        <f t="shared" si="583"/>
        <v>12</v>
      </c>
      <c r="M4803" s="5">
        <f t="shared" si="584"/>
        <v>2012</v>
      </c>
    </row>
    <row r="4804" spans="1:13" ht="15" x14ac:dyDescent="0.25">
      <c r="A4804" s="1">
        <f>DATE(2012,12,9)</f>
        <v>41252</v>
      </c>
      <c r="B4804" t="s">
        <v>18</v>
      </c>
      <c r="C4804" t="s">
        <v>10</v>
      </c>
      <c r="D4804" s="3">
        <v>54.498000000000005</v>
      </c>
      <c r="E4804" s="3">
        <v>0</v>
      </c>
      <c r="F4804" t="s">
        <v>45</v>
      </c>
      <c r="G4804" s="3">
        <f t="shared" si="578"/>
        <v>-54.498000000000005</v>
      </c>
      <c r="H4804" s="3">
        <f t="shared" si="579"/>
        <v>54.498000000000005</v>
      </c>
      <c r="I4804" s="5" t="str">
        <f t="shared" si="580"/>
        <v>017</v>
      </c>
      <c r="J4804" s="5" t="str">
        <f t="shared" si="581"/>
        <v>2230</v>
      </c>
      <c r="K4804" s="5" t="str">
        <f t="shared" si="582"/>
        <v>000</v>
      </c>
      <c r="L4804" s="5">
        <f t="shared" si="583"/>
        <v>12</v>
      </c>
      <c r="M4804" s="5">
        <f t="shared" si="584"/>
        <v>2012</v>
      </c>
    </row>
    <row r="4805" spans="1:13" ht="15" x14ac:dyDescent="0.25">
      <c r="A4805" s="1">
        <f>DATE(2012,12,3)</f>
        <v>41246</v>
      </c>
      <c r="B4805" t="s">
        <v>19</v>
      </c>
      <c r="C4805" t="s">
        <v>6</v>
      </c>
      <c r="D4805" s="3">
        <v>2457.2831999999999</v>
      </c>
      <c r="E4805" s="3">
        <v>0</v>
      </c>
      <c r="F4805" t="s">
        <v>45</v>
      </c>
      <c r="G4805" s="3">
        <f t="shared" si="578"/>
        <v>-2457.2831999999999</v>
      </c>
      <c r="H4805" s="3">
        <f t="shared" si="579"/>
        <v>2457.2831999999999</v>
      </c>
      <c r="I4805" s="5" t="str">
        <f t="shared" si="580"/>
        <v>018</v>
      </c>
      <c r="J4805" s="5" t="str">
        <f t="shared" si="581"/>
        <v>2100</v>
      </c>
      <c r="K4805" s="5" t="str">
        <f t="shared" si="582"/>
        <v>000</v>
      </c>
      <c r="L4805" s="5">
        <f t="shared" si="583"/>
        <v>12</v>
      </c>
      <c r="M4805" s="5">
        <f t="shared" si="584"/>
        <v>2012</v>
      </c>
    </row>
    <row r="4806" spans="1:13" ht="15" x14ac:dyDescent="0.25">
      <c r="A4806" s="1">
        <f>DATE(2012,12,3)</f>
        <v>41246</v>
      </c>
      <c r="B4806" t="s">
        <v>20</v>
      </c>
      <c r="C4806" t="s">
        <v>8</v>
      </c>
      <c r="D4806" s="3">
        <v>686.20259999999996</v>
      </c>
      <c r="E4806" s="3">
        <v>0</v>
      </c>
      <c r="F4806" t="s">
        <v>45</v>
      </c>
      <c r="G4806" s="3">
        <f t="shared" si="578"/>
        <v>-686.20259999999996</v>
      </c>
      <c r="H4806" s="3">
        <f t="shared" si="579"/>
        <v>686.20259999999996</v>
      </c>
      <c r="I4806" s="5" t="str">
        <f t="shared" si="580"/>
        <v>018</v>
      </c>
      <c r="J4806" s="5" t="str">
        <f t="shared" si="581"/>
        <v>2210</v>
      </c>
      <c r="K4806" s="5" t="str">
        <f t="shared" si="582"/>
        <v>000</v>
      </c>
      <c r="L4806" s="5">
        <f t="shared" si="583"/>
        <v>12</v>
      </c>
      <c r="M4806" s="5">
        <f t="shared" si="584"/>
        <v>2012</v>
      </c>
    </row>
    <row r="4807" spans="1:13" ht="15" x14ac:dyDescent="0.25">
      <c r="A4807" s="1">
        <f>DATE(2012,12,3)</f>
        <v>41246</v>
      </c>
      <c r="B4807" t="s">
        <v>21</v>
      </c>
      <c r="C4807" t="s">
        <v>9</v>
      </c>
      <c r="D4807" s="3">
        <v>98.02579999999999</v>
      </c>
      <c r="E4807" s="3">
        <v>0</v>
      </c>
      <c r="F4807" t="s">
        <v>45</v>
      </c>
      <c r="G4807" s="3">
        <f t="shared" si="578"/>
        <v>-98.02579999999999</v>
      </c>
      <c r="H4807" s="3">
        <f t="shared" si="579"/>
        <v>98.02579999999999</v>
      </c>
      <c r="I4807" s="5" t="str">
        <f t="shared" si="580"/>
        <v>018</v>
      </c>
      <c r="J4807" s="5" t="str">
        <f t="shared" si="581"/>
        <v>2220</v>
      </c>
      <c r="K4807" s="5" t="str">
        <f t="shared" si="582"/>
        <v>000</v>
      </c>
      <c r="L4807" s="5">
        <f t="shared" si="583"/>
        <v>12</v>
      </c>
      <c r="M4807" s="5">
        <f t="shared" si="584"/>
        <v>2012</v>
      </c>
    </row>
    <row r="4808" spans="1:13" ht="15" x14ac:dyDescent="0.25">
      <c r="A4808" s="1">
        <f>DATE(2012,12,3)</f>
        <v>41246</v>
      </c>
      <c r="B4808" t="s">
        <v>22</v>
      </c>
      <c r="C4808" t="s">
        <v>10</v>
      </c>
      <c r="D4808" s="3">
        <v>7.6414999999999997</v>
      </c>
      <c r="E4808" s="3">
        <v>0</v>
      </c>
      <c r="F4808" t="s">
        <v>45</v>
      </c>
      <c r="G4808" s="3">
        <f t="shared" si="578"/>
        <v>-7.6414999999999997</v>
      </c>
      <c r="H4808" s="3">
        <f t="shared" si="579"/>
        <v>7.6414999999999997</v>
      </c>
      <c r="I4808" s="5" t="str">
        <f t="shared" si="580"/>
        <v>018</v>
      </c>
      <c r="J4808" s="5" t="str">
        <f t="shared" si="581"/>
        <v>2230</v>
      </c>
      <c r="K4808" s="5" t="str">
        <f t="shared" si="582"/>
        <v>000</v>
      </c>
      <c r="L4808" s="5">
        <f t="shared" si="583"/>
        <v>12</v>
      </c>
      <c r="M4808" s="5">
        <f t="shared" si="584"/>
        <v>2012</v>
      </c>
    </row>
    <row r="4809" spans="1:13" ht="15" x14ac:dyDescent="0.25">
      <c r="A4809" s="1">
        <f>DATE(2012,12,4)</f>
        <v>41247</v>
      </c>
      <c r="B4809" t="s">
        <v>19</v>
      </c>
      <c r="C4809" t="s">
        <v>6</v>
      </c>
      <c r="D4809" s="3">
        <v>4169.4492</v>
      </c>
      <c r="E4809" s="3">
        <v>0</v>
      </c>
      <c r="F4809" t="s">
        <v>45</v>
      </c>
      <c r="G4809" s="3">
        <f t="shared" si="578"/>
        <v>-4169.4492</v>
      </c>
      <c r="H4809" s="3">
        <f t="shared" si="579"/>
        <v>4169.4492</v>
      </c>
      <c r="I4809" s="5" t="str">
        <f t="shared" si="580"/>
        <v>018</v>
      </c>
      <c r="J4809" s="5" t="str">
        <f t="shared" si="581"/>
        <v>2100</v>
      </c>
      <c r="K4809" s="5" t="str">
        <f t="shared" si="582"/>
        <v>000</v>
      </c>
      <c r="L4809" s="5">
        <f t="shared" si="583"/>
        <v>12</v>
      </c>
      <c r="M4809" s="5">
        <f t="shared" si="584"/>
        <v>2012</v>
      </c>
    </row>
    <row r="4810" spans="1:13" ht="15" x14ac:dyDescent="0.25">
      <c r="A4810" s="1">
        <f>DATE(2012,12,4)</f>
        <v>41247</v>
      </c>
      <c r="B4810" t="s">
        <v>20</v>
      </c>
      <c r="C4810" t="s">
        <v>8</v>
      </c>
      <c r="D4810" s="3">
        <v>612.15750000000003</v>
      </c>
      <c r="E4810" s="3">
        <v>0</v>
      </c>
      <c r="F4810" t="s">
        <v>45</v>
      </c>
      <c r="G4810" s="3">
        <f t="shared" si="578"/>
        <v>-612.15750000000003</v>
      </c>
      <c r="H4810" s="3">
        <f t="shared" si="579"/>
        <v>612.15750000000003</v>
      </c>
      <c r="I4810" s="5" t="str">
        <f t="shared" si="580"/>
        <v>018</v>
      </c>
      <c r="J4810" s="5" t="str">
        <f t="shared" si="581"/>
        <v>2210</v>
      </c>
      <c r="K4810" s="5" t="str">
        <f t="shared" si="582"/>
        <v>000</v>
      </c>
      <c r="L4810" s="5">
        <f t="shared" si="583"/>
        <v>12</v>
      </c>
      <c r="M4810" s="5">
        <f t="shared" si="584"/>
        <v>2012</v>
      </c>
    </row>
    <row r="4811" spans="1:13" ht="15" x14ac:dyDescent="0.25">
      <c r="A4811" s="1">
        <f>DATE(2012,12,4)</f>
        <v>41247</v>
      </c>
      <c r="B4811" t="s">
        <v>21</v>
      </c>
      <c r="C4811" t="s">
        <v>9</v>
      </c>
      <c r="D4811" s="3">
        <v>71.5869</v>
      </c>
      <c r="E4811" s="3">
        <v>0</v>
      </c>
      <c r="F4811" t="s">
        <v>45</v>
      </c>
      <c r="G4811" s="3">
        <f t="shared" si="578"/>
        <v>-71.5869</v>
      </c>
      <c r="H4811" s="3">
        <f t="shared" si="579"/>
        <v>71.5869</v>
      </c>
      <c r="I4811" s="5" t="str">
        <f t="shared" si="580"/>
        <v>018</v>
      </c>
      <c r="J4811" s="5" t="str">
        <f t="shared" si="581"/>
        <v>2220</v>
      </c>
      <c r="K4811" s="5" t="str">
        <f t="shared" si="582"/>
        <v>000</v>
      </c>
      <c r="L4811" s="5">
        <f t="shared" si="583"/>
        <v>12</v>
      </c>
      <c r="M4811" s="5">
        <f t="shared" si="584"/>
        <v>2012</v>
      </c>
    </row>
    <row r="4812" spans="1:13" ht="15" x14ac:dyDescent="0.25">
      <c r="A4812" s="1">
        <f>DATE(2012,12,4)</f>
        <v>41247</v>
      </c>
      <c r="B4812" t="s">
        <v>22</v>
      </c>
      <c r="C4812" t="s">
        <v>10</v>
      </c>
      <c r="D4812" s="3">
        <v>41.589599999999997</v>
      </c>
      <c r="E4812" s="3">
        <v>0</v>
      </c>
      <c r="F4812" t="s">
        <v>45</v>
      </c>
      <c r="G4812" s="3">
        <f t="shared" si="578"/>
        <v>-41.589599999999997</v>
      </c>
      <c r="H4812" s="3">
        <f t="shared" si="579"/>
        <v>41.589599999999997</v>
      </c>
      <c r="I4812" s="5" t="str">
        <f t="shared" si="580"/>
        <v>018</v>
      </c>
      <c r="J4812" s="5" t="str">
        <f t="shared" si="581"/>
        <v>2230</v>
      </c>
      <c r="K4812" s="5" t="str">
        <f t="shared" si="582"/>
        <v>000</v>
      </c>
      <c r="L4812" s="5">
        <f t="shared" si="583"/>
        <v>12</v>
      </c>
      <c r="M4812" s="5">
        <f t="shared" si="584"/>
        <v>2012</v>
      </c>
    </row>
    <row r="4813" spans="1:13" ht="15" x14ac:dyDescent="0.25">
      <c r="A4813" s="1">
        <f>DATE(2012,12,5)</f>
        <v>41248</v>
      </c>
      <c r="B4813" t="s">
        <v>19</v>
      </c>
      <c r="C4813" t="s">
        <v>6</v>
      </c>
      <c r="D4813" s="3">
        <v>3036.5335</v>
      </c>
      <c r="E4813" s="3">
        <v>0</v>
      </c>
      <c r="F4813" t="s">
        <v>45</v>
      </c>
      <c r="G4813" s="3">
        <f t="shared" si="578"/>
        <v>-3036.5335</v>
      </c>
      <c r="H4813" s="3">
        <f t="shared" si="579"/>
        <v>3036.5335</v>
      </c>
      <c r="I4813" s="5" t="str">
        <f t="shared" si="580"/>
        <v>018</v>
      </c>
      <c r="J4813" s="5" t="str">
        <f t="shared" si="581"/>
        <v>2100</v>
      </c>
      <c r="K4813" s="5" t="str">
        <f t="shared" si="582"/>
        <v>000</v>
      </c>
      <c r="L4813" s="5">
        <f t="shared" si="583"/>
        <v>12</v>
      </c>
      <c r="M4813" s="5">
        <f t="shared" si="584"/>
        <v>2012</v>
      </c>
    </row>
    <row r="4814" spans="1:13" ht="15" x14ac:dyDescent="0.25">
      <c r="A4814" s="1">
        <f>DATE(2012,12,5)</f>
        <v>41248</v>
      </c>
      <c r="B4814" t="s">
        <v>20</v>
      </c>
      <c r="C4814" t="s">
        <v>8</v>
      </c>
      <c r="D4814" s="3">
        <v>444.52099999999996</v>
      </c>
      <c r="E4814" s="3">
        <v>0</v>
      </c>
      <c r="F4814" t="s">
        <v>45</v>
      </c>
      <c r="G4814" s="3">
        <f t="shared" si="578"/>
        <v>-444.52099999999996</v>
      </c>
      <c r="H4814" s="3">
        <f t="shared" si="579"/>
        <v>444.52099999999996</v>
      </c>
      <c r="I4814" s="5" t="str">
        <f t="shared" si="580"/>
        <v>018</v>
      </c>
      <c r="J4814" s="5" t="str">
        <f t="shared" si="581"/>
        <v>2210</v>
      </c>
      <c r="K4814" s="5" t="str">
        <f t="shared" si="582"/>
        <v>000</v>
      </c>
      <c r="L4814" s="5">
        <f t="shared" si="583"/>
        <v>12</v>
      </c>
      <c r="M4814" s="5">
        <f t="shared" si="584"/>
        <v>2012</v>
      </c>
    </row>
    <row r="4815" spans="1:13" ht="15" x14ac:dyDescent="0.25">
      <c r="A4815" s="1">
        <f>DATE(2012,12,5)</f>
        <v>41248</v>
      </c>
      <c r="B4815" t="s">
        <v>21</v>
      </c>
      <c r="C4815" t="s">
        <v>9</v>
      </c>
      <c r="D4815" s="3">
        <v>134.6052</v>
      </c>
      <c r="E4815" s="3">
        <v>0</v>
      </c>
      <c r="F4815" t="s">
        <v>45</v>
      </c>
      <c r="G4815" s="3">
        <f t="shared" si="578"/>
        <v>-134.6052</v>
      </c>
      <c r="H4815" s="3">
        <f t="shared" si="579"/>
        <v>134.6052</v>
      </c>
      <c r="I4815" s="5" t="str">
        <f t="shared" si="580"/>
        <v>018</v>
      </c>
      <c r="J4815" s="5" t="str">
        <f t="shared" si="581"/>
        <v>2220</v>
      </c>
      <c r="K4815" s="5" t="str">
        <f t="shared" si="582"/>
        <v>000</v>
      </c>
      <c r="L4815" s="5">
        <f t="shared" si="583"/>
        <v>12</v>
      </c>
      <c r="M4815" s="5">
        <f t="shared" si="584"/>
        <v>2012</v>
      </c>
    </row>
    <row r="4816" spans="1:13" ht="15" x14ac:dyDescent="0.25">
      <c r="A4816" s="1">
        <f>DATE(2012,12,5)</f>
        <v>41248</v>
      </c>
      <c r="B4816" t="s">
        <v>22</v>
      </c>
      <c r="C4816" t="s">
        <v>10</v>
      </c>
      <c r="D4816" s="3">
        <v>39.448700000000002</v>
      </c>
      <c r="E4816" s="3">
        <v>0</v>
      </c>
      <c r="F4816" t="s">
        <v>45</v>
      </c>
      <c r="G4816" s="3">
        <f t="shared" si="578"/>
        <v>-39.448700000000002</v>
      </c>
      <c r="H4816" s="3">
        <f t="shared" si="579"/>
        <v>39.448700000000002</v>
      </c>
      <c r="I4816" s="5" t="str">
        <f t="shared" si="580"/>
        <v>018</v>
      </c>
      <c r="J4816" s="5" t="str">
        <f t="shared" si="581"/>
        <v>2230</v>
      </c>
      <c r="K4816" s="5" t="str">
        <f t="shared" si="582"/>
        <v>000</v>
      </c>
      <c r="L4816" s="5">
        <f t="shared" si="583"/>
        <v>12</v>
      </c>
      <c r="M4816" s="5">
        <f t="shared" si="584"/>
        <v>2012</v>
      </c>
    </row>
    <row r="4817" spans="1:13" ht="15" x14ac:dyDescent="0.25">
      <c r="A4817" s="1">
        <f>DATE(2012,12,6)</f>
        <v>41249</v>
      </c>
      <c r="B4817" t="s">
        <v>19</v>
      </c>
      <c r="C4817" t="s">
        <v>6</v>
      </c>
      <c r="D4817" s="3">
        <v>4085.2578000000003</v>
      </c>
      <c r="E4817" s="3">
        <v>0</v>
      </c>
      <c r="F4817" t="s">
        <v>45</v>
      </c>
      <c r="G4817" s="3">
        <f t="shared" si="578"/>
        <v>-4085.2578000000003</v>
      </c>
      <c r="H4817" s="3">
        <f t="shared" si="579"/>
        <v>4085.2578000000003</v>
      </c>
      <c r="I4817" s="5" t="str">
        <f t="shared" si="580"/>
        <v>018</v>
      </c>
      <c r="J4817" s="5" t="str">
        <f t="shared" si="581"/>
        <v>2100</v>
      </c>
      <c r="K4817" s="5" t="str">
        <f t="shared" si="582"/>
        <v>000</v>
      </c>
      <c r="L4817" s="5">
        <f t="shared" si="583"/>
        <v>12</v>
      </c>
      <c r="M4817" s="5">
        <f t="shared" si="584"/>
        <v>2012</v>
      </c>
    </row>
    <row r="4818" spans="1:13" ht="15" x14ac:dyDescent="0.25">
      <c r="A4818" s="1">
        <f>DATE(2012,12,6)</f>
        <v>41249</v>
      </c>
      <c r="B4818" t="s">
        <v>20</v>
      </c>
      <c r="C4818" t="s">
        <v>8</v>
      </c>
      <c r="D4818" s="3">
        <v>1142.8263000000002</v>
      </c>
      <c r="E4818" s="3">
        <v>0</v>
      </c>
      <c r="F4818" t="s">
        <v>45</v>
      </c>
      <c r="G4818" s="3">
        <f t="shared" si="578"/>
        <v>-1142.8263000000002</v>
      </c>
      <c r="H4818" s="3">
        <f t="shared" si="579"/>
        <v>1142.8263000000002</v>
      </c>
      <c r="I4818" s="5" t="str">
        <f t="shared" si="580"/>
        <v>018</v>
      </c>
      <c r="J4818" s="5" t="str">
        <f t="shared" si="581"/>
        <v>2210</v>
      </c>
      <c r="K4818" s="5" t="str">
        <f t="shared" si="582"/>
        <v>000</v>
      </c>
      <c r="L4818" s="5">
        <f t="shared" si="583"/>
        <v>12</v>
      </c>
      <c r="M4818" s="5">
        <f t="shared" si="584"/>
        <v>2012</v>
      </c>
    </row>
    <row r="4819" spans="1:13" ht="15" x14ac:dyDescent="0.25">
      <c r="A4819" s="1">
        <f>DATE(2012,12,6)</f>
        <v>41249</v>
      </c>
      <c r="B4819" t="s">
        <v>21</v>
      </c>
      <c r="C4819" t="s">
        <v>9</v>
      </c>
      <c r="D4819" s="3">
        <v>151.53919999999999</v>
      </c>
      <c r="E4819" s="3">
        <v>0</v>
      </c>
      <c r="F4819" t="s">
        <v>45</v>
      </c>
      <c r="G4819" s="3">
        <f t="shared" si="578"/>
        <v>-151.53919999999999</v>
      </c>
      <c r="H4819" s="3">
        <f t="shared" si="579"/>
        <v>151.53919999999999</v>
      </c>
      <c r="I4819" s="5" t="str">
        <f t="shared" si="580"/>
        <v>018</v>
      </c>
      <c r="J4819" s="5" t="str">
        <f t="shared" si="581"/>
        <v>2220</v>
      </c>
      <c r="K4819" s="5" t="str">
        <f t="shared" si="582"/>
        <v>000</v>
      </c>
      <c r="L4819" s="5">
        <f t="shared" si="583"/>
        <v>12</v>
      </c>
      <c r="M4819" s="5">
        <f t="shared" si="584"/>
        <v>2012</v>
      </c>
    </row>
    <row r="4820" spans="1:13" ht="15" x14ac:dyDescent="0.25">
      <c r="A4820" s="1">
        <f>DATE(2012,12,6)</f>
        <v>41249</v>
      </c>
      <c r="B4820" t="s">
        <v>22</v>
      </c>
      <c r="C4820" t="s">
        <v>10</v>
      </c>
      <c r="D4820" s="3">
        <v>67.298699999999997</v>
      </c>
      <c r="E4820" s="3">
        <v>0</v>
      </c>
      <c r="F4820" t="s">
        <v>45</v>
      </c>
      <c r="G4820" s="3">
        <f t="shared" si="578"/>
        <v>-67.298699999999997</v>
      </c>
      <c r="H4820" s="3">
        <f t="shared" si="579"/>
        <v>67.298699999999997</v>
      </c>
      <c r="I4820" s="5" t="str">
        <f t="shared" si="580"/>
        <v>018</v>
      </c>
      <c r="J4820" s="5" t="str">
        <f t="shared" si="581"/>
        <v>2230</v>
      </c>
      <c r="K4820" s="5" t="str">
        <f t="shared" si="582"/>
        <v>000</v>
      </c>
      <c r="L4820" s="5">
        <f t="shared" si="583"/>
        <v>12</v>
      </c>
      <c r="M4820" s="5">
        <f t="shared" si="584"/>
        <v>2012</v>
      </c>
    </row>
    <row r="4821" spans="1:13" ht="15" x14ac:dyDescent="0.25">
      <c r="A4821" s="1">
        <f>DATE(2012,12,7)</f>
        <v>41250</v>
      </c>
      <c r="B4821" t="s">
        <v>19</v>
      </c>
      <c r="C4821" t="s">
        <v>6</v>
      </c>
      <c r="D4821" s="3">
        <v>8271.4698000000008</v>
      </c>
      <c r="E4821" s="3">
        <v>0</v>
      </c>
      <c r="F4821" t="s">
        <v>45</v>
      </c>
      <c r="G4821" s="3">
        <f t="shared" si="578"/>
        <v>-8271.4698000000008</v>
      </c>
      <c r="H4821" s="3">
        <f t="shared" si="579"/>
        <v>8271.4698000000008</v>
      </c>
      <c r="I4821" s="5" t="str">
        <f t="shared" si="580"/>
        <v>018</v>
      </c>
      <c r="J4821" s="5" t="str">
        <f t="shared" si="581"/>
        <v>2100</v>
      </c>
      <c r="K4821" s="5" t="str">
        <f t="shared" si="582"/>
        <v>000</v>
      </c>
      <c r="L4821" s="5">
        <f t="shared" si="583"/>
        <v>12</v>
      </c>
      <c r="M4821" s="5">
        <f t="shared" si="584"/>
        <v>2012</v>
      </c>
    </row>
    <row r="4822" spans="1:13" ht="15" x14ac:dyDescent="0.25">
      <c r="A4822" s="1">
        <f>DATE(2012,12,7)</f>
        <v>41250</v>
      </c>
      <c r="B4822" t="s">
        <v>20</v>
      </c>
      <c r="C4822" t="s">
        <v>8</v>
      </c>
      <c r="D4822" s="3">
        <v>2816.8944000000001</v>
      </c>
      <c r="E4822" s="3">
        <v>0</v>
      </c>
      <c r="F4822" t="s">
        <v>45</v>
      </c>
      <c r="G4822" s="3">
        <f t="shared" si="578"/>
        <v>-2816.8944000000001</v>
      </c>
      <c r="H4822" s="3">
        <f t="shared" si="579"/>
        <v>2816.8944000000001</v>
      </c>
      <c r="I4822" s="5" t="str">
        <f t="shared" si="580"/>
        <v>018</v>
      </c>
      <c r="J4822" s="5" t="str">
        <f t="shared" si="581"/>
        <v>2210</v>
      </c>
      <c r="K4822" s="5" t="str">
        <f t="shared" si="582"/>
        <v>000</v>
      </c>
      <c r="L4822" s="5">
        <f t="shared" si="583"/>
        <v>12</v>
      </c>
      <c r="M4822" s="5">
        <f t="shared" si="584"/>
        <v>2012</v>
      </c>
    </row>
    <row r="4823" spans="1:13" ht="15" x14ac:dyDescent="0.25">
      <c r="A4823" s="1">
        <f>DATE(2012,12,7)</f>
        <v>41250</v>
      </c>
      <c r="B4823" t="s">
        <v>21</v>
      </c>
      <c r="C4823" t="s">
        <v>9</v>
      </c>
      <c r="D4823" s="3">
        <v>518.45119999999997</v>
      </c>
      <c r="E4823" s="3">
        <v>0</v>
      </c>
      <c r="F4823" t="s">
        <v>45</v>
      </c>
      <c r="G4823" s="3">
        <f t="shared" si="578"/>
        <v>-518.45119999999997</v>
      </c>
      <c r="H4823" s="3">
        <f t="shared" si="579"/>
        <v>518.45119999999997</v>
      </c>
      <c r="I4823" s="5" t="str">
        <f t="shared" si="580"/>
        <v>018</v>
      </c>
      <c r="J4823" s="5" t="str">
        <f t="shared" si="581"/>
        <v>2220</v>
      </c>
      <c r="K4823" s="5" t="str">
        <f t="shared" si="582"/>
        <v>000</v>
      </c>
      <c r="L4823" s="5">
        <f t="shared" si="583"/>
        <v>12</v>
      </c>
      <c r="M4823" s="5">
        <f t="shared" si="584"/>
        <v>2012</v>
      </c>
    </row>
    <row r="4824" spans="1:13" ht="15" x14ac:dyDescent="0.25">
      <c r="A4824" s="1">
        <f>DATE(2012,12,7)</f>
        <v>41250</v>
      </c>
      <c r="B4824" t="s">
        <v>22</v>
      </c>
      <c r="C4824" t="s">
        <v>10</v>
      </c>
      <c r="D4824" s="3">
        <v>136.1241</v>
      </c>
      <c r="E4824" s="3">
        <v>0</v>
      </c>
      <c r="F4824" t="s">
        <v>45</v>
      </c>
      <c r="G4824" s="3">
        <f t="shared" si="578"/>
        <v>-136.1241</v>
      </c>
      <c r="H4824" s="3">
        <f t="shared" si="579"/>
        <v>136.1241</v>
      </c>
      <c r="I4824" s="5" t="str">
        <f t="shared" si="580"/>
        <v>018</v>
      </c>
      <c r="J4824" s="5" t="str">
        <f t="shared" si="581"/>
        <v>2230</v>
      </c>
      <c r="K4824" s="5" t="str">
        <f t="shared" si="582"/>
        <v>000</v>
      </c>
      <c r="L4824" s="5">
        <f t="shared" si="583"/>
        <v>12</v>
      </c>
      <c r="M4824" s="5">
        <f t="shared" si="584"/>
        <v>2012</v>
      </c>
    </row>
    <row r="4825" spans="1:13" ht="15" x14ac:dyDescent="0.25">
      <c r="A4825" s="1">
        <f>DATE(2012,12,8)</f>
        <v>41251</v>
      </c>
      <c r="B4825" t="s">
        <v>19</v>
      </c>
      <c r="C4825" t="s">
        <v>6</v>
      </c>
      <c r="D4825" s="3">
        <v>13569.3323</v>
      </c>
      <c r="E4825" s="3">
        <v>0</v>
      </c>
      <c r="F4825" t="s">
        <v>45</v>
      </c>
      <c r="G4825" s="3">
        <f t="shared" si="578"/>
        <v>-13569.3323</v>
      </c>
      <c r="H4825" s="3">
        <f t="shared" si="579"/>
        <v>13569.3323</v>
      </c>
      <c r="I4825" s="5" t="str">
        <f t="shared" si="580"/>
        <v>018</v>
      </c>
      <c r="J4825" s="5" t="str">
        <f t="shared" si="581"/>
        <v>2100</v>
      </c>
      <c r="K4825" s="5" t="str">
        <f t="shared" si="582"/>
        <v>000</v>
      </c>
      <c r="L4825" s="5">
        <f t="shared" si="583"/>
        <v>12</v>
      </c>
      <c r="M4825" s="5">
        <f t="shared" si="584"/>
        <v>2012</v>
      </c>
    </row>
    <row r="4826" spans="1:13" ht="15" x14ac:dyDescent="0.25">
      <c r="A4826" s="1">
        <f>DATE(2012,12,8)</f>
        <v>41251</v>
      </c>
      <c r="B4826" t="s">
        <v>20</v>
      </c>
      <c r="C4826" t="s">
        <v>8</v>
      </c>
      <c r="D4826" s="3">
        <v>2544.6880000000001</v>
      </c>
      <c r="E4826" s="3">
        <v>0</v>
      </c>
      <c r="F4826" t="s">
        <v>45</v>
      </c>
      <c r="G4826" s="3">
        <f t="shared" si="578"/>
        <v>-2544.6880000000001</v>
      </c>
      <c r="H4826" s="3">
        <f t="shared" si="579"/>
        <v>2544.6880000000001</v>
      </c>
      <c r="I4826" s="5" t="str">
        <f t="shared" si="580"/>
        <v>018</v>
      </c>
      <c r="J4826" s="5" t="str">
        <f t="shared" si="581"/>
        <v>2210</v>
      </c>
      <c r="K4826" s="5" t="str">
        <f t="shared" si="582"/>
        <v>000</v>
      </c>
      <c r="L4826" s="5">
        <f t="shared" si="583"/>
        <v>12</v>
      </c>
      <c r="M4826" s="5">
        <f t="shared" si="584"/>
        <v>2012</v>
      </c>
    </row>
    <row r="4827" spans="1:13" ht="15" x14ac:dyDescent="0.25">
      <c r="A4827" s="1">
        <f>DATE(2012,12,8)</f>
        <v>41251</v>
      </c>
      <c r="B4827" t="s">
        <v>21</v>
      </c>
      <c r="C4827" t="s">
        <v>9</v>
      </c>
      <c r="D4827" s="3">
        <v>795.2912</v>
      </c>
      <c r="E4827" s="3">
        <v>0</v>
      </c>
      <c r="F4827" t="s">
        <v>45</v>
      </c>
      <c r="G4827" s="3">
        <f t="shared" si="578"/>
        <v>-795.2912</v>
      </c>
      <c r="H4827" s="3">
        <f t="shared" si="579"/>
        <v>795.2912</v>
      </c>
      <c r="I4827" s="5" t="str">
        <f t="shared" si="580"/>
        <v>018</v>
      </c>
      <c r="J4827" s="5" t="str">
        <f t="shared" si="581"/>
        <v>2220</v>
      </c>
      <c r="K4827" s="5" t="str">
        <f t="shared" si="582"/>
        <v>000</v>
      </c>
      <c r="L4827" s="5">
        <f t="shared" si="583"/>
        <v>12</v>
      </c>
      <c r="M4827" s="5">
        <f t="shared" si="584"/>
        <v>2012</v>
      </c>
    </row>
    <row r="4828" spans="1:13" ht="15" x14ac:dyDescent="0.25">
      <c r="A4828" s="1">
        <f>DATE(2012,12,8)</f>
        <v>41251</v>
      </c>
      <c r="B4828" t="s">
        <v>22</v>
      </c>
      <c r="C4828" t="s">
        <v>10</v>
      </c>
      <c r="D4828" s="3">
        <v>109.0964</v>
      </c>
      <c r="E4828" s="3">
        <v>0</v>
      </c>
      <c r="F4828" t="s">
        <v>45</v>
      </c>
      <c r="G4828" s="3">
        <f t="shared" si="578"/>
        <v>-109.0964</v>
      </c>
      <c r="H4828" s="3">
        <f t="shared" si="579"/>
        <v>109.0964</v>
      </c>
      <c r="I4828" s="5" t="str">
        <f t="shared" si="580"/>
        <v>018</v>
      </c>
      <c r="J4828" s="5" t="str">
        <f t="shared" si="581"/>
        <v>2230</v>
      </c>
      <c r="K4828" s="5" t="str">
        <f t="shared" si="582"/>
        <v>000</v>
      </c>
      <c r="L4828" s="5">
        <f t="shared" si="583"/>
        <v>12</v>
      </c>
      <c r="M4828" s="5">
        <f t="shared" si="584"/>
        <v>2012</v>
      </c>
    </row>
    <row r="4829" spans="1:13" ht="15" x14ac:dyDescent="0.25">
      <c r="A4829" s="1">
        <f>DATE(2012,12,9)</f>
        <v>41252</v>
      </c>
      <c r="B4829" t="s">
        <v>19</v>
      </c>
      <c r="C4829" t="s">
        <v>6</v>
      </c>
      <c r="D4829" s="3">
        <v>6991.4472000000014</v>
      </c>
      <c r="E4829" s="3">
        <v>0</v>
      </c>
      <c r="F4829" t="s">
        <v>45</v>
      </c>
      <c r="G4829" s="3">
        <f t="shared" si="578"/>
        <v>-6991.4472000000014</v>
      </c>
      <c r="H4829" s="3">
        <f t="shared" si="579"/>
        <v>6991.4472000000014</v>
      </c>
      <c r="I4829" s="5" t="str">
        <f t="shared" si="580"/>
        <v>018</v>
      </c>
      <c r="J4829" s="5" t="str">
        <f t="shared" si="581"/>
        <v>2100</v>
      </c>
      <c r="K4829" s="5" t="str">
        <f t="shared" si="582"/>
        <v>000</v>
      </c>
      <c r="L4829" s="5">
        <f t="shared" si="583"/>
        <v>12</v>
      </c>
      <c r="M4829" s="5">
        <f t="shared" si="584"/>
        <v>2012</v>
      </c>
    </row>
    <row r="4830" spans="1:13" ht="15" x14ac:dyDescent="0.25">
      <c r="A4830" s="1">
        <f>DATE(2012,12,9)</f>
        <v>41252</v>
      </c>
      <c r="B4830" t="s">
        <v>20</v>
      </c>
      <c r="C4830" t="s">
        <v>8</v>
      </c>
      <c r="D4830" s="3">
        <v>1057.1701</v>
      </c>
      <c r="E4830" s="3">
        <v>0</v>
      </c>
      <c r="F4830" t="s">
        <v>45</v>
      </c>
      <c r="G4830" s="3">
        <f t="shared" si="578"/>
        <v>-1057.1701</v>
      </c>
      <c r="H4830" s="3">
        <f t="shared" si="579"/>
        <v>1057.1701</v>
      </c>
      <c r="I4830" s="5" t="str">
        <f t="shared" si="580"/>
        <v>018</v>
      </c>
      <c r="J4830" s="5" t="str">
        <f t="shared" si="581"/>
        <v>2210</v>
      </c>
      <c r="K4830" s="5" t="str">
        <f t="shared" si="582"/>
        <v>000</v>
      </c>
      <c r="L4830" s="5">
        <f t="shared" si="583"/>
        <v>12</v>
      </c>
      <c r="M4830" s="5">
        <f t="shared" si="584"/>
        <v>2012</v>
      </c>
    </row>
    <row r="4831" spans="1:13" ht="15" x14ac:dyDescent="0.25">
      <c r="A4831" s="1">
        <f>DATE(2012,12,9)</f>
        <v>41252</v>
      </c>
      <c r="B4831" t="s">
        <v>21</v>
      </c>
      <c r="C4831" t="s">
        <v>9</v>
      </c>
      <c r="D4831" s="3">
        <v>232.983</v>
      </c>
      <c r="E4831" s="3">
        <v>0</v>
      </c>
      <c r="F4831" t="s">
        <v>45</v>
      </c>
      <c r="G4831" s="3">
        <f t="shared" si="578"/>
        <v>-232.983</v>
      </c>
      <c r="H4831" s="3">
        <f t="shared" si="579"/>
        <v>232.983</v>
      </c>
      <c r="I4831" s="5" t="str">
        <f t="shared" si="580"/>
        <v>018</v>
      </c>
      <c r="J4831" s="5" t="str">
        <f t="shared" si="581"/>
        <v>2220</v>
      </c>
      <c r="K4831" s="5" t="str">
        <f t="shared" si="582"/>
        <v>000</v>
      </c>
      <c r="L4831" s="5">
        <f t="shared" si="583"/>
        <v>12</v>
      </c>
      <c r="M4831" s="5">
        <f t="shared" si="584"/>
        <v>2012</v>
      </c>
    </row>
    <row r="4832" spans="1:13" ht="15" x14ac:dyDescent="0.25">
      <c r="A4832" s="1">
        <f>DATE(2012,12,9)</f>
        <v>41252</v>
      </c>
      <c r="B4832" t="s">
        <v>22</v>
      </c>
      <c r="C4832" t="s">
        <v>10</v>
      </c>
      <c r="D4832" s="3">
        <v>71.000699999999995</v>
      </c>
      <c r="E4832" s="3">
        <v>0</v>
      </c>
      <c r="F4832" t="s">
        <v>45</v>
      </c>
      <c r="G4832" s="3">
        <f t="shared" si="578"/>
        <v>-71.000699999999995</v>
      </c>
      <c r="H4832" s="3">
        <f t="shared" si="579"/>
        <v>71.000699999999995</v>
      </c>
      <c r="I4832" s="5" t="str">
        <f t="shared" si="580"/>
        <v>018</v>
      </c>
      <c r="J4832" s="5" t="str">
        <f t="shared" si="581"/>
        <v>2230</v>
      </c>
      <c r="K4832" s="5" t="str">
        <f t="shared" si="582"/>
        <v>000</v>
      </c>
      <c r="L4832" s="5">
        <f t="shared" si="583"/>
        <v>12</v>
      </c>
      <c r="M4832" s="5">
        <f t="shared" si="584"/>
        <v>2012</v>
      </c>
    </row>
    <row r="4833" spans="1:13" ht="15" x14ac:dyDescent="0.25">
      <c r="A4833" s="1">
        <f>DATE(2012,12,10)</f>
        <v>41253</v>
      </c>
      <c r="B4833" t="s">
        <v>11</v>
      </c>
      <c r="C4833" t="s">
        <v>6</v>
      </c>
      <c r="D4833" s="3">
        <v>2343.3784000000001</v>
      </c>
      <c r="E4833" s="3">
        <v>0</v>
      </c>
      <c r="F4833" t="s">
        <v>45</v>
      </c>
      <c r="G4833" s="3">
        <f t="shared" si="578"/>
        <v>-2343.3784000000001</v>
      </c>
      <c r="H4833" s="3">
        <f t="shared" si="579"/>
        <v>2343.3784000000001</v>
      </c>
      <c r="I4833" s="5" t="str">
        <f t="shared" si="580"/>
        <v>016</v>
      </c>
      <c r="J4833" s="5" t="str">
        <f t="shared" si="581"/>
        <v>2100</v>
      </c>
      <c r="K4833" s="5" t="str">
        <f t="shared" si="582"/>
        <v>000</v>
      </c>
      <c r="L4833" s="5">
        <f t="shared" si="583"/>
        <v>12</v>
      </c>
      <c r="M4833" s="5">
        <f t="shared" si="584"/>
        <v>2012</v>
      </c>
    </row>
    <row r="4834" spans="1:13" ht="15" x14ac:dyDescent="0.25">
      <c r="A4834" s="1">
        <f>DATE(2012,12,10)</f>
        <v>41253</v>
      </c>
      <c r="B4834" t="s">
        <v>12</v>
      </c>
      <c r="C4834" t="s">
        <v>8</v>
      </c>
      <c r="D4834" s="3">
        <v>503.13650000000007</v>
      </c>
      <c r="E4834" s="3">
        <v>0</v>
      </c>
      <c r="F4834" t="s">
        <v>45</v>
      </c>
      <c r="G4834" s="3">
        <f t="shared" si="578"/>
        <v>-503.13650000000007</v>
      </c>
      <c r="H4834" s="3">
        <f t="shared" si="579"/>
        <v>503.13650000000007</v>
      </c>
      <c r="I4834" s="5" t="str">
        <f t="shared" si="580"/>
        <v>016</v>
      </c>
      <c r="J4834" s="5" t="str">
        <f t="shared" si="581"/>
        <v>2210</v>
      </c>
      <c r="K4834" s="5" t="str">
        <f t="shared" si="582"/>
        <v>000</v>
      </c>
      <c r="L4834" s="5">
        <f t="shared" si="583"/>
        <v>12</v>
      </c>
      <c r="M4834" s="5">
        <f t="shared" si="584"/>
        <v>2012</v>
      </c>
    </row>
    <row r="4835" spans="1:13" ht="15" x14ac:dyDescent="0.25">
      <c r="A4835" s="1">
        <f>DATE(2012,12,10)</f>
        <v>41253</v>
      </c>
      <c r="B4835" t="s">
        <v>13</v>
      </c>
      <c r="C4835" t="s">
        <v>9</v>
      </c>
      <c r="D4835" s="3">
        <v>88.212100000000007</v>
      </c>
      <c r="E4835" s="3">
        <v>0</v>
      </c>
      <c r="F4835" t="s">
        <v>45</v>
      </c>
      <c r="G4835" s="3">
        <f t="shared" si="578"/>
        <v>-88.212100000000007</v>
      </c>
      <c r="H4835" s="3">
        <f t="shared" si="579"/>
        <v>88.212100000000007</v>
      </c>
      <c r="I4835" s="5" t="str">
        <f t="shared" si="580"/>
        <v>016</v>
      </c>
      <c r="J4835" s="5" t="str">
        <f t="shared" si="581"/>
        <v>2220</v>
      </c>
      <c r="K4835" s="5" t="str">
        <f t="shared" si="582"/>
        <v>000</v>
      </c>
      <c r="L4835" s="5">
        <f t="shared" si="583"/>
        <v>12</v>
      </c>
      <c r="M4835" s="5">
        <f t="shared" si="584"/>
        <v>2012</v>
      </c>
    </row>
    <row r="4836" spans="1:13" ht="15" x14ac:dyDescent="0.25">
      <c r="A4836" s="1">
        <f>DATE(2012,12,10)</f>
        <v>41253</v>
      </c>
      <c r="B4836" t="s">
        <v>14</v>
      </c>
      <c r="C4836" t="s">
        <v>10</v>
      </c>
      <c r="D4836" s="3">
        <v>42.522000000000006</v>
      </c>
      <c r="E4836" s="3">
        <v>0</v>
      </c>
      <c r="F4836" t="s">
        <v>45</v>
      </c>
      <c r="G4836" s="3">
        <f t="shared" si="578"/>
        <v>-42.522000000000006</v>
      </c>
      <c r="H4836" s="3">
        <f t="shared" si="579"/>
        <v>42.522000000000006</v>
      </c>
      <c r="I4836" s="5" t="str">
        <f t="shared" si="580"/>
        <v>016</v>
      </c>
      <c r="J4836" s="5" t="str">
        <f t="shared" si="581"/>
        <v>2230</v>
      </c>
      <c r="K4836" s="5" t="str">
        <f t="shared" si="582"/>
        <v>000</v>
      </c>
      <c r="L4836" s="5">
        <f t="shared" si="583"/>
        <v>12</v>
      </c>
      <c r="M4836" s="5">
        <f t="shared" si="584"/>
        <v>2012</v>
      </c>
    </row>
    <row r="4837" spans="1:13" ht="15" x14ac:dyDescent="0.25">
      <c r="A4837" s="1">
        <f>DATE(2012,12,11)</f>
        <v>41254</v>
      </c>
      <c r="B4837" t="s">
        <v>11</v>
      </c>
      <c r="C4837" t="s">
        <v>6</v>
      </c>
      <c r="D4837" s="3">
        <v>4474.4006999999992</v>
      </c>
      <c r="E4837" s="3">
        <v>0</v>
      </c>
      <c r="F4837" t="s">
        <v>45</v>
      </c>
      <c r="G4837" s="3">
        <f t="shared" si="578"/>
        <v>-4474.4006999999992</v>
      </c>
      <c r="H4837" s="3">
        <f t="shared" si="579"/>
        <v>4474.4006999999992</v>
      </c>
      <c r="I4837" s="5" t="str">
        <f t="shared" si="580"/>
        <v>016</v>
      </c>
      <c r="J4837" s="5" t="str">
        <f t="shared" si="581"/>
        <v>2100</v>
      </c>
      <c r="K4837" s="5" t="str">
        <f t="shared" si="582"/>
        <v>000</v>
      </c>
      <c r="L4837" s="5">
        <f t="shared" si="583"/>
        <v>12</v>
      </c>
      <c r="M4837" s="5">
        <f t="shared" si="584"/>
        <v>2012</v>
      </c>
    </row>
    <row r="4838" spans="1:13" ht="15" x14ac:dyDescent="0.25">
      <c r="A4838" s="1">
        <f>DATE(2012,12,11)</f>
        <v>41254</v>
      </c>
      <c r="B4838" t="s">
        <v>12</v>
      </c>
      <c r="C4838" t="s">
        <v>8</v>
      </c>
      <c r="D4838" s="3">
        <v>2459.7835</v>
      </c>
      <c r="E4838" s="3">
        <v>0</v>
      </c>
      <c r="F4838" t="s">
        <v>45</v>
      </c>
      <c r="G4838" s="3">
        <f t="shared" si="578"/>
        <v>-2459.7835</v>
      </c>
      <c r="H4838" s="3">
        <f t="shared" si="579"/>
        <v>2459.7835</v>
      </c>
      <c r="I4838" s="5" t="str">
        <f t="shared" si="580"/>
        <v>016</v>
      </c>
      <c r="J4838" s="5" t="str">
        <f t="shared" si="581"/>
        <v>2210</v>
      </c>
      <c r="K4838" s="5" t="str">
        <f t="shared" si="582"/>
        <v>000</v>
      </c>
      <c r="L4838" s="5">
        <f t="shared" si="583"/>
        <v>12</v>
      </c>
      <c r="M4838" s="5">
        <f t="shared" si="584"/>
        <v>2012</v>
      </c>
    </row>
    <row r="4839" spans="1:13" ht="15" x14ac:dyDescent="0.25">
      <c r="A4839" s="1">
        <f>DATE(2012,12,11)</f>
        <v>41254</v>
      </c>
      <c r="B4839" t="s">
        <v>13</v>
      </c>
      <c r="C4839" t="s">
        <v>9</v>
      </c>
      <c r="D4839" s="3">
        <v>736.11699999999996</v>
      </c>
      <c r="E4839" s="3">
        <v>0</v>
      </c>
      <c r="F4839" t="s">
        <v>45</v>
      </c>
      <c r="G4839" s="3">
        <f t="shared" si="578"/>
        <v>-736.11699999999996</v>
      </c>
      <c r="H4839" s="3">
        <f t="shared" si="579"/>
        <v>736.11699999999996</v>
      </c>
      <c r="I4839" s="5" t="str">
        <f t="shared" si="580"/>
        <v>016</v>
      </c>
      <c r="J4839" s="5" t="str">
        <f t="shared" si="581"/>
        <v>2220</v>
      </c>
      <c r="K4839" s="5" t="str">
        <f t="shared" si="582"/>
        <v>000</v>
      </c>
      <c r="L4839" s="5">
        <f t="shared" si="583"/>
        <v>12</v>
      </c>
      <c r="M4839" s="5">
        <f t="shared" si="584"/>
        <v>2012</v>
      </c>
    </row>
    <row r="4840" spans="1:13" ht="15" x14ac:dyDescent="0.25">
      <c r="A4840" s="1">
        <f>DATE(2012,12,11)</f>
        <v>41254</v>
      </c>
      <c r="B4840" t="s">
        <v>14</v>
      </c>
      <c r="C4840" t="s">
        <v>10</v>
      </c>
      <c r="D4840" s="3">
        <v>71.103200000000001</v>
      </c>
      <c r="E4840" s="3">
        <v>0</v>
      </c>
      <c r="F4840" t="s">
        <v>45</v>
      </c>
      <c r="G4840" s="3">
        <f t="shared" si="578"/>
        <v>-71.103200000000001</v>
      </c>
      <c r="H4840" s="3">
        <f t="shared" si="579"/>
        <v>71.103200000000001</v>
      </c>
      <c r="I4840" s="5" t="str">
        <f t="shared" si="580"/>
        <v>016</v>
      </c>
      <c r="J4840" s="5" t="str">
        <f t="shared" si="581"/>
        <v>2230</v>
      </c>
      <c r="K4840" s="5" t="str">
        <f t="shared" si="582"/>
        <v>000</v>
      </c>
      <c r="L4840" s="5">
        <f t="shared" si="583"/>
        <v>12</v>
      </c>
      <c r="M4840" s="5">
        <f t="shared" si="584"/>
        <v>2012</v>
      </c>
    </row>
    <row r="4841" spans="1:13" ht="15" x14ac:dyDescent="0.25">
      <c r="A4841" s="1">
        <f>DATE(2012,12,12)</f>
        <v>41255</v>
      </c>
      <c r="B4841" t="s">
        <v>11</v>
      </c>
      <c r="C4841" t="s">
        <v>6</v>
      </c>
      <c r="D4841" s="3">
        <v>2071.3968</v>
      </c>
      <c r="E4841" s="3">
        <v>0</v>
      </c>
      <c r="F4841" t="s">
        <v>45</v>
      </c>
      <c r="G4841" s="3">
        <f t="shared" si="578"/>
        <v>-2071.3968</v>
      </c>
      <c r="H4841" s="3">
        <f t="shared" si="579"/>
        <v>2071.3968</v>
      </c>
      <c r="I4841" s="5" t="str">
        <f t="shared" si="580"/>
        <v>016</v>
      </c>
      <c r="J4841" s="5" t="str">
        <f t="shared" si="581"/>
        <v>2100</v>
      </c>
      <c r="K4841" s="5" t="str">
        <f t="shared" si="582"/>
        <v>000</v>
      </c>
      <c r="L4841" s="5">
        <f t="shared" si="583"/>
        <v>12</v>
      </c>
      <c r="M4841" s="5">
        <f t="shared" si="584"/>
        <v>2012</v>
      </c>
    </row>
    <row r="4842" spans="1:13" ht="15" x14ac:dyDescent="0.25">
      <c r="A4842" s="1">
        <f>DATE(2012,12,12)</f>
        <v>41255</v>
      </c>
      <c r="B4842" t="s">
        <v>12</v>
      </c>
      <c r="C4842" t="s">
        <v>8</v>
      </c>
      <c r="D4842" s="3">
        <v>740.09100000000001</v>
      </c>
      <c r="E4842" s="3">
        <v>0</v>
      </c>
      <c r="F4842" t="s">
        <v>45</v>
      </c>
      <c r="G4842" s="3">
        <f t="shared" si="578"/>
        <v>-740.09100000000001</v>
      </c>
      <c r="H4842" s="3">
        <f t="shared" si="579"/>
        <v>740.09100000000001</v>
      </c>
      <c r="I4842" s="5" t="str">
        <f t="shared" si="580"/>
        <v>016</v>
      </c>
      <c r="J4842" s="5" t="str">
        <f t="shared" si="581"/>
        <v>2210</v>
      </c>
      <c r="K4842" s="5" t="str">
        <f t="shared" si="582"/>
        <v>000</v>
      </c>
      <c r="L4842" s="5">
        <f t="shared" si="583"/>
        <v>12</v>
      </c>
      <c r="M4842" s="5">
        <f t="shared" si="584"/>
        <v>2012</v>
      </c>
    </row>
    <row r="4843" spans="1:13" ht="15" x14ac:dyDescent="0.25">
      <c r="A4843" s="1">
        <f>DATE(2012,12,12)</f>
        <v>41255</v>
      </c>
      <c r="B4843" t="s">
        <v>13</v>
      </c>
      <c r="C4843" t="s">
        <v>9</v>
      </c>
      <c r="D4843" s="3">
        <v>125.44839999999999</v>
      </c>
      <c r="E4843" s="3">
        <v>0</v>
      </c>
      <c r="F4843" t="s">
        <v>45</v>
      </c>
      <c r="G4843" s="3">
        <f t="shared" si="578"/>
        <v>-125.44839999999999</v>
      </c>
      <c r="H4843" s="3">
        <f t="shared" si="579"/>
        <v>125.44839999999999</v>
      </c>
      <c r="I4843" s="5" t="str">
        <f t="shared" si="580"/>
        <v>016</v>
      </c>
      <c r="J4843" s="5" t="str">
        <f t="shared" si="581"/>
        <v>2220</v>
      </c>
      <c r="K4843" s="5" t="str">
        <f t="shared" si="582"/>
        <v>000</v>
      </c>
      <c r="L4843" s="5">
        <f t="shared" si="583"/>
        <v>12</v>
      </c>
      <c r="M4843" s="5">
        <f t="shared" si="584"/>
        <v>2012</v>
      </c>
    </row>
    <row r="4844" spans="1:13" ht="15" x14ac:dyDescent="0.25">
      <c r="A4844" s="1">
        <f>DATE(2012,12,12)</f>
        <v>41255</v>
      </c>
      <c r="B4844" t="s">
        <v>14</v>
      </c>
      <c r="C4844" t="s">
        <v>10</v>
      </c>
      <c r="D4844" s="3">
        <v>60.8063</v>
      </c>
      <c r="E4844" s="3">
        <v>0</v>
      </c>
      <c r="F4844" t="s">
        <v>45</v>
      </c>
      <c r="G4844" s="3">
        <f t="shared" si="578"/>
        <v>-60.8063</v>
      </c>
      <c r="H4844" s="3">
        <f t="shared" si="579"/>
        <v>60.8063</v>
      </c>
      <c r="I4844" s="5" t="str">
        <f t="shared" si="580"/>
        <v>016</v>
      </c>
      <c r="J4844" s="5" t="str">
        <f t="shared" si="581"/>
        <v>2230</v>
      </c>
      <c r="K4844" s="5" t="str">
        <f t="shared" si="582"/>
        <v>000</v>
      </c>
      <c r="L4844" s="5">
        <f t="shared" si="583"/>
        <v>12</v>
      </c>
      <c r="M4844" s="5">
        <f t="shared" si="584"/>
        <v>2012</v>
      </c>
    </row>
    <row r="4845" spans="1:13" ht="15" x14ac:dyDescent="0.25">
      <c r="A4845" s="1">
        <f>DATE(2012,12,13)</f>
        <v>41256</v>
      </c>
      <c r="B4845" t="s">
        <v>11</v>
      </c>
      <c r="C4845" t="s">
        <v>6</v>
      </c>
      <c r="D4845" s="3">
        <v>4409.2349000000004</v>
      </c>
      <c r="E4845" s="3">
        <v>0</v>
      </c>
      <c r="F4845" t="s">
        <v>45</v>
      </c>
      <c r="G4845" s="3">
        <f t="shared" si="578"/>
        <v>-4409.2349000000004</v>
      </c>
      <c r="H4845" s="3">
        <f t="shared" si="579"/>
        <v>4409.2349000000004</v>
      </c>
      <c r="I4845" s="5" t="str">
        <f t="shared" si="580"/>
        <v>016</v>
      </c>
      <c r="J4845" s="5" t="str">
        <f t="shared" si="581"/>
        <v>2100</v>
      </c>
      <c r="K4845" s="5" t="str">
        <f t="shared" si="582"/>
        <v>000</v>
      </c>
      <c r="L4845" s="5">
        <f t="shared" si="583"/>
        <v>12</v>
      </c>
      <c r="M4845" s="5">
        <f t="shared" si="584"/>
        <v>2012</v>
      </c>
    </row>
    <row r="4846" spans="1:13" ht="15" x14ac:dyDescent="0.25">
      <c r="A4846" s="1">
        <f>DATE(2012,12,13)</f>
        <v>41256</v>
      </c>
      <c r="B4846" t="s">
        <v>12</v>
      </c>
      <c r="C4846" t="s">
        <v>8</v>
      </c>
      <c r="D4846" s="3">
        <v>1348.1939</v>
      </c>
      <c r="E4846" s="3">
        <v>0</v>
      </c>
      <c r="F4846" t="s">
        <v>45</v>
      </c>
      <c r="G4846" s="3">
        <f t="shared" si="578"/>
        <v>-1348.1939</v>
      </c>
      <c r="H4846" s="3">
        <f t="shared" si="579"/>
        <v>1348.1939</v>
      </c>
      <c r="I4846" s="5" t="str">
        <f t="shared" si="580"/>
        <v>016</v>
      </c>
      <c r="J4846" s="5" t="str">
        <f t="shared" si="581"/>
        <v>2210</v>
      </c>
      <c r="K4846" s="5" t="str">
        <f t="shared" si="582"/>
        <v>000</v>
      </c>
      <c r="L4846" s="5">
        <f t="shared" si="583"/>
        <v>12</v>
      </c>
      <c r="M4846" s="5">
        <f t="shared" si="584"/>
        <v>2012</v>
      </c>
    </row>
    <row r="4847" spans="1:13" ht="15" x14ac:dyDescent="0.25">
      <c r="A4847" s="1">
        <f>DATE(2012,12,13)</f>
        <v>41256</v>
      </c>
      <c r="B4847" t="s">
        <v>13</v>
      </c>
      <c r="C4847" t="s">
        <v>9</v>
      </c>
      <c r="D4847" s="3">
        <v>206.44399999999999</v>
      </c>
      <c r="E4847" s="3">
        <v>0</v>
      </c>
      <c r="F4847" t="s">
        <v>45</v>
      </c>
      <c r="G4847" s="3">
        <f t="shared" si="578"/>
        <v>-206.44399999999999</v>
      </c>
      <c r="H4847" s="3">
        <f t="shared" si="579"/>
        <v>206.44399999999999</v>
      </c>
      <c r="I4847" s="5" t="str">
        <f t="shared" si="580"/>
        <v>016</v>
      </c>
      <c r="J4847" s="5" t="str">
        <f t="shared" si="581"/>
        <v>2220</v>
      </c>
      <c r="K4847" s="5" t="str">
        <f t="shared" si="582"/>
        <v>000</v>
      </c>
      <c r="L4847" s="5">
        <f t="shared" si="583"/>
        <v>12</v>
      </c>
      <c r="M4847" s="5">
        <f t="shared" si="584"/>
        <v>2012</v>
      </c>
    </row>
    <row r="4848" spans="1:13" ht="15" x14ac:dyDescent="0.25">
      <c r="A4848" s="1">
        <f>DATE(2012,12,13)</f>
        <v>41256</v>
      </c>
      <c r="B4848" t="s">
        <v>14</v>
      </c>
      <c r="C4848" t="s">
        <v>10</v>
      </c>
      <c r="D4848" s="3">
        <v>110.49639999999999</v>
      </c>
      <c r="E4848" s="3">
        <v>0</v>
      </c>
      <c r="F4848" t="s">
        <v>45</v>
      </c>
      <c r="G4848" s="3">
        <f t="shared" si="578"/>
        <v>-110.49639999999999</v>
      </c>
      <c r="H4848" s="3">
        <f t="shared" si="579"/>
        <v>110.49639999999999</v>
      </c>
      <c r="I4848" s="5" t="str">
        <f t="shared" si="580"/>
        <v>016</v>
      </c>
      <c r="J4848" s="5" t="str">
        <f t="shared" si="581"/>
        <v>2230</v>
      </c>
      <c r="K4848" s="5" t="str">
        <f t="shared" si="582"/>
        <v>000</v>
      </c>
      <c r="L4848" s="5">
        <f t="shared" si="583"/>
        <v>12</v>
      </c>
      <c r="M4848" s="5">
        <f t="shared" si="584"/>
        <v>2012</v>
      </c>
    </row>
    <row r="4849" spans="1:13" ht="15" x14ac:dyDescent="0.25">
      <c r="A4849" s="1">
        <f t="shared" ref="A4849:A4852" si="585">DATE(2012,12,14)</f>
        <v>41257</v>
      </c>
      <c r="B4849" t="s">
        <v>11</v>
      </c>
      <c r="C4849" t="s">
        <v>6</v>
      </c>
      <c r="D4849" s="3">
        <v>6977.2433999999994</v>
      </c>
      <c r="E4849" s="3">
        <v>0</v>
      </c>
      <c r="F4849" t="s">
        <v>45</v>
      </c>
      <c r="G4849" s="3">
        <f t="shared" si="578"/>
        <v>-6977.2433999999994</v>
      </c>
      <c r="H4849" s="3">
        <f t="shared" si="579"/>
        <v>6977.2433999999994</v>
      </c>
      <c r="I4849" s="5" t="str">
        <f t="shared" si="580"/>
        <v>016</v>
      </c>
      <c r="J4849" s="5" t="str">
        <f t="shared" si="581"/>
        <v>2100</v>
      </c>
      <c r="K4849" s="5" t="str">
        <f t="shared" si="582"/>
        <v>000</v>
      </c>
      <c r="L4849" s="5">
        <f t="shared" si="583"/>
        <v>12</v>
      </c>
      <c r="M4849" s="5">
        <f t="shared" si="584"/>
        <v>2012</v>
      </c>
    </row>
    <row r="4850" spans="1:13" ht="15" x14ac:dyDescent="0.25">
      <c r="A4850" s="1">
        <f t="shared" si="585"/>
        <v>41257</v>
      </c>
      <c r="B4850" t="s">
        <v>12</v>
      </c>
      <c r="C4850" t="s">
        <v>8</v>
      </c>
      <c r="D4850" s="3">
        <v>1837.7284999999999</v>
      </c>
      <c r="E4850" s="3">
        <v>0</v>
      </c>
      <c r="F4850" t="s">
        <v>45</v>
      </c>
      <c r="G4850" s="3">
        <f t="shared" si="578"/>
        <v>-1837.7284999999999</v>
      </c>
      <c r="H4850" s="3">
        <f t="shared" si="579"/>
        <v>1837.7284999999999</v>
      </c>
      <c r="I4850" s="5" t="str">
        <f t="shared" si="580"/>
        <v>016</v>
      </c>
      <c r="J4850" s="5" t="str">
        <f t="shared" si="581"/>
        <v>2210</v>
      </c>
      <c r="K4850" s="5" t="str">
        <f t="shared" si="582"/>
        <v>000</v>
      </c>
      <c r="L4850" s="5">
        <f t="shared" si="583"/>
        <v>12</v>
      </c>
      <c r="M4850" s="5">
        <f t="shared" si="584"/>
        <v>2012</v>
      </c>
    </row>
    <row r="4851" spans="1:13" ht="15" x14ac:dyDescent="0.25">
      <c r="A4851" s="1">
        <f t="shared" si="585"/>
        <v>41257</v>
      </c>
      <c r="B4851" t="s">
        <v>13</v>
      </c>
      <c r="C4851" t="s">
        <v>9</v>
      </c>
      <c r="D4851" s="3">
        <v>237.60550000000001</v>
      </c>
      <c r="E4851" s="3">
        <v>0</v>
      </c>
      <c r="F4851" t="s">
        <v>45</v>
      </c>
      <c r="G4851" s="3">
        <f t="shared" si="578"/>
        <v>-237.60550000000001</v>
      </c>
      <c r="H4851" s="3">
        <f t="shared" si="579"/>
        <v>237.60550000000001</v>
      </c>
      <c r="I4851" s="5" t="str">
        <f t="shared" si="580"/>
        <v>016</v>
      </c>
      <c r="J4851" s="5" t="str">
        <f t="shared" si="581"/>
        <v>2220</v>
      </c>
      <c r="K4851" s="5" t="str">
        <f t="shared" si="582"/>
        <v>000</v>
      </c>
      <c r="L4851" s="5">
        <f t="shared" si="583"/>
        <v>12</v>
      </c>
      <c r="M4851" s="5">
        <f t="shared" si="584"/>
        <v>2012</v>
      </c>
    </row>
    <row r="4852" spans="1:13" ht="15" x14ac:dyDescent="0.25">
      <c r="A4852" s="1">
        <f t="shared" si="585"/>
        <v>41257</v>
      </c>
      <c r="B4852" t="s">
        <v>14</v>
      </c>
      <c r="C4852" t="s">
        <v>10</v>
      </c>
      <c r="D4852" s="3">
        <v>148.5042</v>
      </c>
      <c r="E4852" s="3">
        <v>0</v>
      </c>
      <c r="F4852" t="s">
        <v>45</v>
      </c>
      <c r="G4852" s="3">
        <f t="shared" si="578"/>
        <v>-148.5042</v>
      </c>
      <c r="H4852" s="3">
        <f t="shared" si="579"/>
        <v>148.5042</v>
      </c>
      <c r="I4852" s="5" t="str">
        <f t="shared" si="580"/>
        <v>016</v>
      </c>
      <c r="J4852" s="5" t="str">
        <f t="shared" si="581"/>
        <v>2230</v>
      </c>
      <c r="K4852" s="5" t="str">
        <f t="shared" si="582"/>
        <v>000</v>
      </c>
      <c r="L4852" s="5">
        <f t="shared" si="583"/>
        <v>12</v>
      </c>
      <c r="M4852" s="5">
        <f t="shared" si="584"/>
        <v>2012</v>
      </c>
    </row>
    <row r="4853" spans="1:13" ht="15" x14ac:dyDescent="0.25">
      <c r="A4853" s="1">
        <f>DATE(2012,12,15)</f>
        <v>41258</v>
      </c>
      <c r="B4853" t="s">
        <v>11</v>
      </c>
      <c r="C4853" t="s">
        <v>6</v>
      </c>
      <c r="D4853" s="3">
        <v>5540.61</v>
      </c>
      <c r="E4853" s="3">
        <v>0</v>
      </c>
      <c r="F4853" t="s">
        <v>45</v>
      </c>
      <c r="G4853" s="3">
        <f t="shared" si="578"/>
        <v>-5540.61</v>
      </c>
      <c r="H4853" s="3">
        <f t="shared" si="579"/>
        <v>5540.61</v>
      </c>
      <c r="I4853" s="5" t="str">
        <f t="shared" si="580"/>
        <v>016</v>
      </c>
      <c r="J4853" s="5" t="str">
        <f t="shared" si="581"/>
        <v>2100</v>
      </c>
      <c r="K4853" s="5" t="str">
        <f t="shared" si="582"/>
        <v>000</v>
      </c>
      <c r="L4853" s="5">
        <f t="shared" si="583"/>
        <v>12</v>
      </c>
      <c r="M4853" s="5">
        <f t="shared" si="584"/>
        <v>2012</v>
      </c>
    </row>
    <row r="4854" spans="1:13" ht="15" x14ac:dyDescent="0.25">
      <c r="A4854" s="1">
        <f>DATE(2012,12,15)</f>
        <v>41258</v>
      </c>
      <c r="B4854" t="s">
        <v>12</v>
      </c>
      <c r="C4854" t="s">
        <v>8</v>
      </c>
      <c r="D4854" s="3">
        <v>1947.5925</v>
      </c>
      <c r="E4854" s="3">
        <v>0</v>
      </c>
      <c r="F4854" t="s">
        <v>45</v>
      </c>
      <c r="G4854" s="3">
        <f t="shared" si="578"/>
        <v>-1947.5925</v>
      </c>
      <c r="H4854" s="3">
        <f t="shared" si="579"/>
        <v>1947.5925</v>
      </c>
      <c r="I4854" s="5" t="str">
        <f t="shared" si="580"/>
        <v>016</v>
      </c>
      <c r="J4854" s="5" t="str">
        <f t="shared" si="581"/>
        <v>2210</v>
      </c>
      <c r="K4854" s="5" t="str">
        <f t="shared" si="582"/>
        <v>000</v>
      </c>
      <c r="L4854" s="5">
        <f t="shared" si="583"/>
        <v>12</v>
      </c>
      <c r="M4854" s="5">
        <f t="shared" si="584"/>
        <v>2012</v>
      </c>
    </row>
    <row r="4855" spans="1:13" ht="15" x14ac:dyDescent="0.25">
      <c r="A4855" s="1">
        <f>DATE(2012,12,15)</f>
        <v>41258</v>
      </c>
      <c r="B4855" t="s">
        <v>13</v>
      </c>
      <c r="C4855" t="s">
        <v>9</v>
      </c>
      <c r="D4855" s="3">
        <v>371.60020000000003</v>
      </c>
      <c r="E4855" s="3">
        <v>0</v>
      </c>
      <c r="F4855" t="s">
        <v>45</v>
      </c>
      <c r="G4855" s="3">
        <f t="shared" si="578"/>
        <v>-371.60020000000003</v>
      </c>
      <c r="H4855" s="3">
        <f t="shared" si="579"/>
        <v>371.60020000000003</v>
      </c>
      <c r="I4855" s="5" t="str">
        <f t="shared" si="580"/>
        <v>016</v>
      </c>
      <c r="J4855" s="5" t="str">
        <f t="shared" si="581"/>
        <v>2220</v>
      </c>
      <c r="K4855" s="5" t="str">
        <f t="shared" si="582"/>
        <v>000</v>
      </c>
      <c r="L4855" s="5">
        <f t="shared" si="583"/>
        <v>12</v>
      </c>
      <c r="M4855" s="5">
        <f t="shared" si="584"/>
        <v>2012</v>
      </c>
    </row>
    <row r="4856" spans="1:13" ht="15" x14ac:dyDescent="0.25">
      <c r="A4856" s="1">
        <f>DATE(2012,12,15)</f>
        <v>41258</v>
      </c>
      <c r="B4856" t="s">
        <v>14</v>
      </c>
      <c r="C4856" t="s">
        <v>10</v>
      </c>
      <c r="D4856" s="3">
        <v>174.06</v>
      </c>
      <c r="E4856" s="3">
        <v>0</v>
      </c>
      <c r="F4856" t="s">
        <v>45</v>
      </c>
      <c r="G4856" s="3">
        <f t="shared" si="578"/>
        <v>-174.06</v>
      </c>
      <c r="H4856" s="3">
        <f t="shared" si="579"/>
        <v>174.06</v>
      </c>
      <c r="I4856" s="5" t="str">
        <f t="shared" si="580"/>
        <v>016</v>
      </c>
      <c r="J4856" s="5" t="str">
        <f t="shared" si="581"/>
        <v>2230</v>
      </c>
      <c r="K4856" s="5" t="str">
        <f t="shared" si="582"/>
        <v>000</v>
      </c>
      <c r="L4856" s="5">
        <f t="shared" si="583"/>
        <v>12</v>
      </c>
      <c r="M4856" s="5">
        <f t="shared" si="584"/>
        <v>2012</v>
      </c>
    </row>
    <row r="4857" spans="1:13" ht="15" x14ac:dyDescent="0.25">
      <c r="A4857" s="1">
        <f>DATE(2012,12,16)</f>
        <v>41259</v>
      </c>
      <c r="B4857" t="s">
        <v>11</v>
      </c>
      <c r="C4857" t="s">
        <v>6</v>
      </c>
      <c r="D4857" s="3">
        <v>3892.6811999999995</v>
      </c>
      <c r="E4857" s="3">
        <v>0</v>
      </c>
      <c r="F4857" t="s">
        <v>45</v>
      </c>
      <c r="G4857" s="3">
        <f t="shared" si="578"/>
        <v>-3892.6811999999995</v>
      </c>
      <c r="H4857" s="3">
        <f t="shared" si="579"/>
        <v>3892.6811999999995</v>
      </c>
      <c r="I4857" s="5" t="str">
        <f t="shared" si="580"/>
        <v>016</v>
      </c>
      <c r="J4857" s="5" t="str">
        <f t="shared" si="581"/>
        <v>2100</v>
      </c>
      <c r="K4857" s="5" t="str">
        <f t="shared" si="582"/>
        <v>000</v>
      </c>
      <c r="L4857" s="5">
        <f t="shared" si="583"/>
        <v>12</v>
      </c>
      <c r="M4857" s="5">
        <f t="shared" si="584"/>
        <v>2012</v>
      </c>
    </row>
    <row r="4858" spans="1:13" ht="15" x14ac:dyDescent="0.25">
      <c r="A4858" s="1">
        <f>DATE(2012,12,16)</f>
        <v>41259</v>
      </c>
      <c r="B4858" t="s">
        <v>12</v>
      </c>
      <c r="C4858" t="s">
        <v>8</v>
      </c>
      <c r="D4858" s="3">
        <v>1061.5696</v>
      </c>
      <c r="E4858" s="3">
        <v>0</v>
      </c>
      <c r="F4858" t="s">
        <v>45</v>
      </c>
      <c r="G4858" s="3">
        <f t="shared" si="578"/>
        <v>-1061.5696</v>
      </c>
      <c r="H4858" s="3">
        <f t="shared" si="579"/>
        <v>1061.5696</v>
      </c>
      <c r="I4858" s="5" t="str">
        <f t="shared" si="580"/>
        <v>016</v>
      </c>
      <c r="J4858" s="5" t="str">
        <f t="shared" si="581"/>
        <v>2210</v>
      </c>
      <c r="K4858" s="5" t="str">
        <f t="shared" si="582"/>
        <v>000</v>
      </c>
      <c r="L4858" s="5">
        <f t="shared" si="583"/>
        <v>12</v>
      </c>
      <c r="M4858" s="5">
        <f t="shared" si="584"/>
        <v>2012</v>
      </c>
    </row>
    <row r="4859" spans="1:13" ht="15" x14ac:dyDescent="0.25">
      <c r="A4859" s="1">
        <f>DATE(2012,12,16)</f>
        <v>41259</v>
      </c>
      <c r="B4859" t="s">
        <v>13</v>
      </c>
      <c r="C4859" t="s">
        <v>9</v>
      </c>
      <c r="D4859" s="3">
        <v>155.393</v>
      </c>
      <c r="E4859" s="3">
        <v>0</v>
      </c>
      <c r="F4859" t="s">
        <v>45</v>
      </c>
      <c r="G4859" s="3">
        <f t="shared" si="578"/>
        <v>-155.393</v>
      </c>
      <c r="H4859" s="3">
        <f t="shared" si="579"/>
        <v>155.393</v>
      </c>
      <c r="I4859" s="5" t="str">
        <f t="shared" si="580"/>
        <v>016</v>
      </c>
      <c r="J4859" s="5" t="str">
        <f t="shared" si="581"/>
        <v>2220</v>
      </c>
      <c r="K4859" s="5" t="str">
        <f t="shared" si="582"/>
        <v>000</v>
      </c>
      <c r="L4859" s="5">
        <f t="shared" si="583"/>
        <v>12</v>
      </c>
      <c r="M4859" s="5">
        <f t="shared" si="584"/>
        <v>2012</v>
      </c>
    </row>
    <row r="4860" spans="1:13" ht="15" x14ac:dyDescent="0.25">
      <c r="A4860" s="1">
        <f>DATE(2012,12,16)</f>
        <v>41259</v>
      </c>
      <c r="B4860" t="s">
        <v>14</v>
      </c>
      <c r="C4860" t="s">
        <v>10</v>
      </c>
      <c r="D4860" s="3">
        <v>45.533600000000007</v>
      </c>
      <c r="E4860" s="3">
        <v>0</v>
      </c>
      <c r="F4860" t="s">
        <v>45</v>
      </c>
      <c r="G4860" s="3">
        <f t="shared" si="578"/>
        <v>-45.533600000000007</v>
      </c>
      <c r="H4860" s="3">
        <f t="shared" si="579"/>
        <v>45.533600000000007</v>
      </c>
      <c r="I4860" s="5" t="str">
        <f t="shared" si="580"/>
        <v>016</v>
      </c>
      <c r="J4860" s="5" t="str">
        <f t="shared" si="581"/>
        <v>2230</v>
      </c>
      <c r="K4860" s="5" t="str">
        <f t="shared" si="582"/>
        <v>000</v>
      </c>
      <c r="L4860" s="5">
        <f t="shared" si="583"/>
        <v>12</v>
      </c>
      <c r="M4860" s="5">
        <f t="shared" si="584"/>
        <v>2012</v>
      </c>
    </row>
    <row r="4861" spans="1:13" ht="15" x14ac:dyDescent="0.25">
      <c r="A4861" s="1">
        <f>DATE(2012,12,10)</f>
        <v>41253</v>
      </c>
      <c r="B4861" t="s">
        <v>15</v>
      </c>
      <c r="C4861" t="s">
        <v>6</v>
      </c>
      <c r="D4861" s="3">
        <v>5955.2736000000004</v>
      </c>
      <c r="E4861" s="3">
        <v>0</v>
      </c>
      <c r="F4861" t="s">
        <v>45</v>
      </c>
      <c r="G4861" s="3">
        <f t="shared" si="578"/>
        <v>-5955.2736000000004</v>
      </c>
      <c r="H4861" s="3">
        <f t="shared" si="579"/>
        <v>5955.2736000000004</v>
      </c>
      <c r="I4861" s="5" t="str">
        <f t="shared" si="580"/>
        <v>017</v>
      </c>
      <c r="J4861" s="5" t="str">
        <f t="shared" si="581"/>
        <v>2100</v>
      </c>
      <c r="K4861" s="5" t="str">
        <f t="shared" si="582"/>
        <v>000</v>
      </c>
      <c r="L4861" s="5">
        <f t="shared" si="583"/>
        <v>12</v>
      </c>
      <c r="M4861" s="5">
        <f t="shared" si="584"/>
        <v>2012</v>
      </c>
    </row>
    <row r="4862" spans="1:13" ht="15" x14ac:dyDescent="0.25">
      <c r="A4862" s="1">
        <f>DATE(2012,12,10)</f>
        <v>41253</v>
      </c>
      <c r="B4862" t="s">
        <v>16</v>
      </c>
      <c r="C4862" t="s">
        <v>8</v>
      </c>
      <c r="D4862" s="3">
        <v>1168.9369999999999</v>
      </c>
      <c r="E4862" s="3">
        <v>0</v>
      </c>
      <c r="F4862" t="s">
        <v>45</v>
      </c>
      <c r="G4862" s="3">
        <f t="shared" si="578"/>
        <v>-1168.9369999999999</v>
      </c>
      <c r="H4862" s="3">
        <f t="shared" si="579"/>
        <v>1168.9369999999999</v>
      </c>
      <c r="I4862" s="5" t="str">
        <f t="shared" si="580"/>
        <v>017</v>
      </c>
      <c r="J4862" s="5" t="str">
        <f t="shared" si="581"/>
        <v>2210</v>
      </c>
      <c r="K4862" s="5" t="str">
        <f t="shared" si="582"/>
        <v>000</v>
      </c>
      <c r="L4862" s="5">
        <f t="shared" si="583"/>
        <v>12</v>
      </c>
      <c r="M4862" s="5">
        <f t="shared" si="584"/>
        <v>2012</v>
      </c>
    </row>
    <row r="4863" spans="1:13" ht="15" x14ac:dyDescent="0.25">
      <c r="A4863" s="1">
        <f>DATE(2012,12,10)</f>
        <v>41253</v>
      </c>
      <c r="B4863" t="s">
        <v>17</v>
      </c>
      <c r="C4863" t="s">
        <v>9</v>
      </c>
      <c r="D4863" s="3">
        <v>360.91379999999998</v>
      </c>
      <c r="E4863" s="3">
        <v>0</v>
      </c>
      <c r="F4863" t="s">
        <v>45</v>
      </c>
      <c r="G4863" s="3">
        <f t="shared" si="578"/>
        <v>-360.91379999999998</v>
      </c>
      <c r="H4863" s="3">
        <f t="shared" si="579"/>
        <v>360.91379999999998</v>
      </c>
      <c r="I4863" s="5" t="str">
        <f t="shared" si="580"/>
        <v>017</v>
      </c>
      <c r="J4863" s="5" t="str">
        <f t="shared" si="581"/>
        <v>2220</v>
      </c>
      <c r="K4863" s="5" t="str">
        <f t="shared" si="582"/>
        <v>000</v>
      </c>
      <c r="L4863" s="5">
        <f t="shared" si="583"/>
        <v>12</v>
      </c>
      <c r="M4863" s="5">
        <f t="shared" si="584"/>
        <v>2012</v>
      </c>
    </row>
    <row r="4864" spans="1:13" ht="15" x14ac:dyDescent="0.25">
      <c r="A4864" s="1">
        <f>DATE(2012,12,10)</f>
        <v>41253</v>
      </c>
      <c r="B4864" t="s">
        <v>18</v>
      </c>
      <c r="C4864" t="s">
        <v>10</v>
      </c>
      <c r="D4864" s="3">
        <v>141.20699999999999</v>
      </c>
      <c r="E4864" s="3">
        <v>0</v>
      </c>
      <c r="F4864" t="s">
        <v>45</v>
      </c>
      <c r="G4864" s="3">
        <f t="shared" si="578"/>
        <v>-141.20699999999999</v>
      </c>
      <c r="H4864" s="3">
        <f t="shared" si="579"/>
        <v>141.20699999999999</v>
      </c>
      <c r="I4864" s="5" t="str">
        <f t="shared" si="580"/>
        <v>017</v>
      </c>
      <c r="J4864" s="5" t="str">
        <f t="shared" si="581"/>
        <v>2230</v>
      </c>
      <c r="K4864" s="5" t="str">
        <f t="shared" si="582"/>
        <v>000</v>
      </c>
      <c r="L4864" s="5">
        <f t="shared" si="583"/>
        <v>12</v>
      </c>
      <c r="M4864" s="5">
        <f t="shared" si="584"/>
        <v>2012</v>
      </c>
    </row>
    <row r="4865" spans="1:13" ht="15" x14ac:dyDescent="0.25">
      <c r="A4865" s="1">
        <f>DATE(2012,12,11)</f>
        <v>41254</v>
      </c>
      <c r="B4865" t="s">
        <v>15</v>
      </c>
      <c r="C4865" t="s">
        <v>6</v>
      </c>
      <c r="D4865" s="3">
        <v>6265.8059999999996</v>
      </c>
      <c r="E4865" s="3">
        <v>0</v>
      </c>
      <c r="F4865" t="s">
        <v>45</v>
      </c>
      <c r="G4865" s="3">
        <f t="shared" si="578"/>
        <v>-6265.8059999999996</v>
      </c>
      <c r="H4865" s="3">
        <f t="shared" si="579"/>
        <v>6265.8059999999996</v>
      </c>
      <c r="I4865" s="5" t="str">
        <f t="shared" si="580"/>
        <v>017</v>
      </c>
      <c r="J4865" s="5" t="str">
        <f t="shared" si="581"/>
        <v>2100</v>
      </c>
      <c r="K4865" s="5" t="str">
        <f t="shared" si="582"/>
        <v>000</v>
      </c>
      <c r="L4865" s="5">
        <f t="shared" si="583"/>
        <v>12</v>
      </c>
      <c r="M4865" s="5">
        <f t="shared" si="584"/>
        <v>2012</v>
      </c>
    </row>
    <row r="4866" spans="1:13" ht="15" x14ac:dyDescent="0.25">
      <c r="A4866" s="1">
        <f>DATE(2012,12,11)</f>
        <v>41254</v>
      </c>
      <c r="B4866" t="s">
        <v>16</v>
      </c>
      <c r="C4866" t="s">
        <v>8</v>
      </c>
      <c r="D4866" s="3">
        <v>977.23450000000003</v>
      </c>
      <c r="E4866" s="3">
        <v>0</v>
      </c>
      <c r="F4866" t="s">
        <v>45</v>
      </c>
      <c r="G4866" s="3">
        <f t="shared" ref="G4866:G4929" si="586">E4866-D4866</f>
        <v>-977.23450000000003</v>
      </c>
      <c r="H4866" s="3">
        <f t="shared" ref="H4866:H4929" si="587">ABS(G4866)</f>
        <v>977.23450000000003</v>
      </c>
      <c r="I4866" s="5" t="str">
        <f t="shared" ref="I4866:I4929" si="588">MID(B4866,1,3)</f>
        <v>017</v>
      </c>
      <c r="J4866" s="5" t="str">
        <f t="shared" ref="J4866:J4929" si="589">MID(B4866,5,4)</f>
        <v>2210</v>
      </c>
      <c r="K4866" s="5" t="str">
        <f t="shared" ref="K4866:K4929" si="590">MID(B4866,10,3)</f>
        <v>000</v>
      </c>
      <c r="L4866" s="5">
        <f t="shared" ref="L4866:L4929" si="591">MONTH(A4866)</f>
        <v>12</v>
      </c>
      <c r="M4866" s="5">
        <f t="shared" ref="M4866:M4929" si="592">YEAR(A4866)</f>
        <v>2012</v>
      </c>
    </row>
    <row r="4867" spans="1:13" ht="15" x14ac:dyDescent="0.25">
      <c r="A4867" s="1">
        <f>DATE(2012,12,11)</f>
        <v>41254</v>
      </c>
      <c r="B4867" t="s">
        <v>17</v>
      </c>
      <c r="C4867" t="s">
        <v>9</v>
      </c>
      <c r="D4867" s="3">
        <v>428.00160000000005</v>
      </c>
      <c r="E4867" s="3">
        <v>0</v>
      </c>
      <c r="F4867" t="s">
        <v>45</v>
      </c>
      <c r="G4867" s="3">
        <f t="shared" si="586"/>
        <v>-428.00160000000005</v>
      </c>
      <c r="H4867" s="3">
        <f t="shared" si="587"/>
        <v>428.00160000000005</v>
      </c>
      <c r="I4867" s="5" t="str">
        <f t="shared" si="588"/>
        <v>017</v>
      </c>
      <c r="J4867" s="5" t="str">
        <f t="shared" si="589"/>
        <v>2220</v>
      </c>
      <c r="K4867" s="5" t="str">
        <f t="shared" si="590"/>
        <v>000</v>
      </c>
      <c r="L4867" s="5">
        <f t="shared" si="591"/>
        <v>12</v>
      </c>
      <c r="M4867" s="5">
        <f t="shared" si="592"/>
        <v>2012</v>
      </c>
    </row>
    <row r="4868" spans="1:13" ht="15" x14ac:dyDescent="0.25">
      <c r="A4868" s="1">
        <f>DATE(2012,12,11)</f>
        <v>41254</v>
      </c>
      <c r="B4868" t="s">
        <v>18</v>
      </c>
      <c r="C4868" t="s">
        <v>10</v>
      </c>
      <c r="D4868" s="3">
        <v>127.8192</v>
      </c>
      <c r="E4868" s="3">
        <v>0</v>
      </c>
      <c r="F4868" t="s">
        <v>45</v>
      </c>
      <c r="G4868" s="3">
        <f t="shared" si="586"/>
        <v>-127.8192</v>
      </c>
      <c r="H4868" s="3">
        <f t="shared" si="587"/>
        <v>127.8192</v>
      </c>
      <c r="I4868" s="5" t="str">
        <f t="shared" si="588"/>
        <v>017</v>
      </c>
      <c r="J4868" s="5" t="str">
        <f t="shared" si="589"/>
        <v>2230</v>
      </c>
      <c r="K4868" s="5" t="str">
        <f t="shared" si="590"/>
        <v>000</v>
      </c>
      <c r="L4868" s="5">
        <f t="shared" si="591"/>
        <v>12</v>
      </c>
      <c r="M4868" s="5">
        <f t="shared" si="592"/>
        <v>2012</v>
      </c>
    </row>
    <row r="4869" spans="1:13" ht="15" x14ac:dyDescent="0.25">
      <c r="A4869" s="1">
        <f>DATE(2012,12,12)</f>
        <v>41255</v>
      </c>
      <c r="B4869" t="s">
        <v>15</v>
      </c>
      <c r="C4869" t="s">
        <v>6</v>
      </c>
      <c r="D4869" s="3">
        <v>6751.7372999999998</v>
      </c>
      <c r="E4869" s="3">
        <v>0</v>
      </c>
      <c r="F4869" t="s">
        <v>45</v>
      </c>
      <c r="G4869" s="3">
        <f t="shared" si="586"/>
        <v>-6751.7372999999998</v>
      </c>
      <c r="H4869" s="3">
        <f t="shared" si="587"/>
        <v>6751.7372999999998</v>
      </c>
      <c r="I4869" s="5" t="str">
        <f t="shared" si="588"/>
        <v>017</v>
      </c>
      <c r="J4869" s="5" t="str">
        <f t="shared" si="589"/>
        <v>2100</v>
      </c>
      <c r="K4869" s="5" t="str">
        <f t="shared" si="590"/>
        <v>000</v>
      </c>
      <c r="L4869" s="5">
        <f t="shared" si="591"/>
        <v>12</v>
      </c>
      <c r="M4869" s="5">
        <f t="shared" si="592"/>
        <v>2012</v>
      </c>
    </row>
    <row r="4870" spans="1:13" ht="15" x14ac:dyDescent="0.25">
      <c r="A4870" s="1">
        <f>DATE(2012,12,12)</f>
        <v>41255</v>
      </c>
      <c r="B4870" t="s">
        <v>16</v>
      </c>
      <c r="C4870" t="s">
        <v>8</v>
      </c>
      <c r="D4870" s="3">
        <v>3223.5970000000002</v>
      </c>
      <c r="E4870" s="3">
        <v>0</v>
      </c>
      <c r="F4870" t="s">
        <v>45</v>
      </c>
      <c r="G4870" s="3">
        <f t="shared" si="586"/>
        <v>-3223.5970000000002</v>
      </c>
      <c r="H4870" s="3">
        <f t="shared" si="587"/>
        <v>3223.5970000000002</v>
      </c>
      <c r="I4870" s="5" t="str">
        <f t="shared" si="588"/>
        <v>017</v>
      </c>
      <c r="J4870" s="5" t="str">
        <f t="shared" si="589"/>
        <v>2210</v>
      </c>
      <c r="K4870" s="5" t="str">
        <f t="shared" si="590"/>
        <v>000</v>
      </c>
      <c r="L4870" s="5">
        <f t="shared" si="591"/>
        <v>12</v>
      </c>
      <c r="M4870" s="5">
        <f t="shared" si="592"/>
        <v>2012</v>
      </c>
    </row>
    <row r="4871" spans="1:13" ht="15" x14ac:dyDescent="0.25">
      <c r="A4871" s="1">
        <f>DATE(2012,12,12)</f>
        <v>41255</v>
      </c>
      <c r="B4871" t="s">
        <v>17</v>
      </c>
      <c r="C4871" t="s">
        <v>9</v>
      </c>
      <c r="D4871" s="3">
        <v>769.94080000000008</v>
      </c>
      <c r="E4871" s="3">
        <v>0</v>
      </c>
      <c r="F4871" t="s">
        <v>45</v>
      </c>
      <c r="G4871" s="3">
        <f t="shared" si="586"/>
        <v>-769.94080000000008</v>
      </c>
      <c r="H4871" s="3">
        <f t="shared" si="587"/>
        <v>769.94080000000008</v>
      </c>
      <c r="I4871" s="5" t="str">
        <f t="shared" si="588"/>
        <v>017</v>
      </c>
      <c r="J4871" s="5" t="str">
        <f t="shared" si="589"/>
        <v>2220</v>
      </c>
      <c r="K4871" s="5" t="str">
        <f t="shared" si="590"/>
        <v>000</v>
      </c>
      <c r="L4871" s="5">
        <f t="shared" si="591"/>
        <v>12</v>
      </c>
      <c r="M4871" s="5">
        <f t="shared" si="592"/>
        <v>2012</v>
      </c>
    </row>
    <row r="4872" spans="1:13" ht="15" x14ac:dyDescent="0.25">
      <c r="A4872" s="1">
        <f>DATE(2012,12,12)</f>
        <v>41255</v>
      </c>
      <c r="B4872" t="s">
        <v>18</v>
      </c>
      <c r="C4872" t="s">
        <v>10</v>
      </c>
      <c r="D4872" s="3">
        <v>102.5706</v>
      </c>
      <c r="E4872" s="3">
        <v>0</v>
      </c>
      <c r="F4872" t="s">
        <v>45</v>
      </c>
      <c r="G4872" s="3">
        <f t="shared" si="586"/>
        <v>-102.5706</v>
      </c>
      <c r="H4872" s="3">
        <f t="shared" si="587"/>
        <v>102.5706</v>
      </c>
      <c r="I4872" s="5" t="str">
        <f t="shared" si="588"/>
        <v>017</v>
      </c>
      <c r="J4872" s="5" t="str">
        <f t="shared" si="589"/>
        <v>2230</v>
      </c>
      <c r="K4872" s="5" t="str">
        <f t="shared" si="590"/>
        <v>000</v>
      </c>
      <c r="L4872" s="5">
        <f t="shared" si="591"/>
        <v>12</v>
      </c>
      <c r="M4872" s="5">
        <f t="shared" si="592"/>
        <v>2012</v>
      </c>
    </row>
    <row r="4873" spans="1:13" ht="15" x14ac:dyDescent="0.25">
      <c r="A4873" s="1">
        <f>DATE(2012,12,13)</f>
        <v>41256</v>
      </c>
      <c r="B4873" t="s">
        <v>15</v>
      </c>
      <c r="C4873" t="s">
        <v>6</v>
      </c>
      <c r="D4873" s="3">
        <v>6001.3751999999995</v>
      </c>
      <c r="E4873" s="3">
        <v>0</v>
      </c>
      <c r="F4873" t="s">
        <v>45</v>
      </c>
      <c r="G4873" s="3">
        <f t="shared" si="586"/>
        <v>-6001.3751999999995</v>
      </c>
      <c r="H4873" s="3">
        <f t="shared" si="587"/>
        <v>6001.3751999999995</v>
      </c>
      <c r="I4873" s="5" t="str">
        <f t="shared" si="588"/>
        <v>017</v>
      </c>
      <c r="J4873" s="5" t="str">
        <f t="shared" si="589"/>
        <v>2100</v>
      </c>
      <c r="K4873" s="5" t="str">
        <f t="shared" si="590"/>
        <v>000</v>
      </c>
      <c r="L4873" s="5">
        <f t="shared" si="591"/>
        <v>12</v>
      </c>
      <c r="M4873" s="5">
        <f t="shared" si="592"/>
        <v>2012</v>
      </c>
    </row>
    <row r="4874" spans="1:13" ht="15" x14ac:dyDescent="0.25">
      <c r="A4874" s="1">
        <f>DATE(2012,12,13)</f>
        <v>41256</v>
      </c>
      <c r="B4874" t="s">
        <v>16</v>
      </c>
      <c r="C4874" t="s">
        <v>8</v>
      </c>
      <c r="D4874" s="3">
        <v>1568.106</v>
      </c>
      <c r="E4874" s="3">
        <v>0</v>
      </c>
      <c r="F4874" t="s">
        <v>45</v>
      </c>
      <c r="G4874" s="3">
        <f t="shared" si="586"/>
        <v>-1568.106</v>
      </c>
      <c r="H4874" s="3">
        <f t="shared" si="587"/>
        <v>1568.106</v>
      </c>
      <c r="I4874" s="5" t="str">
        <f t="shared" si="588"/>
        <v>017</v>
      </c>
      <c r="J4874" s="5" t="str">
        <f t="shared" si="589"/>
        <v>2210</v>
      </c>
      <c r="K4874" s="5" t="str">
        <f t="shared" si="590"/>
        <v>000</v>
      </c>
      <c r="L4874" s="5">
        <f t="shared" si="591"/>
        <v>12</v>
      </c>
      <c r="M4874" s="5">
        <f t="shared" si="592"/>
        <v>2012</v>
      </c>
    </row>
    <row r="4875" spans="1:13" ht="15" x14ac:dyDescent="0.25">
      <c r="A4875" s="1">
        <f>DATE(2012,12,13)</f>
        <v>41256</v>
      </c>
      <c r="B4875" t="s">
        <v>17</v>
      </c>
      <c r="C4875" t="s">
        <v>9</v>
      </c>
      <c r="D4875" s="3">
        <v>611.70939999999996</v>
      </c>
      <c r="E4875" s="3">
        <v>0</v>
      </c>
      <c r="F4875" t="s">
        <v>45</v>
      </c>
      <c r="G4875" s="3">
        <f t="shared" si="586"/>
        <v>-611.70939999999996</v>
      </c>
      <c r="H4875" s="3">
        <f t="shared" si="587"/>
        <v>611.70939999999996</v>
      </c>
      <c r="I4875" s="5" t="str">
        <f t="shared" si="588"/>
        <v>017</v>
      </c>
      <c r="J4875" s="5" t="str">
        <f t="shared" si="589"/>
        <v>2220</v>
      </c>
      <c r="K4875" s="5" t="str">
        <f t="shared" si="590"/>
        <v>000</v>
      </c>
      <c r="L4875" s="5">
        <f t="shared" si="591"/>
        <v>12</v>
      </c>
      <c r="M4875" s="5">
        <f t="shared" si="592"/>
        <v>2012</v>
      </c>
    </row>
    <row r="4876" spans="1:13" ht="15" x14ac:dyDescent="0.25">
      <c r="A4876" s="1">
        <f>DATE(2012,12,13)</f>
        <v>41256</v>
      </c>
      <c r="B4876" t="s">
        <v>18</v>
      </c>
      <c r="C4876" t="s">
        <v>10</v>
      </c>
      <c r="D4876" s="3">
        <v>63.537899999999993</v>
      </c>
      <c r="E4876" s="3">
        <v>0</v>
      </c>
      <c r="F4876" t="s">
        <v>45</v>
      </c>
      <c r="G4876" s="3">
        <f t="shared" si="586"/>
        <v>-63.537899999999993</v>
      </c>
      <c r="H4876" s="3">
        <f t="shared" si="587"/>
        <v>63.537899999999993</v>
      </c>
      <c r="I4876" s="5" t="str">
        <f t="shared" si="588"/>
        <v>017</v>
      </c>
      <c r="J4876" s="5" t="str">
        <f t="shared" si="589"/>
        <v>2230</v>
      </c>
      <c r="K4876" s="5" t="str">
        <f t="shared" si="590"/>
        <v>000</v>
      </c>
      <c r="L4876" s="5">
        <f t="shared" si="591"/>
        <v>12</v>
      </c>
      <c r="M4876" s="5">
        <f t="shared" si="592"/>
        <v>2012</v>
      </c>
    </row>
    <row r="4877" spans="1:13" ht="15" x14ac:dyDescent="0.25">
      <c r="A4877" s="1">
        <f>DATE(2012,12,14)</f>
        <v>41257</v>
      </c>
      <c r="B4877" t="s">
        <v>15</v>
      </c>
      <c r="C4877" t="s">
        <v>6</v>
      </c>
      <c r="D4877" s="3">
        <v>7584.6456000000007</v>
      </c>
      <c r="E4877" s="3">
        <v>0</v>
      </c>
      <c r="F4877" t="s">
        <v>45</v>
      </c>
      <c r="G4877" s="3">
        <f t="shared" si="586"/>
        <v>-7584.6456000000007</v>
      </c>
      <c r="H4877" s="3">
        <f t="shared" si="587"/>
        <v>7584.6456000000007</v>
      </c>
      <c r="I4877" s="5" t="str">
        <f t="shared" si="588"/>
        <v>017</v>
      </c>
      <c r="J4877" s="5" t="str">
        <f t="shared" si="589"/>
        <v>2100</v>
      </c>
      <c r="K4877" s="5" t="str">
        <f t="shared" si="590"/>
        <v>000</v>
      </c>
      <c r="L4877" s="5">
        <f t="shared" si="591"/>
        <v>12</v>
      </c>
      <c r="M4877" s="5">
        <f t="shared" si="592"/>
        <v>2012</v>
      </c>
    </row>
    <row r="4878" spans="1:13" ht="15" x14ac:dyDescent="0.25">
      <c r="A4878" s="1">
        <f>DATE(2012,12,14)</f>
        <v>41257</v>
      </c>
      <c r="B4878" t="s">
        <v>16</v>
      </c>
      <c r="C4878" t="s">
        <v>8</v>
      </c>
      <c r="D4878" s="3">
        <v>3774.1120000000005</v>
      </c>
      <c r="E4878" s="3">
        <v>0</v>
      </c>
      <c r="F4878" t="s">
        <v>45</v>
      </c>
      <c r="G4878" s="3">
        <f t="shared" si="586"/>
        <v>-3774.1120000000005</v>
      </c>
      <c r="H4878" s="3">
        <f t="shared" si="587"/>
        <v>3774.1120000000005</v>
      </c>
      <c r="I4878" s="5" t="str">
        <f t="shared" si="588"/>
        <v>017</v>
      </c>
      <c r="J4878" s="5" t="str">
        <f t="shared" si="589"/>
        <v>2210</v>
      </c>
      <c r="K4878" s="5" t="str">
        <f t="shared" si="590"/>
        <v>000</v>
      </c>
      <c r="L4878" s="5">
        <f t="shared" si="591"/>
        <v>12</v>
      </c>
      <c r="M4878" s="5">
        <f t="shared" si="592"/>
        <v>2012</v>
      </c>
    </row>
    <row r="4879" spans="1:13" ht="15" x14ac:dyDescent="0.25">
      <c r="A4879" s="1">
        <f>DATE(2012,12,14)</f>
        <v>41257</v>
      </c>
      <c r="B4879" t="s">
        <v>17</v>
      </c>
      <c r="C4879" t="s">
        <v>9</v>
      </c>
      <c r="D4879" s="3">
        <v>641.17199999999991</v>
      </c>
      <c r="E4879" s="3">
        <v>0</v>
      </c>
      <c r="F4879" t="s">
        <v>45</v>
      </c>
      <c r="G4879" s="3">
        <f t="shared" si="586"/>
        <v>-641.17199999999991</v>
      </c>
      <c r="H4879" s="3">
        <f t="shared" si="587"/>
        <v>641.17199999999991</v>
      </c>
      <c r="I4879" s="5" t="str">
        <f t="shared" si="588"/>
        <v>017</v>
      </c>
      <c r="J4879" s="5" t="str">
        <f t="shared" si="589"/>
        <v>2220</v>
      </c>
      <c r="K4879" s="5" t="str">
        <f t="shared" si="590"/>
        <v>000</v>
      </c>
      <c r="L4879" s="5">
        <f t="shared" si="591"/>
        <v>12</v>
      </c>
      <c r="M4879" s="5">
        <f t="shared" si="592"/>
        <v>2012</v>
      </c>
    </row>
    <row r="4880" spans="1:13" ht="15" x14ac:dyDescent="0.25">
      <c r="A4880" s="1">
        <f>DATE(2012,12,14)</f>
        <v>41257</v>
      </c>
      <c r="B4880" t="s">
        <v>18</v>
      </c>
      <c r="C4880" t="s">
        <v>10</v>
      </c>
      <c r="D4880" s="3">
        <v>369.24600000000004</v>
      </c>
      <c r="E4880" s="3">
        <v>0</v>
      </c>
      <c r="F4880" t="s">
        <v>45</v>
      </c>
      <c r="G4880" s="3">
        <f t="shared" si="586"/>
        <v>-369.24600000000004</v>
      </c>
      <c r="H4880" s="3">
        <f t="shared" si="587"/>
        <v>369.24600000000004</v>
      </c>
      <c r="I4880" s="5" t="str">
        <f t="shared" si="588"/>
        <v>017</v>
      </c>
      <c r="J4880" s="5" t="str">
        <f t="shared" si="589"/>
        <v>2230</v>
      </c>
      <c r="K4880" s="5" t="str">
        <f t="shared" si="590"/>
        <v>000</v>
      </c>
      <c r="L4880" s="5">
        <f t="shared" si="591"/>
        <v>12</v>
      </c>
      <c r="M4880" s="5">
        <f t="shared" si="592"/>
        <v>2012</v>
      </c>
    </row>
    <row r="4881" spans="1:13" ht="15" x14ac:dyDescent="0.25">
      <c r="A4881" s="1">
        <f>DATE(2012,12,15)</f>
        <v>41258</v>
      </c>
      <c r="B4881" t="s">
        <v>15</v>
      </c>
      <c r="C4881" t="s">
        <v>6</v>
      </c>
      <c r="D4881" s="3">
        <v>7140.9600000000009</v>
      </c>
      <c r="E4881" s="3">
        <v>0</v>
      </c>
      <c r="F4881" t="s">
        <v>45</v>
      </c>
      <c r="G4881" s="3">
        <f t="shared" si="586"/>
        <v>-7140.9600000000009</v>
      </c>
      <c r="H4881" s="3">
        <f t="shared" si="587"/>
        <v>7140.9600000000009</v>
      </c>
      <c r="I4881" s="5" t="str">
        <f t="shared" si="588"/>
        <v>017</v>
      </c>
      <c r="J4881" s="5" t="str">
        <f t="shared" si="589"/>
        <v>2100</v>
      </c>
      <c r="K4881" s="5" t="str">
        <f t="shared" si="590"/>
        <v>000</v>
      </c>
      <c r="L4881" s="5">
        <f t="shared" si="591"/>
        <v>12</v>
      </c>
      <c r="M4881" s="5">
        <f t="shared" si="592"/>
        <v>2012</v>
      </c>
    </row>
    <row r="4882" spans="1:13" ht="15" x14ac:dyDescent="0.25">
      <c r="A4882" s="1">
        <f>DATE(2012,12,15)</f>
        <v>41258</v>
      </c>
      <c r="B4882" t="s">
        <v>16</v>
      </c>
      <c r="C4882" t="s">
        <v>8</v>
      </c>
      <c r="D4882" s="3">
        <v>1089.066</v>
      </c>
      <c r="E4882" s="3">
        <v>0</v>
      </c>
      <c r="F4882" t="s">
        <v>45</v>
      </c>
      <c r="G4882" s="3">
        <f t="shared" si="586"/>
        <v>-1089.066</v>
      </c>
      <c r="H4882" s="3">
        <f t="shared" si="587"/>
        <v>1089.066</v>
      </c>
      <c r="I4882" s="5" t="str">
        <f t="shared" si="588"/>
        <v>017</v>
      </c>
      <c r="J4882" s="5" t="str">
        <f t="shared" si="589"/>
        <v>2210</v>
      </c>
      <c r="K4882" s="5" t="str">
        <f t="shared" si="590"/>
        <v>000</v>
      </c>
      <c r="L4882" s="5">
        <f t="shared" si="591"/>
        <v>12</v>
      </c>
      <c r="M4882" s="5">
        <f t="shared" si="592"/>
        <v>2012</v>
      </c>
    </row>
    <row r="4883" spans="1:13" ht="15" x14ac:dyDescent="0.25">
      <c r="A4883" s="1">
        <f>DATE(2012,12,15)</f>
        <v>41258</v>
      </c>
      <c r="B4883" t="s">
        <v>17</v>
      </c>
      <c r="C4883" t="s">
        <v>9</v>
      </c>
      <c r="D4883" s="3">
        <v>332.95449999999994</v>
      </c>
      <c r="E4883" s="3">
        <v>0</v>
      </c>
      <c r="F4883" t="s">
        <v>45</v>
      </c>
      <c r="G4883" s="3">
        <f t="shared" si="586"/>
        <v>-332.95449999999994</v>
      </c>
      <c r="H4883" s="3">
        <f t="shared" si="587"/>
        <v>332.95449999999994</v>
      </c>
      <c r="I4883" s="5" t="str">
        <f t="shared" si="588"/>
        <v>017</v>
      </c>
      <c r="J4883" s="5" t="str">
        <f t="shared" si="589"/>
        <v>2220</v>
      </c>
      <c r="K4883" s="5" t="str">
        <f t="shared" si="590"/>
        <v>000</v>
      </c>
      <c r="L4883" s="5">
        <f t="shared" si="591"/>
        <v>12</v>
      </c>
      <c r="M4883" s="5">
        <f t="shared" si="592"/>
        <v>2012</v>
      </c>
    </row>
    <row r="4884" spans="1:13" ht="15" x14ac:dyDescent="0.25">
      <c r="A4884" s="1">
        <f>DATE(2012,12,15)</f>
        <v>41258</v>
      </c>
      <c r="B4884" t="s">
        <v>18</v>
      </c>
      <c r="C4884" t="s">
        <v>10</v>
      </c>
      <c r="D4884" s="3">
        <v>48.579300000000003</v>
      </c>
      <c r="E4884" s="3">
        <v>0</v>
      </c>
      <c r="F4884" t="s">
        <v>45</v>
      </c>
      <c r="G4884" s="3">
        <f t="shared" si="586"/>
        <v>-48.579300000000003</v>
      </c>
      <c r="H4884" s="3">
        <f t="shared" si="587"/>
        <v>48.579300000000003</v>
      </c>
      <c r="I4884" s="5" t="str">
        <f t="shared" si="588"/>
        <v>017</v>
      </c>
      <c r="J4884" s="5" t="str">
        <f t="shared" si="589"/>
        <v>2230</v>
      </c>
      <c r="K4884" s="5" t="str">
        <f t="shared" si="590"/>
        <v>000</v>
      </c>
      <c r="L4884" s="5">
        <f t="shared" si="591"/>
        <v>12</v>
      </c>
      <c r="M4884" s="5">
        <f t="shared" si="592"/>
        <v>2012</v>
      </c>
    </row>
    <row r="4885" spans="1:13" ht="15" x14ac:dyDescent="0.25">
      <c r="A4885" s="1">
        <f>DATE(2012,12,16)</f>
        <v>41259</v>
      </c>
      <c r="B4885" t="s">
        <v>15</v>
      </c>
      <c r="C4885" t="s">
        <v>6</v>
      </c>
      <c r="D4885" s="3">
        <v>3309.6030000000001</v>
      </c>
      <c r="E4885" s="3">
        <v>0</v>
      </c>
      <c r="F4885" t="s">
        <v>45</v>
      </c>
      <c r="G4885" s="3">
        <f t="shared" si="586"/>
        <v>-3309.6030000000001</v>
      </c>
      <c r="H4885" s="3">
        <f t="shared" si="587"/>
        <v>3309.6030000000001</v>
      </c>
      <c r="I4885" s="5" t="str">
        <f t="shared" si="588"/>
        <v>017</v>
      </c>
      <c r="J4885" s="5" t="str">
        <f t="shared" si="589"/>
        <v>2100</v>
      </c>
      <c r="K4885" s="5" t="str">
        <f t="shared" si="590"/>
        <v>000</v>
      </c>
      <c r="L4885" s="5">
        <f t="shared" si="591"/>
        <v>12</v>
      </c>
      <c r="M4885" s="5">
        <f t="shared" si="592"/>
        <v>2012</v>
      </c>
    </row>
    <row r="4886" spans="1:13" ht="15" x14ac:dyDescent="0.25">
      <c r="A4886" s="1">
        <f>DATE(2012,12,16)</f>
        <v>41259</v>
      </c>
      <c r="B4886" t="s">
        <v>16</v>
      </c>
      <c r="C4886" t="s">
        <v>8</v>
      </c>
      <c r="D4886" s="3">
        <v>673.21999999999991</v>
      </c>
      <c r="E4886" s="3">
        <v>0</v>
      </c>
      <c r="F4886" t="s">
        <v>45</v>
      </c>
      <c r="G4886" s="3">
        <f t="shared" si="586"/>
        <v>-673.21999999999991</v>
      </c>
      <c r="H4886" s="3">
        <f t="shared" si="587"/>
        <v>673.21999999999991</v>
      </c>
      <c r="I4886" s="5" t="str">
        <f t="shared" si="588"/>
        <v>017</v>
      </c>
      <c r="J4886" s="5" t="str">
        <f t="shared" si="589"/>
        <v>2210</v>
      </c>
      <c r="K4886" s="5" t="str">
        <f t="shared" si="590"/>
        <v>000</v>
      </c>
      <c r="L4886" s="5">
        <f t="shared" si="591"/>
        <v>12</v>
      </c>
      <c r="M4886" s="5">
        <f t="shared" si="592"/>
        <v>2012</v>
      </c>
    </row>
    <row r="4887" spans="1:13" ht="15" x14ac:dyDescent="0.25">
      <c r="A4887" s="1">
        <f>DATE(2012,12,16)</f>
        <v>41259</v>
      </c>
      <c r="B4887" t="s">
        <v>17</v>
      </c>
      <c r="C4887" t="s">
        <v>9</v>
      </c>
      <c r="D4887" s="3">
        <v>107.7384</v>
      </c>
      <c r="E4887" s="3">
        <v>0</v>
      </c>
      <c r="F4887" t="s">
        <v>45</v>
      </c>
      <c r="G4887" s="3">
        <f t="shared" si="586"/>
        <v>-107.7384</v>
      </c>
      <c r="H4887" s="3">
        <f t="shared" si="587"/>
        <v>107.7384</v>
      </c>
      <c r="I4887" s="5" t="str">
        <f t="shared" si="588"/>
        <v>017</v>
      </c>
      <c r="J4887" s="5" t="str">
        <f t="shared" si="589"/>
        <v>2220</v>
      </c>
      <c r="K4887" s="5" t="str">
        <f t="shared" si="590"/>
        <v>000</v>
      </c>
      <c r="L4887" s="5">
        <f t="shared" si="591"/>
        <v>12</v>
      </c>
      <c r="M4887" s="5">
        <f t="shared" si="592"/>
        <v>2012</v>
      </c>
    </row>
    <row r="4888" spans="1:13" ht="15" x14ac:dyDescent="0.25">
      <c r="A4888" s="1">
        <f>DATE(2012,12,16)</f>
        <v>41259</v>
      </c>
      <c r="B4888" t="s">
        <v>18</v>
      </c>
      <c r="C4888" t="s">
        <v>10</v>
      </c>
      <c r="D4888" s="3">
        <v>35.055</v>
      </c>
      <c r="E4888" s="3">
        <v>0</v>
      </c>
      <c r="F4888" t="s">
        <v>45</v>
      </c>
      <c r="G4888" s="3">
        <f t="shared" si="586"/>
        <v>-35.055</v>
      </c>
      <c r="H4888" s="3">
        <f t="shared" si="587"/>
        <v>35.055</v>
      </c>
      <c r="I4888" s="5" t="str">
        <f t="shared" si="588"/>
        <v>017</v>
      </c>
      <c r="J4888" s="5" t="str">
        <f t="shared" si="589"/>
        <v>2230</v>
      </c>
      <c r="K4888" s="5" t="str">
        <f t="shared" si="590"/>
        <v>000</v>
      </c>
      <c r="L4888" s="5">
        <f t="shared" si="591"/>
        <v>12</v>
      </c>
      <c r="M4888" s="5">
        <f t="shared" si="592"/>
        <v>2012</v>
      </c>
    </row>
    <row r="4889" spans="1:13" ht="15" x14ac:dyDescent="0.25">
      <c r="A4889" s="1">
        <f>DATE(2012,12,10)</f>
        <v>41253</v>
      </c>
      <c r="B4889" t="s">
        <v>19</v>
      </c>
      <c r="C4889" t="s">
        <v>6</v>
      </c>
      <c r="D4889" s="3">
        <v>3233.8422</v>
      </c>
      <c r="E4889" s="3">
        <v>0</v>
      </c>
      <c r="F4889" t="s">
        <v>45</v>
      </c>
      <c r="G4889" s="3">
        <f t="shared" si="586"/>
        <v>-3233.8422</v>
      </c>
      <c r="H4889" s="3">
        <f t="shared" si="587"/>
        <v>3233.8422</v>
      </c>
      <c r="I4889" s="5" t="str">
        <f t="shared" si="588"/>
        <v>018</v>
      </c>
      <c r="J4889" s="5" t="str">
        <f t="shared" si="589"/>
        <v>2100</v>
      </c>
      <c r="K4889" s="5" t="str">
        <f t="shared" si="590"/>
        <v>000</v>
      </c>
      <c r="L4889" s="5">
        <f t="shared" si="591"/>
        <v>12</v>
      </c>
      <c r="M4889" s="5">
        <f t="shared" si="592"/>
        <v>2012</v>
      </c>
    </row>
    <row r="4890" spans="1:13" ht="15" x14ac:dyDescent="0.25">
      <c r="A4890" s="1">
        <f>DATE(2012,12,10)</f>
        <v>41253</v>
      </c>
      <c r="B4890" t="s">
        <v>20</v>
      </c>
      <c r="C4890" t="s">
        <v>8</v>
      </c>
      <c r="D4890" s="3">
        <v>655.93060000000003</v>
      </c>
      <c r="E4890" s="3">
        <v>0</v>
      </c>
      <c r="F4890" t="s">
        <v>45</v>
      </c>
      <c r="G4890" s="3">
        <f t="shared" si="586"/>
        <v>-655.93060000000003</v>
      </c>
      <c r="H4890" s="3">
        <f t="shared" si="587"/>
        <v>655.93060000000003</v>
      </c>
      <c r="I4890" s="5" t="str">
        <f t="shared" si="588"/>
        <v>018</v>
      </c>
      <c r="J4890" s="5" t="str">
        <f t="shared" si="589"/>
        <v>2210</v>
      </c>
      <c r="K4890" s="5" t="str">
        <f t="shared" si="590"/>
        <v>000</v>
      </c>
      <c r="L4890" s="5">
        <f t="shared" si="591"/>
        <v>12</v>
      </c>
      <c r="M4890" s="5">
        <f t="shared" si="592"/>
        <v>2012</v>
      </c>
    </row>
    <row r="4891" spans="1:13" ht="15" x14ac:dyDescent="0.25">
      <c r="A4891" s="1">
        <f>DATE(2012,12,10)</f>
        <v>41253</v>
      </c>
      <c r="B4891" t="s">
        <v>21</v>
      </c>
      <c r="C4891" t="s">
        <v>9</v>
      </c>
      <c r="D4891" s="3">
        <v>175.04679999999999</v>
      </c>
      <c r="E4891" s="3">
        <v>0</v>
      </c>
      <c r="F4891" t="s">
        <v>45</v>
      </c>
      <c r="G4891" s="3">
        <f t="shared" si="586"/>
        <v>-175.04679999999999</v>
      </c>
      <c r="H4891" s="3">
        <f t="shared" si="587"/>
        <v>175.04679999999999</v>
      </c>
      <c r="I4891" s="5" t="str">
        <f t="shared" si="588"/>
        <v>018</v>
      </c>
      <c r="J4891" s="5" t="str">
        <f t="shared" si="589"/>
        <v>2220</v>
      </c>
      <c r="K4891" s="5" t="str">
        <f t="shared" si="590"/>
        <v>000</v>
      </c>
      <c r="L4891" s="5">
        <f t="shared" si="591"/>
        <v>12</v>
      </c>
      <c r="M4891" s="5">
        <f t="shared" si="592"/>
        <v>2012</v>
      </c>
    </row>
    <row r="4892" spans="1:13" ht="15" x14ac:dyDescent="0.25">
      <c r="A4892" s="1">
        <f>DATE(2012,12,10)</f>
        <v>41253</v>
      </c>
      <c r="B4892" t="s">
        <v>22</v>
      </c>
      <c r="C4892" t="s">
        <v>10</v>
      </c>
      <c r="D4892" s="3">
        <v>20.6248</v>
      </c>
      <c r="E4892" s="3">
        <v>0</v>
      </c>
      <c r="F4892" t="s">
        <v>45</v>
      </c>
      <c r="G4892" s="3">
        <f t="shared" si="586"/>
        <v>-20.6248</v>
      </c>
      <c r="H4892" s="3">
        <f t="shared" si="587"/>
        <v>20.6248</v>
      </c>
      <c r="I4892" s="5" t="str">
        <f t="shared" si="588"/>
        <v>018</v>
      </c>
      <c r="J4892" s="5" t="str">
        <f t="shared" si="589"/>
        <v>2230</v>
      </c>
      <c r="K4892" s="5" t="str">
        <f t="shared" si="590"/>
        <v>000</v>
      </c>
      <c r="L4892" s="5">
        <f t="shared" si="591"/>
        <v>12</v>
      </c>
      <c r="M4892" s="5">
        <f t="shared" si="592"/>
        <v>2012</v>
      </c>
    </row>
    <row r="4893" spans="1:13" ht="15" x14ac:dyDescent="0.25">
      <c r="A4893" s="1">
        <f>DATE(2012,12,11)</f>
        <v>41254</v>
      </c>
      <c r="B4893" t="s">
        <v>19</v>
      </c>
      <c r="C4893" t="s">
        <v>6</v>
      </c>
      <c r="D4893" s="3">
        <v>3102.1824000000001</v>
      </c>
      <c r="E4893" s="3">
        <v>0</v>
      </c>
      <c r="F4893" t="s">
        <v>45</v>
      </c>
      <c r="G4893" s="3">
        <f t="shared" si="586"/>
        <v>-3102.1824000000001</v>
      </c>
      <c r="H4893" s="3">
        <f t="shared" si="587"/>
        <v>3102.1824000000001</v>
      </c>
      <c r="I4893" s="5" t="str">
        <f t="shared" si="588"/>
        <v>018</v>
      </c>
      <c r="J4893" s="5" t="str">
        <f t="shared" si="589"/>
        <v>2100</v>
      </c>
      <c r="K4893" s="5" t="str">
        <f t="shared" si="590"/>
        <v>000</v>
      </c>
      <c r="L4893" s="5">
        <f t="shared" si="591"/>
        <v>12</v>
      </c>
      <c r="M4893" s="5">
        <f t="shared" si="592"/>
        <v>2012</v>
      </c>
    </row>
    <row r="4894" spans="1:13" ht="15" x14ac:dyDescent="0.25">
      <c r="A4894" s="1">
        <f>DATE(2012,12,11)</f>
        <v>41254</v>
      </c>
      <c r="B4894" t="s">
        <v>20</v>
      </c>
      <c r="C4894" t="s">
        <v>8</v>
      </c>
      <c r="D4894" s="3">
        <v>534.26240000000007</v>
      </c>
      <c r="E4894" s="3">
        <v>0</v>
      </c>
      <c r="F4894" t="s">
        <v>45</v>
      </c>
      <c r="G4894" s="3">
        <f t="shared" si="586"/>
        <v>-534.26240000000007</v>
      </c>
      <c r="H4894" s="3">
        <f t="shared" si="587"/>
        <v>534.26240000000007</v>
      </c>
      <c r="I4894" s="5" t="str">
        <f t="shared" si="588"/>
        <v>018</v>
      </c>
      <c r="J4894" s="5" t="str">
        <f t="shared" si="589"/>
        <v>2210</v>
      </c>
      <c r="K4894" s="5" t="str">
        <f t="shared" si="590"/>
        <v>000</v>
      </c>
      <c r="L4894" s="5">
        <f t="shared" si="591"/>
        <v>12</v>
      </c>
      <c r="M4894" s="5">
        <f t="shared" si="592"/>
        <v>2012</v>
      </c>
    </row>
    <row r="4895" spans="1:13" ht="15" x14ac:dyDescent="0.25">
      <c r="A4895" s="1">
        <f>DATE(2012,12,11)</f>
        <v>41254</v>
      </c>
      <c r="B4895" t="s">
        <v>21</v>
      </c>
      <c r="C4895" t="s">
        <v>9</v>
      </c>
      <c r="D4895" s="3">
        <v>197.77379999999999</v>
      </c>
      <c r="E4895" s="3">
        <v>0</v>
      </c>
      <c r="F4895" t="s">
        <v>45</v>
      </c>
      <c r="G4895" s="3">
        <f t="shared" si="586"/>
        <v>-197.77379999999999</v>
      </c>
      <c r="H4895" s="3">
        <f t="shared" si="587"/>
        <v>197.77379999999999</v>
      </c>
      <c r="I4895" s="5" t="str">
        <f t="shared" si="588"/>
        <v>018</v>
      </c>
      <c r="J4895" s="5" t="str">
        <f t="shared" si="589"/>
        <v>2220</v>
      </c>
      <c r="K4895" s="5" t="str">
        <f t="shared" si="590"/>
        <v>000</v>
      </c>
      <c r="L4895" s="5">
        <f t="shared" si="591"/>
        <v>12</v>
      </c>
      <c r="M4895" s="5">
        <f t="shared" si="592"/>
        <v>2012</v>
      </c>
    </row>
    <row r="4896" spans="1:13" ht="15" x14ac:dyDescent="0.25">
      <c r="A4896" s="1">
        <f>DATE(2012,12,11)</f>
        <v>41254</v>
      </c>
      <c r="B4896" t="s">
        <v>22</v>
      </c>
      <c r="C4896" t="s">
        <v>10</v>
      </c>
      <c r="D4896" s="3">
        <v>97.326800000000006</v>
      </c>
      <c r="E4896" s="3">
        <v>0</v>
      </c>
      <c r="F4896" t="s">
        <v>45</v>
      </c>
      <c r="G4896" s="3">
        <f t="shared" si="586"/>
        <v>-97.326800000000006</v>
      </c>
      <c r="H4896" s="3">
        <f t="shared" si="587"/>
        <v>97.326800000000006</v>
      </c>
      <c r="I4896" s="5" t="str">
        <f t="shared" si="588"/>
        <v>018</v>
      </c>
      <c r="J4896" s="5" t="str">
        <f t="shared" si="589"/>
        <v>2230</v>
      </c>
      <c r="K4896" s="5" t="str">
        <f t="shared" si="590"/>
        <v>000</v>
      </c>
      <c r="L4896" s="5">
        <f t="shared" si="591"/>
        <v>12</v>
      </c>
      <c r="M4896" s="5">
        <f t="shared" si="592"/>
        <v>2012</v>
      </c>
    </row>
    <row r="4897" spans="1:13" ht="15" x14ac:dyDescent="0.25">
      <c r="A4897" s="1">
        <f>DATE(2012,12,12)</f>
        <v>41255</v>
      </c>
      <c r="B4897" t="s">
        <v>19</v>
      </c>
      <c r="C4897" t="s">
        <v>6</v>
      </c>
      <c r="D4897" s="3">
        <v>4459.9103999999998</v>
      </c>
      <c r="E4897" s="3">
        <v>0</v>
      </c>
      <c r="F4897" t="s">
        <v>45</v>
      </c>
      <c r="G4897" s="3">
        <f t="shared" si="586"/>
        <v>-4459.9103999999998</v>
      </c>
      <c r="H4897" s="3">
        <f t="shared" si="587"/>
        <v>4459.9103999999998</v>
      </c>
      <c r="I4897" s="5" t="str">
        <f t="shared" si="588"/>
        <v>018</v>
      </c>
      <c r="J4897" s="5" t="str">
        <f t="shared" si="589"/>
        <v>2100</v>
      </c>
      <c r="K4897" s="5" t="str">
        <f t="shared" si="590"/>
        <v>000</v>
      </c>
      <c r="L4897" s="5">
        <f t="shared" si="591"/>
        <v>12</v>
      </c>
      <c r="M4897" s="5">
        <f t="shared" si="592"/>
        <v>2012</v>
      </c>
    </row>
    <row r="4898" spans="1:13" ht="15" x14ac:dyDescent="0.25">
      <c r="A4898" s="1">
        <f>DATE(2012,12,12)</f>
        <v>41255</v>
      </c>
      <c r="B4898" t="s">
        <v>20</v>
      </c>
      <c r="C4898" t="s">
        <v>8</v>
      </c>
      <c r="D4898" s="3">
        <v>797.08199999999999</v>
      </c>
      <c r="E4898" s="3">
        <v>0</v>
      </c>
      <c r="F4898" t="s">
        <v>45</v>
      </c>
      <c r="G4898" s="3">
        <f t="shared" si="586"/>
        <v>-797.08199999999999</v>
      </c>
      <c r="H4898" s="3">
        <f t="shared" si="587"/>
        <v>797.08199999999999</v>
      </c>
      <c r="I4898" s="5" t="str">
        <f t="shared" si="588"/>
        <v>018</v>
      </c>
      <c r="J4898" s="5" t="str">
        <f t="shared" si="589"/>
        <v>2210</v>
      </c>
      <c r="K4898" s="5" t="str">
        <f t="shared" si="590"/>
        <v>000</v>
      </c>
      <c r="L4898" s="5">
        <f t="shared" si="591"/>
        <v>12</v>
      </c>
      <c r="M4898" s="5">
        <f t="shared" si="592"/>
        <v>2012</v>
      </c>
    </row>
    <row r="4899" spans="1:13" ht="15" x14ac:dyDescent="0.25">
      <c r="A4899" s="1">
        <f>DATE(2012,12,12)</f>
        <v>41255</v>
      </c>
      <c r="B4899" t="s">
        <v>21</v>
      </c>
      <c r="C4899" t="s">
        <v>9</v>
      </c>
      <c r="D4899" s="3">
        <v>211.09950000000001</v>
      </c>
      <c r="E4899" s="3">
        <v>0</v>
      </c>
      <c r="F4899" t="s">
        <v>45</v>
      </c>
      <c r="G4899" s="3">
        <f t="shared" si="586"/>
        <v>-211.09950000000001</v>
      </c>
      <c r="H4899" s="3">
        <f t="shared" si="587"/>
        <v>211.09950000000001</v>
      </c>
      <c r="I4899" s="5" t="str">
        <f t="shared" si="588"/>
        <v>018</v>
      </c>
      <c r="J4899" s="5" t="str">
        <f t="shared" si="589"/>
        <v>2220</v>
      </c>
      <c r="K4899" s="5" t="str">
        <f t="shared" si="590"/>
        <v>000</v>
      </c>
      <c r="L4899" s="5">
        <f t="shared" si="591"/>
        <v>12</v>
      </c>
      <c r="M4899" s="5">
        <f t="shared" si="592"/>
        <v>2012</v>
      </c>
    </row>
    <row r="4900" spans="1:13" ht="15" x14ac:dyDescent="0.25">
      <c r="A4900" s="1">
        <f>DATE(2012,12,12)</f>
        <v>41255</v>
      </c>
      <c r="B4900" t="s">
        <v>22</v>
      </c>
      <c r="C4900" t="s">
        <v>10</v>
      </c>
      <c r="D4900" s="3">
        <v>86.388500000000008</v>
      </c>
      <c r="E4900" s="3">
        <v>0</v>
      </c>
      <c r="F4900" t="s">
        <v>45</v>
      </c>
      <c r="G4900" s="3">
        <f t="shared" si="586"/>
        <v>-86.388500000000008</v>
      </c>
      <c r="H4900" s="3">
        <f t="shared" si="587"/>
        <v>86.388500000000008</v>
      </c>
      <c r="I4900" s="5" t="str">
        <f t="shared" si="588"/>
        <v>018</v>
      </c>
      <c r="J4900" s="5" t="str">
        <f t="shared" si="589"/>
        <v>2230</v>
      </c>
      <c r="K4900" s="5" t="str">
        <f t="shared" si="590"/>
        <v>000</v>
      </c>
      <c r="L4900" s="5">
        <f t="shared" si="591"/>
        <v>12</v>
      </c>
      <c r="M4900" s="5">
        <f t="shared" si="592"/>
        <v>2012</v>
      </c>
    </row>
    <row r="4901" spans="1:13" ht="15" x14ac:dyDescent="0.25">
      <c r="A4901" s="1">
        <f>DATE(2012,12,13)</f>
        <v>41256</v>
      </c>
      <c r="B4901" t="s">
        <v>19</v>
      </c>
      <c r="C4901" t="s">
        <v>6</v>
      </c>
      <c r="D4901" s="3">
        <v>4875.4260000000004</v>
      </c>
      <c r="E4901" s="3">
        <v>0</v>
      </c>
      <c r="F4901" t="s">
        <v>45</v>
      </c>
      <c r="G4901" s="3">
        <f t="shared" si="586"/>
        <v>-4875.4260000000004</v>
      </c>
      <c r="H4901" s="3">
        <f t="shared" si="587"/>
        <v>4875.4260000000004</v>
      </c>
      <c r="I4901" s="5" t="str">
        <f t="shared" si="588"/>
        <v>018</v>
      </c>
      <c r="J4901" s="5" t="str">
        <f t="shared" si="589"/>
        <v>2100</v>
      </c>
      <c r="K4901" s="5" t="str">
        <f t="shared" si="590"/>
        <v>000</v>
      </c>
      <c r="L4901" s="5">
        <f t="shared" si="591"/>
        <v>12</v>
      </c>
      <c r="M4901" s="5">
        <f t="shared" si="592"/>
        <v>2012</v>
      </c>
    </row>
    <row r="4902" spans="1:13" ht="15" x14ac:dyDescent="0.25">
      <c r="A4902" s="1">
        <f>DATE(2012,12,13)</f>
        <v>41256</v>
      </c>
      <c r="B4902" t="s">
        <v>20</v>
      </c>
      <c r="C4902" t="s">
        <v>8</v>
      </c>
      <c r="D4902" s="3">
        <v>504.83950000000004</v>
      </c>
      <c r="E4902" s="3">
        <v>0</v>
      </c>
      <c r="F4902" t="s">
        <v>45</v>
      </c>
      <c r="G4902" s="3">
        <f t="shared" si="586"/>
        <v>-504.83950000000004</v>
      </c>
      <c r="H4902" s="3">
        <f t="shared" si="587"/>
        <v>504.83950000000004</v>
      </c>
      <c r="I4902" s="5" t="str">
        <f t="shared" si="588"/>
        <v>018</v>
      </c>
      <c r="J4902" s="5" t="str">
        <f t="shared" si="589"/>
        <v>2210</v>
      </c>
      <c r="K4902" s="5" t="str">
        <f t="shared" si="590"/>
        <v>000</v>
      </c>
      <c r="L4902" s="5">
        <f t="shared" si="591"/>
        <v>12</v>
      </c>
      <c r="M4902" s="5">
        <f t="shared" si="592"/>
        <v>2012</v>
      </c>
    </row>
    <row r="4903" spans="1:13" ht="15" x14ac:dyDescent="0.25">
      <c r="A4903" s="1">
        <f>DATE(2012,12,13)</f>
        <v>41256</v>
      </c>
      <c r="B4903" t="s">
        <v>21</v>
      </c>
      <c r="C4903" t="s">
        <v>9</v>
      </c>
      <c r="D4903" s="3">
        <v>242.06039999999999</v>
      </c>
      <c r="E4903" s="3">
        <v>0</v>
      </c>
      <c r="F4903" t="s">
        <v>45</v>
      </c>
      <c r="G4903" s="3">
        <f t="shared" si="586"/>
        <v>-242.06039999999999</v>
      </c>
      <c r="H4903" s="3">
        <f t="shared" si="587"/>
        <v>242.06039999999999</v>
      </c>
      <c r="I4903" s="5" t="str">
        <f t="shared" si="588"/>
        <v>018</v>
      </c>
      <c r="J4903" s="5" t="str">
        <f t="shared" si="589"/>
        <v>2220</v>
      </c>
      <c r="K4903" s="5" t="str">
        <f t="shared" si="590"/>
        <v>000</v>
      </c>
      <c r="L4903" s="5">
        <f t="shared" si="591"/>
        <v>12</v>
      </c>
      <c r="M4903" s="5">
        <f t="shared" si="592"/>
        <v>2012</v>
      </c>
    </row>
    <row r="4904" spans="1:13" ht="15" x14ac:dyDescent="0.25">
      <c r="A4904" s="1">
        <f>DATE(2012,12,13)</f>
        <v>41256</v>
      </c>
      <c r="B4904" t="s">
        <v>22</v>
      </c>
      <c r="C4904" t="s">
        <v>10</v>
      </c>
      <c r="D4904" s="3">
        <v>77.108199999999997</v>
      </c>
      <c r="E4904" s="3">
        <v>0</v>
      </c>
      <c r="F4904" t="s">
        <v>45</v>
      </c>
      <c r="G4904" s="3">
        <f t="shared" si="586"/>
        <v>-77.108199999999997</v>
      </c>
      <c r="H4904" s="3">
        <f t="shared" si="587"/>
        <v>77.108199999999997</v>
      </c>
      <c r="I4904" s="5" t="str">
        <f t="shared" si="588"/>
        <v>018</v>
      </c>
      <c r="J4904" s="5" t="str">
        <f t="shared" si="589"/>
        <v>2230</v>
      </c>
      <c r="K4904" s="5" t="str">
        <f t="shared" si="590"/>
        <v>000</v>
      </c>
      <c r="L4904" s="5">
        <f t="shared" si="591"/>
        <v>12</v>
      </c>
      <c r="M4904" s="5">
        <f t="shared" si="592"/>
        <v>2012</v>
      </c>
    </row>
    <row r="4905" spans="1:13" ht="15" x14ac:dyDescent="0.25">
      <c r="A4905" s="1">
        <f>DATE(2012,12,14)</f>
        <v>41257</v>
      </c>
      <c r="B4905" t="s">
        <v>19</v>
      </c>
      <c r="C4905" t="s">
        <v>6</v>
      </c>
      <c r="D4905" s="3">
        <v>8048.9864000000007</v>
      </c>
      <c r="E4905" s="3">
        <v>0</v>
      </c>
      <c r="F4905" t="s">
        <v>45</v>
      </c>
      <c r="G4905" s="3">
        <f t="shared" si="586"/>
        <v>-8048.9864000000007</v>
      </c>
      <c r="H4905" s="3">
        <f t="shared" si="587"/>
        <v>8048.9864000000007</v>
      </c>
      <c r="I4905" s="5" t="str">
        <f t="shared" si="588"/>
        <v>018</v>
      </c>
      <c r="J4905" s="5" t="str">
        <f t="shared" si="589"/>
        <v>2100</v>
      </c>
      <c r="K4905" s="5" t="str">
        <f t="shared" si="590"/>
        <v>000</v>
      </c>
      <c r="L4905" s="5">
        <f t="shared" si="591"/>
        <v>12</v>
      </c>
      <c r="M4905" s="5">
        <f t="shared" si="592"/>
        <v>2012</v>
      </c>
    </row>
    <row r="4906" spans="1:13" ht="15" x14ac:dyDescent="0.25">
      <c r="A4906" s="1">
        <f>DATE(2012,12,14)</f>
        <v>41257</v>
      </c>
      <c r="B4906" t="s">
        <v>20</v>
      </c>
      <c r="C4906" t="s">
        <v>8</v>
      </c>
      <c r="D4906" s="3">
        <v>3286.3525999999997</v>
      </c>
      <c r="E4906" s="3">
        <v>0</v>
      </c>
      <c r="F4906" t="s">
        <v>45</v>
      </c>
      <c r="G4906" s="3">
        <f t="shared" si="586"/>
        <v>-3286.3525999999997</v>
      </c>
      <c r="H4906" s="3">
        <f t="shared" si="587"/>
        <v>3286.3525999999997</v>
      </c>
      <c r="I4906" s="5" t="str">
        <f t="shared" si="588"/>
        <v>018</v>
      </c>
      <c r="J4906" s="5" t="str">
        <f t="shared" si="589"/>
        <v>2210</v>
      </c>
      <c r="K4906" s="5" t="str">
        <f t="shared" si="590"/>
        <v>000</v>
      </c>
      <c r="L4906" s="5">
        <f t="shared" si="591"/>
        <v>12</v>
      </c>
      <c r="M4906" s="5">
        <f t="shared" si="592"/>
        <v>2012</v>
      </c>
    </row>
    <row r="4907" spans="1:13" ht="15" x14ac:dyDescent="0.25">
      <c r="A4907" s="1">
        <f>DATE(2012,12,14)</f>
        <v>41257</v>
      </c>
      <c r="B4907" t="s">
        <v>21</v>
      </c>
      <c r="C4907" t="s">
        <v>9</v>
      </c>
      <c r="D4907" s="3">
        <v>969.15910000000008</v>
      </c>
      <c r="E4907" s="3">
        <v>0</v>
      </c>
      <c r="F4907" t="s">
        <v>45</v>
      </c>
      <c r="G4907" s="3">
        <f t="shared" si="586"/>
        <v>-969.15910000000008</v>
      </c>
      <c r="H4907" s="3">
        <f t="shared" si="587"/>
        <v>969.15910000000008</v>
      </c>
      <c r="I4907" s="5" t="str">
        <f t="shared" si="588"/>
        <v>018</v>
      </c>
      <c r="J4907" s="5" t="str">
        <f t="shared" si="589"/>
        <v>2220</v>
      </c>
      <c r="K4907" s="5" t="str">
        <f t="shared" si="590"/>
        <v>000</v>
      </c>
      <c r="L4907" s="5">
        <f t="shared" si="591"/>
        <v>12</v>
      </c>
      <c r="M4907" s="5">
        <f t="shared" si="592"/>
        <v>2012</v>
      </c>
    </row>
    <row r="4908" spans="1:13" ht="15" x14ac:dyDescent="0.25">
      <c r="A4908" s="1">
        <f>DATE(2012,12,14)</f>
        <v>41257</v>
      </c>
      <c r="B4908" t="s">
        <v>22</v>
      </c>
      <c r="C4908" t="s">
        <v>10</v>
      </c>
      <c r="D4908" s="3">
        <v>185.1003</v>
      </c>
      <c r="E4908" s="3">
        <v>0</v>
      </c>
      <c r="F4908" t="s">
        <v>45</v>
      </c>
      <c r="G4908" s="3">
        <f t="shared" si="586"/>
        <v>-185.1003</v>
      </c>
      <c r="H4908" s="3">
        <f t="shared" si="587"/>
        <v>185.1003</v>
      </c>
      <c r="I4908" s="5" t="str">
        <f t="shared" si="588"/>
        <v>018</v>
      </c>
      <c r="J4908" s="5" t="str">
        <f t="shared" si="589"/>
        <v>2230</v>
      </c>
      <c r="K4908" s="5" t="str">
        <f t="shared" si="590"/>
        <v>000</v>
      </c>
      <c r="L4908" s="5">
        <f t="shared" si="591"/>
        <v>12</v>
      </c>
      <c r="M4908" s="5">
        <f t="shared" si="592"/>
        <v>2012</v>
      </c>
    </row>
    <row r="4909" spans="1:13" ht="15" x14ac:dyDescent="0.25">
      <c r="A4909" s="1">
        <f>DATE(2012,12,15)</f>
        <v>41258</v>
      </c>
      <c r="B4909" t="s">
        <v>19</v>
      </c>
      <c r="C4909" t="s">
        <v>6</v>
      </c>
      <c r="D4909" s="3">
        <v>12192.327000000001</v>
      </c>
      <c r="E4909" s="3">
        <v>0</v>
      </c>
      <c r="F4909" t="s">
        <v>45</v>
      </c>
      <c r="G4909" s="3">
        <f t="shared" si="586"/>
        <v>-12192.327000000001</v>
      </c>
      <c r="H4909" s="3">
        <f t="shared" si="587"/>
        <v>12192.327000000001</v>
      </c>
      <c r="I4909" s="5" t="str">
        <f t="shared" si="588"/>
        <v>018</v>
      </c>
      <c r="J4909" s="5" t="str">
        <f t="shared" si="589"/>
        <v>2100</v>
      </c>
      <c r="K4909" s="5" t="str">
        <f t="shared" si="590"/>
        <v>000</v>
      </c>
      <c r="L4909" s="5">
        <f t="shared" si="591"/>
        <v>12</v>
      </c>
      <c r="M4909" s="5">
        <f t="shared" si="592"/>
        <v>2012</v>
      </c>
    </row>
    <row r="4910" spans="1:13" ht="15" x14ac:dyDescent="0.25">
      <c r="A4910" s="1">
        <f>DATE(2012,12,15)</f>
        <v>41258</v>
      </c>
      <c r="B4910" t="s">
        <v>20</v>
      </c>
      <c r="C4910" t="s">
        <v>8</v>
      </c>
      <c r="D4910" s="3">
        <v>2560.6030999999998</v>
      </c>
      <c r="E4910" s="3">
        <v>0</v>
      </c>
      <c r="F4910" t="s">
        <v>45</v>
      </c>
      <c r="G4910" s="3">
        <f t="shared" si="586"/>
        <v>-2560.6030999999998</v>
      </c>
      <c r="H4910" s="3">
        <f t="shared" si="587"/>
        <v>2560.6030999999998</v>
      </c>
      <c r="I4910" s="5" t="str">
        <f t="shared" si="588"/>
        <v>018</v>
      </c>
      <c r="J4910" s="5" t="str">
        <f t="shared" si="589"/>
        <v>2210</v>
      </c>
      <c r="K4910" s="5" t="str">
        <f t="shared" si="590"/>
        <v>000</v>
      </c>
      <c r="L4910" s="5">
        <f t="shared" si="591"/>
        <v>12</v>
      </c>
      <c r="M4910" s="5">
        <f t="shared" si="592"/>
        <v>2012</v>
      </c>
    </row>
    <row r="4911" spans="1:13" ht="15" x14ac:dyDescent="0.25">
      <c r="A4911" s="1">
        <f>DATE(2012,12,15)</f>
        <v>41258</v>
      </c>
      <c r="B4911" t="s">
        <v>21</v>
      </c>
      <c r="C4911" t="s">
        <v>9</v>
      </c>
      <c r="D4911" s="3">
        <v>944.34320000000002</v>
      </c>
      <c r="E4911" s="3">
        <v>0</v>
      </c>
      <c r="F4911" t="s">
        <v>45</v>
      </c>
      <c r="G4911" s="3">
        <f t="shared" si="586"/>
        <v>-944.34320000000002</v>
      </c>
      <c r="H4911" s="3">
        <f t="shared" si="587"/>
        <v>944.34320000000002</v>
      </c>
      <c r="I4911" s="5" t="str">
        <f t="shared" si="588"/>
        <v>018</v>
      </c>
      <c r="J4911" s="5" t="str">
        <f t="shared" si="589"/>
        <v>2220</v>
      </c>
      <c r="K4911" s="5" t="str">
        <f t="shared" si="590"/>
        <v>000</v>
      </c>
      <c r="L4911" s="5">
        <f t="shared" si="591"/>
        <v>12</v>
      </c>
      <c r="M4911" s="5">
        <f t="shared" si="592"/>
        <v>2012</v>
      </c>
    </row>
    <row r="4912" spans="1:13" ht="15" x14ac:dyDescent="0.25">
      <c r="A4912" s="1">
        <f>DATE(2012,12,15)</f>
        <v>41258</v>
      </c>
      <c r="B4912" t="s">
        <v>22</v>
      </c>
      <c r="C4912" t="s">
        <v>10</v>
      </c>
      <c r="D4912" s="3">
        <v>164.29600000000002</v>
      </c>
      <c r="E4912" s="3">
        <v>0</v>
      </c>
      <c r="F4912" t="s">
        <v>45</v>
      </c>
      <c r="G4912" s="3">
        <f t="shared" si="586"/>
        <v>-164.29600000000002</v>
      </c>
      <c r="H4912" s="3">
        <f t="shared" si="587"/>
        <v>164.29600000000002</v>
      </c>
      <c r="I4912" s="5" t="str">
        <f t="shared" si="588"/>
        <v>018</v>
      </c>
      <c r="J4912" s="5" t="str">
        <f t="shared" si="589"/>
        <v>2230</v>
      </c>
      <c r="K4912" s="5" t="str">
        <f t="shared" si="590"/>
        <v>000</v>
      </c>
      <c r="L4912" s="5">
        <f t="shared" si="591"/>
        <v>12</v>
      </c>
      <c r="M4912" s="5">
        <f t="shared" si="592"/>
        <v>2012</v>
      </c>
    </row>
    <row r="4913" spans="1:13" ht="15" x14ac:dyDescent="0.25">
      <c r="A4913" s="1">
        <f>DATE(2012,12,16)</f>
        <v>41259</v>
      </c>
      <c r="B4913" t="s">
        <v>19</v>
      </c>
      <c r="C4913" t="s">
        <v>6</v>
      </c>
      <c r="D4913" s="3">
        <v>9731.82</v>
      </c>
      <c r="E4913" s="3">
        <v>0</v>
      </c>
      <c r="F4913" t="s">
        <v>45</v>
      </c>
      <c r="G4913" s="3">
        <f t="shared" si="586"/>
        <v>-9731.82</v>
      </c>
      <c r="H4913" s="3">
        <f t="shared" si="587"/>
        <v>9731.82</v>
      </c>
      <c r="I4913" s="5" t="str">
        <f t="shared" si="588"/>
        <v>018</v>
      </c>
      <c r="J4913" s="5" t="str">
        <f t="shared" si="589"/>
        <v>2100</v>
      </c>
      <c r="K4913" s="5" t="str">
        <f t="shared" si="590"/>
        <v>000</v>
      </c>
      <c r="L4913" s="5">
        <f t="shared" si="591"/>
        <v>12</v>
      </c>
      <c r="M4913" s="5">
        <f t="shared" si="592"/>
        <v>2012</v>
      </c>
    </row>
    <row r="4914" spans="1:13" ht="15" x14ac:dyDescent="0.25">
      <c r="A4914" s="1">
        <f>DATE(2012,12,16)</f>
        <v>41259</v>
      </c>
      <c r="B4914" t="s">
        <v>20</v>
      </c>
      <c r="C4914" t="s">
        <v>8</v>
      </c>
      <c r="D4914" s="3">
        <v>1078.1232</v>
      </c>
      <c r="E4914" s="3">
        <v>0</v>
      </c>
      <c r="F4914" t="s">
        <v>45</v>
      </c>
      <c r="G4914" s="3">
        <f t="shared" si="586"/>
        <v>-1078.1232</v>
      </c>
      <c r="H4914" s="3">
        <f t="shared" si="587"/>
        <v>1078.1232</v>
      </c>
      <c r="I4914" s="5" t="str">
        <f t="shared" si="588"/>
        <v>018</v>
      </c>
      <c r="J4914" s="5" t="str">
        <f t="shared" si="589"/>
        <v>2210</v>
      </c>
      <c r="K4914" s="5" t="str">
        <f t="shared" si="590"/>
        <v>000</v>
      </c>
      <c r="L4914" s="5">
        <f t="shared" si="591"/>
        <v>12</v>
      </c>
      <c r="M4914" s="5">
        <f t="shared" si="592"/>
        <v>2012</v>
      </c>
    </row>
    <row r="4915" spans="1:13" ht="15" x14ac:dyDescent="0.25">
      <c r="A4915" s="1">
        <f>DATE(2012,12,16)</f>
        <v>41259</v>
      </c>
      <c r="B4915" t="s">
        <v>21</v>
      </c>
      <c r="C4915" t="s">
        <v>9</v>
      </c>
      <c r="D4915" s="3">
        <v>298.15769999999998</v>
      </c>
      <c r="E4915" s="3">
        <v>0</v>
      </c>
      <c r="F4915" t="s">
        <v>45</v>
      </c>
      <c r="G4915" s="3">
        <f t="shared" si="586"/>
        <v>-298.15769999999998</v>
      </c>
      <c r="H4915" s="3">
        <f t="shared" si="587"/>
        <v>298.15769999999998</v>
      </c>
      <c r="I4915" s="5" t="str">
        <f t="shared" si="588"/>
        <v>018</v>
      </c>
      <c r="J4915" s="5" t="str">
        <f t="shared" si="589"/>
        <v>2220</v>
      </c>
      <c r="K4915" s="5" t="str">
        <f t="shared" si="590"/>
        <v>000</v>
      </c>
      <c r="L4915" s="5">
        <f t="shared" si="591"/>
        <v>12</v>
      </c>
      <c r="M4915" s="5">
        <f t="shared" si="592"/>
        <v>2012</v>
      </c>
    </row>
    <row r="4916" spans="1:13" ht="15" x14ac:dyDescent="0.25">
      <c r="A4916" s="1">
        <f>DATE(2012,12,16)</f>
        <v>41259</v>
      </c>
      <c r="B4916" t="s">
        <v>22</v>
      </c>
      <c r="C4916" t="s">
        <v>10</v>
      </c>
      <c r="D4916" s="3">
        <v>55.760000000000005</v>
      </c>
      <c r="E4916" s="3">
        <v>0</v>
      </c>
      <c r="F4916" t="s">
        <v>45</v>
      </c>
      <c r="G4916" s="3">
        <f t="shared" si="586"/>
        <v>-55.760000000000005</v>
      </c>
      <c r="H4916" s="3">
        <f t="shared" si="587"/>
        <v>55.760000000000005</v>
      </c>
      <c r="I4916" s="5" t="str">
        <f t="shared" si="588"/>
        <v>018</v>
      </c>
      <c r="J4916" s="5" t="str">
        <f t="shared" si="589"/>
        <v>2230</v>
      </c>
      <c r="K4916" s="5" t="str">
        <f t="shared" si="590"/>
        <v>000</v>
      </c>
      <c r="L4916" s="5">
        <f t="shared" si="591"/>
        <v>12</v>
      </c>
      <c r="M4916" s="5">
        <f t="shared" si="592"/>
        <v>2012</v>
      </c>
    </row>
    <row r="4917" spans="1:13" ht="15" x14ac:dyDescent="0.25">
      <c r="A4917" s="1">
        <f>DATE(2012,12,17)</f>
        <v>41260</v>
      </c>
      <c r="B4917" t="s">
        <v>11</v>
      </c>
      <c r="C4917" t="s">
        <v>6</v>
      </c>
      <c r="D4917" s="3">
        <v>3300.2553999999996</v>
      </c>
      <c r="E4917" s="3">
        <v>0</v>
      </c>
      <c r="F4917" t="s">
        <v>45</v>
      </c>
      <c r="G4917" s="3">
        <f t="shared" si="586"/>
        <v>-3300.2553999999996</v>
      </c>
      <c r="H4917" s="3">
        <f t="shared" si="587"/>
        <v>3300.2553999999996</v>
      </c>
      <c r="I4917" s="5" t="str">
        <f t="shared" si="588"/>
        <v>016</v>
      </c>
      <c r="J4917" s="5" t="str">
        <f t="shared" si="589"/>
        <v>2100</v>
      </c>
      <c r="K4917" s="5" t="str">
        <f t="shared" si="590"/>
        <v>000</v>
      </c>
      <c r="L4917" s="5">
        <f t="shared" si="591"/>
        <v>12</v>
      </c>
      <c r="M4917" s="5">
        <f t="shared" si="592"/>
        <v>2012</v>
      </c>
    </row>
    <row r="4918" spans="1:13" ht="15" x14ac:dyDescent="0.25">
      <c r="A4918" s="1">
        <f>DATE(2012,12,17)</f>
        <v>41260</v>
      </c>
      <c r="B4918" t="s">
        <v>12</v>
      </c>
      <c r="C4918" t="s">
        <v>8</v>
      </c>
      <c r="D4918" s="3">
        <v>443.52659999999997</v>
      </c>
      <c r="E4918" s="3">
        <v>0</v>
      </c>
      <c r="F4918" t="s">
        <v>45</v>
      </c>
      <c r="G4918" s="3">
        <f t="shared" si="586"/>
        <v>-443.52659999999997</v>
      </c>
      <c r="H4918" s="3">
        <f t="shared" si="587"/>
        <v>443.52659999999997</v>
      </c>
      <c r="I4918" s="5" t="str">
        <f t="shared" si="588"/>
        <v>016</v>
      </c>
      <c r="J4918" s="5" t="str">
        <f t="shared" si="589"/>
        <v>2210</v>
      </c>
      <c r="K4918" s="5" t="str">
        <f t="shared" si="590"/>
        <v>000</v>
      </c>
      <c r="L4918" s="5">
        <f t="shared" si="591"/>
        <v>12</v>
      </c>
      <c r="M4918" s="5">
        <f t="shared" si="592"/>
        <v>2012</v>
      </c>
    </row>
    <row r="4919" spans="1:13" ht="15" x14ac:dyDescent="0.25">
      <c r="A4919" s="1">
        <f>DATE(2012,12,17)</f>
        <v>41260</v>
      </c>
      <c r="B4919" t="s">
        <v>13</v>
      </c>
      <c r="C4919" t="s">
        <v>9</v>
      </c>
      <c r="D4919" s="3">
        <v>88.6584</v>
      </c>
      <c r="E4919" s="3">
        <v>0</v>
      </c>
      <c r="F4919" t="s">
        <v>45</v>
      </c>
      <c r="G4919" s="3">
        <f t="shared" si="586"/>
        <v>-88.6584</v>
      </c>
      <c r="H4919" s="3">
        <f t="shared" si="587"/>
        <v>88.6584</v>
      </c>
      <c r="I4919" s="5" t="str">
        <f t="shared" si="588"/>
        <v>016</v>
      </c>
      <c r="J4919" s="5" t="str">
        <f t="shared" si="589"/>
        <v>2220</v>
      </c>
      <c r="K4919" s="5" t="str">
        <f t="shared" si="590"/>
        <v>000</v>
      </c>
      <c r="L4919" s="5">
        <f t="shared" si="591"/>
        <v>12</v>
      </c>
      <c r="M4919" s="5">
        <f t="shared" si="592"/>
        <v>2012</v>
      </c>
    </row>
    <row r="4920" spans="1:13" ht="15" x14ac:dyDescent="0.25">
      <c r="A4920" s="1">
        <f>DATE(2012,12,17)</f>
        <v>41260</v>
      </c>
      <c r="B4920" t="s">
        <v>14</v>
      </c>
      <c r="C4920" t="s">
        <v>10</v>
      </c>
      <c r="D4920" s="3">
        <v>78.641999999999996</v>
      </c>
      <c r="E4920" s="3">
        <v>0</v>
      </c>
      <c r="F4920" t="s">
        <v>45</v>
      </c>
      <c r="G4920" s="3">
        <f t="shared" si="586"/>
        <v>-78.641999999999996</v>
      </c>
      <c r="H4920" s="3">
        <f t="shared" si="587"/>
        <v>78.641999999999996</v>
      </c>
      <c r="I4920" s="5" t="str">
        <f t="shared" si="588"/>
        <v>016</v>
      </c>
      <c r="J4920" s="5" t="str">
        <f t="shared" si="589"/>
        <v>2230</v>
      </c>
      <c r="K4920" s="5" t="str">
        <f t="shared" si="590"/>
        <v>000</v>
      </c>
      <c r="L4920" s="5">
        <f t="shared" si="591"/>
        <v>12</v>
      </c>
      <c r="M4920" s="5">
        <f t="shared" si="592"/>
        <v>2012</v>
      </c>
    </row>
    <row r="4921" spans="1:13" ht="15" x14ac:dyDescent="0.25">
      <c r="A4921" s="1">
        <f>DATE(2012,12,18)</f>
        <v>41261</v>
      </c>
      <c r="B4921" t="s">
        <v>11</v>
      </c>
      <c r="C4921" t="s">
        <v>6</v>
      </c>
      <c r="D4921" s="3">
        <v>6215.6142000000009</v>
      </c>
      <c r="E4921" s="3">
        <v>0</v>
      </c>
      <c r="F4921" t="s">
        <v>45</v>
      </c>
      <c r="G4921" s="3">
        <f t="shared" si="586"/>
        <v>-6215.6142000000009</v>
      </c>
      <c r="H4921" s="3">
        <f t="shared" si="587"/>
        <v>6215.6142000000009</v>
      </c>
      <c r="I4921" s="5" t="str">
        <f t="shared" si="588"/>
        <v>016</v>
      </c>
      <c r="J4921" s="5" t="str">
        <f t="shared" si="589"/>
        <v>2100</v>
      </c>
      <c r="K4921" s="5" t="str">
        <f t="shared" si="590"/>
        <v>000</v>
      </c>
      <c r="L4921" s="5">
        <f t="shared" si="591"/>
        <v>12</v>
      </c>
      <c r="M4921" s="5">
        <f t="shared" si="592"/>
        <v>2012</v>
      </c>
    </row>
    <row r="4922" spans="1:13" ht="15" x14ac:dyDescent="0.25">
      <c r="A4922" s="1">
        <f>DATE(2012,12,18)</f>
        <v>41261</v>
      </c>
      <c r="B4922" t="s">
        <v>12</v>
      </c>
      <c r="C4922" t="s">
        <v>8</v>
      </c>
      <c r="D4922" s="3">
        <v>2651.0564999999997</v>
      </c>
      <c r="E4922" s="3">
        <v>0</v>
      </c>
      <c r="F4922" t="s">
        <v>45</v>
      </c>
      <c r="G4922" s="3">
        <f t="shared" si="586"/>
        <v>-2651.0564999999997</v>
      </c>
      <c r="H4922" s="3">
        <f t="shared" si="587"/>
        <v>2651.0564999999997</v>
      </c>
      <c r="I4922" s="5" t="str">
        <f t="shared" si="588"/>
        <v>016</v>
      </c>
      <c r="J4922" s="5" t="str">
        <f t="shared" si="589"/>
        <v>2210</v>
      </c>
      <c r="K4922" s="5" t="str">
        <f t="shared" si="590"/>
        <v>000</v>
      </c>
      <c r="L4922" s="5">
        <f t="shared" si="591"/>
        <v>12</v>
      </c>
      <c r="M4922" s="5">
        <f t="shared" si="592"/>
        <v>2012</v>
      </c>
    </row>
    <row r="4923" spans="1:13" ht="15" x14ac:dyDescent="0.25">
      <c r="A4923" s="1">
        <f>DATE(2012,12,18)</f>
        <v>41261</v>
      </c>
      <c r="B4923" t="s">
        <v>13</v>
      </c>
      <c r="C4923" t="s">
        <v>9</v>
      </c>
      <c r="D4923" s="3">
        <v>574.90960000000007</v>
      </c>
      <c r="E4923" s="3">
        <v>0</v>
      </c>
      <c r="F4923" t="s">
        <v>45</v>
      </c>
      <c r="G4923" s="3">
        <f t="shared" si="586"/>
        <v>-574.90960000000007</v>
      </c>
      <c r="H4923" s="3">
        <f t="shared" si="587"/>
        <v>574.90960000000007</v>
      </c>
      <c r="I4923" s="5" t="str">
        <f t="shared" si="588"/>
        <v>016</v>
      </c>
      <c r="J4923" s="5" t="str">
        <f t="shared" si="589"/>
        <v>2220</v>
      </c>
      <c r="K4923" s="5" t="str">
        <f t="shared" si="590"/>
        <v>000</v>
      </c>
      <c r="L4923" s="5">
        <f t="shared" si="591"/>
        <v>12</v>
      </c>
      <c r="M4923" s="5">
        <f t="shared" si="592"/>
        <v>2012</v>
      </c>
    </row>
    <row r="4924" spans="1:13" ht="15" x14ac:dyDescent="0.25">
      <c r="A4924" s="1">
        <f>DATE(2012,12,18)</f>
        <v>41261</v>
      </c>
      <c r="B4924" t="s">
        <v>14</v>
      </c>
      <c r="C4924" t="s">
        <v>10</v>
      </c>
      <c r="D4924" s="3">
        <v>149.52520000000001</v>
      </c>
      <c r="E4924" s="3">
        <v>0</v>
      </c>
      <c r="F4924" t="s">
        <v>45</v>
      </c>
      <c r="G4924" s="3">
        <f t="shared" si="586"/>
        <v>-149.52520000000001</v>
      </c>
      <c r="H4924" s="3">
        <f t="shared" si="587"/>
        <v>149.52520000000001</v>
      </c>
      <c r="I4924" s="5" t="str">
        <f t="shared" si="588"/>
        <v>016</v>
      </c>
      <c r="J4924" s="5" t="str">
        <f t="shared" si="589"/>
        <v>2230</v>
      </c>
      <c r="K4924" s="5" t="str">
        <f t="shared" si="590"/>
        <v>000</v>
      </c>
      <c r="L4924" s="5">
        <f t="shared" si="591"/>
        <v>12</v>
      </c>
      <c r="M4924" s="5">
        <f t="shared" si="592"/>
        <v>2012</v>
      </c>
    </row>
    <row r="4925" spans="1:13" ht="15" x14ac:dyDescent="0.25">
      <c r="A4925" s="1">
        <f>DATE(2012,12,19)</f>
        <v>41262</v>
      </c>
      <c r="B4925" t="s">
        <v>11</v>
      </c>
      <c r="C4925" t="s">
        <v>6</v>
      </c>
      <c r="D4925" s="3">
        <v>4504.6782000000003</v>
      </c>
      <c r="E4925" s="3">
        <v>0</v>
      </c>
      <c r="F4925" t="s">
        <v>45</v>
      </c>
      <c r="G4925" s="3">
        <f t="shared" si="586"/>
        <v>-4504.6782000000003</v>
      </c>
      <c r="H4925" s="3">
        <f t="shared" si="587"/>
        <v>4504.6782000000003</v>
      </c>
      <c r="I4925" s="5" t="str">
        <f t="shared" si="588"/>
        <v>016</v>
      </c>
      <c r="J4925" s="5" t="str">
        <f t="shared" si="589"/>
        <v>2100</v>
      </c>
      <c r="K4925" s="5" t="str">
        <f t="shared" si="590"/>
        <v>000</v>
      </c>
      <c r="L4925" s="5">
        <f t="shared" si="591"/>
        <v>12</v>
      </c>
      <c r="M4925" s="5">
        <f t="shared" si="592"/>
        <v>2012</v>
      </c>
    </row>
    <row r="4926" spans="1:13" ht="15" x14ac:dyDescent="0.25">
      <c r="A4926" s="1">
        <f>DATE(2012,12,19)</f>
        <v>41262</v>
      </c>
      <c r="B4926" t="s">
        <v>12</v>
      </c>
      <c r="C4926" t="s">
        <v>8</v>
      </c>
      <c r="D4926" s="3">
        <v>1164.3571999999999</v>
      </c>
      <c r="E4926" s="3">
        <v>0</v>
      </c>
      <c r="F4926" t="s">
        <v>45</v>
      </c>
      <c r="G4926" s="3">
        <f t="shared" si="586"/>
        <v>-1164.3571999999999</v>
      </c>
      <c r="H4926" s="3">
        <f t="shared" si="587"/>
        <v>1164.3571999999999</v>
      </c>
      <c r="I4926" s="5" t="str">
        <f t="shared" si="588"/>
        <v>016</v>
      </c>
      <c r="J4926" s="5" t="str">
        <f t="shared" si="589"/>
        <v>2210</v>
      </c>
      <c r="K4926" s="5" t="str">
        <f t="shared" si="590"/>
        <v>000</v>
      </c>
      <c r="L4926" s="5">
        <f t="shared" si="591"/>
        <v>12</v>
      </c>
      <c r="M4926" s="5">
        <f t="shared" si="592"/>
        <v>2012</v>
      </c>
    </row>
    <row r="4927" spans="1:13" ht="15" x14ac:dyDescent="0.25">
      <c r="A4927" s="1">
        <f>DATE(2012,12,19)</f>
        <v>41262</v>
      </c>
      <c r="B4927" t="s">
        <v>13</v>
      </c>
      <c r="C4927" t="s">
        <v>9</v>
      </c>
      <c r="D4927" s="3">
        <v>244.30700000000002</v>
      </c>
      <c r="E4927" s="3">
        <v>0</v>
      </c>
      <c r="F4927" t="s">
        <v>45</v>
      </c>
      <c r="G4927" s="3">
        <f t="shared" si="586"/>
        <v>-244.30700000000002</v>
      </c>
      <c r="H4927" s="3">
        <f t="shared" si="587"/>
        <v>244.30700000000002</v>
      </c>
      <c r="I4927" s="5" t="str">
        <f t="shared" si="588"/>
        <v>016</v>
      </c>
      <c r="J4927" s="5" t="str">
        <f t="shared" si="589"/>
        <v>2220</v>
      </c>
      <c r="K4927" s="5" t="str">
        <f t="shared" si="590"/>
        <v>000</v>
      </c>
      <c r="L4927" s="5">
        <f t="shared" si="591"/>
        <v>12</v>
      </c>
      <c r="M4927" s="5">
        <f t="shared" si="592"/>
        <v>2012</v>
      </c>
    </row>
    <row r="4928" spans="1:13" ht="15" x14ac:dyDescent="0.25">
      <c r="A4928" s="1">
        <f>DATE(2012,12,19)</f>
        <v>41262</v>
      </c>
      <c r="B4928" t="s">
        <v>14</v>
      </c>
      <c r="C4928" t="s">
        <v>10</v>
      </c>
      <c r="D4928" s="3">
        <v>52.177799999999998</v>
      </c>
      <c r="E4928" s="3">
        <v>0</v>
      </c>
      <c r="F4928" t="s">
        <v>45</v>
      </c>
      <c r="G4928" s="3">
        <f t="shared" si="586"/>
        <v>-52.177799999999998</v>
      </c>
      <c r="H4928" s="3">
        <f t="shared" si="587"/>
        <v>52.177799999999998</v>
      </c>
      <c r="I4928" s="5" t="str">
        <f t="shared" si="588"/>
        <v>016</v>
      </c>
      <c r="J4928" s="5" t="str">
        <f t="shared" si="589"/>
        <v>2230</v>
      </c>
      <c r="K4928" s="5" t="str">
        <f t="shared" si="590"/>
        <v>000</v>
      </c>
      <c r="L4928" s="5">
        <f t="shared" si="591"/>
        <v>12</v>
      </c>
      <c r="M4928" s="5">
        <f t="shared" si="592"/>
        <v>2012</v>
      </c>
    </row>
    <row r="4929" spans="1:13" ht="15" x14ac:dyDescent="0.25">
      <c r="A4929" s="1">
        <f>DATE(2012,12,20)</f>
        <v>41263</v>
      </c>
      <c r="B4929" t="s">
        <v>11</v>
      </c>
      <c r="C4929" t="s">
        <v>6</v>
      </c>
      <c r="D4929" s="3">
        <v>6255.9900000000007</v>
      </c>
      <c r="E4929" s="3">
        <v>0</v>
      </c>
      <c r="F4929" t="s">
        <v>45</v>
      </c>
      <c r="G4929" s="3">
        <f t="shared" si="586"/>
        <v>-6255.9900000000007</v>
      </c>
      <c r="H4929" s="3">
        <f t="shared" si="587"/>
        <v>6255.9900000000007</v>
      </c>
      <c r="I4929" s="5" t="str">
        <f t="shared" si="588"/>
        <v>016</v>
      </c>
      <c r="J4929" s="5" t="str">
        <f t="shared" si="589"/>
        <v>2100</v>
      </c>
      <c r="K4929" s="5" t="str">
        <f t="shared" si="590"/>
        <v>000</v>
      </c>
      <c r="L4929" s="5">
        <f t="shared" si="591"/>
        <v>12</v>
      </c>
      <c r="M4929" s="5">
        <f t="shared" si="592"/>
        <v>2012</v>
      </c>
    </row>
    <row r="4930" spans="1:13" ht="15" x14ac:dyDescent="0.25">
      <c r="A4930" s="1">
        <f>DATE(2012,12,20)</f>
        <v>41263</v>
      </c>
      <c r="B4930" t="s">
        <v>12</v>
      </c>
      <c r="C4930" t="s">
        <v>8</v>
      </c>
      <c r="D4930" s="3">
        <v>1667.0694999999998</v>
      </c>
      <c r="E4930" s="3">
        <v>0</v>
      </c>
      <c r="F4930" t="s">
        <v>45</v>
      </c>
      <c r="G4930" s="3">
        <f t="shared" ref="G4930:G4993" si="593">E4930-D4930</f>
        <v>-1667.0694999999998</v>
      </c>
      <c r="H4930" s="3">
        <f t="shared" ref="H4930:H4993" si="594">ABS(G4930)</f>
        <v>1667.0694999999998</v>
      </c>
      <c r="I4930" s="5" t="str">
        <f t="shared" ref="I4930:I4993" si="595">MID(B4930,1,3)</f>
        <v>016</v>
      </c>
      <c r="J4930" s="5" t="str">
        <f t="shared" ref="J4930:J4993" si="596">MID(B4930,5,4)</f>
        <v>2210</v>
      </c>
      <c r="K4930" s="5" t="str">
        <f t="shared" ref="K4930:K4993" si="597">MID(B4930,10,3)</f>
        <v>000</v>
      </c>
      <c r="L4930" s="5">
        <f t="shared" ref="L4930:L4993" si="598">MONTH(A4930)</f>
        <v>12</v>
      </c>
      <c r="M4930" s="5">
        <f t="shared" ref="M4930:M4993" si="599">YEAR(A4930)</f>
        <v>2012</v>
      </c>
    </row>
    <row r="4931" spans="1:13" ht="15" x14ac:dyDescent="0.25">
      <c r="A4931" s="1">
        <f>DATE(2012,12,20)</f>
        <v>41263</v>
      </c>
      <c r="B4931" t="s">
        <v>13</v>
      </c>
      <c r="C4931" t="s">
        <v>9</v>
      </c>
      <c r="D4931" s="3">
        <v>301.13159999999999</v>
      </c>
      <c r="E4931" s="3">
        <v>0</v>
      </c>
      <c r="F4931" t="s">
        <v>45</v>
      </c>
      <c r="G4931" s="3">
        <f t="shared" si="593"/>
        <v>-301.13159999999999</v>
      </c>
      <c r="H4931" s="3">
        <f t="shared" si="594"/>
        <v>301.13159999999999</v>
      </c>
      <c r="I4931" s="5" t="str">
        <f t="shared" si="595"/>
        <v>016</v>
      </c>
      <c r="J4931" s="5" t="str">
        <f t="shared" si="596"/>
        <v>2220</v>
      </c>
      <c r="K4931" s="5" t="str">
        <f t="shared" si="597"/>
        <v>000</v>
      </c>
      <c r="L4931" s="5">
        <f t="shared" si="598"/>
        <v>12</v>
      </c>
      <c r="M4931" s="5">
        <f t="shared" si="599"/>
        <v>2012</v>
      </c>
    </row>
    <row r="4932" spans="1:13" ht="15" x14ac:dyDescent="0.25">
      <c r="A4932" s="1">
        <f>DATE(2012,12,20)</f>
        <v>41263</v>
      </c>
      <c r="B4932" t="s">
        <v>14</v>
      </c>
      <c r="C4932" t="s">
        <v>10</v>
      </c>
      <c r="D4932" s="3">
        <v>144.60570000000001</v>
      </c>
      <c r="E4932" s="3">
        <v>0</v>
      </c>
      <c r="F4932" t="s">
        <v>45</v>
      </c>
      <c r="G4932" s="3">
        <f t="shared" si="593"/>
        <v>-144.60570000000001</v>
      </c>
      <c r="H4932" s="3">
        <f t="shared" si="594"/>
        <v>144.60570000000001</v>
      </c>
      <c r="I4932" s="5" t="str">
        <f t="shared" si="595"/>
        <v>016</v>
      </c>
      <c r="J4932" s="5" t="str">
        <f t="shared" si="596"/>
        <v>2230</v>
      </c>
      <c r="K4932" s="5" t="str">
        <f t="shared" si="597"/>
        <v>000</v>
      </c>
      <c r="L4932" s="5">
        <f t="shared" si="598"/>
        <v>12</v>
      </c>
      <c r="M4932" s="5">
        <f t="shared" si="599"/>
        <v>2012</v>
      </c>
    </row>
    <row r="4933" spans="1:13" ht="15" x14ac:dyDescent="0.25">
      <c r="A4933" s="1">
        <f>DATE(2012,12,21)</f>
        <v>41264</v>
      </c>
      <c r="B4933" t="s">
        <v>11</v>
      </c>
      <c r="C4933" t="s">
        <v>6</v>
      </c>
      <c r="D4933" s="3">
        <v>5438.6283999999996</v>
      </c>
      <c r="E4933" s="3">
        <v>0</v>
      </c>
      <c r="F4933" t="s">
        <v>45</v>
      </c>
      <c r="G4933" s="3">
        <f t="shared" si="593"/>
        <v>-5438.6283999999996</v>
      </c>
      <c r="H4933" s="3">
        <f t="shared" si="594"/>
        <v>5438.6283999999996</v>
      </c>
      <c r="I4933" s="5" t="str">
        <f t="shared" si="595"/>
        <v>016</v>
      </c>
      <c r="J4933" s="5" t="str">
        <f t="shared" si="596"/>
        <v>2100</v>
      </c>
      <c r="K4933" s="5" t="str">
        <f t="shared" si="597"/>
        <v>000</v>
      </c>
      <c r="L4933" s="5">
        <f t="shared" si="598"/>
        <v>12</v>
      </c>
      <c r="M4933" s="5">
        <f t="shared" si="599"/>
        <v>2012</v>
      </c>
    </row>
    <row r="4934" spans="1:13" ht="15" x14ac:dyDescent="0.25">
      <c r="A4934" s="1">
        <f>DATE(2012,12,21)</f>
        <v>41264</v>
      </c>
      <c r="B4934" t="s">
        <v>12</v>
      </c>
      <c r="C4934" t="s">
        <v>8</v>
      </c>
      <c r="D4934" s="3">
        <v>1724.0960000000002</v>
      </c>
      <c r="E4934" s="3">
        <v>0</v>
      </c>
      <c r="F4934" t="s">
        <v>45</v>
      </c>
      <c r="G4934" s="3">
        <f t="shared" si="593"/>
        <v>-1724.0960000000002</v>
      </c>
      <c r="H4934" s="3">
        <f t="shared" si="594"/>
        <v>1724.0960000000002</v>
      </c>
      <c r="I4934" s="5" t="str">
        <f t="shared" si="595"/>
        <v>016</v>
      </c>
      <c r="J4934" s="5" t="str">
        <f t="shared" si="596"/>
        <v>2210</v>
      </c>
      <c r="K4934" s="5" t="str">
        <f t="shared" si="597"/>
        <v>000</v>
      </c>
      <c r="L4934" s="5">
        <f t="shared" si="598"/>
        <v>12</v>
      </c>
      <c r="M4934" s="5">
        <f t="shared" si="599"/>
        <v>2012</v>
      </c>
    </row>
    <row r="4935" spans="1:13" ht="15" x14ac:dyDescent="0.25">
      <c r="A4935" s="1">
        <f>DATE(2012,12,21)</f>
        <v>41264</v>
      </c>
      <c r="B4935" t="s">
        <v>13</v>
      </c>
      <c r="C4935" t="s">
        <v>9</v>
      </c>
      <c r="D4935" s="3">
        <v>294.23599999999999</v>
      </c>
      <c r="E4935" s="3">
        <v>0</v>
      </c>
      <c r="F4935" t="s">
        <v>45</v>
      </c>
      <c r="G4935" s="3">
        <f t="shared" si="593"/>
        <v>-294.23599999999999</v>
      </c>
      <c r="H4935" s="3">
        <f t="shared" si="594"/>
        <v>294.23599999999999</v>
      </c>
      <c r="I4935" s="5" t="str">
        <f t="shared" si="595"/>
        <v>016</v>
      </c>
      <c r="J4935" s="5" t="str">
        <f t="shared" si="596"/>
        <v>2220</v>
      </c>
      <c r="K4935" s="5" t="str">
        <f t="shared" si="597"/>
        <v>000</v>
      </c>
      <c r="L4935" s="5">
        <f t="shared" si="598"/>
        <v>12</v>
      </c>
      <c r="M4935" s="5">
        <f t="shared" si="599"/>
        <v>2012</v>
      </c>
    </row>
    <row r="4936" spans="1:13" ht="15" x14ac:dyDescent="0.25">
      <c r="A4936" s="1">
        <f>DATE(2012,12,21)</f>
        <v>41264</v>
      </c>
      <c r="B4936" t="s">
        <v>14</v>
      </c>
      <c r="C4936" t="s">
        <v>10</v>
      </c>
      <c r="D4936" s="3">
        <v>201.38030000000001</v>
      </c>
      <c r="E4936" s="3">
        <v>0</v>
      </c>
      <c r="F4936" t="s">
        <v>45</v>
      </c>
      <c r="G4936" s="3">
        <f t="shared" si="593"/>
        <v>-201.38030000000001</v>
      </c>
      <c r="H4936" s="3">
        <f t="shared" si="594"/>
        <v>201.38030000000001</v>
      </c>
      <c r="I4936" s="5" t="str">
        <f t="shared" si="595"/>
        <v>016</v>
      </c>
      <c r="J4936" s="5" t="str">
        <f t="shared" si="596"/>
        <v>2230</v>
      </c>
      <c r="K4936" s="5" t="str">
        <f t="shared" si="597"/>
        <v>000</v>
      </c>
      <c r="L4936" s="5">
        <f t="shared" si="598"/>
        <v>12</v>
      </c>
      <c r="M4936" s="5">
        <f t="shared" si="599"/>
        <v>2012</v>
      </c>
    </row>
    <row r="4937" spans="1:13" ht="15" x14ac:dyDescent="0.25">
      <c r="A4937" s="1">
        <f>DATE(2012,12,22)</f>
        <v>41265</v>
      </c>
      <c r="B4937" t="s">
        <v>11</v>
      </c>
      <c r="C4937" t="s">
        <v>6</v>
      </c>
      <c r="D4937" s="3">
        <v>9015.8160000000007</v>
      </c>
      <c r="E4937" s="3">
        <v>0</v>
      </c>
      <c r="F4937" t="s">
        <v>45</v>
      </c>
      <c r="G4937" s="3">
        <f t="shared" si="593"/>
        <v>-9015.8160000000007</v>
      </c>
      <c r="H4937" s="3">
        <f t="shared" si="594"/>
        <v>9015.8160000000007</v>
      </c>
      <c r="I4937" s="5" t="str">
        <f t="shared" si="595"/>
        <v>016</v>
      </c>
      <c r="J4937" s="5" t="str">
        <f t="shared" si="596"/>
        <v>2100</v>
      </c>
      <c r="K4937" s="5" t="str">
        <f t="shared" si="597"/>
        <v>000</v>
      </c>
      <c r="L4937" s="5">
        <f t="shared" si="598"/>
        <v>12</v>
      </c>
      <c r="M4937" s="5">
        <f t="shared" si="599"/>
        <v>2012</v>
      </c>
    </row>
    <row r="4938" spans="1:13" ht="15" x14ac:dyDescent="0.25">
      <c r="A4938" s="1">
        <f>DATE(2012,12,22)</f>
        <v>41265</v>
      </c>
      <c r="B4938" t="s">
        <v>12</v>
      </c>
      <c r="C4938" t="s">
        <v>8</v>
      </c>
      <c r="D4938" s="3">
        <v>3306.9594999999999</v>
      </c>
      <c r="E4938" s="3">
        <v>0</v>
      </c>
      <c r="F4938" t="s">
        <v>45</v>
      </c>
      <c r="G4938" s="3">
        <f t="shared" si="593"/>
        <v>-3306.9594999999999</v>
      </c>
      <c r="H4938" s="3">
        <f t="shared" si="594"/>
        <v>3306.9594999999999</v>
      </c>
      <c r="I4938" s="5" t="str">
        <f t="shared" si="595"/>
        <v>016</v>
      </c>
      <c r="J4938" s="5" t="str">
        <f t="shared" si="596"/>
        <v>2210</v>
      </c>
      <c r="K4938" s="5" t="str">
        <f t="shared" si="597"/>
        <v>000</v>
      </c>
      <c r="L4938" s="5">
        <f t="shared" si="598"/>
        <v>12</v>
      </c>
      <c r="M4938" s="5">
        <f t="shared" si="599"/>
        <v>2012</v>
      </c>
    </row>
    <row r="4939" spans="1:13" ht="15" x14ac:dyDescent="0.25">
      <c r="A4939" s="1">
        <f>DATE(2012,12,22)</f>
        <v>41265</v>
      </c>
      <c r="B4939" t="s">
        <v>13</v>
      </c>
      <c r="C4939" t="s">
        <v>9</v>
      </c>
      <c r="D4939" s="3">
        <v>564.78250000000003</v>
      </c>
      <c r="E4939" s="3">
        <v>0</v>
      </c>
      <c r="F4939" t="s">
        <v>45</v>
      </c>
      <c r="G4939" s="3">
        <f t="shared" si="593"/>
        <v>-564.78250000000003</v>
      </c>
      <c r="H4939" s="3">
        <f t="shared" si="594"/>
        <v>564.78250000000003</v>
      </c>
      <c r="I4939" s="5" t="str">
        <f t="shared" si="595"/>
        <v>016</v>
      </c>
      <c r="J4939" s="5" t="str">
        <f t="shared" si="596"/>
        <v>2220</v>
      </c>
      <c r="K4939" s="5" t="str">
        <f t="shared" si="597"/>
        <v>000</v>
      </c>
      <c r="L4939" s="5">
        <f t="shared" si="598"/>
        <v>12</v>
      </c>
      <c r="M4939" s="5">
        <f t="shared" si="599"/>
        <v>2012</v>
      </c>
    </row>
    <row r="4940" spans="1:13" ht="15" x14ac:dyDescent="0.25">
      <c r="A4940" s="1">
        <f>DATE(2012,12,22)</f>
        <v>41265</v>
      </c>
      <c r="B4940" t="s">
        <v>14</v>
      </c>
      <c r="C4940" t="s">
        <v>10</v>
      </c>
      <c r="D4940" s="3">
        <v>204.44000000000003</v>
      </c>
      <c r="E4940" s="3">
        <v>0</v>
      </c>
      <c r="F4940" t="s">
        <v>45</v>
      </c>
      <c r="G4940" s="3">
        <f t="shared" si="593"/>
        <v>-204.44000000000003</v>
      </c>
      <c r="H4940" s="3">
        <f t="shared" si="594"/>
        <v>204.44000000000003</v>
      </c>
      <c r="I4940" s="5" t="str">
        <f t="shared" si="595"/>
        <v>016</v>
      </c>
      <c r="J4940" s="5" t="str">
        <f t="shared" si="596"/>
        <v>2230</v>
      </c>
      <c r="K4940" s="5" t="str">
        <f t="shared" si="597"/>
        <v>000</v>
      </c>
      <c r="L4940" s="5">
        <f t="shared" si="598"/>
        <v>12</v>
      </c>
      <c r="M4940" s="5">
        <f t="shared" si="599"/>
        <v>2012</v>
      </c>
    </row>
    <row r="4941" spans="1:13" ht="15" x14ac:dyDescent="0.25">
      <c r="A4941" s="1">
        <f>DATE(2012,12,23)</f>
        <v>41266</v>
      </c>
      <c r="B4941" t="s">
        <v>11</v>
      </c>
      <c r="C4941" t="s">
        <v>6</v>
      </c>
      <c r="D4941" s="3">
        <v>6337.0338000000002</v>
      </c>
      <c r="E4941" s="3">
        <v>0</v>
      </c>
      <c r="F4941" t="s">
        <v>45</v>
      </c>
      <c r="G4941" s="3">
        <f t="shared" si="593"/>
        <v>-6337.0338000000002</v>
      </c>
      <c r="H4941" s="3">
        <f t="shared" si="594"/>
        <v>6337.0338000000002</v>
      </c>
      <c r="I4941" s="5" t="str">
        <f t="shared" si="595"/>
        <v>016</v>
      </c>
      <c r="J4941" s="5" t="str">
        <f t="shared" si="596"/>
        <v>2100</v>
      </c>
      <c r="K4941" s="5" t="str">
        <f t="shared" si="597"/>
        <v>000</v>
      </c>
      <c r="L4941" s="5">
        <f t="shared" si="598"/>
        <v>12</v>
      </c>
      <c r="M4941" s="5">
        <f t="shared" si="599"/>
        <v>2012</v>
      </c>
    </row>
    <row r="4942" spans="1:13" ht="15" x14ac:dyDescent="0.25">
      <c r="A4942" s="1">
        <f>DATE(2012,12,23)</f>
        <v>41266</v>
      </c>
      <c r="B4942" t="s">
        <v>12</v>
      </c>
      <c r="C4942" t="s">
        <v>8</v>
      </c>
      <c r="D4942" s="3">
        <v>1268.2530000000002</v>
      </c>
      <c r="E4942" s="3">
        <v>0</v>
      </c>
      <c r="F4942" t="s">
        <v>45</v>
      </c>
      <c r="G4942" s="3">
        <f t="shared" si="593"/>
        <v>-1268.2530000000002</v>
      </c>
      <c r="H4942" s="3">
        <f t="shared" si="594"/>
        <v>1268.2530000000002</v>
      </c>
      <c r="I4942" s="5" t="str">
        <f t="shared" si="595"/>
        <v>016</v>
      </c>
      <c r="J4942" s="5" t="str">
        <f t="shared" si="596"/>
        <v>2210</v>
      </c>
      <c r="K4942" s="5" t="str">
        <f t="shared" si="597"/>
        <v>000</v>
      </c>
      <c r="L4942" s="5">
        <f t="shared" si="598"/>
        <v>12</v>
      </c>
      <c r="M4942" s="5">
        <f t="shared" si="599"/>
        <v>2012</v>
      </c>
    </row>
    <row r="4943" spans="1:13" ht="15" x14ac:dyDescent="0.25">
      <c r="A4943" s="1">
        <f>DATE(2012,12,23)</f>
        <v>41266</v>
      </c>
      <c r="B4943" t="s">
        <v>13</v>
      </c>
      <c r="C4943" t="s">
        <v>9</v>
      </c>
      <c r="D4943" s="3">
        <v>343.58850000000001</v>
      </c>
      <c r="E4943" s="3">
        <v>0</v>
      </c>
      <c r="F4943" t="s">
        <v>45</v>
      </c>
      <c r="G4943" s="3">
        <f t="shared" si="593"/>
        <v>-343.58850000000001</v>
      </c>
      <c r="H4943" s="3">
        <f t="shared" si="594"/>
        <v>343.58850000000001</v>
      </c>
      <c r="I4943" s="5" t="str">
        <f t="shared" si="595"/>
        <v>016</v>
      </c>
      <c r="J4943" s="5" t="str">
        <f t="shared" si="596"/>
        <v>2220</v>
      </c>
      <c r="K4943" s="5" t="str">
        <f t="shared" si="597"/>
        <v>000</v>
      </c>
      <c r="L4943" s="5">
        <f t="shared" si="598"/>
        <v>12</v>
      </c>
      <c r="M4943" s="5">
        <f t="shared" si="599"/>
        <v>2012</v>
      </c>
    </row>
    <row r="4944" spans="1:13" ht="15" x14ac:dyDescent="0.25">
      <c r="A4944" s="1">
        <f>DATE(2012,12,23)</f>
        <v>41266</v>
      </c>
      <c r="B4944" t="s">
        <v>14</v>
      </c>
      <c r="C4944" t="s">
        <v>10</v>
      </c>
      <c r="D4944" s="3">
        <v>183.71959999999999</v>
      </c>
      <c r="E4944" s="3">
        <v>0</v>
      </c>
      <c r="F4944" t="s">
        <v>45</v>
      </c>
      <c r="G4944" s="3">
        <f t="shared" si="593"/>
        <v>-183.71959999999999</v>
      </c>
      <c r="H4944" s="3">
        <f t="shared" si="594"/>
        <v>183.71959999999999</v>
      </c>
      <c r="I4944" s="5" t="str">
        <f t="shared" si="595"/>
        <v>016</v>
      </c>
      <c r="J4944" s="5" t="str">
        <f t="shared" si="596"/>
        <v>2230</v>
      </c>
      <c r="K4944" s="5" t="str">
        <f t="shared" si="597"/>
        <v>000</v>
      </c>
      <c r="L4944" s="5">
        <f t="shared" si="598"/>
        <v>12</v>
      </c>
      <c r="M4944" s="5">
        <f t="shared" si="599"/>
        <v>2012</v>
      </c>
    </row>
    <row r="4945" spans="1:13" ht="15" x14ac:dyDescent="0.25">
      <c r="A4945" s="1">
        <f>DATE(2012,12,17)</f>
        <v>41260</v>
      </c>
      <c r="B4945" t="s">
        <v>15</v>
      </c>
      <c r="C4945" t="s">
        <v>6</v>
      </c>
      <c r="D4945" s="3">
        <v>4731</v>
      </c>
      <c r="E4945" s="3">
        <v>0</v>
      </c>
      <c r="F4945" t="s">
        <v>45</v>
      </c>
      <c r="G4945" s="3">
        <f t="shared" si="593"/>
        <v>-4731</v>
      </c>
      <c r="H4945" s="3">
        <f t="shared" si="594"/>
        <v>4731</v>
      </c>
      <c r="I4945" s="5" t="str">
        <f t="shared" si="595"/>
        <v>017</v>
      </c>
      <c r="J4945" s="5" t="str">
        <f t="shared" si="596"/>
        <v>2100</v>
      </c>
      <c r="K4945" s="5" t="str">
        <f t="shared" si="597"/>
        <v>000</v>
      </c>
      <c r="L4945" s="5">
        <f t="shared" si="598"/>
        <v>12</v>
      </c>
      <c r="M4945" s="5">
        <f t="shared" si="599"/>
        <v>2012</v>
      </c>
    </row>
    <row r="4946" spans="1:13" ht="15" x14ac:dyDescent="0.25">
      <c r="A4946" s="1">
        <f>DATE(2012,12,17)</f>
        <v>41260</v>
      </c>
      <c r="B4946" t="s">
        <v>16</v>
      </c>
      <c r="C4946" t="s">
        <v>8</v>
      </c>
      <c r="D4946" s="3">
        <v>1379.0105000000001</v>
      </c>
      <c r="E4946" s="3">
        <v>0</v>
      </c>
      <c r="F4946" t="s">
        <v>45</v>
      </c>
      <c r="G4946" s="3">
        <f t="shared" si="593"/>
        <v>-1379.0105000000001</v>
      </c>
      <c r="H4946" s="3">
        <f t="shared" si="594"/>
        <v>1379.0105000000001</v>
      </c>
      <c r="I4946" s="5" t="str">
        <f t="shared" si="595"/>
        <v>017</v>
      </c>
      <c r="J4946" s="5" t="str">
        <f t="shared" si="596"/>
        <v>2210</v>
      </c>
      <c r="K4946" s="5" t="str">
        <f t="shared" si="597"/>
        <v>000</v>
      </c>
      <c r="L4946" s="5">
        <f t="shared" si="598"/>
        <v>12</v>
      </c>
      <c r="M4946" s="5">
        <f t="shared" si="599"/>
        <v>2012</v>
      </c>
    </row>
    <row r="4947" spans="1:13" ht="15" x14ac:dyDescent="0.25">
      <c r="A4947" s="1">
        <f>DATE(2012,12,17)</f>
        <v>41260</v>
      </c>
      <c r="B4947" t="s">
        <v>17</v>
      </c>
      <c r="C4947" t="s">
        <v>9</v>
      </c>
      <c r="D4947" s="3">
        <v>478.45069999999998</v>
      </c>
      <c r="E4947" s="3">
        <v>0</v>
      </c>
      <c r="F4947" t="s">
        <v>45</v>
      </c>
      <c r="G4947" s="3">
        <f t="shared" si="593"/>
        <v>-478.45069999999998</v>
      </c>
      <c r="H4947" s="3">
        <f t="shared" si="594"/>
        <v>478.45069999999998</v>
      </c>
      <c r="I4947" s="5" t="str">
        <f t="shared" si="595"/>
        <v>017</v>
      </c>
      <c r="J4947" s="5" t="str">
        <f t="shared" si="596"/>
        <v>2220</v>
      </c>
      <c r="K4947" s="5" t="str">
        <f t="shared" si="597"/>
        <v>000</v>
      </c>
      <c r="L4947" s="5">
        <f t="shared" si="598"/>
        <v>12</v>
      </c>
      <c r="M4947" s="5">
        <f t="shared" si="599"/>
        <v>2012</v>
      </c>
    </row>
    <row r="4948" spans="1:13" ht="15" x14ac:dyDescent="0.25">
      <c r="A4948" s="1">
        <f>DATE(2012,12,17)</f>
        <v>41260</v>
      </c>
      <c r="B4948" t="s">
        <v>18</v>
      </c>
      <c r="C4948" t="s">
        <v>10</v>
      </c>
      <c r="D4948" s="3">
        <v>143.547</v>
      </c>
      <c r="E4948" s="3">
        <v>0</v>
      </c>
      <c r="F4948" t="s">
        <v>45</v>
      </c>
      <c r="G4948" s="3">
        <f t="shared" si="593"/>
        <v>-143.547</v>
      </c>
      <c r="H4948" s="3">
        <f t="shared" si="594"/>
        <v>143.547</v>
      </c>
      <c r="I4948" s="5" t="str">
        <f t="shared" si="595"/>
        <v>017</v>
      </c>
      <c r="J4948" s="5" t="str">
        <f t="shared" si="596"/>
        <v>2230</v>
      </c>
      <c r="K4948" s="5" t="str">
        <f t="shared" si="597"/>
        <v>000</v>
      </c>
      <c r="L4948" s="5">
        <f t="shared" si="598"/>
        <v>12</v>
      </c>
      <c r="M4948" s="5">
        <f t="shared" si="599"/>
        <v>2012</v>
      </c>
    </row>
    <row r="4949" spans="1:13" ht="15" x14ac:dyDescent="0.25">
      <c r="A4949" s="1">
        <f>DATE(2012,12,18)</f>
        <v>41261</v>
      </c>
      <c r="B4949" t="s">
        <v>15</v>
      </c>
      <c r="C4949" t="s">
        <v>6</v>
      </c>
      <c r="D4949" s="3">
        <v>4683.0671999999995</v>
      </c>
      <c r="E4949" s="3">
        <v>0</v>
      </c>
      <c r="F4949" t="s">
        <v>45</v>
      </c>
      <c r="G4949" s="3">
        <f t="shared" si="593"/>
        <v>-4683.0671999999995</v>
      </c>
      <c r="H4949" s="3">
        <f t="shared" si="594"/>
        <v>4683.0671999999995</v>
      </c>
      <c r="I4949" s="5" t="str">
        <f t="shared" si="595"/>
        <v>017</v>
      </c>
      <c r="J4949" s="5" t="str">
        <f t="shared" si="596"/>
        <v>2100</v>
      </c>
      <c r="K4949" s="5" t="str">
        <f t="shared" si="597"/>
        <v>000</v>
      </c>
      <c r="L4949" s="5">
        <f t="shared" si="598"/>
        <v>12</v>
      </c>
      <c r="M4949" s="5">
        <f t="shared" si="599"/>
        <v>2012</v>
      </c>
    </row>
    <row r="4950" spans="1:13" ht="15" x14ac:dyDescent="0.25">
      <c r="A4950" s="1">
        <f>DATE(2012,12,18)</f>
        <v>41261</v>
      </c>
      <c r="B4950" t="s">
        <v>16</v>
      </c>
      <c r="C4950" t="s">
        <v>8</v>
      </c>
      <c r="D4950" s="3">
        <v>1305.9174</v>
      </c>
      <c r="E4950" s="3">
        <v>0</v>
      </c>
      <c r="F4950" t="s">
        <v>45</v>
      </c>
      <c r="G4950" s="3">
        <f t="shared" si="593"/>
        <v>-1305.9174</v>
      </c>
      <c r="H4950" s="3">
        <f t="shared" si="594"/>
        <v>1305.9174</v>
      </c>
      <c r="I4950" s="5" t="str">
        <f t="shared" si="595"/>
        <v>017</v>
      </c>
      <c r="J4950" s="5" t="str">
        <f t="shared" si="596"/>
        <v>2210</v>
      </c>
      <c r="K4950" s="5" t="str">
        <f t="shared" si="597"/>
        <v>000</v>
      </c>
      <c r="L4950" s="5">
        <f t="shared" si="598"/>
        <v>12</v>
      </c>
      <c r="M4950" s="5">
        <f t="shared" si="599"/>
        <v>2012</v>
      </c>
    </row>
    <row r="4951" spans="1:13" ht="15" x14ac:dyDescent="0.25">
      <c r="A4951" s="1">
        <f>DATE(2012,12,18)</f>
        <v>41261</v>
      </c>
      <c r="B4951" t="s">
        <v>17</v>
      </c>
      <c r="C4951" t="s">
        <v>9</v>
      </c>
      <c r="D4951" s="3">
        <v>438.34399999999999</v>
      </c>
      <c r="E4951" s="3">
        <v>0</v>
      </c>
      <c r="F4951" t="s">
        <v>45</v>
      </c>
      <c r="G4951" s="3">
        <f t="shared" si="593"/>
        <v>-438.34399999999999</v>
      </c>
      <c r="H4951" s="3">
        <f t="shared" si="594"/>
        <v>438.34399999999999</v>
      </c>
      <c r="I4951" s="5" t="str">
        <f t="shared" si="595"/>
        <v>017</v>
      </c>
      <c r="J4951" s="5" t="str">
        <f t="shared" si="596"/>
        <v>2220</v>
      </c>
      <c r="K4951" s="5" t="str">
        <f t="shared" si="597"/>
        <v>000</v>
      </c>
      <c r="L4951" s="5">
        <f t="shared" si="598"/>
        <v>12</v>
      </c>
      <c r="M4951" s="5">
        <f t="shared" si="599"/>
        <v>2012</v>
      </c>
    </row>
    <row r="4952" spans="1:13" ht="15" x14ac:dyDescent="0.25">
      <c r="A4952" s="1">
        <f>DATE(2012,12,18)</f>
        <v>41261</v>
      </c>
      <c r="B4952" t="s">
        <v>18</v>
      </c>
      <c r="C4952" t="s">
        <v>10</v>
      </c>
      <c r="D4952" s="3">
        <v>193.02799999999999</v>
      </c>
      <c r="E4952" s="3">
        <v>0</v>
      </c>
      <c r="F4952" t="s">
        <v>45</v>
      </c>
      <c r="G4952" s="3">
        <f t="shared" si="593"/>
        <v>-193.02799999999999</v>
      </c>
      <c r="H4952" s="3">
        <f t="shared" si="594"/>
        <v>193.02799999999999</v>
      </c>
      <c r="I4952" s="5" t="str">
        <f t="shared" si="595"/>
        <v>017</v>
      </c>
      <c r="J4952" s="5" t="str">
        <f t="shared" si="596"/>
        <v>2230</v>
      </c>
      <c r="K4952" s="5" t="str">
        <f t="shared" si="597"/>
        <v>000</v>
      </c>
      <c r="L4952" s="5">
        <f t="shared" si="598"/>
        <v>12</v>
      </c>
      <c r="M4952" s="5">
        <f t="shared" si="599"/>
        <v>2012</v>
      </c>
    </row>
    <row r="4953" spans="1:13" ht="15" x14ac:dyDescent="0.25">
      <c r="A4953" s="1">
        <f>DATE(2012,12,19)</f>
        <v>41262</v>
      </c>
      <c r="B4953" t="s">
        <v>15</v>
      </c>
      <c r="C4953" t="s">
        <v>6</v>
      </c>
      <c r="D4953" s="3">
        <v>8343.5334999999995</v>
      </c>
      <c r="E4953" s="3">
        <v>0</v>
      </c>
      <c r="F4953" t="s">
        <v>45</v>
      </c>
      <c r="G4953" s="3">
        <f t="shared" si="593"/>
        <v>-8343.5334999999995</v>
      </c>
      <c r="H4953" s="3">
        <f t="shared" si="594"/>
        <v>8343.5334999999995</v>
      </c>
      <c r="I4953" s="5" t="str">
        <f t="shared" si="595"/>
        <v>017</v>
      </c>
      <c r="J4953" s="5" t="str">
        <f t="shared" si="596"/>
        <v>2100</v>
      </c>
      <c r="K4953" s="5" t="str">
        <f t="shared" si="597"/>
        <v>000</v>
      </c>
      <c r="L4953" s="5">
        <f t="shared" si="598"/>
        <v>12</v>
      </c>
      <c r="M4953" s="5">
        <f t="shared" si="599"/>
        <v>2012</v>
      </c>
    </row>
    <row r="4954" spans="1:13" ht="15" x14ac:dyDescent="0.25">
      <c r="A4954" s="1">
        <f>DATE(2012,12,19)</f>
        <v>41262</v>
      </c>
      <c r="B4954" t="s">
        <v>16</v>
      </c>
      <c r="C4954" t="s">
        <v>8</v>
      </c>
      <c r="D4954" s="3">
        <v>2216.0733</v>
      </c>
      <c r="E4954" s="3">
        <v>0</v>
      </c>
      <c r="F4954" t="s">
        <v>45</v>
      </c>
      <c r="G4954" s="3">
        <f t="shared" si="593"/>
        <v>-2216.0733</v>
      </c>
      <c r="H4954" s="3">
        <f t="shared" si="594"/>
        <v>2216.0733</v>
      </c>
      <c r="I4954" s="5" t="str">
        <f t="shared" si="595"/>
        <v>017</v>
      </c>
      <c r="J4954" s="5" t="str">
        <f t="shared" si="596"/>
        <v>2210</v>
      </c>
      <c r="K4954" s="5" t="str">
        <f t="shared" si="597"/>
        <v>000</v>
      </c>
      <c r="L4954" s="5">
        <f t="shared" si="598"/>
        <v>12</v>
      </c>
      <c r="M4954" s="5">
        <f t="shared" si="599"/>
        <v>2012</v>
      </c>
    </row>
    <row r="4955" spans="1:13" ht="15" x14ac:dyDescent="0.25">
      <c r="A4955" s="1">
        <f>DATE(2012,12,19)</f>
        <v>41262</v>
      </c>
      <c r="B4955" t="s">
        <v>17</v>
      </c>
      <c r="C4955" t="s">
        <v>9</v>
      </c>
      <c r="D4955" s="3">
        <v>385.72169999999994</v>
      </c>
      <c r="E4955" s="3">
        <v>0</v>
      </c>
      <c r="F4955" t="s">
        <v>45</v>
      </c>
      <c r="G4955" s="3">
        <f t="shared" si="593"/>
        <v>-385.72169999999994</v>
      </c>
      <c r="H4955" s="3">
        <f t="shared" si="594"/>
        <v>385.72169999999994</v>
      </c>
      <c r="I4955" s="5" t="str">
        <f t="shared" si="595"/>
        <v>017</v>
      </c>
      <c r="J4955" s="5" t="str">
        <f t="shared" si="596"/>
        <v>2220</v>
      </c>
      <c r="K4955" s="5" t="str">
        <f t="shared" si="597"/>
        <v>000</v>
      </c>
      <c r="L4955" s="5">
        <f t="shared" si="598"/>
        <v>12</v>
      </c>
      <c r="M4955" s="5">
        <f t="shared" si="599"/>
        <v>2012</v>
      </c>
    </row>
    <row r="4956" spans="1:13" ht="15" x14ac:dyDescent="0.25">
      <c r="A4956" s="1">
        <f>DATE(2012,12,19)</f>
        <v>41262</v>
      </c>
      <c r="B4956" t="s">
        <v>18</v>
      </c>
      <c r="C4956" t="s">
        <v>10</v>
      </c>
      <c r="D4956" s="3">
        <v>154.63309999999998</v>
      </c>
      <c r="E4956" s="3">
        <v>0</v>
      </c>
      <c r="F4956" t="s">
        <v>45</v>
      </c>
      <c r="G4956" s="3">
        <f t="shared" si="593"/>
        <v>-154.63309999999998</v>
      </c>
      <c r="H4956" s="3">
        <f t="shared" si="594"/>
        <v>154.63309999999998</v>
      </c>
      <c r="I4956" s="5" t="str">
        <f t="shared" si="595"/>
        <v>017</v>
      </c>
      <c r="J4956" s="5" t="str">
        <f t="shared" si="596"/>
        <v>2230</v>
      </c>
      <c r="K4956" s="5" t="str">
        <f t="shared" si="597"/>
        <v>000</v>
      </c>
      <c r="L4956" s="5">
        <f t="shared" si="598"/>
        <v>12</v>
      </c>
      <c r="M4956" s="5">
        <f t="shared" si="599"/>
        <v>2012</v>
      </c>
    </row>
    <row r="4957" spans="1:13" ht="15" x14ac:dyDescent="0.25">
      <c r="A4957" s="1">
        <f>DATE(2012,12,20)</f>
        <v>41263</v>
      </c>
      <c r="B4957" t="s">
        <v>15</v>
      </c>
      <c r="C4957" t="s">
        <v>6</v>
      </c>
      <c r="D4957" s="3">
        <v>7101.5712000000012</v>
      </c>
      <c r="E4957" s="3">
        <v>0</v>
      </c>
      <c r="F4957" t="s">
        <v>45</v>
      </c>
      <c r="G4957" s="3">
        <f t="shared" si="593"/>
        <v>-7101.5712000000012</v>
      </c>
      <c r="H4957" s="3">
        <f t="shared" si="594"/>
        <v>7101.5712000000012</v>
      </c>
      <c r="I4957" s="5" t="str">
        <f t="shared" si="595"/>
        <v>017</v>
      </c>
      <c r="J4957" s="5" t="str">
        <f t="shared" si="596"/>
        <v>2100</v>
      </c>
      <c r="K4957" s="5" t="str">
        <f t="shared" si="597"/>
        <v>000</v>
      </c>
      <c r="L4957" s="5">
        <f t="shared" si="598"/>
        <v>12</v>
      </c>
      <c r="M4957" s="5">
        <f t="shared" si="599"/>
        <v>2012</v>
      </c>
    </row>
    <row r="4958" spans="1:13" ht="15" x14ac:dyDescent="0.25">
      <c r="A4958" s="1">
        <f>DATE(2012,12,20)</f>
        <v>41263</v>
      </c>
      <c r="B4958" t="s">
        <v>16</v>
      </c>
      <c r="C4958" t="s">
        <v>8</v>
      </c>
      <c r="D4958" s="3">
        <v>2082.1159000000002</v>
      </c>
      <c r="E4958" s="3">
        <v>0</v>
      </c>
      <c r="F4958" t="s">
        <v>45</v>
      </c>
      <c r="G4958" s="3">
        <f t="shared" si="593"/>
        <v>-2082.1159000000002</v>
      </c>
      <c r="H4958" s="3">
        <f t="shared" si="594"/>
        <v>2082.1159000000002</v>
      </c>
      <c r="I4958" s="5" t="str">
        <f t="shared" si="595"/>
        <v>017</v>
      </c>
      <c r="J4958" s="5" t="str">
        <f t="shared" si="596"/>
        <v>2210</v>
      </c>
      <c r="K4958" s="5" t="str">
        <f t="shared" si="597"/>
        <v>000</v>
      </c>
      <c r="L4958" s="5">
        <f t="shared" si="598"/>
        <v>12</v>
      </c>
      <c r="M4958" s="5">
        <f t="shared" si="599"/>
        <v>2012</v>
      </c>
    </row>
    <row r="4959" spans="1:13" ht="15" x14ac:dyDescent="0.25">
      <c r="A4959" s="1">
        <f>DATE(2012,12,20)</f>
        <v>41263</v>
      </c>
      <c r="B4959" t="s">
        <v>17</v>
      </c>
      <c r="C4959" t="s">
        <v>9</v>
      </c>
      <c r="D4959" s="3">
        <v>289.74400000000003</v>
      </c>
      <c r="E4959" s="3">
        <v>0</v>
      </c>
      <c r="F4959" t="s">
        <v>45</v>
      </c>
      <c r="G4959" s="3">
        <f t="shared" si="593"/>
        <v>-289.74400000000003</v>
      </c>
      <c r="H4959" s="3">
        <f t="shared" si="594"/>
        <v>289.74400000000003</v>
      </c>
      <c r="I4959" s="5" t="str">
        <f t="shared" si="595"/>
        <v>017</v>
      </c>
      <c r="J4959" s="5" t="str">
        <f t="shared" si="596"/>
        <v>2220</v>
      </c>
      <c r="K4959" s="5" t="str">
        <f t="shared" si="597"/>
        <v>000</v>
      </c>
      <c r="L4959" s="5">
        <f t="shared" si="598"/>
        <v>12</v>
      </c>
      <c r="M4959" s="5">
        <f t="shared" si="599"/>
        <v>2012</v>
      </c>
    </row>
    <row r="4960" spans="1:13" ht="15" x14ac:dyDescent="0.25">
      <c r="A4960" s="1">
        <f>DATE(2012,12,20)</f>
        <v>41263</v>
      </c>
      <c r="B4960" t="s">
        <v>18</v>
      </c>
      <c r="C4960" t="s">
        <v>10</v>
      </c>
      <c r="D4960" s="3">
        <v>224.4348</v>
      </c>
      <c r="E4960" s="3">
        <v>0</v>
      </c>
      <c r="F4960" t="s">
        <v>45</v>
      </c>
      <c r="G4960" s="3">
        <f t="shared" si="593"/>
        <v>-224.4348</v>
      </c>
      <c r="H4960" s="3">
        <f t="shared" si="594"/>
        <v>224.4348</v>
      </c>
      <c r="I4960" s="5" t="str">
        <f t="shared" si="595"/>
        <v>017</v>
      </c>
      <c r="J4960" s="5" t="str">
        <f t="shared" si="596"/>
        <v>2230</v>
      </c>
      <c r="K4960" s="5" t="str">
        <f t="shared" si="597"/>
        <v>000</v>
      </c>
      <c r="L4960" s="5">
        <f t="shared" si="598"/>
        <v>12</v>
      </c>
      <c r="M4960" s="5">
        <f t="shared" si="599"/>
        <v>2012</v>
      </c>
    </row>
    <row r="4961" spans="1:13" ht="15" x14ac:dyDescent="0.25">
      <c r="A4961" s="1">
        <f>DATE(2012,12,21)</f>
        <v>41264</v>
      </c>
      <c r="B4961" t="s">
        <v>15</v>
      </c>
      <c r="C4961" t="s">
        <v>6</v>
      </c>
      <c r="D4961" s="3">
        <v>8493.0095999999994</v>
      </c>
      <c r="E4961" s="3">
        <v>0</v>
      </c>
      <c r="F4961" t="s">
        <v>45</v>
      </c>
      <c r="G4961" s="3">
        <f t="shared" si="593"/>
        <v>-8493.0095999999994</v>
      </c>
      <c r="H4961" s="3">
        <f t="shared" si="594"/>
        <v>8493.0095999999994</v>
      </c>
      <c r="I4961" s="5" t="str">
        <f t="shared" si="595"/>
        <v>017</v>
      </c>
      <c r="J4961" s="5" t="str">
        <f t="shared" si="596"/>
        <v>2100</v>
      </c>
      <c r="K4961" s="5" t="str">
        <f t="shared" si="597"/>
        <v>000</v>
      </c>
      <c r="L4961" s="5">
        <f t="shared" si="598"/>
        <v>12</v>
      </c>
      <c r="M4961" s="5">
        <f t="shared" si="599"/>
        <v>2012</v>
      </c>
    </row>
    <row r="4962" spans="1:13" ht="15" x14ac:dyDescent="0.25">
      <c r="A4962" s="1">
        <f>DATE(2012,12,21)</f>
        <v>41264</v>
      </c>
      <c r="B4962" t="s">
        <v>16</v>
      </c>
      <c r="C4962" t="s">
        <v>8</v>
      </c>
      <c r="D4962" s="3">
        <v>1433.0804000000001</v>
      </c>
      <c r="E4962" s="3">
        <v>0</v>
      </c>
      <c r="F4962" t="s">
        <v>45</v>
      </c>
      <c r="G4962" s="3">
        <f t="shared" si="593"/>
        <v>-1433.0804000000001</v>
      </c>
      <c r="H4962" s="3">
        <f t="shared" si="594"/>
        <v>1433.0804000000001</v>
      </c>
      <c r="I4962" s="5" t="str">
        <f t="shared" si="595"/>
        <v>017</v>
      </c>
      <c r="J4962" s="5" t="str">
        <f t="shared" si="596"/>
        <v>2210</v>
      </c>
      <c r="K4962" s="5" t="str">
        <f t="shared" si="597"/>
        <v>000</v>
      </c>
      <c r="L4962" s="5">
        <f t="shared" si="598"/>
        <v>12</v>
      </c>
      <c r="M4962" s="5">
        <f t="shared" si="599"/>
        <v>2012</v>
      </c>
    </row>
    <row r="4963" spans="1:13" ht="15" x14ac:dyDescent="0.25">
      <c r="A4963" s="1">
        <f>DATE(2012,12,21)</f>
        <v>41264</v>
      </c>
      <c r="B4963" t="s">
        <v>17</v>
      </c>
      <c r="C4963" t="s">
        <v>9</v>
      </c>
      <c r="D4963" s="3">
        <v>367.91599999999994</v>
      </c>
      <c r="E4963" s="3">
        <v>0</v>
      </c>
      <c r="F4963" t="s">
        <v>45</v>
      </c>
      <c r="G4963" s="3">
        <f t="shared" si="593"/>
        <v>-367.91599999999994</v>
      </c>
      <c r="H4963" s="3">
        <f t="shared" si="594"/>
        <v>367.91599999999994</v>
      </c>
      <c r="I4963" s="5" t="str">
        <f t="shared" si="595"/>
        <v>017</v>
      </c>
      <c r="J4963" s="5" t="str">
        <f t="shared" si="596"/>
        <v>2220</v>
      </c>
      <c r="K4963" s="5" t="str">
        <f t="shared" si="597"/>
        <v>000</v>
      </c>
      <c r="L4963" s="5">
        <f t="shared" si="598"/>
        <v>12</v>
      </c>
      <c r="M4963" s="5">
        <f t="shared" si="599"/>
        <v>2012</v>
      </c>
    </row>
    <row r="4964" spans="1:13" ht="15" x14ac:dyDescent="0.25">
      <c r="A4964" s="1">
        <f>DATE(2012,12,21)</f>
        <v>41264</v>
      </c>
      <c r="B4964" t="s">
        <v>18</v>
      </c>
      <c r="C4964" t="s">
        <v>10</v>
      </c>
      <c r="D4964" s="3">
        <v>146.70599999999999</v>
      </c>
      <c r="E4964" s="3">
        <v>0</v>
      </c>
      <c r="F4964" t="s">
        <v>45</v>
      </c>
      <c r="G4964" s="3">
        <f t="shared" si="593"/>
        <v>-146.70599999999999</v>
      </c>
      <c r="H4964" s="3">
        <f t="shared" si="594"/>
        <v>146.70599999999999</v>
      </c>
      <c r="I4964" s="5" t="str">
        <f t="shared" si="595"/>
        <v>017</v>
      </c>
      <c r="J4964" s="5" t="str">
        <f t="shared" si="596"/>
        <v>2230</v>
      </c>
      <c r="K4964" s="5" t="str">
        <f t="shared" si="597"/>
        <v>000</v>
      </c>
      <c r="L4964" s="5">
        <f t="shared" si="598"/>
        <v>12</v>
      </c>
      <c r="M4964" s="5">
        <f t="shared" si="599"/>
        <v>2012</v>
      </c>
    </row>
    <row r="4965" spans="1:13" ht="15" x14ac:dyDescent="0.25">
      <c r="A4965" s="1">
        <f>DATE(2012,12,22)</f>
        <v>41265</v>
      </c>
      <c r="B4965" t="s">
        <v>15</v>
      </c>
      <c r="C4965" t="s">
        <v>6</v>
      </c>
      <c r="D4965" s="3">
        <v>6998.9552000000003</v>
      </c>
      <c r="E4965" s="3">
        <v>0</v>
      </c>
      <c r="F4965" t="s">
        <v>45</v>
      </c>
      <c r="G4965" s="3">
        <f t="shared" si="593"/>
        <v>-6998.9552000000003</v>
      </c>
      <c r="H4965" s="3">
        <f t="shared" si="594"/>
        <v>6998.9552000000003</v>
      </c>
      <c r="I4965" s="5" t="str">
        <f t="shared" si="595"/>
        <v>017</v>
      </c>
      <c r="J4965" s="5" t="str">
        <f t="shared" si="596"/>
        <v>2100</v>
      </c>
      <c r="K4965" s="5" t="str">
        <f t="shared" si="597"/>
        <v>000</v>
      </c>
      <c r="L4965" s="5">
        <f t="shared" si="598"/>
        <v>12</v>
      </c>
      <c r="M4965" s="5">
        <f t="shared" si="599"/>
        <v>2012</v>
      </c>
    </row>
    <row r="4966" spans="1:13" ht="15" x14ac:dyDescent="0.25">
      <c r="A4966" s="1">
        <f>DATE(2012,12,22)</f>
        <v>41265</v>
      </c>
      <c r="B4966" t="s">
        <v>16</v>
      </c>
      <c r="C4966" t="s">
        <v>8</v>
      </c>
      <c r="D4966" s="3">
        <v>1414.5935999999999</v>
      </c>
      <c r="E4966" s="3">
        <v>0</v>
      </c>
      <c r="F4966" t="s">
        <v>45</v>
      </c>
      <c r="G4966" s="3">
        <f t="shared" si="593"/>
        <v>-1414.5935999999999</v>
      </c>
      <c r="H4966" s="3">
        <f t="shared" si="594"/>
        <v>1414.5935999999999</v>
      </c>
      <c r="I4966" s="5" t="str">
        <f t="shared" si="595"/>
        <v>017</v>
      </c>
      <c r="J4966" s="5" t="str">
        <f t="shared" si="596"/>
        <v>2210</v>
      </c>
      <c r="K4966" s="5" t="str">
        <f t="shared" si="597"/>
        <v>000</v>
      </c>
      <c r="L4966" s="5">
        <f t="shared" si="598"/>
        <v>12</v>
      </c>
      <c r="M4966" s="5">
        <f t="shared" si="599"/>
        <v>2012</v>
      </c>
    </row>
    <row r="4967" spans="1:13" ht="15" x14ac:dyDescent="0.25">
      <c r="A4967" s="1">
        <f>DATE(2012,12,22)</f>
        <v>41265</v>
      </c>
      <c r="B4967" t="s">
        <v>17</v>
      </c>
      <c r="C4967" t="s">
        <v>9</v>
      </c>
      <c r="D4967" s="3">
        <v>271.4853</v>
      </c>
      <c r="E4967" s="3">
        <v>0</v>
      </c>
      <c r="F4967" t="s">
        <v>45</v>
      </c>
      <c r="G4967" s="3">
        <f t="shared" si="593"/>
        <v>-271.4853</v>
      </c>
      <c r="H4967" s="3">
        <f t="shared" si="594"/>
        <v>271.4853</v>
      </c>
      <c r="I4967" s="5" t="str">
        <f t="shared" si="595"/>
        <v>017</v>
      </c>
      <c r="J4967" s="5" t="str">
        <f t="shared" si="596"/>
        <v>2220</v>
      </c>
      <c r="K4967" s="5" t="str">
        <f t="shared" si="597"/>
        <v>000</v>
      </c>
      <c r="L4967" s="5">
        <f t="shared" si="598"/>
        <v>12</v>
      </c>
      <c r="M4967" s="5">
        <f t="shared" si="599"/>
        <v>2012</v>
      </c>
    </row>
    <row r="4968" spans="1:13" ht="15" x14ac:dyDescent="0.25">
      <c r="A4968" s="1">
        <f>DATE(2012,12,22)</f>
        <v>41265</v>
      </c>
      <c r="B4968" t="s">
        <v>18</v>
      </c>
      <c r="C4968" t="s">
        <v>10</v>
      </c>
      <c r="D4968" s="3">
        <v>26.096500000000002</v>
      </c>
      <c r="E4968" s="3">
        <v>0</v>
      </c>
      <c r="F4968" t="s">
        <v>45</v>
      </c>
      <c r="G4968" s="3">
        <f t="shared" si="593"/>
        <v>-26.096500000000002</v>
      </c>
      <c r="H4968" s="3">
        <f t="shared" si="594"/>
        <v>26.096500000000002</v>
      </c>
      <c r="I4968" s="5" t="str">
        <f t="shared" si="595"/>
        <v>017</v>
      </c>
      <c r="J4968" s="5" t="str">
        <f t="shared" si="596"/>
        <v>2230</v>
      </c>
      <c r="K4968" s="5" t="str">
        <f t="shared" si="597"/>
        <v>000</v>
      </c>
      <c r="L4968" s="5">
        <f t="shared" si="598"/>
        <v>12</v>
      </c>
      <c r="M4968" s="5">
        <f t="shared" si="599"/>
        <v>2012</v>
      </c>
    </row>
    <row r="4969" spans="1:13" ht="15" x14ac:dyDescent="0.25">
      <c r="A4969" s="1">
        <f>DATE(2012,12,23)</f>
        <v>41266</v>
      </c>
      <c r="B4969" t="s">
        <v>15</v>
      </c>
      <c r="C4969" t="s">
        <v>6</v>
      </c>
      <c r="D4969" s="3">
        <v>5487.238800000001</v>
      </c>
      <c r="E4969" s="3">
        <v>0</v>
      </c>
      <c r="F4969" t="s">
        <v>45</v>
      </c>
      <c r="G4969" s="3">
        <f t="shared" si="593"/>
        <v>-5487.238800000001</v>
      </c>
      <c r="H4969" s="3">
        <f t="shared" si="594"/>
        <v>5487.238800000001</v>
      </c>
      <c r="I4969" s="5" t="str">
        <f t="shared" si="595"/>
        <v>017</v>
      </c>
      <c r="J4969" s="5" t="str">
        <f t="shared" si="596"/>
        <v>2100</v>
      </c>
      <c r="K4969" s="5" t="str">
        <f t="shared" si="597"/>
        <v>000</v>
      </c>
      <c r="L4969" s="5">
        <f t="shared" si="598"/>
        <v>12</v>
      </c>
      <c r="M4969" s="5">
        <f t="shared" si="599"/>
        <v>2012</v>
      </c>
    </row>
    <row r="4970" spans="1:13" ht="15" x14ac:dyDescent="0.25">
      <c r="A4970" s="1">
        <f>DATE(2012,12,23)</f>
        <v>41266</v>
      </c>
      <c r="B4970" t="s">
        <v>16</v>
      </c>
      <c r="C4970" t="s">
        <v>8</v>
      </c>
      <c r="D4970" s="3">
        <v>771.52680000000009</v>
      </c>
      <c r="E4970" s="3">
        <v>0</v>
      </c>
      <c r="F4970" t="s">
        <v>45</v>
      </c>
      <c r="G4970" s="3">
        <f t="shared" si="593"/>
        <v>-771.52680000000009</v>
      </c>
      <c r="H4970" s="3">
        <f t="shared" si="594"/>
        <v>771.52680000000009</v>
      </c>
      <c r="I4970" s="5" t="str">
        <f t="shared" si="595"/>
        <v>017</v>
      </c>
      <c r="J4970" s="5" t="str">
        <f t="shared" si="596"/>
        <v>2210</v>
      </c>
      <c r="K4970" s="5" t="str">
        <f t="shared" si="597"/>
        <v>000</v>
      </c>
      <c r="L4970" s="5">
        <f t="shared" si="598"/>
        <v>12</v>
      </c>
      <c r="M4970" s="5">
        <f t="shared" si="599"/>
        <v>2012</v>
      </c>
    </row>
    <row r="4971" spans="1:13" ht="15" x14ac:dyDescent="0.25">
      <c r="A4971" s="1">
        <f>DATE(2012,12,23)</f>
        <v>41266</v>
      </c>
      <c r="B4971" t="s">
        <v>17</v>
      </c>
      <c r="C4971" t="s">
        <v>9</v>
      </c>
      <c r="D4971" s="3">
        <v>140.59109999999998</v>
      </c>
      <c r="E4971" s="3">
        <v>0</v>
      </c>
      <c r="F4971" t="s">
        <v>45</v>
      </c>
      <c r="G4971" s="3">
        <f t="shared" si="593"/>
        <v>-140.59109999999998</v>
      </c>
      <c r="H4971" s="3">
        <f t="shared" si="594"/>
        <v>140.59109999999998</v>
      </c>
      <c r="I4971" s="5" t="str">
        <f t="shared" si="595"/>
        <v>017</v>
      </c>
      <c r="J4971" s="5" t="str">
        <f t="shared" si="596"/>
        <v>2220</v>
      </c>
      <c r="K4971" s="5" t="str">
        <f t="shared" si="597"/>
        <v>000</v>
      </c>
      <c r="L4971" s="5">
        <f t="shared" si="598"/>
        <v>12</v>
      </c>
      <c r="M4971" s="5">
        <f t="shared" si="599"/>
        <v>2012</v>
      </c>
    </row>
    <row r="4972" spans="1:13" ht="15" x14ac:dyDescent="0.25">
      <c r="A4972" s="1">
        <f>DATE(2012,12,23)</f>
        <v>41266</v>
      </c>
      <c r="B4972" t="s">
        <v>18</v>
      </c>
      <c r="C4972" t="s">
        <v>10</v>
      </c>
      <c r="D4972" s="3">
        <v>139.13199999999998</v>
      </c>
      <c r="E4972" s="3">
        <v>0</v>
      </c>
      <c r="F4972" t="s">
        <v>45</v>
      </c>
      <c r="G4972" s="3">
        <f t="shared" si="593"/>
        <v>-139.13199999999998</v>
      </c>
      <c r="H4972" s="3">
        <f t="shared" si="594"/>
        <v>139.13199999999998</v>
      </c>
      <c r="I4972" s="5" t="str">
        <f t="shared" si="595"/>
        <v>017</v>
      </c>
      <c r="J4972" s="5" t="str">
        <f t="shared" si="596"/>
        <v>2230</v>
      </c>
      <c r="K4972" s="5" t="str">
        <f t="shared" si="597"/>
        <v>000</v>
      </c>
      <c r="L4972" s="5">
        <f t="shared" si="598"/>
        <v>12</v>
      </c>
      <c r="M4972" s="5">
        <f t="shared" si="599"/>
        <v>2012</v>
      </c>
    </row>
    <row r="4973" spans="1:13" ht="15" x14ac:dyDescent="0.25">
      <c r="A4973" s="1">
        <f>DATE(2012,12,17)</f>
        <v>41260</v>
      </c>
      <c r="B4973" t="s">
        <v>19</v>
      </c>
      <c r="C4973" t="s">
        <v>6</v>
      </c>
      <c r="D4973" s="3">
        <v>3850.2042999999999</v>
      </c>
      <c r="E4973" s="3">
        <v>0</v>
      </c>
      <c r="F4973" t="s">
        <v>45</v>
      </c>
      <c r="G4973" s="3">
        <f t="shared" si="593"/>
        <v>-3850.2042999999999</v>
      </c>
      <c r="H4973" s="3">
        <f t="shared" si="594"/>
        <v>3850.2042999999999</v>
      </c>
      <c r="I4973" s="5" t="str">
        <f t="shared" si="595"/>
        <v>018</v>
      </c>
      <c r="J4973" s="5" t="str">
        <f t="shared" si="596"/>
        <v>2100</v>
      </c>
      <c r="K4973" s="5" t="str">
        <f t="shared" si="597"/>
        <v>000</v>
      </c>
      <c r="L4973" s="5">
        <f t="shared" si="598"/>
        <v>12</v>
      </c>
      <c r="M4973" s="5">
        <f t="shared" si="599"/>
        <v>2012</v>
      </c>
    </row>
    <row r="4974" spans="1:13" ht="15" x14ac:dyDescent="0.25">
      <c r="A4974" s="1">
        <f>DATE(2012,12,17)</f>
        <v>41260</v>
      </c>
      <c r="B4974" t="s">
        <v>20</v>
      </c>
      <c r="C4974" t="s">
        <v>8</v>
      </c>
      <c r="D4974" s="3">
        <v>801.84999999999991</v>
      </c>
      <c r="E4974" s="3">
        <v>0</v>
      </c>
      <c r="F4974" t="s">
        <v>45</v>
      </c>
      <c r="G4974" s="3">
        <f t="shared" si="593"/>
        <v>-801.84999999999991</v>
      </c>
      <c r="H4974" s="3">
        <f t="shared" si="594"/>
        <v>801.84999999999991</v>
      </c>
      <c r="I4974" s="5" t="str">
        <f t="shared" si="595"/>
        <v>018</v>
      </c>
      <c r="J4974" s="5" t="str">
        <f t="shared" si="596"/>
        <v>2210</v>
      </c>
      <c r="K4974" s="5" t="str">
        <f t="shared" si="597"/>
        <v>000</v>
      </c>
      <c r="L4974" s="5">
        <f t="shared" si="598"/>
        <v>12</v>
      </c>
      <c r="M4974" s="5">
        <f t="shared" si="599"/>
        <v>2012</v>
      </c>
    </row>
    <row r="4975" spans="1:13" ht="15" x14ac:dyDescent="0.25">
      <c r="A4975" s="1">
        <f>DATE(2012,12,17)</f>
        <v>41260</v>
      </c>
      <c r="B4975" t="s">
        <v>21</v>
      </c>
      <c r="C4975" t="s">
        <v>9</v>
      </c>
      <c r="D4975" s="3">
        <v>256.25680000000006</v>
      </c>
      <c r="E4975" s="3">
        <v>0</v>
      </c>
      <c r="F4975" t="s">
        <v>45</v>
      </c>
      <c r="G4975" s="3">
        <f t="shared" si="593"/>
        <v>-256.25680000000006</v>
      </c>
      <c r="H4975" s="3">
        <f t="shared" si="594"/>
        <v>256.25680000000006</v>
      </c>
      <c r="I4975" s="5" t="str">
        <f t="shared" si="595"/>
        <v>018</v>
      </c>
      <c r="J4975" s="5" t="str">
        <f t="shared" si="596"/>
        <v>2220</v>
      </c>
      <c r="K4975" s="5" t="str">
        <f t="shared" si="597"/>
        <v>000</v>
      </c>
      <c r="L4975" s="5">
        <f t="shared" si="598"/>
        <v>12</v>
      </c>
      <c r="M4975" s="5">
        <f t="shared" si="599"/>
        <v>2012</v>
      </c>
    </row>
    <row r="4976" spans="1:13" ht="15" x14ac:dyDescent="0.25">
      <c r="A4976" s="1">
        <f>DATE(2012,12,17)</f>
        <v>41260</v>
      </c>
      <c r="B4976" t="s">
        <v>22</v>
      </c>
      <c r="C4976" t="s">
        <v>10</v>
      </c>
      <c r="D4976" s="3">
        <v>31.499499999999998</v>
      </c>
      <c r="E4976" s="3">
        <v>0</v>
      </c>
      <c r="F4976" t="s">
        <v>45</v>
      </c>
      <c r="G4976" s="3">
        <f t="shared" si="593"/>
        <v>-31.499499999999998</v>
      </c>
      <c r="H4976" s="3">
        <f t="shared" si="594"/>
        <v>31.499499999999998</v>
      </c>
      <c r="I4976" s="5" t="str">
        <f t="shared" si="595"/>
        <v>018</v>
      </c>
      <c r="J4976" s="5" t="str">
        <f t="shared" si="596"/>
        <v>2230</v>
      </c>
      <c r="K4976" s="5" t="str">
        <f t="shared" si="597"/>
        <v>000</v>
      </c>
      <c r="L4976" s="5">
        <f t="shared" si="598"/>
        <v>12</v>
      </c>
      <c r="M4976" s="5">
        <f t="shared" si="599"/>
        <v>2012</v>
      </c>
    </row>
    <row r="4977" spans="1:13" ht="15" x14ac:dyDescent="0.25">
      <c r="A4977" s="1">
        <f>DATE(2012,12,18)</f>
        <v>41261</v>
      </c>
      <c r="B4977" t="s">
        <v>19</v>
      </c>
      <c r="C4977" t="s">
        <v>6</v>
      </c>
      <c r="D4977" s="3">
        <v>6452.3114999999998</v>
      </c>
      <c r="E4977" s="3">
        <v>0</v>
      </c>
      <c r="F4977" t="s">
        <v>45</v>
      </c>
      <c r="G4977" s="3">
        <f t="shared" si="593"/>
        <v>-6452.3114999999998</v>
      </c>
      <c r="H4977" s="3">
        <f t="shared" si="594"/>
        <v>6452.3114999999998</v>
      </c>
      <c r="I4977" s="5" t="str">
        <f t="shared" si="595"/>
        <v>018</v>
      </c>
      <c r="J4977" s="5" t="str">
        <f t="shared" si="596"/>
        <v>2100</v>
      </c>
      <c r="K4977" s="5" t="str">
        <f t="shared" si="597"/>
        <v>000</v>
      </c>
      <c r="L4977" s="5">
        <f t="shared" si="598"/>
        <v>12</v>
      </c>
      <c r="M4977" s="5">
        <f t="shared" si="599"/>
        <v>2012</v>
      </c>
    </row>
    <row r="4978" spans="1:13" ht="15" x14ac:dyDescent="0.25">
      <c r="A4978" s="1">
        <f>DATE(2012,12,18)</f>
        <v>41261</v>
      </c>
      <c r="B4978" t="s">
        <v>20</v>
      </c>
      <c r="C4978" t="s">
        <v>8</v>
      </c>
      <c r="D4978" s="3">
        <v>900.08380000000011</v>
      </c>
      <c r="E4978" s="3">
        <v>0</v>
      </c>
      <c r="F4978" t="s">
        <v>45</v>
      </c>
      <c r="G4978" s="3">
        <f t="shared" si="593"/>
        <v>-900.08380000000011</v>
      </c>
      <c r="H4978" s="3">
        <f t="shared" si="594"/>
        <v>900.08380000000011</v>
      </c>
      <c r="I4978" s="5" t="str">
        <f t="shared" si="595"/>
        <v>018</v>
      </c>
      <c r="J4978" s="5" t="str">
        <f t="shared" si="596"/>
        <v>2210</v>
      </c>
      <c r="K4978" s="5" t="str">
        <f t="shared" si="597"/>
        <v>000</v>
      </c>
      <c r="L4978" s="5">
        <f t="shared" si="598"/>
        <v>12</v>
      </c>
      <c r="M4978" s="5">
        <f t="shared" si="599"/>
        <v>2012</v>
      </c>
    </row>
    <row r="4979" spans="1:13" ht="15" x14ac:dyDescent="0.25">
      <c r="A4979" s="1">
        <f>DATE(2012,12,18)</f>
        <v>41261</v>
      </c>
      <c r="B4979" t="s">
        <v>21</v>
      </c>
      <c r="C4979" t="s">
        <v>9</v>
      </c>
      <c r="D4979" s="3">
        <v>246.40699999999998</v>
      </c>
      <c r="E4979" s="3">
        <v>0</v>
      </c>
      <c r="F4979" t="s">
        <v>45</v>
      </c>
      <c r="G4979" s="3">
        <f t="shared" si="593"/>
        <v>-246.40699999999998</v>
      </c>
      <c r="H4979" s="3">
        <f t="shared" si="594"/>
        <v>246.40699999999998</v>
      </c>
      <c r="I4979" s="5" t="str">
        <f t="shared" si="595"/>
        <v>018</v>
      </c>
      <c r="J4979" s="5" t="str">
        <f t="shared" si="596"/>
        <v>2220</v>
      </c>
      <c r="K4979" s="5" t="str">
        <f t="shared" si="597"/>
        <v>000</v>
      </c>
      <c r="L4979" s="5">
        <f t="shared" si="598"/>
        <v>12</v>
      </c>
      <c r="M4979" s="5">
        <f t="shared" si="599"/>
        <v>2012</v>
      </c>
    </row>
    <row r="4980" spans="1:13" ht="15" x14ac:dyDescent="0.25">
      <c r="A4980" s="1">
        <f>DATE(2012,12,18)</f>
        <v>41261</v>
      </c>
      <c r="B4980" t="s">
        <v>22</v>
      </c>
      <c r="C4980" t="s">
        <v>10</v>
      </c>
      <c r="D4980" s="3">
        <v>85.760099999999994</v>
      </c>
      <c r="E4980" s="3">
        <v>0</v>
      </c>
      <c r="F4980" t="s">
        <v>45</v>
      </c>
      <c r="G4980" s="3">
        <f t="shared" si="593"/>
        <v>-85.760099999999994</v>
      </c>
      <c r="H4980" s="3">
        <f t="shared" si="594"/>
        <v>85.760099999999994</v>
      </c>
      <c r="I4980" s="5" t="str">
        <f t="shared" si="595"/>
        <v>018</v>
      </c>
      <c r="J4980" s="5" t="str">
        <f t="shared" si="596"/>
        <v>2230</v>
      </c>
      <c r="K4980" s="5" t="str">
        <f t="shared" si="597"/>
        <v>000</v>
      </c>
      <c r="L4980" s="5">
        <f t="shared" si="598"/>
        <v>12</v>
      </c>
      <c r="M4980" s="5">
        <f t="shared" si="599"/>
        <v>2012</v>
      </c>
    </row>
    <row r="4981" spans="1:13" ht="15" x14ac:dyDescent="0.25">
      <c r="A4981" s="1">
        <f>DATE(2012,12,19)</f>
        <v>41262</v>
      </c>
      <c r="B4981" t="s">
        <v>19</v>
      </c>
      <c r="C4981" t="s">
        <v>6</v>
      </c>
      <c r="D4981" s="3">
        <v>5610.2336000000005</v>
      </c>
      <c r="E4981" s="3">
        <v>0</v>
      </c>
      <c r="F4981" t="s">
        <v>45</v>
      </c>
      <c r="G4981" s="3">
        <f t="shared" si="593"/>
        <v>-5610.2336000000005</v>
      </c>
      <c r="H4981" s="3">
        <f t="shared" si="594"/>
        <v>5610.2336000000005</v>
      </c>
      <c r="I4981" s="5" t="str">
        <f t="shared" si="595"/>
        <v>018</v>
      </c>
      <c r="J4981" s="5" t="str">
        <f t="shared" si="596"/>
        <v>2100</v>
      </c>
      <c r="K4981" s="5" t="str">
        <f t="shared" si="597"/>
        <v>000</v>
      </c>
      <c r="L4981" s="5">
        <f t="shared" si="598"/>
        <v>12</v>
      </c>
      <c r="M4981" s="5">
        <f t="shared" si="599"/>
        <v>2012</v>
      </c>
    </row>
    <row r="4982" spans="1:13" ht="15" x14ac:dyDescent="0.25">
      <c r="A4982" s="1">
        <f>DATE(2012,12,19)</f>
        <v>41262</v>
      </c>
      <c r="B4982" t="s">
        <v>20</v>
      </c>
      <c r="C4982" t="s">
        <v>8</v>
      </c>
      <c r="D4982" s="3">
        <v>518.57799999999997</v>
      </c>
      <c r="E4982" s="3">
        <v>0</v>
      </c>
      <c r="F4982" t="s">
        <v>45</v>
      </c>
      <c r="G4982" s="3">
        <f t="shared" si="593"/>
        <v>-518.57799999999997</v>
      </c>
      <c r="H4982" s="3">
        <f t="shared" si="594"/>
        <v>518.57799999999997</v>
      </c>
      <c r="I4982" s="5" t="str">
        <f t="shared" si="595"/>
        <v>018</v>
      </c>
      <c r="J4982" s="5" t="str">
        <f t="shared" si="596"/>
        <v>2210</v>
      </c>
      <c r="K4982" s="5" t="str">
        <f t="shared" si="597"/>
        <v>000</v>
      </c>
      <c r="L4982" s="5">
        <f t="shared" si="598"/>
        <v>12</v>
      </c>
      <c r="M4982" s="5">
        <f t="shared" si="599"/>
        <v>2012</v>
      </c>
    </row>
    <row r="4983" spans="1:13" ht="15" x14ac:dyDescent="0.25">
      <c r="A4983" s="1">
        <f>DATE(2012,12,19)</f>
        <v>41262</v>
      </c>
      <c r="B4983" t="s">
        <v>21</v>
      </c>
      <c r="C4983" t="s">
        <v>9</v>
      </c>
      <c r="D4983" s="3">
        <v>238.04820000000001</v>
      </c>
      <c r="E4983" s="3">
        <v>0</v>
      </c>
      <c r="F4983" t="s">
        <v>45</v>
      </c>
      <c r="G4983" s="3">
        <f t="shared" si="593"/>
        <v>-238.04820000000001</v>
      </c>
      <c r="H4983" s="3">
        <f t="shared" si="594"/>
        <v>238.04820000000001</v>
      </c>
      <c r="I4983" s="5" t="str">
        <f t="shared" si="595"/>
        <v>018</v>
      </c>
      <c r="J4983" s="5" t="str">
        <f t="shared" si="596"/>
        <v>2220</v>
      </c>
      <c r="K4983" s="5" t="str">
        <f t="shared" si="597"/>
        <v>000</v>
      </c>
      <c r="L4983" s="5">
        <f t="shared" si="598"/>
        <v>12</v>
      </c>
      <c r="M4983" s="5">
        <f t="shared" si="599"/>
        <v>2012</v>
      </c>
    </row>
    <row r="4984" spans="1:13" ht="15" x14ac:dyDescent="0.25">
      <c r="A4984" s="1">
        <f>DATE(2012,12,19)</f>
        <v>41262</v>
      </c>
      <c r="B4984" t="s">
        <v>22</v>
      </c>
      <c r="C4984" t="s">
        <v>10</v>
      </c>
      <c r="D4984" s="3">
        <v>21.0366</v>
      </c>
      <c r="E4984" s="3">
        <v>0</v>
      </c>
      <c r="F4984" t="s">
        <v>45</v>
      </c>
      <c r="G4984" s="3">
        <f t="shared" si="593"/>
        <v>-21.0366</v>
      </c>
      <c r="H4984" s="3">
        <f t="shared" si="594"/>
        <v>21.0366</v>
      </c>
      <c r="I4984" s="5" t="str">
        <f t="shared" si="595"/>
        <v>018</v>
      </c>
      <c r="J4984" s="5" t="str">
        <f t="shared" si="596"/>
        <v>2230</v>
      </c>
      <c r="K4984" s="5" t="str">
        <f t="shared" si="597"/>
        <v>000</v>
      </c>
      <c r="L4984" s="5">
        <f t="shared" si="598"/>
        <v>12</v>
      </c>
      <c r="M4984" s="5">
        <f t="shared" si="599"/>
        <v>2012</v>
      </c>
    </row>
    <row r="4985" spans="1:13" ht="15" x14ac:dyDescent="0.25">
      <c r="A4985" s="1">
        <f>DATE(2012,12,20)</f>
        <v>41263</v>
      </c>
      <c r="B4985" t="s">
        <v>19</v>
      </c>
      <c r="C4985" t="s">
        <v>6</v>
      </c>
      <c r="D4985" s="3">
        <v>5379.616</v>
      </c>
      <c r="E4985" s="3">
        <v>0</v>
      </c>
      <c r="F4985" t="s">
        <v>45</v>
      </c>
      <c r="G4985" s="3">
        <f t="shared" si="593"/>
        <v>-5379.616</v>
      </c>
      <c r="H4985" s="3">
        <f t="shared" si="594"/>
        <v>5379.616</v>
      </c>
      <c r="I4985" s="5" t="str">
        <f t="shared" si="595"/>
        <v>018</v>
      </c>
      <c r="J4985" s="5" t="str">
        <f t="shared" si="596"/>
        <v>2100</v>
      </c>
      <c r="K4985" s="5" t="str">
        <f t="shared" si="597"/>
        <v>000</v>
      </c>
      <c r="L4985" s="5">
        <f t="shared" si="598"/>
        <v>12</v>
      </c>
      <c r="M4985" s="5">
        <f t="shared" si="599"/>
        <v>2012</v>
      </c>
    </row>
    <row r="4986" spans="1:13" ht="15" x14ac:dyDescent="0.25">
      <c r="A4986" s="1">
        <f>DATE(2012,12,20)</f>
        <v>41263</v>
      </c>
      <c r="B4986" t="s">
        <v>20</v>
      </c>
      <c r="C4986" t="s">
        <v>8</v>
      </c>
      <c r="D4986" s="3">
        <v>1003.9640000000001</v>
      </c>
      <c r="E4986" s="3">
        <v>0</v>
      </c>
      <c r="F4986" t="s">
        <v>45</v>
      </c>
      <c r="G4986" s="3">
        <f t="shared" si="593"/>
        <v>-1003.9640000000001</v>
      </c>
      <c r="H4986" s="3">
        <f t="shared" si="594"/>
        <v>1003.9640000000001</v>
      </c>
      <c r="I4986" s="5" t="str">
        <f t="shared" si="595"/>
        <v>018</v>
      </c>
      <c r="J4986" s="5" t="str">
        <f t="shared" si="596"/>
        <v>2210</v>
      </c>
      <c r="K4986" s="5" t="str">
        <f t="shared" si="597"/>
        <v>000</v>
      </c>
      <c r="L4986" s="5">
        <f t="shared" si="598"/>
        <v>12</v>
      </c>
      <c r="M4986" s="5">
        <f t="shared" si="599"/>
        <v>2012</v>
      </c>
    </row>
    <row r="4987" spans="1:13" ht="15" x14ac:dyDescent="0.25">
      <c r="A4987" s="1">
        <f>DATE(2012,12,20)</f>
        <v>41263</v>
      </c>
      <c r="B4987" t="s">
        <v>21</v>
      </c>
      <c r="C4987" t="s">
        <v>9</v>
      </c>
      <c r="D4987" s="3">
        <v>365.87130000000002</v>
      </c>
      <c r="E4987" s="3">
        <v>0</v>
      </c>
      <c r="F4987" t="s">
        <v>45</v>
      </c>
      <c r="G4987" s="3">
        <f t="shared" si="593"/>
        <v>-365.87130000000002</v>
      </c>
      <c r="H4987" s="3">
        <f t="shared" si="594"/>
        <v>365.87130000000002</v>
      </c>
      <c r="I4987" s="5" t="str">
        <f t="shared" si="595"/>
        <v>018</v>
      </c>
      <c r="J4987" s="5" t="str">
        <f t="shared" si="596"/>
        <v>2220</v>
      </c>
      <c r="K4987" s="5" t="str">
        <f t="shared" si="597"/>
        <v>000</v>
      </c>
      <c r="L4987" s="5">
        <f t="shared" si="598"/>
        <v>12</v>
      </c>
      <c r="M4987" s="5">
        <f t="shared" si="599"/>
        <v>2012</v>
      </c>
    </row>
    <row r="4988" spans="1:13" ht="15" x14ac:dyDescent="0.25">
      <c r="A4988" s="1">
        <f>DATE(2012,12,20)</f>
        <v>41263</v>
      </c>
      <c r="B4988" t="s">
        <v>22</v>
      </c>
      <c r="C4988" t="s">
        <v>10</v>
      </c>
      <c r="D4988" s="3">
        <v>101.73360000000001</v>
      </c>
      <c r="E4988" s="3">
        <v>0</v>
      </c>
      <c r="F4988" t="s">
        <v>45</v>
      </c>
      <c r="G4988" s="3">
        <f t="shared" si="593"/>
        <v>-101.73360000000001</v>
      </c>
      <c r="H4988" s="3">
        <f t="shared" si="594"/>
        <v>101.73360000000001</v>
      </c>
      <c r="I4988" s="5" t="str">
        <f t="shared" si="595"/>
        <v>018</v>
      </c>
      <c r="J4988" s="5" t="str">
        <f t="shared" si="596"/>
        <v>2230</v>
      </c>
      <c r="K4988" s="5" t="str">
        <f t="shared" si="597"/>
        <v>000</v>
      </c>
      <c r="L4988" s="5">
        <f t="shared" si="598"/>
        <v>12</v>
      </c>
      <c r="M4988" s="5">
        <f t="shared" si="599"/>
        <v>2012</v>
      </c>
    </row>
    <row r="4989" spans="1:13" ht="15" x14ac:dyDescent="0.25">
      <c r="A4989" s="1">
        <f>DATE(2012,12,21)</f>
        <v>41264</v>
      </c>
      <c r="B4989" t="s">
        <v>19</v>
      </c>
      <c r="C4989" t="s">
        <v>6</v>
      </c>
      <c r="D4989" s="3">
        <v>8491.1749999999993</v>
      </c>
      <c r="E4989" s="3">
        <v>0</v>
      </c>
      <c r="F4989" t="s">
        <v>45</v>
      </c>
      <c r="G4989" s="3">
        <f t="shared" si="593"/>
        <v>-8491.1749999999993</v>
      </c>
      <c r="H4989" s="3">
        <f t="shared" si="594"/>
        <v>8491.1749999999993</v>
      </c>
      <c r="I4989" s="5" t="str">
        <f t="shared" si="595"/>
        <v>018</v>
      </c>
      <c r="J4989" s="5" t="str">
        <f t="shared" si="596"/>
        <v>2100</v>
      </c>
      <c r="K4989" s="5" t="str">
        <f t="shared" si="597"/>
        <v>000</v>
      </c>
      <c r="L4989" s="5">
        <f t="shared" si="598"/>
        <v>12</v>
      </c>
      <c r="M4989" s="5">
        <f t="shared" si="599"/>
        <v>2012</v>
      </c>
    </row>
    <row r="4990" spans="1:13" ht="15" x14ac:dyDescent="0.25">
      <c r="A4990" s="1">
        <f>DATE(2012,12,21)</f>
        <v>41264</v>
      </c>
      <c r="B4990" t="s">
        <v>20</v>
      </c>
      <c r="C4990" t="s">
        <v>8</v>
      </c>
      <c r="D4990" s="3">
        <v>1523.7145</v>
      </c>
      <c r="E4990" s="3">
        <v>0</v>
      </c>
      <c r="F4990" t="s">
        <v>45</v>
      </c>
      <c r="G4990" s="3">
        <f t="shared" si="593"/>
        <v>-1523.7145</v>
      </c>
      <c r="H4990" s="3">
        <f t="shared" si="594"/>
        <v>1523.7145</v>
      </c>
      <c r="I4990" s="5" t="str">
        <f t="shared" si="595"/>
        <v>018</v>
      </c>
      <c r="J4990" s="5" t="str">
        <f t="shared" si="596"/>
        <v>2210</v>
      </c>
      <c r="K4990" s="5" t="str">
        <f t="shared" si="597"/>
        <v>000</v>
      </c>
      <c r="L4990" s="5">
        <f t="shared" si="598"/>
        <v>12</v>
      </c>
      <c r="M4990" s="5">
        <f t="shared" si="599"/>
        <v>2012</v>
      </c>
    </row>
    <row r="4991" spans="1:13" ht="15" x14ac:dyDescent="0.25">
      <c r="A4991" s="1">
        <f>DATE(2012,12,21)</f>
        <v>41264</v>
      </c>
      <c r="B4991" t="s">
        <v>21</v>
      </c>
      <c r="C4991" t="s">
        <v>9</v>
      </c>
      <c r="D4991" s="3">
        <v>450.92809999999997</v>
      </c>
      <c r="E4991" s="3">
        <v>0</v>
      </c>
      <c r="F4991" t="s">
        <v>45</v>
      </c>
      <c r="G4991" s="3">
        <f t="shared" si="593"/>
        <v>-450.92809999999997</v>
      </c>
      <c r="H4991" s="3">
        <f t="shared" si="594"/>
        <v>450.92809999999997</v>
      </c>
      <c r="I4991" s="5" t="str">
        <f t="shared" si="595"/>
        <v>018</v>
      </c>
      <c r="J4991" s="5" t="str">
        <f t="shared" si="596"/>
        <v>2220</v>
      </c>
      <c r="K4991" s="5" t="str">
        <f t="shared" si="597"/>
        <v>000</v>
      </c>
      <c r="L4991" s="5">
        <f t="shared" si="598"/>
        <v>12</v>
      </c>
      <c r="M4991" s="5">
        <f t="shared" si="599"/>
        <v>2012</v>
      </c>
    </row>
    <row r="4992" spans="1:13" ht="15" x14ac:dyDescent="0.25">
      <c r="A4992" s="1">
        <f>DATE(2012,12,21)</f>
        <v>41264</v>
      </c>
      <c r="B4992" t="s">
        <v>22</v>
      </c>
      <c r="C4992" t="s">
        <v>10</v>
      </c>
      <c r="D4992" s="3">
        <v>89.4</v>
      </c>
      <c r="E4992" s="3">
        <v>0</v>
      </c>
      <c r="F4992" t="s">
        <v>45</v>
      </c>
      <c r="G4992" s="3">
        <f t="shared" si="593"/>
        <v>-89.4</v>
      </c>
      <c r="H4992" s="3">
        <f t="shared" si="594"/>
        <v>89.4</v>
      </c>
      <c r="I4992" s="5" t="str">
        <f t="shared" si="595"/>
        <v>018</v>
      </c>
      <c r="J4992" s="5" t="str">
        <f t="shared" si="596"/>
        <v>2230</v>
      </c>
      <c r="K4992" s="5" t="str">
        <f t="shared" si="597"/>
        <v>000</v>
      </c>
      <c r="L4992" s="5">
        <f t="shared" si="598"/>
        <v>12</v>
      </c>
      <c r="M4992" s="5">
        <f t="shared" si="599"/>
        <v>2012</v>
      </c>
    </row>
    <row r="4993" spans="1:13" ht="15" x14ac:dyDescent="0.25">
      <c r="A4993" s="1">
        <f>DATE(2012,12,22)</f>
        <v>41265</v>
      </c>
      <c r="B4993" t="s">
        <v>19</v>
      </c>
      <c r="C4993" t="s">
        <v>6</v>
      </c>
      <c r="D4993" s="3">
        <v>9382.9736000000012</v>
      </c>
      <c r="E4993" s="3">
        <v>0</v>
      </c>
      <c r="F4993" t="s">
        <v>45</v>
      </c>
      <c r="G4993" s="3">
        <f t="shared" si="593"/>
        <v>-9382.9736000000012</v>
      </c>
      <c r="H4993" s="3">
        <f t="shared" si="594"/>
        <v>9382.9736000000012</v>
      </c>
      <c r="I4993" s="5" t="str">
        <f t="shared" si="595"/>
        <v>018</v>
      </c>
      <c r="J4993" s="5" t="str">
        <f t="shared" si="596"/>
        <v>2100</v>
      </c>
      <c r="K4993" s="5" t="str">
        <f t="shared" si="597"/>
        <v>000</v>
      </c>
      <c r="L4993" s="5">
        <f t="shared" si="598"/>
        <v>12</v>
      </c>
      <c r="M4993" s="5">
        <f t="shared" si="599"/>
        <v>2012</v>
      </c>
    </row>
    <row r="4994" spans="1:13" ht="15" x14ac:dyDescent="0.25">
      <c r="A4994" s="1">
        <f>DATE(2012,12,22)</f>
        <v>41265</v>
      </c>
      <c r="B4994" t="s">
        <v>20</v>
      </c>
      <c r="C4994" t="s">
        <v>8</v>
      </c>
      <c r="D4994" s="3">
        <v>2614.9554000000003</v>
      </c>
      <c r="E4994" s="3">
        <v>0</v>
      </c>
      <c r="F4994" t="s">
        <v>45</v>
      </c>
      <c r="G4994" s="3">
        <f t="shared" ref="G4994:G5057" si="600">E4994-D4994</f>
        <v>-2614.9554000000003</v>
      </c>
      <c r="H4994" s="3">
        <f t="shared" ref="H4994:H5057" si="601">ABS(G4994)</f>
        <v>2614.9554000000003</v>
      </c>
      <c r="I4994" s="5" t="str">
        <f t="shared" ref="I4994:I5057" si="602">MID(B4994,1,3)</f>
        <v>018</v>
      </c>
      <c r="J4994" s="5" t="str">
        <f t="shared" ref="J4994:J5057" si="603">MID(B4994,5,4)</f>
        <v>2210</v>
      </c>
      <c r="K4994" s="5" t="str">
        <f t="shared" ref="K4994:K5057" si="604">MID(B4994,10,3)</f>
        <v>000</v>
      </c>
      <c r="L4994" s="5">
        <f t="shared" ref="L4994:L5057" si="605">MONTH(A4994)</f>
        <v>12</v>
      </c>
      <c r="M4994" s="5">
        <f t="shared" ref="M4994:M5057" si="606">YEAR(A4994)</f>
        <v>2012</v>
      </c>
    </row>
    <row r="4995" spans="1:13" ht="15" x14ac:dyDescent="0.25">
      <c r="A4995" s="1">
        <f>DATE(2012,12,22)</f>
        <v>41265</v>
      </c>
      <c r="B4995" t="s">
        <v>21</v>
      </c>
      <c r="C4995" t="s">
        <v>9</v>
      </c>
      <c r="D4995" s="3">
        <v>546.93399999999997</v>
      </c>
      <c r="E4995" s="3">
        <v>0</v>
      </c>
      <c r="F4995" t="s">
        <v>45</v>
      </c>
      <c r="G4995" s="3">
        <f t="shared" si="600"/>
        <v>-546.93399999999997</v>
      </c>
      <c r="H4995" s="3">
        <f t="shared" si="601"/>
        <v>546.93399999999997</v>
      </c>
      <c r="I4995" s="5" t="str">
        <f t="shared" si="602"/>
        <v>018</v>
      </c>
      <c r="J4995" s="5" t="str">
        <f t="shared" si="603"/>
        <v>2220</v>
      </c>
      <c r="K4995" s="5" t="str">
        <f t="shared" si="604"/>
        <v>000</v>
      </c>
      <c r="L4995" s="5">
        <f t="shared" si="605"/>
        <v>12</v>
      </c>
      <c r="M4995" s="5">
        <f t="shared" si="606"/>
        <v>2012</v>
      </c>
    </row>
    <row r="4996" spans="1:13" ht="15" x14ac:dyDescent="0.25">
      <c r="A4996" s="1">
        <f>DATE(2012,12,22)</f>
        <v>41265</v>
      </c>
      <c r="B4996" t="s">
        <v>22</v>
      </c>
      <c r="C4996" t="s">
        <v>10</v>
      </c>
      <c r="D4996" s="3">
        <v>99.528199999999998</v>
      </c>
      <c r="E4996" s="3">
        <v>0</v>
      </c>
      <c r="F4996" t="s">
        <v>45</v>
      </c>
      <c r="G4996" s="3">
        <f t="shared" si="600"/>
        <v>-99.528199999999998</v>
      </c>
      <c r="H4996" s="3">
        <f t="shared" si="601"/>
        <v>99.528199999999998</v>
      </c>
      <c r="I4996" s="5" t="str">
        <f t="shared" si="602"/>
        <v>018</v>
      </c>
      <c r="J4996" s="5" t="str">
        <f t="shared" si="603"/>
        <v>2230</v>
      </c>
      <c r="K4996" s="5" t="str">
        <f t="shared" si="604"/>
        <v>000</v>
      </c>
      <c r="L4996" s="5">
        <f t="shared" si="605"/>
        <v>12</v>
      </c>
      <c r="M4996" s="5">
        <f t="shared" si="606"/>
        <v>2012</v>
      </c>
    </row>
    <row r="4997" spans="1:13" ht="15" x14ac:dyDescent="0.25">
      <c r="A4997" s="1">
        <f>DATE(2012,12,23)</f>
        <v>41266</v>
      </c>
      <c r="B4997" t="s">
        <v>19</v>
      </c>
      <c r="C4997" t="s">
        <v>6</v>
      </c>
      <c r="D4997" s="3">
        <v>8159.8041000000003</v>
      </c>
      <c r="E4997" s="3">
        <v>0</v>
      </c>
      <c r="F4997" t="s">
        <v>45</v>
      </c>
      <c r="G4997" s="3">
        <f t="shared" si="600"/>
        <v>-8159.8041000000003</v>
      </c>
      <c r="H4997" s="3">
        <f t="shared" si="601"/>
        <v>8159.8041000000003</v>
      </c>
      <c r="I4997" s="5" t="str">
        <f t="shared" si="602"/>
        <v>018</v>
      </c>
      <c r="J4997" s="5" t="str">
        <f t="shared" si="603"/>
        <v>2100</v>
      </c>
      <c r="K4997" s="5" t="str">
        <f t="shared" si="604"/>
        <v>000</v>
      </c>
      <c r="L4997" s="5">
        <f t="shared" si="605"/>
        <v>12</v>
      </c>
      <c r="M4997" s="5">
        <f t="shared" si="606"/>
        <v>2012</v>
      </c>
    </row>
    <row r="4998" spans="1:13" ht="15" x14ac:dyDescent="0.25">
      <c r="A4998" s="1">
        <f>DATE(2012,12,23)</f>
        <v>41266</v>
      </c>
      <c r="B4998" t="s">
        <v>20</v>
      </c>
      <c r="C4998" t="s">
        <v>8</v>
      </c>
      <c r="D4998" s="3">
        <v>1648.4915999999998</v>
      </c>
      <c r="E4998" s="3">
        <v>0</v>
      </c>
      <c r="F4998" t="s">
        <v>45</v>
      </c>
      <c r="G4998" s="3">
        <f t="shared" si="600"/>
        <v>-1648.4915999999998</v>
      </c>
      <c r="H4998" s="3">
        <f t="shared" si="601"/>
        <v>1648.4915999999998</v>
      </c>
      <c r="I4998" s="5" t="str">
        <f t="shared" si="602"/>
        <v>018</v>
      </c>
      <c r="J4998" s="5" t="str">
        <f t="shared" si="603"/>
        <v>2210</v>
      </c>
      <c r="K4998" s="5" t="str">
        <f t="shared" si="604"/>
        <v>000</v>
      </c>
      <c r="L4998" s="5">
        <f t="shared" si="605"/>
        <v>12</v>
      </c>
      <c r="M4998" s="5">
        <f t="shared" si="606"/>
        <v>2012</v>
      </c>
    </row>
    <row r="4999" spans="1:13" ht="15" x14ac:dyDescent="0.25">
      <c r="A4999" s="1">
        <f>DATE(2012,12,23)</f>
        <v>41266</v>
      </c>
      <c r="B4999" t="s">
        <v>21</v>
      </c>
      <c r="C4999" t="s">
        <v>9</v>
      </c>
      <c r="D4999" s="3">
        <v>357.90440000000007</v>
      </c>
      <c r="E4999" s="3">
        <v>0</v>
      </c>
      <c r="F4999" t="s">
        <v>45</v>
      </c>
      <c r="G4999" s="3">
        <f t="shared" si="600"/>
        <v>-357.90440000000007</v>
      </c>
      <c r="H4999" s="3">
        <f t="shared" si="601"/>
        <v>357.90440000000007</v>
      </c>
      <c r="I4999" s="5" t="str">
        <f t="shared" si="602"/>
        <v>018</v>
      </c>
      <c r="J4999" s="5" t="str">
        <f t="shared" si="603"/>
        <v>2220</v>
      </c>
      <c r="K4999" s="5" t="str">
        <f t="shared" si="604"/>
        <v>000</v>
      </c>
      <c r="L4999" s="5">
        <f t="shared" si="605"/>
        <v>12</v>
      </c>
      <c r="M4999" s="5">
        <f t="shared" si="606"/>
        <v>2012</v>
      </c>
    </row>
    <row r="5000" spans="1:13" ht="15" x14ac:dyDescent="0.25">
      <c r="A5000" s="1">
        <f>DATE(2012,12,23)</f>
        <v>41266</v>
      </c>
      <c r="B5000" t="s">
        <v>22</v>
      </c>
      <c r="C5000" t="s">
        <v>10</v>
      </c>
      <c r="D5000" s="3">
        <v>195.5044</v>
      </c>
      <c r="E5000" s="3">
        <v>0</v>
      </c>
      <c r="F5000" t="s">
        <v>45</v>
      </c>
      <c r="G5000" s="3">
        <f t="shared" si="600"/>
        <v>-195.5044</v>
      </c>
      <c r="H5000" s="3">
        <f t="shared" si="601"/>
        <v>195.5044</v>
      </c>
      <c r="I5000" s="5" t="str">
        <f t="shared" si="602"/>
        <v>018</v>
      </c>
      <c r="J5000" s="5" t="str">
        <f t="shared" si="603"/>
        <v>2230</v>
      </c>
      <c r="K5000" s="5" t="str">
        <f t="shared" si="604"/>
        <v>000</v>
      </c>
      <c r="L5000" s="5">
        <f t="shared" si="605"/>
        <v>12</v>
      </c>
      <c r="M5000" s="5">
        <f t="shared" si="606"/>
        <v>2012</v>
      </c>
    </row>
    <row r="5001" spans="1:13" ht="15" x14ac:dyDescent="0.25">
      <c r="A5001" s="1">
        <f>DATE(2012,12,24)</f>
        <v>41267</v>
      </c>
      <c r="B5001" t="s">
        <v>11</v>
      </c>
      <c r="C5001" t="s">
        <v>6</v>
      </c>
      <c r="D5001" s="3">
        <v>6329.84</v>
      </c>
      <c r="E5001" s="3">
        <v>0</v>
      </c>
      <c r="F5001" t="s">
        <v>45</v>
      </c>
      <c r="G5001" s="3">
        <f t="shared" si="600"/>
        <v>-6329.84</v>
      </c>
      <c r="H5001" s="3">
        <f t="shared" si="601"/>
        <v>6329.84</v>
      </c>
      <c r="I5001" s="5" t="str">
        <f t="shared" si="602"/>
        <v>016</v>
      </c>
      <c r="J5001" s="5" t="str">
        <f t="shared" si="603"/>
        <v>2100</v>
      </c>
      <c r="K5001" s="5" t="str">
        <f t="shared" si="604"/>
        <v>000</v>
      </c>
      <c r="L5001" s="5">
        <f t="shared" si="605"/>
        <v>12</v>
      </c>
      <c r="M5001" s="5">
        <f t="shared" si="606"/>
        <v>2012</v>
      </c>
    </row>
    <row r="5002" spans="1:13" ht="15" x14ac:dyDescent="0.25">
      <c r="A5002" s="1">
        <f>DATE(2012,12,24)</f>
        <v>41267</v>
      </c>
      <c r="B5002" t="s">
        <v>12</v>
      </c>
      <c r="C5002" t="s">
        <v>8</v>
      </c>
      <c r="D5002" s="3">
        <v>1097.7339999999999</v>
      </c>
      <c r="E5002" s="3">
        <v>0</v>
      </c>
      <c r="F5002" t="s">
        <v>45</v>
      </c>
      <c r="G5002" s="3">
        <f t="shared" si="600"/>
        <v>-1097.7339999999999</v>
      </c>
      <c r="H5002" s="3">
        <f t="shared" si="601"/>
        <v>1097.7339999999999</v>
      </c>
      <c r="I5002" s="5" t="str">
        <f t="shared" si="602"/>
        <v>016</v>
      </c>
      <c r="J5002" s="5" t="str">
        <f t="shared" si="603"/>
        <v>2210</v>
      </c>
      <c r="K5002" s="5" t="str">
        <f t="shared" si="604"/>
        <v>000</v>
      </c>
      <c r="L5002" s="5">
        <f t="shared" si="605"/>
        <v>12</v>
      </c>
      <c r="M5002" s="5">
        <f t="shared" si="606"/>
        <v>2012</v>
      </c>
    </row>
    <row r="5003" spans="1:13" ht="15" x14ac:dyDescent="0.25">
      <c r="A5003" s="1">
        <f>DATE(2012,12,24)</f>
        <v>41267</v>
      </c>
      <c r="B5003" t="s">
        <v>13</v>
      </c>
      <c r="C5003" t="s">
        <v>9</v>
      </c>
      <c r="D5003" s="3">
        <v>220.197</v>
      </c>
      <c r="E5003" s="3">
        <v>0</v>
      </c>
      <c r="F5003" t="s">
        <v>45</v>
      </c>
      <c r="G5003" s="3">
        <f t="shared" si="600"/>
        <v>-220.197</v>
      </c>
      <c r="H5003" s="3">
        <f t="shared" si="601"/>
        <v>220.197</v>
      </c>
      <c r="I5003" s="5" t="str">
        <f t="shared" si="602"/>
        <v>016</v>
      </c>
      <c r="J5003" s="5" t="str">
        <f t="shared" si="603"/>
        <v>2220</v>
      </c>
      <c r="K5003" s="5" t="str">
        <f t="shared" si="604"/>
        <v>000</v>
      </c>
      <c r="L5003" s="5">
        <f t="shared" si="605"/>
        <v>12</v>
      </c>
      <c r="M5003" s="5">
        <f t="shared" si="606"/>
        <v>2012</v>
      </c>
    </row>
    <row r="5004" spans="1:13" ht="15" x14ac:dyDescent="0.25">
      <c r="A5004" s="1">
        <f>DATE(2012,12,24)</f>
        <v>41267</v>
      </c>
      <c r="B5004" t="s">
        <v>14</v>
      </c>
      <c r="C5004" t="s">
        <v>10</v>
      </c>
      <c r="D5004" s="3">
        <v>119.64299999999999</v>
      </c>
      <c r="E5004" s="3">
        <v>0</v>
      </c>
      <c r="F5004" t="s">
        <v>45</v>
      </c>
      <c r="G5004" s="3">
        <f t="shared" si="600"/>
        <v>-119.64299999999999</v>
      </c>
      <c r="H5004" s="3">
        <f t="shared" si="601"/>
        <v>119.64299999999999</v>
      </c>
      <c r="I5004" s="5" t="str">
        <f t="shared" si="602"/>
        <v>016</v>
      </c>
      <c r="J5004" s="5" t="str">
        <f t="shared" si="603"/>
        <v>2230</v>
      </c>
      <c r="K5004" s="5" t="str">
        <f t="shared" si="604"/>
        <v>000</v>
      </c>
      <c r="L5004" s="5">
        <f t="shared" si="605"/>
        <v>12</v>
      </c>
      <c r="M5004" s="5">
        <f t="shared" si="606"/>
        <v>2012</v>
      </c>
    </row>
    <row r="5005" spans="1:13" ht="15" x14ac:dyDescent="0.25">
      <c r="A5005" s="1">
        <f>DATE(2012,12,26)</f>
        <v>41269</v>
      </c>
      <c r="B5005" t="s">
        <v>11</v>
      </c>
      <c r="C5005" t="s">
        <v>6</v>
      </c>
      <c r="D5005" s="3">
        <v>5644.2824999999993</v>
      </c>
      <c r="E5005" s="3">
        <v>0</v>
      </c>
      <c r="F5005" t="s">
        <v>45</v>
      </c>
      <c r="G5005" s="3">
        <f t="shared" si="600"/>
        <v>-5644.2824999999993</v>
      </c>
      <c r="H5005" s="3">
        <f t="shared" si="601"/>
        <v>5644.2824999999993</v>
      </c>
      <c r="I5005" s="5" t="str">
        <f t="shared" si="602"/>
        <v>016</v>
      </c>
      <c r="J5005" s="5" t="str">
        <f t="shared" si="603"/>
        <v>2100</v>
      </c>
      <c r="K5005" s="5" t="str">
        <f t="shared" si="604"/>
        <v>000</v>
      </c>
      <c r="L5005" s="5">
        <f t="shared" si="605"/>
        <v>12</v>
      </c>
      <c r="M5005" s="5">
        <f t="shared" si="606"/>
        <v>2012</v>
      </c>
    </row>
    <row r="5006" spans="1:13" ht="15" x14ac:dyDescent="0.25">
      <c r="A5006" s="1">
        <f>DATE(2012,12,26)</f>
        <v>41269</v>
      </c>
      <c r="B5006" t="s">
        <v>12</v>
      </c>
      <c r="C5006" t="s">
        <v>8</v>
      </c>
      <c r="D5006" s="3">
        <v>1475.6102999999998</v>
      </c>
      <c r="E5006" s="3">
        <v>0</v>
      </c>
      <c r="F5006" t="s">
        <v>45</v>
      </c>
      <c r="G5006" s="3">
        <f t="shared" si="600"/>
        <v>-1475.6102999999998</v>
      </c>
      <c r="H5006" s="3">
        <f t="shared" si="601"/>
        <v>1475.6102999999998</v>
      </c>
      <c r="I5006" s="5" t="str">
        <f t="shared" si="602"/>
        <v>016</v>
      </c>
      <c r="J5006" s="5" t="str">
        <f t="shared" si="603"/>
        <v>2210</v>
      </c>
      <c r="K5006" s="5" t="str">
        <f t="shared" si="604"/>
        <v>000</v>
      </c>
      <c r="L5006" s="5">
        <f t="shared" si="605"/>
        <v>12</v>
      </c>
      <c r="M5006" s="5">
        <f t="shared" si="606"/>
        <v>2012</v>
      </c>
    </row>
    <row r="5007" spans="1:13" ht="15" x14ac:dyDescent="0.25">
      <c r="A5007" s="1">
        <f>DATE(2012,12,26)</f>
        <v>41269</v>
      </c>
      <c r="B5007" t="s">
        <v>13</v>
      </c>
      <c r="C5007" t="s">
        <v>9</v>
      </c>
      <c r="D5007" s="3">
        <v>324.14760000000001</v>
      </c>
      <c r="E5007" s="3">
        <v>0</v>
      </c>
      <c r="F5007" t="s">
        <v>45</v>
      </c>
      <c r="G5007" s="3">
        <f t="shared" si="600"/>
        <v>-324.14760000000001</v>
      </c>
      <c r="H5007" s="3">
        <f t="shared" si="601"/>
        <v>324.14760000000001</v>
      </c>
      <c r="I5007" s="5" t="str">
        <f t="shared" si="602"/>
        <v>016</v>
      </c>
      <c r="J5007" s="5" t="str">
        <f t="shared" si="603"/>
        <v>2220</v>
      </c>
      <c r="K5007" s="5" t="str">
        <f t="shared" si="604"/>
        <v>000</v>
      </c>
      <c r="L5007" s="5">
        <f t="shared" si="605"/>
        <v>12</v>
      </c>
      <c r="M5007" s="5">
        <f t="shared" si="606"/>
        <v>2012</v>
      </c>
    </row>
    <row r="5008" spans="1:13" ht="15" x14ac:dyDescent="0.25">
      <c r="A5008" s="1">
        <f>DATE(2012,12,26)</f>
        <v>41269</v>
      </c>
      <c r="B5008" t="s">
        <v>14</v>
      </c>
      <c r="C5008" t="s">
        <v>10</v>
      </c>
      <c r="D5008" s="3">
        <v>268.9896</v>
      </c>
      <c r="E5008" s="3">
        <v>0</v>
      </c>
      <c r="F5008" t="s">
        <v>45</v>
      </c>
      <c r="G5008" s="3">
        <f t="shared" si="600"/>
        <v>-268.9896</v>
      </c>
      <c r="H5008" s="3">
        <f t="shared" si="601"/>
        <v>268.9896</v>
      </c>
      <c r="I5008" s="5" t="str">
        <f t="shared" si="602"/>
        <v>016</v>
      </c>
      <c r="J5008" s="5" t="str">
        <f t="shared" si="603"/>
        <v>2230</v>
      </c>
      <c r="K5008" s="5" t="str">
        <f t="shared" si="604"/>
        <v>000</v>
      </c>
      <c r="L5008" s="5">
        <f t="shared" si="605"/>
        <v>12</v>
      </c>
      <c r="M5008" s="5">
        <f t="shared" si="606"/>
        <v>2012</v>
      </c>
    </row>
    <row r="5009" spans="1:13" ht="15" x14ac:dyDescent="0.25">
      <c r="A5009" s="1">
        <f>DATE(2012,12,27)</f>
        <v>41270</v>
      </c>
      <c r="B5009" t="s">
        <v>11</v>
      </c>
      <c r="C5009" t="s">
        <v>6</v>
      </c>
      <c r="D5009" s="3">
        <v>8902.7245999999996</v>
      </c>
      <c r="E5009" s="3">
        <v>0</v>
      </c>
      <c r="F5009" t="s">
        <v>45</v>
      </c>
      <c r="G5009" s="3">
        <f t="shared" si="600"/>
        <v>-8902.7245999999996</v>
      </c>
      <c r="H5009" s="3">
        <f t="shared" si="601"/>
        <v>8902.7245999999996</v>
      </c>
      <c r="I5009" s="5" t="str">
        <f t="shared" si="602"/>
        <v>016</v>
      </c>
      <c r="J5009" s="5" t="str">
        <f t="shared" si="603"/>
        <v>2100</v>
      </c>
      <c r="K5009" s="5" t="str">
        <f t="shared" si="604"/>
        <v>000</v>
      </c>
      <c r="L5009" s="5">
        <f t="shared" si="605"/>
        <v>12</v>
      </c>
      <c r="M5009" s="5">
        <f t="shared" si="606"/>
        <v>2012</v>
      </c>
    </row>
    <row r="5010" spans="1:13" ht="15" x14ac:dyDescent="0.25">
      <c r="A5010" s="1">
        <f>DATE(2012,12,27)</f>
        <v>41270</v>
      </c>
      <c r="B5010" t="s">
        <v>12</v>
      </c>
      <c r="C5010" t="s">
        <v>8</v>
      </c>
      <c r="D5010" s="3">
        <v>2083.8145999999997</v>
      </c>
      <c r="E5010" s="3">
        <v>0</v>
      </c>
      <c r="F5010" t="s">
        <v>45</v>
      </c>
      <c r="G5010" s="3">
        <f t="shared" si="600"/>
        <v>-2083.8145999999997</v>
      </c>
      <c r="H5010" s="3">
        <f t="shared" si="601"/>
        <v>2083.8145999999997</v>
      </c>
      <c r="I5010" s="5" t="str">
        <f t="shared" si="602"/>
        <v>016</v>
      </c>
      <c r="J5010" s="5" t="str">
        <f t="shared" si="603"/>
        <v>2210</v>
      </c>
      <c r="K5010" s="5" t="str">
        <f t="shared" si="604"/>
        <v>000</v>
      </c>
      <c r="L5010" s="5">
        <f t="shared" si="605"/>
        <v>12</v>
      </c>
      <c r="M5010" s="5">
        <f t="shared" si="606"/>
        <v>2012</v>
      </c>
    </row>
    <row r="5011" spans="1:13" ht="15" x14ac:dyDescent="0.25">
      <c r="A5011" s="1">
        <f>DATE(2012,12,27)</f>
        <v>41270</v>
      </c>
      <c r="B5011" t="s">
        <v>13</v>
      </c>
      <c r="C5011" t="s">
        <v>9</v>
      </c>
      <c r="D5011" s="3">
        <v>257.36069999999995</v>
      </c>
      <c r="E5011" s="3">
        <v>0</v>
      </c>
      <c r="F5011" t="s">
        <v>45</v>
      </c>
      <c r="G5011" s="3">
        <f t="shared" si="600"/>
        <v>-257.36069999999995</v>
      </c>
      <c r="H5011" s="3">
        <f t="shared" si="601"/>
        <v>257.36069999999995</v>
      </c>
      <c r="I5011" s="5" t="str">
        <f t="shared" si="602"/>
        <v>016</v>
      </c>
      <c r="J5011" s="5" t="str">
        <f t="shared" si="603"/>
        <v>2220</v>
      </c>
      <c r="K5011" s="5" t="str">
        <f t="shared" si="604"/>
        <v>000</v>
      </c>
      <c r="L5011" s="5">
        <f t="shared" si="605"/>
        <v>12</v>
      </c>
      <c r="M5011" s="5">
        <f t="shared" si="606"/>
        <v>2012</v>
      </c>
    </row>
    <row r="5012" spans="1:13" ht="15" x14ac:dyDescent="0.25">
      <c r="A5012" s="1">
        <f>DATE(2012,12,27)</f>
        <v>41270</v>
      </c>
      <c r="B5012" t="s">
        <v>14</v>
      </c>
      <c r="C5012" t="s">
        <v>10</v>
      </c>
      <c r="D5012" s="3">
        <v>162.87039999999999</v>
      </c>
      <c r="E5012" s="3">
        <v>0</v>
      </c>
      <c r="F5012" t="s">
        <v>45</v>
      </c>
      <c r="G5012" s="3">
        <f t="shared" si="600"/>
        <v>-162.87039999999999</v>
      </c>
      <c r="H5012" s="3">
        <f t="shared" si="601"/>
        <v>162.87039999999999</v>
      </c>
      <c r="I5012" s="5" t="str">
        <f t="shared" si="602"/>
        <v>016</v>
      </c>
      <c r="J5012" s="5" t="str">
        <f t="shared" si="603"/>
        <v>2230</v>
      </c>
      <c r="K5012" s="5" t="str">
        <f t="shared" si="604"/>
        <v>000</v>
      </c>
      <c r="L5012" s="5">
        <f t="shared" si="605"/>
        <v>12</v>
      </c>
      <c r="M5012" s="5">
        <f t="shared" si="606"/>
        <v>2012</v>
      </c>
    </row>
    <row r="5013" spans="1:13" ht="15" x14ac:dyDescent="0.25">
      <c r="A5013" s="1">
        <f>DATE(2012,12,28)</f>
        <v>41271</v>
      </c>
      <c r="B5013" t="s">
        <v>11</v>
      </c>
      <c r="C5013" t="s">
        <v>6</v>
      </c>
      <c r="D5013" s="3">
        <v>11028.7996</v>
      </c>
      <c r="E5013" s="3">
        <v>0</v>
      </c>
      <c r="F5013" t="s">
        <v>45</v>
      </c>
      <c r="G5013" s="3">
        <f t="shared" si="600"/>
        <v>-11028.7996</v>
      </c>
      <c r="H5013" s="3">
        <f t="shared" si="601"/>
        <v>11028.7996</v>
      </c>
      <c r="I5013" s="5" t="str">
        <f t="shared" si="602"/>
        <v>016</v>
      </c>
      <c r="J5013" s="5" t="str">
        <f t="shared" si="603"/>
        <v>2100</v>
      </c>
      <c r="K5013" s="5" t="str">
        <f t="shared" si="604"/>
        <v>000</v>
      </c>
      <c r="L5013" s="5">
        <f t="shared" si="605"/>
        <v>12</v>
      </c>
      <c r="M5013" s="5">
        <f t="shared" si="606"/>
        <v>2012</v>
      </c>
    </row>
    <row r="5014" spans="1:13" ht="15" x14ac:dyDescent="0.25">
      <c r="A5014" s="1">
        <f>DATE(2012,12,28)</f>
        <v>41271</v>
      </c>
      <c r="B5014" t="s">
        <v>12</v>
      </c>
      <c r="C5014" t="s">
        <v>8</v>
      </c>
      <c r="D5014" s="3">
        <v>3239.9025000000001</v>
      </c>
      <c r="E5014" s="3">
        <v>0</v>
      </c>
      <c r="F5014" t="s">
        <v>45</v>
      </c>
      <c r="G5014" s="3">
        <f t="shared" si="600"/>
        <v>-3239.9025000000001</v>
      </c>
      <c r="H5014" s="3">
        <f t="shared" si="601"/>
        <v>3239.9025000000001</v>
      </c>
      <c r="I5014" s="5" t="str">
        <f t="shared" si="602"/>
        <v>016</v>
      </c>
      <c r="J5014" s="5" t="str">
        <f t="shared" si="603"/>
        <v>2210</v>
      </c>
      <c r="K5014" s="5" t="str">
        <f t="shared" si="604"/>
        <v>000</v>
      </c>
      <c r="L5014" s="5">
        <f t="shared" si="605"/>
        <v>12</v>
      </c>
      <c r="M5014" s="5">
        <f t="shared" si="606"/>
        <v>2012</v>
      </c>
    </row>
    <row r="5015" spans="1:13" ht="15" x14ac:dyDescent="0.25">
      <c r="A5015" s="1">
        <f>DATE(2012,12,28)</f>
        <v>41271</v>
      </c>
      <c r="B5015" t="s">
        <v>13</v>
      </c>
      <c r="C5015" t="s">
        <v>9</v>
      </c>
      <c r="D5015" s="3">
        <v>601.48500000000001</v>
      </c>
      <c r="E5015" s="3">
        <v>0</v>
      </c>
      <c r="F5015" t="s">
        <v>45</v>
      </c>
      <c r="G5015" s="3">
        <f t="shared" si="600"/>
        <v>-601.48500000000001</v>
      </c>
      <c r="H5015" s="3">
        <f t="shared" si="601"/>
        <v>601.48500000000001</v>
      </c>
      <c r="I5015" s="5" t="str">
        <f t="shared" si="602"/>
        <v>016</v>
      </c>
      <c r="J5015" s="5" t="str">
        <f t="shared" si="603"/>
        <v>2220</v>
      </c>
      <c r="K5015" s="5" t="str">
        <f t="shared" si="604"/>
        <v>000</v>
      </c>
      <c r="L5015" s="5">
        <f t="shared" si="605"/>
        <v>12</v>
      </c>
      <c r="M5015" s="5">
        <f t="shared" si="606"/>
        <v>2012</v>
      </c>
    </row>
    <row r="5016" spans="1:13" ht="15" x14ac:dyDescent="0.25">
      <c r="A5016" s="1">
        <f>DATE(2012,12,28)</f>
        <v>41271</v>
      </c>
      <c r="B5016" t="s">
        <v>14</v>
      </c>
      <c r="C5016" t="s">
        <v>10</v>
      </c>
      <c r="D5016" s="3">
        <v>207.4425</v>
      </c>
      <c r="E5016" s="3">
        <v>0</v>
      </c>
      <c r="F5016" t="s">
        <v>45</v>
      </c>
      <c r="G5016" s="3">
        <f t="shared" si="600"/>
        <v>-207.4425</v>
      </c>
      <c r="H5016" s="3">
        <f t="shared" si="601"/>
        <v>207.4425</v>
      </c>
      <c r="I5016" s="5" t="str">
        <f t="shared" si="602"/>
        <v>016</v>
      </c>
      <c r="J5016" s="5" t="str">
        <f t="shared" si="603"/>
        <v>2230</v>
      </c>
      <c r="K5016" s="5" t="str">
        <f t="shared" si="604"/>
        <v>000</v>
      </c>
      <c r="L5016" s="5">
        <f t="shared" si="605"/>
        <v>12</v>
      </c>
      <c r="M5016" s="5">
        <f t="shared" si="606"/>
        <v>2012</v>
      </c>
    </row>
    <row r="5017" spans="1:13" ht="15" x14ac:dyDescent="0.25">
      <c r="A5017" s="1">
        <f>DATE(2012,12,29)</f>
        <v>41272</v>
      </c>
      <c r="B5017" t="s">
        <v>11</v>
      </c>
      <c r="C5017" t="s">
        <v>6</v>
      </c>
      <c r="D5017" s="3">
        <v>7481.6268</v>
      </c>
      <c r="E5017" s="3">
        <v>0</v>
      </c>
      <c r="F5017" t="s">
        <v>45</v>
      </c>
      <c r="G5017" s="3">
        <f t="shared" si="600"/>
        <v>-7481.6268</v>
      </c>
      <c r="H5017" s="3">
        <f t="shared" si="601"/>
        <v>7481.6268</v>
      </c>
      <c r="I5017" s="5" t="str">
        <f t="shared" si="602"/>
        <v>016</v>
      </c>
      <c r="J5017" s="5" t="str">
        <f t="shared" si="603"/>
        <v>2100</v>
      </c>
      <c r="K5017" s="5" t="str">
        <f t="shared" si="604"/>
        <v>000</v>
      </c>
      <c r="L5017" s="5">
        <f t="shared" si="605"/>
        <v>12</v>
      </c>
      <c r="M5017" s="5">
        <f t="shared" si="606"/>
        <v>2012</v>
      </c>
    </row>
    <row r="5018" spans="1:13" ht="15" x14ac:dyDescent="0.25">
      <c r="A5018" s="1">
        <f>DATE(2012,12,29)</f>
        <v>41272</v>
      </c>
      <c r="B5018" t="s">
        <v>12</v>
      </c>
      <c r="C5018" t="s">
        <v>8</v>
      </c>
      <c r="D5018" s="3">
        <v>2001.9304</v>
      </c>
      <c r="E5018" s="3">
        <v>0</v>
      </c>
      <c r="F5018" t="s">
        <v>45</v>
      </c>
      <c r="G5018" s="3">
        <f t="shared" si="600"/>
        <v>-2001.9304</v>
      </c>
      <c r="H5018" s="3">
        <f t="shared" si="601"/>
        <v>2001.9304</v>
      </c>
      <c r="I5018" s="5" t="str">
        <f t="shared" si="602"/>
        <v>016</v>
      </c>
      <c r="J5018" s="5" t="str">
        <f t="shared" si="603"/>
        <v>2210</v>
      </c>
      <c r="K5018" s="5" t="str">
        <f t="shared" si="604"/>
        <v>000</v>
      </c>
      <c r="L5018" s="5">
        <f t="shared" si="605"/>
        <v>12</v>
      </c>
      <c r="M5018" s="5">
        <f t="shared" si="606"/>
        <v>2012</v>
      </c>
    </row>
    <row r="5019" spans="1:13" ht="15" x14ac:dyDescent="0.25">
      <c r="A5019" s="1">
        <f>DATE(2012,12,29)</f>
        <v>41272</v>
      </c>
      <c r="B5019" t="s">
        <v>13</v>
      </c>
      <c r="C5019" t="s">
        <v>9</v>
      </c>
      <c r="D5019" s="3">
        <v>476.01240000000001</v>
      </c>
      <c r="E5019" s="3">
        <v>0</v>
      </c>
      <c r="F5019" t="s">
        <v>45</v>
      </c>
      <c r="G5019" s="3">
        <f t="shared" si="600"/>
        <v>-476.01240000000001</v>
      </c>
      <c r="H5019" s="3">
        <f t="shared" si="601"/>
        <v>476.01240000000001</v>
      </c>
      <c r="I5019" s="5" t="str">
        <f t="shared" si="602"/>
        <v>016</v>
      </c>
      <c r="J5019" s="5" t="str">
        <f t="shared" si="603"/>
        <v>2220</v>
      </c>
      <c r="K5019" s="5" t="str">
        <f t="shared" si="604"/>
        <v>000</v>
      </c>
      <c r="L5019" s="5">
        <f t="shared" si="605"/>
        <v>12</v>
      </c>
      <c r="M5019" s="5">
        <f t="shared" si="606"/>
        <v>2012</v>
      </c>
    </row>
    <row r="5020" spans="1:13" ht="15" x14ac:dyDescent="0.25">
      <c r="A5020" s="1">
        <f>DATE(2012,12,29)</f>
        <v>41272</v>
      </c>
      <c r="B5020" t="s">
        <v>14</v>
      </c>
      <c r="C5020" t="s">
        <v>10</v>
      </c>
      <c r="D5020" s="3">
        <v>257.05549999999999</v>
      </c>
      <c r="E5020" s="3">
        <v>0</v>
      </c>
      <c r="F5020" t="s">
        <v>45</v>
      </c>
      <c r="G5020" s="3">
        <f t="shared" si="600"/>
        <v>-257.05549999999999</v>
      </c>
      <c r="H5020" s="3">
        <f t="shared" si="601"/>
        <v>257.05549999999999</v>
      </c>
      <c r="I5020" s="5" t="str">
        <f t="shared" si="602"/>
        <v>016</v>
      </c>
      <c r="J5020" s="5" t="str">
        <f t="shared" si="603"/>
        <v>2230</v>
      </c>
      <c r="K5020" s="5" t="str">
        <f t="shared" si="604"/>
        <v>000</v>
      </c>
      <c r="L5020" s="5">
        <f t="shared" si="605"/>
        <v>12</v>
      </c>
      <c r="M5020" s="5">
        <f t="shared" si="606"/>
        <v>2012</v>
      </c>
    </row>
    <row r="5021" spans="1:13" ht="15" x14ac:dyDescent="0.25">
      <c r="A5021" s="1">
        <f>DATE(2012,12,30)</f>
        <v>41273</v>
      </c>
      <c r="B5021" t="s">
        <v>11</v>
      </c>
      <c r="C5021" t="s">
        <v>6</v>
      </c>
      <c r="D5021" s="3">
        <v>9525.8942000000006</v>
      </c>
      <c r="E5021" s="3">
        <v>0</v>
      </c>
      <c r="F5021" t="s">
        <v>45</v>
      </c>
      <c r="G5021" s="3">
        <f t="shared" si="600"/>
        <v>-9525.8942000000006</v>
      </c>
      <c r="H5021" s="3">
        <f t="shared" si="601"/>
        <v>9525.8942000000006</v>
      </c>
      <c r="I5021" s="5" t="str">
        <f t="shared" si="602"/>
        <v>016</v>
      </c>
      <c r="J5021" s="5" t="str">
        <f t="shared" si="603"/>
        <v>2100</v>
      </c>
      <c r="K5021" s="5" t="str">
        <f t="shared" si="604"/>
        <v>000</v>
      </c>
      <c r="L5021" s="5">
        <f t="shared" si="605"/>
        <v>12</v>
      </c>
      <c r="M5021" s="5">
        <f t="shared" si="606"/>
        <v>2012</v>
      </c>
    </row>
    <row r="5022" spans="1:13" ht="15" x14ac:dyDescent="0.25">
      <c r="A5022" s="1">
        <f>DATE(2012,12,30)</f>
        <v>41273</v>
      </c>
      <c r="B5022" t="s">
        <v>12</v>
      </c>
      <c r="C5022" t="s">
        <v>8</v>
      </c>
      <c r="D5022" s="3">
        <v>1135.7927999999999</v>
      </c>
      <c r="E5022" s="3">
        <v>0</v>
      </c>
      <c r="F5022" t="s">
        <v>45</v>
      </c>
      <c r="G5022" s="3">
        <f t="shared" si="600"/>
        <v>-1135.7927999999999</v>
      </c>
      <c r="H5022" s="3">
        <f t="shared" si="601"/>
        <v>1135.7927999999999</v>
      </c>
      <c r="I5022" s="5" t="str">
        <f t="shared" si="602"/>
        <v>016</v>
      </c>
      <c r="J5022" s="5" t="str">
        <f t="shared" si="603"/>
        <v>2210</v>
      </c>
      <c r="K5022" s="5" t="str">
        <f t="shared" si="604"/>
        <v>000</v>
      </c>
      <c r="L5022" s="5">
        <f t="shared" si="605"/>
        <v>12</v>
      </c>
      <c r="M5022" s="5">
        <f t="shared" si="606"/>
        <v>2012</v>
      </c>
    </row>
    <row r="5023" spans="1:13" ht="15" x14ac:dyDescent="0.25">
      <c r="A5023" s="1">
        <f>DATE(2012,12,30)</f>
        <v>41273</v>
      </c>
      <c r="B5023" t="s">
        <v>13</v>
      </c>
      <c r="C5023" t="s">
        <v>9</v>
      </c>
      <c r="D5023" s="3">
        <v>293.38920000000002</v>
      </c>
      <c r="E5023" s="3">
        <v>0</v>
      </c>
      <c r="F5023" t="s">
        <v>45</v>
      </c>
      <c r="G5023" s="3">
        <f t="shared" si="600"/>
        <v>-293.38920000000002</v>
      </c>
      <c r="H5023" s="3">
        <f t="shared" si="601"/>
        <v>293.38920000000002</v>
      </c>
      <c r="I5023" s="5" t="str">
        <f t="shared" si="602"/>
        <v>016</v>
      </c>
      <c r="J5023" s="5" t="str">
        <f t="shared" si="603"/>
        <v>2220</v>
      </c>
      <c r="K5023" s="5" t="str">
        <f t="shared" si="604"/>
        <v>000</v>
      </c>
      <c r="L5023" s="5">
        <f t="shared" si="605"/>
        <v>12</v>
      </c>
      <c r="M5023" s="5">
        <f t="shared" si="606"/>
        <v>2012</v>
      </c>
    </row>
    <row r="5024" spans="1:13" ht="15" x14ac:dyDescent="0.25">
      <c r="A5024" s="1">
        <f>DATE(2012,12,30)</f>
        <v>41273</v>
      </c>
      <c r="B5024" t="s">
        <v>14</v>
      </c>
      <c r="C5024" t="s">
        <v>10</v>
      </c>
      <c r="D5024" s="3">
        <v>221.86009999999999</v>
      </c>
      <c r="E5024" s="3">
        <v>0</v>
      </c>
      <c r="F5024" t="s">
        <v>45</v>
      </c>
      <c r="G5024" s="3">
        <f t="shared" si="600"/>
        <v>-221.86009999999999</v>
      </c>
      <c r="H5024" s="3">
        <f t="shared" si="601"/>
        <v>221.86009999999999</v>
      </c>
      <c r="I5024" s="5" t="str">
        <f t="shared" si="602"/>
        <v>016</v>
      </c>
      <c r="J5024" s="5" t="str">
        <f t="shared" si="603"/>
        <v>2230</v>
      </c>
      <c r="K5024" s="5" t="str">
        <f t="shared" si="604"/>
        <v>000</v>
      </c>
      <c r="L5024" s="5">
        <f t="shared" si="605"/>
        <v>12</v>
      </c>
      <c r="M5024" s="5">
        <f t="shared" si="606"/>
        <v>2012</v>
      </c>
    </row>
    <row r="5025" spans="1:13" ht="15" x14ac:dyDescent="0.25">
      <c r="A5025" s="1">
        <f>DATE(2012,12,24)</f>
        <v>41267</v>
      </c>
      <c r="B5025" t="s">
        <v>15</v>
      </c>
      <c r="C5025" t="s">
        <v>6</v>
      </c>
      <c r="D5025" s="3">
        <v>2837.4982</v>
      </c>
      <c r="E5025" s="3">
        <v>0</v>
      </c>
      <c r="F5025" t="s">
        <v>45</v>
      </c>
      <c r="G5025" s="3">
        <f t="shared" si="600"/>
        <v>-2837.4982</v>
      </c>
      <c r="H5025" s="3">
        <f t="shared" si="601"/>
        <v>2837.4982</v>
      </c>
      <c r="I5025" s="5" t="str">
        <f t="shared" si="602"/>
        <v>017</v>
      </c>
      <c r="J5025" s="5" t="str">
        <f t="shared" si="603"/>
        <v>2100</v>
      </c>
      <c r="K5025" s="5" t="str">
        <f t="shared" si="604"/>
        <v>000</v>
      </c>
      <c r="L5025" s="5">
        <f t="shared" si="605"/>
        <v>12</v>
      </c>
      <c r="M5025" s="5">
        <f t="shared" si="606"/>
        <v>2012</v>
      </c>
    </row>
    <row r="5026" spans="1:13" ht="15" x14ac:dyDescent="0.25">
      <c r="A5026" s="1">
        <f>DATE(2012,12,24)</f>
        <v>41267</v>
      </c>
      <c r="B5026" t="s">
        <v>16</v>
      </c>
      <c r="C5026" t="s">
        <v>8</v>
      </c>
      <c r="D5026" s="3">
        <v>749.10439999999994</v>
      </c>
      <c r="E5026" s="3">
        <v>0</v>
      </c>
      <c r="F5026" t="s">
        <v>45</v>
      </c>
      <c r="G5026" s="3">
        <f t="shared" si="600"/>
        <v>-749.10439999999994</v>
      </c>
      <c r="H5026" s="3">
        <f t="shared" si="601"/>
        <v>749.10439999999994</v>
      </c>
      <c r="I5026" s="5" t="str">
        <f t="shared" si="602"/>
        <v>017</v>
      </c>
      <c r="J5026" s="5" t="str">
        <f t="shared" si="603"/>
        <v>2210</v>
      </c>
      <c r="K5026" s="5" t="str">
        <f t="shared" si="604"/>
        <v>000</v>
      </c>
      <c r="L5026" s="5">
        <f t="shared" si="605"/>
        <v>12</v>
      </c>
      <c r="M5026" s="5">
        <f t="shared" si="606"/>
        <v>2012</v>
      </c>
    </row>
    <row r="5027" spans="1:13" ht="15" x14ac:dyDescent="0.25">
      <c r="A5027" s="1">
        <f>DATE(2012,12,24)</f>
        <v>41267</v>
      </c>
      <c r="B5027" t="s">
        <v>17</v>
      </c>
      <c r="C5027" t="s">
        <v>9</v>
      </c>
      <c r="D5027" s="3">
        <v>90.804000000000016</v>
      </c>
      <c r="E5027" s="3">
        <v>0</v>
      </c>
      <c r="F5027" t="s">
        <v>45</v>
      </c>
      <c r="G5027" s="3">
        <f t="shared" si="600"/>
        <v>-90.804000000000016</v>
      </c>
      <c r="H5027" s="3">
        <f t="shared" si="601"/>
        <v>90.804000000000016</v>
      </c>
      <c r="I5027" s="5" t="str">
        <f t="shared" si="602"/>
        <v>017</v>
      </c>
      <c r="J5027" s="5" t="str">
        <f t="shared" si="603"/>
        <v>2220</v>
      </c>
      <c r="K5027" s="5" t="str">
        <f t="shared" si="604"/>
        <v>000</v>
      </c>
      <c r="L5027" s="5">
        <f t="shared" si="605"/>
        <v>12</v>
      </c>
      <c r="M5027" s="5">
        <f t="shared" si="606"/>
        <v>2012</v>
      </c>
    </row>
    <row r="5028" spans="1:13" ht="15" x14ac:dyDescent="0.25">
      <c r="A5028" s="1">
        <f>DATE(2012,12,24)</f>
        <v>41267</v>
      </c>
      <c r="B5028" t="s">
        <v>18</v>
      </c>
      <c r="C5028" t="s">
        <v>10</v>
      </c>
      <c r="D5028" s="3">
        <v>36.495899999999999</v>
      </c>
      <c r="E5028" s="3">
        <v>0</v>
      </c>
      <c r="F5028" t="s">
        <v>45</v>
      </c>
      <c r="G5028" s="3">
        <f t="shared" si="600"/>
        <v>-36.495899999999999</v>
      </c>
      <c r="H5028" s="3">
        <f t="shared" si="601"/>
        <v>36.495899999999999</v>
      </c>
      <c r="I5028" s="5" t="str">
        <f t="shared" si="602"/>
        <v>017</v>
      </c>
      <c r="J5028" s="5" t="str">
        <f t="shared" si="603"/>
        <v>2230</v>
      </c>
      <c r="K5028" s="5" t="str">
        <f t="shared" si="604"/>
        <v>000</v>
      </c>
      <c r="L5028" s="5">
        <f t="shared" si="605"/>
        <v>12</v>
      </c>
      <c r="M5028" s="5">
        <f t="shared" si="606"/>
        <v>2012</v>
      </c>
    </row>
    <row r="5029" spans="1:13" ht="15" x14ac:dyDescent="0.25">
      <c r="A5029" s="1">
        <f>DATE(2012,12,26)</f>
        <v>41269</v>
      </c>
      <c r="B5029" t="s">
        <v>15</v>
      </c>
      <c r="C5029" t="s">
        <v>6</v>
      </c>
      <c r="D5029" s="3">
        <v>5238.9279999999999</v>
      </c>
      <c r="E5029" s="3">
        <v>0</v>
      </c>
      <c r="F5029" t="s">
        <v>45</v>
      </c>
      <c r="G5029" s="3">
        <f t="shared" si="600"/>
        <v>-5238.9279999999999</v>
      </c>
      <c r="H5029" s="3">
        <f t="shared" si="601"/>
        <v>5238.9279999999999</v>
      </c>
      <c r="I5029" s="5" t="str">
        <f t="shared" si="602"/>
        <v>017</v>
      </c>
      <c r="J5029" s="5" t="str">
        <f t="shared" si="603"/>
        <v>2100</v>
      </c>
      <c r="K5029" s="5" t="str">
        <f t="shared" si="604"/>
        <v>000</v>
      </c>
      <c r="L5029" s="5">
        <f t="shared" si="605"/>
        <v>12</v>
      </c>
      <c r="M5029" s="5">
        <f t="shared" si="606"/>
        <v>2012</v>
      </c>
    </row>
    <row r="5030" spans="1:13" ht="15" x14ac:dyDescent="0.25">
      <c r="A5030" s="1">
        <f>DATE(2012,12,26)</f>
        <v>41269</v>
      </c>
      <c r="B5030" t="s">
        <v>16</v>
      </c>
      <c r="C5030" t="s">
        <v>8</v>
      </c>
      <c r="D5030" s="3">
        <v>1263.0498</v>
      </c>
      <c r="E5030" s="3">
        <v>0</v>
      </c>
      <c r="F5030" t="s">
        <v>45</v>
      </c>
      <c r="G5030" s="3">
        <f t="shared" si="600"/>
        <v>-1263.0498</v>
      </c>
      <c r="H5030" s="3">
        <f t="shared" si="601"/>
        <v>1263.0498</v>
      </c>
      <c r="I5030" s="5" t="str">
        <f t="shared" si="602"/>
        <v>017</v>
      </c>
      <c r="J5030" s="5" t="str">
        <f t="shared" si="603"/>
        <v>2210</v>
      </c>
      <c r="K5030" s="5" t="str">
        <f t="shared" si="604"/>
        <v>000</v>
      </c>
      <c r="L5030" s="5">
        <f t="shared" si="605"/>
        <v>12</v>
      </c>
      <c r="M5030" s="5">
        <f t="shared" si="606"/>
        <v>2012</v>
      </c>
    </row>
    <row r="5031" spans="1:13" ht="15" x14ac:dyDescent="0.25">
      <c r="A5031" s="1">
        <f>DATE(2012,12,26)</f>
        <v>41269</v>
      </c>
      <c r="B5031" t="s">
        <v>17</v>
      </c>
      <c r="C5031" t="s">
        <v>9</v>
      </c>
      <c r="D5031" s="3">
        <v>137.91049999999998</v>
      </c>
      <c r="E5031" s="3">
        <v>0</v>
      </c>
      <c r="F5031" t="s">
        <v>45</v>
      </c>
      <c r="G5031" s="3">
        <f t="shared" si="600"/>
        <v>-137.91049999999998</v>
      </c>
      <c r="H5031" s="3">
        <f t="shared" si="601"/>
        <v>137.91049999999998</v>
      </c>
      <c r="I5031" s="5" t="str">
        <f t="shared" si="602"/>
        <v>017</v>
      </c>
      <c r="J5031" s="5" t="str">
        <f t="shared" si="603"/>
        <v>2220</v>
      </c>
      <c r="K5031" s="5" t="str">
        <f t="shared" si="604"/>
        <v>000</v>
      </c>
      <c r="L5031" s="5">
        <f t="shared" si="605"/>
        <v>12</v>
      </c>
      <c r="M5031" s="5">
        <f t="shared" si="606"/>
        <v>2012</v>
      </c>
    </row>
    <row r="5032" spans="1:13" ht="15" x14ac:dyDescent="0.25">
      <c r="A5032" s="1">
        <f>DATE(2012,12,26)</f>
        <v>41269</v>
      </c>
      <c r="B5032" t="s">
        <v>18</v>
      </c>
      <c r="C5032" t="s">
        <v>10</v>
      </c>
      <c r="D5032" s="3">
        <v>46.305099999999996</v>
      </c>
      <c r="E5032" s="3">
        <v>0</v>
      </c>
      <c r="F5032" t="s">
        <v>45</v>
      </c>
      <c r="G5032" s="3">
        <f t="shared" si="600"/>
        <v>-46.305099999999996</v>
      </c>
      <c r="H5032" s="3">
        <f t="shared" si="601"/>
        <v>46.305099999999996</v>
      </c>
      <c r="I5032" s="5" t="str">
        <f t="shared" si="602"/>
        <v>017</v>
      </c>
      <c r="J5032" s="5" t="str">
        <f t="shared" si="603"/>
        <v>2230</v>
      </c>
      <c r="K5032" s="5" t="str">
        <f t="shared" si="604"/>
        <v>000</v>
      </c>
      <c r="L5032" s="5">
        <f t="shared" si="605"/>
        <v>12</v>
      </c>
      <c r="M5032" s="5">
        <f t="shared" si="606"/>
        <v>2012</v>
      </c>
    </row>
    <row r="5033" spans="1:13" ht="15" x14ac:dyDescent="0.25">
      <c r="A5033" s="1">
        <f>DATE(2012,12,27)</f>
        <v>41270</v>
      </c>
      <c r="B5033" t="s">
        <v>15</v>
      </c>
      <c r="C5033" t="s">
        <v>6</v>
      </c>
      <c r="D5033" s="3">
        <v>4362.4641999999994</v>
      </c>
      <c r="E5033" s="3">
        <v>0</v>
      </c>
      <c r="F5033" t="s">
        <v>45</v>
      </c>
      <c r="G5033" s="3">
        <f t="shared" si="600"/>
        <v>-4362.4641999999994</v>
      </c>
      <c r="H5033" s="3">
        <f t="shared" si="601"/>
        <v>4362.4641999999994</v>
      </c>
      <c r="I5033" s="5" t="str">
        <f t="shared" si="602"/>
        <v>017</v>
      </c>
      <c r="J5033" s="5" t="str">
        <f t="shared" si="603"/>
        <v>2100</v>
      </c>
      <c r="K5033" s="5" t="str">
        <f t="shared" si="604"/>
        <v>000</v>
      </c>
      <c r="L5033" s="5">
        <f t="shared" si="605"/>
        <v>12</v>
      </c>
      <c r="M5033" s="5">
        <f t="shared" si="606"/>
        <v>2012</v>
      </c>
    </row>
    <row r="5034" spans="1:13" ht="15" x14ac:dyDescent="0.25">
      <c r="A5034" s="1">
        <f>DATE(2012,12,27)</f>
        <v>41270</v>
      </c>
      <c r="B5034" t="s">
        <v>16</v>
      </c>
      <c r="C5034" t="s">
        <v>8</v>
      </c>
      <c r="D5034" s="3">
        <v>1187.8027999999999</v>
      </c>
      <c r="E5034" s="3">
        <v>0</v>
      </c>
      <c r="F5034" t="s">
        <v>45</v>
      </c>
      <c r="G5034" s="3">
        <f t="shared" si="600"/>
        <v>-1187.8027999999999</v>
      </c>
      <c r="H5034" s="3">
        <f t="shared" si="601"/>
        <v>1187.8027999999999</v>
      </c>
      <c r="I5034" s="5" t="str">
        <f t="shared" si="602"/>
        <v>017</v>
      </c>
      <c r="J5034" s="5" t="str">
        <f t="shared" si="603"/>
        <v>2210</v>
      </c>
      <c r="K5034" s="5" t="str">
        <f t="shared" si="604"/>
        <v>000</v>
      </c>
      <c r="L5034" s="5">
        <f t="shared" si="605"/>
        <v>12</v>
      </c>
      <c r="M5034" s="5">
        <f t="shared" si="606"/>
        <v>2012</v>
      </c>
    </row>
    <row r="5035" spans="1:13" ht="15" x14ac:dyDescent="0.25">
      <c r="A5035" s="1">
        <f>DATE(2012,12,27)</f>
        <v>41270</v>
      </c>
      <c r="B5035" t="s">
        <v>17</v>
      </c>
      <c r="C5035" t="s">
        <v>9</v>
      </c>
      <c r="D5035" s="3">
        <v>287.49630000000002</v>
      </c>
      <c r="E5035" s="3">
        <v>0</v>
      </c>
      <c r="F5035" t="s">
        <v>45</v>
      </c>
      <c r="G5035" s="3">
        <f t="shared" si="600"/>
        <v>-287.49630000000002</v>
      </c>
      <c r="H5035" s="3">
        <f t="shared" si="601"/>
        <v>287.49630000000002</v>
      </c>
      <c r="I5035" s="5" t="str">
        <f t="shared" si="602"/>
        <v>017</v>
      </c>
      <c r="J5035" s="5" t="str">
        <f t="shared" si="603"/>
        <v>2220</v>
      </c>
      <c r="K5035" s="5" t="str">
        <f t="shared" si="604"/>
        <v>000</v>
      </c>
      <c r="L5035" s="5">
        <f t="shared" si="605"/>
        <v>12</v>
      </c>
      <c r="M5035" s="5">
        <f t="shared" si="606"/>
        <v>2012</v>
      </c>
    </row>
    <row r="5036" spans="1:13" ht="15" x14ac:dyDescent="0.25">
      <c r="A5036" s="1">
        <f>DATE(2012,12,27)</f>
        <v>41270</v>
      </c>
      <c r="B5036" t="s">
        <v>18</v>
      </c>
      <c r="C5036" t="s">
        <v>10</v>
      </c>
      <c r="D5036" s="3">
        <v>69.8001</v>
      </c>
      <c r="E5036" s="3">
        <v>0</v>
      </c>
      <c r="F5036" t="s">
        <v>45</v>
      </c>
      <c r="G5036" s="3">
        <f t="shared" si="600"/>
        <v>-69.8001</v>
      </c>
      <c r="H5036" s="3">
        <f t="shared" si="601"/>
        <v>69.8001</v>
      </c>
      <c r="I5036" s="5" t="str">
        <f t="shared" si="602"/>
        <v>017</v>
      </c>
      <c r="J5036" s="5" t="str">
        <f t="shared" si="603"/>
        <v>2230</v>
      </c>
      <c r="K5036" s="5" t="str">
        <f t="shared" si="604"/>
        <v>000</v>
      </c>
      <c r="L5036" s="5">
        <f t="shared" si="605"/>
        <v>12</v>
      </c>
      <c r="M5036" s="5">
        <f t="shared" si="606"/>
        <v>2012</v>
      </c>
    </row>
    <row r="5037" spans="1:13" ht="15" x14ac:dyDescent="0.25">
      <c r="A5037" s="1">
        <f>DATE(2012,12,28)</f>
        <v>41271</v>
      </c>
      <c r="B5037" t="s">
        <v>15</v>
      </c>
      <c r="C5037" t="s">
        <v>6</v>
      </c>
      <c r="D5037" s="3">
        <v>4474.7451000000001</v>
      </c>
      <c r="E5037" s="3">
        <v>0</v>
      </c>
      <c r="F5037" t="s">
        <v>45</v>
      </c>
      <c r="G5037" s="3">
        <f t="shared" si="600"/>
        <v>-4474.7451000000001</v>
      </c>
      <c r="H5037" s="3">
        <f t="shared" si="601"/>
        <v>4474.7451000000001</v>
      </c>
      <c r="I5037" s="5" t="str">
        <f t="shared" si="602"/>
        <v>017</v>
      </c>
      <c r="J5037" s="5" t="str">
        <f t="shared" si="603"/>
        <v>2100</v>
      </c>
      <c r="K5037" s="5" t="str">
        <f t="shared" si="604"/>
        <v>000</v>
      </c>
      <c r="L5037" s="5">
        <f t="shared" si="605"/>
        <v>12</v>
      </c>
      <c r="M5037" s="5">
        <f t="shared" si="606"/>
        <v>2012</v>
      </c>
    </row>
    <row r="5038" spans="1:13" ht="15" x14ac:dyDescent="0.25">
      <c r="A5038" s="1">
        <f>DATE(2012,12,28)</f>
        <v>41271</v>
      </c>
      <c r="B5038" t="s">
        <v>16</v>
      </c>
      <c r="C5038" t="s">
        <v>8</v>
      </c>
      <c r="D5038" s="3">
        <v>1136.3219999999999</v>
      </c>
      <c r="E5038" s="3">
        <v>0</v>
      </c>
      <c r="F5038" t="s">
        <v>45</v>
      </c>
      <c r="G5038" s="3">
        <f t="shared" si="600"/>
        <v>-1136.3219999999999</v>
      </c>
      <c r="H5038" s="3">
        <f t="shared" si="601"/>
        <v>1136.3219999999999</v>
      </c>
      <c r="I5038" s="5" t="str">
        <f t="shared" si="602"/>
        <v>017</v>
      </c>
      <c r="J5038" s="5" t="str">
        <f t="shared" si="603"/>
        <v>2210</v>
      </c>
      <c r="K5038" s="5" t="str">
        <f t="shared" si="604"/>
        <v>000</v>
      </c>
      <c r="L5038" s="5">
        <f t="shared" si="605"/>
        <v>12</v>
      </c>
      <c r="M5038" s="5">
        <f t="shared" si="606"/>
        <v>2012</v>
      </c>
    </row>
    <row r="5039" spans="1:13" ht="15" x14ac:dyDescent="0.25">
      <c r="A5039" s="1">
        <f>DATE(2012,12,28)</f>
        <v>41271</v>
      </c>
      <c r="B5039" t="s">
        <v>17</v>
      </c>
      <c r="C5039" t="s">
        <v>9</v>
      </c>
      <c r="D5039" s="3">
        <v>301.3956</v>
      </c>
      <c r="E5039" s="3">
        <v>0</v>
      </c>
      <c r="F5039" t="s">
        <v>45</v>
      </c>
      <c r="G5039" s="3">
        <f t="shared" si="600"/>
        <v>-301.3956</v>
      </c>
      <c r="H5039" s="3">
        <f t="shared" si="601"/>
        <v>301.3956</v>
      </c>
      <c r="I5039" s="5" t="str">
        <f t="shared" si="602"/>
        <v>017</v>
      </c>
      <c r="J5039" s="5" t="str">
        <f t="shared" si="603"/>
        <v>2220</v>
      </c>
      <c r="K5039" s="5" t="str">
        <f t="shared" si="604"/>
        <v>000</v>
      </c>
      <c r="L5039" s="5">
        <f t="shared" si="605"/>
        <v>12</v>
      </c>
      <c r="M5039" s="5">
        <f t="shared" si="606"/>
        <v>2012</v>
      </c>
    </row>
    <row r="5040" spans="1:13" ht="15" x14ac:dyDescent="0.25">
      <c r="A5040" s="1">
        <f>DATE(2012,12,28)</f>
        <v>41271</v>
      </c>
      <c r="B5040" t="s">
        <v>18</v>
      </c>
      <c r="C5040" t="s">
        <v>10</v>
      </c>
      <c r="D5040" s="3">
        <v>68.190400000000011</v>
      </c>
      <c r="E5040" s="3">
        <v>0</v>
      </c>
      <c r="F5040" t="s">
        <v>45</v>
      </c>
      <c r="G5040" s="3">
        <f t="shared" si="600"/>
        <v>-68.190400000000011</v>
      </c>
      <c r="H5040" s="3">
        <f t="shared" si="601"/>
        <v>68.190400000000011</v>
      </c>
      <c r="I5040" s="5" t="str">
        <f t="shared" si="602"/>
        <v>017</v>
      </c>
      <c r="J5040" s="5" t="str">
        <f t="shared" si="603"/>
        <v>2230</v>
      </c>
      <c r="K5040" s="5" t="str">
        <f t="shared" si="604"/>
        <v>000</v>
      </c>
      <c r="L5040" s="5">
        <f t="shared" si="605"/>
        <v>12</v>
      </c>
      <c r="M5040" s="5">
        <f t="shared" si="606"/>
        <v>2012</v>
      </c>
    </row>
    <row r="5041" spans="1:13" ht="15" x14ac:dyDescent="0.25">
      <c r="A5041" s="1">
        <f>DATE(2012,12,29)</f>
        <v>41272</v>
      </c>
      <c r="B5041" t="s">
        <v>15</v>
      </c>
      <c r="C5041" t="s">
        <v>6</v>
      </c>
      <c r="D5041" s="3">
        <v>6975.2704000000003</v>
      </c>
      <c r="E5041" s="3">
        <v>0</v>
      </c>
      <c r="F5041" t="s">
        <v>45</v>
      </c>
      <c r="G5041" s="3">
        <f t="shared" si="600"/>
        <v>-6975.2704000000003</v>
      </c>
      <c r="H5041" s="3">
        <f t="shared" si="601"/>
        <v>6975.2704000000003</v>
      </c>
      <c r="I5041" s="5" t="str">
        <f t="shared" si="602"/>
        <v>017</v>
      </c>
      <c r="J5041" s="5" t="str">
        <f t="shared" si="603"/>
        <v>2100</v>
      </c>
      <c r="K5041" s="5" t="str">
        <f t="shared" si="604"/>
        <v>000</v>
      </c>
      <c r="L5041" s="5">
        <f t="shared" si="605"/>
        <v>12</v>
      </c>
      <c r="M5041" s="5">
        <f t="shared" si="606"/>
        <v>2012</v>
      </c>
    </row>
    <row r="5042" spans="1:13" ht="15" x14ac:dyDescent="0.25">
      <c r="A5042" s="1">
        <f>DATE(2012,12,29)</f>
        <v>41272</v>
      </c>
      <c r="B5042" t="s">
        <v>16</v>
      </c>
      <c r="C5042" t="s">
        <v>8</v>
      </c>
      <c r="D5042" s="3">
        <v>1707.2195999999999</v>
      </c>
      <c r="E5042" s="3">
        <v>0</v>
      </c>
      <c r="F5042" t="s">
        <v>45</v>
      </c>
      <c r="G5042" s="3">
        <f t="shared" si="600"/>
        <v>-1707.2195999999999</v>
      </c>
      <c r="H5042" s="3">
        <f t="shared" si="601"/>
        <v>1707.2195999999999</v>
      </c>
      <c r="I5042" s="5" t="str">
        <f t="shared" si="602"/>
        <v>017</v>
      </c>
      <c r="J5042" s="5" t="str">
        <f t="shared" si="603"/>
        <v>2210</v>
      </c>
      <c r="K5042" s="5" t="str">
        <f t="shared" si="604"/>
        <v>000</v>
      </c>
      <c r="L5042" s="5">
        <f t="shared" si="605"/>
        <v>12</v>
      </c>
      <c r="M5042" s="5">
        <f t="shared" si="606"/>
        <v>2012</v>
      </c>
    </row>
    <row r="5043" spans="1:13" ht="15" x14ac:dyDescent="0.25">
      <c r="A5043" s="1">
        <f>DATE(2012,12,29)</f>
        <v>41272</v>
      </c>
      <c r="B5043" t="s">
        <v>17</v>
      </c>
      <c r="C5043" t="s">
        <v>9</v>
      </c>
      <c r="D5043" s="3">
        <v>533.46680000000003</v>
      </c>
      <c r="E5043" s="3">
        <v>0</v>
      </c>
      <c r="F5043" t="s">
        <v>45</v>
      </c>
      <c r="G5043" s="3">
        <f t="shared" si="600"/>
        <v>-533.46680000000003</v>
      </c>
      <c r="H5043" s="3">
        <f t="shared" si="601"/>
        <v>533.46680000000003</v>
      </c>
      <c r="I5043" s="5" t="str">
        <f t="shared" si="602"/>
        <v>017</v>
      </c>
      <c r="J5043" s="5" t="str">
        <f t="shared" si="603"/>
        <v>2220</v>
      </c>
      <c r="K5043" s="5" t="str">
        <f t="shared" si="604"/>
        <v>000</v>
      </c>
      <c r="L5043" s="5">
        <f t="shared" si="605"/>
        <v>12</v>
      </c>
      <c r="M5043" s="5">
        <f t="shared" si="606"/>
        <v>2012</v>
      </c>
    </row>
    <row r="5044" spans="1:13" ht="15" x14ac:dyDescent="0.25">
      <c r="A5044" s="1">
        <f>DATE(2012,12,29)</f>
        <v>41272</v>
      </c>
      <c r="B5044" t="s">
        <v>18</v>
      </c>
      <c r="C5044" t="s">
        <v>10</v>
      </c>
      <c r="D5044" s="3">
        <v>307.65900000000005</v>
      </c>
      <c r="E5044" s="3">
        <v>0</v>
      </c>
      <c r="F5044" t="s">
        <v>45</v>
      </c>
      <c r="G5044" s="3">
        <f t="shared" si="600"/>
        <v>-307.65900000000005</v>
      </c>
      <c r="H5044" s="3">
        <f t="shared" si="601"/>
        <v>307.65900000000005</v>
      </c>
      <c r="I5044" s="5" t="str">
        <f t="shared" si="602"/>
        <v>017</v>
      </c>
      <c r="J5044" s="5" t="str">
        <f t="shared" si="603"/>
        <v>2230</v>
      </c>
      <c r="K5044" s="5" t="str">
        <f t="shared" si="604"/>
        <v>000</v>
      </c>
      <c r="L5044" s="5">
        <f t="shared" si="605"/>
        <v>12</v>
      </c>
      <c r="M5044" s="5">
        <f t="shared" si="606"/>
        <v>2012</v>
      </c>
    </row>
    <row r="5045" spans="1:13" ht="15" x14ac:dyDescent="0.25">
      <c r="A5045" s="1">
        <f>DATE(2012,12,30)</f>
        <v>41273</v>
      </c>
      <c r="B5045" t="s">
        <v>15</v>
      </c>
      <c r="C5045" t="s">
        <v>6</v>
      </c>
      <c r="D5045" s="3">
        <v>5528.5144</v>
      </c>
      <c r="E5045" s="3">
        <v>0</v>
      </c>
      <c r="F5045" t="s">
        <v>45</v>
      </c>
      <c r="G5045" s="3">
        <f t="shared" si="600"/>
        <v>-5528.5144</v>
      </c>
      <c r="H5045" s="3">
        <f t="shared" si="601"/>
        <v>5528.5144</v>
      </c>
      <c r="I5045" s="5" t="str">
        <f t="shared" si="602"/>
        <v>017</v>
      </c>
      <c r="J5045" s="5" t="str">
        <f t="shared" si="603"/>
        <v>2100</v>
      </c>
      <c r="K5045" s="5" t="str">
        <f t="shared" si="604"/>
        <v>000</v>
      </c>
      <c r="L5045" s="5">
        <f t="shared" si="605"/>
        <v>12</v>
      </c>
      <c r="M5045" s="5">
        <f t="shared" si="606"/>
        <v>2012</v>
      </c>
    </row>
    <row r="5046" spans="1:13" ht="15" x14ac:dyDescent="0.25">
      <c r="A5046" s="1">
        <f>DATE(2012,12,30)</f>
        <v>41273</v>
      </c>
      <c r="B5046" t="s">
        <v>16</v>
      </c>
      <c r="C5046" t="s">
        <v>8</v>
      </c>
      <c r="D5046" s="3">
        <v>872.60800000000006</v>
      </c>
      <c r="E5046" s="3">
        <v>0</v>
      </c>
      <c r="F5046" t="s">
        <v>45</v>
      </c>
      <c r="G5046" s="3">
        <f t="shared" si="600"/>
        <v>-872.60800000000006</v>
      </c>
      <c r="H5046" s="3">
        <f t="shared" si="601"/>
        <v>872.60800000000006</v>
      </c>
      <c r="I5046" s="5" t="str">
        <f t="shared" si="602"/>
        <v>017</v>
      </c>
      <c r="J5046" s="5" t="str">
        <f t="shared" si="603"/>
        <v>2210</v>
      </c>
      <c r="K5046" s="5" t="str">
        <f t="shared" si="604"/>
        <v>000</v>
      </c>
      <c r="L5046" s="5">
        <f t="shared" si="605"/>
        <v>12</v>
      </c>
      <c r="M5046" s="5">
        <f t="shared" si="606"/>
        <v>2012</v>
      </c>
    </row>
    <row r="5047" spans="1:13" ht="15" x14ac:dyDescent="0.25">
      <c r="A5047" s="1">
        <f>DATE(2012,12,30)</f>
        <v>41273</v>
      </c>
      <c r="B5047" t="s">
        <v>17</v>
      </c>
      <c r="C5047" t="s">
        <v>9</v>
      </c>
      <c r="D5047" s="3">
        <v>117.60359999999999</v>
      </c>
      <c r="E5047" s="3">
        <v>0</v>
      </c>
      <c r="F5047" t="s">
        <v>45</v>
      </c>
      <c r="G5047" s="3">
        <f t="shared" si="600"/>
        <v>-117.60359999999999</v>
      </c>
      <c r="H5047" s="3">
        <f t="shared" si="601"/>
        <v>117.60359999999999</v>
      </c>
      <c r="I5047" s="5" t="str">
        <f t="shared" si="602"/>
        <v>017</v>
      </c>
      <c r="J5047" s="5" t="str">
        <f t="shared" si="603"/>
        <v>2220</v>
      </c>
      <c r="K5047" s="5" t="str">
        <f t="shared" si="604"/>
        <v>000</v>
      </c>
      <c r="L5047" s="5">
        <f t="shared" si="605"/>
        <v>12</v>
      </c>
      <c r="M5047" s="5">
        <f t="shared" si="606"/>
        <v>2012</v>
      </c>
    </row>
    <row r="5048" spans="1:13" ht="15" x14ac:dyDescent="0.25">
      <c r="A5048" s="1">
        <f>DATE(2012,12,30)</f>
        <v>41273</v>
      </c>
      <c r="B5048" t="s">
        <v>18</v>
      </c>
      <c r="C5048" t="s">
        <v>10</v>
      </c>
      <c r="D5048" s="3">
        <v>83.197199999999995</v>
      </c>
      <c r="E5048" s="3">
        <v>0</v>
      </c>
      <c r="F5048" t="s">
        <v>45</v>
      </c>
      <c r="G5048" s="3">
        <f t="shared" si="600"/>
        <v>-83.197199999999995</v>
      </c>
      <c r="H5048" s="3">
        <f t="shared" si="601"/>
        <v>83.197199999999995</v>
      </c>
      <c r="I5048" s="5" t="str">
        <f t="shared" si="602"/>
        <v>017</v>
      </c>
      <c r="J5048" s="5" t="str">
        <f t="shared" si="603"/>
        <v>2230</v>
      </c>
      <c r="K5048" s="5" t="str">
        <f t="shared" si="604"/>
        <v>000</v>
      </c>
      <c r="L5048" s="5">
        <f t="shared" si="605"/>
        <v>12</v>
      </c>
      <c r="M5048" s="5">
        <f t="shared" si="606"/>
        <v>2012</v>
      </c>
    </row>
    <row r="5049" spans="1:13" ht="15" x14ac:dyDescent="0.25">
      <c r="A5049" s="1">
        <f>DATE(2012,12,24)</f>
        <v>41267</v>
      </c>
      <c r="B5049" t="s">
        <v>19</v>
      </c>
      <c r="C5049" t="s">
        <v>6</v>
      </c>
      <c r="D5049" s="3">
        <v>5707.3420000000006</v>
      </c>
      <c r="E5049" s="3">
        <v>0</v>
      </c>
      <c r="F5049" t="s">
        <v>45</v>
      </c>
      <c r="G5049" s="3">
        <f t="shared" si="600"/>
        <v>-5707.3420000000006</v>
      </c>
      <c r="H5049" s="3">
        <f t="shared" si="601"/>
        <v>5707.3420000000006</v>
      </c>
      <c r="I5049" s="5" t="str">
        <f t="shared" si="602"/>
        <v>018</v>
      </c>
      <c r="J5049" s="5" t="str">
        <f t="shared" si="603"/>
        <v>2100</v>
      </c>
      <c r="K5049" s="5" t="str">
        <f t="shared" si="604"/>
        <v>000</v>
      </c>
      <c r="L5049" s="5">
        <f t="shared" si="605"/>
        <v>12</v>
      </c>
      <c r="M5049" s="5">
        <f t="shared" si="606"/>
        <v>2012</v>
      </c>
    </row>
    <row r="5050" spans="1:13" ht="15" x14ac:dyDescent="0.25">
      <c r="A5050" s="1">
        <f>DATE(2012,12,24)</f>
        <v>41267</v>
      </c>
      <c r="B5050" t="s">
        <v>20</v>
      </c>
      <c r="C5050" t="s">
        <v>8</v>
      </c>
      <c r="D5050" s="3">
        <v>1079.424</v>
      </c>
      <c r="E5050" s="3">
        <v>0</v>
      </c>
      <c r="F5050" t="s">
        <v>45</v>
      </c>
      <c r="G5050" s="3">
        <f t="shared" si="600"/>
        <v>-1079.424</v>
      </c>
      <c r="H5050" s="3">
        <f t="shared" si="601"/>
        <v>1079.424</v>
      </c>
      <c r="I5050" s="5" t="str">
        <f t="shared" si="602"/>
        <v>018</v>
      </c>
      <c r="J5050" s="5" t="str">
        <f t="shared" si="603"/>
        <v>2210</v>
      </c>
      <c r="K5050" s="5" t="str">
        <f t="shared" si="604"/>
        <v>000</v>
      </c>
      <c r="L5050" s="5">
        <f t="shared" si="605"/>
        <v>12</v>
      </c>
      <c r="M5050" s="5">
        <f t="shared" si="606"/>
        <v>2012</v>
      </c>
    </row>
    <row r="5051" spans="1:13" ht="15" x14ac:dyDescent="0.25">
      <c r="A5051" s="1">
        <f>DATE(2012,12,24)</f>
        <v>41267</v>
      </c>
      <c r="B5051" t="s">
        <v>21</v>
      </c>
      <c r="C5051" t="s">
        <v>9</v>
      </c>
      <c r="D5051" s="3">
        <v>219.73589999999999</v>
      </c>
      <c r="E5051" s="3">
        <v>0</v>
      </c>
      <c r="F5051" t="s">
        <v>45</v>
      </c>
      <c r="G5051" s="3">
        <f t="shared" si="600"/>
        <v>-219.73589999999999</v>
      </c>
      <c r="H5051" s="3">
        <f t="shared" si="601"/>
        <v>219.73589999999999</v>
      </c>
      <c r="I5051" s="5" t="str">
        <f t="shared" si="602"/>
        <v>018</v>
      </c>
      <c r="J5051" s="5" t="str">
        <f t="shared" si="603"/>
        <v>2220</v>
      </c>
      <c r="K5051" s="5" t="str">
        <f t="shared" si="604"/>
        <v>000</v>
      </c>
      <c r="L5051" s="5">
        <f t="shared" si="605"/>
        <v>12</v>
      </c>
      <c r="M5051" s="5">
        <f t="shared" si="606"/>
        <v>2012</v>
      </c>
    </row>
    <row r="5052" spans="1:13" ht="15" x14ac:dyDescent="0.25">
      <c r="A5052" s="1">
        <f>DATE(2012,12,24)</f>
        <v>41267</v>
      </c>
      <c r="B5052" t="s">
        <v>22</v>
      </c>
      <c r="C5052" t="s">
        <v>10</v>
      </c>
      <c r="D5052" s="3">
        <v>34.750799999999998</v>
      </c>
      <c r="E5052" s="3">
        <v>0</v>
      </c>
      <c r="F5052" t="s">
        <v>45</v>
      </c>
      <c r="G5052" s="3">
        <f t="shared" si="600"/>
        <v>-34.750799999999998</v>
      </c>
      <c r="H5052" s="3">
        <f t="shared" si="601"/>
        <v>34.750799999999998</v>
      </c>
      <c r="I5052" s="5" t="str">
        <f t="shared" si="602"/>
        <v>018</v>
      </c>
      <c r="J5052" s="5" t="str">
        <f t="shared" si="603"/>
        <v>2230</v>
      </c>
      <c r="K5052" s="5" t="str">
        <f t="shared" si="604"/>
        <v>000</v>
      </c>
      <c r="L5052" s="5">
        <f t="shared" si="605"/>
        <v>12</v>
      </c>
      <c r="M5052" s="5">
        <f t="shared" si="606"/>
        <v>2012</v>
      </c>
    </row>
    <row r="5053" spans="1:13" ht="15" x14ac:dyDescent="0.25">
      <c r="A5053" s="1">
        <f>DATE(2012,12,26)</f>
        <v>41269</v>
      </c>
      <c r="B5053" t="s">
        <v>19</v>
      </c>
      <c r="C5053" t="s">
        <v>6</v>
      </c>
      <c r="D5053" s="3">
        <v>5861.7432000000008</v>
      </c>
      <c r="E5053" s="3">
        <v>0</v>
      </c>
      <c r="F5053" t="s">
        <v>45</v>
      </c>
      <c r="G5053" s="3">
        <f t="shared" si="600"/>
        <v>-5861.7432000000008</v>
      </c>
      <c r="H5053" s="3">
        <f t="shared" si="601"/>
        <v>5861.7432000000008</v>
      </c>
      <c r="I5053" s="5" t="str">
        <f t="shared" si="602"/>
        <v>018</v>
      </c>
      <c r="J5053" s="5" t="str">
        <f t="shared" si="603"/>
        <v>2100</v>
      </c>
      <c r="K5053" s="5" t="str">
        <f t="shared" si="604"/>
        <v>000</v>
      </c>
      <c r="L5053" s="5">
        <f t="shared" si="605"/>
        <v>12</v>
      </c>
      <c r="M5053" s="5">
        <f t="shared" si="606"/>
        <v>2012</v>
      </c>
    </row>
    <row r="5054" spans="1:13" ht="15" x14ac:dyDescent="0.25">
      <c r="A5054" s="1">
        <f>DATE(2012,12,26)</f>
        <v>41269</v>
      </c>
      <c r="B5054" t="s">
        <v>20</v>
      </c>
      <c r="C5054" t="s">
        <v>8</v>
      </c>
      <c r="D5054" s="3">
        <v>715.70690000000002</v>
      </c>
      <c r="E5054" s="3">
        <v>0</v>
      </c>
      <c r="F5054" t="s">
        <v>45</v>
      </c>
      <c r="G5054" s="3">
        <f t="shared" si="600"/>
        <v>-715.70690000000002</v>
      </c>
      <c r="H5054" s="3">
        <f t="shared" si="601"/>
        <v>715.70690000000002</v>
      </c>
      <c r="I5054" s="5" t="str">
        <f t="shared" si="602"/>
        <v>018</v>
      </c>
      <c r="J5054" s="5" t="str">
        <f t="shared" si="603"/>
        <v>2210</v>
      </c>
      <c r="K5054" s="5" t="str">
        <f t="shared" si="604"/>
        <v>000</v>
      </c>
      <c r="L5054" s="5">
        <f t="shared" si="605"/>
        <v>12</v>
      </c>
      <c r="M5054" s="5">
        <f t="shared" si="606"/>
        <v>2012</v>
      </c>
    </row>
    <row r="5055" spans="1:13" ht="15" x14ac:dyDescent="0.25">
      <c r="A5055" s="1">
        <f>DATE(2012,12,26)</f>
        <v>41269</v>
      </c>
      <c r="B5055" t="s">
        <v>21</v>
      </c>
      <c r="C5055" t="s">
        <v>9</v>
      </c>
      <c r="D5055" s="3">
        <v>173.0547</v>
      </c>
      <c r="E5055" s="3">
        <v>0</v>
      </c>
      <c r="F5055" t="s">
        <v>45</v>
      </c>
      <c r="G5055" s="3">
        <f t="shared" si="600"/>
        <v>-173.0547</v>
      </c>
      <c r="H5055" s="3">
        <f t="shared" si="601"/>
        <v>173.0547</v>
      </c>
      <c r="I5055" s="5" t="str">
        <f t="shared" si="602"/>
        <v>018</v>
      </c>
      <c r="J5055" s="5" t="str">
        <f t="shared" si="603"/>
        <v>2220</v>
      </c>
      <c r="K5055" s="5" t="str">
        <f t="shared" si="604"/>
        <v>000</v>
      </c>
      <c r="L5055" s="5">
        <f t="shared" si="605"/>
        <v>12</v>
      </c>
      <c r="M5055" s="5">
        <f t="shared" si="606"/>
        <v>2012</v>
      </c>
    </row>
    <row r="5056" spans="1:13" ht="15" x14ac:dyDescent="0.25">
      <c r="A5056" s="1">
        <f>DATE(2012,12,26)</f>
        <v>41269</v>
      </c>
      <c r="B5056" t="s">
        <v>22</v>
      </c>
      <c r="C5056" t="s">
        <v>10</v>
      </c>
      <c r="D5056" s="3">
        <v>89.436099999999996</v>
      </c>
      <c r="E5056" s="3">
        <v>0</v>
      </c>
      <c r="F5056" t="s">
        <v>45</v>
      </c>
      <c r="G5056" s="3">
        <f t="shared" si="600"/>
        <v>-89.436099999999996</v>
      </c>
      <c r="H5056" s="3">
        <f t="shared" si="601"/>
        <v>89.436099999999996</v>
      </c>
      <c r="I5056" s="5" t="str">
        <f t="shared" si="602"/>
        <v>018</v>
      </c>
      <c r="J5056" s="5" t="str">
        <f t="shared" si="603"/>
        <v>2230</v>
      </c>
      <c r="K5056" s="5" t="str">
        <f t="shared" si="604"/>
        <v>000</v>
      </c>
      <c r="L5056" s="5">
        <f t="shared" si="605"/>
        <v>12</v>
      </c>
      <c r="M5056" s="5">
        <f t="shared" si="606"/>
        <v>2012</v>
      </c>
    </row>
    <row r="5057" spans="1:13" ht="15" x14ac:dyDescent="0.25">
      <c r="A5057" s="1">
        <f>DATE(2012,12,27)</f>
        <v>41270</v>
      </c>
      <c r="B5057" t="s">
        <v>19</v>
      </c>
      <c r="C5057" t="s">
        <v>6</v>
      </c>
      <c r="D5057" s="3">
        <v>9834.2915999999987</v>
      </c>
      <c r="E5057" s="3">
        <v>0</v>
      </c>
      <c r="F5057" t="s">
        <v>45</v>
      </c>
      <c r="G5057" s="3">
        <f t="shared" si="600"/>
        <v>-9834.2915999999987</v>
      </c>
      <c r="H5057" s="3">
        <f t="shared" si="601"/>
        <v>9834.2915999999987</v>
      </c>
      <c r="I5057" s="5" t="str">
        <f t="shared" si="602"/>
        <v>018</v>
      </c>
      <c r="J5057" s="5" t="str">
        <f t="shared" si="603"/>
        <v>2100</v>
      </c>
      <c r="K5057" s="5" t="str">
        <f t="shared" si="604"/>
        <v>000</v>
      </c>
      <c r="L5057" s="5">
        <f t="shared" si="605"/>
        <v>12</v>
      </c>
      <c r="M5057" s="5">
        <f t="shared" si="606"/>
        <v>2012</v>
      </c>
    </row>
    <row r="5058" spans="1:13" ht="15" x14ac:dyDescent="0.25">
      <c r="A5058" s="1">
        <f>DATE(2012,12,27)</f>
        <v>41270</v>
      </c>
      <c r="B5058" t="s">
        <v>20</v>
      </c>
      <c r="C5058" t="s">
        <v>8</v>
      </c>
      <c r="D5058" s="3">
        <v>1539.0464000000002</v>
      </c>
      <c r="E5058" s="3">
        <v>0</v>
      </c>
      <c r="F5058" t="s">
        <v>45</v>
      </c>
      <c r="G5058" s="3">
        <f t="shared" ref="G5058:G5121" si="607">E5058-D5058</f>
        <v>-1539.0464000000002</v>
      </c>
      <c r="H5058" s="3">
        <f t="shared" ref="H5058:H5121" si="608">ABS(G5058)</f>
        <v>1539.0464000000002</v>
      </c>
      <c r="I5058" s="5" t="str">
        <f t="shared" ref="I5058:I5121" si="609">MID(B5058,1,3)</f>
        <v>018</v>
      </c>
      <c r="J5058" s="5" t="str">
        <f t="shared" ref="J5058:J5121" si="610">MID(B5058,5,4)</f>
        <v>2210</v>
      </c>
      <c r="K5058" s="5" t="str">
        <f t="shared" ref="K5058:K5121" si="611">MID(B5058,10,3)</f>
        <v>000</v>
      </c>
      <c r="L5058" s="5">
        <f t="shared" ref="L5058:L5121" si="612">MONTH(A5058)</f>
        <v>12</v>
      </c>
      <c r="M5058" s="5">
        <f t="shared" ref="M5058:M5121" si="613">YEAR(A5058)</f>
        <v>2012</v>
      </c>
    </row>
    <row r="5059" spans="1:13" ht="15" x14ac:dyDescent="0.25">
      <c r="A5059" s="1">
        <f>DATE(2012,12,27)</f>
        <v>41270</v>
      </c>
      <c r="B5059" t="s">
        <v>21</v>
      </c>
      <c r="C5059" t="s">
        <v>9</v>
      </c>
      <c r="D5059" s="3">
        <v>448.11630000000002</v>
      </c>
      <c r="E5059" s="3">
        <v>0</v>
      </c>
      <c r="F5059" t="s">
        <v>45</v>
      </c>
      <c r="G5059" s="3">
        <f t="shared" si="607"/>
        <v>-448.11630000000002</v>
      </c>
      <c r="H5059" s="3">
        <f t="shared" si="608"/>
        <v>448.11630000000002</v>
      </c>
      <c r="I5059" s="5" t="str">
        <f t="shared" si="609"/>
        <v>018</v>
      </c>
      <c r="J5059" s="5" t="str">
        <f t="shared" si="610"/>
        <v>2220</v>
      </c>
      <c r="K5059" s="5" t="str">
        <f t="shared" si="611"/>
        <v>000</v>
      </c>
      <c r="L5059" s="5">
        <f t="shared" si="612"/>
        <v>12</v>
      </c>
      <c r="M5059" s="5">
        <f t="shared" si="613"/>
        <v>2012</v>
      </c>
    </row>
    <row r="5060" spans="1:13" ht="15" x14ac:dyDescent="0.25">
      <c r="A5060" s="1">
        <f>DATE(2012,12,27)</f>
        <v>41270</v>
      </c>
      <c r="B5060" t="s">
        <v>22</v>
      </c>
      <c r="C5060" t="s">
        <v>10</v>
      </c>
      <c r="D5060" s="3">
        <v>126.35040000000001</v>
      </c>
      <c r="E5060" s="3">
        <v>0</v>
      </c>
      <c r="F5060" t="s">
        <v>45</v>
      </c>
      <c r="G5060" s="3">
        <f t="shared" si="607"/>
        <v>-126.35040000000001</v>
      </c>
      <c r="H5060" s="3">
        <f t="shared" si="608"/>
        <v>126.35040000000001</v>
      </c>
      <c r="I5060" s="5" t="str">
        <f t="shared" si="609"/>
        <v>018</v>
      </c>
      <c r="J5060" s="5" t="str">
        <f t="shared" si="610"/>
        <v>2230</v>
      </c>
      <c r="K5060" s="5" t="str">
        <f t="shared" si="611"/>
        <v>000</v>
      </c>
      <c r="L5060" s="5">
        <f t="shared" si="612"/>
        <v>12</v>
      </c>
      <c r="M5060" s="5">
        <f t="shared" si="613"/>
        <v>2012</v>
      </c>
    </row>
    <row r="5061" spans="1:13" ht="15" x14ac:dyDescent="0.25">
      <c r="A5061" s="1">
        <f>DATE(2012,12,28)</f>
        <v>41271</v>
      </c>
      <c r="B5061" t="s">
        <v>19</v>
      </c>
      <c r="C5061" t="s">
        <v>6</v>
      </c>
      <c r="D5061" s="3">
        <v>11958.145199999999</v>
      </c>
      <c r="E5061" s="3">
        <v>0</v>
      </c>
      <c r="F5061" t="s">
        <v>45</v>
      </c>
      <c r="G5061" s="3">
        <f t="shared" si="607"/>
        <v>-11958.145199999999</v>
      </c>
      <c r="H5061" s="3">
        <f t="shared" si="608"/>
        <v>11958.145199999999</v>
      </c>
      <c r="I5061" s="5" t="str">
        <f t="shared" si="609"/>
        <v>018</v>
      </c>
      <c r="J5061" s="5" t="str">
        <f t="shared" si="610"/>
        <v>2100</v>
      </c>
      <c r="K5061" s="5" t="str">
        <f t="shared" si="611"/>
        <v>000</v>
      </c>
      <c r="L5061" s="5">
        <f t="shared" si="612"/>
        <v>12</v>
      </c>
      <c r="M5061" s="5">
        <f t="shared" si="613"/>
        <v>2012</v>
      </c>
    </row>
    <row r="5062" spans="1:13" ht="15" x14ac:dyDescent="0.25">
      <c r="A5062" s="1">
        <f>DATE(2012,12,28)</f>
        <v>41271</v>
      </c>
      <c r="B5062" t="s">
        <v>20</v>
      </c>
      <c r="C5062" t="s">
        <v>8</v>
      </c>
      <c r="D5062" s="3">
        <v>2425.2185999999997</v>
      </c>
      <c r="E5062" s="3">
        <v>0</v>
      </c>
      <c r="F5062" t="s">
        <v>45</v>
      </c>
      <c r="G5062" s="3">
        <f t="shared" si="607"/>
        <v>-2425.2185999999997</v>
      </c>
      <c r="H5062" s="3">
        <f t="shared" si="608"/>
        <v>2425.2185999999997</v>
      </c>
      <c r="I5062" s="5" t="str">
        <f t="shared" si="609"/>
        <v>018</v>
      </c>
      <c r="J5062" s="5" t="str">
        <f t="shared" si="610"/>
        <v>2210</v>
      </c>
      <c r="K5062" s="5" t="str">
        <f t="shared" si="611"/>
        <v>000</v>
      </c>
      <c r="L5062" s="5">
        <f t="shared" si="612"/>
        <v>12</v>
      </c>
      <c r="M5062" s="5">
        <f t="shared" si="613"/>
        <v>2012</v>
      </c>
    </row>
    <row r="5063" spans="1:13" ht="15" x14ac:dyDescent="0.25">
      <c r="A5063" s="1">
        <f>DATE(2012,12,28)</f>
        <v>41271</v>
      </c>
      <c r="B5063" t="s">
        <v>21</v>
      </c>
      <c r="C5063" t="s">
        <v>9</v>
      </c>
      <c r="D5063" s="3">
        <v>475.03890000000001</v>
      </c>
      <c r="E5063" s="3">
        <v>0</v>
      </c>
      <c r="F5063" t="s">
        <v>45</v>
      </c>
      <c r="G5063" s="3">
        <f t="shared" si="607"/>
        <v>-475.03890000000001</v>
      </c>
      <c r="H5063" s="3">
        <f t="shared" si="608"/>
        <v>475.03890000000001</v>
      </c>
      <c r="I5063" s="5" t="str">
        <f t="shared" si="609"/>
        <v>018</v>
      </c>
      <c r="J5063" s="5" t="str">
        <f t="shared" si="610"/>
        <v>2220</v>
      </c>
      <c r="K5063" s="5" t="str">
        <f t="shared" si="611"/>
        <v>000</v>
      </c>
      <c r="L5063" s="5">
        <f t="shared" si="612"/>
        <v>12</v>
      </c>
      <c r="M5063" s="5">
        <f t="shared" si="613"/>
        <v>2012</v>
      </c>
    </row>
    <row r="5064" spans="1:13" ht="15" x14ac:dyDescent="0.25">
      <c r="A5064" s="1">
        <f>DATE(2012,12,28)</f>
        <v>41271</v>
      </c>
      <c r="B5064" t="s">
        <v>22</v>
      </c>
      <c r="C5064" t="s">
        <v>10</v>
      </c>
      <c r="D5064" s="3">
        <v>199.94480000000001</v>
      </c>
      <c r="E5064" s="3">
        <v>0</v>
      </c>
      <c r="F5064" t="s">
        <v>45</v>
      </c>
      <c r="G5064" s="3">
        <f t="shared" si="607"/>
        <v>-199.94480000000001</v>
      </c>
      <c r="H5064" s="3">
        <f t="shared" si="608"/>
        <v>199.94480000000001</v>
      </c>
      <c r="I5064" s="5" t="str">
        <f t="shared" si="609"/>
        <v>018</v>
      </c>
      <c r="J5064" s="5" t="str">
        <f t="shared" si="610"/>
        <v>2230</v>
      </c>
      <c r="K5064" s="5" t="str">
        <f t="shared" si="611"/>
        <v>000</v>
      </c>
      <c r="L5064" s="5">
        <f t="shared" si="612"/>
        <v>12</v>
      </c>
      <c r="M5064" s="5">
        <f t="shared" si="613"/>
        <v>2012</v>
      </c>
    </row>
    <row r="5065" spans="1:13" ht="15" x14ac:dyDescent="0.25">
      <c r="A5065" s="1">
        <f>DATE(2012,12,29)</f>
        <v>41272</v>
      </c>
      <c r="B5065" t="s">
        <v>19</v>
      </c>
      <c r="C5065" t="s">
        <v>6</v>
      </c>
      <c r="D5065" s="3">
        <v>15109.138400000002</v>
      </c>
      <c r="E5065" s="3">
        <v>0</v>
      </c>
      <c r="F5065" t="s">
        <v>45</v>
      </c>
      <c r="G5065" s="3">
        <f t="shared" si="607"/>
        <v>-15109.138400000002</v>
      </c>
      <c r="H5065" s="3">
        <f t="shared" si="608"/>
        <v>15109.138400000002</v>
      </c>
      <c r="I5065" s="5" t="str">
        <f t="shared" si="609"/>
        <v>018</v>
      </c>
      <c r="J5065" s="5" t="str">
        <f t="shared" si="610"/>
        <v>2100</v>
      </c>
      <c r="K5065" s="5" t="str">
        <f t="shared" si="611"/>
        <v>000</v>
      </c>
      <c r="L5065" s="5">
        <f t="shared" si="612"/>
        <v>12</v>
      </c>
      <c r="M5065" s="5">
        <f t="shared" si="613"/>
        <v>2012</v>
      </c>
    </row>
    <row r="5066" spans="1:13" ht="15" x14ac:dyDescent="0.25">
      <c r="A5066" s="1">
        <f>DATE(2012,12,29)</f>
        <v>41272</v>
      </c>
      <c r="B5066" t="s">
        <v>20</v>
      </c>
      <c r="C5066" t="s">
        <v>8</v>
      </c>
      <c r="D5066" s="3">
        <v>1938.9160000000002</v>
      </c>
      <c r="E5066" s="3">
        <v>0</v>
      </c>
      <c r="F5066" t="s">
        <v>45</v>
      </c>
      <c r="G5066" s="3">
        <f t="shared" si="607"/>
        <v>-1938.9160000000002</v>
      </c>
      <c r="H5066" s="3">
        <f t="shared" si="608"/>
        <v>1938.9160000000002</v>
      </c>
      <c r="I5066" s="5" t="str">
        <f t="shared" si="609"/>
        <v>018</v>
      </c>
      <c r="J5066" s="5" t="str">
        <f t="shared" si="610"/>
        <v>2210</v>
      </c>
      <c r="K5066" s="5" t="str">
        <f t="shared" si="611"/>
        <v>000</v>
      </c>
      <c r="L5066" s="5">
        <f t="shared" si="612"/>
        <v>12</v>
      </c>
      <c r="M5066" s="5">
        <f t="shared" si="613"/>
        <v>2012</v>
      </c>
    </row>
    <row r="5067" spans="1:13" ht="15" x14ac:dyDescent="0.25">
      <c r="A5067" s="1">
        <f>DATE(2012,12,29)</f>
        <v>41272</v>
      </c>
      <c r="B5067" t="s">
        <v>21</v>
      </c>
      <c r="C5067" t="s">
        <v>9</v>
      </c>
      <c r="D5067" s="3">
        <v>753.19920000000002</v>
      </c>
      <c r="E5067" s="3">
        <v>0</v>
      </c>
      <c r="F5067" t="s">
        <v>45</v>
      </c>
      <c r="G5067" s="3">
        <f t="shared" si="607"/>
        <v>-753.19920000000002</v>
      </c>
      <c r="H5067" s="3">
        <f t="shared" si="608"/>
        <v>753.19920000000002</v>
      </c>
      <c r="I5067" s="5" t="str">
        <f t="shared" si="609"/>
        <v>018</v>
      </c>
      <c r="J5067" s="5" t="str">
        <f t="shared" si="610"/>
        <v>2220</v>
      </c>
      <c r="K5067" s="5" t="str">
        <f t="shared" si="611"/>
        <v>000</v>
      </c>
      <c r="L5067" s="5">
        <f t="shared" si="612"/>
        <v>12</v>
      </c>
      <c r="M5067" s="5">
        <f t="shared" si="613"/>
        <v>2012</v>
      </c>
    </row>
    <row r="5068" spans="1:13" ht="15" x14ac:dyDescent="0.25">
      <c r="A5068" s="1">
        <f>DATE(2012,12,29)</f>
        <v>41272</v>
      </c>
      <c r="B5068" t="s">
        <v>22</v>
      </c>
      <c r="C5068" t="s">
        <v>10</v>
      </c>
      <c r="D5068" s="3">
        <v>176.364</v>
      </c>
      <c r="E5068" s="3">
        <v>0</v>
      </c>
      <c r="F5068" t="s">
        <v>45</v>
      </c>
      <c r="G5068" s="3">
        <f t="shared" si="607"/>
        <v>-176.364</v>
      </c>
      <c r="H5068" s="3">
        <f t="shared" si="608"/>
        <v>176.364</v>
      </c>
      <c r="I5068" s="5" t="str">
        <f t="shared" si="609"/>
        <v>018</v>
      </c>
      <c r="J5068" s="5" t="str">
        <f t="shared" si="610"/>
        <v>2230</v>
      </c>
      <c r="K5068" s="5" t="str">
        <f t="shared" si="611"/>
        <v>000</v>
      </c>
      <c r="L5068" s="5">
        <f t="shared" si="612"/>
        <v>12</v>
      </c>
      <c r="M5068" s="5">
        <f t="shared" si="613"/>
        <v>2012</v>
      </c>
    </row>
    <row r="5069" spans="1:13" ht="15" x14ac:dyDescent="0.25">
      <c r="A5069" s="1">
        <f>DATE(2012,12,30)</f>
        <v>41273</v>
      </c>
      <c r="B5069" t="s">
        <v>19</v>
      </c>
      <c r="C5069" t="s">
        <v>6</v>
      </c>
      <c r="D5069" s="3">
        <v>8030.3759999999993</v>
      </c>
      <c r="E5069" s="3">
        <v>0</v>
      </c>
      <c r="F5069" t="s">
        <v>45</v>
      </c>
      <c r="G5069" s="3">
        <f t="shared" si="607"/>
        <v>-8030.3759999999993</v>
      </c>
      <c r="H5069" s="3">
        <f t="shared" si="608"/>
        <v>8030.3759999999993</v>
      </c>
      <c r="I5069" s="5" t="str">
        <f t="shared" si="609"/>
        <v>018</v>
      </c>
      <c r="J5069" s="5" t="str">
        <f t="shared" si="610"/>
        <v>2100</v>
      </c>
      <c r="K5069" s="5" t="str">
        <f t="shared" si="611"/>
        <v>000</v>
      </c>
      <c r="L5069" s="5">
        <f t="shared" si="612"/>
        <v>12</v>
      </c>
      <c r="M5069" s="5">
        <f t="shared" si="613"/>
        <v>2012</v>
      </c>
    </row>
    <row r="5070" spans="1:13" ht="15" x14ac:dyDescent="0.25">
      <c r="A5070" s="1">
        <f>DATE(2012,12,30)</f>
        <v>41273</v>
      </c>
      <c r="B5070" t="s">
        <v>20</v>
      </c>
      <c r="C5070" t="s">
        <v>8</v>
      </c>
      <c r="D5070" s="3">
        <v>1169.3184000000001</v>
      </c>
      <c r="E5070" s="3">
        <v>0</v>
      </c>
      <c r="F5070" t="s">
        <v>45</v>
      </c>
      <c r="G5070" s="3">
        <f t="shared" si="607"/>
        <v>-1169.3184000000001</v>
      </c>
      <c r="H5070" s="3">
        <f t="shared" si="608"/>
        <v>1169.3184000000001</v>
      </c>
      <c r="I5070" s="5" t="str">
        <f t="shared" si="609"/>
        <v>018</v>
      </c>
      <c r="J5070" s="5" t="str">
        <f t="shared" si="610"/>
        <v>2210</v>
      </c>
      <c r="K5070" s="5" t="str">
        <f t="shared" si="611"/>
        <v>000</v>
      </c>
      <c r="L5070" s="5">
        <f t="shared" si="612"/>
        <v>12</v>
      </c>
      <c r="M5070" s="5">
        <f t="shared" si="613"/>
        <v>2012</v>
      </c>
    </row>
    <row r="5071" spans="1:13" ht="15" x14ac:dyDescent="0.25">
      <c r="A5071" s="1">
        <f>DATE(2012,12,30)</f>
        <v>41273</v>
      </c>
      <c r="B5071" t="s">
        <v>21</v>
      </c>
      <c r="C5071" t="s">
        <v>9</v>
      </c>
      <c r="D5071" s="3">
        <v>312.41250000000002</v>
      </c>
      <c r="E5071" s="3">
        <v>0</v>
      </c>
      <c r="F5071" t="s">
        <v>45</v>
      </c>
      <c r="G5071" s="3">
        <f t="shared" si="607"/>
        <v>-312.41250000000002</v>
      </c>
      <c r="H5071" s="3">
        <f t="shared" si="608"/>
        <v>312.41250000000002</v>
      </c>
      <c r="I5071" s="5" t="str">
        <f t="shared" si="609"/>
        <v>018</v>
      </c>
      <c r="J5071" s="5" t="str">
        <f t="shared" si="610"/>
        <v>2220</v>
      </c>
      <c r="K5071" s="5" t="str">
        <f t="shared" si="611"/>
        <v>000</v>
      </c>
      <c r="L5071" s="5">
        <f t="shared" si="612"/>
        <v>12</v>
      </c>
      <c r="M5071" s="5">
        <f t="shared" si="613"/>
        <v>2012</v>
      </c>
    </row>
    <row r="5072" spans="1:13" ht="15" x14ac:dyDescent="0.25">
      <c r="A5072" s="1">
        <f>DATE(2012,12,30)</f>
        <v>41273</v>
      </c>
      <c r="B5072" t="s">
        <v>22</v>
      </c>
      <c r="C5072" t="s">
        <v>10</v>
      </c>
      <c r="D5072" s="3">
        <v>44.660000000000004</v>
      </c>
      <c r="E5072" s="3">
        <v>0</v>
      </c>
      <c r="F5072" t="s">
        <v>45</v>
      </c>
      <c r="G5072" s="3">
        <f t="shared" si="607"/>
        <v>-44.660000000000004</v>
      </c>
      <c r="H5072" s="3">
        <f t="shared" si="608"/>
        <v>44.660000000000004</v>
      </c>
      <c r="I5072" s="5" t="str">
        <f t="shared" si="609"/>
        <v>018</v>
      </c>
      <c r="J5072" s="5" t="str">
        <f t="shared" si="610"/>
        <v>2230</v>
      </c>
      <c r="K5072" s="5" t="str">
        <f t="shared" si="611"/>
        <v>000</v>
      </c>
      <c r="L5072" s="5">
        <f t="shared" si="612"/>
        <v>12</v>
      </c>
      <c r="M5072" s="5">
        <f t="shared" si="613"/>
        <v>2012</v>
      </c>
    </row>
    <row r="5073" spans="1:13" ht="15" x14ac:dyDescent="0.25">
      <c r="A5073" s="1">
        <f>DATE(2013,1,1)</f>
        <v>41275</v>
      </c>
      <c r="B5073" t="s">
        <v>11</v>
      </c>
      <c r="C5073" t="s">
        <v>6</v>
      </c>
      <c r="D5073" s="3">
        <v>9868.866</v>
      </c>
      <c r="E5073" s="3">
        <v>0</v>
      </c>
      <c r="F5073" t="s">
        <v>45</v>
      </c>
      <c r="G5073" s="3">
        <f t="shared" si="607"/>
        <v>-9868.866</v>
      </c>
      <c r="H5073" s="3">
        <f t="shared" si="608"/>
        <v>9868.866</v>
      </c>
      <c r="I5073" s="5" t="str">
        <f t="shared" si="609"/>
        <v>016</v>
      </c>
      <c r="J5073" s="5" t="str">
        <f t="shared" si="610"/>
        <v>2100</v>
      </c>
      <c r="K5073" s="5" t="str">
        <f t="shared" si="611"/>
        <v>000</v>
      </c>
      <c r="L5073" s="5">
        <f t="shared" si="612"/>
        <v>1</v>
      </c>
      <c r="M5073" s="5">
        <f t="shared" si="613"/>
        <v>2013</v>
      </c>
    </row>
    <row r="5074" spans="1:13" ht="15" x14ac:dyDescent="0.25">
      <c r="A5074" s="1">
        <f>DATE(2013,1,1)</f>
        <v>41275</v>
      </c>
      <c r="B5074" t="s">
        <v>12</v>
      </c>
      <c r="C5074" t="s">
        <v>8</v>
      </c>
      <c r="D5074" s="3">
        <v>1919.114</v>
      </c>
      <c r="E5074" s="3">
        <v>0</v>
      </c>
      <c r="F5074" t="s">
        <v>45</v>
      </c>
      <c r="G5074" s="3">
        <f t="shared" si="607"/>
        <v>-1919.114</v>
      </c>
      <c r="H5074" s="3">
        <f t="shared" si="608"/>
        <v>1919.114</v>
      </c>
      <c r="I5074" s="5" t="str">
        <f t="shared" si="609"/>
        <v>016</v>
      </c>
      <c r="J5074" s="5" t="str">
        <f t="shared" si="610"/>
        <v>2210</v>
      </c>
      <c r="K5074" s="5" t="str">
        <f t="shared" si="611"/>
        <v>000</v>
      </c>
      <c r="L5074" s="5">
        <f t="shared" si="612"/>
        <v>1</v>
      </c>
      <c r="M5074" s="5">
        <f t="shared" si="613"/>
        <v>2013</v>
      </c>
    </row>
    <row r="5075" spans="1:13" ht="15" x14ac:dyDescent="0.25">
      <c r="A5075" s="1">
        <f>DATE(2013,1,1)</f>
        <v>41275</v>
      </c>
      <c r="B5075" t="s">
        <v>13</v>
      </c>
      <c r="C5075" t="s">
        <v>9</v>
      </c>
      <c r="D5075" s="3">
        <v>278.01900000000001</v>
      </c>
      <c r="E5075" s="3">
        <v>0</v>
      </c>
      <c r="F5075" t="s">
        <v>45</v>
      </c>
      <c r="G5075" s="3">
        <f t="shared" si="607"/>
        <v>-278.01900000000001</v>
      </c>
      <c r="H5075" s="3">
        <f t="shared" si="608"/>
        <v>278.01900000000001</v>
      </c>
      <c r="I5075" s="5" t="str">
        <f t="shared" si="609"/>
        <v>016</v>
      </c>
      <c r="J5075" s="5" t="str">
        <f t="shared" si="610"/>
        <v>2220</v>
      </c>
      <c r="K5075" s="5" t="str">
        <f t="shared" si="611"/>
        <v>000</v>
      </c>
      <c r="L5075" s="5">
        <f t="shared" si="612"/>
        <v>1</v>
      </c>
      <c r="M5075" s="5">
        <f t="shared" si="613"/>
        <v>2013</v>
      </c>
    </row>
    <row r="5076" spans="1:13" ht="15" x14ac:dyDescent="0.25">
      <c r="A5076" s="1">
        <f>DATE(2013,1,1)</f>
        <v>41275</v>
      </c>
      <c r="B5076" t="s">
        <v>14</v>
      </c>
      <c r="C5076" t="s">
        <v>10</v>
      </c>
      <c r="D5076" s="3">
        <v>225.94110000000001</v>
      </c>
      <c r="E5076" s="3">
        <v>0</v>
      </c>
      <c r="F5076" t="s">
        <v>45</v>
      </c>
      <c r="G5076" s="3">
        <f t="shared" si="607"/>
        <v>-225.94110000000001</v>
      </c>
      <c r="H5076" s="3">
        <f t="shared" si="608"/>
        <v>225.94110000000001</v>
      </c>
      <c r="I5076" s="5" t="str">
        <f t="shared" si="609"/>
        <v>016</v>
      </c>
      <c r="J5076" s="5" t="str">
        <f t="shared" si="610"/>
        <v>2230</v>
      </c>
      <c r="K5076" s="5" t="str">
        <f t="shared" si="611"/>
        <v>000</v>
      </c>
      <c r="L5076" s="5">
        <f t="shared" si="612"/>
        <v>1</v>
      </c>
      <c r="M5076" s="5">
        <f t="shared" si="613"/>
        <v>2013</v>
      </c>
    </row>
    <row r="5077" spans="1:13" ht="15" x14ac:dyDescent="0.25">
      <c r="A5077" s="1">
        <f>DATE(2013,1,2)</f>
        <v>41276</v>
      </c>
      <c r="B5077" t="s">
        <v>11</v>
      </c>
      <c r="C5077" t="s">
        <v>6</v>
      </c>
      <c r="D5077" s="3">
        <v>6288.9204</v>
      </c>
      <c r="E5077" s="3">
        <v>0</v>
      </c>
      <c r="F5077" t="s">
        <v>45</v>
      </c>
      <c r="G5077" s="3">
        <f t="shared" si="607"/>
        <v>-6288.9204</v>
      </c>
      <c r="H5077" s="3">
        <f t="shared" si="608"/>
        <v>6288.9204</v>
      </c>
      <c r="I5077" s="5" t="str">
        <f t="shared" si="609"/>
        <v>016</v>
      </c>
      <c r="J5077" s="5" t="str">
        <f t="shared" si="610"/>
        <v>2100</v>
      </c>
      <c r="K5077" s="5" t="str">
        <f t="shared" si="611"/>
        <v>000</v>
      </c>
      <c r="L5077" s="5">
        <f t="shared" si="612"/>
        <v>1</v>
      </c>
      <c r="M5077" s="5">
        <f t="shared" si="613"/>
        <v>2013</v>
      </c>
    </row>
    <row r="5078" spans="1:13" ht="15" x14ac:dyDescent="0.25">
      <c r="A5078" s="1">
        <f>DATE(2013,1,2)</f>
        <v>41276</v>
      </c>
      <c r="B5078" t="s">
        <v>12</v>
      </c>
      <c r="C5078" t="s">
        <v>8</v>
      </c>
      <c r="D5078" s="3">
        <v>1022.3070000000001</v>
      </c>
      <c r="E5078" s="3">
        <v>0</v>
      </c>
      <c r="F5078" t="s">
        <v>45</v>
      </c>
      <c r="G5078" s="3">
        <f t="shared" si="607"/>
        <v>-1022.3070000000001</v>
      </c>
      <c r="H5078" s="3">
        <f t="shared" si="608"/>
        <v>1022.3070000000001</v>
      </c>
      <c r="I5078" s="5" t="str">
        <f t="shared" si="609"/>
        <v>016</v>
      </c>
      <c r="J5078" s="5" t="str">
        <f t="shared" si="610"/>
        <v>2210</v>
      </c>
      <c r="K5078" s="5" t="str">
        <f t="shared" si="611"/>
        <v>000</v>
      </c>
      <c r="L5078" s="5">
        <f t="shared" si="612"/>
        <v>1</v>
      </c>
      <c r="M5078" s="5">
        <f t="shared" si="613"/>
        <v>2013</v>
      </c>
    </row>
    <row r="5079" spans="1:13" ht="15" x14ac:dyDescent="0.25">
      <c r="A5079" s="1">
        <f>DATE(2013,1,2)</f>
        <v>41276</v>
      </c>
      <c r="B5079" t="s">
        <v>13</v>
      </c>
      <c r="C5079" t="s">
        <v>9</v>
      </c>
      <c r="D5079" s="3">
        <v>150.8837</v>
      </c>
      <c r="E5079" s="3">
        <v>0</v>
      </c>
      <c r="F5079" t="s">
        <v>45</v>
      </c>
      <c r="G5079" s="3">
        <f t="shared" si="607"/>
        <v>-150.8837</v>
      </c>
      <c r="H5079" s="3">
        <f t="shared" si="608"/>
        <v>150.8837</v>
      </c>
      <c r="I5079" s="5" t="str">
        <f t="shared" si="609"/>
        <v>016</v>
      </c>
      <c r="J5079" s="5" t="str">
        <f t="shared" si="610"/>
        <v>2220</v>
      </c>
      <c r="K5079" s="5" t="str">
        <f t="shared" si="611"/>
        <v>000</v>
      </c>
      <c r="L5079" s="5">
        <f t="shared" si="612"/>
        <v>1</v>
      </c>
      <c r="M5079" s="5">
        <f t="shared" si="613"/>
        <v>2013</v>
      </c>
    </row>
    <row r="5080" spans="1:13" ht="15" x14ac:dyDescent="0.25">
      <c r="A5080" s="1">
        <f>DATE(2013,1,2)</f>
        <v>41276</v>
      </c>
      <c r="B5080" t="s">
        <v>14</v>
      </c>
      <c r="C5080" t="s">
        <v>10</v>
      </c>
      <c r="D5080" s="3">
        <v>135.423</v>
      </c>
      <c r="E5080" s="3">
        <v>0</v>
      </c>
      <c r="F5080" t="s">
        <v>45</v>
      </c>
      <c r="G5080" s="3">
        <f t="shared" si="607"/>
        <v>-135.423</v>
      </c>
      <c r="H5080" s="3">
        <f t="shared" si="608"/>
        <v>135.423</v>
      </c>
      <c r="I5080" s="5" t="str">
        <f t="shared" si="609"/>
        <v>016</v>
      </c>
      <c r="J5080" s="5" t="str">
        <f t="shared" si="610"/>
        <v>2230</v>
      </c>
      <c r="K5080" s="5" t="str">
        <f t="shared" si="611"/>
        <v>000</v>
      </c>
      <c r="L5080" s="5">
        <f t="shared" si="612"/>
        <v>1</v>
      </c>
      <c r="M5080" s="5">
        <f t="shared" si="613"/>
        <v>2013</v>
      </c>
    </row>
    <row r="5081" spans="1:13" ht="15" x14ac:dyDescent="0.25">
      <c r="A5081" s="1">
        <f>DATE(2013,1,3)</f>
        <v>41277</v>
      </c>
      <c r="B5081" t="s">
        <v>11</v>
      </c>
      <c r="C5081" t="s">
        <v>6</v>
      </c>
      <c r="D5081" s="3">
        <v>3844.5772000000002</v>
      </c>
      <c r="E5081" s="3">
        <v>0</v>
      </c>
      <c r="F5081" t="s">
        <v>45</v>
      </c>
      <c r="G5081" s="3">
        <f t="shared" si="607"/>
        <v>-3844.5772000000002</v>
      </c>
      <c r="H5081" s="3">
        <f t="shared" si="608"/>
        <v>3844.5772000000002</v>
      </c>
      <c r="I5081" s="5" t="str">
        <f t="shared" si="609"/>
        <v>016</v>
      </c>
      <c r="J5081" s="5" t="str">
        <f t="shared" si="610"/>
        <v>2100</v>
      </c>
      <c r="K5081" s="5" t="str">
        <f t="shared" si="611"/>
        <v>000</v>
      </c>
      <c r="L5081" s="5">
        <f t="shared" si="612"/>
        <v>1</v>
      </c>
      <c r="M5081" s="5">
        <f t="shared" si="613"/>
        <v>2013</v>
      </c>
    </row>
    <row r="5082" spans="1:13" ht="15" x14ac:dyDescent="0.25">
      <c r="A5082" s="1">
        <f>DATE(2013,1,3)</f>
        <v>41277</v>
      </c>
      <c r="B5082" t="s">
        <v>12</v>
      </c>
      <c r="C5082" t="s">
        <v>8</v>
      </c>
      <c r="D5082" s="3">
        <v>765.69280000000003</v>
      </c>
      <c r="E5082" s="3">
        <v>0</v>
      </c>
      <c r="F5082" t="s">
        <v>45</v>
      </c>
      <c r="G5082" s="3">
        <f t="shared" si="607"/>
        <v>-765.69280000000003</v>
      </c>
      <c r="H5082" s="3">
        <f t="shared" si="608"/>
        <v>765.69280000000003</v>
      </c>
      <c r="I5082" s="5" t="str">
        <f t="shared" si="609"/>
        <v>016</v>
      </c>
      <c r="J5082" s="5" t="str">
        <f t="shared" si="610"/>
        <v>2210</v>
      </c>
      <c r="K5082" s="5" t="str">
        <f t="shared" si="611"/>
        <v>000</v>
      </c>
      <c r="L5082" s="5">
        <f t="shared" si="612"/>
        <v>1</v>
      </c>
      <c r="M5082" s="5">
        <f t="shared" si="613"/>
        <v>2013</v>
      </c>
    </row>
    <row r="5083" spans="1:13" ht="15" x14ac:dyDescent="0.25">
      <c r="A5083" s="1">
        <f>DATE(2013,1,3)</f>
        <v>41277</v>
      </c>
      <c r="B5083" t="s">
        <v>13</v>
      </c>
      <c r="C5083" t="s">
        <v>9</v>
      </c>
      <c r="D5083" s="3">
        <v>204.34890000000001</v>
      </c>
      <c r="E5083" s="3">
        <v>0</v>
      </c>
      <c r="F5083" t="s">
        <v>45</v>
      </c>
      <c r="G5083" s="3">
        <f t="shared" si="607"/>
        <v>-204.34890000000001</v>
      </c>
      <c r="H5083" s="3">
        <f t="shared" si="608"/>
        <v>204.34890000000001</v>
      </c>
      <c r="I5083" s="5" t="str">
        <f t="shared" si="609"/>
        <v>016</v>
      </c>
      <c r="J5083" s="5" t="str">
        <f t="shared" si="610"/>
        <v>2220</v>
      </c>
      <c r="K5083" s="5" t="str">
        <f t="shared" si="611"/>
        <v>000</v>
      </c>
      <c r="L5083" s="5">
        <f t="shared" si="612"/>
        <v>1</v>
      </c>
      <c r="M5083" s="5">
        <f t="shared" si="613"/>
        <v>2013</v>
      </c>
    </row>
    <row r="5084" spans="1:13" ht="15" x14ac:dyDescent="0.25">
      <c r="A5084" s="1">
        <f>DATE(2013,1,3)</f>
        <v>41277</v>
      </c>
      <c r="B5084" t="s">
        <v>14</v>
      </c>
      <c r="C5084" t="s">
        <v>10</v>
      </c>
      <c r="D5084" s="3">
        <v>98.945999999999998</v>
      </c>
      <c r="E5084" s="3">
        <v>0</v>
      </c>
      <c r="F5084" t="s">
        <v>45</v>
      </c>
      <c r="G5084" s="3">
        <f t="shared" si="607"/>
        <v>-98.945999999999998</v>
      </c>
      <c r="H5084" s="3">
        <f t="shared" si="608"/>
        <v>98.945999999999998</v>
      </c>
      <c r="I5084" s="5" t="str">
        <f t="shared" si="609"/>
        <v>016</v>
      </c>
      <c r="J5084" s="5" t="str">
        <f t="shared" si="610"/>
        <v>2230</v>
      </c>
      <c r="K5084" s="5" t="str">
        <f t="shared" si="611"/>
        <v>000</v>
      </c>
      <c r="L5084" s="5">
        <f t="shared" si="612"/>
        <v>1</v>
      </c>
      <c r="M5084" s="5">
        <f t="shared" si="613"/>
        <v>2013</v>
      </c>
    </row>
    <row r="5085" spans="1:13" ht="15" x14ac:dyDescent="0.25">
      <c r="A5085" s="1">
        <f>DATE(2013,1,4)</f>
        <v>41278</v>
      </c>
      <c r="B5085" t="s">
        <v>11</v>
      </c>
      <c r="C5085" t="s">
        <v>6</v>
      </c>
      <c r="D5085" s="3">
        <v>4734.2020000000002</v>
      </c>
      <c r="E5085" s="3">
        <v>0</v>
      </c>
      <c r="F5085" t="s">
        <v>45</v>
      </c>
      <c r="G5085" s="3">
        <f t="shared" si="607"/>
        <v>-4734.2020000000002</v>
      </c>
      <c r="H5085" s="3">
        <f t="shared" si="608"/>
        <v>4734.2020000000002</v>
      </c>
      <c r="I5085" s="5" t="str">
        <f t="shared" si="609"/>
        <v>016</v>
      </c>
      <c r="J5085" s="5" t="str">
        <f t="shared" si="610"/>
        <v>2100</v>
      </c>
      <c r="K5085" s="5" t="str">
        <f t="shared" si="611"/>
        <v>000</v>
      </c>
      <c r="L5085" s="5">
        <f t="shared" si="612"/>
        <v>1</v>
      </c>
      <c r="M5085" s="5">
        <f t="shared" si="613"/>
        <v>2013</v>
      </c>
    </row>
    <row r="5086" spans="1:13" ht="15" x14ac:dyDescent="0.25">
      <c r="A5086" s="1">
        <f>DATE(2013,1,4)</f>
        <v>41278</v>
      </c>
      <c r="B5086" t="s">
        <v>12</v>
      </c>
      <c r="C5086" t="s">
        <v>8</v>
      </c>
      <c r="D5086" s="3">
        <v>1835.184</v>
      </c>
      <c r="E5086" s="3">
        <v>0</v>
      </c>
      <c r="F5086" t="s">
        <v>45</v>
      </c>
      <c r="G5086" s="3">
        <f t="shared" si="607"/>
        <v>-1835.184</v>
      </c>
      <c r="H5086" s="3">
        <f t="shared" si="608"/>
        <v>1835.184</v>
      </c>
      <c r="I5086" s="5" t="str">
        <f t="shared" si="609"/>
        <v>016</v>
      </c>
      <c r="J5086" s="5" t="str">
        <f t="shared" si="610"/>
        <v>2210</v>
      </c>
      <c r="K5086" s="5" t="str">
        <f t="shared" si="611"/>
        <v>000</v>
      </c>
      <c r="L5086" s="5">
        <f t="shared" si="612"/>
        <v>1</v>
      </c>
      <c r="M5086" s="5">
        <f t="shared" si="613"/>
        <v>2013</v>
      </c>
    </row>
    <row r="5087" spans="1:13" ht="15" x14ac:dyDescent="0.25">
      <c r="A5087" s="1">
        <f>DATE(2013,1,4)</f>
        <v>41278</v>
      </c>
      <c r="B5087" t="s">
        <v>13</v>
      </c>
      <c r="C5087" t="s">
        <v>9</v>
      </c>
      <c r="D5087" s="3">
        <v>393.7312</v>
      </c>
      <c r="E5087" s="3">
        <v>0</v>
      </c>
      <c r="F5087" t="s">
        <v>45</v>
      </c>
      <c r="G5087" s="3">
        <f t="shared" si="607"/>
        <v>-393.7312</v>
      </c>
      <c r="H5087" s="3">
        <f t="shared" si="608"/>
        <v>393.7312</v>
      </c>
      <c r="I5087" s="5" t="str">
        <f t="shared" si="609"/>
        <v>016</v>
      </c>
      <c r="J5087" s="5" t="str">
        <f t="shared" si="610"/>
        <v>2220</v>
      </c>
      <c r="K5087" s="5" t="str">
        <f t="shared" si="611"/>
        <v>000</v>
      </c>
      <c r="L5087" s="5">
        <f t="shared" si="612"/>
        <v>1</v>
      </c>
      <c r="M5087" s="5">
        <f t="shared" si="613"/>
        <v>2013</v>
      </c>
    </row>
    <row r="5088" spans="1:13" ht="15" x14ac:dyDescent="0.25">
      <c r="A5088" s="1">
        <f>DATE(2013,1,4)</f>
        <v>41278</v>
      </c>
      <c r="B5088" t="s">
        <v>14</v>
      </c>
      <c r="C5088" t="s">
        <v>10</v>
      </c>
      <c r="D5088" s="3">
        <v>142.86099999999999</v>
      </c>
      <c r="E5088" s="3">
        <v>0</v>
      </c>
      <c r="F5088" t="s">
        <v>45</v>
      </c>
      <c r="G5088" s="3">
        <f t="shared" si="607"/>
        <v>-142.86099999999999</v>
      </c>
      <c r="H5088" s="3">
        <f t="shared" si="608"/>
        <v>142.86099999999999</v>
      </c>
      <c r="I5088" s="5" t="str">
        <f t="shared" si="609"/>
        <v>016</v>
      </c>
      <c r="J5088" s="5" t="str">
        <f t="shared" si="610"/>
        <v>2230</v>
      </c>
      <c r="K5088" s="5" t="str">
        <f t="shared" si="611"/>
        <v>000</v>
      </c>
      <c r="L5088" s="5">
        <f t="shared" si="612"/>
        <v>1</v>
      </c>
      <c r="M5088" s="5">
        <f t="shared" si="613"/>
        <v>2013</v>
      </c>
    </row>
    <row r="5089" spans="1:13" ht="15" x14ac:dyDescent="0.25">
      <c r="A5089" s="1">
        <f>DATE(2013,1,5)</f>
        <v>41279</v>
      </c>
      <c r="B5089" t="s">
        <v>11</v>
      </c>
      <c r="C5089" t="s">
        <v>6</v>
      </c>
      <c r="D5089" s="3">
        <v>8664.9440000000013</v>
      </c>
      <c r="E5089" s="3">
        <v>0</v>
      </c>
      <c r="F5089" t="s">
        <v>45</v>
      </c>
      <c r="G5089" s="3">
        <f t="shared" si="607"/>
        <v>-8664.9440000000013</v>
      </c>
      <c r="H5089" s="3">
        <f t="shared" si="608"/>
        <v>8664.9440000000013</v>
      </c>
      <c r="I5089" s="5" t="str">
        <f t="shared" si="609"/>
        <v>016</v>
      </c>
      <c r="J5089" s="5" t="str">
        <f t="shared" si="610"/>
        <v>2100</v>
      </c>
      <c r="K5089" s="5" t="str">
        <f t="shared" si="611"/>
        <v>000</v>
      </c>
      <c r="L5089" s="5">
        <f t="shared" si="612"/>
        <v>1</v>
      </c>
      <c r="M5089" s="5">
        <f t="shared" si="613"/>
        <v>2013</v>
      </c>
    </row>
    <row r="5090" spans="1:13" ht="15" x14ac:dyDescent="0.25">
      <c r="A5090" s="1">
        <f>DATE(2013,1,5)</f>
        <v>41279</v>
      </c>
      <c r="B5090" t="s">
        <v>12</v>
      </c>
      <c r="C5090" t="s">
        <v>8</v>
      </c>
      <c r="D5090" s="3">
        <v>2318.1471999999999</v>
      </c>
      <c r="E5090" s="3">
        <v>0</v>
      </c>
      <c r="F5090" t="s">
        <v>45</v>
      </c>
      <c r="G5090" s="3">
        <f t="shared" si="607"/>
        <v>-2318.1471999999999</v>
      </c>
      <c r="H5090" s="3">
        <f t="shared" si="608"/>
        <v>2318.1471999999999</v>
      </c>
      <c r="I5090" s="5" t="str">
        <f t="shared" si="609"/>
        <v>016</v>
      </c>
      <c r="J5090" s="5" t="str">
        <f t="shared" si="610"/>
        <v>2210</v>
      </c>
      <c r="K5090" s="5" t="str">
        <f t="shared" si="611"/>
        <v>000</v>
      </c>
      <c r="L5090" s="5">
        <f t="shared" si="612"/>
        <v>1</v>
      </c>
      <c r="M5090" s="5">
        <f t="shared" si="613"/>
        <v>2013</v>
      </c>
    </row>
    <row r="5091" spans="1:13" ht="15" x14ac:dyDescent="0.25">
      <c r="A5091" s="1">
        <f>DATE(2013,1,5)</f>
        <v>41279</v>
      </c>
      <c r="B5091" t="s">
        <v>13</v>
      </c>
      <c r="C5091" t="s">
        <v>9</v>
      </c>
      <c r="D5091" s="3">
        <v>599.25600000000009</v>
      </c>
      <c r="E5091" s="3">
        <v>0</v>
      </c>
      <c r="F5091" t="s">
        <v>45</v>
      </c>
      <c r="G5091" s="3">
        <f t="shared" si="607"/>
        <v>-599.25600000000009</v>
      </c>
      <c r="H5091" s="3">
        <f t="shared" si="608"/>
        <v>599.25600000000009</v>
      </c>
      <c r="I5091" s="5" t="str">
        <f t="shared" si="609"/>
        <v>016</v>
      </c>
      <c r="J5091" s="5" t="str">
        <f t="shared" si="610"/>
        <v>2220</v>
      </c>
      <c r="K5091" s="5" t="str">
        <f t="shared" si="611"/>
        <v>000</v>
      </c>
      <c r="L5091" s="5">
        <f t="shared" si="612"/>
        <v>1</v>
      </c>
      <c r="M5091" s="5">
        <f t="shared" si="613"/>
        <v>2013</v>
      </c>
    </row>
    <row r="5092" spans="1:13" ht="15" x14ac:dyDescent="0.25">
      <c r="A5092" s="1">
        <f>DATE(2013,1,5)</f>
        <v>41279</v>
      </c>
      <c r="B5092" t="s">
        <v>14</v>
      </c>
      <c r="C5092" t="s">
        <v>10</v>
      </c>
      <c r="D5092" s="3">
        <v>214.29100000000003</v>
      </c>
      <c r="E5092" s="3">
        <v>0</v>
      </c>
      <c r="F5092" t="s">
        <v>45</v>
      </c>
      <c r="G5092" s="3">
        <f t="shared" si="607"/>
        <v>-214.29100000000003</v>
      </c>
      <c r="H5092" s="3">
        <f t="shared" si="608"/>
        <v>214.29100000000003</v>
      </c>
      <c r="I5092" s="5" t="str">
        <f t="shared" si="609"/>
        <v>016</v>
      </c>
      <c r="J5092" s="5" t="str">
        <f t="shared" si="610"/>
        <v>2230</v>
      </c>
      <c r="K5092" s="5" t="str">
        <f t="shared" si="611"/>
        <v>000</v>
      </c>
      <c r="L5092" s="5">
        <f t="shared" si="612"/>
        <v>1</v>
      </c>
      <c r="M5092" s="5">
        <f t="shared" si="613"/>
        <v>2013</v>
      </c>
    </row>
    <row r="5093" spans="1:13" ht="15" x14ac:dyDescent="0.25">
      <c r="A5093" s="1">
        <f>DATE(2013,1,6)</f>
        <v>41280</v>
      </c>
      <c r="B5093" t="s">
        <v>11</v>
      </c>
      <c r="C5093" t="s">
        <v>6</v>
      </c>
      <c r="D5093" s="3">
        <v>4981.3679999999995</v>
      </c>
      <c r="E5093" s="3">
        <v>0</v>
      </c>
      <c r="F5093" t="s">
        <v>45</v>
      </c>
      <c r="G5093" s="3">
        <f t="shared" si="607"/>
        <v>-4981.3679999999995</v>
      </c>
      <c r="H5093" s="3">
        <f t="shared" si="608"/>
        <v>4981.3679999999995</v>
      </c>
      <c r="I5093" s="5" t="str">
        <f t="shared" si="609"/>
        <v>016</v>
      </c>
      <c r="J5093" s="5" t="str">
        <f t="shared" si="610"/>
        <v>2100</v>
      </c>
      <c r="K5093" s="5" t="str">
        <f t="shared" si="611"/>
        <v>000</v>
      </c>
      <c r="L5093" s="5">
        <f t="shared" si="612"/>
        <v>1</v>
      </c>
      <c r="M5093" s="5">
        <f t="shared" si="613"/>
        <v>2013</v>
      </c>
    </row>
    <row r="5094" spans="1:13" ht="15" x14ac:dyDescent="0.25">
      <c r="A5094" s="1">
        <f>DATE(2013,1,6)</f>
        <v>41280</v>
      </c>
      <c r="B5094" t="s">
        <v>12</v>
      </c>
      <c r="C5094" t="s">
        <v>8</v>
      </c>
      <c r="D5094" s="3">
        <v>726.68050000000005</v>
      </c>
      <c r="E5094" s="3">
        <v>0</v>
      </c>
      <c r="F5094" t="s">
        <v>45</v>
      </c>
      <c r="G5094" s="3">
        <f t="shared" si="607"/>
        <v>-726.68050000000005</v>
      </c>
      <c r="H5094" s="3">
        <f t="shared" si="608"/>
        <v>726.68050000000005</v>
      </c>
      <c r="I5094" s="5" t="str">
        <f t="shared" si="609"/>
        <v>016</v>
      </c>
      <c r="J5094" s="5" t="str">
        <f t="shared" si="610"/>
        <v>2210</v>
      </c>
      <c r="K5094" s="5" t="str">
        <f t="shared" si="611"/>
        <v>000</v>
      </c>
      <c r="L5094" s="5">
        <f t="shared" si="612"/>
        <v>1</v>
      </c>
      <c r="M5094" s="5">
        <f t="shared" si="613"/>
        <v>2013</v>
      </c>
    </row>
    <row r="5095" spans="1:13" ht="15" x14ac:dyDescent="0.25">
      <c r="A5095" s="1">
        <f>DATE(2013,1,6)</f>
        <v>41280</v>
      </c>
      <c r="B5095" t="s">
        <v>13</v>
      </c>
      <c r="C5095" t="s">
        <v>9</v>
      </c>
      <c r="D5095" s="3">
        <v>192.6087</v>
      </c>
      <c r="E5095" s="3">
        <v>0</v>
      </c>
      <c r="F5095" t="s">
        <v>45</v>
      </c>
      <c r="G5095" s="3">
        <f t="shared" si="607"/>
        <v>-192.6087</v>
      </c>
      <c r="H5095" s="3">
        <f t="shared" si="608"/>
        <v>192.6087</v>
      </c>
      <c r="I5095" s="5" t="str">
        <f t="shared" si="609"/>
        <v>016</v>
      </c>
      <c r="J5095" s="5" t="str">
        <f t="shared" si="610"/>
        <v>2220</v>
      </c>
      <c r="K5095" s="5" t="str">
        <f t="shared" si="611"/>
        <v>000</v>
      </c>
      <c r="L5095" s="5">
        <f t="shared" si="612"/>
        <v>1</v>
      </c>
      <c r="M5095" s="5">
        <f t="shared" si="613"/>
        <v>2013</v>
      </c>
    </row>
    <row r="5096" spans="1:13" ht="15" x14ac:dyDescent="0.25">
      <c r="A5096" s="1">
        <f>DATE(2013,1,6)</f>
        <v>41280</v>
      </c>
      <c r="B5096" t="s">
        <v>14</v>
      </c>
      <c r="C5096" t="s">
        <v>10</v>
      </c>
      <c r="D5096" s="3">
        <v>90.547199999999989</v>
      </c>
      <c r="E5096" s="3">
        <v>0</v>
      </c>
      <c r="F5096" t="s">
        <v>45</v>
      </c>
      <c r="G5096" s="3">
        <f t="shared" si="607"/>
        <v>-90.547199999999989</v>
      </c>
      <c r="H5096" s="3">
        <f t="shared" si="608"/>
        <v>90.547199999999989</v>
      </c>
      <c r="I5096" s="5" t="str">
        <f t="shared" si="609"/>
        <v>016</v>
      </c>
      <c r="J5096" s="5" t="str">
        <f t="shared" si="610"/>
        <v>2230</v>
      </c>
      <c r="K5096" s="5" t="str">
        <f t="shared" si="611"/>
        <v>000</v>
      </c>
      <c r="L5096" s="5">
        <f t="shared" si="612"/>
        <v>1</v>
      </c>
      <c r="M5096" s="5">
        <f t="shared" si="613"/>
        <v>2013</v>
      </c>
    </row>
    <row r="5097" spans="1:13" ht="15" x14ac:dyDescent="0.25">
      <c r="A5097" s="1">
        <f>DATE(2012,12,31)</f>
        <v>41274</v>
      </c>
      <c r="B5097" t="s">
        <v>11</v>
      </c>
      <c r="C5097" t="s">
        <v>6</v>
      </c>
      <c r="D5097" s="3">
        <v>6589.1932000000006</v>
      </c>
      <c r="E5097" s="3">
        <v>0</v>
      </c>
      <c r="F5097" t="s">
        <v>45</v>
      </c>
      <c r="G5097" s="3">
        <f t="shared" si="607"/>
        <v>-6589.1932000000006</v>
      </c>
      <c r="H5097" s="3">
        <f t="shared" si="608"/>
        <v>6589.1932000000006</v>
      </c>
      <c r="I5097" s="5" t="str">
        <f t="shared" si="609"/>
        <v>016</v>
      </c>
      <c r="J5097" s="5" t="str">
        <f t="shared" si="610"/>
        <v>2100</v>
      </c>
      <c r="K5097" s="5" t="str">
        <f t="shared" si="611"/>
        <v>000</v>
      </c>
      <c r="L5097" s="5">
        <f t="shared" si="612"/>
        <v>12</v>
      </c>
      <c r="M5097" s="5">
        <f t="shared" si="613"/>
        <v>2012</v>
      </c>
    </row>
    <row r="5098" spans="1:13" ht="15" x14ac:dyDescent="0.25">
      <c r="A5098" s="1">
        <f>DATE(2012,12,31)</f>
        <v>41274</v>
      </c>
      <c r="B5098" t="s">
        <v>12</v>
      </c>
      <c r="C5098" t="s">
        <v>8</v>
      </c>
      <c r="D5098" s="3">
        <v>1791.5040000000001</v>
      </c>
      <c r="E5098" s="3">
        <v>0</v>
      </c>
      <c r="F5098" t="s">
        <v>45</v>
      </c>
      <c r="G5098" s="3">
        <f t="shared" si="607"/>
        <v>-1791.5040000000001</v>
      </c>
      <c r="H5098" s="3">
        <f t="shared" si="608"/>
        <v>1791.5040000000001</v>
      </c>
      <c r="I5098" s="5" t="str">
        <f t="shared" si="609"/>
        <v>016</v>
      </c>
      <c r="J5098" s="5" t="str">
        <f t="shared" si="610"/>
        <v>2210</v>
      </c>
      <c r="K5098" s="5" t="str">
        <f t="shared" si="611"/>
        <v>000</v>
      </c>
      <c r="L5098" s="5">
        <f t="shared" si="612"/>
        <v>12</v>
      </c>
      <c r="M5098" s="5">
        <f t="shared" si="613"/>
        <v>2012</v>
      </c>
    </row>
    <row r="5099" spans="1:13" ht="15" x14ac:dyDescent="0.25">
      <c r="A5099" s="1">
        <f>DATE(2012,12,31)</f>
        <v>41274</v>
      </c>
      <c r="B5099" t="s">
        <v>13</v>
      </c>
      <c r="C5099" t="s">
        <v>9</v>
      </c>
      <c r="D5099" s="3">
        <v>329.14080000000001</v>
      </c>
      <c r="E5099" s="3">
        <v>0</v>
      </c>
      <c r="F5099" t="s">
        <v>45</v>
      </c>
      <c r="G5099" s="3">
        <f t="shared" si="607"/>
        <v>-329.14080000000001</v>
      </c>
      <c r="H5099" s="3">
        <f t="shared" si="608"/>
        <v>329.14080000000001</v>
      </c>
      <c r="I5099" s="5" t="str">
        <f t="shared" si="609"/>
        <v>016</v>
      </c>
      <c r="J5099" s="5" t="str">
        <f t="shared" si="610"/>
        <v>2220</v>
      </c>
      <c r="K5099" s="5" t="str">
        <f t="shared" si="611"/>
        <v>000</v>
      </c>
      <c r="L5099" s="5">
        <f t="shared" si="612"/>
        <v>12</v>
      </c>
      <c r="M5099" s="5">
        <f t="shared" si="613"/>
        <v>2012</v>
      </c>
    </row>
    <row r="5100" spans="1:13" ht="15" x14ac:dyDescent="0.25">
      <c r="A5100" s="1">
        <f>DATE(2012,12,31)</f>
        <v>41274</v>
      </c>
      <c r="B5100" t="s">
        <v>14</v>
      </c>
      <c r="C5100" t="s">
        <v>10</v>
      </c>
      <c r="D5100" s="3">
        <v>67.303600000000003</v>
      </c>
      <c r="E5100" s="3">
        <v>0</v>
      </c>
      <c r="F5100" t="s">
        <v>45</v>
      </c>
      <c r="G5100" s="3">
        <f t="shared" si="607"/>
        <v>-67.303600000000003</v>
      </c>
      <c r="H5100" s="3">
        <f t="shared" si="608"/>
        <v>67.303600000000003</v>
      </c>
      <c r="I5100" s="5" t="str">
        <f t="shared" si="609"/>
        <v>016</v>
      </c>
      <c r="J5100" s="5" t="str">
        <f t="shared" si="610"/>
        <v>2230</v>
      </c>
      <c r="K5100" s="5" t="str">
        <f t="shared" si="611"/>
        <v>000</v>
      </c>
      <c r="L5100" s="5">
        <f t="shared" si="612"/>
        <v>12</v>
      </c>
      <c r="M5100" s="5">
        <f t="shared" si="613"/>
        <v>2012</v>
      </c>
    </row>
    <row r="5101" spans="1:13" ht="15" x14ac:dyDescent="0.25">
      <c r="A5101" s="1">
        <f>DATE(2013,1,1)</f>
        <v>41275</v>
      </c>
      <c r="B5101" t="s">
        <v>15</v>
      </c>
      <c r="C5101" t="s">
        <v>6</v>
      </c>
      <c r="D5101" s="3">
        <v>2721.2666999999997</v>
      </c>
      <c r="E5101" s="3">
        <v>0</v>
      </c>
      <c r="F5101" t="s">
        <v>45</v>
      </c>
      <c r="G5101" s="3">
        <f t="shared" si="607"/>
        <v>-2721.2666999999997</v>
      </c>
      <c r="H5101" s="3">
        <f t="shared" si="608"/>
        <v>2721.2666999999997</v>
      </c>
      <c r="I5101" s="5" t="str">
        <f t="shared" si="609"/>
        <v>017</v>
      </c>
      <c r="J5101" s="5" t="str">
        <f t="shared" si="610"/>
        <v>2100</v>
      </c>
      <c r="K5101" s="5" t="str">
        <f t="shared" si="611"/>
        <v>000</v>
      </c>
      <c r="L5101" s="5">
        <f t="shared" si="612"/>
        <v>1</v>
      </c>
      <c r="M5101" s="5">
        <f t="shared" si="613"/>
        <v>2013</v>
      </c>
    </row>
    <row r="5102" spans="1:13" ht="15" x14ac:dyDescent="0.25">
      <c r="A5102" s="1">
        <f>DATE(2013,1,1)</f>
        <v>41275</v>
      </c>
      <c r="B5102" t="s">
        <v>16</v>
      </c>
      <c r="C5102" t="s">
        <v>8</v>
      </c>
      <c r="D5102" s="3">
        <v>575.85669999999993</v>
      </c>
      <c r="E5102" s="3">
        <v>0</v>
      </c>
      <c r="F5102" t="s">
        <v>45</v>
      </c>
      <c r="G5102" s="3">
        <f t="shared" si="607"/>
        <v>-575.85669999999993</v>
      </c>
      <c r="H5102" s="3">
        <f t="shared" si="608"/>
        <v>575.85669999999993</v>
      </c>
      <c r="I5102" s="5" t="str">
        <f t="shared" si="609"/>
        <v>017</v>
      </c>
      <c r="J5102" s="5" t="str">
        <f t="shared" si="610"/>
        <v>2210</v>
      </c>
      <c r="K5102" s="5" t="str">
        <f t="shared" si="611"/>
        <v>000</v>
      </c>
      <c r="L5102" s="5">
        <f t="shared" si="612"/>
        <v>1</v>
      </c>
      <c r="M5102" s="5">
        <f t="shared" si="613"/>
        <v>2013</v>
      </c>
    </row>
    <row r="5103" spans="1:13" ht="15" x14ac:dyDescent="0.25">
      <c r="A5103" s="1">
        <f>DATE(2013,1,1)</f>
        <v>41275</v>
      </c>
      <c r="B5103" t="s">
        <v>17</v>
      </c>
      <c r="C5103" t="s">
        <v>9</v>
      </c>
      <c r="D5103" s="3">
        <v>102.53040000000001</v>
      </c>
      <c r="E5103" s="3">
        <v>0</v>
      </c>
      <c r="F5103" t="s">
        <v>45</v>
      </c>
      <c r="G5103" s="3">
        <f t="shared" si="607"/>
        <v>-102.53040000000001</v>
      </c>
      <c r="H5103" s="3">
        <f t="shared" si="608"/>
        <v>102.53040000000001</v>
      </c>
      <c r="I5103" s="5" t="str">
        <f t="shared" si="609"/>
        <v>017</v>
      </c>
      <c r="J5103" s="5" t="str">
        <f t="shared" si="610"/>
        <v>2220</v>
      </c>
      <c r="K5103" s="5" t="str">
        <f t="shared" si="611"/>
        <v>000</v>
      </c>
      <c r="L5103" s="5">
        <f t="shared" si="612"/>
        <v>1</v>
      </c>
      <c r="M5103" s="5">
        <f t="shared" si="613"/>
        <v>2013</v>
      </c>
    </row>
    <row r="5104" spans="1:13" ht="15" x14ac:dyDescent="0.25">
      <c r="A5104" s="1">
        <f>DATE(2013,1,1)</f>
        <v>41275</v>
      </c>
      <c r="B5104" t="s">
        <v>18</v>
      </c>
      <c r="C5104" t="s">
        <v>10</v>
      </c>
      <c r="D5104" s="3">
        <v>34.486499999999999</v>
      </c>
      <c r="E5104" s="3">
        <v>0</v>
      </c>
      <c r="F5104" t="s">
        <v>45</v>
      </c>
      <c r="G5104" s="3">
        <f t="shared" si="607"/>
        <v>-34.486499999999999</v>
      </c>
      <c r="H5104" s="3">
        <f t="shared" si="608"/>
        <v>34.486499999999999</v>
      </c>
      <c r="I5104" s="5" t="str">
        <f t="shared" si="609"/>
        <v>017</v>
      </c>
      <c r="J5104" s="5" t="str">
        <f t="shared" si="610"/>
        <v>2230</v>
      </c>
      <c r="K5104" s="5" t="str">
        <f t="shared" si="611"/>
        <v>000</v>
      </c>
      <c r="L5104" s="5">
        <f t="shared" si="612"/>
        <v>1</v>
      </c>
      <c r="M5104" s="5">
        <f t="shared" si="613"/>
        <v>2013</v>
      </c>
    </row>
    <row r="5105" spans="1:13" ht="15" x14ac:dyDescent="0.25">
      <c r="A5105" s="1">
        <f>DATE(2013,1,2)</f>
        <v>41276</v>
      </c>
      <c r="B5105" t="s">
        <v>15</v>
      </c>
      <c r="C5105" t="s">
        <v>6</v>
      </c>
      <c r="D5105" s="3">
        <v>3304.6005</v>
      </c>
      <c r="E5105" s="3">
        <v>0</v>
      </c>
      <c r="F5105" t="s">
        <v>45</v>
      </c>
      <c r="G5105" s="3">
        <f t="shared" si="607"/>
        <v>-3304.6005</v>
      </c>
      <c r="H5105" s="3">
        <f t="shared" si="608"/>
        <v>3304.6005</v>
      </c>
      <c r="I5105" s="5" t="str">
        <f t="shared" si="609"/>
        <v>017</v>
      </c>
      <c r="J5105" s="5" t="str">
        <f t="shared" si="610"/>
        <v>2100</v>
      </c>
      <c r="K5105" s="5" t="str">
        <f t="shared" si="611"/>
        <v>000</v>
      </c>
      <c r="L5105" s="5">
        <f t="shared" si="612"/>
        <v>1</v>
      </c>
      <c r="M5105" s="5">
        <f t="shared" si="613"/>
        <v>2013</v>
      </c>
    </row>
    <row r="5106" spans="1:13" ht="15" x14ac:dyDescent="0.25">
      <c r="A5106" s="1">
        <f>DATE(2013,1,2)</f>
        <v>41276</v>
      </c>
      <c r="B5106" t="s">
        <v>16</v>
      </c>
      <c r="C5106" t="s">
        <v>8</v>
      </c>
      <c r="D5106" s="3">
        <v>589.56849999999997</v>
      </c>
      <c r="E5106" s="3">
        <v>0</v>
      </c>
      <c r="F5106" t="s">
        <v>45</v>
      </c>
      <c r="G5106" s="3">
        <f t="shared" si="607"/>
        <v>-589.56849999999997</v>
      </c>
      <c r="H5106" s="3">
        <f t="shared" si="608"/>
        <v>589.56849999999997</v>
      </c>
      <c r="I5106" s="5" t="str">
        <f t="shared" si="609"/>
        <v>017</v>
      </c>
      <c r="J5106" s="5" t="str">
        <f t="shared" si="610"/>
        <v>2210</v>
      </c>
      <c r="K5106" s="5" t="str">
        <f t="shared" si="611"/>
        <v>000</v>
      </c>
      <c r="L5106" s="5">
        <f t="shared" si="612"/>
        <v>1</v>
      </c>
      <c r="M5106" s="5">
        <f t="shared" si="613"/>
        <v>2013</v>
      </c>
    </row>
    <row r="5107" spans="1:13" ht="15" x14ac:dyDescent="0.25">
      <c r="A5107" s="1">
        <f>DATE(2013,1,2)</f>
        <v>41276</v>
      </c>
      <c r="B5107" t="s">
        <v>17</v>
      </c>
      <c r="C5107" t="s">
        <v>9</v>
      </c>
      <c r="D5107" s="3">
        <v>178.03200000000001</v>
      </c>
      <c r="E5107" s="3">
        <v>0</v>
      </c>
      <c r="F5107" t="s">
        <v>45</v>
      </c>
      <c r="G5107" s="3">
        <f t="shared" si="607"/>
        <v>-178.03200000000001</v>
      </c>
      <c r="H5107" s="3">
        <f t="shared" si="608"/>
        <v>178.03200000000001</v>
      </c>
      <c r="I5107" s="5" t="str">
        <f t="shared" si="609"/>
        <v>017</v>
      </c>
      <c r="J5107" s="5" t="str">
        <f t="shared" si="610"/>
        <v>2220</v>
      </c>
      <c r="K5107" s="5" t="str">
        <f t="shared" si="611"/>
        <v>000</v>
      </c>
      <c r="L5107" s="5">
        <f t="shared" si="612"/>
        <v>1</v>
      </c>
      <c r="M5107" s="5">
        <f t="shared" si="613"/>
        <v>2013</v>
      </c>
    </row>
    <row r="5108" spans="1:13" ht="15" x14ac:dyDescent="0.25">
      <c r="A5108" s="1">
        <f>DATE(2013,1,2)</f>
        <v>41276</v>
      </c>
      <c r="B5108" t="s">
        <v>18</v>
      </c>
      <c r="C5108" t="s">
        <v>10</v>
      </c>
      <c r="D5108" s="3">
        <v>20.044799999999999</v>
      </c>
      <c r="E5108" s="3">
        <v>0</v>
      </c>
      <c r="F5108" t="s">
        <v>45</v>
      </c>
      <c r="G5108" s="3">
        <f t="shared" si="607"/>
        <v>-20.044799999999999</v>
      </c>
      <c r="H5108" s="3">
        <f t="shared" si="608"/>
        <v>20.044799999999999</v>
      </c>
      <c r="I5108" s="5" t="str">
        <f t="shared" si="609"/>
        <v>017</v>
      </c>
      <c r="J5108" s="5" t="str">
        <f t="shared" si="610"/>
        <v>2230</v>
      </c>
      <c r="K5108" s="5" t="str">
        <f t="shared" si="611"/>
        <v>000</v>
      </c>
      <c r="L5108" s="5">
        <f t="shared" si="612"/>
        <v>1</v>
      </c>
      <c r="M5108" s="5">
        <f t="shared" si="613"/>
        <v>2013</v>
      </c>
    </row>
    <row r="5109" spans="1:13" ht="15" x14ac:dyDescent="0.25">
      <c r="A5109" s="1">
        <f>DATE(2013,1,3)</f>
        <v>41277</v>
      </c>
      <c r="B5109" t="s">
        <v>15</v>
      </c>
      <c r="C5109" t="s">
        <v>6</v>
      </c>
      <c r="D5109" s="3">
        <v>3326.0864000000001</v>
      </c>
      <c r="E5109" s="3">
        <v>0</v>
      </c>
      <c r="F5109" t="s">
        <v>45</v>
      </c>
      <c r="G5109" s="3">
        <f t="shared" si="607"/>
        <v>-3326.0864000000001</v>
      </c>
      <c r="H5109" s="3">
        <f t="shared" si="608"/>
        <v>3326.0864000000001</v>
      </c>
      <c r="I5109" s="5" t="str">
        <f t="shared" si="609"/>
        <v>017</v>
      </c>
      <c r="J5109" s="5" t="str">
        <f t="shared" si="610"/>
        <v>2100</v>
      </c>
      <c r="K5109" s="5" t="str">
        <f t="shared" si="611"/>
        <v>000</v>
      </c>
      <c r="L5109" s="5">
        <f t="shared" si="612"/>
        <v>1</v>
      </c>
      <c r="M5109" s="5">
        <f t="shared" si="613"/>
        <v>2013</v>
      </c>
    </row>
    <row r="5110" spans="1:13" ht="15" x14ac:dyDescent="0.25">
      <c r="A5110" s="1">
        <f>DATE(2013,1,3)</f>
        <v>41277</v>
      </c>
      <c r="B5110" t="s">
        <v>16</v>
      </c>
      <c r="C5110" t="s">
        <v>8</v>
      </c>
      <c r="D5110" s="3">
        <v>665.29399999999998</v>
      </c>
      <c r="E5110" s="3">
        <v>0</v>
      </c>
      <c r="F5110" t="s">
        <v>45</v>
      </c>
      <c r="G5110" s="3">
        <f t="shared" si="607"/>
        <v>-665.29399999999998</v>
      </c>
      <c r="H5110" s="3">
        <f t="shared" si="608"/>
        <v>665.29399999999998</v>
      </c>
      <c r="I5110" s="5" t="str">
        <f t="shared" si="609"/>
        <v>017</v>
      </c>
      <c r="J5110" s="5" t="str">
        <f t="shared" si="610"/>
        <v>2210</v>
      </c>
      <c r="K5110" s="5" t="str">
        <f t="shared" si="611"/>
        <v>000</v>
      </c>
      <c r="L5110" s="5">
        <f t="shared" si="612"/>
        <v>1</v>
      </c>
      <c r="M5110" s="5">
        <f t="shared" si="613"/>
        <v>2013</v>
      </c>
    </row>
    <row r="5111" spans="1:13" ht="15" x14ac:dyDescent="0.25">
      <c r="A5111" s="1">
        <f>DATE(2013,1,3)</f>
        <v>41277</v>
      </c>
      <c r="B5111" t="s">
        <v>17</v>
      </c>
      <c r="C5111" t="s">
        <v>9</v>
      </c>
      <c r="D5111" s="3">
        <v>167.89919999999998</v>
      </c>
      <c r="E5111" s="3">
        <v>0</v>
      </c>
      <c r="F5111" t="s">
        <v>45</v>
      </c>
      <c r="G5111" s="3">
        <f t="shared" si="607"/>
        <v>-167.89919999999998</v>
      </c>
      <c r="H5111" s="3">
        <f t="shared" si="608"/>
        <v>167.89919999999998</v>
      </c>
      <c r="I5111" s="5" t="str">
        <f t="shared" si="609"/>
        <v>017</v>
      </c>
      <c r="J5111" s="5" t="str">
        <f t="shared" si="610"/>
        <v>2220</v>
      </c>
      <c r="K5111" s="5" t="str">
        <f t="shared" si="611"/>
        <v>000</v>
      </c>
      <c r="L5111" s="5">
        <f t="shared" si="612"/>
        <v>1</v>
      </c>
      <c r="M5111" s="5">
        <f t="shared" si="613"/>
        <v>2013</v>
      </c>
    </row>
    <row r="5112" spans="1:13" ht="15" x14ac:dyDescent="0.25">
      <c r="A5112" s="1">
        <f>DATE(2013,1,3)</f>
        <v>41277</v>
      </c>
      <c r="B5112" t="s">
        <v>18</v>
      </c>
      <c r="C5112" t="s">
        <v>10</v>
      </c>
      <c r="D5112" s="3">
        <v>47.883599999999994</v>
      </c>
      <c r="E5112" s="3">
        <v>0</v>
      </c>
      <c r="F5112" t="s">
        <v>45</v>
      </c>
      <c r="G5112" s="3">
        <f t="shared" si="607"/>
        <v>-47.883599999999994</v>
      </c>
      <c r="H5112" s="3">
        <f t="shared" si="608"/>
        <v>47.883599999999994</v>
      </c>
      <c r="I5112" s="5" t="str">
        <f t="shared" si="609"/>
        <v>017</v>
      </c>
      <c r="J5112" s="5" t="str">
        <f t="shared" si="610"/>
        <v>2230</v>
      </c>
      <c r="K5112" s="5" t="str">
        <f t="shared" si="611"/>
        <v>000</v>
      </c>
      <c r="L5112" s="5">
        <f t="shared" si="612"/>
        <v>1</v>
      </c>
      <c r="M5112" s="5">
        <f t="shared" si="613"/>
        <v>2013</v>
      </c>
    </row>
    <row r="5113" spans="1:13" ht="15" x14ac:dyDescent="0.25">
      <c r="A5113" s="1">
        <f>DATE(2013,1,4)</f>
        <v>41278</v>
      </c>
      <c r="B5113" t="s">
        <v>15</v>
      </c>
      <c r="C5113" t="s">
        <v>6</v>
      </c>
      <c r="D5113" s="3">
        <v>9760.7991000000002</v>
      </c>
      <c r="E5113" s="3">
        <v>0</v>
      </c>
      <c r="F5113" t="s">
        <v>45</v>
      </c>
      <c r="G5113" s="3">
        <f t="shared" si="607"/>
        <v>-9760.7991000000002</v>
      </c>
      <c r="H5113" s="3">
        <f t="shared" si="608"/>
        <v>9760.7991000000002</v>
      </c>
      <c r="I5113" s="5" t="str">
        <f t="shared" si="609"/>
        <v>017</v>
      </c>
      <c r="J5113" s="5" t="str">
        <f t="shared" si="610"/>
        <v>2100</v>
      </c>
      <c r="K5113" s="5" t="str">
        <f t="shared" si="611"/>
        <v>000</v>
      </c>
      <c r="L5113" s="5">
        <f t="shared" si="612"/>
        <v>1</v>
      </c>
      <c r="M5113" s="5">
        <f t="shared" si="613"/>
        <v>2013</v>
      </c>
    </row>
    <row r="5114" spans="1:13" ht="15" x14ac:dyDescent="0.25">
      <c r="A5114" s="1">
        <f>DATE(2013,1,4)</f>
        <v>41278</v>
      </c>
      <c r="B5114" t="s">
        <v>16</v>
      </c>
      <c r="C5114" t="s">
        <v>8</v>
      </c>
      <c r="D5114" s="3">
        <v>3189.933</v>
      </c>
      <c r="E5114" s="3">
        <v>0</v>
      </c>
      <c r="F5114" t="s">
        <v>45</v>
      </c>
      <c r="G5114" s="3">
        <f t="shared" si="607"/>
        <v>-3189.933</v>
      </c>
      <c r="H5114" s="3">
        <f t="shared" si="608"/>
        <v>3189.933</v>
      </c>
      <c r="I5114" s="5" t="str">
        <f t="shared" si="609"/>
        <v>017</v>
      </c>
      <c r="J5114" s="5" t="str">
        <f t="shared" si="610"/>
        <v>2210</v>
      </c>
      <c r="K5114" s="5" t="str">
        <f t="shared" si="611"/>
        <v>000</v>
      </c>
      <c r="L5114" s="5">
        <f t="shared" si="612"/>
        <v>1</v>
      </c>
      <c r="M5114" s="5">
        <f t="shared" si="613"/>
        <v>2013</v>
      </c>
    </row>
    <row r="5115" spans="1:13" ht="15" x14ac:dyDescent="0.25">
      <c r="A5115" s="1">
        <f>DATE(2013,1,4)</f>
        <v>41278</v>
      </c>
      <c r="B5115" t="s">
        <v>17</v>
      </c>
      <c r="C5115" t="s">
        <v>9</v>
      </c>
      <c r="D5115" s="3">
        <v>413.52400000000006</v>
      </c>
      <c r="E5115" s="3">
        <v>0</v>
      </c>
      <c r="F5115" t="s">
        <v>45</v>
      </c>
      <c r="G5115" s="3">
        <f t="shared" si="607"/>
        <v>-413.52400000000006</v>
      </c>
      <c r="H5115" s="3">
        <f t="shared" si="608"/>
        <v>413.52400000000006</v>
      </c>
      <c r="I5115" s="5" t="str">
        <f t="shared" si="609"/>
        <v>017</v>
      </c>
      <c r="J5115" s="5" t="str">
        <f t="shared" si="610"/>
        <v>2220</v>
      </c>
      <c r="K5115" s="5" t="str">
        <f t="shared" si="611"/>
        <v>000</v>
      </c>
      <c r="L5115" s="5">
        <f t="shared" si="612"/>
        <v>1</v>
      </c>
      <c r="M5115" s="5">
        <f t="shared" si="613"/>
        <v>2013</v>
      </c>
    </row>
    <row r="5116" spans="1:13" ht="15" x14ac:dyDescent="0.25">
      <c r="A5116" s="1">
        <f>DATE(2013,1,4)</f>
        <v>41278</v>
      </c>
      <c r="B5116" t="s">
        <v>18</v>
      </c>
      <c r="C5116" t="s">
        <v>10</v>
      </c>
      <c r="D5116" s="3">
        <v>128.58419999999998</v>
      </c>
      <c r="E5116" s="3">
        <v>0</v>
      </c>
      <c r="F5116" t="s">
        <v>45</v>
      </c>
      <c r="G5116" s="3">
        <f t="shared" si="607"/>
        <v>-128.58419999999998</v>
      </c>
      <c r="H5116" s="3">
        <f t="shared" si="608"/>
        <v>128.58419999999998</v>
      </c>
      <c r="I5116" s="5" t="str">
        <f t="shared" si="609"/>
        <v>017</v>
      </c>
      <c r="J5116" s="5" t="str">
        <f t="shared" si="610"/>
        <v>2230</v>
      </c>
      <c r="K5116" s="5" t="str">
        <f t="shared" si="611"/>
        <v>000</v>
      </c>
      <c r="L5116" s="5">
        <f t="shared" si="612"/>
        <v>1</v>
      </c>
      <c r="M5116" s="5">
        <f t="shared" si="613"/>
        <v>2013</v>
      </c>
    </row>
    <row r="5117" spans="1:13" ht="15" x14ac:dyDescent="0.25">
      <c r="A5117" s="1">
        <f>DATE(2013,1,5)</f>
        <v>41279</v>
      </c>
      <c r="B5117" t="s">
        <v>15</v>
      </c>
      <c r="C5117" t="s">
        <v>6</v>
      </c>
      <c r="D5117" s="3">
        <v>4420.2280000000001</v>
      </c>
      <c r="E5117" s="3">
        <v>0</v>
      </c>
      <c r="F5117" t="s">
        <v>45</v>
      </c>
      <c r="G5117" s="3">
        <f t="shared" si="607"/>
        <v>-4420.2280000000001</v>
      </c>
      <c r="H5117" s="3">
        <f t="shared" si="608"/>
        <v>4420.2280000000001</v>
      </c>
      <c r="I5117" s="5" t="str">
        <f t="shared" si="609"/>
        <v>017</v>
      </c>
      <c r="J5117" s="5" t="str">
        <f t="shared" si="610"/>
        <v>2100</v>
      </c>
      <c r="K5117" s="5" t="str">
        <f t="shared" si="611"/>
        <v>000</v>
      </c>
      <c r="L5117" s="5">
        <f t="shared" si="612"/>
        <v>1</v>
      </c>
      <c r="M5117" s="5">
        <f t="shared" si="613"/>
        <v>2013</v>
      </c>
    </row>
    <row r="5118" spans="1:13" ht="15" x14ac:dyDescent="0.25">
      <c r="A5118" s="1">
        <f>DATE(2013,1,5)</f>
        <v>41279</v>
      </c>
      <c r="B5118" t="s">
        <v>16</v>
      </c>
      <c r="C5118" t="s">
        <v>8</v>
      </c>
      <c r="D5118" s="3">
        <v>1129.7041999999999</v>
      </c>
      <c r="E5118" s="3">
        <v>0</v>
      </c>
      <c r="F5118" t="s">
        <v>45</v>
      </c>
      <c r="G5118" s="3">
        <f t="shared" si="607"/>
        <v>-1129.7041999999999</v>
      </c>
      <c r="H5118" s="3">
        <f t="shared" si="608"/>
        <v>1129.7041999999999</v>
      </c>
      <c r="I5118" s="5" t="str">
        <f t="shared" si="609"/>
        <v>017</v>
      </c>
      <c r="J5118" s="5" t="str">
        <f t="shared" si="610"/>
        <v>2210</v>
      </c>
      <c r="K5118" s="5" t="str">
        <f t="shared" si="611"/>
        <v>000</v>
      </c>
      <c r="L5118" s="5">
        <f t="shared" si="612"/>
        <v>1</v>
      </c>
      <c r="M5118" s="5">
        <f t="shared" si="613"/>
        <v>2013</v>
      </c>
    </row>
    <row r="5119" spans="1:13" ht="15" x14ac:dyDescent="0.25">
      <c r="A5119" s="1">
        <f>DATE(2013,1,5)</f>
        <v>41279</v>
      </c>
      <c r="B5119" t="s">
        <v>17</v>
      </c>
      <c r="C5119" t="s">
        <v>9</v>
      </c>
      <c r="D5119" s="3">
        <v>156.744</v>
      </c>
      <c r="E5119" s="3">
        <v>0</v>
      </c>
      <c r="F5119" t="s">
        <v>45</v>
      </c>
      <c r="G5119" s="3">
        <f t="shared" si="607"/>
        <v>-156.744</v>
      </c>
      <c r="H5119" s="3">
        <f t="shared" si="608"/>
        <v>156.744</v>
      </c>
      <c r="I5119" s="5" t="str">
        <f t="shared" si="609"/>
        <v>017</v>
      </c>
      <c r="J5119" s="5" t="str">
        <f t="shared" si="610"/>
        <v>2220</v>
      </c>
      <c r="K5119" s="5" t="str">
        <f t="shared" si="611"/>
        <v>000</v>
      </c>
      <c r="L5119" s="5">
        <f t="shared" si="612"/>
        <v>1</v>
      </c>
      <c r="M5119" s="5">
        <f t="shared" si="613"/>
        <v>2013</v>
      </c>
    </row>
    <row r="5120" spans="1:13" ht="15" x14ac:dyDescent="0.25">
      <c r="A5120" s="1">
        <f>DATE(2013,1,5)</f>
        <v>41279</v>
      </c>
      <c r="B5120" t="s">
        <v>18</v>
      </c>
      <c r="C5120" t="s">
        <v>10</v>
      </c>
      <c r="D5120" s="3">
        <v>87.44959999999999</v>
      </c>
      <c r="E5120" s="3">
        <v>0</v>
      </c>
      <c r="F5120" t="s">
        <v>45</v>
      </c>
      <c r="G5120" s="3">
        <f t="shared" si="607"/>
        <v>-87.44959999999999</v>
      </c>
      <c r="H5120" s="3">
        <f t="shared" si="608"/>
        <v>87.44959999999999</v>
      </c>
      <c r="I5120" s="5" t="str">
        <f t="shared" si="609"/>
        <v>017</v>
      </c>
      <c r="J5120" s="5" t="str">
        <f t="shared" si="610"/>
        <v>2230</v>
      </c>
      <c r="K5120" s="5" t="str">
        <f t="shared" si="611"/>
        <v>000</v>
      </c>
      <c r="L5120" s="5">
        <f t="shared" si="612"/>
        <v>1</v>
      </c>
      <c r="M5120" s="5">
        <f t="shared" si="613"/>
        <v>2013</v>
      </c>
    </row>
    <row r="5121" spans="1:13" ht="15" x14ac:dyDescent="0.25">
      <c r="A5121" s="1">
        <f>DATE(2013,1,6)</f>
        <v>41280</v>
      </c>
      <c r="B5121" t="s">
        <v>15</v>
      </c>
      <c r="C5121" t="s">
        <v>6</v>
      </c>
      <c r="D5121" s="3">
        <v>3826.4358000000002</v>
      </c>
      <c r="E5121" s="3">
        <v>0</v>
      </c>
      <c r="F5121" t="s">
        <v>45</v>
      </c>
      <c r="G5121" s="3">
        <f t="shared" si="607"/>
        <v>-3826.4358000000002</v>
      </c>
      <c r="H5121" s="3">
        <f t="shared" si="608"/>
        <v>3826.4358000000002</v>
      </c>
      <c r="I5121" s="5" t="str">
        <f t="shared" si="609"/>
        <v>017</v>
      </c>
      <c r="J5121" s="5" t="str">
        <f t="shared" si="610"/>
        <v>2100</v>
      </c>
      <c r="K5121" s="5" t="str">
        <f t="shared" si="611"/>
        <v>000</v>
      </c>
      <c r="L5121" s="5">
        <f t="shared" si="612"/>
        <v>1</v>
      </c>
      <c r="M5121" s="5">
        <f t="shared" si="613"/>
        <v>2013</v>
      </c>
    </row>
    <row r="5122" spans="1:13" ht="15" x14ac:dyDescent="0.25">
      <c r="A5122" s="1">
        <f>DATE(2013,1,6)</f>
        <v>41280</v>
      </c>
      <c r="B5122" t="s">
        <v>16</v>
      </c>
      <c r="C5122" t="s">
        <v>8</v>
      </c>
      <c r="D5122" s="3">
        <v>1100.537</v>
      </c>
      <c r="E5122" s="3">
        <v>0</v>
      </c>
      <c r="F5122" t="s">
        <v>45</v>
      </c>
      <c r="G5122" s="3">
        <f t="shared" ref="G5122:G5185" si="614">E5122-D5122</f>
        <v>-1100.537</v>
      </c>
      <c r="H5122" s="3">
        <f t="shared" ref="H5122:H5185" si="615">ABS(G5122)</f>
        <v>1100.537</v>
      </c>
      <c r="I5122" s="5" t="str">
        <f t="shared" ref="I5122:I5185" si="616">MID(B5122,1,3)</f>
        <v>017</v>
      </c>
      <c r="J5122" s="5" t="str">
        <f t="shared" ref="J5122:J5185" si="617">MID(B5122,5,4)</f>
        <v>2210</v>
      </c>
      <c r="K5122" s="5" t="str">
        <f t="shared" ref="K5122:K5185" si="618">MID(B5122,10,3)</f>
        <v>000</v>
      </c>
      <c r="L5122" s="5">
        <f t="shared" ref="L5122:L5185" si="619">MONTH(A5122)</f>
        <v>1</v>
      </c>
      <c r="M5122" s="5">
        <f t="shared" ref="M5122:M5185" si="620">YEAR(A5122)</f>
        <v>2013</v>
      </c>
    </row>
    <row r="5123" spans="1:13" ht="15" x14ac:dyDescent="0.25">
      <c r="A5123" s="1">
        <f>DATE(2013,1,6)</f>
        <v>41280</v>
      </c>
      <c r="B5123" t="s">
        <v>17</v>
      </c>
      <c r="C5123" t="s">
        <v>9</v>
      </c>
      <c r="D5123" s="3">
        <v>231.11779999999999</v>
      </c>
      <c r="E5123" s="3">
        <v>0</v>
      </c>
      <c r="F5123" t="s">
        <v>45</v>
      </c>
      <c r="G5123" s="3">
        <f t="shared" si="614"/>
        <v>-231.11779999999999</v>
      </c>
      <c r="H5123" s="3">
        <f t="shared" si="615"/>
        <v>231.11779999999999</v>
      </c>
      <c r="I5123" s="5" t="str">
        <f t="shared" si="616"/>
        <v>017</v>
      </c>
      <c r="J5123" s="5" t="str">
        <f t="shared" si="617"/>
        <v>2220</v>
      </c>
      <c r="K5123" s="5" t="str">
        <f t="shared" si="618"/>
        <v>000</v>
      </c>
      <c r="L5123" s="5">
        <f t="shared" si="619"/>
        <v>1</v>
      </c>
      <c r="M5123" s="5">
        <f t="shared" si="620"/>
        <v>2013</v>
      </c>
    </row>
    <row r="5124" spans="1:13" ht="15" x14ac:dyDescent="0.25">
      <c r="A5124" s="1">
        <f>DATE(2013,1,6)</f>
        <v>41280</v>
      </c>
      <c r="B5124" t="s">
        <v>18</v>
      </c>
      <c r="C5124" t="s">
        <v>10</v>
      </c>
      <c r="D5124" s="3">
        <v>27.119499999999999</v>
      </c>
      <c r="E5124" s="3">
        <v>0</v>
      </c>
      <c r="F5124" t="s">
        <v>45</v>
      </c>
      <c r="G5124" s="3">
        <f t="shared" si="614"/>
        <v>-27.119499999999999</v>
      </c>
      <c r="H5124" s="3">
        <f t="shared" si="615"/>
        <v>27.119499999999999</v>
      </c>
      <c r="I5124" s="5" t="str">
        <f t="shared" si="616"/>
        <v>017</v>
      </c>
      <c r="J5124" s="5" t="str">
        <f t="shared" si="617"/>
        <v>2230</v>
      </c>
      <c r="K5124" s="5" t="str">
        <f t="shared" si="618"/>
        <v>000</v>
      </c>
      <c r="L5124" s="5">
        <f t="shared" si="619"/>
        <v>1</v>
      </c>
      <c r="M5124" s="5">
        <f t="shared" si="620"/>
        <v>2013</v>
      </c>
    </row>
    <row r="5125" spans="1:13" ht="15" x14ac:dyDescent="0.25">
      <c r="A5125" s="1">
        <f>DATE(2012,12,31)</f>
        <v>41274</v>
      </c>
      <c r="B5125" t="s">
        <v>15</v>
      </c>
      <c r="C5125" t="s">
        <v>6</v>
      </c>
      <c r="D5125" s="3">
        <v>3750.2820000000002</v>
      </c>
      <c r="E5125" s="3">
        <v>0</v>
      </c>
      <c r="F5125" t="s">
        <v>45</v>
      </c>
      <c r="G5125" s="3">
        <f t="shared" si="614"/>
        <v>-3750.2820000000002</v>
      </c>
      <c r="H5125" s="3">
        <f t="shared" si="615"/>
        <v>3750.2820000000002</v>
      </c>
      <c r="I5125" s="5" t="str">
        <f t="shared" si="616"/>
        <v>017</v>
      </c>
      <c r="J5125" s="5" t="str">
        <f t="shared" si="617"/>
        <v>2100</v>
      </c>
      <c r="K5125" s="5" t="str">
        <f t="shared" si="618"/>
        <v>000</v>
      </c>
      <c r="L5125" s="5">
        <f t="shared" si="619"/>
        <v>12</v>
      </c>
      <c r="M5125" s="5">
        <f t="shared" si="620"/>
        <v>2012</v>
      </c>
    </row>
    <row r="5126" spans="1:13" ht="15" x14ac:dyDescent="0.25">
      <c r="A5126" s="1">
        <f>DATE(2012,12,31)</f>
        <v>41274</v>
      </c>
      <c r="B5126" t="s">
        <v>16</v>
      </c>
      <c r="C5126" t="s">
        <v>8</v>
      </c>
      <c r="D5126" s="3">
        <v>1287.6697999999999</v>
      </c>
      <c r="E5126" s="3">
        <v>0</v>
      </c>
      <c r="F5126" t="s">
        <v>45</v>
      </c>
      <c r="G5126" s="3">
        <f t="shared" si="614"/>
        <v>-1287.6697999999999</v>
      </c>
      <c r="H5126" s="3">
        <f t="shared" si="615"/>
        <v>1287.6697999999999</v>
      </c>
      <c r="I5126" s="5" t="str">
        <f t="shared" si="616"/>
        <v>017</v>
      </c>
      <c r="J5126" s="5" t="str">
        <f t="shared" si="617"/>
        <v>2210</v>
      </c>
      <c r="K5126" s="5" t="str">
        <f t="shared" si="618"/>
        <v>000</v>
      </c>
      <c r="L5126" s="5">
        <f t="shared" si="619"/>
        <v>12</v>
      </c>
      <c r="M5126" s="5">
        <f t="shared" si="620"/>
        <v>2012</v>
      </c>
    </row>
    <row r="5127" spans="1:13" ht="15" x14ac:dyDescent="0.25">
      <c r="A5127" s="1">
        <f>DATE(2012,12,31)</f>
        <v>41274</v>
      </c>
      <c r="B5127" t="s">
        <v>17</v>
      </c>
      <c r="C5127" t="s">
        <v>9</v>
      </c>
      <c r="D5127" s="3">
        <v>157.6677</v>
      </c>
      <c r="E5127" s="3">
        <v>0</v>
      </c>
      <c r="F5127" t="s">
        <v>45</v>
      </c>
      <c r="G5127" s="3">
        <f t="shared" si="614"/>
        <v>-157.6677</v>
      </c>
      <c r="H5127" s="3">
        <f t="shared" si="615"/>
        <v>157.6677</v>
      </c>
      <c r="I5127" s="5" t="str">
        <f t="shared" si="616"/>
        <v>017</v>
      </c>
      <c r="J5127" s="5" t="str">
        <f t="shared" si="617"/>
        <v>2220</v>
      </c>
      <c r="K5127" s="5" t="str">
        <f t="shared" si="618"/>
        <v>000</v>
      </c>
      <c r="L5127" s="5">
        <f t="shared" si="619"/>
        <v>12</v>
      </c>
      <c r="M5127" s="5">
        <f t="shared" si="620"/>
        <v>2012</v>
      </c>
    </row>
    <row r="5128" spans="1:13" ht="15" x14ac:dyDescent="0.25">
      <c r="A5128" s="1">
        <f>DATE(2012,12,31)</f>
        <v>41274</v>
      </c>
      <c r="B5128" t="s">
        <v>18</v>
      </c>
      <c r="C5128" t="s">
        <v>10</v>
      </c>
      <c r="D5128" s="3">
        <v>102.9076</v>
      </c>
      <c r="E5128" s="3">
        <v>0</v>
      </c>
      <c r="F5128" t="s">
        <v>45</v>
      </c>
      <c r="G5128" s="3">
        <f t="shared" si="614"/>
        <v>-102.9076</v>
      </c>
      <c r="H5128" s="3">
        <f t="shared" si="615"/>
        <v>102.9076</v>
      </c>
      <c r="I5128" s="5" t="str">
        <f t="shared" si="616"/>
        <v>017</v>
      </c>
      <c r="J5128" s="5" t="str">
        <f t="shared" si="617"/>
        <v>2230</v>
      </c>
      <c r="K5128" s="5" t="str">
        <f t="shared" si="618"/>
        <v>000</v>
      </c>
      <c r="L5128" s="5">
        <f t="shared" si="619"/>
        <v>12</v>
      </c>
      <c r="M5128" s="5">
        <f t="shared" si="620"/>
        <v>2012</v>
      </c>
    </row>
    <row r="5129" spans="1:13" ht="15" x14ac:dyDescent="0.25">
      <c r="A5129" s="1">
        <f>DATE(2013,1,1)</f>
        <v>41275</v>
      </c>
      <c r="B5129" t="s">
        <v>19</v>
      </c>
      <c r="C5129" t="s">
        <v>6</v>
      </c>
      <c r="D5129" s="3">
        <v>5682.0661</v>
      </c>
      <c r="E5129" s="3">
        <v>0</v>
      </c>
      <c r="F5129" t="s">
        <v>45</v>
      </c>
      <c r="G5129" s="3">
        <f t="shared" si="614"/>
        <v>-5682.0661</v>
      </c>
      <c r="H5129" s="3">
        <f t="shared" si="615"/>
        <v>5682.0661</v>
      </c>
      <c r="I5129" s="5" t="str">
        <f t="shared" si="616"/>
        <v>018</v>
      </c>
      <c r="J5129" s="5" t="str">
        <f t="shared" si="617"/>
        <v>2100</v>
      </c>
      <c r="K5129" s="5" t="str">
        <f t="shared" si="618"/>
        <v>000</v>
      </c>
      <c r="L5129" s="5">
        <f t="shared" si="619"/>
        <v>1</v>
      </c>
      <c r="M5129" s="5">
        <f t="shared" si="620"/>
        <v>2013</v>
      </c>
    </row>
    <row r="5130" spans="1:13" ht="15" x14ac:dyDescent="0.25">
      <c r="A5130" s="1">
        <f>DATE(2013,1,1)</f>
        <v>41275</v>
      </c>
      <c r="B5130" t="s">
        <v>20</v>
      </c>
      <c r="C5130" t="s">
        <v>8</v>
      </c>
      <c r="D5130" s="3">
        <v>536.80340000000001</v>
      </c>
      <c r="E5130" s="3">
        <v>0</v>
      </c>
      <c r="F5130" t="s">
        <v>45</v>
      </c>
      <c r="G5130" s="3">
        <f t="shared" si="614"/>
        <v>-536.80340000000001</v>
      </c>
      <c r="H5130" s="3">
        <f t="shared" si="615"/>
        <v>536.80340000000001</v>
      </c>
      <c r="I5130" s="5" t="str">
        <f t="shared" si="616"/>
        <v>018</v>
      </c>
      <c r="J5130" s="5" t="str">
        <f t="shared" si="617"/>
        <v>2210</v>
      </c>
      <c r="K5130" s="5" t="str">
        <f t="shared" si="618"/>
        <v>000</v>
      </c>
      <c r="L5130" s="5">
        <f t="shared" si="619"/>
        <v>1</v>
      </c>
      <c r="M5130" s="5">
        <f t="shared" si="620"/>
        <v>2013</v>
      </c>
    </row>
    <row r="5131" spans="1:13" ht="15" x14ac:dyDescent="0.25">
      <c r="A5131" s="1">
        <f>DATE(2013,1,1)</f>
        <v>41275</v>
      </c>
      <c r="B5131" t="s">
        <v>21</v>
      </c>
      <c r="C5131" t="s">
        <v>9</v>
      </c>
      <c r="D5131" s="3">
        <v>65.977500000000006</v>
      </c>
      <c r="E5131" s="3">
        <v>0</v>
      </c>
      <c r="F5131" t="s">
        <v>45</v>
      </c>
      <c r="G5131" s="3">
        <f t="shared" si="614"/>
        <v>-65.977500000000006</v>
      </c>
      <c r="H5131" s="3">
        <f t="shared" si="615"/>
        <v>65.977500000000006</v>
      </c>
      <c r="I5131" s="5" t="str">
        <f t="shared" si="616"/>
        <v>018</v>
      </c>
      <c r="J5131" s="5" t="str">
        <f t="shared" si="617"/>
        <v>2220</v>
      </c>
      <c r="K5131" s="5" t="str">
        <f t="shared" si="618"/>
        <v>000</v>
      </c>
      <c r="L5131" s="5">
        <f t="shared" si="619"/>
        <v>1</v>
      </c>
      <c r="M5131" s="5">
        <f t="shared" si="620"/>
        <v>2013</v>
      </c>
    </row>
    <row r="5132" spans="1:13" ht="15" x14ac:dyDescent="0.25">
      <c r="A5132" s="1">
        <f>DATE(2013,1,1)</f>
        <v>41275</v>
      </c>
      <c r="B5132" t="s">
        <v>22</v>
      </c>
      <c r="C5132" t="s">
        <v>10</v>
      </c>
      <c r="D5132" s="3">
        <v>17.154500000000002</v>
      </c>
      <c r="E5132" s="3">
        <v>0</v>
      </c>
      <c r="F5132" t="s">
        <v>45</v>
      </c>
      <c r="G5132" s="3">
        <f t="shared" si="614"/>
        <v>-17.154500000000002</v>
      </c>
      <c r="H5132" s="3">
        <f t="shared" si="615"/>
        <v>17.154500000000002</v>
      </c>
      <c r="I5132" s="5" t="str">
        <f t="shared" si="616"/>
        <v>018</v>
      </c>
      <c r="J5132" s="5" t="str">
        <f t="shared" si="617"/>
        <v>2230</v>
      </c>
      <c r="K5132" s="5" t="str">
        <f t="shared" si="618"/>
        <v>000</v>
      </c>
      <c r="L5132" s="5">
        <f t="shared" si="619"/>
        <v>1</v>
      </c>
      <c r="M5132" s="5">
        <f t="shared" si="620"/>
        <v>2013</v>
      </c>
    </row>
    <row r="5133" spans="1:13" ht="15" x14ac:dyDescent="0.25">
      <c r="A5133" s="1">
        <f>DATE(2013,1,2)</f>
        <v>41276</v>
      </c>
      <c r="B5133" t="s">
        <v>19</v>
      </c>
      <c r="C5133" t="s">
        <v>6</v>
      </c>
      <c r="D5133" s="3">
        <v>3760.1091000000001</v>
      </c>
      <c r="E5133" s="3">
        <v>0</v>
      </c>
      <c r="F5133" t="s">
        <v>45</v>
      </c>
      <c r="G5133" s="3">
        <f t="shared" si="614"/>
        <v>-3760.1091000000001</v>
      </c>
      <c r="H5133" s="3">
        <f t="shared" si="615"/>
        <v>3760.1091000000001</v>
      </c>
      <c r="I5133" s="5" t="str">
        <f t="shared" si="616"/>
        <v>018</v>
      </c>
      <c r="J5133" s="5" t="str">
        <f t="shared" si="617"/>
        <v>2100</v>
      </c>
      <c r="K5133" s="5" t="str">
        <f t="shared" si="618"/>
        <v>000</v>
      </c>
      <c r="L5133" s="5">
        <f t="shared" si="619"/>
        <v>1</v>
      </c>
      <c r="M5133" s="5">
        <f t="shared" si="620"/>
        <v>2013</v>
      </c>
    </row>
    <row r="5134" spans="1:13" ht="15" x14ac:dyDescent="0.25">
      <c r="A5134" s="1">
        <f>DATE(2013,1,2)</f>
        <v>41276</v>
      </c>
      <c r="B5134" t="s">
        <v>20</v>
      </c>
      <c r="C5134" t="s">
        <v>8</v>
      </c>
      <c r="D5134" s="3">
        <v>368.78429999999997</v>
      </c>
      <c r="E5134" s="3">
        <v>0</v>
      </c>
      <c r="F5134" t="s">
        <v>45</v>
      </c>
      <c r="G5134" s="3">
        <f t="shared" si="614"/>
        <v>-368.78429999999997</v>
      </c>
      <c r="H5134" s="3">
        <f t="shared" si="615"/>
        <v>368.78429999999997</v>
      </c>
      <c r="I5134" s="5" t="str">
        <f t="shared" si="616"/>
        <v>018</v>
      </c>
      <c r="J5134" s="5" t="str">
        <f t="shared" si="617"/>
        <v>2210</v>
      </c>
      <c r="K5134" s="5" t="str">
        <f t="shared" si="618"/>
        <v>000</v>
      </c>
      <c r="L5134" s="5">
        <f t="shared" si="619"/>
        <v>1</v>
      </c>
      <c r="M5134" s="5">
        <f t="shared" si="620"/>
        <v>2013</v>
      </c>
    </row>
    <row r="5135" spans="1:13" ht="15" x14ac:dyDescent="0.25">
      <c r="A5135" s="1">
        <f>DATE(2013,1,2)</f>
        <v>41276</v>
      </c>
      <c r="B5135" t="s">
        <v>21</v>
      </c>
      <c r="C5135" t="s">
        <v>9</v>
      </c>
      <c r="D5135" s="3">
        <v>59.286900000000003</v>
      </c>
      <c r="E5135" s="3">
        <v>0</v>
      </c>
      <c r="F5135" t="s">
        <v>45</v>
      </c>
      <c r="G5135" s="3">
        <f t="shared" si="614"/>
        <v>-59.286900000000003</v>
      </c>
      <c r="H5135" s="3">
        <f t="shared" si="615"/>
        <v>59.286900000000003</v>
      </c>
      <c r="I5135" s="5" t="str">
        <f t="shared" si="616"/>
        <v>018</v>
      </c>
      <c r="J5135" s="5" t="str">
        <f t="shared" si="617"/>
        <v>2220</v>
      </c>
      <c r="K5135" s="5" t="str">
        <f t="shared" si="618"/>
        <v>000</v>
      </c>
      <c r="L5135" s="5">
        <f t="shared" si="619"/>
        <v>1</v>
      </c>
      <c r="M5135" s="5">
        <f t="shared" si="620"/>
        <v>2013</v>
      </c>
    </row>
    <row r="5136" spans="1:13" ht="15" x14ac:dyDescent="0.25">
      <c r="A5136" s="1">
        <f>DATE(2013,1,2)</f>
        <v>41276</v>
      </c>
      <c r="B5136" t="s">
        <v>22</v>
      </c>
      <c r="C5136" t="s">
        <v>10</v>
      </c>
      <c r="D5136" s="3">
        <v>109.81079999999999</v>
      </c>
      <c r="E5136" s="3">
        <v>0</v>
      </c>
      <c r="F5136" t="s">
        <v>45</v>
      </c>
      <c r="G5136" s="3">
        <f t="shared" si="614"/>
        <v>-109.81079999999999</v>
      </c>
      <c r="H5136" s="3">
        <f t="shared" si="615"/>
        <v>109.81079999999999</v>
      </c>
      <c r="I5136" s="5" t="str">
        <f t="shared" si="616"/>
        <v>018</v>
      </c>
      <c r="J5136" s="5" t="str">
        <f t="shared" si="617"/>
        <v>2230</v>
      </c>
      <c r="K5136" s="5" t="str">
        <f t="shared" si="618"/>
        <v>000</v>
      </c>
      <c r="L5136" s="5">
        <f t="shared" si="619"/>
        <v>1</v>
      </c>
      <c r="M5136" s="5">
        <f t="shared" si="620"/>
        <v>2013</v>
      </c>
    </row>
    <row r="5137" spans="1:13" ht="15" x14ac:dyDescent="0.25">
      <c r="A5137" s="1">
        <f>DATE(2013,1,3)</f>
        <v>41277</v>
      </c>
      <c r="B5137" t="s">
        <v>19</v>
      </c>
      <c r="C5137" t="s">
        <v>6</v>
      </c>
      <c r="D5137" s="3">
        <v>3997.7426999999998</v>
      </c>
      <c r="E5137" s="3">
        <v>0</v>
      </c>
      <c r="F5137" t="s">
        <v>45</v>
      </c>
      <c r="G5137" s="3">
        <f t="shared" si="614"/>
        <v>-3997.7426999999998</v>
      </c>
      <c r="H5137" s="3">
        <f t="shared" si="615"/>
        <v>3997.7426999999998</v>
      </c>
      <c r="I5137" s="5" t="str">
        <f t="shared" si="616"/>
        <v>018</v>
      </c>
      <c r="J5137" s="5" t="str">
        <f t="shared" si="617"/>
        <v>2100</v>
      </c>
      <c r="K5137" s="5" t="str">
        <f t="shared" si="618"/>
        <v>000</v>
      </c>
      <c r="L5137" s="5">
        <f t="shared" si="619"/>
        <v>1</v>
      </c>
      <c r="M5137" s="5">
        <f t="shared" si="620"/>
        <v>2013</v>
      </c>
    </row>
    <row r="5138" spans="1:13" ht="15" x14ac:dyDescent="0.25">
      <c r="A5138" s="1">
        <f>DATE(2013,1,3)</f>
        <v>41277</v>
      </c>
      <c r="B5138" t="s">
        <v>20</v>
      </c>
      <c r="C5138" t="s">
        <v>8</v>
      </c>
      <c r="D5138" s="3">
        <v>886.04399999999998</v>
      </c>
      <c r="E5138" s="3">
        <v>0</v>
      </c>
      <c r="F5138" t="s">
        <v>45</v>
      </c>
      <c r="G5138" s="3">
        <f t="shared" si="614"/>
        <v>-886.04399999999998</v>
      </c>
      <c r="H5138" s="3">
        <f t="shared" si="615"/>
        <v>886.04399999999998</v>
      </c>
      <c r="I5138" s="5" t="str">
        <f t="shared" si="616"/>
        <v>018</v>
      </c>
      <c r="J5138" s="5" t="str">
        <f t="shared" si="617"/>
        <v>2210</v>
      </c>
      <c r="K5138" s="5" t="str">
        <f t="shared" si="618"/>
        <v>000</v>
      </c>
      <c r="L5138" s="5">
        <f t="shared" si="619"/>
        <v>1</v>
      </c>
      <c r="M5138" s="5">
        <f t="shared" si="620"/>
        <v>2013</v>
      </c>
    </row>
    <row r="5139" spans="1:13" ht="15" x14ac:dyDescent="0.25">
      <c r="A5139" s="1">
        <f>DATE(2013,1,3)</f>
        <v>41277</v>
      </c>
      <c r="B5139" t="s">
        <v>21</v>
      </c>
      <c r="C5139" t="s">
        <v>9</v>
      </c>
      <c r="D5139" s="3">
        <v>143.03459999999998</v>
      </c>
      <c r="E5139" s="3">
        <v>0</v>
      </c>
      <c r="F5139" t="s">
        <v>45</v>
      </c>
      <c r="G5139" s="3">
        <f t="shared" si="614"/>
        <v>-143.03459999999998</v>
      </c>
      <c r="H5139" s="3">
        <f t="shared" si="615"/>
        <v>143.03459999999998</v>
      </c>
      <c r="I5139" s="5" t="str">
        <f t="shared" si="616"/>
        <v>018</v>
      </c>
      <c r="J5139" s="5" t="str">
        <f t="shared" si="617"/>
        <v>2220</v>
      </c>
      <c r="K5139" s="5" t="str">
        <f t="shared" si="618"/>
        <v>000</v>
      </c>
      <c r="L5139" s="5">
        <f t="shared" si="619"/>
        <v>1</v>
      </c>
      <c r="M5139" s="5">
        <f t="shared" si="620"/>
        <v>2013</v>
      </c>
    </row>
    <row r="5140" spans="1:13" ht="15" x14ac:dyDescent="0.25">
      <c r="A5140" s="1">
        <f>DATE(2013,1,3)</f>
        <v>41277</v>
      </c>
      <c r="B5140" t="s">
        <v>22</v>
      </c>
      <c r="C5140" t="s">
        <v>10</v>
      </c>
      <c r="D5140" s="3">
        <v>6.2322000000000006</v>
      </c>
      <c r="E5140" s="3">
        <v>0</v>
      </c>
      <c r="F5140" t="s">
        <v>45</v>
      </c>
      <c r="G5140" s="3">
        <f t="shared" si="614"/>
        <v>-6.2322000000000006</v>
      </c>
      <c r="H5140" s="3">
        <f t="shared" si="615"/>
        <v>6.2322000000000006</v>
      </c>
      <c r="I5140" s="5" t="str">
        <f t="shared" si="616"/>
        <v>018</v>
      </c>
      <c r="J5140" s="5" t="str">
        <f t="shared" si="617"/>
        <v>2230</v>
      </c>
      <c r="K5140" s="5" t="str">
        <f t="shared" si="618"/>
        <v>000</v>
      </c>
      <c r="L5140" s="5">
        <f t="shared" si="619"/>
        <v>1</v>
      </c>
      <c r="M5140" s="5">
        <f t="shared" si="620"/>
        <v>2013</v>
      </c>
    </row>
    <row r="5141" spans="1:13" ht="15" x14ac:dyDescent="0.25">
      <c r="A5141" s="1">
        <f>DATE(2013,1,4)</f>
        <v>41278</v>
      </c>
      <c r="B5141" t="s">
        <v>19</v>
      </c>
      <c r="C5141" t="s">
        <v>6</v>
      </c>
      <c r="D5141" s="3">
        <v>9671.7321000000011</v>
      </c>
      <c r="E5141" s="3">
        <v>0</v>
      </c>
      <c r="F5141" t="s">
        <v>45</v>
      </c>
      <c r="G5141" s="3">
        <f t="shared" si="614"/>
        <v>-9671.7321000000011</v>
      </c>
      <c r="H5141" s="3">
        <f t="shared" si="615"/>
        <v>9671.7321000000011</v>
      </c>
      <c r="I5141" s="5" t="str">
        <f t="shared" si="616"/>
        <v>018</v>
      </c>
      <c r="J5141" s="5" t="str">
        <f t="shared" si="617"/>
        <v>2100</v>
      </c>
      <c r="K5141" s="5" t="str">
        <f t="shared" si="618"/>
        <v>000</v>
      </c>
      <c r="L5141" s="5">
        <f t="shared" si="619"/>
        <v>1</v>
      </c>
      <c r="M5141" s="5">
        <f t="shared" si="620"/>
        <v>2013</v>
      </c>
    </row>
    <row r="5142" spans="1:13" ht="15" x14ac:dyDescent="0.25">
      <c r="A5142" s="1">
        <f>DATE(2013,1,4)</f>
        <v>41278</v>
      </c>
      <c r="B5142" t="s">
        <v>20</v>
      </c>
      <c r="C5142" t="s">
        <v>8</v>
      </c>
      <c r="D5142" s="3">
        <v>2279.5415999999996</v>
      </c>
      <c r="E5142" s="3">
        <v>0</v>
      </c>
      <c r="F5142" t="s">
        <v>45</v>
      </c>
      <c r="G5142" s="3">
        <f t="shared" si="614"/>
        <v>-2279.5415999999996</v>
      </c>
      <c r="H5142" s="3">
        <f t="shared" si="615"/>
        <v>2279.5415999999996</v>
      </c>
      <c r="I5142" s="5" t="str">
        <f t="shared" si="616"/>
        <v>018</v>
      </c>
      <c r="J5142" s="5" t="str">
        <f t="shared" si="617"/>
        <v>2210</v>
      </c>
      <c r="K5142" s="5" t="str">
        <f t="shared" si="618"/>
        <v>000</v>
      </c>
      <c r="L5142" s="5">
        <f t="shared" si="619"/>
        <v>1</v>
      </c>
      <c r="M5142" s="5">
        <f t="shared" si="620"/>
        <v>2013</v>
      </c>
    </row>
    <row r="5143" spans="1:13" ht="15" x14ac:dyDescent="0.25">
      <c r="A5143" s="1">
        <f>DATE(2013,1,4)</f>
        <v>41278</v>
      </c>
      <c r="B5143" t="s">
        <v>21</v>
      </c>
      <c r="C5143" t="s">
        <v>9</v>
      </c>
      <c r="D5143" s="3">
        <v>467.15140000000002</v>
      </c>
      <c r="E5143" s="3">
        <v>0</v>
      </c>
      <c r="F5143" t="s">
        <v>45</v>
      </c>
      <c r="G5143" s="3">
        <f t="shared" si="614"/>
        <v>-467.15140000000002</v>
      </c>
      <c r="H5143" s="3">
        <f t="shared" si="615"/>
        <v>467.15140000000002</v>
      </c>
      <c r="I5143" s="5" t="str">
        <f t="shared" si="616"/>
        <v>018</v>
      </c>
      <c r="J5143" s="5" t="str">
        <f t="shared" si="617"/>
        <v>2220</v>
      </c>
      <c r="K5143" s="5" t="str">
        <f t="shared" si="618"/>
        <v>000</v>
      </c>
      <c r="L5143" s="5">
        <f t="shared" si="619"/>
        <v>1</v>
      </c>
      <c r="M5143" s="5">
        <f t="shared" si="620"/>
        <v>2013</v>
      </c>
    </row>
    <row r="5144" spans="1:13" ht="15" x14ac:dyDescent="0.25">
      <c r="A5144" s="1">
        <f>DATE(2013,1,4)</f>
        <v>41278</v>
      </c>
      <c r="B5144" t="s">
        <v>22</v>
      </c>
      <c r="C5144" t="s">
        <v>10</v>
      </c>
      <c r="D5144" s="3">
        <v>145.5684</v>
      </c>
      <c r="E5144" s="3">
        <v>0</v>
      </c>
      <c r="F5144" t="s">
        <v>45</v>
      </c>
      <c r="G5144" s="3">
        <f t="shared" si="614"/>
        <v>-145.5684</v>
      </c>
      <c r="H5144" s="3">
        <f t="shared" si="615"/>
        <v>145.5684</v>
      </c>
      <c r="I5144" s="5" t="str">
        <f t="shared" si="616"/>
        <v>018</v>
      </c>
      <c r="J5144" s="5" t="str">
        <f t="shared" si="617"/>
        <v>2230</v>
      </c>
      <c r="K5144" s="5" t="str">
        <f t="shared" si="618"/>
        <v>000</v>
      </c>
      <c r="L5144" s="5">
        <f t="shared" si="619"/>
        <v>1</v>
      </c>
      <c r="M5144" s="5">
        <f t="shared" si="620"/>
        <v>2013</v>
      </c>
    </row>
    <row r="5145" spans="1:13" ht="15" x14ac:dyDescent="0.25">
      <c r="A5145" s="1">
        <f>DATE(2013,1,5)</f>
        <v>41279</v>
      </c>
      <c r="B5145" t="s">
        <v>19</v>
      </c>
      <c r="C5145" t="s">
        <v>6</v>
      </c>
      <c r="D5145" s="3">
        <v>15242.035199999998</v>
      </c>
      <c r="E5145" s="3">
        <v>0</v>
      </c>
      <c r="F5145" t="s">
        <v>45</v>
      </c>
      <c r="G5145" s="3">
        <f t="shared" si="614"/>
        <v>-15242.035199999998</v>
      </c>
      <c r="H5145" s="3">
        <f t="shared" si="615"/>
        <v>15242.035199999998</v>
      </c>
      <c r="I5145" s="5" t="str">
        <f t="shared" si="616"/>
        <v>018</v>
      </c>
      <c r="J5145" s="5" t="str">
        <f t="shared" si="617"/>
        <v>2100</v>
      </c>
      <c r="K5145" s="5" t="str">
        <f t="shared" si="618"/>
        <v>000</v>
      </c>
      <c r="L5145" s="5">
        <f t="shared" si="619"/>
        <v>1</v>
      </c>
      <c r="M5145" s="5">
        <f t="shared" si="620"/>
        <v>2013</v>
      </c>
    </row>
    <row r="5146" spans="1:13" ht="15" x14ac:dyDescent="0.25">
      <c r="A5146" s="1">
        <f>DATE(2013,1,5)</f>
        <v>41279</v>
      </c>
      <c r="B5146" t="s">
        <v>20</v>
      </c>
      <c r="C5146" t="s">
        <v>8</v>
      </c>
      <c r="D5146" s="3">
        <v>2785.3272000000002</v>
      </c>
      <c r="E5146" s="3">
        <v>0</v>
      </c>
      <c r="F5146" t="s">
        <v>45</v>
      </c>
      <c r="G5146" s="3">
        <f t="shared" si="614"/>
        <v>-2785.3272000000002</v>
      </c>
      <c r="H5146" s="3">
        <f t="shared" si="615"/>
        <v>2785.3272000000002</v>
      </c>
      <c r="I5146" s="5" t="str">
        <f t="shared" si="616"/>
        <v>018</v>
      </c>
      <c r="J5146" s="5" t="str">
        <f t="shared" si="617"/>
        <v>2210</v>
      </c>
      <c r="K5146" s="5" t="str">
        <f t="shared" si="618"/>
        <v>000</v>
      </c>
      <c r="L5146" s="5">
        <f t="shared" si="619"/>
        <v>1</v>
      </c>
      <c r="M5146" s="5">
        <f t="shared" si="620"/>
        <v>2013</v>
      </c>
    </row>
    <row r="5147" spans="1:13" ht="15" x14ac:dyDescent="0.25">
      <c r="A5147" s="1">
        <f>DATE(2013,1,5)</f>
        <v>41279</v>
      </c>
      <c r="B5147" t="s">
        <v>21</v>
      </c>
      <c r="C5147" t="s">
        <v>9</v>
      </c>
      <c r="D5147" s="3">
        <v>827.7056</v>
      </c>
      <c r="E5147" s="3">
        <v>0</v>
      </c>
      <c r="F5147" t="s">
        <v>45</v>
      </c>
      <c r="G5147" s="3">
        <f t="shared" si="614"/>
        <v>-827.7056</v>
      </c>
      <c r="H5147" s="3">
        <f t="shared" si="615"/>
        <v>827.7056</v>
      </c>
      <c r="I5147" s="5" t="str">
        <f t="shared" si="616"/>
        <v>018</v>
      </c>
      <c r="J5147" s="5" t="str">
        <f t="shared" si="617"/>
        <v>2220</v>
      </c>
      <c r="K5147" s="5" t="str">
        <f t="shared" si="618"/>
        <v>000</v>
      </c>
      <c r="L5147" s="5">
        <f t="shared" si="619"/>
        <v>1</v>
      </c>
      <c r="M5147" s="5">
        <f t="shared" si="620"/>
        <v>2013</v>
      </c>
    </row>
    <row r="5148" spans="1:13" ht="15" x14ac:dyDescent="0.25">
      <c r="A5148" s="1">
        <f>DATE(2013,1,5)</f>
        <v>41279</v>
      </c>
      <c r="B5148" t="s">
        <v>22</v>
      </c>
      <c r="C5148" t="s">
        <v>10</v>
      </c>
      <c r="D5148" s="3">
        <v>62.485200000000006</v>
      </c>
      <c r="E5148" s="3">
        <v>0</v>
      </c>
      <c r="F5148" t="s">
        <v>45</v>
      </c>
      <c r="G5148" s="3">
        <f t="shared" si="614"/>
        <v>-62.485200000000006</v>
      </c>
      <c r="H5148" s="3">
        <f t="shared" si="615"/>
        <v>62.485200000000006</v>
      </c>
      <c r="I5148" s="5" t="str">
        <f t="shared" si="616"/>
        <v>018</v>
      </c>
      <c r="J5148" s="5" t="str">
        <f t="shared" si="617"/>
        <v>2230</v>
      </c>
      <c r="K5148" s="5" t="str">
        <f t="shared" si="618"/>
        <v>000</v>
      </c>
      <c r="L5148" s="5">
        <f t="shared" si="619"/>
        <v>1</v>
      </c>
      <c r="M5148" s="5">
        <f t="shared" si="620"/>
        <v>2013</v>
      </c>
    </row>
    <row r="5149" spans="1:13" ht="15" x14ac:dyDescent="0.25">
      <c r="A5149" s="1">
        <f>DATE(2013,1,6)</f>
        <v>41280</v>
      </c>
      <c r="B5149" t="s">
        <v>19</v>
      </c>
      <c r="C5149" t="s">
        <v>6</v>
      </c>
      <c r="D5149" s="3">
        <v>8104.1223999999993</v>
      </c>
      <c r="E5149" s="3">
        <v>0</v>
      </c>
      <c r="F5149" t="s">
        <v>45</v>
      </c>
      <c r="G5149" s="3">
        <f t="shared" si="614"/>
        <v>-8104.1223999999993</v>
      </c>
      <c r="H5149" s="3">
        <f t="shared" si="615"/>
        <v>8104.1223999999993</v>
      </c>
      <c r="I5149" s="5" t="str">
        <f t="shared" si="616"/>
        <v>018</v>
      </c>
      <c r="J5149" s="5" t="str">
        <f t="shared" si="617"/>
        <v>2100</v>
      </c>
      <c r="K5149" s="5" t="str">
        <f t="shared" si="618"/>
        <v>000</v>
      </c>
      <c r="L5149" s="5">
        <f t="shared" si="619"/>
        <v>1</v>
      </c>
      <c r="M5149" s="5">
        <f t="shared" si="620"/>
        <v>2013</v>
      </c>
    </row>
    <row r="5150" spans="1:13" ht="15" x14ac:dyDescent="0.25">
      <c r="A5150" s="1">
        <f>DATE(2013,1,6)</f>
        <v>41280</v>
      </c>
      <c r="B5150" t="s">
        <v>20</v>
      </c>
      <c r="C5150" t="s">
        <v>8</v>
      </c>
      <c r="D5150" s="3">
        <v>909.43739999999991</v>
      </c>
      <c r="E5150" s="3">
        <v>0</v>
      </c>
      <c r="F5150" t="s">
        <v>45</v>
      </c>
      <c r="G5150" s="3">
        <f t="shared" si="614"/>
        <v>-909.43739999999991</v>
      </c>
      <c r="H5150" s="3">
        <f t="shared" si="615"/>
        <v>909.43739999999991</v>
      </c>
      <c r="I5150" s="5" t="str">
        <f t="shared" si="616"/>
        <v>018</v>
      </c>
      <c r="J5150" s="5" t="str">
        <f t="shared" si="617"/>
        <v>2210</v>
      </c>
      <c r="K5150" s="5" t="str">
        <f t="shared" si="618"/>
        <v>000</v>
      </c>
      <c r="L5150" s="5">
        <f t="shared" si="619"/>
        <v>1</v>
      </c>
      <c r="M5150" s="5">
        <f t="shared" si="620"/>
        <v>2013</v>
      </c>
    </row>
    <row r="5151" spans="1:13" ht="15" x14ac:dyDescent="0.25">
      <c r="A5151" s="1">
        <f>DATE(2013,1,6)</f>
        <v>41280</v>
      </c>
      <c r="B5151" t="s">
        <v>21</v>
      </c>
      <c r="C5151" t="s">
        <v>9</v>
      </c>
      <c r="D5151" s="3">
        <v>179.18550000000002</v>
      </c>
      <c r="E5151" s="3">
        <v>0</v>
      </c>
      <c r="F5151" t="s">
        <v>45</v>
      </c>
      <c r="G5151" s="3">
        <f t="shared" si="614"/>
        <v>-179.18550000000002</v>
      </c>
      <c r="H5151" s="3">
        <f t="shared" si="615"/>
        <v>179.18550000000002</v>
      </c>
      <c r="I5151" s="5" t="str">
        <f t="shared" si="616"/>
        <v>018</v>
      </c>
      <c r="J5151" s="5" t="str">
        <f t="shared" si="617"/>
        <v>2220</v>
      </c>
      <c r="K5151" s="5" t="str">
        <f t="shared" si="618"/>
        <v>000</v>
      </c>
      <c r="L5151" s="5">
        <f t="shared" si="619"/>
        <v>1</v>
      </c>
      <c r="M5151" s="5">
        <f t="shared" si="620"/>
        <v>2013</v>
      </c>
    </row>
    <row r="5152" spans="1:13" ht="15" x14ac:dyDescent="0.25">
      <c r="A5152" s="1">
        <f>DATE(2013,1,6)</f>
        <v>41280</v>
      </c>
      <c r="B5152" t="s">
        <v>22</v>
      </c>
      <c r="C5152" t="s">
        <v>10</v>
      </c>
      <c r="D5152" s="3">
        <v>45.525199999999998</v>
      </c>
      <c r="E5152" s="3">
        <v>0</v>
      </c>
      <c r="F5152" t="s">
        <v>45</v>
      </c>
      <c r="G5152" s="3">
        <f t="shared" si="614"/>
        <v>-45.525199999999998</v>
      </c>
      <c r="H5152" s="3">
        <f t="shared" si="615"/>
        <v>45.525199999999998</v>
      </c>
      <c r="I5152" s="5" t="str">
        <f t="shared" si="616"/>
        <v>018</v>
      </c>
      <c r="J5152" s="5" t="str">
        <f t="shared" si="617"/>
        <v>2230</v>
      </c>
      <c r="K5152" s="5" t="str">
        <f t="shared" si="618"/>
        <v>000</v>
      </c>
      <c r="L5152" s="5">
        <f t="shared" si="619"/>
        <v>1</v>
      </c>
      <c r="M5152" s="5">
        <f t="shared" si="620"/>
        <v>2013</v>
      </c>
    </row>
    <row r="5153" spans="1:13" ht="15" x14ac:dyDescent="0.25">
      <c r="A5153" s="1">
        <f>DATE(2012,12,31)</f>
        <v>41274</v>
      </c>
      <c r="B5153" t="s">
        <v>19</v>
      </c>
      <c r="C5153" t="s">
        <v>6</v>
      </c>
      <c r="D5153" s="3">
        <v>8910.1427999999996</v>
      </c>
      <c r="E5153" s="3">
        <v>0</v>
      </c>
      <c r="F5153" t="s">
        <v>45</v>
      </c>
      <c r="G5153" s="3">
        <f t="shared" si="614"/>
        <v>-8910.1427999999996</v>
      </c>
      <c r="H5153" s="3">
        <f t="shared" si="615"/>
        <v>8910.1427999999996</v>
      </c>
      <c r="I5153" s="5" t="str">
        <f t="shared" si="616"/>
        <v>018</v>
      </c>
      <c r="J5153" s="5" t="str">
        <f t="shared" si="617"/>
        <v>2100</v>
      </c>
      <c r="K5153" s="5" t="str">
        <f t="shared" si="618"/>
        <v>000</v>
      </c>
      <c r="L5153" s="5">
        <f t="shared" si="619"/>
        <v>12</v>
      </c>
      <c r="M5153" s="5">
        <f t="shared" si="620"/>
        <v>2012</v>
      </c>
    </row>
    <row r="5154" spans="1:13" ht="15" x14ac:dyDescent="0.25">
      <c r="A5154" s="1">
        <f>DATE(2012,12,31)</f>
        <v>41274</v>
      </c>
      <c r="B5154" t="s">
        <v>20</v>
      </c>
      <c r="C5154" t="s">
        <v>8</v>
      </c>
      <c r="D5154" s="3">
        <v>1421.5619999999999</v>
      </c>
      <c r="E5154" s="3">
        <v>0</v>
      </c>
      <c r="F5154" t="s">
        <v>45</v>
      </c>
      <c r="G5154" s="3">
        <f t="shared" si="614"/>
        <v>-1421.5619999999999</v>
      </c>
      <c r="H5154" s="3">
        <f t="shared" si="615"/>
        <v>1421.5619999999999</v>
      </c>
      <c r="I5154" s="5" t="str">
        <f t="shared" si="616"/>
        <v>018</v>
      </c>
      <c r="J5154" s="5" t="str">
        <f t="shared" si="617"/>
        <v>2210</v>
      </c>
      <c r="K5154" s="5" t="str">
        <f t="shared" si="618"/>
        <v>000</v>
      </c>
      <c r="L5154" s="5">
        <f t="shared" si="619"/>
        <v>12</v>
      </c>
      <c r="M5154" s="5">
        <f t="shared" si="620"/>
        <v>2012</v>
      </c>
    </row>
    <row r="5155" spans="1:13" ht="15" x14ac:dyDescent="0.25">
      <c r="A5155" s="1">
        <f>DATE(2012,12,31)</f>
        <v>41274</v>
      </c>
      <c r="B5155" t="s">
        <v>21</v>
      </c>
      <c r="C5155" t="s">
        <v>9</v>
      </c>
      <c r="D5155" s="3">
        <v>416.74600000000004</v>
      </c>
      <c r="E5155" s="3">
        <v>0</v>
      </c>
      <c r="F5155" t="s">
        <v>45</v>
      </c>
      <c r="G5155" s="3">
        <f t="shared" si="614"/>
        <v>-416.74600000000004</v>
      </c>
      <c r="H5155" s="3">
        <f t="shared" si="615"/>
        <v>416.74600000000004</v>
      </c>
      <c r="I5155" s="5" t="str">
        <f t="shared" si="616"/>
        <v>018</v>
      </c>
      <c r="J5155" s="5" t="str">
        <f t="shared" si="617"/>
        <v>2220</v>
      </c>
      <c r="K5155" s="5" t="str">
        <f t="shared" si="618"/>
        <v>000</v>
      </c>
      <c r="L5155" s="5">
        <f t="shared" si="619"/>
        <v>12</v>
      </c>
      <c r="M5155" s="5">
        <f t="shared" si="620"/>
        <v>2012</v>
      </c>
    </row>
    <row r="5156" spans="1:13" ht="15" x14ac:dyDescent="0.25">
      <c r="A5156" s="1">
        <f>DATE(2012,12,31)</f>
        <v>41274</v>
      </c>
      <c r="B5156" t="s">
        <v>22</v>
      </c>
      <c r="C5156" t="s">
        <v>10</v>
      </c>
      <c r="D5156" s="3">
        <v>139.98420000000002</v>
      </c>
      <c r="E5156" s="3">
        <v>0</v>
      </c>
      <c r="F5156" t="s">
        <v>45</v>
      </c>
      <c r="G5156" s="3">
        <f t="shared" si="614"/>
        <v>-139.98420000000002</v>
      </c>
      <c r="H5156" s="3">
        <f t="shared" si="615"/>
        <v>139.98420000000002</v>
      </c>
      <c r="I5156" s="5" t="str">
        <f t="shared" si="616"/>
        <v>018</v>
      </c>
      <c r="J5156" s="5" t="str">
        <f t="shared" si="617"/>
        <v>2230</v>
      </c>
      <c r="K5156" s="5" t="str">
        <f t="shared" si="618"/>
        <v>000</v>
      </c>
      <c r="L5156" s="5">
        <f t="shared" si="619"/>
        <v>12</v>
      </c>
      <c r="M5156" s="5">
        <f t="shared" si="620"/>
        <v>2012</v>
      </c>
    </row>
    <row r="5157" spans="1:13" ht="15" x14ac:dyDescent="0.25">
      <c r="A5157" s="1">
        <f>DATE(2013,1,7)</f>
        <v>41281</v>
      </c>
      <c r="B5157" t="s">
        <v>11</v>
      </c>
      <c r="C5157" t="s">
        <v>6</v>
      </c>
      <c r="D5157" s="3">
        <v>1992.441</v>
      </c>
      <c r="E5157" s="3">
        <v>0</v>
      </c>
      <c r="F5157" t="s">
        <v>45</v>
      </c>
      <c r="G5157" s="3">
        <f t="shared" si="614"/>
        <v>-1992.441</v>
      </c>
      <c r="H5157" s="3">
        <f t="shared" si="615"/>
        <v>1992.441</v>
      </c>
      <c r="I5157" s="5" t="str">
        <f t="shared" si="616"/>
        <v>016</v>
      </c>
      <c r="J5157" s="5" t="str">
        <f t="shared" si="617"/>
        <v>2100</v>
      </c>
      <c r="K5157" s="5" t="str">
        <f t="shared" si="618"/>
        <v>000</v>
      </c>
      <c r="L5157" s="5">
        <f t="shared" si="619"/>
        <v>1</v>
      </c>
      <c r="M5157" s="5">
        <f t="shared" si="620"/>
        <v>2013</v>
      </c>
    </row>
    <row r="5158" spans="1:13" ht="15" x14ac:dyDescent="0.25">
      <c r="A5158" s="1">
        <f>DATE(2013,1,7)</f>
        <v>41281</v>
      </c>
      <c r="B5158" t="s">
        <v>12</v>
      </c>
      <c r="C5158" t="s">
        <v>8</v>
      </c>
      <c r="D5158" s="3">
        <v>564.89300000000003</v>
      </c>
      <c r="E5158" s="3">
        <v>0</v>
      </c>
      <c r="F5158" t="s">
        <v>45</v>
      </c>
      <c r="G5158" s="3">
        <f t="shared" si="614"/>
        <v>-564.89300000000003</v>
      </c>
      <c r="H5158" s="3">
        <f t="shared" si="615"/>
        <v>564.89300000000003</v>
      </c>
      <c r="I5158" s="5" t="str">
        <f t="shared" si="616"/>
        <v>016</v>
      </c>
      <c r="J5158" s="5" t="str">
        <f t="shared" si="617"/>
        <v>2210</v>
      </c>
      <c r="K5158" s="5" t="str">
        <f t="shared" si="618"/>
        <v>000</v>
      </c>
      <c r="L5158" s="5">
        <f t="shared" si="619"/>
        <v>1</v>
      </c>
      <c r="M5158" s="5">
        <f t="shared" si="620"/>
        <v>2013</v>
      </c>
    </row>
    <row r="5159" spans="1:13" ht="15" x14ac:dyDescent="0.25">
      <c r="A5159" s="1">
        <f>DATE(2013,1,7)</f>
        <v>41281</v>
      </c>
      <c r="B5159" t="s">
        <v>13</v>
      </c>
      <c r="C5159" t="s">
        <v>9</v>
      </c>
      <c r="D5159" s="3">
        <v>148.98240000000001</v>
      </c>
      <c r="E5159" s="3">
        <v>0</v>
      </c>
      <c r="F5159" t="s">
        <v>45</v>
      </c>
      <c r="G5159" s="3">
        <f t="shared" si="614"/>
        <v>-148.98240000000001</v>
      </c>
      <c r="H5159" s="3">
        <f t="shared" si="615"/>
        <v>148.98240000000001</v>
      </c>
      <c r="I5159" s="5" t="str">
        <f t="shared" si="616"/>
        <v>016</v>
      </c>
      <c r="J5159" s="5" t="str">
        <f t="shared" si="617"/>
        <v>2220</v>
      </c>
      <c r="K5159" s="5" t="str">
        <f t="shared" si="618"/>
        <v>000</v>
      </c>
      <c r="L5159" s="5">
        <f t="shared" si="619"/>
        <v>1</v>
      </c>
      <c r="M5159" s="5">
        <f t="shared" si="620"/>
        <v>2013</v>
      </c>
    </row>
    <row r="5160" spans="1:13" ht="15" x14ac:dyDescent="0.25">
      <c r="A5160" s="1">
        <f>DATE(2013,1,7)</f>
        <v>41281</v>
      </c>
      <c r="B5160" t="s">
        <v>14</v>
      </c>
      <c r="C5160" t="s">
        <v>10</v>
      </c>
      <c r="D5160" s="3">
        <v>13.8474</v>
      </c>
      <c r="E5160" s="3">
        <v>0</v>
      </c>
      <c r="F5160" t="s">
        <v>45</v>
      </c>
      <c r="G5160" s="3">
        <f t="shared" si="614"/>
        <v>-13.8474</v>
      </c>
      <c r="H5160" s="3">
        <f t="shared" si="615"/>
        <v>13.8474</v>
      </c>
      <c r="I5160" s="5" t="str">
        <f t="shared" si="616"/>
        <v>016</v>
      </c>
      <c r="J5160" s="5" t="str">
        <f t="shared" si="617"/>
        <v>2230</v>
      </c>
      <c r="K5160" s="5" t="str">
        <f t="shared" si="618"/>
        <v>000</v>
      </c>
      <c r="L5160" s="5">
        <f t="shared" si="619"/>
        <v>1</v>
      </c>
      <c r="M5160" s="5">
        <f t="shared" si="620"/>
        <v>2013</v>
      </c>
    </row>
    <row r="5161" spans="1:13" ht="15" x14ac:dyDescent="0.25">
      <c r="A5161" s="1">
        <f>DATE(2013,1,8)</f>
        <v>41282</v>
      </c>
      <c r="B5161" t="s">
        <v>11</v>
      </c>
      <c r="C5161" t="s">
        <v>6</v>
      </c>
      <c r="D5161" s="3">
        <v>4546.4809999999998</v>
      </c>
      <c r="E5161" s="3">
        <v>0</v>
      </c>
      <c r="F5161" t="s">
        <v>45</v>
      </c>
      <c r="G5161" s="3">
        <f t="shared" si="614"/>
        <v>-4546.4809999999998</v>
      </c>
      <c r="H5161" s="3">
        <f t="shared" si="615"/>
        <v>4546.4809999999998</v>
      </c>
      <c r="I5161" s="5" t="str">
        <f t="shared" si="616"/>
        <v>016</v>
      </c>
      <c r="J5161" s="5" t="str">
        <f t="shared" si="617"/>
        <v>2100</v>
      </c>
      <c r="K5161" s="5" t="str">
        <f t="shared" si="618"/>
        <v>000</v>
      </c>
      <c r="L5161" s="5">
        <f t="shared" si="619"/>
        <v>1</v>
      </c>
      <c r="M5161" s="5">
        <f t="shared" si="620"/>
        <v>2013</v>
      </c>
    </row>
    <row r="5162" spans="1:13" ht="15" x14ac:dyDescent="0.25">
      <c r="A5162" s="1">
        <f>DATE(2013,1,8)</f>
        <v>41282</v>
      </c>
      <c r="B5162" t="s">
        <v>12</v>
      </c>
      <c r="C5162" t="s">
        <v>8</v>
      </c>
      <c r="D5162" s="3">
        <v>2090.7000000000003</v>
      </c>
      <c r="E5162" s="3">
        <v>0</v>
      </c>
      <c r="F5162" t="s">
        <v>45</v>
      </c>
      <c r="G5162" s="3">
        <f t="shared" si="614"/>
        <v>-2090.7000000000003</v>
      </c>
      <c r="H5162" s="3">
        <f t="shared" si="615"/>
        <v>2090.7000000000003</v>
      </c>
      <c r="I5162" s="5" t="str">
        <f t="shared" si="616"/>
        <v>016</v>
      </c>
      <c r="J5162" s="5" t="str">
        <f t="shared" si="617"/>
        <v>2210</v>
      </c>
      <c r="K5162" s="5" t="str">
        <f t="shared" si="618"/>
        <v>000</v>
      </c>
      <c r="L5162" s="5">
        <f t="shared" si="619"/>
        <v>1</v>
      </c>
      <c r="M5162" s="5">
        <f t="shared" si="620"/>
        <v>2013</v>
      </c>
    </row>
    <row r="5163" spans="1:13" ht="15" x14ac:dyDescent="0.25">
      <c r="A5163" s="1">
        <f>DATE(2013,1,8)</f>
        <v>41282</v>
      </c>
      <c r="B5163" t="s">
        <v>13</v>
      </c>
      <c r="C5163" t="s">
        <v>9</v>
      </c>
      <c r="D5163" s="3">
        <v>471.76199999999994</v>
      </c>
      <c r="E5163" s="3">
        <v>0</v>
      </c>
      <c r="F5163" t="s">
        <v>45</v>
      </c>
      <c r="G5163" s="3">
        <f t="shared" si="614"/>
        <v>-471.76199999999994</v>
      </c>
      <c r="H5163" s="3">
        <f t="shared" si="615"/>
        <v>471.76199999999994</v>
      </c>
      <c r="I5163" s="5" t="str">
        <f t="shared" si="616"/>
        <v>016</v>
      </c>
      <c r="J5163" s="5" t="str">
        <f t="shared" si="617"/>
        <v>2220</v>
      </c>
      <c r="K5163" s="5" t="str">
        <f t="shared" si="618"/>
        <v>000</v>
      </c>
      <c r="L5163" s="5">
        <f t="shared" si="619"/>
        <v>1</v>
      </c>
      <c r="M5163" s="5">
        <f t="shared" si="620"/>
        <v>2013</v>
      </c>
    </row>
    <row r="5164" spans="1:13" ht="15" x14ac:dyDescent="0.25">
      <c r="A5164" s="1">
        <f>DATE(2013,1,8)</f>
        <v>41282</v>
      </c>
      <c r="B5164" t="s">
        <v>14</v>
      </c>
      <c r="C5164" t="s">
        <v>10</v>
      </c>
      <c r="D5164" s="3">
        <v>135.04319999999998</v>
      </c>
      <c r="E5164" s="3">
        <v>0</v>
      </c>
      <c r="F5164" t="s">
        <v>45</v>
      </c>
      <c r="G5164" s="3">
        <f t="shared" si="614"/>
        <v>-135.04319999999998</v>
      </c>
      <c r="H5164" s="3">
        <f t="shared" si="615"/>
        <v>135.04319999999998</v>
      </c>
      <c r="I5164" s="5" t="str">
        <f t="shared" si="616"/>
        <v>016</v>
      </c>
      <c r="J5164" s="5" t="str">
        <f t="shared" si="617"/>
        <v>2230</v>
      </c>
      <c r="K5164" s="5" t="str">
        <f t="shared" si="618"/>
        <v>000</v>
      </c>
      <c r="L5164" s="5">
        <f t="shared" si="619"/>
        <v>1</v>
      </c>
      <c r="M5164" s="5">
        <f t="shared" si="620"/>
        <v>2013</v>
      </c>
    </row>
    <row r="5165" spans="1:13" ht="15" x14ac:dyDescent="0.25">
      <c r="A5165" s="1">
        <f>DATE(2013,1,9)</f>
        <v>41283</v>
      </c>
      <c r="B5165" t="s">
        <v>11</v>
      </c>
      <c r="C5165" t="s">
        <v>6</v>
      </c>
      <c r="D5165" s="3">
        <v>3351.4344000000001</v>
      </c>
      <c r="E5165" s="3">
        <v>0</v>
      </c>
      <c r="F5165" t="s">
        <v>45</v>
      </c>
      <c r="G5165" s="3">
        <f t="shared" si="614"/>
        <v>-3351.4344000000001</v>
      </c>
      <c r="H5165" s="3">
        <f t="shared" si="615"/>
        <v>3351.4344000000001</v>
      </c>
      <c r="I5165" s="5" t="str">
        <f t="shared" si="616"/>
        <v>016</v>
      </c>
      <c r="J5165" s="5" t="str">
        <f t="shared" si="617"/>
        <v>2100</v>
      </c>
      <c r="K5165" s="5" t="str">
        <f t="shared" si="618"/>
        <v>000</v>
      </c>
      <c r="L5165" s="5">
        <f t="shared" si="619"/>
        <v>1</v>
      </c>
      <c r="M5165" s="5">
        <f t="shared" si="620"/>
        <v>2013</v>
      </c>
    </row>
    <row r="5166" spans="1:13" ht="15" x14ac:dyDescent="0.25">
      <c r="A5166" s="1">
        <f>DATE(2013,1,9)</f>
        <v>41283</v>
      </c>
      <c r="B5166" t="s">
        <v>12</v>
      </c>
      <c r="C5166" t="s">
        <v>8</v>
      </c>
      <c r="D5166" s="3">
        <v>829.18550000000005</v>
      </c>
      <c r="E5166" s="3">
        <v>0</v>
      </c>
      <c r="F5166" t="s">
        <v>45</v>
      </c>
      <c r="G5166" s="3">
        <f t="shared" si="614"/>
        <v>-829.18550000000005</v>
      </c>
      <c r="H5166" s="3">
        <f t="shared" si="615"/>
        <v>829.18550000000005</v>
      </c>
      <c r="I5166" s="5" t="str">
        <f t="shared" si="616"/>
        <v>016</v>
      </c>
      <c r="J5166" s="5" t="str">
        <f t="shared" si="617"/>
        <v>2210</v>
      </c>
      <c r="K5166" s="5" t="str">
        <f t="shared" si="618"/>
        <v>000</v>
      </c>
      <c r="L5166" s="5">
        <f t="shared" si="619"/>
        <v>1</v>
      </c>
      <c r="M5166" s="5">
        <f t="shared" si="620"/>
        <v>2013</v>
      </c>
    </row>
    <row r="5167" spans="1:13" ht="15" x14ac:dyDescent="0.25">
      <c r="A5167" s="1">
        <f>DATE(2013,1,9)</f>
        <v>41283</v>
      </c>
      <c r="B5167" t="s">
        <v>13</v>
      </c>
      <c r="C5167" t="s">
        <v>9</v>
      </c>
      <c r="D5167" s="3">
        <v>233.94540000000001</v>
      </c>
      <c r="E5167" s="3">
        <v>0</v>
      </c>
      <c r="F5167" t="s">
        <v>45</v>
      </c>
      <c r="G5167" s="3">
        <f t="shared" si="614"/>
        <v>-233.94540000000001</v>
      </c>
      <c r="H5167" s="3">
        <f t="shared" si="615"/>
        <v>233.94540000000001</v>
      </c>
      <c r="I5167" s="5" t="str">
        <f t="shared" si="616"/>
        <v>016</v>
      </c>
      <c r="J5167" s="5" t="str">
        <f t="shared" si="617"/>
        <v>2220</v>
      </c>
      <c r="K5167" s="5" t="str">
        <f t="shared" si="618"/>
        <v>000</v>
      </c>
      <c r="L5167" s="5">
        <f t="shared" si="619"/>
        <v>1</v>
      </c>
      <c r="M5167" s="5">
        <f t="shared" si="620"/>
        <v>2013</v>
      </c>
    </row>
    <row r="5168" spans="1:13" ht="15" x14ac:dyDescent="0.25">
      <c r="A5168" s="1">
        <f>DATE(2013,1,9)</f>
        <v>41283</v>
      </c>
      <c r="B5168" t="s">
        <v>14</v>
      </c>
      <c r="C5168" t="s">
        <v>10</v>
      </c>
      <c r="D5168" s="3">
        <v>117.73439999999999</v>
      </c>
      <c r="E5168" s="3">
        <v>0</v>
      </c>
      <c r="F5168" t="s">
        <v>45</v>
      </c>
      <c r="G5168" s="3">
        <f t="shared" si="614"/>
        <v>-117.73439999999999</v>
      </c>
      <c r="H5168" s="3">
        <f t="shared" si="615"/>
        <v>117.73439999999999</v>
      </c>
      <c r="I5168" s="5" t="str">
        <f t="shared" si="616"/>
        <v>016</v>
      </c>
      <c r="J5168" s="5" t="str">
        <f t="shared" si="617"/>
        <v>2230</v>
      </c>
      <c r="K5168" s="5" t="str">
        <f t="shared" si="618"/>
        <v>000</v>
      </c>
      <c r="L5168" s="5">
        <f t="shared" si="619"/>
        <v>1</v>
      </c>
      <c r="M5168" s="5">
        <f t="shared" si="620"/>
        <v>2013</v>
      </c>
    </row>
    <row r="5169" spans="1:13" ht="15" x14ac:dyDescent="0.25">
      <c r="A5169" s="1">
        <f>DATE(2013,1,10)</f>
        <v>41284</v>
      </c>
      <c r="B5169" t="s">
        <v>11</v>
      </c>
      <c r="C5169" t="s">
        <v>6</v>
      </c>
      <c r="D5169" s="3">
        <v>4889.6120000000001</v>
      </c>
      <c r="E5169" s="3">
        <v>0</v>
      </c>
      <c r="F5169" t="s">
        <v>45</v>
      </c>
      <c r="G5169" s="3">
        <f t="shared" si="614"/>
        <v>-4889.6120000000001</v>
      </c>
      <c r="H5169" s="3">
        <f t="shared" si="615"/>
        <v>4889.6120000000001</v>
      </c>
      <c r="I5169" s="5" t="str">
        <f t="shared" si="616"/>
        <v>016</v>
      </c>
      <c r="J5169" s="5" t="str">
        <f t="shared" si="617"/>
        <v>2100</v>
      </c>
      <c r="K5169" s="5" t="str">
        <f t="shared" si="618"/>
        <v>000</v>
      </c>
      <c r="L5169" s="5">
        <f t="shared" si="619"/>
        <v>1</v>
      </c>
      <c r="M5169" s="5">
        <f t="shared" si="620"/>
        <v>2013</v>
      </c>
    </row>
    <row r="5170" spans="1:13" ht="15" x14ac:dyDescent="0.25">
      <c r="A5170" s="1">
        <f>DATE(2013,1,10)</f>
        <v>41284</v>
      </c>
      <c r="B5170" t="s">
        <v>12</v>
      </c>
      <c r="C5170" t="s">
        <v>8</v>
      </c>
      <c r="D5170" s="3">
        <v>684.20240000000001</v>
      </c>
      <c r="E5170" s="3">
        <v>0</v>
      </c>
      <c r="F5170" t="s">
        <v>45</v>
      </c>
      <c r="G5170" s="3">
        <f t="shared" si="614"/>
        <v>-684.20240000000001</v>
      </c>
      <c r="H5170" s="3">
        <f t="shared" si="615"/>
        <v>684.20240000000001</v>
      </c>
      <c r="I5170" s="5" t="str">
        <f t="shared" si="616"/>
        <v>016</v>
      </c>
      <c r="J5170" s="5" t="str">
        <f t="shared" si="617"/>
        <v>2210</v>
      </c>
      <c r="K5170" s="5" t="str">
        <f t="shared" si="618"/>
        <v>000</v>
      </c>
      <c r="L5170" s="5">
        <f t="shared" si="619"/>
        <v>1</v>
      </c>
      <c r="M5170" s="5">
        <f t="shared" si="620"/>
        <v>2013</v>
      </c>
    </row>
    <row r="5171" spans="1:13" ht="15" x14ac:dyDescent="0.25">
      <c r="A5171" s="1">
        <f>DATE(2013,1,10)</f>
        <v>41284</v>
      </c>
      <c r="B5171" t="s">
        <v>13</v>
      </c>
      <c r="C5171" t="s">
        <v>9</v>
      </c>
      <c r="D5171" s="3">
        <v>260.54199999999997</v>
      </c>
      <c r="E5171" s="3">
        <v>0</v>
      </c>
      <c r="F5171" t="s">
        <v>45</v>
      </c>
      <c r="G5171" s="3">
        <f t="shared" si="614"/>
        <v>-260.54199999999997</v>
      </c>
      <c r="H5171" s="3">
        <f t="shared" si="615"/>
        <v>260.54199999999997</v>
      </c>
      <c r="I5171" s="5" t="str">
        <f t="shared" si="616"/>
        <v>016</v>
      </c>
      <c r="J5171" s="5" t="str">
        <f t="shared" si="617"/>
        <v>2220</v>
      </c>
      <c r="K5171" s="5" t="str">
        <f t="shared" si="618"/>
        <v>000</v>
      </c>
      <c r="L5171" s="5">
        <f t="shared" si="619"/>
        <v>1</v>
      </c>
      <c r="M5171" s="5">
        <f t="shared" si="620"/>
        <v>2013</v>
      </c>
    </row>
    <row r="5172" spans="1:13" ht="15" x14ac:dyDescent="0.25">
      <c r="A5172" s="1">
        <f>DATE(2013,1,10)</f>
        <v>41284</v>
      </c>
      <c r="B5172" t="s">
        <v>14</v>
      </c>
      <c r="C5172" t="s">
        <v>10</v>
      </c>
      <c r="D5172" s="3">
        <v>97.593599999999995</v>
      </c>
      <c r="E5172" s="3">
        <v>0</v>
      </c>
      <c r="F5172" t="s">
        <v>45</v>
      </c>
      <c r="G5172" s="3">
        <f t="shared" si="614"/>
        <v>-97.593599999999995</v>
      </c>
      <c r="H5172" s="3">
        <f t="shared" si="615"/>
        <v>97.593599999999995</v>
      </c>
      <c r="I5172" s="5" t="str">
        <f t="shared" si="616"/>
        <v>016</v>
      </c>
      <c r="J5172" s="5" t="str">
        <f t="shared" si="617"/>
        <v>2230</v>
      </c>
      <c r="K5172" s="5" t="str">
        <f t="shared" si="618"/>
        <v>000</v>
      </c>
      <c r="L5172" s="5">
        <f t="shared" si="619"/>
        <v>1</v>
      </c>
      <c r="M5172" s="5">
        <f t="shared" si="620"/>
        <v>2013</v>
      </c>
    </row>
    <row r="5173" spans="1:13" ht="15" x14ac:dyDescent="0.25">
      <c r="A5173" s="1">
        <f>DATE(2013,1,11)</f>
        <v>41285</v>
      </c>
      <c r="B5173" t="s">
        <v>11</v>
      </c>
      <c r="C5173" t="s">
        <v>6</v>
      </c>
      <c r="D5173" s="3">
        <v>5161.0898999999999</v>
      </c>
      <c r="E5173" s="3">
        <v>0</v>
      </c>
      <c r="F5173" t="s">
        <v>45</v>
      </c>
      <c r="G5173" s="3">
        <f t="shared" si="614"/>
        <v>-5161.0898999999999</v>
      </c>
      <c r="H5173" s="3">
        <f t="shared" si="615"/>
        <v>5161.0898999999999</v>
      </c>
      <c r="I5173" s="5" t="str">
        <f t="shared" si="616"/>
        <v>016</v>
      </c>
      <c r="J5173" s="5" t="str">
        <f t="shared" si="617"/>
        <v>2100</v>
      </c>
      <c r="K5173" s="5" t="str">
        <f t="shared" si="618"/>
        <v>000</v>
      </c>
      <c r="L5173" s="5">
        <f t="shared" si="619"/>
        <v>1</v>
      </c>
      <c r="M5173" s="5">
        <f t="shared" si="620"/>
        <v>2013</v>
      </c>
    </row>
    <row r="5174" spans="1:13" ht="15" x14ac:dyDescent="0.25">
      <c r="A5174" s="1">
        <f>DATE(2013,1,11)</f>
        <v>41285</v>
      </c>
      <c r="B5174" t="s">
        <v>12</v>
      </c>
      <c r="C5174" t="s">
        <v>8</v>
      </c>
      <c r="D5174" s="3">
        <v>2721.2728999999999</v>
      </c>
      <c r="E5174" s="3">
        <v>0</v>
      </c>
      <c r="F5174" t="s">
        <v>45</v>
      </c>
      <c r="G5174" s="3">
        <f t="shared" si="614"/>
        <v>-2721.2728999999999</v>
      </c>
      <c r="H5174" s="3">
        <f t="shared" si="615"/>
        <v>2721.2728999999999</v>
      </c>
      <c r="I5174" s="5" t="str">
        <f t="shared" si="616"/>
        <v>016</v>
      </c>
      <c r="J5174" s="5" t="str">
        <f t="shared" si="617"/>
        <v>2210</v>
      </c>
      <c r="K5174" s="5" t="str">
        <f t="shared" si="618"/>
        <v>000</v>
      </c>
      <c r="L5174" s="5">
        <f t="shared" si="619"/>
        <v>1</v>
      </c>
      <c r="M5174" s="5">
        <f t="shared" si="620"/>
        <v>2013</v>
      </c>
    </row>
    <row r="5175" spans="1:13" ht="15" x14ac:dyDescent="0.25">
      <c r="A5175" s="1">
        <f>DATE(2013,1,11)</f>
        <v>41285</v>
      </c>
      <c r="B5175" t="s">
        <v>13</v>
      </c>
      <c r="C5175" t="s">
        <v>9</v>
      </c>
      <c r="D5175" s="3">
        <v>497.63479999999993</v>
      </c>
      <c r="E5175" s="3">
        <v>0</v>
      </c>
      <c r="F5175" t="s">
        <v>45</v>
      </c>
      <c r="G5175" s="3">
        <f t="shared" si="614"/>
        <v>-497.63479999999993</v>
      </c>
      <c r="H5175" s="3">
        <f t="shared" si="615"/>
        <v>497.63479999999993</v>
      </c>
      <c r="I5175" s="5" t="str">
        <f t="shared" si="616"/>
        <v>016</v>
      </c>
      <c r="J5175" s="5" t="str">
        <f t="shared" si="617"/>
        <v>2220</v>
      </c>
      <c r="K5175" s="5" t="str">
        <f t="shared" si="618"/>
        <v>000</v>
      </c>
      <c r="L5175" s="5">
        <f t="shared" si="619"/>
        <v>1</v>
      </c>
      <c r="M5175" s="5">
        <f t="shared" si="620"/>
        <v>2013</v>
      </c>
    </row>
    <row r="5176" spans="1:13" ht="15" x14ac:dyDescent="0.25">
      <c r="A5176" s="1">
        <f>DATE(2013,1,11)</f>
        <v>41285</v>
      </c>
      <c r="B5176" t="s">
        <v>14</v>
      </c>
      <c r="C5176" t="s">
        <v>10</v>
      </c>
      <c r="D5176" s="3">
        <v>208.7124</v>
      </c>
      <c r="E5176" s="3">
        <v>0</v>
      </c>
      <c r="F5176" t="s">
        <v>45</v>
      </c>
      <c r="G5176" s="3">
        <f t="shared" si="614"/>
        <v>-208.7124</v>
      </c>
      <c r="H5176" s="3">
        <f t="shared" si="615"/>
        <v>208.7124</v>
      </c>
      <c r="I5176" s="5" t="str">
        <f t="shared" si="616"/>
        <v>016</v>
      </c>
      <c r="J5176" s="5" t="str">
        <f t="shared" si="617"/>
        <v>2230</v>
      </c>
      <c r="K5176" s="5" t="str">
        <f t="shared" si="618"/>
        <v>000</v>
      </c>
      <c r="L5176" s="5">
        <f t="shared" si="619"/>
        <v>1</v>
      </c>
      <c r="M5176" s="5">
        <f t="shared" si="620"/>
        <v>2013</v>
      </c>
    </row>
    <row r="5177" spans="1:13" ht="15" x14ac:dyDescent="0.25">
      <c r="A5177" s="1">
        <f>DATE(2013,1,12)</f>
        <v>41286</v>
      </c>
      <c r="B5177" t="s">
        <v>11</v>
      </c>
      <c r="C5177" t="s">
        <v>6</v>
      </c>
      <c r="D5177" s="3">
        <v>8881.5512000000017</v>
      </c>
      <c r="E5177" s="3">
        <v>0</v>
      </c>
      <c r="F5177" t="s">
        <v>45</v>
      </c>
      <c r="G5177" s="3">
        <f t="shared" si="614"/>
        <v>-8881.5512000000017</v>
      </c>
      <c r="H5177" s="3">
        <f t="shared" si="615"/>
        <v>8881.5512000000017</v>
      </c>
      <c r="I5177" s="5" t="str">
        <f t="shared" si="616"/>
        <v>016</v>
      </c>
      <c r="J5177" s="5" t="str">
        <f t="shared" si="617"/>
        <v>2100</v>
      </c>
      <c r="K5177" s="5" t="str">
        <f t="shared" si="618"/>
        <v>000</v>
      </c>
      <c r="L5177" s="5">
        <f t="shared" si="619"/>
        <v>1</v>
      </c>
      <c r="M5177" s="5">
        <f t="shared" si="620"/>
        <v>2013</v>
      </c>
    </row>
    <row r="5178" spans="1:13" ht="15" x14ac:dyDescent="0.25">
      <c r="A5178" s="1">
        <f>DATE(2013,1,12)</f>
        <v>41286</v>
      </c>
      <c r="B5178" t="s">
        <v>12</v>
      </c>
      <c r="C5178" t="s">
        <v>8</v>
      </c>
      <c r="D5178" s="3">
        <v>2111.4589999999998</v>
      </c>
      <c r="E5178" s="3">
        <v>0</v>
      </c>
      <c r="F5178" t="s">
        <v>45</v>
      </c>
      <c r="G5178" s="3">
        <f t="shared" si="614"/>
        <v>-2111.4589999999998</v>
      </c>
      <c r="H5178" s="3">
        <f t="shared" si="615"/>
        <v>2111.4589999999998</v>
      </c>
      <c r="I5178" s="5" t="str">
        <f t="shared" si="616"/>
        <v>016</v>
      </c>
      <c r="J5178" s="5" t="str">
        <f t="shared" si="617"/>
        <v>2210</v>
      </c>
      <c r="K5178" s="5" t="str">
        <f t="shared" si="618"/>
        <v>000</v>
      </c>
      <c r="L5178" s="5">
        <f t="shared" si="619"/>
        <v>1</v>
      </c>
      <c r="M5178" s="5">
        <f t="shared" si="620"/>
        <v>2013</v>
      </c>
    </row>
    <row r="5179" spans="1:13" ht="15" x14ac:dyDescent="0.25">
      <c r="A5179" s="1">
        <f>DATE(2013,1,12)</f>
        <v>41286</v>
      </c>
      <c r="B5179" t="s">
        <v>13</v>
      </c>
      <c r="C5179" t="s">
        <v>9</v>
      </c>
      <c r="D5179" s="3">
        <v>412.74360000000001</v>
      </c>
      <c r="E5179" s="3">
        <v>0</v>
      </c>
      <c r="F5179" t="s">
        <v>45</v>
      </c>
      <c r="G5179" s="3">
        <f t="shared" si="614"/>
        <v>-412.74360000000001</v>
      </c>
      <c r="H5179" s="3">
        <f t="shared" si="615"/>
        <v>412.74360000000001</v>
      </c>
      <c r="I5179" s="5" t="str">
        <f t="shared" si="616"/>
        <v>016</v>
      </c>
      <c r="J5179" s="5" t="str">
        <f t="shared" si="617"/>
        <v>2220</v>
      </c>
      <c r="K5179" s="5" t="str">
        <f t="shared" si="618"/>
        <v>000</v>
      </c>
      <c r="L5179" s="5">
        <f t="shared" si="619"/>
        <v>1</v>
      </c>
      <c r="M5179" s="5">
        <f t="shared" si="620"/>
        <v>2013</v>
      </c>
    </row>
    <row r="5180" spans="1:13" ht="15" x14ac:dyDescent="0.25">
      <c r="A5180" s="1">
        <f>DATE(2013,1,12)</f>
        <v>41286</v>
      </c>
      <c r="B5180" t="s">
        <v>14</v>
      </c>
      <c r="C5180" t="s">
        <v>10</v>
      </c>
      <c r="D5180" s="3">
        <v>202.99369999999999</v>
      </c>
      <c r="E5180" s="3">
        <v>0</v>
      </c>
      <c r="F5180" t="s">
        <v>45</v>
      </c>
      <c r="G5180" s="3">
        <f t="shared" si="614"/>
        <v>-202.99369999999999</v>
      </c>
      <c r="H5180" s="3">
        <f t="shared" si="615"/>
        <v>202.99369999999999</v>
      </c>
      <c r="I5180" s="5" t="str">
        <f t="shared" si="616"/>
        <v>016</v>
      </c>
      <c r="J5180" s="5" t="str">
        <f t="shared" si="617"/>
        <v>2230</v>
      </c>
      <c r="K5180" s="5" t="str">
        <f t="shared" si="618"/>
        <v>000</v>
      </c>
      <c r="L5180" s="5">
        <f t="shared" si="619"/>
        <v>1</v>
      </c>
      <c r="M5180" s="5">
        <f t="shared" si="620"/>
        <v>2013</v>
      </c>
    </row>
    <row r="5181" spans="1:13" ht="15" x14ac:dyDescent="0.25">
      <c r="A5181" s="1">
        <f>DATE(2013,1,13)</f>
        <v>41287</v>
      </c>
      <c r="B5181" t="s">
        <v>11</v>
      </c>
      <c r="C5181" t="s">
        <v>6</v>
      </c>
      <c r="D5181" s="3">
        <v>5696.8099000000002</v>
      </c>
      <c r="E5181" s="3">
        <v>0</v>
      </c>
      <c r="F5181" t="s">
        <v>45</v>
      </c>
      <c r="G5181" s="3">
        <f t="shared" si="614"/>
        <v>-5696.8099000000002</v>
      </c>
      <c r="H5181" s="3">
        <f t="shared" si="615"/>
        <v>5696.8099000000002</v>
      </c>
      <c r="I5181" s="5" t="str">
        <f t="shared" si="616"/>
        <v>016</v>
      </c>
      <c r="J5181" s="5" t="str">
        <f t="shared" si="617"/>
        <v>2100</v>
      </c>
      <c r="K5181" s="5" t="str">
        <f t="shared" si="618"/>
        <v>000</v>
      </c>
      <c r="L5181" s="5">
        <f t="shared" si="619"/>
        <v>1</v>
      </c>
      <c r="M5181" s="5">
        <f t="shared" si="620"/>
        <v>2013</v>
      </c>
    </row>
    <row r="5182" spans="1:13" ht="15" x14ac:dyDescent="0.25">
      <c r="A5182" s="1">
        <f>DATE(2013,1,13)</f>
        <v>41287</v>
      </c>
      <c r="B5182" t="s">
        <v>12</v>
      </c>
      <c r="C5182" t="s">
        <v>8</v>
      </c>
      <c r="D5182" s="3">
        <v>1153.2885000000001</v>
      </c>
      <c r="E5182" s="3">
        <v>0</v>
      </c>
      <c r="F5182" t="s">
        <v>45</v>
      </c>
      <c r="G5182" s="3">
        <f t="shared" si="614"/>
        <v>-1153.2885000000001</v>
      </c>
      <c r="H5182" s="3">
        <f t="shared" si="615"/>
        <v>1153.2885000000001</v>
      </c>
      <c r="I5182" s="5" t="str">
        <f t="shared" si="616"/>
        <v>016</v>
      </c>
      <c r="J5182" s="5" t="str">
        <f t="shared" si="617"/>
        <v>2210</v>
      </c>
      <c r="K5182" s="5" t="str">
        <f t="shared" si="618"/>
        <v>000</v>
      </c>
      <c r="L5182" s="5">
        <f t="shared" si="619"/>
        <v>1</v>
      </c>
      <c r="M5182" s="5">
        <f t="shared" si="620"/>
        <v>2013</v>
      </c>
    </row>
    <row r="5183" spans="1:13" ht="15" x14ac:dyDescent="0.25">
      <c r="A5183" s="1">
        <f>DATE(2013,1,13)</f>
        <v>41287</v>
      </c>
      <c r="B5183" t="s">
        <v>13</v>
      </c>
      <c r="C5183" t="s">
        <v>9</v>
      </c>
      <c r="D5183" s="3">
        <v>222.74479999999997</v>
      </c>
      <c r="E5183" s="3">
        <v>0</v>
      </c>
      <c r="F5183" t="s">
        <v>45</v>
      </c>
      <c r="G5183" s="3">
        <f t="shared" si="614"/>
        <v>-222.74479999999997</v>
      </c>
      <c r="H5183" s="3">
        <f t="shared" si="615"/>
        <v>222.74479999999997</v>
      </c>
      <c r="I5183" s="5" t="str">
        <f t="shared" si="616"/>
        <v>016</v>
      </c>
      <c r="J5183" s="5" t="str">
        <f t="shared" si="617"/>
        <v>2220</v>
      </c>
      <c r="K5183" s="5" t="str">
        <f t="shared" si="618"/>
        <v>000</v>
      </c>
      <c r="L5183" s="5">
        <f t="shared" si="619"/>
        <v>1</v>
      </c>
      <c r="M5183" s="5">
        <f t="shared" si="620"/>
        <v>2013</v>
      </c>
    </row>
    <row r="5184" spans="1:13" ht="15" x14ac:dyDescent="0.25">
      <c r="A5184" s="1">
        <f>DATE(2013,1,13)</f>
        <v>41287</v>
      </c>
      <c r="B5184" t="s">
        <v>14</v>
      </c>
      <c r="C5184" t="s">
        <v>10</v>
      </c>
      <c r="D5184" s="3">
        <v>55.426800000000007</v>
      </c>
      <c r="E5184" s="3">
        <v>0</v>
      </c>
      <c r="F5184" t="s">
        <v>45</v>
      </c>
      <c r="G5184" s="3">
        <f t="shared" si="614"/>
        <v>-55.426800000000007</v>
      </c>
      <c r="H5184" s="3">
        <f t="shared" si="615"/>
        <v>55.426800000000007</v>
      </c>
      <c r="I5184" s="5" t="str">
        <f t="shared" si="616"/>
        <v>016</v>
      </c>
      <c r="J5184" s="5" t="str">
        <f t="shared" si="617"/>
        <v>2230</v>
      </c>
      <c r="K5184" s="5" t="str">
        <f t="shared" si="618"/>
        <v>000</v>
      </c>
      <c r="L5184" s="5">
        <f t="shared" si="619"/>
        <v>1</v>
      </c>
      <c r="M5184" s="5">
        <f t="shared" si="620"/>
        <v>2013</v>
      </c>
    </row>
    <row r="5185" spans="1:13" ht="15" x14ac:dyDescent="0.25">
      <c r="A5185" s="1">
        <f>DATE(2013,1,7)</f>
        <v>41281</v>
      </c>
      <c r="B5185" t="s">
        <v>15</v>
      </c>
      <c r="C5185" t="s">
        <v>6</v>
      </c>
      <c r="D5185" s="3">
        <v>3676.1327999999999</v>
      </c>
      <c r="E5185" s="3">
        <v>0</v>
      </c>
      <c r="F5185" t="s">
        <v>45</v>
      </c>
      <c r="G5185" s="3">
        <f t="shared" si="614"/>
        <v>-3676.1327999999999</v>
      </c>
      <c r="H5185" s="3">
        <f t="shared" si="615"/>
        <v>3676.1327999999999</v>
      </c>
      <c r="I5185" s="5" t="str">
        <f t="shared" si="616"/>
        <v>017</v>
      </c>
      <c r="J5185" s="5" t="str">
        <f t="shared" si="617"/>
        <v>2100</v>
      </c>
      <c r="K5185" s="5" t="str">
        <f t="shared" si="618"/>
        <v>000</v>
      </c>
      <c r="L5185" s="5">
        <f t="shared" si="619"/>
        <v>1</v>
      </c>
      <c r="M5185" s="5">
        <f t="shared" si="620"/>
        <v>2013</v>
      </c>
    </row>
    <row r="5186" spans="1:13" ht="15" x14ac:dyDescent="0.25">
      <c r="A5186" s="1">
        <f>DATE(2013,1,7)</f>
        <v>41281</v>
      </c>
      <c r="B5186" t="s">
        <v>16</v>
      </c>
      <c r="C5186" t="s">
        <v>8</v>
      </c>
      <c r="D5186" s="3">
        <v>676.21199999999999</v>
      </c>
      <c r="E5186" s="3">
        <v>0</v>
      </c>
      <c r="F5186" t="s">
        <v>45</v>
      </c>
      <c r="G5186" s="3">
        <f t="shared" ref="G5186:G5249" si="621">E5186-D5186</f>
        <v>-676.21199999999999</v>
      </c>
      <c r="H5186" s="3">
        <f t="shared" ref="H5186:H5249" si="622">ABS(G5186)</f>
        <v>676.21199999999999</v>
      </c>
      <c r="I5186" s="5" t="str">
        <f t="shared" ref="I5186:I5249" si="623">MID(B5186,1,3)</f>
        <v>017</v>
      </c>
      <c r="J5186" s="5" t="str">
        <f t="shared" ref="J5186:J5249" si="624">MID(B5186,5,4)</f>
        <v>2210</v>
      </c>
      <c r="K5186" s="5" t="str">
        <f t="shared" ref="K5186:K5249" si="625">MID(B5186,10,3)</f>
        <v>000</v>
      </c>
      <c r="L5186" s="5">
        <f t="shared" ref="L5186:L5249" si="626">MONTH(A5186)</f>
        <v>1</v>
      </c>
      <c r="M5186" s="5">
        <f t="shared" ref="M5186:M5249" si="627">YEAR(A5186)</f>
        <v>2013</v>
      </c>
    </row>
    <row r="5187" spans="1:13" ht="15" x14ac:dyDescent="0.25">
      <c r="A5187" s="1">
        <f>DATE(2013,1,7)</f>
        <v>41281</v>
      </c>
      <c r="B5187" t="s">
        <v>17</v>
      </c>
      <c r="C5187" t="s">
        <v>9</v>
      </c>
      <c r="D5187" s="3">
        <v>288.392</v>
      </c>
      <c r="E5187" s="3">
        <v>0</v>
      </c>
      <c r="F5187" t="s">
        <v>45</v>
      </c>
      <c r="G5187" s="3">
        <f t="shared" si="621"/>
        <v>-288.392</v>
      </c>
      <c r="H5187" s="3">
        <f t="shared" si="622"/>
        <v>288.392</v>
      </c>
      <c r="I5187" s="5" t="str">
        <f t="shared" si="623"/>
        <v>017</v>
      </c>
      <c r="J5187" s="5" t="str">
        <f t="shared" si="624"/>
        <v>2220</v>
      </c>
      <c r="K5187" s="5" t="str">
        <f t="shared" si="625"/>
        <v>000</v>
      </c>
      <c r="L5187" s="5">
        <f t="shared" si="626"/>
        <v>1</v>
      </c>
      <c r="M5187" s="5">
        <f t="shared" si="627"/>
        <v>2013</v>
      </c>
    </row>
    <row r="5188" spans="1:13" ht="15" x14ac:dyDescent="0.25">
      <c r="A5188" s="1">
        <f>DATE(2013,1,7)</f>
        <v>41281</v>
      </c>
      <c r="B5188" t="s">
        <v>18</v>
      </c>
      <c r="C5188" t="s">
        <v>10</v>
      </c>
      <c r="D5188" s="3">
        <v>70.435199999999995</v>
      </c>
      <c r="E5188" s="3">
        <v>0</v>
      </c>
      <c r="F5188" t="s">
        <v>45</v>
      </c>
      <c r="G5188" s="3">
        <f t="shared" si="621"/>
        <v>-70.435199999999995</v>
      </c>
      <c r="H5188" s="3">
        <f t="shared" si="622"/>
        <v>70.435199999999995</v>
      </c>
      <c r="I5188" s="5" t="str">
        <f t="shared" si="623"/>
        <v>017</v>
      </c>
      <c r="J5188" s="5" t="str">
        <f t="shared" si="624"/>
        <v>2230</v>
      </c>
      <c r="K5188" s="5" t="str">
        <f t="shared" si="625"/>
        <v>000</v>
      </c>
      <c r="L5188" s="5">
        <f t="shared" si="626"/>
        <v>1</v>
      </c>
      <c r="M5188" s="5">
        <f t="shared" si="627"/>
        <v>2013</v>
      </c>
    </row>
    <row r="5189" spans="1:13" ht="15" x14ac:dyDescent="0.25">
      <c r="A5189" s="1">
        <f>DATE(2013,1,8)</f>
        <v>41282</v>
      </c>
      <c r="B5189" t="s">
        <v>15</v>
      </c>
      <c r="C5189" t="s">
        <v>6</v>
      </c>
      <c r="D5189" s="3">
        <v>4735.8209000000006</v>
      </c>
      <c r="E5189" s="3">
        <v>0</v>
      </c>
      <c r="F5189" t="s">
        <v>45</v>
      </c>
      <c r="G5189" s="3">
        <f t="shared" si="621"/>
        <v>-4735.8209000000006</v>
      </c>
      <c r="H5189" s="3">
        <f t="shared" si="622"/>
        <v>4735.8209000000006</v>
      </c>
      <c r="I5189" s="5" t="str">
        <f t="shared" si="623"/>
        <v>017</v>
      </c>
      <c r="J5189" s="5" t="str">
        <f t="shared" si="624"/>
        <v>2100</v>
      </c>
      <c r="K5189" s="5" t="str">
        <f t="shared" si="625"/>
        <v>000</v>
      </c>
      <c r="L5189" s="5">
        <f t="shared" si="626"/>
        <v>1</v>
      </c>
      <c r="M5189" s="5">
        <f t="shared" si="627"/>
        <v>2013</v>
      </c>
    </row>
    <row r="5190" spans="1:13" ht="15" x14ac:dyDescent="0.25">
      <c r="A5190" s="1">
        <f>DATE(2013,1,8)</f>
        <v>41282</v>
      </c>
      <c r="B5190" t="s">
        <v>16</v>
      </c>
      <c r="C5190" t="s">
        <v>8</v>
      </c>
      <c r="D5190" s="3">
        <v>874.77</v>
      </c>
      <c r="E5190" s="3">
        <v>0</v>
      </c>
      <c r="F5190" t="s">
        <v>45</v>
      </c>
      <c r="G5190" s="3">
        <f t="shared" si="621"/>
        <v>-874.77</v>
      </c>
      <c r="H5190" s="3">
        <f t="shared" si="622"/>
        <v>874.77</v>
      </c>
      <c r="I5190" s="5" t="str">
        <f t="shared" si="623"/>
        <v>017</v>
      </c>
      <c r="J5190" s="5" t="str">
        <f t="shared" si="624"/>
        <v>2210</v>
      </c>
      <c r="K5190" s="5" t="str">
        <f t="shared" si="625"/>
        <v>000</v>
      </c>
      <c r="L5190" s="5">
        <f t="shared" si="626"/>
        <v>1</v>
      </c>
      <c r="M5190" s="5">
        <f t="shared" si="627"/>
        <v>2013</v>
      </c>
    </row>
    <row r="5191" spans="1:13" ht="15" x14ac:dyDescent="0.25">
      <c r="A5191" s="1">
        <f>DATE(2013,1,8)</f>
        <v>41282</v>
      </c>
      <c r="B5191" t="s">
        <v>17</v>
      </c>
      <c r="C5191" t="s">
        <v>9</v>
      </c>
      <c r="D5191" s="3">
        <v>226.26</v>
      </c>
      <c r="E5191" s="3">
        <v>0</v>
      </c>
      <c r="F5191" t="s">
        <v>45</v>
      </c>
      <c r="G5191" s="3">
        <f t="shared" si="621"/>
        <v>-226.26</v>
      </c>
      <c r="H5191" s="3">
        <f t="shared" si="622"/>
        <v>226.26</v>
      </c>
      <c r="I5191" s="5" t="str">
        <f t="shared" si="623"/>
        <v>017</v>
      </c>
      <c r="J5191" s="5" t="str">
        <f t="shared" si="624"/>
        <v>2220</v>
      </c>
      <c r="K5191" s="5" t="str">
        <f t="shared" si="625"/>
        <v>000</v>
      </c>
      <c r="L5191" s="5">
        <f t="shared" si="626"/>
        <v>1</v>
      </c>
      <c r="M5191" s="5">
        <f t="shared" si="627"/>
        <v>2013</v>
      </c>
    </row>
    <row r="5192" spans="1:13" ht="15" x14ac:dyDescent="0.25">
      <c r="A5192" s="1">
        <f>DATE(2013,1,8)</f>
        <v>41282</v>
      </c>
      <c r="B5192" t="s">
        <v>18</v>
      </c>
      <c r="C5192" t="s">
        <v>10</v>
      </c>
      <c r="D5192" s="3">
        <v>71.036000000000001</v>
      </c>
      <c r="E5192" s="3">
        <v>0</v>
      </c>
      <c r="F5192" t="s">
        <v>45</v>
      </c>
      <c r="G5192" s="3">
        <f t="shared" si="621"/>
        <v>-71.036000000000001</v>
      </c>
      <c r="H5192" s="3">
        <f t="shared" si="622"/>
        <v>71.036000000000001</v>
      </c>
      <c r="I5192" s="5" t="str">
        <f t="shared" si="623"/>
        <v>017</v>
      </c>
      <c r="J5192" s="5" t="str">
        <f t="shared" si="624"/>
        <v>2230</v>
      </c>
      <c r="K5192" s="5" t="str">
        <f t="shared" si="625"/>
        <v>000</v>
      </c>
      <c r="L5192" s="5">
        <f t="shared" si="626"/>
        <v>1</v>
      </c>
      <c r="M5192" s="5">
        <f t="shared" si="627"/>
        <v>2013</v>
      </c>
    </row>
    <row r="5193" spans="1:13" ht="15" x14ac:dyDescent="0.25">
      <c r="A5193" s="1">
        <f>DATE(2013,1,9)</f>
        <v>41283</v>
      </c>
      <c r="B5193" t="s">
        <v>15</v>
      </c>
      <c r="C5193" t="s">
        <v>6</v>
      </c>
      <c r="D5193" s="3">
        <v>6261.8734999999997</v>
      </c>
      <c r="E5193" s="3">
        <v>0</v>
      </c>
      <c r="F5193" t="s">
        <v>45</v>
      </c>
      <c r="G5193" s="3">
        <f t="shared" si="621"/>
        <v>-6261.8734999999997</v>
      </c>
      <c r="H5193" s="3">
        <f t="shared" si="622"/>
        <v>6261.8734999999997</v>
      </c>
      <c r="I5193" s="5" t="str">
        <f t="shared" si="623"/>
        <v>017</v>
      </c>
      <c r="J5193" s="5" t="str">
        <f t="shared" si="624"/>
        <v>2100</v>
      </c>
      <c r="K5193" s="5" t="str">
        <f t="shared" si="625"/>
        <v>000</v>
      </c>
      <c r="L5193" s="5">
        <f t="shared" si="626"/>
        <v>1</v>
      </c>
      <c r="M5193" s="5">
        <f t="shared" si="627"/>
        <v>2013</v>
      </c>
    </row>
    <row r="5194" spans="1:13" ht="15" x14ac:dyDescent="0.25">
      <c r="A5194" s="1">
        <f>DATE(2013,1,9)</f>
        <v>41283</v>
      </c>
      <c r="B5194" t="s">
        <v>16</v>
      </c>
      <c r="C5194" t="s">
        <v>8</v>
      </c>
      <c r="D5194" s="3">
        <v>1342.7656999999999</v>
      </c>
      <c r="E5194" s="3">
        <v>0</v>
      </c>
      <c r="F5194" t="s">
        <v>45</v>
      </c>
      <c r="G5194" s="3">
        <f t="shared" si="621"/>
        <v>-1342.7656999999999</v>
      </c>
      <c r="H5194" s="3">
        <f t="shared" si="622"/>
        <v>1342.7656999999999</v>
      </c>
      <c r="I5194" s="5" t="str">
        <f t="shared" si="623"/>
        <v>017</v>
      </c>
      <c r="J5194" s="5" t="str">
        <f t="shared" si="624"/>
        <v>2210</v>
      </c>
      <c r="K5194" s="5" t="str">
        <f t="shared" si="625"/>
        <v>000</v>
      </c>
      <c r="L5194" s="5">
        <f t="shared" si="626"/>
        <v>1</v>
      </c>
      <c r="M5194" s="5">
        <f t="shared" si="627"/>
        <v>2013</v>
      </c>
    </row>
    <row r="5195" spans="1:13" ht="15" x14ac:dyDescent="0.25">
      <c r="A5195" s="1">
        <f>DATE(2013,1,9)</f>
        <v>41283</v>
      </c>
      <c r="B5195" t="s">
        <v>17</v>
      </c>
      <c r="C5195" t="s">
        <v>9</v>
      </c>
      <c r="D5195" s="3">
        <v>282.65719999999999</v>
      </c>
      <c r="E5195" s="3">
        <v>0</v>
      </c>
      <c r="F5195" t="s">
        <v>45</v>
      </c>
      <c r="G5195" s="3">
        <f t="shared" si="621"/>
        <v>-282.65719999999999</v>
      </c>
      <c r="H5195" s="3">
        <f t="shared" si="622"/>
        <v>282.65719999999999</v>
      </c>
      <c r="I5195" s="5" t="str">
        <f t="shared" si="623"/>
        <v>017</v>
      </c>
      <c r="J5195" s="5" t="str">
        <f t="shared" si="624"/>
        <v>2220</v>
      </c>
      <c r="K5195" s="5" t="str">
        <f t="shared" si="625"/>
        <v>000</v>
      </c>
      <c r="L5195" s="5">
        <f t="shared" si="626"/>
        <v>1</v>
      </c>
      <c r="M5195" s="5">
        <f t="shared" si="627"/>
        <v>2013</v>
      </c>
    </row>
    <row r="5196" spans="1:13" ht="15" x14ac:dyDescent="0.25">
      <c r="A5196" s="1">
        <f>DATE(2013,1,9)</f>
        <v>41283</v>
      </c>
      <c r="B5196" t="s">
        <v>18</v>
      </c>
      <c r="C5196" t="s">
        <v>10</v>
      </c>
      <c r="D5196" s="3">
        <v>68.807000000000002</v>
      </c>
      <c r="E5196" s="3">
        <v>0</v>
      </c>
      <c r="F5196" t="s">
        <v>45</v>
      </c>
      <c r="G5196" s="3">
        <f t="shared" si="621"/>
        <v>-68.807000000000002</v>
      </c>
      <c r="H5196" s="3">
        <f t="shared" si="622"/>
        <v>68.807000000000002</v>
      </c>
      <c r="I5196" s="5" t="str">
        <f t="shared" si="623"/>
        <v>017</v>
      </c>
      <c r="J5196" s="5" t="str">
        <f t="shared" si="624"/>
        <v>2230</v>
      </c>
      <c r="K5196" s="5" t="str">
        <f t="shared" si="625"/>
        <v>000</v>
      </c>
      <c r="L5196" s="5">
        <f t="shared" si="626"/>
        <v>1</v>
      </c>
      <c r="M5196" s="5">
        <f t="shared" si="627"/>
        <v>2013</v>
      </c>
    </row>
    <row r="5197" spans="1:13" ht="15" x14ac:dyDescent="0.25">
      <c r="A5197" s="1">
        <f>DATE(2013,1,10)</f>
        <v>41284</v>
      </c>
      <c r="B5197" t="s">
        <v>15</v>
      </c>
      <c r="C5197" t="s">
        <v>6</v>
      </c>
      <c r="D5197" s="3">
        <v>3938.9845000000005</v>
      </c>
      <c r="E5197" s="3">
        <v>0</v>
      </c>
      <c r="F5197" t="s">
        <v>45</v>
      </c>
      <c r="G5197" s="3">
        <f t="shared" si="621"/>
        <v>-3938.9845000000005</v>
      </c>
      <c r="H5197" s="3">
        <f t="shared" si="622"/>
        <v>3938.9845000000005</v>
      </c>
      <c r="I5197" s="5" t="str">
        <f t="shared" si="623"/>
        <v>017</v>
      </c>
      <c r="J5197" s="5" t="str">
        <f t="shared" si="624"/>
        <v>2100</v>
      </c>
      <c r="K5197" s="5" t="str">
        <f t="shared" si="625"/>
        <v>000</v>
      </c>
      <c r="L5197" s="5">
        <f t="shared" si="626"/>
        <v>1</v>
      </c>
      <c r="M5197" s="5">
        <f t="shared" si="627"/>
        <v>2013</v>
      </c>
    </row>
    <row r="5198" spans="1:13" ht="15" x14ac:dyDescent="0.25">
      <c r="A5198" s="1">
        <f>DATE(2013,1,10)</f>
        <v>41284</v>
      </c>
      <c r="B5198" t="s">
        <v>16</v>
      </c>
      <c r="C5198" t="s">
        <v>8</v>
      </c>
      <c r="D5198" s="3">
        <v>1229.894</v>
      </c>
      <c r="E5198" s="3">
        <v>0</v>
      </c>
      <c r="F5198" t="s">
        <v>45</v>
      </c>
      <c r="G5198" s="3">
        <f t="shared" si="621"/>
        <v>-1229.894</v>
      </c>
      <c r="H5198" s="3">
        <f t="shared" si="622"/>
        <v>1229.894</v>
      </c>
      <c r="I5198" s="5" t="str">
        <f t="shared" si="623"/>
        <v>017</v>
      </c>
      <c r="J5198" s="5" t="str">
        <f t="shared" si="624"/>
        <v>2210</v>
      </c>
      <c r="K5198" s="5" t="str">
        <f t="shared" si="625"/>
        <v>000</v>
      </c>
      <c r="L5198" s="5">
        <f t="shared" si="626"/>
        <v>1</v>
      </c>
      <c r="M5198" s="5">
        <f t="shared" si="627"/>
        <v>2013</v>
      </c>
    </row>
    <row r="5199" spans="1:13" ht="15" x14ac:dyDescent="0.25">
      <c r="A5199" s="1">
        <f>DATE(2013,1,10)</f>
        <v>41284</v>
      </c>
      <c r="B5199" t="s">
        <v>17</v>
      </c>
      <c r="C5199" t="s">
        <v>9</v>
      </c>
      <c r="D5199" s="3">
        <v>545.62080000000003</v>
      </c>
      <c r="E5199" s="3">
        <v>0</v>
      </c>
      <c r="F5199" t="s">
        <v>45</v>
      </c>
      <c r="G5199" s="3">
        <f t="shared" si="621"/>
        <v>-545.62080000000003</v>
      </c>
      <c r="H5199" s="3">
        <f t="shared" si="622"/>
        <v>545.62080000000003</v>
      </c>
      <c r="I5199" s="5" t="str">
        <f t="shared" si="623"/>
        <v>017</v>
      </c>
      <c r="J5199" s="5" t="str">
        <f t="shared" si="624"/>
        <v>2220</v>
      </c>
      <c r="K5199" s="5" t="str">
        <f t="shared" si="625"/>
        <v>000</v>
      </c>
      <c r="L5199" s="5">
        <f t="shared" si="626"/>
        <v>1</v>
      </c>
      <c r="M5199" s="5">
        <f t="shared" si="627"/>
        <v>2013</v>
      </c>
    </row>
    <row r="5200" spans="1:13" ht="15" x14ac:dyDescent="0.25">
      <c r="A5200" s="1">
        <f>DATE(2013,1,10)</f>
        <v>41284</v>
      </c>
      <c r="B5200" t="s">
        <v>18</v>
      </c>
      <c r="C5200" t="s">
        <v>10</v>
      </c>
      <c r="D5200" s="3">
        <v>176.14959999999999</v>
      </c>
      <c r="E5200" s="3">
        <v>0</v>
      </c>
      <c r="F5200" t="s">
        <v>45</v>
      </c>
      <c r="G5200" s="3">
        <f t="shared" si="621"/>
        <v>-176.14959999999999</v>
      </c>
      <c r="H5200" s="3">
        <f t="shared" si="622"/>
        <v>176.14959999999999</v>
      </c>
      <c r="I5200" s="5" t="str">
        <f t="shared" si="623"/>
        <v>017</v>
      </c>
      <c r="J5200" s="5" t="str">
        <f t="shared" si="624"/>
        <v>2230</v>
      </c>
      <c r="K5200" s="5" t="str">
        <f t="shared" si="625"/>
        <v>000</v>
      </c>
      <c r="L5200" s="5">
        <f t="shared" si="626"/>
        <v>1</v>
      </c>
      <c r="M5200" s="5">
        <f t="shared" si="627"/>
        <v>2013</v>
      </c>
    </row>
    <row r="5201" spans="1:13" ht="15" x14ac:dyDescent="0.25">
      <c r="A5201" s="1">
        <f>DATE(2013,1,11)</f>
        <v>41285</v>
      </c>
      <c r="B5201" t="s">
        <v>15</v>
      </c>
      <c r="C5201" t="s">
        <v>6</v>
      </c>
      <c r="D5201" s="3">
        <v>8676.9600000000009</v>
      </c>
      <c r="E5201" s="3">
        <v>0</v>
      </c>
      <c r="F5201" t="s">
        <v>45</v>
      </c>
      <c r="G5201" s="3">
        <f t="shared" si="621"/>
        <v>-8676.9600000000009</v>
      </c>
      <c r="H5201" s="3">
        <f t="shared" si="622"/>
        <v>8676.9600000000009</v>
      </c>
      <c r="I5201" s="5" t="str">
        <f t="shared" si="623"/>
        <v>017</v>
      </c>
      <c r="J5201" s="5" t="str">
        <f t="shared" si="624"/>
        <v>2100</v>
      </c>
      <c r="K5201" s="5" t="str">
        <f t="shared" si="625"/>
        <v>000</v>
      </c>
      <c r="L5201" s="5">
        <f t="shared" si="626"/>
        <v>1</v>
      </c>
      <c r="M5201" s="5">
        <f t="shared" si="627"/>
        <v>2013</v>
      </c>
    </row>
    <row r="5202" spans="1:13" ht="15" x14ac:dyDescent="0.25">
      <c r="A5202" s="1">
        <f>DATE(2013,1,11)</f>
        <v>41285</v>
      </c>
      <c r="B5202" t="s">
        <v>16</v>
      </c>
      <c r="C5202" t="s">
        <v>8</v>
      </c>
      <c r="D5202" s="3">
        <v>2813.0432000000001</v>
      </c>
      <c r="E5202" s="3">
        <v>0</v>
      </c>
      <c r="F5202" t="s">
        <v>45</v>
      </c>
      <c r="G5202" s="3">
        <f t="shared" si="621"/>
        <v>-2813.0432000000001</v>
      </c>
      <c r="H5202" s="3">
        <f t="shared" si="622"/>
        <v>2813.0432000000001</v>
      </c>
      <c r="I5202" s="5" t="str">
        <f t="shared" si="623"/>
        <v>017</v>
      </c>
      <c r="J5202" s="5" t="str">
        <f t="shared" si="624"/>
        <v>2210</v>
      </c>
      <c r="K5202" s="5" t="str">
        <f t="shared" si="625"/>
        <v>000</v>
      </c>
      <c r="L5202" s="5">
        <f t="shared" si="626"/>
        <v>1</v>
      </c>
      <c r="M5202" s="5">
        <f t="shared" si="627"/>
        <v>2013</v>
      </c>
    </row>
    <row r="5203" spans="1:13" ht="15" x14ac:dyDescent="0.25">
      <c r="A5203" s="1">
        <f>DATE(2013,1,11)</f>
        <v>41285</v>
      </c>
      <c r="B5203" t="s">
        <v>17</v>
      </c>
      <c r="C5203" t="s">
        <v>9</v>
      </c>
      <c r="D5203" s="3">
        <v>563.69929999999999</v>
      </c>
      <c r="E5203" s="3">
        <v>0</v>
      </c>
      <c r="F5203" t="s">
        <v>45</v>
      </c>
      <c r="G5203" s="3">
        <f t="shared" si="621"/>
        <v>-563.69929999999999</v>
      </c>
      <c r="H5203" s="3">
        <f t="shared" si="622"/>
        <v>563.69929999999999</v>
      </c>
      <c r="I5203" s="5" t="str">
        <f t="shared" si="623"/>
        <v>017</v>
      </c>
      <c r="J5203" s="5" t="str">
        <f t="shared" si="624"/>
        <v>2220</v>
      </c>
      <c r="K5203" s="5" t="str">
        <f t="shared" si="625"/>
        <v>000</v>
      </c>
      <c r="L5203" s="5">
        <f t="shared" si="626"/>
        <v>1</v>
      </c>
      <c r="M5203" s="5">
        <f t="shared" si="627"/>
        <v>2013</v>
      </c>
    </row>
    <row r="5204" spans="1:13" ht="15" x14ac:dyDescent="0.25">
      <c r="A5204" s="1">
        <f>DATE(2013,1,11)</f>
        <v>41285</v>
      </c>
      <c r="B5204" t="s">
        <v>18</v>
      </c>
      <c r="C5204" t="s">
        <v>10</v>
      </c>
      <c r="D5204" s="3">
        <v>198.81359999999998</v>
      </c>
      <c r="E5204" s="3">
        <v>0</v>
      </c>
      <c r="F5204" t="s">
        <v>45</v>
      </c>
      <c r="G5204" s="3">
        <f t="shared" si="621"/>
        <v>-198.81359999999998</v>
      </c>
      <c r="H5204" s="3">
        <f t="shared" si="622"/>
        <v>198.81359999999998</v>
      </c>
      <c r="I5204" s="5" t="str">
        <f t="shared" si="623"/>
        <v>017</v>
      </c>
      <c r="J5204" s="5" t="str">
        <f t="shared" si="624"/>
        <v>2230</v>
      </c>
      <c r="K5204" s="5" t="str">
        <f t="shared" si="625"/>
        <v>000</v>
      </c>
      <c r="L5204" s="5">
        <f t="shared" si="626"/>
        <v>1</v>
      </c>
      <c r="M5204" s="5">
        <f t="shared" si="627"/>
        <v>2013</v>
      </c>
    </row>
    <row r="5205" spans="1:13" ht="15" x14ac:dyDescent="0.25">
      <c r="A5205" s="1">
        <f>DATE(2013,1,12)</f>
        <v>41286</v>
      </c>
      <c r="B5205" t="s">
        <v>15</v>
      </c>
      <c r="C5205" t="s">
        <v>6</v>
      </c>
      <c r="D5205" s="3">
        <v>8955.4833999999992</v>
      </c>
      <c r="E5205" s="3">
        <v>0</v>
      </c>
      <c r="F5205" t="s">
        <v>45</v>
      </c>
      <c r="G5205" s="3">
        <f t="shared" si="621"/>
        <v>-8955.4833999999992</v>
      </c>
      <c r="H5205" s="3">
        <f t="shared" si="622"/>
        <v>8955.4833999999992</v>
      </c>
      <c r="I5205" s="5" t="str">
        <f t="shared" si="623"/>
        <v>017</v>
      </c>
      <c r="J5205" s="5" t="str">
        <f t="shared" si="624"/>
        <v>2100</v>
      </c>
      <c r="K5205" s="5" t="str">
        <f t="shared" si="625"/>
        <v>000</v>
      </c>
      <c r="L5205" s="5">
        <f t="shared" si="626"/>
        <v>1</v>
      </c>
      <c r="M5205" s="5">
        <f t="shared" si="627"/>
        <v>2013</v>
      </c>
    </row>
    <row r="5206" spans="1:13" ht="15" x14ac:dyDescent="0.25">
      <c r="A5206" s="1">
        <f>DATE(2013,1,12)</f>
        <v>41286</v>
      </c>
      <c r="B5206" t="s">
        <v>16</v>
      </c>
      <c r="C5206" t="s">
        <v>8</v>
      </c>
      <c r="D5206" s="3">
        <v>1735.6239</v>
      </c>
      <c r="E5206" s="3">
        <v>0</v>
      </c>
      <c r="F5206" t="s">
        <v>45</v>
      </c>
      <c r="G5206" s="3">
        <f t="shared" si="621"/>
        <v>-1735.6239</v>
      </c>
      <c r="H5206" s="3">
        <f t="shared" si="622"/>
        <v>1735.6239</v>
      </c>
      <c r="I5206" s="5" t="str">
        <f t="shared" si="623"/>
        <v>017</v>
      </c>
      <c r="J5206" s="5" t="str">
        <f t="shared" si="624"/>
        <v>2210</v>
      </c>
      <c r="K5206" s="5" t="str">
        <f t="shared" si="625"/>
        <v>000</v>
      </c>
      <c r="L5206" s="5">
        <f t="shared" si="626"/>
        <v>1</v>
      </c>
      <c r="M5206" s="5">
        <f t="shared" si="627"/>
        <v>2013</v>
      </c>
    </row>
    <row r="5207" spans="1:13" ht="15" x14ac:dyDescent="0.25">
      <c r="A5207" s="1">
        <f>DATE(2013,1,12)</f>
        <v>41286</v>
      </c>
      <c r="B5207" t="s">
        <v>17</v>
      </c>
      <c r="C5207" t="s">
        <v>9</v>
      </c>
      <c r="D5207" s="3">
        <v>478.48669999999998</v>
      </c>
      <c r="E5207" s="3">
        <v>0</v>
      </c>
      <c r="F5207" t="s">
        <v>45</v>
      </c>
      <c r="G5207" s="3">
        <f t="shared" si="621"/>
        <v>-478.48669999999998</v>
      </c>
      <c r="H5207" s="3">
        <f t="shared" si="622"/>
        <v>478.48669999999998</v>
      </c>
      <c r="I5207" s="5" t="str">
        <f t="shared" si="623"/>
        <v>017</v>
      </c>
      <c r="J5207" s="5" t="str">
        <f t="shared" si="624"/>
        <v>2220</v>
      </c>
      <c r="K5207" s="5" t="str">
        <f t="shared" si="625"/>
        <v>000</v>
      </c>
      <c r="L5207" s="5">
        <f t="shared" si="626"/>
        <v>1</v>
      </c>
      <c r="M5207" s="5">
        <f t="shared" si="627"/>
        <v>2013</v>
      </c>
    </row>
    <row r="5208" spans="1:13" ht="15" x14ac:dyDescent="0.25">
      <c r="A5208" s="1">
        <f>DATE(2013,1,12)</f>
        <v>41286</v>
      </c>
      <c r="B5208" t="s">
        <v>18</v>
      </c>
      <c r="C5208" t="s">
        <v>10</v>
      </c>
      <c r="D5208" s="3">
        <v>171.59220000000002</v>
      </c>
      <c r="E5208" s="3">
        <v>0</v>
      </c>
      <c r="F5208" t="s">
        <v>45</v>
      </c>
      <c r="G5208" s="3">
        <f t="shared" si="621"/>
        <v>-171.59220000000002</v>
      </c>
      <c r="H5208" s="3">
        <f t="shared" si="622"/>
        <v>171.59220000000002</v>
      </c>
      <c r="I5208" s="5" t="str">
        <f t="shared" si="623"/>
        <v>017</v>
      </c>
      <c r="J5208" s="5" t="str">
        <f t="shared" si="624"/>
        <v>2230</v>
      </c>
      <c r="K5208" s="5" t="str">
        <f t="shared" si="625"/>
        <v>000</v>
      </c>
      <c r="L5208" s="5">
        <f t="shared" si="626"/>
        <v>1</v>
      </c>
      <c r="M5208" s="5">
        <f t="shared" si="627"/>
        <v>2013</v>
      </c>
    </row>
    <row r="5209" spans="1:13" ht="15" x14ac:dyDescent="0.25">
      <c r="A5209" s="1">
        <f>DATE(2013,1,13)</f>
        <v>41287</v>
      </c>
      <c r="B5209" t="s">
        <v>15</v>
      </c>
      <c r="C5209" t="s">
        <v>6</v>
      </c>
      <c r="D5209" s="3">
        <v>3320.0533999999993</v>
      </c>
      <c r="E5209" s="3">
        <v>0</v>
      </c>
      <c r="F5209" t="s">
        <v>45</v>
      </c>
      <c r="G5209" s="3">
        <f t="shared" si="621"/>
        <v>-3320.0533999999993</v>
      </c>
      <c r="H5209" s="3">
        <f t="shared" si="622"/>
        <v>3320.0533999999993</v>
      </c>
      <c r="I5209" s="5" t="str">
        <f t="shared" si="623"/>
        <v>017</v>
      </c>
      <c r="J5209" s="5" t="str">
        <f t="shared" si="624"/>
        <v>2100</v>
      </c>
      <c r="K5209" s="5" t="str">
        <f t="shared" si="625"/>
        <v>000</v>
      </c>
      <c r="L5209" s="5">
        <f t="shared" si="626"/>
        <v>1</v>
      </c>
      <c r="M5209" s="5">
        <f t="shared" si="627"/>
        <v>2013</v>
      </c>
    </row>
    <row r="5210" spans="1:13" ht="15" x14ac:dyDescent="0.25">
      <c r="A5210" s="1">
        <f>DATE(2013,1,13)</f>
        <v>41287</v>
      </c>
      <c r="B5210" t="s">
        <v>16</v>
      </c>
      <c r="C5210" t="s">
        <v>8</v>
      </c>
      <c r="D5210" s="3">
        <v>840.7962</v>
      </c>
      <c r="E5210" s="3">
        <v>0</v>
      </c>
      <c r="F5210" t="s">
        <v>45</v>
      </c>
      <c r="G5210" s="3">
        <f t="shared" si="621"/>
        <v>-840.7962</v>
      </c>
      <c r="H5210" s="3">
        <f t="shared" si="622"/>
        <v>840.7962</v>
      </c>
      <c r="I5210" s="5" t="str">
        <f t="shared" si="623"/>
        <v>017</v>
      </c>
      <c r="J5210" s="5" t="str">
        <f t="shared" si="624"/>
        <v>2210</v>
      </c>
      <c r="K5210" s="5" t="str">
        <f t="shared" si="625"/>
        <v>000</v>
      </c>
      <c r="L5210" s="5">
        <f t="shared" si="626"/>
        <v>1</v>
      </c>
      <c r="M5210" s="5">
        <f t="shared" si="627"/>
        <v>2013</v>
      </c>
    </row>
    <row r="5211" spans="1:13" ht="15" x14ac:dyDescent="0.25">
      <c r="A5211" s="1">
        <f>DATE(2013,1,13)</f>
        <v>41287</v>
      </c>
      <c r="B5211" t="s">
        <v>17</v>
      </c>
      <c r="C5211" t="s">
        <v>9</v>
      </c>
      <c r="D5211" s="3">
        <v>210.30479999999997</v>
      </c>
      <c r="E5211" s="3">
        <v>0</v>
      </c>
      <c r="F5211" t="s">
        <v>45</v>
      </c>
      <c r="G5211" s="3">
        <f t="shared" si="621"/>
        <v>-210.30479999999997</v>
      </c>
      <c r="H5211" s="3">
        <f t="shared" si="622"/>
        <v>210.30479999999997</v>
      </c>
      <c r="I5211" s="5" t="str">
        <f t="shared" si="623"/>
        <v>017</v>
      </c>
      <c r="J5211" s="5" t="str">
        <f t="shared" si="624"/>
        <v>2220</v>
      </c>
      <c r="K5211" s="5" t="str">
        <f t="shared" si="625"/>
        <v>000</v>
      </c>
      <c r="L5211" s="5">
        <f t="shared" si="626"/>
        <v>1</v>
      </c>
      <c r="M5211" s="5">
        <f t="shared" si="627"/>
        <v>2013</v>
      </c>
    </row>
    <row r="5212" spans="1:13" ht="15" x14ac:dyDescent="0.25">
      <c r="A5212" s="1">
        <f>DATE(2013,1,13)</f>
        <v>41287</v>
      </c>
      <c r="B5212" t="s">
        <v>18</v>
      </c>
      <c r="C5212" t="s">
        <v>10</v>
      </c>
      <c r="D5212" s="3">
        <v>116.7075</v>
      </c>
      <c r="E5212" s="3">
        <v>0</v>
      </c>
      <c r="F5212" t="s">
        <v>45</v>
      </c>
      <c r="G5212" s="3">
        <f t="shared" si="621"/>
        <v>-116.7075</v>
      </c>
      <c r="H5212" s="3">
        <f t="shared" si="622"/>
        <v>116.7075</v>
      </c>
      <c r="I5212" s="5" t="str">
        <f t="shared" si="623"/>
        <v>017</v>
      </c>
      <c r="J5212" s="5" t="str">
        <f t="shared" si="624"/>
        <v>2230</v>
      </c>
      <c r="K5212" s="5" t="str">
        <f t="shared" si="625"/>
        <v>000</v>
      </c>
      <c r="L5212" s="5">
        <f t="shared" si="626"/>
        <v>1</v>
      </c>
      <c r="M5212" s="5">
        <f t="shared" si="627"/>
        <v>2013</v>
      </c>
    </row>
    <row r="5213" spans="1:13" ht="15" x14ac:dyDescent="0.25">
      <c r="A5213" s="1">
        <f>DATE(2013,1,7)</f>
        <v>41281</v>
      </c>
      <c r="B5213" t="s">
        <v>19</v>
      </c>
      <c r="C5213" t="s">
        <v>6</v>
      </c>
      <c r="D5213" s="3">
        <v>1797.8286000000001</v>
      </c>
      <c r="E5213" s="3">
        <v>0</v>
      </c>
      <c r="F5213" t="s">
        <v>45</v>
      </c>
      <c r="G5213" s="3">
        <f t="shared" si="621"/>
        <v>-1797.8286000000001</v>
      </c>
      <c r="H5213" s="3">
        <f t="shared" si="622"/>
        <v>1797.8286000000001</v>
      </c>
      <c r="I5213" s="5" t="str">
        <f t="shared" si="623"/>
        <v>018</v>
      </c>
      <c r="J5213" s="5" t="str">
        <f t="shared" si="624"/>
        <v>2100</v>
      </c>
      <c r="K5213" s="5" t="str">
        <f t="shared" si="625"/>
        <v>000</v>
      </c>
      <c r="L5213" s="5">
        <f t="shared" si="626"/>
        <v>1</v>
      </c>
      <c r="M5213" s="5">
        <f t="shared" si="627"/>
        <v>2013</v>
      </c>
    </row>
    <row r="5214" spans="1:13" ht="15" x14ac:dyDescent="0.25">
      <c r="A5214" s="1">
        <f>DATE(2013,1,7)</f>
        <v>41281</v>
      </c>
      <c r="B5214" t="s">
        <v>20</v>
      </c>
      <c r="C5214" t="s">
        <v>8</v>
      </c>
      <c r="D5214" s="3">
        <v>249.94200000000001</v>
      </c>
      <c r="E5214" s="3">
        <v>0</v>
      </c>
      <c r="F5214" t="s">
        <v>45</v>
      </c>
      <c r="G5214" s="3">
        <f t="shared" si="621"/>
        <v>-249.94200000000001</v>
      </c>
      <c r="H5214" s="3">
        <f t="shared" si="622"/>
        <v>249.94200000000001</v>
      </c>
      <c r="I5214" s="5" t="str">
        <f t="shared" si="623"/>
        <v>018</v>
      </c>
      <c r="J5214" s="5" t="str">
        <f t="shared" si="624"/>
        <v>2210</v>
      </c>
      <c r="K5214" s="5" t="str">
        <f t="shared" si="625"/>
        <v>000</v>
      </c>
      <c r="L5214" s="5">
        <f t="shared" si="626"/>
        <v>1</v>
      </c>
      <c r="M5214" s="5">
        <f t="shared" si="627"/>
        <v>2013</v>
      </c>
    </row>
    <row r="5215" spans="1:13" ht="15" x14ac:dyDescent="0.25">
      <c r="A5215" s="1">
        <f>DATE(2013,1,7)</f>
        <v>41281</v>
      </c>
      <c r="B5215" t="s">
        <v>21</v>
      </c>
      <c r="C5215" t="s">
        <v>9</v>
      </c>
      <c r="D5215" s="3">
        <v>69.426000000000002</v>
      </c>
      <c r="E5215" s="3">
        <v>0</v>
      </c>
      <c r="F5215" t="s">
        <v>45</v>
      </c>
      <c r="G5215" s="3">
        <f t="shared" si="621"/>
        <v>-69.426000000000002</v>
      </c>
      <c r="H5215" s="3">
        <f t="shared" si="622"/>
        <v>69.426000000000002</v>
      </c>
      <c r="I5215" s="5" t="str">
        <f t="shared" si="623"/>
        <v>018</v>
      </c>
      <c r="J5215" s="5" t="str">
        <f t="shared" si="624"/>
        <v>2220</v>
      </c>
      <c r="K5215" s="5" t="str">
        <f t="shared" si="625"/>
        <v>000</v>
      </c>
      <c r="L5215" s="5">
        <f t="shared" si="626"/>
        <v>1</v>
      </c>
      <c r="M5215" s="5">
        <f t="shared" si="627"/>
        <v>2013</v>
      </c>
    </row>
    <row r="5216" spans="1:13" ht="15" x14ac:dyDescent="0.25">
      <c r="A5216" s="1">
        <f>DATE(2013,1,7)</f>
        <v>41281</v>
      </c>
      <c r="B5216" t="s">
        <v>22</v>
      </c>
      <c r="C5216" t="s">
        <v>10</v>
      </c>
      <c r="D5216" s="3">
        <v>18.843499999999999</v>
      </c>
      <c r="E5216" s="3">
        <v>0</v>
      </c>
      <c r="F5216" t="s">
        <v>45</v>
      </c>
      <c r="G5216" s="3">
        <f t="shared" si="621"/>
        <v>-18.843499999999999</v>
      </c>
      <c r="H5216" s="3">
        <f t="shared" si="622"/>
        <v>18.843499999999999</v>
      </c>
      <c r="I5216" s="5" t="str">
        <f t="shared" si="623"/>
        <v>018</v>
      </c>
      <c r="J5216" s="5" t="str">
        <f t="shared" si="624"/>
        <v>2230</v>
      </c>
      <c r="K5216" s="5" t="str">
        <f t="shared" si="625"/>
        <v>000</v>
      </c>
      <c r="L5216" s="5">
        <f t="shared" si="626"/>
        <v>1</v>
      </c>
      <c r="M5216" s="5">
        <f t="shared" si="627"/>
        <v>2013</v>
      </c>
    </row>
    <row r="5217" spans="1:13" ht="15" x14ac:dyDescent="0.25">
      <c r="A5217" s="1">
        <f>DATE(2013,1,8)</f>
        <v>41282</v>
      </c>
      <c r="B5217" t="s">
        <v>19</v>
      </c>
      <c r="C5217" t="s">
        <v>6</v>
      </c>
      <c r="D5217" s="3">
        <v>3029.2231999999999</v>
      </c>
      <c r="E5217" s="3">
        <v>0</v>
      </c>
      <c r="F5217" t="s">
        <v>45</v>
      </c>
      <c r="G5217" s="3">
        <f t="shared" si="621"/>
        <v>-3029.2231999999999</v>
      </c>
      <c r="H5217" s="3">
        <f t="shared" si="622"/>
        <v>3029.2231999999999</v>
      </c>
      <c r="I5217" s="5" t="str">
        <f t="shared" si="623"/>
        <v>018</v>
      </c>
      <c r="J5217" s="5" t="str">
        <f t="shared" si="624"/>
        <v>2100</v>
      </c>
      <c r="K5217" s="5" t="str">
        <f t="shared" si="625"/>
        <v>000</v>
      </c>
      <c r="L5217" s="5">
        <f t="shared" si="626"/>
        <v>1</v>
      </c>
      <c r="M5217" s="5">
        <f t="shared" si="627"/>
        <v>2013</v>
      </c>
    </row>
    <row r="5218" spans="1:13" ht="15" x14ac:dyDescent="0.25">
      <c r="A5218" s="1">
        <f>DATE(2013,1,8)</f>
        <v>41282</v>
      </c>
      <c r="B5218" t="s">
        <v>20</v>
      </c>
      <c r="C5218" t="s">
        <v>8</v>
      </c>
      <c r="D5218" s="3">
        <v>230.46800000000002</v>
      </c>
      <c r="E5218" s="3">
        <v>0</v>
      </c>
      <c r="F5218" t="s">
        <v>45</v>
      </c>
      <c r="G5218" s="3">
        <f t="shared" si="621"/>
        <v>-230.46800000000002</v>
      </c>
      <c r="H5218" s="3">
        <f t="shared" si="622"/>
        <v>230.46800000000002</v>
      </c>
      <c r="I5218" s="5" t="str">
        <f t="shared" si="623"/>
        <v>018</v>
      </c>
      <c r="J5218" s="5" t="str">
        <f t="shared" si="624"/>
        <v>2210</v>
      </c>
      <c r="K5218" s="5" t="str">
        <f t="shared" si="625"/>
        <v>000</v>
      </c>
      <c r="L5218" s="5">
        <f t="shared" si="626"/>
        <v>1</v>
      </c>
      <c r="M5218" s="5">
        <f t="shared" si="627"/>
        <v>2013</v>
      </c>
    </row>
    <row r="5219" spans="1:13" ht="15" x14ac:dyDescent="0.25">
      <c r="A5219" s="1">
        <f>DATE(2013,1,8)</f>
        <v>41282</v>
      </c>
      <c r="B5219" t="s">
        <v>21</v>
      </c>
      <c r="C5219" t="s">
        <v>9</v>
      </c>
      <c r="D5219" s="3">
        <v>71.034499999999994</v>
      </c>
      <c r="E5219" s="3">
        <v>0</v>
      </c>
      <c r="F5219" t="s">
        <v>45</v>
      </c>
      <c r="G5219" s="3">
        <f t="shared" si="621"/>
        <v>-71.034499999999994</v>
      </c>
      <c r="H5219" s="3">
        <f t="shared" si="622"/>
        <v>71.034499999999994</v>
      </c>
      <c r="I5219" s="5" t="str">
        <f t="shared" si="623"/>
        <v>018</v>
      </c>
      <c r="J5219" s="5" t="str">
        <f t="shared" si="624"/>
        <v>2220</v>
      </c>
      <c r="K5219" s="5" t="str">
        <f t="shared" si="625"/>
        <v>000</v>
      </c>
      <c r="L5219" s="5">
        <f t="shared" si="626"/>
        <v>1</v>
      </c>
      <c r="M5219" s="5">
        <f t="shared" si="627"/>
        <v>2013</v>
      </c>
    </row>
    <row r="5220" spans="1:13" ht="15" x14ac:dyDescent="0.25">
      <c r="A5220" s="1">
        <f>DATE(2013,1,8)</f>
        <v>41282</v>
      </c>
      <c r="B5220" t="s">
        <v>22</v>
      </c>
      <c r="C5220" t="s">
        <v>10</v>
      </c>
      <c r="D5220" s="3">
        <v>35.244399999999999</v>
      </c>
      <c r="E5220" s="3">
        <v>0</v>
      </c>
      <c r="F5220" t="s">
        <v>45</v>
      </c>
      <c r="G5220" s="3">
        <f t="shared" si="621"/>
        <v>-35.244399999999999</v>
      </c>
      <c r="H5220" s="3">
        <f t="shared" si="622"/>
        <v>35.244399999999999</v>
      </c>
      <c r="I5220" s="5" t="str">
        <f t="shared" si="623"/>
        <v>018</v>
      </c>
      <c r="J5220" s="5" t="str">
        <f t="shared" si="624"/>
        <v>2230</v>
      </c>
      <c r="K5220" s="5" t="str">
        <f t="shared" si="625"/>
        <v>000</v>
      </c>
      <c r="L5220" s="5">
        <f t="shared" si="626"/>
        <v>1</v>
      </c>
      <c r="M5220" s="5">
        <f t="shared" si="627"/>
        <v>2013</v>
      </c>
    </row>
    <row r="5221" spans="1:13" ht="15" x14ac:dyDescent="0.25">
      <c r="A5221" s="1">
        <f>DATE(2013,1,9)</f>
        <v>41283</v>
      </c>
      <c r="B5221" t="s">
        <v>19</v>
      </c>
      <c r="C5221" t="s">
        <v>6</v>
      </c>
      <c r="D5221" s="3">
        <v>3387.8441999999995</v>
      </c>
      <c r="E5221" s="3">
        <v>0</v>
      </c>
      <c r="F5221" t="s">
        <v>45</v>
      </c>
      <c r="G5221" s="3">
        <f t="shared" si="621"/>
        <v>-3387.8441999999995</v>
      </c>
      <c r="H5221" s="3">
        <f t="shared" si="622"/>
        <v>3387.8441999999995</v>
      </c>
      <c r="I5221" s="5" t="str">
        <f t="shared" si="623"/>
        <v>018</v>
      </c>
      <c r="J5221" s="5" t="str">
        <f t="shared" si="624"/>
        <v>2100</v>
      </c>
      <c r="K5221" s="5" t="str">
        <f t="shared" si="625"/>
        <v>000</v>
      </c>
      <c r="L5221" s="5">
        <f t="shared" si="626"/>
        <v>1</v>
      </c>
      <c r="M5221" s="5">
        <f t="shared" si="627"/>
        <v>2013</v>
      </c>
    </row>
    <row r="5222" spans="1:13" ht="15" x14ac:dyDescent="0.25">
      <c r="A5222" s="1">
        <f>DATE(2013,1,9)</f>
        <v>41283</v>
      </c>
      <c r="B5222" t="s">
        <v>20</v>
      </c>
      <c r="C5222" t="s">
        <v>8</v>
      </c>
      <c r="D5222" s="3">
        <v>792.95440000000008</v>
      </c>
      <c r="E5222" s="3">
        <v>0</v>
      </c>
      <c r="F5222" t="s">
        <v>45</v>
      </c>
      <c r="G5222" s="3">
        <f t="shared" si="621"/>
        <v>-792.95440000000008</v>
      </c>
      <c r="H5222" s="3">
        <f t="shared" si="622"/>
        <v>792.95440000000008</v>
      </c>
      <c r="I5222" s="5" t="str">
        <f t="shared" si="623"/>
        <v>018</v>
      </c>
      <c r="J5222" s="5" t="str">
        <f t="shared" si="624"/>
        <v>2210</v>
      </c>
      <c r="K5222" s="5" t="str">
        <f t="shared" si="625"/>
        <v>000</v>
      </c>
      <c r="L5222" s="5">
        <f t="shared" si="626"/>
        <v>1</v>
      </c>
      <c r="M5222" s="5">
        <f t="shared" si="627"/>
        <v>2013</v>
      </c>
    </row>
    <row r="5223" spans="1:13" ht="15" x14ac:dyDescent="0.25">
      <c r="A5223" s="1">
        <f>DATE(2013,1,9)</f>
        <v>41283</v>
      </c>
      <c r="B5223" t="s">
        <v>21</v>
      </c>
      <c r="C5223" t="s">
        <v>9</v>
      </c>
      <c r="D5223" s="3">
        <v>239.10750000000002</v>
      </c>
      <c r="E5223" s="3">
        <v>0</v>
      </c>
      <c r="F5223" t="s">
        <v>45</v>
      </c>
      <c r="G5223" s="3">
        <f t="shared" si="621"/>
        <v>-239.10750000000002</v>
      </c>
      <c r="H5223" s="3">
        <f t="shared" si="622"/>
        <v>239.10750000000002</v>
      </c>
      <c r="I5223" s="5" t="str">
        <f t="shared" si="623"/>
        <v>018</v>
      </c>
      <c r="J5223" s="5" t="str">
        <f t="shared" si="624"/>
        <v>2220</v>
      </c>
      <c r="K5223" s="5" t="str">
        <f t="shared" si="625"/>
        <v>000</v>
      </c>
      <c r="L5223" s="5">
        <f t="shared" si="626"/>
        <v>1</v>
      </c>
      <c r="M5223" s="5">
        <f t="shared" si="627"/>
        <v>2013</v>
      </c>
    </row>
    <row r="5224" spans="1:13" ht="15" x14ac:dyDescent="0.25">
      <c r="A5224" s="1">
        <f>DATE(2013,1,9)</f>
        <v>41283</v>
      </c>
      <c r="B5224" t="s">
        <v>22</v>
      </c>
      <c r="C5224" t="s">
        <v>10</v>
      </c>
      <c r="D5224" s="3">
        <v>39.315300000000001</v>
      </c>
      <c r="E5224" s="3">
        <v>0</v>
      </c>
      <c r="F5224" t="s">
        <v>45</v>
      </c>
      <c r="G5224" s="3">
        <f t="shared" si="621"/>
        <v>-39.315300000000001</v>
      </c>
      <c r="H5224" s="3">
        <f t="shared" si="622"/>
        <v>39.315300000000001</v>
      </c>
      <c r="I5224" s="5" t="str">
        <f t="shared" si="623"/>
        <v>018</v>
      </c>
      <c r="J5224" s="5" t="str">
        <f t="shared" si="624"/>
        <v>2230</v>
      </c>
      <c r="K5224" s="5" t="str">
        <f t="shared" si="625"/>
        <v>000</v>
      </c>
      <c r="L5224" s="5">
        <f t="shared" si="626"/>
        <v>1</v>
      </c>
      <c r="M5224" s="5">
        <f t="shared" si="627"/>
        <v>2013</v>
      </c>
    </row>
    <row r="5225" spans="1:13" ht="15" x14ac:dyDescent="0.25">
      <c r="A5225" s="1">
        <f>DATE(2013,1,10)</f>
        <v>41284</v>
      </c>
      <c r="B5225" t="s">
        <v>19</v>
      </c>
      <c r="C5225" t="s">
        <v>6</v>
      </c>
      <c r="D5225" s="3">
        <v>2682.0751</v>
      </c>
      <c r="E5225" s="3">
        <v>0</v>
      </c>
      <c r="F5225" t="s">
        <v>45</v>
      </c>
      <c r="G5225" s="3">
        <f t="shared" si="621"/>
        <v>-2682.0751</v>
      </c>
      <c r="H5225" s="3">
        <f t="shared" si="622"/>
        <v>2682.0751</v>
      </c>
      <c r="I5225" s="5" t="str">
        <f t="shared" si="623"/>
        <v>018</v>
      </c>
      <c r="J5225" s="5" t="str">
        <f t="shared" si="624"/>
        <v>2100</v>
      </c>
      <c r="K5225" s="5" t="str">
        <f t="shared" si="625"/>
        <v>000</v>
      </c>
      <c r="L5225" s="5">
        <f t="shared" si="626"/>
        <v>1</v>
      </c>
      <c r="M5225" s="5">
        <f t="shared" si="627"/>
        <v>2013</v>
      </c>
    </row>
    <row r="5226" spans="1:13" ht="15" x14ac:dyDescent="0.25">
      <c r="A5226" s="1">
        <f>DATE(2013,1,10)</f>
        <v>41284</v>
      </c>
      <c r="B5226" t="s">
        <v>20</v>
      </c>
      <c r="C5226" t="s">
        <v>8</v>
      </c>
      <c r="D5226" s="3">
        <v>551.46179999999993</v>
      </c>
      <c r="E5226" s="3">
        <v>0</v>
      </c>
      <c r="F5226" t="s">
        <v>45</v>
      </c>
      <c r="G5226" s="3">
        <f t="shared" si="621"/>
        <v>-551.46179999999993</v>
      </c>
      <c r="H5226" s="3">
        <f t="shared" si="622"/>
        <v>551.46179999999993</v>
      </c>
      <c r="I5226" s="5" t="str">
        <f t="shared" si="623"/>
        <v>018</v>
      </c>
      <c r="J5226" s="5" t="str">
        <f t="shared" si="624"/>
        <v>2210</v>
      </c>
      <c r="K5226" s="5" t="str">
        <f t="shared" si="625"/>
        <v>000</v>
      </c>
      <c r="L5226" s="5">
        <f t="shared" si="626"/>
        <v>1</v>
      </c>
      <c r="M5226" s="5">
        <f t="shared" si="627"/>
        <v>2013</v>
      </c>
    </row>
    <row r="5227" spans="1:13" ht="15" x14ac:dyDescent="0.25">
      <c r="A5227" s="1">
        <f>DATE(2013,1,10)</f>
        <v>41284</v>
      </c>
      <c r="B5227" t="s">
        <v>21</v>
      </c>
      <c r="C5227" t="s">
        <v>9</v>
      </c>
      <c r="D5227" s="3">
        <v>234.94220000000001</v>
      </c>
      <c r="E5227" s="3">
        <v>0</v>
      </c>
      <c r="F5227" t="s">
        <v>45</v>
      </c>
      <c r="G5227" s="3">
        <f t="shared" si="621"/>
        <v>-234.94220000000001</v>
      </c>
      <c r="H5227" s="3">
        <f t="shared" si="622"/>
        <v>234.94220000000001</v>
      </c>
      <c r="I5227" s="5" t="str">
        <f t="shared" si="623"/>
        <v>018</v>
      </c>
      <c r="J5227" s="5" t="str">
        <f t="shared" si="624"/>
        <v>2220</v>
      </c>
      <c r="K5227" s="5" t="str">
        <f t="shared" si="625"/>
        <v>000</v>
      </c>
      <c r="L5227" s="5">
        <f t="shared" si="626"/>
        <v>1</v>
      </c>
      <c r="M5227" s="5">
        <f t="shared" si="627"/>
        <v>2013</v>
      </c>
    </row>
    <row r="5228" spans="1:13" ht="15" x14ac:dyDescent="0.25">
      <c r="A5228" s="1">
        <f>DATE(2013,1,10)</f>
        <v>41284</v>
      </c>
      <c r="B5228" t="s">
        <v>22</v>
      </c>
      <c r="C5228" t="s">
        <v>10</v>
      </c>
      <c r="D5228" s="3">
        <v>15.118799999999998</v>
      </c>
      <c r="E5228" s="3">
        <v>0</v>
      </c>
      <c r="F5228" t="s">
        <v>45</v>
      </c>
      <c r="G5228" s="3">
        <f t="shared" si="621"/>
        <v>-15.118799999999998</v>
      </c>
      <c r="H5228" s="3">
        <f t="shared" si="622"/>
        <v>15.118799999999998</v>
      </c>
      <c r="I5228" s="5" t="str">
        <f t="shared" si="623"/>
        <v>018</v>
      </c>
      <c r="J5228" s="5" t="str">
        <f t="shared" si="624"/>
        <v>2230</v>
      </c>
      <c r="K5228" s="5" t="str">
        <f t="shared" si="625"/>
        <v>000</v>
      </c>
      <c r="L5228" s="5">
        <f t="shared" si="626"/>
        <v>1</v>
      </c>
      <c r="M5228" s="5">
        <f t="shared" si="627"/>
        <v>2013</v>
      </c>
    </row>
    <row r="5229" spans="1:13" ht="15" x14ac:dyDescent="0.25">
      <c r="A5229" s="1">
        <f>DATE(2013,1,11)</f>
        <v>41285</v>
      </c>
      <c r="B5229" t="s">
        <v>19</v>
      </c>
      <c r="C5229" t="s">
        <v>6</v>
      </c>
      <c r="D5229" s="3">
        <v>8379.5896999999986</v>
      </c>
      <c r="E5229" s="3">
        <v>0</v>
      </c>
      <c r="F5229" t="s">
        <v>45</v>
      </c>
      <c r="G5229" s="3">
        <f t="shared" si="621"/>
        <v>-8379.5896999999986</v>
      </c>
      <c r="H5229" s="3">
        <f t="shared" si="622"/>
        <v>8379.5896999999986</v>
      </c>
      <c r="I5229" s="5" t="str">
        <f t="shared" si="623"/>
        <v>018</v>
      </c>
      <c r="J5229" s="5" t="str">
        <f t="shared" si="624"/>
        <v>2100</v>
      </c>
      <c r="K5229" s="5" t="str">
        <f t="shared" si="625"/>
        <v>000</v>
      </c>
      <c r="L5229" s="5">
        <f t="shared" si="626"/>
        <v>1</v>
      </c>
      <c r="M5229" s="5">
        <f t="shared" si="627"/>
        <v>2013</v>
      </c>
    </row>
    <row r="5230" spans="1:13" ht="15" x14ac:dyDescent="0.25">
      <c r="A5230" s="1">
        <f>DATE(2013,1,11)</f>
        <v>41285</v>
      </c>
      <c r="B5230" t="s">
        <v>20</v>
      </c>
      <c r="C5230" t="s">
        <v>8</v>
      </c>
      <c r="D5230" s="3">
        <v>2400.0529000000001</v>
      </c>
      <c r="E5230" s="3">
        <v>0</v>
      </c>
      <c r="F5230" t="s">
        <v>45</v>
      </c>
      <c r="G5230" s="3">
        <f t="shared" si="621"/>
        <v>-2400.0529000000001</v>
      </c>
      <c r="H5230" s="3">
        <f t="shared" si="622"/>
        <v>2400.0529000000001</v>
      </c>
      <c r="I5230" s="5" t="str">
        <f t="shared" si="623"/>
        <v>018</v>
      </c>
      <c r="J5230" s="5" t="str">
        <f t="shared" si="624"/>
        <v>2210</v>
      </c>
      <c r="K5230" s="5" t="str">
        <f t="shared" si="625"/>
        <v>000</v>
      </c>
      <c r="L5230" s="5">
        <f t="shared" si="626"/>
        <v>1</v>
      </c>
      <c r="M5230" s="5">
        <f t="shared" si="627"/>
        <v>2013</v>
      </c>
    </row>
    <row r="5231" spans="1:13" ht="15" x14ac:dyDescent="0.25">
      <c r="A5231" s="1">
        <f>DATE(2013,1,11)</f>
        <v>41285</v>
      </c>
      <c r="B5231" t="s">
        <v>21</v>
      </c>
      <c r="C5231" t="s">
        <v>9</v>
      </c>
      <c r="D5231" s="3">
        <v>496.57229999999993</v>
      </c>
      <c r="E5231" s="3">
        <v>0</v>
      </c>
      <c r="F5231" t="s">
        <v>45</v>
      </c>
      <c r="G5231" s="3">
        <f t="shared" si="621"/>
        <v>-496.57229999999993</v>
      </c>
      <c r="H5231" s="3">
        <f t="shared" si="622"/>
        <v>496.57229999999993</v>
      </c>
      <c r="I5231" s="5" t="str">
        <f t="shared" si="623"/>
        <v>018</v>
      </c>
      <c r="J5231" s="5" t="str">
        <f t="shared" si="624"/>
        <v>2220</v>
      </c>
      <c r="K5231" s="5" t="str">
        <f t="shared" si="625"/>
        <v>000</v>
      </c>
      <c r="L5231" s="5">
        <f t="shared" si="626"/>
        <v>1</v>
      </c>
      <c r="M5231" s="5">
        <f t="shared" si="627"/>
        <v>2013</v>
      </c>
    </row>
    <row r="5232" spans="1:13" ht="15" x14ac:dyDescent="0.25">
      <c r="A5232" s="1">
        <f>DATE(2013,1,11)</f>
        <v>41285</v>
      </c>
      <c r="B5232" t="s">
        <v>22</v>
      </c>
      <c r="C5232" t="s">
        <v>10</v>
      </c>
      <c r="D5232" s="3">
        <v>113.955</v>
      </c>
      <c r="E5232" s="3">
        <v>0</v>
      </c>
      <c r="F5232" t="s">
        <v>45</v>
      </c>
      <c r="G5232" s="3">
        <f t="shared" si="621"/>
        <v>-113.955</v>
      </c>
      <c r="H5232" s="3">
        <f t="shared" si="622"/>
        <v>113.955</v>
      </c>
      <c r="I5232" s="5" t="str">
        <f t="shared" si="623"/>
        <v>018</v>
      </c>
      <c r="J5232" s="5" t="str">
        <f t="shared" si="624"/>
        <v>2230</v>
      </c>
      <c r="K5232" s="5" t="str">
        <f t="shared" si="625"/>
        <v>000</v>
      </c>
      <c r="L5232" s="5">
        <f t="shared" si="626"/>
        <v>1</v>
      </c>
      <c r="M5232" s="5">
        <f t="shared" si="627"/>
        <v>2013</v>
      </c>
    </row>
    <row r="5233" spans="1:13" ht="15" x14ac:dyDescent="0.25">
      <c r="A5233" s="1">
        <f>DATE(2013,1,12)</f>
        <v>41286</v>
      </c>
      <c r="B5233" t="s">
        <v>19</v>
      </c>
      <c r="C5233" t="s">
        <v>6</v>
      </c>
      <c r="D5233" s="3">
        <v>13308.810300000001</v>
      </c>
      <c r="E5233" s="3">
        <v>0</v>
      </c>
      <c r="F5233" t="s">
        <v>45</v>
      </c>
      <c r="G5233" s="3">
        <f t="shared" si="621"/>
        <v>-13308.810300000001</v>
      </c>
      <c r="H5233" s="3">
        <f t="shared" si="622"/>
        <v>13308.810300000001</v>
      </c>
      <c r="I5233" s="5" t="str">
        <f t="shared" si="623"/>
        <v>018</v>
      </c>
      <c r="J5233" s="5" t="str">
        <f t="shared" si="624"/>
        <v>2100</v>
      </c>
      <c r="K5233" s="5" t="str">
        <f t="shared" si="625"/>
        <v>000</v>
      </c>
      <c r="L5233" s="5">
        <f t="shared" si="626"/>
        <v>1</v>
      </c>
      <c r="M5233" s="5">
        <f t="shared" si="627"/>
        <v>2013</v>
      </c>
    </row>
    <row r="5234" spans="1:13" ht="15" x14ac:dyDescent="0.25">
      <c r="A5234" s="1">
        <f>DATE(2013,1,12)</f>
        <v>41286</v>
      </c>
      <c r="B5234" t="s">
        <v>20</v>
      </c>
      <c r="C5234" t="s">
        <v>8</v>
      </c>
      <c r="D5234" s="3">
        <v>2463.4798999999998</v>
      </c>
      <c r="E5234" s="3">
        <v>0</v>
      </c>
      <c r="F5234" t="s">
        <v>45</v>
      </c>
      <c r="G5234" s="3">
        <f t="shared" si="621"/>
        <v>-2463.4798999999998</v>
      </c>
      <c r="H5234" s="3">
        <f t="shared" si="622"/>
        <v>2463.4798999999998</v>
      </c>
      <c r="I5234" s="5" t="str">
        <f t="shared" si="623"/>
        <v>018</v>
      </c>
      <c r="J5234" s="5" t="str">
        <f t="shared" si="624"/>
        <v>2210</v>
      </c>
      <c r="K5234" s="5" t="str">
        <f t="shared" si="625"/>
        <v>000</v>
      </c>
      <c r="L5234" s="5">
        <f t="shared" si="626"/>
        <v>1</v>
      </c>
      <c r="M5234" s="5">
        <f t="shared" si="627"/>
        <v>2013</v>
      </c>
    </row>
    <row r="5235" spans="1:13" ht="15" x14ac:dyDescent="0.25">
      <c r="A5235" s="1">
        <f>DATE(2013,1,12)</f>
        <v>41286</v>
      </c>
      <c r="B5235" t="s">
        <v>21</v>
      </c>
      <c r="C5235" t="s">
        <v>9</v>
      </c>
      <c r="D5235" s="3">
        <v>634.30290000000002</v>
      </c>
      <c r="E5235" s="3">
        <v>0</v>
      </c>
      <c r="F5235" t="s">
        <v>45</v>
      </c>
      <c r="G5235" s="3">
        <f t="shared" si="621"/>
        <v>-634.30290000000002</v>
      </c>
      <c r="H5235" s="3">
        <f t="shared" si="622"/>
        <v>634.30290000000002</v>
      </c>
      <c r="I5235" s="5" t="str">
        <f t="shared" si="623"/>
        <v>018</v>
      </c>
      <c r="J5235" s="5" t="str">
        <f t="shared" si="624"/>
        <v>2220</v>
      </c>
      <c r="K5235" s="5" t="str">
        <f t="shared" si="625"/>
        <v>000</v>
      </c>
      <c r="L5235" s="5">
        <f t="shared" si="626"/>
        <v>1</v>
      </c>
      <c r="M5235" s="5">
        <f t="shared" si="627"/>
        <v>2013</v>
      </c>
    </row>
    <row r="5236" spans="1:13" ht="15" x14ac:dyDescent="0.25">
      <c r="A5236" s="1">
        <f>DATE(2013,1,12)</f>
        <v>41286</v>
      </c>
      <c r="B5236" t="s">
        <v>22</v>
      </c>
      <c r="C5236" t="s">
        <v>10</v>
      </c>
      <c r="D5236" s="3">
        <v>113.565</v>
      </c>
      <c r="E5236" s="3">
        <v>0</v>
      </c>
      <c r="F5236" t="s">
        <v>45</v>
      </c>
      <c r="G5236" s="3">
        <f t="shared" si="621"/>
        <v>-113.565</v>
      </c>
      <c r="H5236" s="3">
        <f t="shared" si="622"/>
        <v>113.565</v>
      </c>
      <c r="I5236" s="5" t="str">
        <f t="shared" si="623"/>
        <v>018</v>
      </c>
      <c r="J5236" s="5" t="str">
        <f t="shared" si="624"/>
        <v>2230</v>
      </c>
      <c r="K5236" s="5" t="str">
        <f t="shared" si="625"/>
        <v>000</v>
      </c>
      <c r="L5236" s="5">
        <f t="shared" si="626"/>
        <v>1</v>
      </c>
      <c r="M5236" s="5">
        <f t="shared" si="627"/>
        <v>2013</v>
      </c>
    </row>
    <row r="5237" spans="1:13" ht="15" x14ac:dyDescent="0.25">
      <c r="A5237" s="1">
        <f>DATE(2013,1,13)</f>
        <v>41287</v>
      </c>
      <c r="B5237" t="s">
        <v>19</v>
      </c>
      <c r="C5237" t="s">
        <v>6</v>
      </c>
      <c r="D5237" s="3">
        <v>6478.6186000000007</v>
      </c>
      <c r="E5237" s="3">
        <v>0</v>
      </c>
      <c r="F5237" t="s">
        <v>45</v>
      </c>
      <c r="G5237" s="3">
        <f t="shared" si="621"/>
        <v>-6478.6186000000007</v>
      </c>
      <c r="H5237" s="3">
        <f t="shared" si="622"/>
        <v>6478.6186000000007</v>
      </c>
      <c r="I5237" s="5" t="str">
        <f t="shared" si="623"/>
        <v>018</v>
      </c>
      <c r="J5237" s="5" t="str">
        <f t="shared" si="624"/>
        <v>2100</v>
      </c>
      <c r="K5237" s="5" t="str">
        <f t="shared" si="625"/>
        <v>000</v>
      </c>
      <c r="L5237" s="5">
        <f t="shared" si="626"/>
        <v>1</v>
      </c>
      <c r="M5237" s="5">
        <f t="shared" si="627"/>
        <v>2013</v>
      </c>
    </row>
    <row r="5238" spans="1:13" ht="15" x14ac:dyDescent="0.25">
      <c r="A5238" s="1">
        <f>DATE(2013,1,13)</f>
        <v>41287</v>
      </c>
      <c r="B5238" t="s">
        <v>20</v>
      </c>
      <c r="C5238" t="s">
        <v>8</v>
      </c>
      <c r="D5238" s="3">
        <v>871.38600000000008</v>
      </c>
      <c r="E5238" s="3">
        <v>0</v>
      </c>
      <c r="F5238" t="s">
        <v>45</v>
      </c>
      <c r="G5238" s="3">
        <f t="shared" si="621"/>
        <v>-871.38600000000008</v>
      </c>
      <c r="H5238" s="3">
        <f t="shared" si="622"/>
        <v>871.38600000000008</v>
      </c>
      <c r="I5238" s="5" t="str">
        <f t="shared" si="623"/>
        <v>018</v>
      </c>
      <c r="J5238" s="5" t="str">
        <f t="shared" si="624"/>
        <v>2210</v>
      </c>
      <c r="K5238" s="5" t="str">
        <f t="shared" si="625"/>
        <v>000</v>
      </c>
      <c r="L5238" s="5">
        <f t="shared" si="626"/>
        <v>1</v>
      </c>
      <c r="M5238" s="5">
        <f t="shared" si="627"/>
        <v>2013</v>
      </c>
    </row>
    <row r="5239" spans="1:13" ht="15" x14ac:dyDescent="0.25">
      <c r="A5239" s="1">
        <f>DATE(2013,1,13)</f>
        <v>41287</v>
      </c>
      <c r="B5239" t="s">
        <v>21</v>
      </c>
      <c r="C5239" t="s">
        <v>9</v>
      </c>
      <c r="D5239" s="3">
        <v>204.19290000000001</v>
      </c>
      <c r="E5239" s="3">
        <v>0</v>
      </c>
      <c r="F5239" t="s">
        <v>45</v>
      </c>
      <c r="G5239" s="3">
        <f t="shared" si="621"/>
        <v>-204.19290000000001</v>
      </c>
      <c r="H5239" s="3">
        <f t="shared" si="622"/>
        <v>204.19290000000001</v>
      </c>
      <c r="I5239" s="5" t="str">
        <f t="shared" si="623"/>
        <v>018</v>
      </c>
      <c r="J5239" s="5" t="str">
        <f t="shared" si="624"/>
        <v>2220</v>
      </c>
      <c r="K5239" s="5" t="str">
        <f t="shared" si="625"/>
        <v>000</v>
      </c>
      <c r="L5239" s="5">
        <f t="shared" si="626"/>
        <v>1</v>
      </c>
      <c r="M5239" s="5">
        <f t="shared" si="627"/>
        <v>2013</v>
      </c>
    </row>
    <row r="5240" spans="1:13" ht="15" x14ac:dyDescent="0.25">
      <c r="A5240" s="1">
        <f>DATE(2013,1,13)</f>
        <v>41287</v>
      </c>
      <c r="B5240" t="s">
        <v>22</v>
      </c>
      <c r="C5240" t="s">
        <v>10</v>
      </c>
      <c r="D5240" s="3">
        <v>29.990400000000001</v>
      </c>
      <c r="E5240" s="3">
        <v>0</v>
      </c>
      <c r="F5240" t="s">
        <v>45</v>
      </c>
      <c r="G5240" s="3">
        <f t="shared" si="621"/>
        <v>-29.990400000000001</v>
      </c>
      <c r="H5240" s="3">
        <f t="shared" si="622"/>
        <v>29.990400000000001</v>
      </c>
      <c r="I5240" s="5" t="str">
        <f t="shared" si="623"/>
        <v>018</v>
      </c>
      <c r="J5240" s="5" t="str">
        <f t="shared" si="624"/>
        <v>2230</v>
      </c>
      <c r="K5240" s="5" t="str">
        <f t="shared" si="625"/>
        <v>000</v>
      </c>
      <c r="L5240" s="5">
        <f t="shared" si="626"/>
        <v>1</v>
      </c>
      <c r="M5240" s="5">
        <f t="shared" si="627"/>
        <v>2013</v>
      </c>
    </row>
    <row r="5241" spans="1:13" ht="15" x14ac:dyDescent="0.25">
      <c r="A5241" s="1">
        <f>DATE(2013,1,14)</f>
        <v>41288</v>
      </c>
      <c r="B5241" t="s">
        <v>11</v>
      </c>
      <c r="C5241" t="s">
        <v>6</v>
      </c>
      <c r="D5241" s="3">
        <v>2690.1315999999997</v>
      </c>
      <c r="E5241" s="3">
        <v>0</v>
      </c>
      <c r="F5241" t="s">
        <v>45</v>
      </c>
      <c r="G5241" s="3">
        <f t="shared" si="621"/>
        <v>-2690.1315999999997</v>
      </c>
      <c r="H5241" s="3">
        <f t="shared" si="622"/>
        <v>2690.1315999999997</v>
      </c>
      <c r="I5241" s="5" t="str">
        <f t="shared" si="623"/>
        <v>016</v>
      </c>
      <c r="J5241" s="5" t="str">
        <f t="shared" si="624"/>
        <v>2100</v>
      </c>
      <c r="K5241" s="5" t="str">
        <f t="shared" si="625"/>
        <v>000</v>
      </c>
      <c r="L5241" s="5">
        <f t="shared" si="626"/>
        <v>1</v>
      </c>
      <c r="M5241" s="5">
        <f t="shared" si="627"/>
        <v>2013</v>
      </c>
    </row>
    <row r="5242" spans="1:13" ht="15" x14ac:dyDescent="0.25">
      <c r="A5242" s="1">
        <f>DATE(2013,1,14)</f>
        <v>41288</v>
      </c>
      <c r="B5242" t="s">
        <v>12</v>
      </c>
      <c r="C5242" t="s">
        <v>8</v>
      </c>
      <c r="D5242" s="3">
        <v>701.08860000000004</v>
      </c>
      <c r="E5242" s="3">
        <v>0</v>
      </c>
      <c r="F5242" t="s">
        <v>45</v>
      </c>
      <c r="G5242" s="3">
        <f t="shared" si="621"/>
        <v>-701.08860000000004</v>
      </c>
      <c r="H5242" s="3">
        <f t="shared" si="622"/>
        <v>701.08860000000004</v>
      </c>
      <c r="I5242" s="5" t="str">
        <f t="shared" si="623"/>
        <v>016</v>
      </c>
      <c r="J5242" s="5" t="str">
        <f t="shared" si="624"/>
        <v>2210</v>
      </c>
      <c r="K5242" s="5" t="str">
        <f t="shared" si="625"/>
        <v>000</v>
      </c>
      <c r="L5242" s="5">
        <f t="shared" si="626"/>
        <v>1</v>
      </c>
      <c r="M5242" s="5">
        <f t="shared" si="627"/>
        <v>2013</v>
      </c>
    </row>
    <row r="5243" spans="1:13" ht="15" x14ac:dyDescent="0.25">
      <c r="A5243" s="1">
        <f>DATE(2013,1,14)</f>
        <v>41288</v>
      </c>
      <c r="B5243" t="s">
        <v>13</v>
      </c>
      <c r="C5243" t="s">
        <v>9</v>
      </c>
      <c r="D5243" s="3">
        <v>77.408799999999999</v>
      </c>
      <c r="E5243" s="3">
        <v>0</v>
      </c>
      <c r="F5243" t="s">
        <v>45</v>
      </c>
      <c r="G5243" s="3">
        <f t="shared" si="621"/>
        <v>-77.408799999999999</v>
      </c>
      <c r="H5243" s="3">
        <f t="shared" si="622"/>
        <v>77.408799999999999</v>
      </c>
      <c r="I5243" s="5" t="str">
        <f t="shared" si="623"/>
        <v>016</v>
      </c>
      <c r="J5243" s="5" t="str">
        <f t="shared" si="624"/>
        <v>2220</v>
      </c>
      <c r="K5243" s="5" t="str">
        <f t="shared" si="625"/>
        <v>000</v>
      </c>
      <c r="L5243" s="5">
        <f t="shared" si="626"/>
        <v>1</v>
      </c>
      <c r="M5243" s="5">
        <f t="shared" si="627"/>
        <v>2013</v>
      </c>
    </row>
    <row r="5244" spans="1:13" ht="15" x14ac:dyDescent="0.25">
      <c r="A5244" s="1">
        <f>DATE(2013,1,14)</f>
        <v>41288</v>
      </c>
      <c r="B5244" t="s">
        <v>14</v>
      </c>
      <c r="C5244" t="s">
        <v>10</v>
      </c>
      <c r="D5244" s="3">
        <v>27.373399999999997</v>
      </c>
      <c r="E5244" s="3">
        <v>0</v>
      </c>
      <c r="F5244" t="s">
        <v>45</v>
      </c>
      <c r="G5244" s="3">
        <f t="shared" si="621"/>
        <v>-27.373399999999997</v>
      </c>
      <c r="H5244" s="3">
        <f t="shared" si="622"/>
        <v>27.373399999999997</v>
      </c>
      <c r="I5244" s="5" t="str">
        <f t="shared" si="623"/>
        <v>016</v>
      </c>
      <c r="J5244" s="5" t="str">
        <f t="shared" si="624"/>
        <v>2230</v>
      </c>
      <c r="K5244" s="5" t="str">
        <f t="shared" si="625"/>
        <v>000</v>
      </c>
      <c r="L5244" s="5">
        <f t="shared" si="626"/>
        <v>1</v>
      </c>
      <c r="M5244" s="5">
        <f t="shared" si="627"/>
        <v>2013</v>
      </c>
    </row>
    <row r="5245" spans="1:13" ht="15" x14ac:dyDescent="0.25">
      <c r="A5245" s="1">
        <f>DATE(2013,1,15)</f>
        <v>41289</v>
      </c>
      <c r="B5245" t="s">
        <v>11</v>
      </c>
      <c r="C5245" t="s">
        <v>6</v>
      </c>
      <c r="D5245" s="3">
        <v>7370.8544000000002</v>
      </c>
      <c r="E5245" s="3">
        <v>0</v>
      </c>
      <c r="F5245" t="s">
        <v>45</v>
      </c>
      <c r="G5245" s="3">
        <f t="shared" si="621"/>
        <v>-7370.8544000000002</v>
      </c>
      <c r="H5245" s="3">
        <f t="shared" si="622"/>
        <v>7370.8544000000002</v>
      </c>
      <c r="I5245" s="5" t="str">
        <f t="shared" si="623"/>
        <v>016</v>
      </c>
      <c r="J5245" s="5" t="str">
        <f t="shared" si="624"/>
        <v>2100</v>
      </c>
      <c r="K5245" s="5" t="str">
        <f t="shared" si="625"/>
        <v>000</v>
      </c>
      <c r="L5245" s="5">
        <f t="shared" si="626"/>
        <v>1</v>
      </c>
      <c r="M5245" s="5">
        <f t="shared" si="627"/>
        <v>2013</v>
      </c>
    </row>
    <row r="5246" spans="1:13" ht="15" x14ac:dyDescent="0.25">
      <c r="A5246" s="1">
        <f>DATE(2013,1,15)</f>
        <v>41289</v>
      </c>
      <c r="B5246" t="s">
        <v>12</v>
      </c>
      <c r="C5246" t="s">
        <v>8</v>
      </c>
      <c r="D5246" s="3">
        <v>2132.2132000000001</v>
      </c>
      <c r="E5246" s="3">
        <v>0</v>
      </c>
      <c r="F5246" t="s">
        <v>45</v>
      </c>
      <c r="G5246" s="3">
        <f t="shared" si="621"/>
        <v>-2132.2132000000001</v>
      </c>
      <c r="H5246" s="3">
        <f t="shared" si="622"/>
        <v>2132.2132000000001</v>
      </c>
      <c r="I5246" s="5" t="str">
        <f t="shared" si="623"/>
        <v>016</v>
      </c>
      <c r="J5246" s="5" t="str">
        <f t="shared" si="624"/>
        <v>2210</v>
      </c>
      <c r="K5246" s="5" t="str">
        <f t="shared" si="625"/>
        <v>000</v>
      </c>
      <c r="L5246" s="5">
        <f t="shared" si="626"/>
        <v>1</v>
      </c>
      <c r="M5246" s="5">
        <f t="shared" si="627"/>
        <v>2013</v>
      </c>
    </row>
    <row r="5247" spans="1:13" ht="15" x14ac:dyDescent="0.25">
      <c r="A5247" s="1">
        <f>DATE(2013,1,15)</f>
        <v>41289</v>
      </c>
      <c r="B5247" t="s">
        <v>13</v>
      </c>
      <c r="C5247" t="s">
        <v>9</v>
      </c>
      <c r="D5247" s="3">
        <v>651.60199999999998</v>
      </c>
      <c r="E5247" s="3">
        <v>0</v>
      </c>
      <c r="F5247" t="s">
        <v>45</v>
      </c>
      <c r="G5247" s="3">
        <f t="shared" si="621"/>
        <v>-651.60199999999998</v>
      </c>
      <c r="H5247" s="3">
        <f t="shared" si="622"/>
        <v>651.60199999999998</v>
      </c>
      <c r="I5247" s="5" t="str">
        <f t="shared" si="623"/>
        <v>016</v>
      </c>
      <c r="J5247" s="5" t="str">
        <f t="shared" si="624"/>
        <v>2220</v>
      </c>
      <c r="K5247" s="5" t="str">
        <f t="shared" si="625"/>
        <v>000</v>
      </c>
      <c r="L5247" s="5">
        <f t="shared" si="626"/>
        <v>1</v>
      </c>
      <c r="M5247" s="5">
        <f t="shared" si="627"/>
        <v>2013</v>
      </c>
    </row>
    <row r="5248" spans="1:13" ht="15" x14ac:dyDescent="0.25">
      <c r="A5248" s="1">
        <f>DATE(2013,1,15)</f>
        <v>41289</v>
      </c>
      <c r="B5248" t="s">
        <v>14</v>
      </c>
      <c r="C5248" t="s">
        <v>10</v>
      </c>
      <c r="D5248" s="3">
        <v>233.56040000000002</v>
      </c>
      <c r="E5248" s="3">
        <v>0</v>
      </c>
      <c r="F5248" t="s">
        <v>45</v>
      </c>
      <c r="G5248" s="3">
        <f t="shared" si="621"/>
        <v>-233.56040000000002</v>
      </c>
      <c r="H5248" s="3">
        <f t="shared" si="622"/>
        <v>233.56040000000002</v>
      </c>
      <c r="I5248" s="5" t="str">
        <f t="shared" si="623"/>
        <v>016</v>
      </c>
      <c r="J5248" s="5" t="str">
        <f t="shared" si="624"/>
        <v>2230</v>
      </c>
      <c r="K5248" s="5" t="str">
        <f t="shared" si="625"/>
        <v>000</v>
      </c>
      <c r="L5248" s="5">
        <f t="shared" si="626"/>
        <v>1</v>
      </c>
      <c r="M5248" s="5">
        <f t="shared" si="627"/>
        <v>2013</v>
      </c>
    </row>
    <row r="5249" spans="1:13" ht="15" x14ac:dyDescent="0.25">
      <c r="A5249" s="1">
        <f>DATE(2013,1,16)</f>
        <v>41290</v>
      </c>
      <c r="B5249" t="s">
        <v>11</v>
      </c>
      <c r="C5249" t="s">
        <v>6</v>
      </c>
      <c r="D5249" s="3">
        <v>4061.9516999999996</v>
      </c>
      <c r="E5249" s="3">
        <v>0</v>
      </c>
      <c r="F5249" t="s">
        <v>45</v>
      </c>
      <c r="G5249" s="3">
        <f t="shared" si="621"/>
        <v>-4061.9516999999996</v>
      </c>
      <c r="H5249" s="3">
        <f t="shared" si="622"/>
        <v>4061.9516999999996</v>
      </c>
      <c r="I5249" s="5" t="str">
        <f t="shared" si="623"/>
        <v>016</v>
      </c>
      <c r="J5249" s="5" t="str">
        <f t="shared" si="624"/>
        <v>2100</v>
      </c>
      <c r="K5249" s="5" t="str">
        <f t="shared" si="625"/>
        <v>000</v>
      </c>
      <c r="L5249" s="5">
        <f t="shared" si="626"/>
        <v>1</v>
      </c>
      <c r="M5249" s="5">
        <f t="shared" si="627"/>
        <v>2013</v>
      </c>
    </row>
    <row r="5250" spans="1:13" ht="15" x14ac:dyDescent="0.25">
      <c r="A5250" s="1">
        <f>DATE(2013,1,16)</f>
        <v>41290</v>
      </c>
      <c r="B5250" t="s">
        <v>12</v>
      </c>
      <c r="C5250" t="s">
        <v>8</v>
      </c>
      <c r="D5250" s="3">
        <v>1013.5463</v>
      </c>
      <c r="E5250" s="3">
        <v>0</v>
      </c>
      <c r="F5250" t="s">
        <v>45</v>
      </c>
      <c r="G5250" s="3">
        <f t="shared" ref="G5250:G5313" si="628">E5250-D5250</f>
        <v>-1013.5463</v>
      </c>
      <c r="H5250" s="3">
        <f t="shared" ref="H5250:H5313" si="629">ABS(G5250)</f>
        <v>1013.5463</v>
      </c>
      <c r="I5250" s="5" t="str">
        <f t="shared" ref="I5250:I5313" si="630">MID(B5250,1,3)</f>
        <v>016</v>
      </c>
      <c r="J5250" s="5" t="str">
        <f t="shared" ref="J5250:J5313" si="631">MID(B5250,5,4)</f>
        <v>2210</v>
      </c>
      <c r="K5250" s="5" t="str">
        <f t="shared" ref="K5250:K5313" si="632">MID(B5250,10,3)</f>
        <v>000</v>
      </c>
      <c r="L5250" s="5">
        <f t="shared" ref="L5250:L5313" si="633">MONTH(A5250)</f>
        <v>1</v>
      </c>
      <c r="M5250" s="5">
        <f t="shared" ref="M5250:M5313" si="634">YEAR(A5250)</f>
        <v>2013</v>
      </c>
    </row>
    <row r="5251" spans="1:13" ht="15" x14ac:dyDescent="0.25">
      <c r="A5251" s="1">
        <f>DATE(2013,1,16)</f>
        <v>41290</v>
      </c>
      <c r="B5251" t="s">
        <v>13</v>
      </c>
      <c r="C5251" t="s">
        <v>9</v>
      </c>
      <c r="D5251" s="3">
        <v>137.91239999999999</v>
      </c>
      <c r="E5251" s="3">
        <v>0</v>
      </c>
      <c r="F5251" t="s">
        <v>45</v>
      </c>
      <c r="G5251" s="3">
        <f t="shared" si="628"/>
        <v>-137.91239999999999</v>
      </c>
      <c r="H5251" s="3">
        <f t="shared" si="629"/>
        <v>137.91239999999999</v>
      </c>
      <c r="I5251" s="5" t="str">
        <f t="shared" si="630"/>
        <v>016</v>
      </c>
      <c r="J5251" s="5" t="str">
        <f t="shared" si="631"/>
        <v>2220</v>
      </c>
      <c r="K5251" s="5" t="str">
        <f t="shared" si="632"/>
        <v>000</v>
      </c>
      <c r="L5251" s="5">
        <f t="shared" si="633"/>
        <v>1</v>
      </c>
      <c r="M5251" s="5">
        <f t="shared" si="634"/>
        <v>2013</v>
      </c>
    </row>
    <row r="5252" spans="1:13" ht="15" x14ac:dyDescent="0.25">
      <c r="A5252" s="1">
        <f>DATE(2013,1,16)</f>
        <v>41290</v>
      </c>
      <c r="B5252" t="s">
        <v>14</v>
      </c>
      <c r="C5252" t="s">
        <v>10</v>
      </c>
      <c r="D5252" s="3">
        <v>70.15679999999999</v>
      </c>
      <c r="E5252" s="3">
        <v>0</v>
      </c>
      <c r="F5252" t="s">
        <v>45</v>
      </c>
      <c r="G5252" s="3">
        <f t="shared" si="628"/>
        <v>-70.15679999999999</v>
      </c>
      <c r="H5252" s="3">
        <f t="shared" si="629"/>
        <v>70.15679999999999</v>
      </c>
      <c r="I5252" s="5" t="str">
        <f t="shared" si="630"/>
        <v>016</v>
      </c>
      <c r="J5252" s="5" t="str">
        <f t="shared" si="631"/>
        <v>2230</v>
      </c>
      <c r="K5252" s="5" t="str">
        <f t="shared" si="632"/>
        <v>000</v>
      </c>
      <c r="L5252" s="5">
        <f t="shared" si="633"/>
        <v>1</v>
      </c>
      <c r="M5252" s="5">
        <f t="shared" si="634"/>
        <v>2013</v>
      </c>
    </row>
    <row r="5253" spans="1:13" ht="15" x14ac:dyDescent="0.25">
      <c r="A5253" s="1">
        <f>DATE(2013,1,17)</f>
        <v>41291</v>
      </c>
      <c r="B5253" t="s">
        <v>11</v>
      </c>
      <c r="C5253" t="s">
        <v>6</v>
      </c>
      <c r="D5253" s="3">
        <v>2037.7216000000001</v>
      </c>
      <c r="E5253" s="3">
        <v>0</v>
      </c>
      <c r="F5253" t="s">
        <v>45</v>
      </c>
      <c r="G5253" s="3">
        <f t="shared" si="628"/>
        <v>-2037.7216000000001</v>
      </c>
      <c r="H5253" s="3">
        <f t="shared" si="629"/>
        <v>2037.7216000000001</v>
      </c>
      <c r="I5253" s="5" t="str">
        <f t="shared" si="630"/>
        <v>016</v>
      </c>
      <c r="J5253" s="5" t="str">
        <f t="shared" si="631"/>
        <v>2100</v>
      </c>
      <c r="K5253" s="5" t="str">
        <f t="shared" si="632"/>
        <v>000</v>
      </c>
      <c r="L5253" s="5">
        <f t="shared" si="633"/>
        <v>1</v>
      </c>
      <c r="M5253" s="5">
        <f t="shared" si="634"/>
        <v>2013</v>
      </c>
    </row>
    <row r="5254" spans="1:13" ht="15" x14ac:dyDescent="0.25">
      <c r="A5254" s="1">
        <f>DATE(2013,1,17)</f>
        <v>41291</v>
      </c>
      <c r="B5254" t="s">
        <v>12</v>
      </c>
      <c r="C5254" t="s">
        <v>8</v>
      </c>
      <c r="D5254" s="3">
        <v>819.88099999999997</v>
      </c>
      <c r="E5254" s="3">
        <v>0</v>
      </c>
      <c r="F5254" t="s">
        <v>45</v>
      </c>
      <c r="G5254" s="3">
        <f t="shared" si="628"/>
        <v>-819.88099999999997</v>
      </c>
      <c r="H5254" s="3">
        <f t="shared" si="629"/>
        <v>819.88099999999997</v>
      </c>
      <c r="I5254" s="5" t="str">
        <f t="shared" si="630"/>
        <v>016</v>
      </c>
      <c r="J5254" s="5" t="str">
        <f t="shared" si="631"/>
        <v>2210</v>
      </c>
      <c r="K5254" s="5" t="str">
        <f t="shared" si="632"/>
        <v>000</v>
      </c>
      <c r="L5254" s="5">
        <f t="shared" si="633"/>
        <v>1</v>
      </c>
      <c r="M5254" s="5">
        <f t="shared" si="634"/>
        <v>2013</v>
      </c>
    </row>
    <row r="5255" spans="1:13" ht="15" x14ac:dyDescent="0.25">
      <c r="A5255" s="1">
        <f>DATE(2013,1,17)</f>
        <v>41291</v>
      </c>
      <c r="B5255" t="s">
        <v>13</v>
      </c>
      <c r="C5255" t="s">
        <v>9</v>
      </c>
      <c r="D5255" s="3">
        <v>159.0668</v>
      </c>
      <c r="E5255" s="3">
        <v>0</v>
      </c>
      <c r="F5255" t="s">
        <v>45</v>
      </c>
      <c r="G5255" s="3">
        <f t="shared" si="628"/>
        <v>-159.0668</v>
      </c>
      <c r="H5255" s="3">
        <f t="shared" si="629"/>
        <v>159.0668</v>
      </c>
      <c r="I5255" s="5" t="str">
        <f t="shared" si="630"/>
        <v>016</v>
      </c>
      <c r="J5255" s="5" t="str">
        <f t="shared" si="631"/>
        <v>2220</v>
      </c>
      <c r="K5255" s="5" t="str">
        <f t="shared" si="632"/>
        <v>000</v>
      </c>
      <c r="L5255" s="5">
        <f t="shared" si="633"/>
        <v>1</v>
      </c>
      <c r="M5255" s="5">
        <f t="shared" si="634"/>
        <v>2013</v>
      </c>
    </row>
    <row r="5256" spans="1:13" ht="15" x14ac:dyDescent="0.25">
      <c r="A5256" s="1">
        <f>DATE(2013,1,17)</f>
        <v>41291</v>
      </c>
      <c r="B5256" t="s">
        <v>14</v>
      </c>
      <c r="C5256" t="s">
        <v>10</v>
      </c>
      <c r="D5256" s="3">
        <v>90.323100000000011</v>
      </c>
      <c r="E5256" s="3">
        <v>0</v>
      </c>
      <c r="F5256" t="s">
        <v>45</v>
      </c>
      <c r="G5256" s="3">
        <f t="shared" si="628"/>
        <v>-90.323100000000011</v>
      </c>
      <c r="H5256" s="3">
        <f t="shared" si="629"/>
        <v>90.323100000000011</v>
      </c>
      <c r="I5256" s="5" t="str">
        <f t="shared" si="630"/>
        <v>016</v>
      </c>
      <c r="J5256" s="5" t="str">
        <f t="shared" si="631"/>
        <v>2230</v>
      </c>
      <c r="K5256" s="5" t="str">
        <f t="shared" si="632"/>
        <v>000</v>
      </c>
      <c r="L5256" s="5">
        <f t="shared" si="633"/>
        <v>1</v>
      </c>
      <c r="M5256" s="5">
        <f t="shared" si="634"/>
        <v>2013</v>
      </c>
    </row>
    <row r="5257" spans="1:13" ht="15" x14ac:dyDescent="0.25">
      <c r="A5257" s="1">
        <f>DATE(2013,1,18)</f>
        <v>41292</v>
      </c>
      <c r="B5257" t="s">
        <v>11</v>
      </c>
      <c r="C5257" t="s">
        <v>6</v>
      </c>
      <c r="D5257" s="3">
        <v>7015.9062000000004</v>
      </c>
      <c r="E5257" s="3">
        <v>0</v>
      </c>
      <c r="F5257" t="s">
        <v>45</v>
      </c>
      <c r="G5257" s="3">
        <f t="shared" si="628"/>
        <v>-7015.9062000000004</v>
      </c>
      <c r="H5257" s="3">
        <f t="shared" si="629"/>
        <v>7015.9062000000004</v>
      </c>
      <c r="I5257" s="5" t="str">
        <f t="shared" si="630"/>
        <v>016</v>
      </c>
      <c r="J5257" s="5" t="str">
        <f t="shared" si="631"/>
        <v>2100</v>
      </c>
      <c r="K5257" s="5" t="str">
        <f t="shared" si="632"/>
        <v>000</v>
      </c>
      <c r="L5257" s="5">
        <f t="shared" si="633"/>
        <v>1</v>
      </c>
      <c r="M5257" s="5">
        <f t="shared" si="634"/>
        <v>2013</v>
      </c>
    </row>
    <row r="5258" spans="1:13" ht="15" x14ac:dyDescent="0.25">
      <c r="A5258" s="1">
        <f>DATE(2013,1,18)</f>
        <v>41292</v>
      </c>
      <c r="B5258" t="s">
        <v>12</v>
      </c>
      <c r="C5258" t="s">
        <v>8</v>
      </c>
      <c r="D5258" s="3">
        <v>1575.693</v>
      </c>
      <c r="E5258" s="3">
        <v>0</v>
      </c>
      <c r="F5258" t="s">
        <v>45</v>
      </c>
      <c r="G5258" s="3">
        <f t="shared" si="628"/>
        <v>-1575.693</v>
      </c>
      <c r="H5258" s="3">
        <f t="shared" si="629"/>
        <v>1575.693</v>
      </c>
      <c r="I5258" s="5" t="str">
        <f t="shared" si="630"/>
        <v>016</v>
      </c>
      <c r="J5258" s="5" t="str">
        <f t="shared" si="631"/>
        <v>2210</v>
      </c>
      <c r="K5258" s="5" t="str">
        <f t="shared" si="632"/>
        <v>000</v>
      </c>
      <c r="L5258" s="5">
        <f t="shared" si="633"/>
        <v>1</v>
      </c>
      <c r="M5258" s="5">
        <f t="shared" si="634"/>
        <v>2013</v>
      </c>
    </row>
    <row r="5259" spans="1:13" ht="15" x14ac:dyDescent="0.25">
      <c r="A5259" s="1">
        <f>DATE(2013,1,18)</f>
        <v>41292</v>
      </c>
      <c r="B5259" t="s">
        <v>13</v>
      </c>
      <c r="C5259" t="s">
        <v>9</v>
      </c>
      <c r="D5259" s="3">
        <v>351.48600000000005</v>
      </c>
      <c r="E5259" s="3">
        <v>0</v>
      </c>
      <c r="F5259" t="s">
        <v>45</v>
      </c>
      <c r="G5259" s="3">
        <f t="shared" si="628"/>
        <v>-351.48600000000005</v>
      </c>
      <c r="H5259" s="3">
        <f t="shared" si="629"/>
        <v>351.48600000000005</v>
      </c>
      <c r="I5259" s="5" t="str">
        <f t="shared" si="630"/>
        <v>016</v>
      </c>
      <c r="J5259" s="5" t="str">
        <f t="shared" si="631"/>
        <v>2220</v>
      </c>
      <c r="K5259" s="5" t="str">
        <f t="shared" si="632"/>
        <v>000</v>
      </c>
      <c r="L5259" s="5">
        <f t="shared" si="633"/>
        <v>1</v>
      </c>
      <c r="M5259" s="5">
        <f t="shared" si="634"/>
        <v>2013</v>
      </c>
    </row>
    <row r="5260" spans="1:13" ht="15" x14ac:dyDescent="0.25">
      <c r="A5260" s="1">
        <f>DATE(2013,1,18)</f>
        <v>41292</v>
      </c>
      <c r="B5260" t="s">
        <v>14</v>
      </c>
      <c r="C5260" t="s">
        <v>10</v>
      </c>
      <c r="D5260" s="3">
        <v>200.94759999999999</v>
      </c>
      <c r="E5260" s="3">
        <v>0</v>
      </c>
      <c r="F5260" t="s">
        <v>45</v>
      </c>
      <c r="G5260" s="3">
        <f t="shared" si="628"/>
        <v>-200.94759999999999</v>
      </c>
      <c r="H5260" s="3">
        <f t="shared" si="629"/>
        <v>200.94759999999999</v>
      </c>
      <c r="I5260" s="5" t="str">
        <f t="shared" si="630"/>
        <v>016</v>
      </c>
      <c r="J5260" s="5" t="str">
        <f t="shared" si="631"/>
        <v>2230</v>
      </c>
      <c r="K5260" s="5" t="str">
        <f t="shared" si="632"/>
        <v>000</v>
      </c>
      <c r="L5260" s="5">
        <f t="shared" si="633"/>
        <v>1</v>
      </c>
      <c r="M5260" s="5">
        <f t="shared" si="634"/>
        <v>2013</v>
      </c>
    </row>
    <row r="5261" spans="1:13" ht="15" x14ac:dyDescent="0.25">
      <c r="A5261" s="1">
        <f t="shared" ref="A5261:A5264" si="635">DATE(2013,1,19)</f>
        <v>41293</v>
      </c>
      <c r="B5261" t="s">
        <v>11</v>
      </c>
      <c r="C5261" t="s">
        <v>6</v>
      </c>
      <c r="D5261" s="3">
        <v>7545.4680000000008</v>
      </c>
      <c r="E5261" s="3">
        <v>0</v>
      </c>
      <c r="F5261" t="s">
        <v>45</v>
      </c>
      <c r="G5261" s="3">
        <f t="shared" si="628"/>
        <v>-7545.4680000000008</v>
      </c>
      <c r="H5261" s="3">
        <f t="shared" si="629"/>
        <v>7545.4680000000008</v>
      </c>
      <c r="I5261" s="5" t="str">
        <f t="shared" si="630"/>
        <v>016</v>
      </c>
      <c r="J5261" s="5" t="str">
        <f t="shared" si="631"/>
        <v>2100</v>
      </c>
      <c r="K5261" s="5" t="str">
        <f t="shared" si="632"/>
        <v>000</v>
      </c>
      <c r="L5261" s="5">
        <f t="shared" si="633"/>
        <v>1</v>
      </c>
      <c r="M5261" s="5">
        <f t="shared" si="634"/>
        <v>2013</v>
      </c>
    </row>
    <row r="5262" spans="1:13" ht="15" x14ac:dyDescent="0.25">
      <c r="A5262" s="1">
        <f t="shared" si="635"/>
        <v>41293</v>
      </c>
      <c r="B5262" t="s">
        <v>12</v>
      </c>
      <c r="C5262" t="s">
        <v>8</v>
      </c>
      <c r="D5262" s="3">
        <v>3210.922</v>
      </c>
      <c r="E5262" s="3">
        <v>0</v>
      </c>
      <c r="F5262" t="s">
        <v>45</v>
      </c>
      <c r="G5262" s="3">
        <f t="shared" si="628"/>
        <v>-3210.922</v>
      </c>
      <c r="H5262" s="3">
        <f t="shared" si="629"/>
        <v>3210.922</v>
      </c>
      <c r="I5262" s="5" t="str">
        <f t="shared" si="630"/>
        <v>016</v>
      </c>
      <c r="J5262" s="5" t="str">
        <f t="shared" si="631"/>
        <v>2210</v>
      </c>
      <c r="K5262" s="5" t="str">
        <f t="shared" si="632"/>
        <v>000</v>
      </c>
      <c r="L5262" s="5">
        <f t="shared" si="633"/>
        <v>1</v>
      </c>
      <c r="M5262" s="5">
        <f t="shared" si="634"/>
        <v>2013</v>
      </c>
    </row>
    <row r="5263" spans="1:13" ht="15" x14ac:dyDescent="0.25">
      <c r="A5263" s="1">
        <f t="shared" si="635"/>
        <v>41293</v>
      </c>
      <c r="B5263" t="s">
        <v>13</v>
      </c>
      <c r="C5263" t="s">
        <v>9</v>
      </c>
      <c r="D5263" s="3">
        <v>1440.9759000000001</v>
      </c>
      <c r="E5263" s="3">
        <v>0</v>
      </c>
      <c r="F5263" t="s">
        <v>45</v>
      </c>
      <c r="G5263" s="3">
        <f t="shared" si="628"/>
        <v>-1440.9759000000001</v>
      </c>
      <c r="H5263" s="3">
        <f t="shared" si="629"/>
        <v>1440.9759000000001</v>
      </c>
      <c r="I5263" s="5" t="str">
        <f t="shared" si="630"/>
        <v>016</v>
      </c>
      <c r="J5263" s="5" t="str">
        <f t="shared" si="631"/>
        <v>2220</v>
      </c>
      <c r="K5263" s="5" t="str">
        <f t="shared" si="632"/>
        <v>000</v>
      </c>
      <c r="L5263" s="5">
        <f t="shared" si="633"/>
        <v>1</v>
      </c>
      <c r="M5263" s="5">
        <f t="shared" si="634"/>
        <v>2013</v>
      </c>
    </row>
    <row r="5264" spans="1:13" ht="15" x14ac:dyDescent="0.25">
      <c r="A5264" s="1">
        <f t="shared" si="635"/>
        <v>41293</v>
      </c>
      <c r="B5264" t="s">
        <v>14</v>
      </c>
      <c r="C5264" t="s">
        <v>10</v>
      </c>
      <c r="D5264" s="3">
        <v>393.23899999999998</v>
      </c>
      <c r="E5264" s="3">
        <v>0</v>
      </c>
      <c r="F5264" t="s">
        <v>45</v>
      </c>
      <c r="G5264" s="3">
        <f t="shared" si="628"/>
        <v>-393.23899999999998</v>
      </c>
      <c r="H5264" s="3">
        <f t="shared" si="629"/>
        <v>393.23899999999998</v>
      </c>
      <c r="I5264" s="5" t="str">
        <f t="shared" si="630"/>
        <v>016</v>
      </c>
      <c r="J5264" s="5" t="str">
        <f t="shared" si="631"/>
        <v>2230</v>
      </c>
      <c r="K5264" s="5" t="str">
        <f t="shared" si="632"/>
        <v>000</v>
      </c>
      <c r="L5264" s="5">
        <f t="shared" si="633"/>
        <v>1</v>
      </c>
      <c r="M5264" s="5">
        <f t="shared" si="634"/>
        <v>2013</v>
      </c>
    </row>
    <row r="5265" spans="1:13" ht="15" x14ac:dyDescent="0.25">
      <c r="A5265" s="1">
        <f>DATE(2013,1,20)</f>
        <v>41294</v>
      </c>
      <c r="B5265" t="s">
        <v>11</v>
      </c>
      <c r="C5265" t="s">
        <v>6</v>
      </c>
      <c r="D5265" s="3">
        <v>5540.1449999999995</v>
      </c>
      <c r="E5265" s="3">
        <v>0</v>
      </c>
      <c r="F5265" t="s">
        <v>45</v>
      </c>
      <c r="G5265" s="3">
        <f t="shared" si="628"/>
        <v>-5540.1449999999995</v>
      </c>
      <c r="H5265" s="3">
        <f t="shared" si="629"/>
        <v>5540.1449999999995</v>
      </c>
      <c r="I5265" s="5" t="str">
        <f t="shared" si="630"/>
        <v>016</v>
      </c>
      <c r="J5265" s="5" t="str">
        <f t="shared" si="631"/>
        <v>2100</v>
      </c>
      <c r="K5265" s="5" t="str">
        <f t="shared" si="632"/>
        <v>000</v>
      </c>
      <c r="L5265" s="5">
        <f t="shared" si="633"/>
        <v>1</v>
      </c>
      <c r="M5265" s="5">
        <f t="shared" si="634"/>
        <v>2013</v>
      </c>
    </row>
    <row r="5266" spans="1:13" ht="15" x14ac:dyDescent="0.25">
      <c r="A5266" s="1">
        <f>DATE(2013,1,20)</f>
        <v>41294</v>
      </c>
      <c r="B5266" t="s">
        <v>12</v>
      </c>
      <c r="C5266" t="s">
        <v>8</v>
      </c>
      <c r="D5266" s="3">
        <v>1218.1239</v>
      </c>
      <c r="E5266" s="3">
        <v>0</v>
      </c>
      <c r="F5266" t="s">
        <v>45</v>
      </c>
      <c r="G5266" s="3">
        <f t="shared" si="628"/>
        <v>-1218.1239</v>
      </c>
      <c r="H5266" s="3">
        <f t="shared" si="629"/>
        <v>1218.1239</v>
      </c>
      <c r="I5266" s="5" t="str">
        <f t="shared" si="630"/>
        <v>016</v>
      </c>
      <c r="J5266" s="5" t="str">
        <f t="shared" si="631"/>
        <v>2210</v>
      </c>
      <c r="K5266" s="5" t="str">
        <f t="shared" si="632"/>
        <v>000</v>
      </c>
      <c r="L5266" s="5">
        <f t="shared" si="633"/>
        <v>1</v>
      </c>
      <c r="M5266" s="5">
        <f t="shared" si="634"/>
        <v>2013</v>
      </c>
    </row>
    <row r="5267" spans="1:13" ht="15" x14ac:dyDescent="0.25">
      <c r="A5267" s="1">
        <f>DATE(2013,1,20)</f>
        <v>41294</v>
      </c>
      <c r="B5267" t="s">
        <v>13</v>
      </c>
      <c r="C5267" t="s">
        <v>9</v>
      </c>
      <c r="D5267" s="3">
        <v>263.20319999999998</v>
      </c>
      <c r="E5267" s="3">
        <v>0</v>
      </c>
      <c r="F5267" t="s">
        <v>45</v>
      </c>
      <c r="G5267" s="3">
        <f t="shared" si="628"/>
        <v>-263.20319999999998</v>
      </c>
      <c r="H5267" s="3">
        <f t="shared" si="629"/>
        <v>263.20319999999998</v>
      </c>
      <c r="I5267" s="5" t="str">
        <f t="shared" si="630"/>
        <v>016</v>
      </c>
      <c r="J5267" s="5" t="str">
        <f t="shared" si="631"/>
        <v>2220</v>
      </c>
      <c r="K5267" s="5" t="str">
        <f t="shared" si="632"/>
        <v>000</v>
      </c>
      <c r="L5267" s="5">
        <f t="shared" si="633"/>
        <v>1</v>
      </c>
      <c r="M5267" s="5">
        <f t="shared" si="634"/>
        <v>2013</v>
      </c>
    </row>
    <row r="5268" spans="1:13" ht="15" x14ac:dyDescent="0.25">
      <c r="A5268" s="1">
        <f>DATE(2013,1,20)</f>
        <v>41294</v>
      </c>
      <c r="B5268" t="s">
        <v>14</v>
      </c>
      <c r="C5268" t="s">
        <v>10</v>
      </c>
      <c r="D5268" s="3">
        <v>130.18679999999998</v>
      </c>
      <c r="E5268" s="3">
        <v>0</v>
      </c>
      <c r="F5268" t="s">
        <v>45</v>
      </c>
      <c r="G5268" s="3">
        <f t="shared" si="628"/>
        <v>-130.18679999999998</v>
      </c>
      <c r="H5268" s="3">
        <f t="shared" si="629"/>
        <v>130.18679999999998</v>
      </c>
      <c r="I5268" s="5" t="str">
        <f t="shared" si="630"/>
        <v>016</v>
      </c>
      <c r="J5268" s="5" t="str">
        <f t="shared" si="631"/>
        <v>2230</v>
      </c>
      <c r="K5268" s="5" t="str">
        <f t="shared" si="632"/>
        <v>000</v>
      </c>
      <c r="L5268" s="5">
        <f t="shared" si="633"/>
        <v>1</v>
      </c>
      <c r="M5268" s="5">
        <f t="shared" si="634"/>
        <v>2013</v>
      </c>
    </row>
    <row r="5269" spans="1:13" ht="15" x14ac:dyDescent="0.25">
      <c r="A5269" s="1">
        <f>DATE(2013,1,14)</f>
        <v>41288</v>
      </c>
      <c r="B5269" t="s">
        <v>15</v>
      </c>
      <c r="C5269" t="s">
        <v>6</v>
      </c>
      <c r="D5269" s="3">
        <v>3680.5569999999998</v>
      </c>
      <c r="E5269" s="3">
        <v>0</v>
      </c>
      <c r="F5269" t="s">
        <v>45</v>
      </c>
      <c r="G5269" s="3">
        <f t="shared" si="628"/>
        <v>-3680.5569999999998</v>
      </c>
      <c r="H5269" s="3">
        <f t="shared" si="629"/>
        <v>3680.5569999999998</v>
      </c>
      <c r="I5269" s="5" t="str">
        <f t="shared" si="630"/>
        <v>017</v>
      </c>
      <c r="J5269" s="5" t="str">
        <f t="shared" si="631"/>
        <v>2100</v>
      </c>
      <c r="K5269" s="5" t="str">
        <f t="shared" si="632"/>
        <v>000</v>
      </c>
      <c r="L5269" s="5">
        <f t="shared" si="633"/>
        <v>1</v>
      </c>
      <c r="M5269" s="5">
        <f t="shared" si="634"/>
        <v>2013</v>
      </c>
    </row>
    <row r="5270" spans="1:13" ht="15" x14ac:dyDescent="0.25">
      <c r="A5270" s="1">
        <f>DATE(2013,1,14)</f>
        <v>41288</v>
      </c>
      <c r="B5270" t="s">
        <v>16</v>
      </c>
      <c r="C5270" t="s">
        <v>8</v>
      </c>
      <c r="D5270" s="3">
        <v>493.36539999999997</v>
      </c>
      <c r="E5270" s="3">
        <v>0</v>
      </c>
      <c r="F5270" t="s">
        <v>45</v>
      </c>
      <c r="G5270" s="3">
        <f t="shared" si="628"/>
        <v>-493.36539999999997</v>
      </c>
      <c r="H5270" s="3">
        <f t="shared" si="629"/>
        <v>493.36539999999997</v>
      </c>
      <c r="I5270" s="5" t="str">
        <f t="shared" si="630"/>
        <v>017</v>
      </c>
      <c r="J5270" s="5" t="str">
        <f t="shared" si="631"/>
        <v>2210</v>
      </c>
      <c r="K5270" s="5" t="str">
        <f t="shared" si="632"/>
        <v>000</v>
      </c>
      <c r="L5270" s="5">
        <f t="shared" si="633"/>
        <v>1</v>
      </c>
      <c r="M5270" s="5">
        <f t="shared" si="634"/>
        <v>2013</v>
      </c>
    </row>
    <row r="5271" spans="1:13" ht="15" x14ac:dyDescent="0.25">
      <c r="A5271" s="1">
        <f>DATE(2013,1,14)</f>
        <v>41288</v>
      </c>
      <c r="B5271" t="s">
        <v>17</v>
      </c>
      <c r="C5271" t="s">
        <v>9</v>
      </c>
      <c r="D5271" s="3">
        <v>167.172</v>
      </c>
      <c r="E5271" s="3">
        <v>0</v>
      </c>
      <c r="F5271" t="s">
        <v>45</v>
      </c>
      <c r="G5271" s="3">
        <f t="shared" si="628"/>
        <v>-167.172</v>
      </c>
      <c r="H5271" s="3">
        <f t="shared" si="629"/>
        <v>167.172</v>
      </c>
      <c r="I5271" s="5" t="str">
        <f t="shared" si="630"/>
        <v>017</v>
      </c>
      <c r="J5271" s="5" t="str">
        <f t="shared" si="631"/>
        <v>2220</v>
      </c>
      <c r="K5271" s="5" t="str">
        <f t="shared" si="632"/>
        <v>000</v>
      </c>
      <c r="L5271" s="5">
        <f t="shared" si="633"/>
        <v>1</v>
      </c>
      <c r="M5271" s="5">
        <f t="shared" si="634"/>
        <v>2013</v>
      </c>
    </row>
    <row r="5272" spans="1:13" ht="15" x14ac:dyDescent="0.25">
      <c r="A5272" s="1">
        <f>DATE(2013,1,14)</f>
        <v>41288</v>
      </c>
      <c r="B5272" t="s">
        <v>18</v>
      </c>
      <c r="C5272" t="s">
        <v>10</v>
      </c>
      <c r="D5272" s="3">
        <v>54.536300000000004</v>
      </c>
      <c r="E5272" s="3">
        <v>0</v>
      </c>
      <c r="F5272" t="s">
        <v>45</v>
      </c>
      <c r="G5272" s="3">
        <f t="shared" si="628"/>
        <v>-54.536300000000004</v>
      </c>
      <c r="H5272" s="3">
        <f t="shared" si="629"/>
        <v>54.536300000000004</v>
      </c>
      <c r="I5272" s="5" t="str">
        <f t="shared" si="630"/>
        <v>017</v>
      </c>
      <c r="J5272" s="5" t="str">
        <f t="shared" si="631"/>
        <v>2230</v>
      </c>
      <c r="K5272" s="5" t="str">
        <f t="shared" si="632"/>
        <v>000</v>
      </c>
      <c r="L5272" s="5">
        <f t="shared" si="633"/>
        <v>1</v>
      </c>
      <c r="M5272" s="5">
        <f t="shared" si="634"/>
        <v>2013</v>
      </c>
    </row>
    <row r="5273" spans="1:13" ht="15" x14ac:dyDescent="0.25">
      <c r="A5273" s="1">
        <f>DATE(2013,1,15)</f>
        <v>41289</v>
      </c>
      <c r="B5273" t="s">
        <v>15</v>
      </c>
      <c r="C5273" t="s">
        <v>6</v>
      </c>
      <c r="D5273" s="3">
        <v>4571.6916999999994</v>
      </c>
      <c r="E5273" s="3">
        <v>0</v>
      </c>
      <c r="F5273" t="s">
        <v>45</v>
      </c>
      <c r="G5273" s="3">
        <f t="shared" si="628"/>
        <v>-4571.6916999999994</v>
      </c>
      <c r="H5273" s="3">
        <f t="shared" si="629"/>
        <v>4571.6916999999994</v>
      </c>
      <c r="I5273" s="5" t="str">
        <f t="shared" si="630"/>
        <v>017</v>
      </c>
      <c r="J5273" s="5" t="str">
        <f t="shared" si="631"/>
        <v>2100</v>
      </c>
      <c r="K5273" s="5" t="str">
        <f t="shared" si="632"/>
        <v>000</v>
      </c>
      <c r="L5273" s="5">
        <f t="shared" si="633"/>
        <v>1</v>
      </c>
      <c r="M5273" s="5">
        <f t="shared" si="634"/>
        <v>2013</v>
      </c>
    </row>
    <row r="5274" spans="1:13" ht="15" x14ac:dyDescent="0.25">
      <c r="A5274" s="1">
        <f>DATE(2013,1,15)</f>
        <v>41289</v>
      </c>
      <c r="B5274" t="s">
        <v>16</v>
      </c>
      <c r="C5274" t="s">
        <v>8</v>
      </c>
      <c r="D5274" s="3">
        <v>1480.1402</v>
      </c>
      <c r="E5274" s="3">
        <v>0</v>
      </c>
      <c r="F5274" t="s">
        <v>45</v>
      </c>
      <c r="G5274" s="3">
        <f t="shared" si="628"/>
        <v>-1480.1402</v>
      </c>
      <c r="H5274" s="3">
        <f t="shared" si="629"/>
        <v>1480.1402</v>
      </c>
      <c r="I5274" s="5" t="str">
        <f t="shared" si="630"/>
        <v>017</v>
      </c>
      <c r="J5274" s="5" t="str">
        <f t="shared" si="631"/>
        <v>2210</v>
      </c>
      <c r="K5274" s="5" t="str">
        <f t="shared" si="632"/>
        <v>000</v>
      </c>
      <c r="L5274" s="5">
        <f t="shared" si="633"/>
        <v>1</v>
      </c>
      <c r="M5274" s="5">
        <f t="shared" si="634"/>
        <v>2013</v>
      </c>
    </row>
    <row r="5275" spans="1:13" ht="15" x14ac:dyDescent="0.25">
      <c r="A5275" s="1">
        <f>DATE(2013,1,15)</f>
        <v>41289</v>
      </c>
      <c r="B5275" t="s">
        <v>17</v>
      </c>
      <c r="C5275" t="s">
        <v>9</v>
      </c>
      <c r="D5275" s="3">
        <v>602.25720000000001</v>
      </c>
      <c r="E5275" s="3">
        <v>0</v>
      </c>
      <c r="F5275" t="s">
        <v>45</v>
      </c>
      <c r="G5275" s="3">
        <f t="shared" si="628"/>
        <v>-602.25720000000001</v>
      </c>
      <c r="H5275" s="3">
        <f t="shared" si="629"/>
        <v>602.25720000000001</v>
      </c>
      <c r="I5275" s="5" t="str">
        <f t="shared" si="630"/>
        <v>017</v>
      </c>
      <c r="J5275" s="5" t="str">
        <f t="shared" si="631"/>
        <v>2220</v>
      </c>
      <c r="K5275" s="5" t="str">
        <f t="shared" si="632"/>
        <v>000</v>
      </c>
      <c r="L5275" s="5">
        <f t="shared" si="633"/>
        <v>1</v>
      </c>
      <c r="M5275" s="5">
        <f t="shared" si="634"/>
        <v>2013</v>
      </c>
    </row>
    <row r="5276" spans="1:13" ht="15" x14ac:dyDescent="0.25">
      <c r="A5276" s="1">
        <f>DATE(2013,1,15)</f>
        <v>41289</v>
      </c>
      <c r="B5276" t="s">
        <v>18</v>
      </c>
      <c r="C5276" t="s">
        <v>10</v>
      </c>
      <c r="D5276" s="3">
        <v>152.88919999999999</v>
      </c>
      <c r="E5276" s="3">
        <v>0</v>
      </c>
      <c r="F5276" t="s">
        <v>45</v>
      </c>
      <c r="G5276" s="3">
        <f t="shared" si="628"/>
        <v>-152.88919999999999</v>
      </c>
      <c r="H5276" s="3">
        <f t="shared" si="629"/>
        <v>152.88919999999999</v>
      </c>
      <c r="I5276" s="5" t="str">
        <f t="shared" si="630"/>
        <v>017</v>
      </c>
      <c r="J5276" s="5" t="str">
        <f t="shared" si="631"/>
        <v>2230</v>
      </c>
      <c r="K5276" s="5" t="str">
        <f t="shared" si="632"/>
        <v>000</v>
      </c>
      <c r="L5276" s="5">
        <f t="shared" si="633"/>
        <v>1</v>
      </c>
      <c r="M5276" s="5">
        <f t="shared" si="634"/>
        <v>2013</v>
      </c>
    </row>
    <row r="5277" spans="1:13" ht="15" x14ac:dyDescent="0.25">
      <c r="A5277" s="1">
        <f>DATE(2013,1,16)</f>
        <v>41290</v>
      </c>
      <c r="B5277" t="s">
        <v>15</v>
      </c>
      <c r="C5277" t="s">
        <v>6</v>
      </c>
      <c r="D5277" s="3">
        <v>7923.5496000000003</v>
      </c>
      <c r="E5277" s="3">
        <v>0</v>
      </c>
      <c r="F5277" t="s">
        <v>45</v>
      </c>
      <c r="G5277" s="3">
        <f t="shared" si="628"/>
        <v>-7923.5496000000003</v>
      </c>
      <c r="H5277" s="3">
        <f t="shared" si="629"/>
        <v>7923.5496000000003</v>
      </c>
      <c r="I5277" s="5" t="str">
        <f t="shared" si="630"/>
        <v>017</v>
      </c>
      <c r="J5277" s="5" t="str">
        <f t="shared" si="631"/>
        <v>2100</v>
      </c>
      <c r="K5277" s="5" t="str">
        <f t="shared" si="632"/>
        <v>000</v>
      </c>
      <c r="L5277" s="5">
        <f t="shared" si="633"/>
        <v>1</v>
      </c>
      <c r="M5277" s="5">
        <f t="shared" si="634"/>
        <v>2013</v>
      </c>
    </row>
    <row r="5278" spans="1:13" ht="15" x14ac:dyDescent="0.25">
      <c r="A5278" s="1">
        <f>DATE(2013,1,16)</f>
        <v>41290</v>
      </c>
      <c r="B5278" t="s">
        <v>16</v>
      </c>
      <c r="C5278" t="s">
        <v>8</v>
      </c>
      <c r="D5278" s="3">
        <v>2130.5738999999999</v>
      </c>
      <c r="E5278" s="3">
        <v>0</v>
      </c>
      <c r="F5278" t="s">
        <v>45</v>
      </c>
      <c r="G5278" s="3">
        <f t="shared" si="628"/>
        <v>-2130.5738999999999</v>
      </c>
      <c r="H5278" s="3">
        <f t="shared" si="629"/>
        <v>2130.5738999999999</v>
      </c>
      <c r="I5278" s="5" t="str">
        <f t="shared" si="630"/>
        <v>017</v>
      </c>
      <c r="J5278" s="5" t="str">
        <f t="shared" si="631"/>
        <v>2210</v>
      </c>
      <c r="K5278" s="5" t="str">
        <f t="shared" si="632"/>
        <v>000</v>
      </c>
      <c r="L5278" s="5">
        <f t="shared" si="633"/>
        <v>1</v>
      </c>
      <c r="M5278" s="5">
        <f t="shared" si="634"/>
        <v>2013</v>
      </c>
    </row>
    <row r="5279" spans="1:13" ht="15" x14ac:dyDescent="0.25">
      <c r="A5279" s="1">
        <f>DATE(2013,1,16)</f>
        <v>41290</v>
      </c>
      <c r="B5279" t="s">
        <v>17</v>
      </c>
      <c r="C5279" t="s">
        <v>9</v>
      </c>
      <c r="D5279" s="3">
        <v>543.24350000000004</v>
      </c>
      <c r="E5279" s="3">
        <v>0</v>
      </c>
      <c r="F5279" t="s">
        <v>45</v>
      </c>
      <c r="G5279" s="3">
        <f t="shared" si="628"/>
        <v>-543.24350000000004</v>
      </c>
      <c r="H5279" s="3">
        <f t="shared" si="629"/>
        <v>543.24350000000004</v>
      </c>
      <c r="I5279" s="5" t="str">
        <f t="shared" si="630"/>
        <v>017</v>
      </c>
      <c r="J5279" s="5" t="str">
        <f t="shared" si="631"/>
        <v>2220</v>
      </c>
      <c r="K5279" s="5" t="str">
        <f t="shared" si="632"/>
        <v>000</v>
      </c>
      <c r="L5279" s="5">
        <f t="shared" si="633"/>
        <v>1</v>
      </c>
      <c r="M5279" s="5">
        <f t="shared" si="634"/>
        <v>2013</v>
      </c>
    </row>
    <row r="5280" spans="1:13" ht="15" x14ac:dyDescent="0.25">
      <c r="A5280" s="1">
        <f>DATE(2013,1,16)</f>
        <v>41290</v>
      </c>
      <c r="B5280" t="s">
        <v>18</v>
      </c>
      <c r="C5280" t="s">
        <v>10</v>
      </c>
      <c r="D5280" s="3">
        <v>139.6146</v>
      </c>
      <c r="E5280" s="3">
        <v>0</v>
      </c>
      <c r="F5280" t="s">
        <v>45</v>
      </c>
      <c r="G5280" s="3">
        <f t="shared" si="628"/>
        <v>-139.6146</v>
      </c>
      <c r="H5280" s="3">
        <f t="shared" si="629"/>
        <v>139.6146</v>
      </c>
      <c r="I5280" s="5" t="str">
        <f t="shared" si="630"/>
        <v>017</v>
      </c>
      <c r="J5280" s="5" t="str">
        <f t="shared" si="631"/>
        <v>2230</v>
      </c>
      <c r="K5280" s="5" t="str">
        <f t="shared" si="632"/>
        <v>000</v>
      </c>
      <c r="L5280" s="5">
        <f t="shared" si="633"/>
        <v>1</v>
      </c>
      <c r="M5280" s="5">
        <f t="shared" si="634"/>
        <v>2013</v>
      </c>
    </row>
    <row r="5281" spans="1:13" ht="15" x14ac:dyDescent="0.25">
      <c r="A5281" s="1">
        <f>DATE(2013,1,17)</f>
        <v>41291</v>
      </c>
      <c r="B5281" t="s">
        <v>15</v>
      </c>
      <c r="C5281" t="s">
        <v>6</v>
      </c>
      <c r="D5281" s="3">
        <v>5175.6552000000001</v>
      </c>
      <c r="E5281" s="3">
        <v>0</v>
      </c>
      <c r="F5281" t="s">
        <v>45</v>
      </c>
      <c r="G5281" s="3">
        <f t="shared" si="628"/>
        <v>-5175.6552000000001</v>
      </c>
      <c r="H5281" s="3">
        <f t="shared" si="629"/>
        <v>5175.6552000000001</v>
      </c>
      <c r="I5281" s="5" t="str">
        <f t="shared" si="630"/>
        <v>017</v>
      </c>
      <c r="J5281" s="5" t="str">
        <f t="shared" si="631"/>
        <v>2100</v>
      </c>
      <c r="K5281" s="5" t="str">
        <f t="shared" si="632"/>
        <v>000</v>
      </c>
      <c r="L5281" s="5">
        <f t="shared" si="633"/>
        <v>1</v>
      </c>
      <c r="M5281" s="5">
        <f t="shared" si="634"/>
        <v>2013</v>
      </c>
    </row>
    <row r="5282" spans="1:13" ht="15" x14ac:dyDescent="0.25">
      <c r="A5282" s="1">
        <f>DATE(2013,1,17)</f>
        <v>41291</v>
      </c>
      <c r="B5282" t="s">
        <v>16</v>
      </c>
      <c r="C5282" t="s">
        <v>8</v>
      </c>
      <c r="D5282" s="3">
        <v>1068.1713</v>
      </c>
      <c r="E5282" s="3">
        <v>0</v>
      </c>
      <c r="F5282" t="s">
        <v>45</v>
      </c>
      <c r="G5282" s="3">
        <f t="shared" si="628"/>
        <v>-1068.1713</v>
      </c>
      <c r="H5282" s="3">
        <f t="shared" si="629"/>
        <v>1068.1713</v>
      </c>
      <c r="I5282" s="5" t="str">
        <f t="shared" si="630"/>
        <v>017</v>
      </c>
      <c r="J5282" s="5" t="str">
        <f t="shared" si="631"/>
        <v>2210</v>
      </c>
      <c r="K5282" s="5" t="str">
        <f t="shared" si="632"/>
        <v>000</v>
      </c>
      <c r="L5282" s="5">
        <f t="shared" si="633"/>
        <v>1</v>
      </c>
      <c r="M5282" s="5">
        <f t="shared" si="634"/>
        <v>2013</v>
      </c>
    </row>
    <row r="5283" spans="1:13" ht="15" x14ac:dyDescent="0.25">
      <c r="A5283" s="1">
        <f>DATE(2013,1,17)</f>
        <v>41291</v>
      </c>
      <c r="B5283" t="s">
        <v>17</v>
      </c>
      <c r="C5283" t="s">
        <v>9</v>
      </c>
      <c r="D5283" s="3">
        <v>426.88100000000003</v>
      </c>
      <c r="E5283" s="3">
        <v>0</v>
      </c>
      <c r="F5283" t="s">
        <v>45</v>
      </c>
      <c r="G5283" s="3">
        <f t="shared" si="628"/>
        <v>-426.88100000000003</v>
      </c>
      <c r="H5283" s="3">
        <f t="shared" si="629"/>
        <v>426.88100000000003</v>
      </c>
      <c r="I5283" s="5" t="str">
        <f t="shared" si="630"/>
        <v>017</v>
      </c>
      <c r="J5283" s="5" t="str">
        <f t="shared" si="631"/>
        <v>2220</v>
      </c>
      <c r="K5283" s="5" t="str">
        <f t="shared" si="632"/>
        <v>000</v>
      </c>
      <c r="L5283" s="5">
        <f t="shared" si="633"/>
        <v>1</v>
      </c>
      <c r="M5283" s="5">
        <f t="shared" si="634"/>
        <v>2013</v>
      </c>
    </row>
    <row r="5284" spans="1:13" ht="15" x14ac:dyDescent="0.25">
      <c r="A5284" s="1">
        <f>DATE(2013,1,17)</f>
        <v>41291</v>
      </c>
      <c r="B5284" t="s">
        <v>18</v>
      </c>
      <c r="C5284" t="s">
        <v>10</v>
      </c>
      <c r="D5284" s="3">
        <v>327.28159999999997</v>
      </c>
      <c r="E5284" s="3">
        <v>0</v>
      </c>
      <c r="F5284" t="s">
        <v>45</v>
      </c>
      <c r="G5284" s="3">
        <f t="shared" si="628"/>
        <v>-327.28159999999997</v>
      </c>
      <c r="H5284" s="3">
        <f t="shared" si="629"/>
        <v>327.28159999999997</v>
      </c>
      <c r="I5284" s="5" t="str">
        <f t="shared" si="630"/>
        <v>017</v>
      </c>
      <c r="J5284" s="5" t="str">
        <f t="shared" si="631"/>
        <v>2230</v>
      </c>
      <c r="K5284" s="5" t="str">
        <f t="shared" si="632"/>
        <v>000</v>
      </c>
      <c r="L5284" s="5">
        <f t="shared" si="633"/>
        <v>1</v>
      </c>
      <c r="M5284" s="5">
        <f t="shared" si="634"/>
        <v>2013</v>
      </c>
    </row>
    <row r="5285" spans="1:13" ht="15" x14ac:dyDescent="0.25">
      <c r="A5285" s="1">
        <f>DATE(2013,1,18)</f>
        <v>41292</v>
      </c>
      <c r="B5285" t="s">
        <v>15</v>
      </c>
      <c r="C5285" t="s">
        <v>6</v>
      </c>
      <c r="D5285" s="3">
        <v>9141.5610000000015</v>
      </c>
      <c r="E5285" s="3">
        <v>0</v>
      </c>
      <c r="F5285" t="s">
        <v>45</v>
      </c>
      <c r="G5285" s="3">
        <f t="shared" si="628"/>
        <v>-9141.5610000000015</v>
      </c>
      <c r="H5285" s="3">
        <f t="shared" si="629"/>
        <v>9141.5610000000015</v>
      </c>
      <c r="I5285" s="5" t="str">
        <f t="shared" si="630"/>
        <v>017</v>
      </c>
      <c r="J5285" s="5" t="str">
        <f t="shared" si="631"/>
        <v>2100</v>
      </c>
      <c r="K5285" s="5" t="str">
        <f t="shared" si="632"/>
        <v>000</v>
      </c>
      <c r="L5285" s="5">
        <f t="shared" si="633"/>
        <v>1</v>
      </c>
      <c r="M5285" s="5">
        <f t="shared" si="634"/>
        <v>2013</v>
      </c>
    </row>
    <row r="5286" spans="1:13" ht="15" x14ac:dyDescent="0.25">
      <c r="A5286" s="1">
        <f>DATE(2013,1,18)</f>
        <v>41292</v>
      </c>
      <c r="B5286" t="s">
        <v>16</v>
      </c>
      <c r="C5286" t="s">
        <v>8</v>
      </c>
      <c r="D5286" s="3">
        <v>1840.8126000000002</v>
      </c>
      <c r="E5286" s="3">
        <v>0</v>
      </c>
      <c r="F5286" t="s">
        <v>45</v>
      </c>
      <c r="G5286" s="3">
        <f t="shared" si="628"/>
        <v>-1840.8126000000002</v>
      </c>
      <c r="H5286" s="3">
        <f t="shared" si="629"/>
        <v>1840.8126000000002</v>
      </c>
      <c r="I5286" s="5" t="str">
        <f t="shared" si="630"/>
        <v>017</v>
      </c>
      <c r="J5286" s="5" t="str">
        <f t="shared" si="631"/>
        <v>2210</v>
      </c>
      <c r="K5286" s="5" t="str">
        <f t="shared" si="632"/>
        <v>000</v>
      </c>
      <c r="L5286" s="5">
        <f t="shared" si="633"/>
        <v>1</v>
      </c>
      <c r="M5286" s="5">
        <f t="shared" si="634"/>
        <v>2013</v>
      </c>
    </row>
    <row r="5287" spans="1:13" ht="15" x14ac:dyDescent="0.25">
      <c r="A5287" s="1">
        <f>DATE(2013,1,18)</f>
        <v>41292</v>
      </c>
      <c r="B5287" t="s">
        <v>17</v>
      </c>
      <c r="C5287" t="s">
        <v>9</v>
      </c>
      <c r="D5287" s="3">
        <v>350.16300000000001</v>
      </c>
      <c r="E5287" s="3">
        <v>0</v>
      </c>
      <c r="F5287" t="s">
        <v>45</v>
      </c>
      <c r="G5287" s="3">
        <f t="shared" si="628"/>
        <v>-350.16300000000001</v>
      </c>
      <c r="H5287" s="3">
        <f t="shared" si="629"/>
        <v>350.16300000000001</v>
      </c>
      <c r="I5287" s="5" t="str">
        <f t="shared" si="630"/>
        <v>017</v>
      </c>
      <c r="J5287" s="5" t="str">
        <f t="shared" si="631"/>
        <v>2220</v>
      </c>
      <c r="K5287" s="5" t="str">
        <f t="shared" si="632"/>
        <v>000</v>
      </c>
      <c r="L5287" s="5">
        <f t="shared" si="633"/>
        <v>1</v>
      </c>
      <c r="M5287" s="5">
        <f t="shared" si="634"/>
        <v>2013</v>
      </c>
    </row>
    <row r="5288" spans="1:13" ht="15" x14ac:dyDescent="0.25">
      <c r="A5288" s="1">
        <f>DATE(2013,1,18)</f>
        <v>41292</v>
      </c>
      <c r="B5288" t="s">
        <v>18</v>
      </c>
      <c r="C5288" t="s">
        <v>10</v>
      </c>
      <c r="D5288" s="3">
        <v>126.2184</v>
      </c>
      <c r="E5288" s="3">
        <v>0</v>
      </c>
      <c r="F5288" t="s">
        <v>45</v>
      </c>
      <c r="G5288" s="3">
        <f t="shared" si="628"/>
        <v>-126.2184</v>
      </c>
      <c r="H5288" s="3">
        <f t="shared" si="629"/>
        <v>126.2184</v>
      </c>
      <c r="I5288" s="5" t="str">
        <f t="shared" si="630"/>
        <v>017</v>
      </c>
      <c r="J5288" s="5" t="str">
        <f t="shared" si="631"/>
        <v>2230</v>
      </c>
      <c r="K5288" s="5" t="str">
        <f t="shared" si="632"/>
        <v>000</v>
      </c>
      <c r="L5288" s="5">
        <f t="shared" si="633"/>
        <v>1</v>
      </c>
      <c r="M5288" s="5">
        <f t="shared" si="634"/>
        <v>2013</v>
      </c>
    </row>
    <row r="5289" spans="1:13" ht="15" x14ac:dyDescent="0.25">
      <c r="A5289" s="1">
        <f>DATE(2013,1,19)</f>
        <v>41293</v>
      </c>
      <c r="B5289" t="s">
        <v>15</v>
      </c>
      <c r="C5289" t="s">
        <v>6</v>
      </c>
      <c r="D5289" s="3">
        <v>9675.5120000000006</v>
      </c>
      <c r="E5289" s="3">
        <v>0</v>
      </c>
      <c r="F5289" t="s">
        <v>45</v>
      </c>
      <c r="G5289" s="3">
        <f t="shared" si="628"/>
        <v>-9675.5120000000006</v>
      </c>
      <c r="H5289" s="3">
        <f t="shared" si="629"/>
        <v>9675.5120000000006</v>
      </c>
      <c r="I5289" s="5" t="str">
        <f t="shared" si="630"/>
        <v>017</v>
      </c>
      <c r="J5289" s="5" t="str">
        <f t="shared" si="631"/>
        <v>2100</v>
      </c>
      <c r="K5289" s="5" t="str">
        <f t="shared" si="632"/>
        <v>000</v>
      </c>
      <c r="L5289" s="5">
        <f t="shared" si="633"/>
        <v>1</v>
      </c>
      <c r="M5289" s="5">
        <f t="shared" si="634"/>
        <v>2013</v>
      </c>
    </row>
    <row r="5290" spans="1:13" ht="15" x14ac:dyDescent="0.25">
      <c r="A5290" s="1">
        <f>DATE(2013,1,19)</f>
        <v>41293</v>
      </c>
      <c r="B5290" t="s">
        <v>16</v>
      </c>
      <c r="C5290" t="s">
        <v>8</v>
      </c>
      <c r="D5290" s="3">
        <v>3126.0358000000001</v>
      </c>
      <c r="E5290" s="3">
        <v>0</v>
      </c>
      <c r="F5290" t="s">
        <v>45</v>
      </c>
      <c r="G5290" s="3">
        <f t="shared" si="628"/>
        <v>-3126.0358000000001</v>
      </c>
      <c r="H5290" s="3">
        <f t="shared" si="629"/>
        <v>3126.0358000000001</v>
      </c>
      <c r="I5290" s="5" t="str">
        <f t="shared" si="630"/>
        <v>017</v>
      </c>
      <c r="J5290" s="5" t="str">
        <f t="shared" si="631"/>
        <v>2210</v>
      </c>
      <c r="K5290" s="5" t="str">
        <f t="shared" si="632"/>
        <v>000</v>
      </c>
      <c r="L5290" s="5">
        <f t="shared" si="633"/>
        <v>1</v>
      </c>
      <c r="M5290" s="5">
        <f t="shared" si="634"/>
        <v>2013</v>
      </c>
    </row>
    <row r="5291" spans="1:13" ht="15" x14ac:dyDescent="0.25">
      <c r="A5291" s="1">
        <f>DATE(2013,1,19)</f>
        <v>41293</v>
      </c>
      <c r="B5291" t="s">
        <v>17</v>
      </c>
      <c r="C5291" t="s">
        <v>9</v>
      </c>
      <c r="D5291" s="3">
        <v>493.13009999999997</v>
      </c>
      <c r="E5291" s="3">
        <v>0</v>
      </c>
      <c r="F5291" t="s">
        <v>45</v>
      </c>
      <c r="G5291" s="3">
        <f t="shared" si="628"/>
        <v>-493.13009999999997</v>
      </c>
      <c r="H5291" s="3">
        <f t="shared" si="629"/>
        <v>493.13009999999997</v>
      </c>
      <c r="I5291" s="5" t="str">
        <f t="shared" si="630"/>
        <v>017</v>
      </c>
      <c r="J5291" s="5" t="str">
        <f t="shared" si="631"/>
        <v>2220</v>
      </c>
      <c r="K5291" s="5" t="str">
        <f t="shared" si="632"/>
        <v>000</v>
      </c>
      <c r="L5291" s="5">
        <f t="shared" si="633"/>
        <v>1</v>
      </c>
      <c r="M5291" s="5">
        <f t="shared" si="634"/>
        <v>2013</v>
      </c>
    </row>
    <row r="5292" spans="1:13" ht="15" x14ac:dyDescent="0.25">
      <c r="A5292" s="1">
        <f>DATE(2013,1,19)</f>
        <v>41293</v>
      </c>
      <c r="B5292" t="s">
        <v>18</v>
      </c>
      <c r="C5292" t="s">
        <v>10</v>
      </c>
      <c r="D5292" s="3">
        <v>207.70620000000002</v>
      </c>
      <c r="E5292" s="3">
        <v>0</v>
      </c>
      <c r="F5292" t="s">
        <v>45</v>
      </c>
      <c r="G5292" s="3">
        <f t="shared" si="628"/>
        <v>-207.70620000000002</v>
      </c>
      <c r="H5292" s="3">
        <f t="shared" si="629"/>
        <v>207.70620000000002</v>
      </c>
      <c r="I5292" s="5" t="str">
        <f t="shared" si="630"/>
        <v>017</v>
      </c>
      <c r="J5292" s="5" t="str">
        <f t="shared" si="631"/>
        <v>2230</v>
      </c>
      <c r="K5292" s="5" t="str">
        <f t="shared" si="632"/>
        <v>000</v>
      </c>
      <c r="L5292" s="5">
        <f t="shared" si="633"/>
        <v>1</v>
      </c>
      <c r="M5292" s="5">
        <f t="shared" si="634"/>
        <v>2013</v>
      </c>
    </row>
    <row r="5293" spans="1:13" ht="15" x14ac:dyDescent="0.25">
      <c r="A5293" s="1">
        <f>DATE(2013,1,20)</f>
        <v>41294</v>
      </c>
      <c r="B5293" t="s">
        <v>15</v>
      </c>
      <c r="C5293" t="s">
        <v>6</v>
      </c>
      <c r="D5293" s="3">
        <v>4186.4297999999999</v>
      </c>
      <c r="E5293" s="3">
        <v>0</v>
      </c>
      <c r="F5293" t="s">
        <v>45</v>
      </c>
      <c r="G5293" s="3">
        <f t="shared" si="628"/>
        <v>-4186.4297999999999</v>
      </c>
      <c r="H5293" s="3">
        <f t="shared" si="629"/>
        <v>4186.4297999999999</v>
      </c>
      <c r="I5293" s="5" t="str">
        <f t="shared" si="630"/>
        <v>017</v>
      </c>
      <c r="J5293" s="5" t="str">
        <f t="shared" si="631"/>
        <v>2100</v>
      </c>
      <c r="K5293" s="5" t="str">
        <f t="shared" si="632"/>
        <v>000</v>
      </c>
      <c r="L5293" s="5">
        <f t="shared" si="633"/>
        <v>1</v>
      </c>
      <c r="M5293" s="5">
        <f t="shared" si="634"/>
        <v>2013</v>
      </c>
    </row>
    <row r="5294" spans="1:13" ht="15" x14ac:dyDescent="0.25">
      <c r="A5294" s="1">
        <f>DATE(2013,1,20)</f>
        <v>41294</v>
      </c>
      <c r="B5294" t="s">
        <v>16</v>
      </c>
      <c r="C5294" t="s">
        <v>8</v>
      </c>
      <c r="D5294" s="3">
        <v>1025.5790999999999</v>
      </c>
      <c r="E5294" s="3">
        <v>0</v>
      </c>
      <c r="F5294" t="s">
        <v>45</v>
      </c>
      <c r="G5294" s="3">
        <f t="shared" si="628"/>
        <v>-1025.5790999999999</v>
      </c>
      <c r="H5294" s="3">
        <f t="shared" si="629"/>
        <v>1025.5790999999999</v>
      </c>
      <c r="I5294" s="5" t="str">
        <f t="shared" si="630"/>
        <v>017</v>
      </c>
      <c r="J5294" s="5" t="str">
        <f t="shared" si="631"/>
        <v>2210</v>
      </c>
      <c r="K5294" s="5" t="str">
        <f t="shared" si="632"/>
        <v>000</v>
      </c>
      <c r="L5294" s="5">
        <f t="shared" si="633"/>
        <v>1</v>
      </c>
      <c r="M5294" s="5">
        <f t="shared" si="634"/>
        <v>2013</v>
      </c>
    </row>
    <row r="5295" spans="1:13" ht="15" x14ac:dyDescent="0.25">
      <c r="A5295" s="1">
        <f>DATE(2013,1,20)</f>
        <v>41294</v>
      </c>
      <c r="B5295" t="s">
        <v>17</v>
      </c>
      <c r="C5295" t="s">
        <v>9</v>
      </c>
      <c r="D5295" s="3">
        <v>150.696</v>
      </c>
      <c r="E5295" s="3">
        <v>0</v>
      </c>
      <c r="F5295" t="s">
        <v>45</v>
      </c>
      <c r="G5295" s="3">
        <f t="shared" si="628"/>
        <v>-150.696</v>
      </c>
      <c r="H5295" s="3">
        <f t="shared" si="629"/>
        <v>150.696</v>
      </c>
      <c r="I5295" s="5" t="str">
        <f t="shared" si="630"/>
        <v>017</v>
      </c>
      <c r="J5295" s="5" t="str">
        <f t="shared" si="631"/>
        <v>2220</v>
      </c>
      <c r="K5295" s="5" t="str">
        <f t="shared" si="632"/>
        <v>000</v>
      </c>
      <c r="L5295" s="5">
        <f t="shared" si="633"/>
        <v>1</v>
      </c>
      <c r="M5295" s="5">
        <f t="shared" si="634"/>
        <v>2013</v>
      </c>
    </row>
    <row r="5296" spans="1:13" ht="15" x14ac:dyDescent="0.25">
      <c r="A5296" s="1">
        <f>DATE(2013,1,20)</f>
        <v>41294</v>
      </c>
      <c r="B5296" t="s">
        <v>18</v>
      </c>
      <c r="C5296" t="s">
        <v>10</v>
      </c>
      <c r="D5296" s="3">
        <v>92.257600000000011</v>
      </c>
      <c r="E5296" s="3">
        <v>0</v>
      </c>
      <c r="F5296" t="s">
        <v>45</v>
      </c>
      <c r="G5296" s="3">
        <f t="shared" si="628"/>
        <v>-92.257600000000011</v>
      </c>
      <c r="H5296" s="3">
        <f t="shared" si="629"/>
        <v>92.257600000000011</v>
      </c>
      <c r="I5296" s="5" t="str">
        <f t="shared" si="630"/>
        <v>017</v>
      </c>
      <c r="J5296" s="5" t="str">
        <f t="shared" si="631"/>
        <v>2230</v>
      </c>
      <c r="K5296" s="5" t="str">
        <f t="shared" si="632"/>
        <v>000</v>
      </c>
      <c r="L5296" s="5">
        <f t="shared" si="633"/>
        <v>1</v>
      </c>
      <c r="M5296" s="5">
        <f t="shared" si="634"/>
        <v>2013</v>
      </c>
    </row>
    <row r="5297" spans="1:13" ht="15" x14ac:dyDescent="0.25">
      <c r="A5297" s="1">
        <f>DATE(2013,1,14)</f>
        <v>41288</v>
      </c>
      <c r="B5297" t="s">
        <v>19</v>
      </c>
      <c r="C5297" t="s">
        <v>6</v>
      </c>
      <c r="D5297" s="3">
        <v>2001.0759999999998</v>
      </c>
      <c r="E5297" s="3">
        <v>0</v>
      </c>
      <c r="F5297" t="s">
        <v>45</v>
      </c>
      <c r="G5297" s="3">
        <f t="shared" si="628"/>
        <v>-2001.0759999999998</v>
      </c>
      <c r="H5297" s="3">
        <f t="shared" si="629"/>
        <v>2001.0759999999998</v>
      </c>
      <c r="I5297" s="5" t="str">
        <f t="shared" si="630"/>
        <v>018</v>
      </c>
      <c r="J5297" s="5" t="str">
        <f t="shared" si="631"/>
        <v>2100</v>
      </c>
      <c r="K5297" s="5" t="str">
        <f t="shared" si="632"/>
        <v>000</v>
      </c>
      <c r="L5297" s="5">
        <f t="shared" si="633"/>
        <v>1</v>
      </c>
      <c r="M5297" s="5">
        <f t="shared" si="634"/>
        <v>2013</v>
      </c>
    </row>
    <row r="5298" spans="1:13" ht="15" x14ac:dyDescent="0.25">
      <c r="A5298" s="1">
        <f>DATE(2013,1,14)</f>
        <v>41288</v>
      </c>
      <c r="B5298" t="s">
        <v>20</v>
      </c>
      <c r="C5298" t="s">
        <v>8</v>
      </c>
      <c r="D5298" s="3">
        <v>300.07040000000001</v>
      </c>
      <c r="E5298" s="3">
        <v>0</v>
      </c>
      <c r="F5298" t="s">
        <v>45</v>
      </c>
      <c r="G5298" s="3">
        <f t="shared" si="628"/>
        <v>-300.07040000000001</v>
      </c>
      <c r="H5298" s="3">
        <f t="shared" si="629"/>
        <v>300.07040000000001</v>
      </c>
      <c r="I5298" s="5" t="str">
        <f t="shared" si="630"/>
        <v>018</v>
      </c>
      <c r="J5298" s="5" t="str">
        <f t="shared" si="631"/>
        <v>2210</v>
      </c>
      <c r="K5298" s="5" t="str">
        <f t="shared" si="632"/>
        <v>000</v>
      </c>
      <c r="L5298" s="5">
        <f t="shared" si="633"/>
        <v>1</v>
      </c>
      <c r="M5298" s="5">
        <f t="shared" si="634"/>
        <v>2013</v>
      </c>
    </row>
    <row r="5299" spans="1:13" ht="15" x14ac:dyDescent="0.25">
      <c r="A5299" s="1">
        <f>DATE(2013,1,14)</f>
        <v>41288</v>
      </c>
      <c r="B5299" t="s">
        <v>21</v>
      </c>
      <c r="C5299" t="s">
        <v>9</v>
      </c>
      <c r="D5299" s="3">
        <v>80.239499999999992</v>
      </c>
      <c r="E5299" s="3">
        <v>0</v>
      </c>
      <c r="F5299" t="s">
        <v>45</v>
      </c>
      <c r="G5299" s="3">
        <f t="shared" si="628"/>
        <v>-80.239499999999992</v>
      </c>
      <c r="H5299" s="3">
        <f t="shared" si="629"/>
        <v>80.239499999999992</v>
      </c>
      <c r="I5299" s="5" t="str">
        <f t="shared" si="630"/>
        <v>018</v>
      </c>
      <c r="J5299" s="5" t="str">
        <f t="shared" si="631"/>
        <v>2220</v>
      </c>
      <c r="K5299" s="5" t="str">
        <f t="shared" si="632"/>
        <v>000</v>
      </c>
      <c r="L5299" s="5">
        <f t="shared" si="633"/>
        <v>1</v>
      </c>
      <c r="M5299" s="5">
        <f t="shared" si="634"/>
        <v>2013</v>
      </c>
    </row>
    <row r="5300" spans="1:13" ht="15" x14ac:dyDescent="0.25">
      <c r="A5300" s="1">
        <f>DATE(2013,1,14)</f>
        <v>41288</v>
      </c>
      <c r="B5300" t="s">
        <v>22</v>
      </c>
      <c r="C5300" t="s">
        <v>10</v>
      </c>
      <c r="D5300" s="3">
        <v>4.4744000000000002</v>
      </c>
      <c r="E5300" s="3">
        <v>0</v>
      </c>
      <c r="F5300" t="s">
        <v>45</v>
      </c>
      <c r="G5300" s="3">
        <f t="shared" si="628"/>
        <v>-4.4744000000000002</v>
      </c>
      <c r="H5300" s="3">
        <f t="shared" si="629"/>
        <v>4.4744000000000002</v>
      </c>
      <c r="I5300" s="5" t="str">
        <f t="shared" si="630"/>
        <v>018</v>
      </c>
      <c r="J5300" s="5" t="str">
        <f t="shared" si="631"/>
        <v>2230</v>
      </c>
      <c r="K5300" s="5" t="str">
        <f t="shared" si="632"/>
        <v>000</v>
      </c>
      <c r="L5300" s="5">
        <f t="shared" si="633"/>
        <v>1</v>
      </c>
      <c r="M5300" s="5">
        <f t="shared" si="634"/>
        <v>2013</v>
      </c>
    </row>
    <row r="5301" spans="1:13" ht="15" x14ac:dyDescent="0.25">
      <c r="A5301" s="1">
        <f>DATE(2013,1,15)</f>
        <v>41289</v>
      </c>
      <c r="B5301" t="s">
        <v>19</v>
      </c>
      <c r="C5301" t="s">
        <v>6</v>
      </c>
      <c r="D5301" s="3">
        <v>2775.4958000000001</v>
      </c>
      <c r="E5301" s="3">
        <v>0</v>
      </c>
      <c r="F5301" t="s">
        <v>45</v>
      </c>
      <c r="G5301" s="3">
        <f t="shared" si="628"/>
        <v>-2775.4958000000001</v>
      </c>
      <c r="H5301" s="3">
        <f t="shared" si="629"/>
        <v>2775.4958000000001</v>
      </c>
      <c r="I5301" s="5" t="str">
        <f t="shared" si="630"/>
        <v>018</v>
      </c>
      <c r="J5301" s="5" t="str">
        <f t="shared" si="631"/>
        <v>2100</v>
      </c>
      <c r="K5301" s="5" t="str">
        <f t="shared" si="632"/>
        <v>000</v>
      </c>
      <c r="L5301" s="5">
        <f t="shared" si="633"/>
        <v>1</v>
      </c>
      <c r="M5301" s="5">
        <f t="shared" si="634"/>
        <v>2013</v>
      </c>
    </row>
    <row r="5302" spans="1:13" ht="15" x14ac:dyDescent="0.25">
      <c r="A5302" s="1">
        <f>DATE(2013,1,15)</f>
        <v>41289</v>
      </c>
      <c r="B5302" t="s">
        <v>20</v>
      </c>
      <c r="C5302" t="s">
        <v>8</v>
      </c>
      <c r="D5302" s="3">
        <v>374.41610000000003</v>
      </c>
      <c r="E5302" s="3">
        <v>0</v>
      </c>
      <c r="F5302" t="s">
        <v>45</v>
      </c>
      <c r="G5302" s="3">
        <f t="shared" si="628"/>
        <v>-374.41610000000003</v>
      </c>
      <c r="H5302" s="3">
        <f t="shared" si="629"/>
        <v>374.41610000000003</v>
      </c>
      <c r="I5302" s="5" t="str">
        <f t="shared" si="630"/>
        <v>018</v>
      </c>
      <c r="J5302" s="5" t="str">
        <f t="shared" si="631"/>
        <v>2210</v>
      </c>
      <c r="K5302" s="5" t="str">
        <f t="shared" si="632"/>
        <v>000</v>
      </c>
      <c r="L5302" s="5">
        <f t="shared" si="633"/>
        <v>1</v>
      </c>
      <c r="M5302" s="5">
        <f t="shared" si="634"/>
        <v>2013</v>
      </c>
    </row>
    <row r="5303" spans="1:13" ht="15" x14ac:dyDescent="0.25">
      <c r="A5303" s="1">
        <f>DATE(2013,1,15)</f>
        <v>41289</v>
      </c>
      <c r="B5303" t="s">
        <v>21</v>
      </c>
      <c r="C5303" t="s">
        <v>9</v>
      </c>
      <c r="D5303" s="3">
        <v>100.6176</v>
      </c>
      <c r="E5303" s="3">
        <v>0</v>
      </c>
      <c r="F5303" t="s">
        <v>45</v>
      </c>
      <c r="G5303" s="3">
        <f t="shared" si="628"/>
        <v>-100.6176</v>
      </c>
      <c r="H5303" s="3">
        <f t="shared" si="629"/>
        <v>100.6176</v>
      </c>
      <c r="I5303" s="5" t="str">
        <f t="shared" si="630"/>
        <v>018</v>
      </c>
      <c r="J5303" s="5" t="str">
        <f t="shared" si="631"/>
        <v>2220</v>
      </c>
      <c r="K5303" s="5" t="str">
        <f t="shared" si="632"/>
        <v>000</v>
      </c>
      <c r="L5303" s="5">
        <f t="shared" si="633"/>
        <v>1</v>
      </c>
      <c r="M5303" s="5">
        <f t="shared" si="634"/>
        <v>2013</v>
      </c>
    </row>
    <row r="5304" spans="1:13" ht="15" x14ac:dyDescent="0.25">
      <c r="A5304" s="1">
        <f>DATE(2013,1,15)</f>
        <v>41289</v>
      </c>
      <c r="B5304" t="s">
        <v>22</v>
      </c>
      <c r="C5304" t="s">
        <v>10</v>
      </c>
      <c r="D5304" s="3">
        <v>26.886900000000001</v>
      </c>
      <c r="E5304" s="3">
        <v>0</v>
      </c>
      <c r="F5304" t="s">
        <v>45</v>
      </c>
      <c r="G5304" s="3">
        <f t="shared" si="628"/>
        <v>-26.886900000000001</v>
      </c>
      <c r="H5304" s="3">
        <f t="shared" si="629"/>
        <v>26.886900000000001</v>
      </c>
      <c r="I5304" s="5" t="str">
        <f t="shared" si="630"/>
        <v>018</v>
      </c>
      <c r="J5304" s="5" t="str">
        <f t="shared" si="631"/>
        <v>2230</v>
      </c>
      <c r="K5304" s="5" t="str">
        <f t="shared" si="632"/>
        <v>000</v>
      </c>
      <c r="L5304" s="5">
        <f t="shared" si="633"/>
        <v>1</v>
      </c>
      <c r="M5304" s="5">
        <f t="shared" si="634"/>
        <v>2013</v>
      </c>
    </row>
    <row r="5305" spans="1:13" ht="15" x14ac:dyDescent="0.25">
      <c r="A5305" s="1">
        <f>DATE(2013,1,16)</f>
        <v>41290</v>
      </c>
      <c r="B5305" t="s">
        <v>19</v>
      </c>
      <c r="C5305" t="s">
        <v>6</v>
      </c>
      <c r="D5305" s="3">
        <v>2844.3634999999999</v>
      </c>
      <c r="E5305" s="3">
        <v>0</v>
      </c>
      <c r="F5305" t="s">
        <v>45</v>
      </c>
      <c r="G5305" s="3">
        <f t="shared" si="628"/>
        <v>-2844.3634999999999</v>
      </c>
      <c r="H5305" s="3">
        <f t="shared" si="629"/>
        <v>2844.3634999999999</v>
      </c>
      <c r="I5305" s="5" t="str">
        <f t="shared" si="630"/>
        <v>018</v>
      </c>
      <c r="J5305" s="5" t="str">
        <f t="shared" si="631"/>
        <v>2100</v>
      </c>
      <c r="K5305" s="5" t="str">
        <f t="shared" si="632"/>
        <v>000</v>
      </c>
      <c r="L5305" s="5">
        <f t="shared" si="633"/>
        <v>1</v>
      </c>
      <c r="M5305" s="5">
        <f t="shared" si="634"/>
        <v>2013</v>
      </c>
    </row>
    <row r="5306" spans="1:13" ht="15" x14ac:dyDescent="0.25">
      <c r="A5306" s="1">
        <f>DATE(2013,1,16)</f>
        <v>41290</v>
      </c>
      <c r="B5306" t="s">
        <v>20</v>
      </c>
      <c r="C5306" t="s">
        <v>8</v>
      </c>
      <c r="D5306" s="3">
        <v>491.71890000000002</v>
      </c>
      <c r="E5306" s="3">
        <v>0</v>
      </c>
      <c r="F5306" t="s">
        <v>45</v>
      </c>
      <c r="G5306" s="3">
        <f t="shared" si="628"/>
        <v>-491.71890000000002</v>
      </c>
      <c r="H5306" s="3">
        <f t="shared" si="629"/>
        <v>491.71890000000002</v>
      </c>
      <c r="I5306" s="5" t="str">
        <f t="shared" si="630"/>
        <v>018</v>
      </c>
      <c r="J5306" s="5" t="str">
        <f t="shared" si="631"/>
        <v>2210</v>
      </c>
      <c r="K5306" s="5" t="str">
        <f t="shared" si="632"/>
        <v>000</v>
      </c>
      <c r="L5306" s="5">
        <f t="shared" si="633"/>
        <v>1</v>
      </c>
      <c r="M5306" s="5">
        <f t="shared" si="634"/>
        <v>2013</v>
      </c>
    </row>
    <row r="5307" spans="1:13" ht="15" x14ac:dyDescent="0.25">
      <c r="A5307" s="1">
        <f>DATE(2013,1,16)</f>
        <v>41290</v>
      </c>
      <c r="B5307" t="s">
        <v>21</v>
      </c>
      <c r="C5307" t="s">
        <v>9</v>
      </c>
      <c r="D5307" s="3">
        <v>79.748500000000007</v>
      </c>
      <c r="E5307" s="3">
        <v>0</v>
      </c>
      <c r="F5307" t="s">
        <v>45</v>
      </c>
      <c r="G5307" s="3">
        <f t="shared" si="628"/>
        <v>-79.748500000000007</v>
      </c>
      <c r="H5307" s="3">
        <f t="shared" si="629"/>
        <v>79.748500000000007</v>
      </c>
      <c r="I5307" s="5" t="str">
        <f t="shared" si="630"/>
        <v>018</v>
      </c>
      <c r="J5307" s="5" t="str">
        <f t="shared" si="631"/>
        <v>2220</v>
      </c>
      <c r="K5307" s="5" t="str">
        <f t="shared" si="632"/>
        <v>000</v>
      </c>
      <c r="L5307" s="5">
        <f t="shared" si="633"/>
        <v>1</v>
      </c>
      <c r="M5307" s="5">
        <f t="shared" si="634"/>
        <v>2013</v>
      </c>
    </row>
    <row r="5308" spans="1:13" ht="15" x14ac:dyDescent="0.25">
      <c r="A5308" s="1">
        <f>DATE(2013,1,16)</f>
        <v>41290</v>
      </c>
      <c r="B5308" t="s">
        <v>22</v>
      </c>
      <c r="C5308" t="s">
        <v>10</v>
      </c>
      <c r="D5308" s="3">
        <v>32.686500000000002</v>
      </c>
      <c r="E5308" s="3">
        <v>0</v>
      </c>
      <c r="F5308" t="s">
        <v>45</v>
      </c>
      <c r="G5308" s="3">
        <f t="shared" si="628"/>
        <v>-32.686500000000002</v>
      </c>
      <c r="H5308" s="3">
        <f t="shared" si="629"/>
        <v>32.686500000000002</v>
      </c>
      <c r="I5308" s="5" t="str">
        <f t="shared" si="630"/>
        <v>018</v>
      </c>
      <c r="J5308" s="5" t="str">
        <f t="shared" si="631"/>
        <v>2230</v>
      </c>
      <c r="K5308" s="5" t="str">
        <f t="shared" si="632"/>
        <v>000</v>
      </c>
      <c r="L5308" s="5">
        <f t="shared" si="633"/>
        <v>1</v>
      </c>
      <c r="M5308" s="5">
        <f t="shared" si="634"/>
        <v>2013</v>
      </c>
    </row>
    <row r="5309" spans="1:13" ht="15" x14ac:dyDescent="0.25">
      <c r="A5309" s="1">
        <f>DATE(2013,1,17)</f>
        <v>41291</v>
      </c>
      <c r="B5309" t="s">
        <v>19</v>
      </c>
      <c r="C5309" t="s">
        <v>6</v>
      </c>
      <c r="D5309" s="3">
        <v>4134.3378999999995</v>
      </c>
      <c r="E5309" s="3">
        <v>0</v>
      </c>
      <c r="F5309" t="s">
        <v>45</v>
      </c>
      <c r="G5309" s="3">
        <f t="shared" si="628"/>
        <v>-4134.3378999999995</v>
      </c>
      <c r="H5309" s="3">
        <f t="shared" si="629"/>
        <v>4134.3378999999995</v>
      </c>
      <c r="I5309" s="5" t="str">
        <f t="shared" si="630"/>
        <v>018</v>
      </c>
      <c r="J5309" s="5" t="str">
        <f t="shared" si="631"/>
        <v>2100</v>
      </c>
      <c r="K5309" s="5" t="str">
        <f t="shared" si="632"/>
        <v>000</v>
      </c>
      <c r="L5309" s="5">
        <f t="shared" si="633"/>
        <v>1</v>
      </c>
      <c r="M5309" s="5">
        <f t="shared" si="634"/>
        <v>2013</v>
      </c>
    </row>
    <row r="5310" spans="1:13" ht="15" x14ac:dyDescent="0.25">
      <c r="A5310" s="1">
        <f>DATE(2013,1,17)</f>
        <v>41291</v>
      </c>
      <c r="B5310" t="s">
        <v>20</v>
      </c>
      <c r="C5310" t="s">
        <v>8</v>
      </c>
      <c r="D5310" s="3">
        <v>654.23699999999997</v>
      </c>
      <c r="E5310" s="3">
        <v>0</v>
      </c>
      <c r="F5310" t="s">
        <v>45</v>
      </c>
      <c r="G5310" s="3">
        <f t="shared" si="628"/>
        <v>-654.23699999999997</v>
      </c>
      <c r="H5310" s="3">
        <f t="shared" si="629"/>
        <v>654.23699999999997</v>
      </c>
      <c r="I5310" s="5" t="str">
        <f t="shared" si="630"/>
        <v>018</v>
      </c>
      <c r="J5310" s="5" t="str">
        <f t="shared" si="631"/>
        <v>2210</v>
      </c>
      <c r="K5310" s="5" t="str">
        <f t="shared" si="632"/>
        <v>000</v>
      </c>
      <c r="L5310" s="5">
        <f t="shared" si="633"/>
        <v>1</v>
      </c>
      <c r="M5310" s="5">
        <f t="shared" si="634"/>
        <v>2013</v>
      </c>
    </row>
    <row r="5311" spans="1:13" ht="15" x14ac:dyDescent="0.25">
      <c r="A5311" s="1">
        <f>DATE(2013,1,17)</f>
        <v>41291</v>
      </c>
      <c r="B5311" t="s">
        <v>21</v>
      </c>
      <c r="C5311" t="s">
        <v>9</v>
      </c>
      <c r="D5311" s="3">
        <v>189.44759999999999</v>
      </c>
      <c r="E5311" s="3">
        <v>0</v>
      </c>
      <c r="F5311" t="s">
        <v>45</v>
      </c>
      <c r="G5311" s="3">
        <f t="shared" si="628"/>
        <v>-189.44759999999999</v>
      </c>
      <c r="H5311" s="3">
        <f t="shared" si="629"/>
        <v>189.44759999999999</v>
      </c>
      <c r="I5311" s="5" t="str">
        <f t="shared" si="630"/>
        <v>018</v>
      </c>
      <c r="J5311" s="5" t="str">
        <f t="shared" si="631"/>
        <v>2220</v>
      </c>
      <c r="K5311" s="5" t="str">
        <f t="shared" si="632"/>
        <v>000</v>
      </c>
      <c r="L5311" s="5">
        <f t="shared" si="633"/>
        <v>1</v>
      </c>
      <c r="M5311" s="5">
        <f t="shared" si="634"/>
        <v>2013</v>
      </c>
    </row>
    <row r="5312" spans="1:13" ht="15" x14ac:dyDescent="0.25">
      <c r="A5312" s="1">
        <f>DATE(2013,1,17)</f>
        <v>41291</v>
      </c>
      <c r="B5312" t="s">
        <v>22</v>
      </c>
      <c r="C5312" t="s">
        <v>10</v>
      </c>
      <c r="D5312" s="3">
        <v>23.2804</v>
      </c>
      <c r="E5312" s="3">
        <v>0</v>
      </c>
      <c r="F5312" t="s">
        <v>45</v>
      </c>
      <c r="G5312" s="3">
        <f t="shared" si="628"/>
        <v>-23.2804</v>
      </c>
      <c r="H5312" s="3">
        <f t="shared" si="629"/>
        <v>23.2804</v>
      </c>
      <c r="I5312" s="5" t="str">
        <f t="shared" si="630"/>
        <v>018</v>
      </c>
      <c r="J5312" s="5" t="str">
        <f t="shared" si="631"/>
        <v>2230</v>
      </c>
      <c r="K5312" s="5" t="str">
        <f t="shared" si="632"/>
        <v>000</v>
      </c>
      <c r="L5312" s="5">
        <f t="shared" si="633"/>
        <v>1</v>
      </c>
      <c r="M5312" s="5">
        <f t="shared" si="634"/>
        <v>2013</v>
      </c>
    </row>
    <row r="5313" spans="1:13" ht="15" x14ac:dyDescent="0.25">
      <c r="A5313" s="1">
        <f>DATE(2013,1,18)</f>
        <v>41292</v>
      </c>
      <c r="B5313" t="s">
        <v>19</v>
      </c>
      <c r="C5313" t="s">
        <v>6</v>
      </c>
      <c r="D5313" s="3">
        <v>8511.8559999999998</v>
      </c>
      <c r="E5313" s="3">
        <v>0</v>
      </c>
      <c r="F5313" t="s">
        <v>45</v>
      </c>
      <c r="G5313" s="3">
        <f t="shared" si="628"/>
        <v>-8511.8559999999998</v>
      </c>
      <c r="H5313" s="3">
        <f t="shared" si="629"/>
        <v>8511.8559999999998</v>
      </c>
      <c r="I5313" s="5" t="str">
        <f t="shared" si="630"/>
        <v>018</v>
      </c>
      <c r="J5313" s="5" t="str">
        <f t="shared" si="631"/>
        <v>2100</v>
      </c>
      <c r="K5313" s="5" t="str">
        <f t="shared" si="632"/>
        <v>000</v>
      </c>
      <c r="L5313" s="5">
        <f t="shared" si="633"/>
        <v>1</v>
      </c>
      <c r="M5313" s="5">
        <f t="shared" si="634"/>
        <v>2013</v>
      </c>
    </row>
    <row r="5314" spans="1:13" ht="15" x14ac:dyDescent="0.25">
      <c r="A5314" s="1">
        <f>DATE(2013,1,18)</f>
        <v>41292</v>
      </c>
      <c r="B5314" t="s">
        <v>20</v>
      </c>
      <c r="C5314" t="s">
        <v>8</v>
      </c>
      <c r="D5314" s="3">
        <v>2035.3473000000001</v>
      </c>
      <c r="E5314" s="3">
        <v>0</v>
      </c>
      <c r="F5314" t="s">
        <v>45</v>
      </c>
      <c r="G5314" s="3">
        <f t="shared" ref="G5314:G5377" si="636">E5314-D5314</f>
        <v>-2035.3473000000001</v>
      </c>
      <c r="H5314" s="3">
        <f t="shared" ref="H5314:H5377" si="637">ABS(G5314)</f>
        <v>2035.3473000000001</v>
      </c>
      <c r="I5314" s="5" t="str">
        <f t="shared" ref="I5314:I5377" si="638">MID(B5314,1,3)</f>
        <v>018</v>
      </c>
      <c r="J5314" s="5" t="str">
        <f t="shared" ref="J5314:J5377" si="639">MID(B5314,5,4)</f>
        <v>2210</v>
      </c>
      <c r="K5314" s="5" t="str">
        <f t="shared" ref="K5314:K5377" si="640">MID(B5314,10,3)</f>
        <v>000</v>
      </c>
      <c r="L5314" s="5">
        <f t="shared" ref="L5314:L5377" si="641">MONTH(A5314)</f>
        <v>1</v>
      </c>
      <c r="M5314" s="5">
        <f t="shared" ref="M5314:M5377" si="642">YEAR(A5314)</f>
        <v>2013</v>
      </c>
    </row>
    <row r="5315" spans="1:13" ht="15" x14ac:dyDescent="0.25">
      <c r="A5315" s="1">
        <f>DATE(2013,1,18)</f>
        <v>41292</v>
      </c>
      <c r="B5315" t="s">
        <v>21</v>
      </c>
      <c r="C5315" t="s">
        <v>9</v>
      </c>
      <c r="D5315" s="3">
        <v>820.88639999999987</v>
      </c>
      <c r="E5315" s="3">
        <v>0</v>
      </c>
      <c r="F5315" t="s">
        <v>45</v>
      </c>
      <c r="G5315" s="3">
        <f t="shared" si="636"/>
        <v>-820.88639999999987</v>
      </c>
      <c r="H5315" s="3">
        <f t="shared" si="637"/>
        <v>820.88639999999987</v>
      </c>
      <c r="I5315" s="5" t="str">
        <f t="shared" si="638"/>
        <v>018</v>
      </c>
      <c r="J5315" s="5" t="str">
        <f t="shared" si="639"/>
        <v>2220</v>
      </c>
      <c r="K5315" s="5" t="str">
        <f t="shared" si="640"/>
        <v>000</v>
      </c>
      <c r="L5315" s="5">
        <f t="shared" si="641"/>
        <v>1</v>
      </c>
      <c r="M5315" s="5">
        <f t="shared" si="642"/>
        <v>2013</v>
      </c>
    </row>
    <row r="5316" spans="1:13" ht="15" x14ac:dyDescent="0.25">
      <c r="A5316" s="1">
        <f>DATE(2013,1,18)</f>
        <v>41292</v>
      </c>
      <c r="B5316" t="s">
        <v>22</v>
      </c>
      <c r="C5316" t="s">
        <v>10</v>
      </c>
      <c r="D5316" s="3">
        <v>70.879300000000001</v>
      </c>
      <c r="E5316" s="3">
        <v>0</v>
      </c>
      <c r="F5316" t="s">
        <v>45</v>
      </c>
      <c r="G5316" s="3">
        <f t="shared" si="636"/>
        <v>-70.879300000000001</v>
      </c>
      <c r="H5316" s="3">
        <f t="shared" si="637"/>
        <v>70.879300000000001</v>
      </c>
      <c r="I5316" s="5" t="str">
        <f t="shared" si="638"/>
        <v>018</v>
      </c>
      <c r="J5316" s="5" t="str">
        <f t="shared" si="639"/>
        <v>2230</v>
      </c>
      <c r="K5316" s="5" t="str">
        <f t="shared" si="640"/>
        <v>000</v>
      </c>
      <c r="L5316" s="5">
        <f t="shared" si="641"/>
        <v>1</v>
      </c>
      <c r="M5316" s="5">
        <f t="shared" si="642"/>
        <v>2013</v>
      </c>
    </row>
    <row r="5317" spans="1:13" ht="15" x14ac:dyDescent="0.25">
      <c r="A5317" s="1">
        <f>DATE(2013,1,19)</f>
        <v>41293</v>
      </c>
      <c r="B5317" t="s">
        <v>19</v>
      </c>
      <c r="C5317" t="s">
        <v>6</v>
      </c>
      <c r="D5317" s="3">
        <v>16701.845600000001</v>
      </c>
      <c r="E5317" s="3">
        <v>0</v>
      </c>
      <c r="F5317" t="s">
        <v>45</v>
      </c>
      <c r="G5317" s="3">
        <f t="shared" si="636"/>
        <v>-16701.845600000001</v>
      </c>
      <c r="H5317" s="3">
        <f t="shared" si="637"/>
        <v>16701.845600000001</v>
      </c>
      <c r="I5317" s="5" t="str">
        <f t="shared" si="638"/>
        <v>018</v>
      </c>
      <c r="J5317" s="5" t="str">
        <f t="shared" si="639"/>
        <v>2100</v>
      </c>
      <c r="K5317" s="5" t="str">
        <f t="shared" si="640"/>
        <v>000</v>
      </c>
      <c r="L5317" s="5">
        <f t="shared" si="641"/>
        <v>1</v>
      </c>
      <c r="M5317" s="5">
        <f t="shared" si="642"/>
        <v>2013</v>
      </c>
    </row>
    <row r="5318" spans="1:13" ht="15" x14ac:dyDescent="0.25">
      <c r="A5318" s="1">
        <f>DATE(2013,1,19)</f>
        <v>41293</v>
      </c>
      <c r="B5318" t="s">
        <v>20</v>
      </c>
      <c r="C5318" t="s">
        <v>8</v>
      </c>
      <c r="D5318" s="3">
        <v>2965.6499999999996</v>
      </c>
      <c r="E5318" s="3">
        <v>0</v>
      </c>
      <c r="F5318" t="s">
        <v>45</v>
      </c>
      <c r="G5318" s="3">
        <f t="shared" si="636"/>
        <v>-2965.6499999999996</v>
      </c>
      <c r="H5318" s="3">
        <f t="shared" si="637"/>
        <v>2965.6499999999996</v>
      </c>
      <c r="I5318" s="5" t="str">
        <f t="shared" si="638"/>
        <v>018</v>
      </c>
      <c r="J5318" s="5" t="str">
        <f t="shared" si="639"/>
        <v>2210</v>
      </c>
      <c r="K5318" s="5" t="str">
        <f t="shared" si="640"/>
        <v>000</v>
      </c>
      <c r="L5318" s="5">
        <f t="shared" si="641"/>
        <v>1</v>
      </c>
      <c r="M5318" s="5">
        <f t="shared" si="642"/>
        <v>2013</v>
      </c>
    </row>
    <row r="5319" spans="1:13" ht="15" x14ac:dyDescent="0.25">
      <c r="A5319" s="1">
        <f>DATE(2013,1,19)</f>
        <v>41293</v>
      </c>
      <c r="B5319" t="s">
        <v>21</v>
      </c>
      <c r="C5319" t="s">
        <v>9</v>
      </c>
      <c r="D5319" s="3">
        <v>834.15000000000009</v>
      </c>
      <c r="E5319" s="3">
        <v>0</v>
      </c>
      <c r="F5319" t="s">
        <v>45</v>
      </c>
      <c r="G5319" s="3">
        <f t="shared" si="636"/>
        <v>-834.15000000000009</v>
      </c>
      <c r="H5319" s="3">
        <f t="shared" si="637"/>
        <v>834.15000000000009</v>
      </c>
      <c r="I5319" s="5" t="str">
        <f t="shared" si="638"/>
        <v>018</v>
      </c>
      <c r="J5319" s="5" t="str">
        <f t="shared" si="639"/>
        <v>2220</v>
      </c>
      <c r="K5319" s="5" t="str">
        <f t="shared" si="640"/>
        <v>000</v>
      </c>
      <c r="L5319" s="5">
        <f t="shared" si="641"/>
        <v>1</v>
      </c>
      <c r="M5319" s="5">
        <f t="shared" si="642"/>
        <v>2013</v>
      </c>
    </row>
    <row r="5320" spans="1:13" ht="15" x14ac:dyDescent="0.25">
      <c r="A5320" s="1">
        <f>DATE(2013,1,19)</f>
        <v>41293</v>
      </c>
      <c r="B5320" t="s">
        <v>22</v>
      </c>
      <c r="C5320" t="s">
        <v>10</v>
      </c>
      <c r="D5320" s="3">
        <v>229.70900000000003</v>
      </c>
      <c r="E5320" s="3">
        <v>0</v>
      </c>
      <c r="F5320" t="s">
        <v>45</v>
      </c>
      <c r="G5320" s="3">
        <f t="shared" si="636"/>
        <v>-229.70900000000003</v>
      </c>
      <c r="H5320" s="3">
        <f t="shared" si="637"/>
        <v>229.70900000000003</v>
      </c>
      <c r="I5320" s="5" t="str">
        <f t="shared" si="638"/>
        <v>018</v>
      </c>
      <c r="J5320" s="5" t="str">
        <f t="shared" si="639"/>
        <v>2230</v>
      </c>
      <c r="K5320" s="5" t="str">
        <f t="shared" si="640"/>
        <v>000</v>
      </c>
      <c r="L5320" s="5">
        <f t="shared" si="641"/>
        <v>1</v>
      </c>
      <c r="M5320" s="5">
        <f t="shared" si="642"/>
        <v>2013</v>
      </c>
    </row>
    <row r="5321" spans="1:13" ht="15" x14ac:dyDescent="0.25">
      <c r="A5321" s="1">
        <f>DATE(2013,1,20)</f>
        <v>41294</v>
      </c>
      <c r="B5321" t="s">
        <v>19</v>
      </c>
      <c r="C5321" t="s">
        <v>6</v>
      </c>
      <c r="D5321" s="3">
        <v>6949.8105999999998</v>
      </c>
      <c r="E5321" s="3">
        <v>0</v>
      </c>
      <c r="F5321" t="s">
        <v>45</v>
      </c>
      <c r="G5321" s="3">
        <f t="shared" si="636"/>
        <v>-6949.8105999999998</v>
      </c>
      <c r="H5321" s="3">
        <f t="shared" si="637"/>
        <v>6949.8105999999998</v>
      </c>
      <c r="I5321" s="5" t="str">
        <f t="shared" si="638"/>
        <v>018</v>
      </c>
      <c r="J5321" s="5" t="str">
        <f t="shared" si="639"/>
        <v>2100</v>
      </c>
      <c r="K5321" s="5" t="str">
        <f t="shared" si="640"/>
        <v>000</v>
      </c>
      <c r="L5321" s="5">
        <f t="shared" si="641"/>
        <v>1</v>
      </c>
      <c r="M5321" s="5">
        <f t="shared" si="642"/>
        <v>2013</v>
      </c>
    </row>
    <row r="5322" spans="1:13" ht="15" x14ac:dyDescent="0.25">
      <c r="A5322" s="1">
        <f>DATE(2013,1,20)</f>
        <v>41294</v>
      </c>
      <c r="B5322" t="s">
        <v>20</v>
      </c>
      <c r="C5322" t="s">
        <v>8</v>
      </c>
      <c r="D5322" s="3">
        <v>1608.9998000000001</v>
      </c>
      <c r="E5322" s="3">
        <v>0</v>
      </c>
      <c r="F5322" t="s">
        <v>45</v>
      </c>
      <c r="G5322" s="3">
        <f t="shared" si="636"/>
        <v>-1608.9998000000001</v>
      </c>
      <c r="H5322" s="3">
        <f t="shared" si="637"/>
        <v>1608.9998000000001</v>
      </c>
      <c r="I5322" s="5" t="str">
        <f t="shared" si="638"/>
        <v>018</v>
      </c>
      <c r="J5322" s="5" t="str">
        <f t="shared" si="639"/>
        <v>2210</v>
      </c>
      <c r="K5322" s="5" t="str">
        <f t="shared" si="640"/>
        <v>000</v>
      </c>
      <c r="L5322" s="5">
        <f t="shared" si="641"/>
        <v>1</v>
      </c>
      <c r="M5322" s="5">
        <f t="shared" si="642"/>
        <v>2013</v>
      </c>
    </row>
    <row r="5323" spans="1:13" ht="15" x14ac:dyDescent="0.25">
      <c r="A5323" s="1">
        <f>DATE(2013,1,20)</f>
        <v>41294</v>
      </c>
      <c r="B5323" t="s">
        <v>21</v>
      </c>
      <c r="C5323" t="s">
        <v>9</v>
      </c>
      <c r="D5323" s="3">
        <v>193.30359999999999</v>
      </c>
      <c r="E5323" s="3">
        <v>0</v>
      </c>
      <c r="F5323" t="s">
        <v>45</v>
      </c>
      <c r="G5323" s="3">
        <f t="shared" si="636"/>
        <v>-193.30359999999999</v>
      </c>
      <c r="H5323" s="3">
        <f t="shared" si="637"/>
        <v>193.30359999999999</v>
      </c>
      <c r="I5323" s="5" t="str">
        <f t="shared" si="638"/>
        <v>018</v>
      </c>
      <c r="J5323" s="5" t="str">
        <f t="shared" si="639"/>
        <v>2220</v>
      </c>
      <c r="K5323" s="5" t="str">
        <f t="shared" si="640"/>
        <v>000</v>
      </c>
      <c r="L5323" s="5">
        <f t="shared" si="641"/>
        <v>1</v>
      </c>
      <c r="M5323" s="5">
        <f t="shared" si="642"/>
        <v>2013</v>
      </c>
    </row>
    <row r="5324" spans="1:13" ht="15" x14ac:dyDescent="0.25">
      <c r="A5324" s="1">
        <f>DATE(2013,1,20)</f>
        <v>41294</v>
      </c>
      <c r="B5324" t="s">
        <v>22</v>
      </c>
      <c r="C5324" t="s">
        <v>10</v>
      </c>
      <c r="D5324" s="3">
        <v>18.069900000000001</v>
      </c>
      <c r="E5324" s="3">
        <v>0</v>
      </c>
      <c r="F5324" t="s">
        <v>45</v>
      </c>
      <c r="G5324" s="3">
        <f t="shared" si="636"/>
        <v>-18.069900000000001</v>
      </c>
      <c r="H5324" s="3">
        <f t="shared" si="637"/>
        <v>18.069900000000001</v>
      </c>
      <c r="I5324" s="5" t="str">
        <f t="shared" si="638"/>
        <v>018</v>
      </c>
      <c r="J5324" s="5" t="str">
        <f t="shared" si="639"/>
        <v>2230</v>
      </c>
      <c r="K5324" s="5" t="str">
        <f t="shared" si="640"/>
        <v>000</v>
      </c>
      <c r="L5324" s="5">
        <f t="shared" si="641"/>
        <v>1</v>
      </c>
      <c r="M5324" s="5">
        <f t="shared" si="642"/>
        <v>2013</v>
      </c>
    </row>
    <row r="5325" spans="1:13" ht="15" x14ac:dyDescent="0.25">
      <c r="A5325" s="1">
        <f>DATE(2013,1,21)</f>
        <v>41295</v>
      </c>
      <c r="B5325" t="s">
        <v>11</v>
      </c>
      <c r="C5325" t="s">
        <v>6</v>
      </c>
      <c r="D5325" s="3">
        <v>3435.2460000000001</v>
      </c>
      <c r="E5325" s="3">
        <v>0</v>
      </c>
      <c r="F5325" t="s">
        <v>45</v>
      </c>
      <c r="G5325" s="3">
        <f t="shared" si="636"/>
        <v>-3435.2460000000001</v>
      </c>
      <c r="H5325" s="3">
        <f t="shared" si="637"/>
        <v>3435.2460000000001</v>
      </c>
      <c r="I5325" s="5" t="str">
        <f t="shared" si="638"/>
        <v>016</v>
      </c>
      <c r="J5325" s="5" t="str">
        <f t="shared" si="639"/>
        <v>2100</v>
      </c>
      <c r="K5325" s="5" t="str">
        <f t="shared" si="640"/>
        <v>000</v>
      </c>
      <c r="L5325" s="5">
        <f t="shared" si="641"/>
        <v>1</v>
      </c>
      <c r="M5325" s="5">
        <f t="shared" si="642"/>
        <v>2013</v>
      </c>
    </row>
    <row r="5326" spans="1:13" ht="15" x14ac:dyDescent="0.25">
      <c r="A5326" s="1">
        <f>DATE(2013,1,21)</f>
        <v>41295</v>
      </c>
      <c r="B5326" t="s">
        <v>12</v>
      </c>
      <c r="C5326" t="s">
        <v>8</v>
      </c>
      <c r="D5326" s="3">
        <v>685.95229999999992</v>
      </c>
      <c r="E5326" s="3">
        <v>0</v>
      </c>
      <c r="F5326" t="s">
        <v>45</v>
      </c>
      <c r="G5326" s="3">
        <f t="shared" si="636"/>
        <v>-685.95229999999992</v>
      </c>
      <c r="H5326" s="3">
        <f t="shared" si="637"/>
        <v>685.95229999999992</v>
      </c>
      <c r="I5326" s="5" t="str">
        <f t="shared" si="638"/>
        <v>016</v>
      </c>
      <c r="J5326" s="5" t="str">
        <f t="shared" si="639"/>
        <v>2210</v>
      </c>
      <c r="K5326" s="5" t="str">
        <f t="shared" si="640"/>
        <v>000</v>
      </c>
      <c r="L5326" s="5">
        <f t="shared" si="641"/>
        <v>1</v>
      </c>
      <c r="M5326" s="5">
        <f t="shared" si="642"/>
        <v>2013</v>
      </c>
    </row>
    <row r="5327" spans="1:13" ht="15" x14ac:dyDescent="0.25">
      <c r="A5327" s="1">
        <f>DATE(2013,1,21)</f>
        <v>41295</v>
      </c>
      <c r="B5327" t="s">
        <v>13</v>
      </c>
      <c r="C5327" t="s">
        <v>9</v>
      </c>
      <c r="D5327" s="3">
        <v>122.604</v>
      </c>
      <c r="E5327" s="3">
        <v>0</v>
      </c>
      <c r="F5327" t="s">
        <v>45</v>
      </c>
      <c r="G5327" s="3">
        <f t="shared" si="636"/>
        <v>-122.604</v>
      </c>
      <c r="H5327" s="3">
        <f t="shared" si="637"/>
        <v>122.604</v>
      </c>
      <c r="I5327" s="5" t="str">
        <f t="shared" si="638"/>
        <v>016</v>
      </c>
      <c r="J5327" s="5" t="str">
        <f t="shared" si="639"/>
        <v>2220</v>
      </c>
      <c r="K5327" s="5" t="str">
        <f t="shared" si="640"/>
        <v>000</v>
      </c>
      <c r="L5327" s="5">
        <f t="shared" si="641"/>
        <v>1</v>
      </c>
      <c r="M5327" s="5">
        <f t="shared" si="642"/>
        <v>2013</v>
      </c>
    </row>
    <row r="5328" spans="1:13" ht="15" x14ac:dyDescent="0.25">
      <c r="A5328" s="1">
        <f>DATE(2013,1,21)</f>
        <v>41295</v>
      </c>
      <c r="B5328" t="s">
        <v>14</v>
      </c>
      <c r="C5328" t="s">
        <v>10</v>
      </c>
      <c r="D5328" s="3">
        <v>18.728199999999998</v>
      </c>
      <c r="E5328" s="3">
        <v>0</v>
      </c>
      <c r="F5328" t="s">
        <v>45</v>
      </c>
      <c r="G5328" s="3">
        <f t="shared" si="636"/>
        <v>-18.728199999999998</v>
      </c>
      <c r="H5328" s="3">
        <f t="shared" si="637"/>
        <v>18.728199999999998</v>
      </c>
      <c r="I5328" s="5" t="str">
        <f t="shared" si="638"/>
        <v>016</v>
      </c>
      <c r="J5328" s="5" t="str">
        <f t="shared" si="639"/>
        <v>2230</v>
      </c>
      <c r="K5328" s="5" t="str">
        <f t="shared" si="640"/>
        <v>000</v>
      </c>
      <c r="L5328" s="5">
        <f t="shared" si="641"/>
        <v>1</v>
      </c>
      <c r="M5328" s="5">
        <f t="shared" si="642"/>
        <v>2013</v>
      </c>
    </row>
    <row r="5329" spans="1:13" ht="15" x14ac:dyDescent="0.25">
      <c r="A5329" s="1">
        <f>DATE(2013,1,22)</f>
        <v>41296</v>
      </c>
      <c r="B5329" t="s">
        <v>11</v>
      </c>
      <c r="C5329" t="s">
        <v>6</v>
      </c>
      <c r="D5329" s="3">
        <v>4843.9679999999998</v>
      </c>
      <c r="E5329" s="3">
        <v>0</v>
      </c>
      <c r="F5329" t="s">
        <v>45</v>
      </c>
      <c r="G5329" s="3">
        <f t="shared" si="636"/>
        <v>-4843.9679999999998</v>
      </c>
      <c r="H5329" s="3">
        <f t="shared" si="637"/>
        <v>4843.9679999999998</v>
      </c>
      <c r="I5329" s="5" t="str">
        <f t="shared" si="638"/>
        <v>016</v>
      </c>
      <c r="J5329" s="5" t="str">
        <f t="shared" si="639"/>
        <v>2100</v>
      </c>
      <c r="K5329" s="5" t="str">
        <f t="shared" si="640"/>
        <v>000</v>
      </c>
      <c r="L5329" s="5">
        <f t="shared" si="641"/>
        <v>1</v>
      </c>
      <c r="M5329" s="5">
        <f t="shared" si="642"/>
        <v>2013</v>
      </c>
    </row>
    <row r="5330" spans="1:13" ht="15" x14ac:dyDescent="0.25">
      <c r="A5330" s="1">
        <f>DATE(2013,1,22)</f>
        <v>41296</v>
      </c>
      <c r="B5330" t="s">
        <v>12</v>
      </c>
      <c r="C5330" t="s">
        <v>8</v>
      </c>
      <c r="D5330" s="3">
        <v>1932.9239999999998</v>
      </c>
      <c r="E5330" s="3">
        <v>0</v>
      </c>
      <c r="F5330" t="s">
        <v>45</v>
      </c>
      <c r="G5330" s="3">
        <f t="shared" si="636"/>
        <v>-1932.9239999999998</v>
      </c>
      <c r="H5330" s="3">
        <f t="shared" si="637"/>
        <v>1932.9239999999998</v>
      </c>
      <c r="I5330" s="5" t="str">
        <f t="shared" si="638"/>
        <v>016</v>
      </c>
      <c r="J5330" s="5" t="str">
        <f t="shared" si="639"/>
        <v>2210</v>
      </c>
      <c r="K5330" s="5" t="str">
        <f t="shared" si="640"/>
        <v>000</v>
      </c>
      <c r="L5330" s="5">
        <f t="shared" si="641"/>
        <v>1</v>
      </c>
      <c r="M5330" s="5">
        <f t="shared" si="642"/>
        <v>2013</v>
      </c>
    </row>
    <row r="5331" spans="1:13" ht="15" x14ac:dyDescent="0.25">
      <c r="A5331" s="1">
        <f>DATE(2013,1,22)</f>
        <v>41296</v>
      </c>
      <c r="B5331" t="s">
        <v>13</v>
      </c>
      <c r="C5331" t="s">
        <v>9</v>
      </c>
      <c r="D5331" s="3">
        <v>456.3349</v>
      </c>
      <c r="E5331" s="3">
        <v>0</v>
      </c>
      <c r="F5331" t="s">
        <v>45</v>
      </c>
      <c r="G5331" s="3">
        <f t="shared" si="636"/>
        <v>-456.3349</v>
      </c>
      <c r="H5331" s="3">
        <f t="shared" si="637"/>
        <v>456.3349</v>
      </c>
      <c r="I5331" s="5" t="str">
        <f t="shared" si="638"/>
        <v>016</v>
      </c>
      <c r="J5331" s="5" t="str">
        <f t="shared" si="639"/>
        <v>2220</v>
      </c>
      <c r="K5331" s="5" t="str">
        <f t="shared" si="640"/>
        <v>000</v>
      </c>
      <c r="L5331" s="5">
        <f t="shared" si="641"/>
        <v>1</v>
      </c>
      <c r="M5331" s="5">
        <f t="shared" si="642"/>
        <v>2013</v>
      </c>
    </row>
    <row r="5332" spans="1:13" ht="15" x14ac:dyDescent="0.25">
      <c r="A5332" s="1">
        <f>DATE(2013,1,22)</f>
        <v>41296</v>
      </c>
      <c r="B5332" t="s">
        <v>14</v>
      </c>
      <c r="C5332" t="s">
        <v>10</v>
      </c>
      <c r="D5332" s="3">
        <v>221.38890000000001</v>
      </c>
      <c r="E5332" s="3">
        <v>0</v>
      </c>
      <c r="F5332" t="s">
        <v>45</v>
      </c>
      <c r="G5332" s="3">
        <f t="shared" si="636"/>
        <v>-221.38890000000001</v>
      </c>
      <c r="H5332" s="3">
        <f t="shared" si="637"/>
        <v>221.38890000000001</v>
      </c>
      <c r="I5332" s="5" t="str">
        <f t="shared" si="638"/>
        <v>016</v>
      </c>
      <c r="J5332" s="5" t="str">
        <f t="shared" si="639"/>
        <v>2230</v>
      </c>
      <c r="K5332" s="5" t="str">
        <f t="shared" si="640"/>
        <v>000</v>
      </c>
      <c r="L5332" s="5">
        <f t="shared" si="641"/>
        <v>1</v>
      </c>
      <c r="M5332" s="5">
        <f t="shared" si="642"/>
        <v>2013</v>
      </c>
    </row>
    <row r="5333" spans="1:13" ht="15" x14ac:dyDescent="0.25">
      <c r="A5333" s="1">
        <f>DATE(2013,1,23)</f>
        <v>41297</v>
      </c>
      <c r="B5333" t="s">
        <v>11</v>
      </c>
      <c r="C5333" t="s">
        <v>6</v>
      </c>
      <c r="D5333" s="3">
        <v>2466.087</v>
      </c>
      <c r="E5333" s="3">
        <v>0</v>
      </c>
      <c r="F5333" t="s">
        <v>45</v>
      </c>
      <c r="G5333" s="3">
        <f t="shared" si="636"/>
        <v>-2466.087</v>
      </c>
      <c r="H5333" s="3">
        <f t="shared" si="637"/>
        <v>2466.087</v>
      </c>
      <c r="I5333" s="5" t="str">
        <f t="shared" si="638"/>
        <v>016</v>
      </c>
      <c r="J5333" s="5" t="str">
        <f t="shared" si="639"/>
        <v>2100</v>
      </c>
      <c r="K5333" s="5" t="str">
        <f t="shared" si="640"/>
        <v>000</v>
      </c>
      <c r="L5333" s="5">
        <f t="shared" si="641"/>
        <v>1</v>
      </c>
      <c r="M5333" s="5">
        <f t="shared" si="642"/>
        <v>2013</v>
      </c>
    </row>
    <row r="5334" spans="1:13" ht="15" x14ac:dyDescent="0.25">
      <c r="A5334" s="1">
        <f>DATE(2013,1,23)</f>
        <v>41297</v>
      </c>
      <c r="B5334" t="s">
        <v>12</v>
      </c>
      <c r="C5334" t="s">
        <v>8</v>
      </c>
      <c r="D5334" s="3">
        <v>867.28160000000003</v>
      </c>
      <c r="E5334" s="3">
        <v>0</v>
      </c>
      <c r="F5334" t="s">
        <v>45</v>
      </c>
      <c r="G5334" s="3">
        <f t="shared" si="636"/>
        <v>-867.28160000000003</v>
      </c>
      <c r="H5334" s="3">
        <f t="shared" si="637"/>
        <v>867.28160000000003</v>
      </c>
      <c r="I5334" s="5" t="str">
        <f t="shared" si="638"/>
        <v>016</v>
      </c>
      <c r="J5334" s="5" t="str">
        <f t="shared" si="639"/>
        <v>2210</v>
      </c>
      <c r="K5334" s="5" t="str">
        <f t="shared" si="640"/>
        <v>000</v>
      </c>
      <c r="L5334" s="5">
        <f t="shared" si="641"/>
        <v>1</v>
      </c>
      <c r="M5334" s="5">
        <f t="shared" si="642"/>
        <v>2013</v>
      </c>
    </row>
    <row r="5335" spans="1:13" ht="15" x14ac:dyDescent="0.25">
      <c r="A5335" s="1">
        <f>DATE(2013,1,23)</f>
        <v>41297</v>
      </c>
      <c r="B5335" t="s">
        <v>13</v>
      </c>
      <c r="C5335" t="s">
        <v>9</v>
      </c>
      <c r="D5335" s="3">
        <v>87.2072</v>
      </c>
      <c r="E5335" s="3">
        <v>0</v>
      </c>
      <c r="F5335" t="s">
        <v>45</v>
      </c>
      <c r="G5335" s="3">
        <f t="shared" si="636"/>
        <v>-87.2072</v>
      </c>
      <c r="H5335" s="3">
        <f t="shared" si="637"/>
        <v>87.2072</v>
      </c>
      <c r="I5335" s="5" t="str">
        <f t="shared" si="638"/>
        <v>016</v>
      </c>
      <c r="J5335" s="5" t="str">
        <f t="shared" si="639"/>
        <v>2220</v>
      </c>
      <c r="K5335" s="5" t="str">
        <f t="shared" si="640"/>
        <v>000</v>
      </c>
      <c r="L5335" s="5">
        <f t="shared" si="641"/>
        <v>1</v>
      </c>
      <c r="M5335" s="5">
        <f t="shared" si="642"/>
        <v>2013</v>
      </c>
    </row>
    <row r="5336" spans="1:13" ht="15" x14ac:dyDescent="0.25">
      <c r="A5336" s="1">
        <f>DATE(2013,1,23)</f>
        <v>41297</v>
      </c>
      <c r="B5336" t="s">
        <v>14</v>
      </c>
      <c r="C5336" t="s">
        <v>10</v>
      </c>
      <c r="D5336" s="3">
        <v>124.72049999999999</v>
      </c>
      <c r="E5336" s="3">
        <v>0</v>
      </c>
      <c r="F5336" t="s">
        <v>45</v>
      </c>
      <c r="G5336" s="3">
        <f t="shared" si="636"/>
        <v>-124.72049999999999</v>
      </c>
      <c r="H5336" s="3">
        <f t="shared" si="637"/>
        <v>124.72049999999999</v>
      </c>
      <c r="I5336" s="5" t="str">
        <f t="shared" si="638"/>
        <v>016</v>
      </c>
      <c r="J5336" s="5" t="str">
        <f t="shared" si="639"/>
        <v>2230</v>
      </c>
      <c r="K5336" s="5" t="str">
        <f t="shared" si="640"/>
        <v>000</v>
      </c>
      <c r="L5336" s="5">
        <f t="shared" si="641"/>
        <v>1</v>
      </c>
      <c r="M5336" s="5">
        <f t="shared" si="642"/>
        <v>2013</v>
      </c>
    </row>
    <row r="5337" spans="1:13" ht="15" x14ac:dyDescent="0.25">
      <c r="A5337" s="1">
        <f>DATE(2013,1,24)</f>
        <v>41298</v>
      </c>
      <c r="B5337" t="s">
        <v>11</v>
      </c>
      <c r="C5337" t="s">
        <v>6</v>
      </c>
      <c r="D5337" s="3">
        <v>4900.9964</v>
      </c>
      <c r="E5337" s="3">
        <v>0</v>
      </c>
      <c r="F5337" t="s">
        <v>45</v>
      </c>
      <c r="G5337" s="3">
        <f t="shared" si="636"/>
        <v>-4900.9964</v>
      </c>
      <c r="H5337" s="3">
        <f t="shared" si="637"/>
        <v>4900.9964</v>
      </c>
      <c r="I5337" s="5" t="str">
        <f t="shared" si="638"/>
        <v>016</v>
      </c>
      <c r="J5337" s="5" t="str">
        <f t="shared" si="639"/>
        <v>2100</v>
      </c>
      <c r="K5337" s="5" t="str">
        <f t="shared" si="640"/>
        <v>000</v>
      </c>
      <c r="L5337" s="5">
        <f t="shared" si="641"/>
        <v>1</v>
      </c>
      <c r="M5337" s="5">
        <f t="shared" si="642"/>
        <v>2013</v>
      </c>
    </row>
    <row r="5338" spans="1:13" ht="15" x14ac:dyDescent="0.25">
      <c r="A5338" s="1">
        <f>DATE(2013,1,24)</f>
        <v>41298</v>
      </c>
      <c r="B5338" t="s">
        <v>12</v>
      </c>
      <c r="C5338" t="s">
        <v>8</v>
      </c>
      <c r="D5338" s="3">
        <v>1828.674</v>
      </c>
      <c r="E5338" s="3">
        <v>0</v>
      </c>
      <c r="F5338" t="s">
        <v>45</v>
      </c>
      <c r="G5338" s="3">
        <f t="shared" si="636"/>
        <v>-1828.674</v>
      </c>
      <c r="H5338" s="3">
        <f t="shared" si="637"/>
        <v>1828.674</v>
      </c>
      <c r="I5338" s="5" t="str">
        <f t="shared" si="638"/>
        <v>016</v>
      </c>
      <c r="J5338" s="5" t="str">
        <f t="shared" si="639"/>
        <v>2210</v>
      </c>
      <c r="K5338" s="5" t="str">
        <f t="shared" si="640"/>
        <v>000</v>
      </c>
      <c r="L5338" s="5">
        <f t="shared" si="641"/>
        <v>1</v>
      </c>
      <c r="M5338" s="5">
        <f t="shared" si="642"/>
        <v>2013</v>
      </c>
    </row>
    <row r="5339" spans="1:13" ht="15" x14ac:dyDescent="0.25">
      <c r="A5339" s="1">
        <f>DATE(2013,1,24)</f>
        <v>41298</v>
      </c>
      <c r="B5339" t="s">
        <v>13</v>
      </c>
      <c r="C5339" t="s">
        <v>9</v>
      </c>
      <c r="D5339" s="3">
        <v>264.53999999999996</v>
      </c>
      <c r="E5339" s="3">
        <v>0</v>
      </c>
      <c r="F5339" t="s">
        <v>45</v>
      </c>
      <c r="G5339" s="3">
        <f t="shared" si="636"/>
        <v>-264.53999999999996</v>
      </c>
      <c r="H5339" s="3">
        <f t="shared" si="637"/>
        <v>264.53999999999996</v>
      </c>
      <c r="I5339" s="5" t="str">
        <f t="shared" si="638"/>
        <v>016</v>
      </c>
      <c r="J5339" s="5" t="str">
        <f t="shared" si="639"/>
        <v>2220</v>
      </c>
      <c r="K5339" s="5" t="str">
        <f t="shared" si="640"/>
        <v>000</v>
      </c>
      <c r="L5339" s="5">
        <f t="shared" si="641"/>
        <v>1</v>
      </c>
      <c r="M5339" s="5">
        <f t="shared" si="642"/>
        <v>2013</v>
      </c>
    </row>
    <row r="5340" spans="1:13" ht="15" x14ac:dyDescent="0.25">
      <c r="A5340" s="1">
        <f>DATE(2013,1,24)</f>
        <v>41298</v>
      </c>
      <c r="B5340" t="s">
        <v>14</v>
      </c>
      <c r="C5340" t="s">
        <v>10</v>
      </c>
      <c r="D5340" s="3">
        <v>157.095</v>
      </c>
      <c r="E5340" s="3">
        <v>0</v>
      </c>
      <c r="F5340" t="s">
        <v>45</v>
      </c>
      <c r="G5340" s="3">
        <f t="shared" si="636"/>
        <v>-157.095</v>
      </c>
      <c r="H5340" s="3">
        <f t="shared" si="637"/>
        <v>157.095</v>
      </c>
      <c r="I5340" s="5" t="str">
        <f t="shared" si="638"/>
        <v>016</v>
      </c>
      <c r="J5340" s="5" t="str">
        <f t="shared" si="639"/>
        <v>2230</v>
      </c>
      <c r="K5340" s="5" t="str">
        <f t="shared" si="640"/>
        <v>000</v>
      </c>
      <c r="L5340" s="5">
        <f t="shared" si="641"/>
        <v>1</v>
      </c>
      <c r="M5340" s="5">
        <f t="shared" si="642"/>
        <v>2013</v>
      </c>
    </row>
    <row r="5341" spans="1:13" ht="15" x14ac:dyDescent="0.25">
      <c r="A5341" s="1">
        <f>DATE(2013,1,25)</f>
        <v>41299</v>
      </c>
      <c r="B5341" t="s">
        <v>11</v>
      </c>
      <c r="C5341" t="s">
        <v>6</v>
      </c>
      <c r="D5341" s="3">
        <v>5691.3284999999996</v>
      </c>
      <c r="E5341" s="3">
        <v>0</v>
      </c>
      <c r="F5341" t="s">
        <v>45</v>
      </c>
      <c r="G5341" s="3">
        <f t="shared" si="636"/>
        <v>-5691.3284999999996</v>
      </c>
      <c r="H5341" s="3">
        <f t="shared" si="637"/>
        <v>5691.3284999999996</v>
      </c>
      <c r="I5341" s="5" t="str">
        <f t="shared" si="638"/>
        <v>016</v>
      </c>
      <c r="J5341" s="5" t="str">
        <f t="shared" si="639"/>
        <v>2100</v>
      </c>
      <c r="K5341" s="5" t="str">
        <f t="shared" si="640"/>
        <v>000</v>
      </c>
      <c r="L5341" s="5">
        <f t="shared" si="641"/>
        <v>1</v>
      </c>
      <c r="M5341" s="5">
        <f t="shared" si="642"/>
        <v>2013</v>
      </c>
    </row>
    <row r="5342" spans="1:13" ht="15" x14ac:dyDescent="0.25">
      <c r="A5342" s="1">
        <f>DATE(2013,1,25)</f>
        <v>41299</v>
      </c>
      <c r="B5342" t="s">
        <v>12</v>
      </c>
      <c r="C5342" t="s">
        <v>8</v>
      </c>
      <c r="D5342" s="3">
        <v>2907.2660000000001</v>
      </c>
      <c r="E5342" s="3">
        <v>0</v>
      </c>
      <c r="F5342" t="s">
        <v>45</v>
      </c>
      <c r="G5342" s="3">
        <f t="shared" si="636"/>
        <v>-2907.2660000000001</v>
      </c>
      <c r="H5342" s="3">
        <f t="shared" si="637"/>
        <v>2907.2660000000001</v>
      </c>
      <c r="I5342" s="5" t="str">
        <f t="shared" si="638"/>
        <v>016</v>
      </c>
      <c r="J5342" s="5" t="str">
        <f t="shared" si="639"/>
        <v>2210</v>
      </c>
      <c r="K5342" s="5" t="str">
        <f t="shared" si="640"/>
        <v>000</v>
      </c>
      <c r="L5342" s="5">
        <f t="shared" si="641"/>
        <v>1</v>
      </c>
      <c r="M5342" s="5">
        <f t="shared" si="642"/>
        <v>2013</v>
      </c>
    </row>
    <row r="5343" spans="1:13" ht="15" x14ac:dyDescent="0.25">
      <c r="A5343" s="1">
        <f>DATE(2013,1,25)</f>
        <v>41299</v>
      </c>
      <c r="B5343" t="s">
        <v>13</v>
      </c>
      <c r="C5343" t="s">
        <v>9</v>
      </c>
      <c r="D5343" s="3">
        <v>316.21100000000001</v>
      </c>
      <c r="E5343" s="3">
        <v>0</v>
      </c>
      <c r="F5343" t="s">
        <v>45</v>
      </c>
      <c r="G5343" s="3">
        <f t="shared" si="636"/>
        <v>-316.21100000000001</v>
      </c>
      <c r="H5343" s="3">
        <f t="shared" si="637"/>
        <v>316.21100000000001</v>
      </c>
      <c r="I5343" s="5" t="str">
        <f t="shared" si="638"/>
        <v>016</v>
      </c>
      <c r="J5343" s="5" t="str">
        <f t="shared" si="639"/>
        <v>2220</v>
      </c>
      <c r="K5343" s="5" t="str">
        <f t="shared" si="640"/>
        <v>000</v>
      </c>
      <c r="L5343" s="5">
        <f t="shared" si="641"/>
        <v>1</v>
      </c>
      <c r="M5343" s="5">
        <f t="shared" si="642"/>
        <v>2013</v>
      </c>
    </row>
    <row r="5344" spans="1:13" ht="15" x14ac:dyDescent="0.25">
      <c r="A5344" s="1">
        <f>DATE(2013,1,25)</f>
        <v>41299</v>
      </c>
      <c r="B5344" t="s">
        <v>14</v>
      </c>
      <c r="C5344" t="s">
        <v>10</v>
      </c>
      <c r="D5344" s="3">
        <v>111.4783</v>
      </c>
      <c r="E5344" s="3">
        <v>0</v>
      </c>
      <c r="F5344" t="s">
        <v>45</v>
      </c>
      <c r="G5344" s="3">
        <f t="shared" si="636"/>
        <v>-111.4783</v>
      </c>
      <c r="H5344" s="3">
        <f t="shared" si="637"/>
        <v>111.4783</v>
      </c>
      <c r="I5344" s="5" t="str">
        <f t="shared" si="638"/>
        <v>016</v>
      </c>
      <c r="J5344" s="5" t="str">
        <f t="shared" si="639"/>
        <v>2230</v>
      </c>
      <c r="K5344" s="5" t="str">
        <f t="shared" si="640"/>
        <v>000</v>
      </c>
      <c r="L5344" s="5">
        <f t="shared" si="641"/>
        <v>1</v>
      </c>
      <c r="M5344" s="5">
        <f t="shared" si="642"/>
        <v>2013</v>
      </c>
    </row>
    <row r="5345" spans="1:13" ht="15" x14ac:dyDescent="0.25">
      <c r="A5345" s="1">
        <f t="shared" ref="A5345:A5348" si="643">DATE(2013,1,26)</f>
        <v>41300</v>
      </c>
      <c r="B5345" t="s">
        <v>11</v>
      </c>
      <c r="C5345" t="s">
        <v>6</v>
      </c>
      <c r="D5345" s="3">
        <v>7139.2815000000001</v>
      </c>
      <c r="E5345" s="3">
        <v>0</v>
      </c>
      <c r="F5345" t="s">
        <v>45</v>
      </c>
      <c r="G5345" s="3">
        <f t="shared" si="636"/>
        <v>-7139.2815000000001</v>
      </c>
      <c r="H5345" s="3">
        <f t="shared" si="637"/>
        <v>7139.2815000000001</v>
      </c>
      <c r="I5345" s="5" t="str">
        <f t="shared" si="638"/>
        <v>016</v>
      </c>
      <c r="J5345" s="5" t="str">
        <f t="shared" si="639"/>
        <v>2100</v>
      </c>
      <c r="K5345" s="5" t="str">
        <f t="shared" si="640"/>
        <v>000</v>
      </c>
      <c r="L5345" s="5">
        <f t="shared" si="641"/>
        <v>1</v>
      </c>
      <c r="M5345" s="5">
        <f t="shared" si="642"/>
        <v>2013</v>
      </c>
    </row>
    <row r="5346" spans="1:13" ht="15" x14ac:dyDescent="0.25">
      <c r="A5346" s="1">
        <f t="shared" si="643"/>
        <v>41300</v>
      </c>
      <c r="B5346" t="s">
        <v>12</v>
      </c>
      <c r="C5346" t="s">
        <v>8</v>
      </c>
      <c r="D5346" s="3">
        <v>2368.6008000000002</v>
      </c>
      <c r="E5346" s="3">
        <v>0</v>
      </c>
      <c r="F5346" t="s">
        <v>45</v>
      </c>
      <c r="G5346" s="3">
        <f t="shared" si="636"/>
        <v>-2368.6008000000002</v>
      </c>
      <c r="H5346" s="3">
        <f t="shared" si="637"/>
        <v>2368.6008000000002</v>
      </c>
      <c r="I5346" s="5" t="str">
        <f t="shared" si="638"/>
        <v>016</v>
      </c>
      <c r="J5346" s="5" t="str">
        <f t="shared" si="639"/>
        <v>2210</v>
      </c>
      <c r="K5346" s="5" t="str">
        <f t="shared" si="640"/>
        <v>000</v>
      </c>
      <c r="L5346" s="5">
        <f t="shared" si="641"/>
        <v>1</v>
      </c>
      <c r="M5346" s="5">
        <f t="shared" si="642"/>
        <v>2013</v>
      </c>
    </row>
    <row r="5347" spans="1:13" ht="15" x14ac:dyDescent="0.25">
      <c r="A5347" s="1">
        <f t="shared" si="643"/>
        <v>41300</v>
      </c>
      <c r="B5347" t="s">
        <v>13</v>
      </c>
      <c r="C5347" t="s">
        <v>9</v>
      </c>
      <c r="D5347" s="3">
        <v>521.94349999999997</v>
      </c>
      <c r="E5347" s="3">
        <v>0</v>
      </c>
      <c r="F5347" t="s">
        <v>45</v>
      </c>
      <c r="G5347" s="3">
        <f t="shared" si="636"/>
        <v>-521.94349999999997</v>
      </c>
      <c r="H5347" s="3">
        <f t="shared" si="637"/>
        <v>521.94349999999997</v>
      </c>
      <c r="I5347" s="5" t="str">
        <f t="shared" si="638"/>
        <v>016</v>
      </c>
      <c r="J5347" s="5" t="str">
        <f t="shared" si="639"/>
        <v>2220</v>
      </c>
      <c r="K5347" s="5" t="str">
        <f t="shared" si="640"/>
        <v>000</v>
      </c>
      <c r="L5347" s="5">
        <f t="shared" si="641"/>
        <v>1</v>
      </c>
      <c r="M5347" s="5">
        <f t="shared" si="642"/>
        <v>2013</v>
      </c>
    </row>
    <row r="5348" spans="1:13" ht="15" x14ac:dyDescent="0.25">
      <c r="A5348" s="1">
        <f t="shared" si="643"/>
        <v>41300</v>
      </c>
      <c r="B5348" t="s">
        <v>14</v>
      </c>
      <c r="C5348" t="s">
        <v>10</v>
      </c>
      <c r="D5348" s="3">
        <v>219.66839999999999</v>
      </c>
      <c r="E5348" s="3">
        <v>0</v>
      </c>
      <c r="F5348" t="s">
        <v>45</v>
      </c>
      <c r="G5348" s="3">
        <f t="shared" si="636"/>
        <v>-219.66839999999999</v>
      </c>
      <c r="H5348" s="3">
        <f t="shared" si="637"/>
        <v>219.66839999999999</v>
      </c>
      <c r="I5348" s="5" t="str">
        <f t="shared" si="638"/>
        <v>016</v>
      </c>
      <c r="J5348" s="5" t="str">
        <f t="shared" si="639"/>
        <v>2230</v>
      </c>
      <c r="K5348" s="5" t="str">
        <f t="shared" si="640"/>
        <v>000</v>
      </c>
      <c r="L5348" s="5">
        <f t="shared" si="641"/>
        <v>1</v>
      </c>
      <c r="M5348" s="5">
        <f t="shared" si="642"/>
        <v>2013</v>
      </c>
    </row>
    <row r="5349" spans="1:13" ht="15" x14ac:dyDescent="0.25">
      <c r="A5349" s="1">
        <f>DATE(2013,1,27)</f>
        <v>41301</v>
      </c>
      <c r="B5349" t="s">
        <v>11</v>
      </c>
      <c r="C5349" t="s">
        <v>6</v>
      </c>
      <c r="D5349" s="3">
        <v>6922.4178000000002</v>
      </c>
      <c r="E5349" s="3">
        <v>0</v>
      </c>
      <c r="F5349" t="s">
        <v>45</v>
      </c>
      <c r="G5349" s="3">
        <f t="shared" si="636"/>
        <v>-6922.4178000000002</v>
      </c>
      <c r="H5349" s="3">
        <f t="shared" si="637"/>
        <v>6922.4178000000002</v>
      </c>
      <c r="I5349" s="5" t="str">
        <f t="shared" si="638"/>
        <v>016</v>
      </c>
      <c r="J5349" s="5" t="str">
        <f t="shared" si="639"/>
        <v>2100</v>
      </c>
      <c r="K5349" s="5" t="str">
        <f t="shared" si="640"/>
        <v>000</v>
      </c>
      <c r="L5349" s="5">
        <f t="shared" si="641"/>
        <v>1</v>
      </c>
      <c r="M5349" s="5">
        <f t="shared" si="642"/>
        <v>2013</v>
      </c>
    </row>
    <row r="5350" spans="1:13" ht="15" x14ac:dyDescent="0.25">
      <c r="A5350" s="1">
        <f>DATE(2013,1,27)</f>
        <v>41301</v>
      </c>
      <c r="B5350" t="s">
        <v>12</v>
      </c>
      <c r="C5350" t="s">
        <v>8</v>
      </c>
      <c r="D5350" s="3">
        <v>988.41599999999994</v>
      </c>
      <c r="E5350" s="3">
        <v>0</v>
      </c>
      <c r="F5350" t="s">
        <v>45</v>
      </c>
      <c r="G5350" s="3">
        <f t="shared" si="636"/>
        <v>-988.41599999999994</v>
      </c>
      <c r="H5350" s="3">
        <f t="shared" si="637"/>
        <v>988.41599999999994</v>
      </c>
      <c r="I5350" s="5" t="str">
        <f t="shared" si="638"/>
        <v>016</v>
      </c>
      <c r="J5350" s="5" t="str">
        <f t="shared" si="639"/>
        <v>2210</v>
      </c>
      <c r="K5350" s="5" t="str">
        <f t="shared" si="640"/>
        <v>000</v>
      </c>
      <c r="L5350" s="5">
        <f t="shared" si="641"/>
        <v>1</v>
      </c>
      <c r="M5350" s="5">
        <f t="shared" si="642"/>
        <v>2013</v>
      </c>
    </row>
    <row r="5351" spans="1:13" ht="15" x14ac:dyDescent="0.25">
      <c r="A5351" s="1">
        <f>DATE(2013,1,27)</f>
        <v>41301</v>
      </c>
      <c r="B5351" t="s">
        <v>13</v>
      </c>
      <c r="C5351" t="s">
        <v>9</v>
      </c>
      <c r="D5351" s="3">
        <v>183.99539999999999</v>
      </c>
      <c r="E5351" s="3">
        <v>0</v>
      </c>
      <c r="F5351" t="s">
        <v>45</v>
      </c>
      <c r="G5351" s="3">
        <f t="shared" si="636"/>
        <v>-183.99539999999999</v>
      </c>
      <c r="H5351" s="3">
        <f t="shared" si="637"/>
        <v>183.99539999999999</v>
      </c>
      <c r="I5351" s="5" t="str">
        <f t="shared" si="638"/>
        <v>016</v>
      </c>
      <c r="J5351" s="5" t="str">
        <f t="shared" si="639"/>
        <v>2220</v>
      </c>
      <c r="K5351" s="5" t="str">
        <f t="shared" si="640"/>
        <v>000</v>
      </c>
      <c r="L5351" s="5">
        <f t="shared" si="641"/>
        <v>1</v>
      </c>
      <c r="M5351" s="5">
        <f t="shared" si="642"/>
        <v>2013</v>
      </c>
    </row>
    <row r="5352" spans="1:13" ht="15" x14ac:dyDescent="0.25">
      <c r="A5352" s="1">
        <f>DATE(2013,1,27)</f>
        <v>41301</v>
      </c>
      <c r="B5352" t="s">
        <v>14</v>
      </c>
      <c r="C5352" t="s">
        <v>10</v>
      </c>
      <c r="D5352" s="3">
        <v>96.110099999999989</v>
      </c>
      <c r="E5352" s="3">
        <v>0</v>
      </c>
      <c r="F5352" t="s">
        <v>45</v>
      </c>
      <c r="G5352" s="3">
        <f t="shared" si="636"/>
        <v>-96.110099999999989</v>
      </c>
      <c r="H5352" s="3">
        <f t="shared" si="637"/>
        <v>96.110099999999989</v>
      </c>
      <c r="I5352" s="5" t="str">
        <f t="shared" si="638"/>
        <v>016</v>
      </c>
      <c r="J5352" s="5" t="str">
        <f t="shared" si="639"/>
        <v>2230</v>
      </c>
      <c r="K5352" s="5" t="str">
        <f t="shared" si="640"/>
        <v>000</v>
      </c>
      <c r="L5352" s="5">
        <f t="shared" si="641"/>
        <v>1</v>
      </c>
      <c r="M5352" s="5">
        <f t="shared" si="642"/>
        <v>2013</v>
      </c>
    </row>
    <row r="5353" spans="1:13" ht="15" x14ac:dyDescent="0.25">
      <c r="A5353" s="1">
        <f>DATE(2013,1,21)</f>
        <v>41295</v>
      </c>
      <c r="B5353" t="s">
        <v>15</v>
      </c>
      <c r="C5353" t="s">
        <v>6</v>
      </c>
      <c r="D5353" s="3">
        <v>3423.8420999999998</v>
      </c>
      <c r="E5353" s="3">
        <v>0</v>
      </c>
      <c r="F5353" t="s">
        <v>45</v>
      </c>
      <c r="G5353" s="3">
        <f t="shared" si="636"/>
        <v>-3423.8420999999998</v>
      </c>
      <c r="H5353" s="3">
        <f t="shared" si="637"/>
        <v>3423.8420999999998</v>
      </c>
      <c r="I5353" s="5" t="str">
        <f t="shared" si="638"/>
        <v>017</v>
      </c>
      <c r="J5353" s="5" t="str">
        <f t="shared" si="639"/>
        <v>2100</v>
      </c>
      <c r="K5353" s="5" t="str">
        <f t="shared" si="640"/>
        <v>000</v>
      </c>
      <c r="L5353" s="5">
        <f t="shared" si="641"/>
        <v>1</v>
      </c>
      <c r="M5353" s="5">
        <f t="shared" si="642"/>
        <v>2013</v>
      </c>
    </row>
    <row r="5354" spans="1:13" ht="15" x14ac:dyDescent="0.25">
      <c r="A5354" s="1">
        <f>DATE(2013,1,21)</f>
        <v>41295</v>
      </c>
      <c r="B5354" t="s">
        <v>16</v>
      </c>
      <c r="C5354" t="s">
        <v>8</v>
      </c>
      <c r="D5354" s="3">
        <v>569.17139999999995</v>
      </c>
      <c r="E5354" s="3">
        <v>0</v>
      </c>
      <c r="F5354" t="s">
        <v>45</v>
      </c>
      <c r="G5354" s="3">
        <f t="shared" si="636"/>
        <v>-569.17139999999995</v>
      </c>
      <c r="H5354" s="3">
        <f t="shared" si="637"/>
        <v>569.17139999999995</v>
      </c>
      <c r="I5354" s="5" t="str">
        <f t="shared" si="638"/>
        <v>017</v>
      </c>
      <c r="J5354" s="5" t="str">
        <f t="shared" si="639"/>
        <v>2210</v>
      </c>
      <c r="K5354" s="5" t="str">
        <f t="shared" si="640"/>
        <v>000</v>
      </c>
      <c r="L5354" s="5">
        <f t="shared" si="641"/>
        <v>1</v>
      </c>
      <c r="M5354" s="5">
        <f t="shared" si="642"/>
        <v>2013</v>
      </c>
    </row>
    <row r="5355" spans="1:13" ht="15" x14ac:dyDescent="0.25">
      <c r="A5355" s="1">
        <f>DATE(2013,1,21)</f>
        <v>41295</v>
      </c>
      <c r="B5355" t="s">
        <v>17</v>
      </c>
      <c r="C5355" t="s">
        <v>9</v>
      </c>
      <c r="D5355" s="3">
        <v>326.38060000000002</v>
      </c>
      <c r="E5355" s="3">
        <v>0</v>
      </c>
      <c r="F5355" t="s">
        <v>45</v>
      </c>
      <c r="G5355" s="3">
        <f t="shared" si="636"/>
        <v>-326.38060000000002</v>
      </c>
      <c r="H5355" s="3">
        <f t="shared" si="637"/>
        <v>326.38060000000002</v>
      </c>
      <c r="I5355" s="5" t="str">
        <f t="shared" si="638"/>
        <v>017</v>
      </c>
      <c r="J5355" s="5" t="str">
        <f t="shared" si="639"/>
        <v>2220</v>
      </c>
      <c r="K5355" s="5" t="str">
        <f t="shared" si="640"/>
        <v>000</v>
      </c>
      <c r="L5355" s="5">
        <f t="shared" si="641"/>
        <v>1</v>
      </c>
      <c r="M5355" s="5">
        <f t="shared" si="642"/>
        <v>2013</v>
      </c>
    </row>
    <row r="5356" spans="1:13" ht="15" x14ac:dyDescent="0.25">
      <c r="A5356" s="1">
        <f>DATE(2013,1,21)</f>
        <v>41295</v>
      </c>
      <c r="B5356" t="s">
        <v>18</v>
      </c>
      <c r="C5356" t="s">
        <v>10</v>
      </c>
      <c r="D5356" s="3">
        <v>90.459600000000009</v>
      </c>
      <c r="E5356" s="3">
        <v>0</v>
      </c>
      <c r="F5356" t="s">
        <v>45</v>
      </c>
      <c r="G5356" s="3">
        <f t="shared" si="636"/>
        <v>-90.459600000000009</v>
      </c>
      <c r="H5356" s="3">
        <f t="shared" si="637"/>
        <v>90.459600000000009</v>
      </c>
      <c r="I5356" s="5" t="str">
        <f t="shared" si="638"/>
        <v>017</v>
      </c>
      <c r="J5356" s="5" t="str">
        <f t="shared" si="639"/>
        <v>2230</v>
      </c>
      <c r="K5356" s="5" t="str">
        <f t="shared" si="640"/>
        <v>000</v>
      </c>
      <c r="L5356" s="5">
        <f t="shared" si="641"/>
        <v>1</v>
      </c>
      <c r="M5356" s="5">
        <f t="shared" si="642"/>
        <v>2013</v>
      </c>
    </row>
    <row r="5357" spans="1:13" ht="15" x14ac:dyDescent="0.25">
      <c r="A5357" s="1">
        <f>DATE(2013,1,22)</f>
        <v>41296</v>
      </c>
      <c r="B5357" t="s">
        <v>15</v>
      </c>
      <c r="C5357" t="s">
        <v>6</v>
      </c>
      <c r="D5357" s="3">
        <v>3256.5610000000006</v>
      </c>
      <c r="E5357" s="3">
        <v>0</v>
      </c>
      <c r="F5357" t="s">
        <v>45</v>
      </c>
      <c r="G5357" s="3">
        <f t="shared" si="636"/>
        <v>-3256.5610000000006</v>
      </c>
      <c r="H5357" s="3">
        <f t="shared" si="637"/>
        <v>3256.5610000000006</v>
      </c>
      <c r="I5357" s="5" t="str">
        <f t="shared" si="638"/>
        <v>017</v>
      </c>
      <c r="J5357" s="5" t="str">
        <f t="shared" si="639"/>
        <v>2100</v>
      </c>
      <c r="K5357" s="5" t="str">
        <f t="shared" si="640"/>
        <v>000</v>
      </c>
      <c r="L5357" s="5">
        <f t="shared" si="641"/>
        <v>1</v>
      </c>
      <c r="M5357" s="5">
        <f t="shared" si="642"/>
        <v>2013</v>
      </c>
    </row>
    <row r="5358" spans="1:13" ht="15" x14ac:dyDescent="0.25">
      <c r="A5358" s="1">
        <f>DATE(2013,1,22)</f>
        <v>41296</v>
      </c>
      <c r="B5358" t="s">
        <v>16</v>
      </c>
      <c r="C5358" t="s">
        <v>8</v>
      </c>
      <c r="D5358" s="3">
        <v>755.00249999999994</v>
      </c>
      <c r="E5358" s="3">
        <v>0</v>
      </c>
      <c r="F5358" t="s">
        <v>45</v>
      </c>
      <c r="G5358" s="3">
        <f t="shared" si="636"/>
        <v>-755.00249999999994</v>
      </c>
      <c r="H5358" s="3">
        <f t="shared" si="637"/>
        <v>755.00249999999994</v>
      </c>
      <c r="I5358" s="5" t="str">
        <f t="shared" si="638"/>
        <v>017</v>
      </c>
      <c r="J5358" s="5" t="str">
        <f t="shared" si="639"/>
        <v>2210</v>
      </c>
      <c r="K5358" s="5" t="str">
        <f t="shared" si="640"/>
        <v>000</v>
      </c>
      <c r="L5358" s="5">
        <f t="shared" si="641"/>
        <v>1</v>
      </c>
      <c r="M5358" s="5">
        <f t="shared" si="642"/>
        <v>2013</v>
      </c>
    </row>
    <row r="5359" spans="1:13" ht="15" x14ac:dyDescent="0.25">
      <c r="A5359" s="1">
        <f>DATE(2013,1,22)</f>
        <v>41296</v>
      </c>
      <c r="B5359" t="s">
        <v>17</v>
      </c>
      <c r="C5359" t="s">
        <v>9</v>
      </c>
      <c r="D5359" s="3">
        <v>285.30150000000003</v>
      </c>
      <c r="E5359" s="3">
        <v>0</v>
      </c>
      <c r="F5359" t="s">
        <v>45</v>
      </c>
      <c r="G5359" s="3">
        <f t="shared" si="636"/>
        <v>-285.30150000000003</v>
      </c>
      <c r="H5359" s="3">
        <f t="shared" si="637"/>
        <v>285.30150000000003</v>
      </c>
      <c r="I5359" s="5" t="str">
        <f t="shared" si="638"/>
        <v>017</v>
      </c>
      <c r="J5359" s="5" t="str">
        <f t="shared" si="639"/>
        <v>2220</v>
      </c>
      <c r="K5359" s="5" t="str">
        <f t="shared" si="640"/>
        <v>000</v>
      </c>
      <c r="L5359" s="5">
        <f t="shared" si="641"/>
        <v>1</v>
      </c>
      <c r="M5359" s="5">
        <f t="shared" si="642"/>
        <v>2013</v>
      </c>
    </row>
    <row r="5360" spans="1:13" ht="15" x14ac:dyDescent="0.25">
      <c r="A5360" s="1">
        <f>DATE(2013,1,22)</f>
        <v>41296</v>
      </c>
      <c r="B5360" t="s">
        <v>18</v>
      </c>
      <c r="C5360" t="s">
        <v>10</v>
      </c>
      <c r="D5360" s="3">
        <v>69.573999999999998</v>
      </c>
      <c r="E5360" s="3">
        <v>0</v>
      </c>
      <c r="F5360" t="s">
        <v>45</v>
      </c>
      <c r="G5360" s="3">
        <f t="shared" si="636"/>
        <v>-69.573999999999998</v>
      </c>
      <c r="H5360" s="3">
        <f t="shared" si="637"/>
        <v>69.573999999999998</v>
      </c>
      <c r="I5360" s="5" t="str">
        <f t="shared" si="638"/>
        <v>017</v>
      </c>
      <c r="J5360" s="5" t="str">
        <f t="shared" si="639"/>
        <v>2230</v>
      </c>
      <c r="K5360" s="5" t="str">
        <f t="shared" si="640"/>
        <v>000</v>
      </c>
      <c r="L5360" s="5">
        <f t="shared" si="641"/>
        <v>1</v>
      </c>
      <c r="M5360" s="5">
        <f t="shared" si="642"/>
        <v>2013</v>
      </c>
    </row>
    <row r="5361" spans="1:13" ht="15" x14ac:dyDescent="0.25">
      <c r="A5361" s="1">
        <f>DATE(2013,1,23)</f>
        <v>41297</v>
      </c>
      <c r="B5361" t="s">
        <v>15</v>
      </c>
      <c r="C5361" t="s">
        <v>6</v>
      </c>
      <c r="D5361" s="3">
        <v>8819.0920999999998</v>
      </c>
      <c r="E5361" s="3">
        <v>0</v>
      </c>
      <c r="F5361" t="s">
        <v>45</v>
      </c>
      <c r="G5361" s="3">
        <f t="shared" si="636"/>
        <v>-8819.0920999999998</v>
      </c>
      <c r="H5361" s="3">
        <f t="shared" si="637"/>
        <v>8819.0920999999998</v>
      </c>
      <c r="I5361" s="5" t="str">
        <f t="shared" si="638"/>
        <v>017</v>
      </c>
      <c r="J5361" s="5" t="str">
        <f t="shared" si="639"/>
        <v>2100</v>
      </c>
      <c r="K5361" s="5" t="str">
        <f t="shared" si="640"/>
        <v>000</v>
      </c>
      <c r="L5361" s="5">
        <f t="shared" si="641"/>
        <v>1</v>
      </c>
      <c r="M5361" s="5">
        <f t="shared" si="642"/>
        <v>2013</v>
      </c>
    </row>
    <row r="5362" spans="1:13" ht="15" x14ac:dyDescent="0.25">
      <c r="A5362" s="1">
        <f>DATE(2013,1,23)</f>
        <v>41297</v>
      </c>
      <c r="B5362" t="s">
        <v>16</v>
      </c>
      <c r="C5362" t="s">
        <v>8</v>
      </c>
      <c r="D5362" s="3">
        <v>1849.3441</v>
      </c>
      <c r="E5362" s="3">
        <v>0</v>
      </c>
      <c r="F5362" t="s">
        <v>45</v>
      </c>
      <c r="G5362" s="3">
        <f t="shared" si="636"/>
        <v>-1849.3441</v>
      </c>
      <c r="H5362" s="3">
        <f t="shared" si="637"/>
        <v>1849.3441</v>
      </c>
      <c r="I5362" s="5" t="str">
        <f t="shared" si="638"/>
        <v>017</v>
      </c>
      <c r="J5362" s="5" t="str">
        <f t="shared" si="639"/>
        <v>2210</v>
      </c>
      <c r="K5362" s="5" t="str">
        <f t="shared" si="640"/>
        <v>000</v>
      </c>
      <c r="L5362" s="5">
        <f t="shared" si="641"/>
        <v>1</v>
      </c>
      <c r="M5362" s="5">
        <f t="shared" si="642"/>
        <v>2013</v>
      </c>
    </row>
    <row r="5363" spans="1:13" ht="15" x14ac:dyDescent="0.25">
      <c r="A5363" s="1">
        <f>DATE(2013,1,23)</f>
        <v>41297</v>
      </c>
      <c r="B5363" t="s">
        <v>17</v>
      </c>
      <c r="C5363" t="s">
        <v>9</v>
      </c>
      <c r="D5363" s="3">
        <v>514.24099999999999</v>
      </c>
      <c r="E5363" s="3">
        <v>0</v>
      </c>
      <c r="F5363" t="s">
        <v>45</v>
      </c>
      <c r="G5363" s="3">
        <f t="shared" si="636"/>
        <v>-514.24099999999999</v>
      </c>
      <c r="H5363" s="3">
        <f t="shared" si="637"/>
        <v>514.24099999999999</v>
      </c>
      <c r="I5363" s="5" t="str">
        <f t="shared" si="638"/>
        <v>017</v>
      </c>
      <c r="J5363" s="5" t="str">
        <f t="shared" si="639"/>
        <v>2220</v>
      </c>
      <c r="K5363" s="5" t="str">
        <f t="shared" si="640"/>
        <v>000</v>
      </c>
      <c r="L5363" s="5">
        <f t="shared" si="641"/>
        <v>1</v>
      </c>
      <c r="M5363" s="5">
        <f t="shared" si="642"/>
        <v>2013</v>
      </c>
    </row>
    <row r="5364" spans="1:13" ht="15" x14ac:dyDescent="0.25">
      <c r="A5364" s="1">
        <f>DATE(2013,1,23)</f>
        <v>41297</v>
      </c>
      <c r="B5364" t="s">
        <v>18</v>
      </c>
      <c r="C5364" t="s">
        <v>10</v>
      </c>
      <c r="D5364" s="3">
        <v>195.44880000000001</v>
      </c>
      <c r="E5364" s="3">
        <v>0</v>
      </c>
      <c r="F5364" t="s">
        <v>45</v>
      </c>
      <c r="G5364" s="3">
        <f t="shared" si="636"/>
        <v>-195.44880000000001</v>
      </c>
      <c r="H5364" s="3">
        <f t="shared" si="637"/>
        <v>195.44880000000001</v>
      </c>
      <c r="I5364" s="5" t="str">
        <f t="shared" si="638"/>
        <v>017</v>
      </c>
      <c r="J5364" s="5" t="str">
        <f t="shared" si="639"/>
        <v>2230</v>
      </c>
      <c r="K5364" s="5" t="str">
        <f t="shared" si="640"/>
        <v>000</v>
      </c>
      <c r="L5364" s="5">
        <f t="shared" si="641"/>
        <v>1</v>
      </c>
      <c r="M5364" s="5">
        <f t="shared" si="642"/>
        <v>2013</v>
      </c>
    </row>
    <row r="5365" spans="1:13" ht="15" x14ac:dyDescent="0.25">
      <c r="A5365" s="1">
        <f>DATE(2013,1,24)</f>
        <v>41298</v>
      </c>
      <c r="B5365" t="s">
        <v>15</v>
      </c>
      <c r="C5365" t="s">
        <v>6</v>
      </c>
      <c r="D5365" s="3">
        <v>3544.9904000000006</v>
      </c>
      <c r="E5365" s="3">
        <v>0</v>
      </c>
      <c r="F5365" t="s">
        <v>45</v>
      </c>
      <c r="G5365" s="3">
        <f t="shared" si="636"/>
        <v>-3544.9904000000006</v>
      </c>
      <c r="H5365" s="3">
        <f t="shared" si="637"/>
        <v>3544.9904000000006</v>
      </c>
      <c r="I5365" s="5" t="str">
        <f t="shared" si="638"/>
        <v>017</v>
      </c>
      <c r="J5365" s="5" t="str">
        <f t="shared" si="639"/>
        <v>2100</v>
      </c>
      <c r="K5365" s="5" t="str">
        <f t="shared" si="640"/>
        <v>000</v>
      </c>
      <c r="L5365" s="5">
        <f t="shared" si="641"/>
        <v>1</v>
      </c>
      <c r="M5365" s="5">
        <f t="shared" si="642"/>
        <v>2013</v>
      </c>
    </row>
    <row r="5366" spans="1:13" ht="15" x14ac:dyDescent="0.25">
      <c r="A5366" s="1">
        <f>DATE(2013,1,24)</f>
        <v>41298</v>
      </c>
      <c r="B5366" t="s">
        <v>16</v>
      </c>
      <c r="C5366" t="s">
        <v>8</v>
      </c>
      <c r="D5366" s="3">
        <v>1034.7825</v>
      </c>
      <c r="E5366" s="3">
        <v>0</v>
      </c>
      <c r="F5366" t="s">
        <v>45</v>
      </c>
      <c r="G5366" s="3">
        <f t="shared" si="636"/>
        <v>-1034.7825</v>
      </c>
      <c r="H5366" s="3">
        <f t="shared" si="637"/>
        <v>1034.7825</v>
      </c>
      <c r="I5366" s="5" t="str">
        <f t="shared" si="638"/>
        <v>017</v>
      </c>
      <c r="J5366" s="5" t="str">
        <f t="shared" si="639"/>
        <v>2210</v>
      </c>
      <c r="K5366" s="5" t="str">
        <f t="shared" si="640"/>
        <v>000</v>
      </c>
      <c r="L5366" s="5">
        <f t="shared" si="641"/>
        <v>1</v>
      </c>
      <c r="M5366" s="5">
        <f t="shared" si="642"/>
        <v>2013</v>
      </c>
    </row>
    <row r="5367" spans="1:13" ht="15" x14ac:dyDescent="0.25">
      <c r="A5367" s="1">
        <f>DATE(2013,1,24)</f>
        <v>41298</v>
      </c>
      <c r="B5367" t="s">
        <v>17</v>
      </c>
      <c r="C5367" t="s">
        <v>9</v>
      </c>
      <c r="D5367" s="3">
        <v>441.53719999999998</v>
      </c>
      <c r="E5367" s="3">
        <v>0</v>
      </c>
      <c r="F5367" t="s">
        <v>45</v>
      </c>
      <c r="G5367" s="3">
        <f t="shared" si="636"/>
        <v>-441.53719999999998</v>
      </c>
      <c r="H5367" s="3">
        <f t="shared" si="637"/>
        <v>441.53719999999998</v>
      </c>
      <c r="I5367" s="5" t="str">
        <f t="shared" si="638"/>
        <v>017</v>
      </c>
      <c r="J5367" s="5" t="str">
        <f t="shared" si="639"/>
        <v>2220</v>
      </c>
      <c r="K5367" s="5" t="str">
        <f t="shared" si="640"/>
        <v>000</v>
      </c>
      <c r="L5367" s="5">
        <f t="shared" si="641"/>
        <v>1</v>
      </c>
      <c r="M5367" s="5">
        <f t="shared" si="642"/>
        <v>2013</v>
      </c>
    </row>
    <row r="5368" spans="1:13" ht="15" x14ac:dyDescent="0.25">
      <c r="A5368" s="1">
        <f>DATE(2013,1,24)</f>
        <v>41298</v>
      </c>
      <c r="B5368" t="s">
        <v>18</v>
      </c>
      <c r="C5368" t="s">
        <v>10</v>
      </c>
      <c r="D5368" s="3">
        <v>188.136</v>
      </c>
      <c r="E5368" s="3">
        <v>0</v>
      </c>
      <c r="F5368" t="s">
        <v>45</v>
      </c>
      <c r="G5368" s="3">
        <f t="shared" si="636"/>
        <v>-188.136</v>
      </c>
      <c r="H5368" s="3">
        <f t="shared" si="637"/>
        <v>188.136</v>
      </c>
      <c r="I5368" s="5" t="str">
        <f t="shared" si="638"/>
        <v>017</v>
      </c>
      <c r="J5368" s="5" t="str">
        <f t="shared" si="639"/>
        <v>2230</v>
      </c>
      <c r="K5368" s="5" t="str">
        <f t="shared" si="640"/>
        <v>000</v>
      </c>
      <c r="L5368" s="5">
        <f t="shared" si="641"/>
        <v>1</v>
      </c>
      <c r="M5368" s="5">
        <f t="shared" si="642"/>
        <v>2013</v>
      </c>
    </row>
    <row r="5369" spans="1:13" ht="15" x14ac:dyDescent="0.25">
      <c r="A5369" s="1">
        <f t="shared" ref="A5369:A5372" si="644">DATE(2013,1,25)</f>
        <v>41299</v>
      </c>
      <c r="B5369" t="s">
        <v>15</v>
      </c>
      <c r="C5369" t="s">
        <v>6</v>
      </c>
      <c r="D5369" s="3">
        <v>4435.6144000000004</v>
      </c>
      <c r="E5369" s="3">
        <v>0</v>
      </c>
      <c r="F5369" t="s">
        <v>45</v>
      </c>
      <c r="G5369" s="3">
        <f t="shared" si="636"/>
        <v>-4435.6144000000004</v>
      </c>
      <c r="H5369" s="3">
        <f t="shared" si="637"/>
        <v>4435.6144000000004</v>
      </c>
      <c r="I5369" s="5" t="str">
        <f t="shared" si="638"/>
        <v>017</v>
      </c>
      <c r="J5369" s="5" t="str">
        <f t="shared" si="639"/>
        <v>2100</v>
      </c>
      <c r="K5369" s="5" t="str">
        <f t="shared" si="640"/>
        <v>000</v>
      </c>
      <c r="L5369" s="5">
        <f t="shared" si="641"/>
        <v>1</v>
      </c>
      <c r="M5369" s="5">
        <f t="shared" si="642"/>
        <v>2013</v>
      </c>
    </row>
    <row r="5370" spans="1:13" ht="15" x14ac:dyDescent="0.25">
      <c r="A5370" s="1">
        <f t="shared" si="644"/>
        <v>41299</v>
      </c>
      <c r="B5370" t="s">
        <v>16</v>
      </c>
      <c r="C5370" t="s">
        <v>8</v>
      </c>
      <c r="D5370" s="3">
        <v>1841.5541999999998</v>
      </c>
      <c r="E5370" s="3">
        <v>0</v>
      </c>
      <c r="F5370" t="s">
        <v>45</v>
      </c>
      <c r="G5370" s="3">
        <f t="shared" si="636"/>
        <v>-1841.5541999999998</v>
      </c>
      <c r="H5370" s="3">
        <f t="shared" si="637"/>
        <v>1841.5541999999998</v>
      </c>
      <c r="I5370" s="5" t="str">
        <f t="shared" si="638"/>
        <v>017</v>
      </c>
      <c r="J5370" s="5" t="str">
        <f t="shared" si="639"/>
        <v>2210</v>
      </c>
      <c r="K5370" s="5" t="str">
        <f t="shared" si="640"/>
        <v>000</v>
      </c>
      <c r="L5370" s="5">
        <f t="shared" si="641"/>
        <v>1</v>
      </c>
      <c r="M5370" s="5">
        <f t="shared" si="642"/>
        <v>2013</v>
      </c>
    </row>
    <row r="5371" spans="1:13" ht="15" x14ac:dyDescent="0.25">
      <c r="A5371" s="1">
        <f t="shared" si="644"/>
        <v>41299</v>
      </c>
      <c r="B5371" t="s">
        <v>17</v>
      </c>
      <c r="C5371" t="s">
        <v>9</v>
      </c>
      <c r="D5371" s="3">
        <v>480.73869999999999</v>
      </c>
      <c r="E5371" s="3">
        <v>0</v>
      </c>
      <c r="F5371" t="s">
        <v>45</v>
      </c>
      <c r="G5371" s="3">
        <f t="shared" si="636"/>
        <v>-480.73869999999999</v>
      </c>
      <c r="H5371" s="3">
        <f t="shared" si="637"/>
        <v>480.73869999999999</v>
      </c>
      <c r="I5371" s="5" t="str">
        <f t="shared" si="638"/>
        <v>017</v>
      </c>
      <c r="J5371" s="5" t="str">
        <f t="shared" si="639"/>
        <v>2220</v>
      </c>
      <c r="K5371" s="5" t="str">
        <f t="shared" si="640"/>
        <v>000</v>
      </c>
      <c r="L5371" s="5">
        <f t="shared" si="641"/>
        <v>1</v>
      </c>
      <c r="M5371" s="5">
        <f t="shared" si="642"/>
        <v>2013</v>
      </c>
    </row>
    <row r="5372" spans="1:13" ht="15" x14ac:dyDescent="0.25">
      <c r="A5372" s="1">
        <f t="shared" si="644"/>
        <v>41299</v>
      </c>
      <c r="B5372" t="s">
        <v>18</v>
      </c>
      <c r="C5372" t="s">
        <v>10</v>
      </c>
      <c r="D5372" s="3">
        <v>185.46280000000002</v>
      </c>
      <c r="E5372" s="3">
        <v>0</v>
      </c>
      <c r="F5372" t="s">
        <v>45</v>
      </c>
      <c r="G5372" s="3">
        <f t="shared" si="636"/>
        <v>-185.46280000000002</v>
      </c>
      <c r="H5372" s="3">
        <f t="shared" si="637"/>
        <v>185.46280000000002</v>
      </c>
      <c r="I5372" s="5" t="str">
        <f t="shared" si="638"/>
        <v>017</v>
      </c>
      <c r="J5372" s="5" t="str">
        <f t="shared" si="639"/>
        <v>2230</v>
      </c>
      <c r="K5372" s="5" t="str">
        <f t="shared" si="640"/>
        <v>000</v>
      </c>
      <c r="L5372" s="5">
        <f t="shared" si="641"/>
        <v>1</v>
      </c>
      <c r="M5372" s="5">
        <f t="shared" si="642"/>
        <v>2013</v>
      </c>
    </row>
    <row r="5373" spans="1:13" ht="15" x14ac:dyDescent="0.25">
      <c r="A5373" s="1">
        <f>DATE(2013,1,26)</f>
        <v>41300</v>
      </c>
      <c r="B5373" t="s">
        <v>15</v>
      </c>
      <c r="C5373" t="s">
        <v>6</v>
      </c>
      <c r="D5373" s="3">
        <v>7684.3667999999998</v>
      </c>
      <c r="E5373" s="3">
        <v>0</v>
      </c>
      <c r="F5373" t="s">
        <v>45</v>
      </c>
      <c r="G5373" s="3">
        <f t="shared" si="636"/>
        <v>-7684.3667999999998</v>
      </c>
      <c r="H5373" s="3">
        <f t="shared" si="637"/>
        <v>7684.3667999999998</v>
      </c>
      <c r="I5373" s="5" t="str">
        <f t="shared" si="638"/>
        <v>017</v>
      </c>
      <c r="J5373" s="5" t="str">
        <f t="shared" si="639"/>
        <v>2100</v>
      </c>
      <c r="K5373" s="5" t="str">
        <f t="shared" si="640"/>
        <v>000</v>
      </c>
      <c r="L5373" s="5">
        <f t="shared" si="641"/>
        <v>1</v>
      </c>
      <c r="M5373" s="5">
        <f t="shared" si="642"/>
        <v>2013</v>
      </c>
    </row>
    <row r="5374" spans="1:13" ht="15" x14ac:dyDescent="0.25">
      <c r="A5374" s="1">
        <f>DATE(2013,1,26)</f>
        <v>41300</v>
      </c>
      <c r="B5374" t="s">
        <v>16</v>
      </c>
      <c r="C5374" t="s">
        <v>8</v>
      </c>
      <c r="D5374" s="3">
        <v>2198.7864</v>
      </c>
      <c r="E5374" s="3">
        <v>0</v>
      </c>
      <c r="F5374" t="s">
        <v>45</v>
      </c>
      <c r="G5374" s="3">
        <f t="shared" si="636"/>
        <v>-2198.7864</v>
      </c>
      <c r="H5374" s="3">
        <f t="shared" si="637"/>
        <v>2198.7864</v>
      </c>
      <c r="I5374" s="5" t="str">
        <f t="shared" si="638"/>
        <v>017</v>
      </c>
      <c r="J5374" s="5" t="str">
        <f t="shared" si="639"/>
        <v>2210</v>
      </c>
      <c r="K5374" s="5" t="str">
        <f t="shared" si="640"/>
        <v>000</v>
      </c>
      <c r="L5374" s="5">
        <f t="shared" si="641"/>
        <v>1</v>
      </c>
      <c r="M5374" s="5">
        <f t="shared" si="642"/>
        <v>2013</v>
      </c>
    </row>
    <row r="5375" spans="1:13" ht="15" x14ac:dyDescent="0.25">
      <c r="A5375" s="1">
        <f>DATE(2013,1,26)</f>
        <v>41300</v>
      </c>
      <c r="B5375" t="s">
        <v>17</v>
      </c>
      <c r="C5375" t="s">
        <v>9</v>
      </c>
      <c r="D5375" s="3">
        <v>429.66750000000002</v>
      </c>
      <c r="E5375" s="3">
        <v>0</v>
      </c>
      <c r="F5375" t="s">
        <v>45</v>
      </c>
      <c r="G5375" s="3">
        <f t="shared" si="636"/>
        <v>-429.66750000000002</v>
      </c>
      <c r="H5375" s="3">
        <f t="shared" si="637"/>
        <v>429.66750000000002</v>
      </c>
      <c r="I5375" s="5" t="str">
        <f t="shared" si="638"/>
        <v>017</v>
      </c>
      <c r="J5375" s="5" t="str">
        <f t="shared" si="639"/>
        <v>2220</v>
      </c>
      <c r="K5375" s="5" t="str">
        <f t="shared" si="640"/>
        <v>000</v>
      </c>
      <c r="L5375" s="5">
        <f t="shared" si="641"/>
        <v>1</v>
      </c>
      <c r="M5375" s="5">
        <f t="shared" si="642"/>
        <v>2013</v>
      </c>
    </row>
    <row r="5376" spans="1:13" ht="15" x14ac:dyDescent="0.25">
      <c r="A5376" s="1">
        <f>DATE(2013,1,26)</f>
        <v>41300</v>
      </c>
      <c r="B5376" t="s">
        <v>18</v>
      </c>
      <c r="C5376" t="s">
        <v>10</v>
      </c>
      <c r="D5376" s="3">
        <v>160.24799999999999</v>
      </c>
      <c r="E5376" s="3">
        <v>0</v>
      </c>
      <c r="F5376" t="s">
        <v>45</v>
      </c>
      <c r="G5376" s="3">
        <f t="shared" si="636"/>
        <v>-160.24799999999999</v>
      </c>
      <c r="H5376" s="3">
        <f t="shared" si="637"/>
        <v>160.24799999999999</v>
      </c>
      <c r="I5376" s="5" t="str">
        <f t="shared" si="638"/>
        <v>017</v>
      </c>
      <c r="J5376" s="5" t="str">
        <f t="shared" si="639"/>
        <v>2230</v>
      </c>
      <c r="K5376" s="5" t="str">
        <f t="shared" si="640"/>
        <v>000</v>
      </c>
      <c r="L5376" s="5">
        <f t="shared" si="641"/>
        <v>1</v>
      </c>
      <c r="M5376" s="5">
        <f t="shared" si="642"/>
        <v>2013</v>
      </c>
    </row>
    <row r="5377" spans="1:13" ht="15" x14ac:dyDescent="0.25">
      <c r="A5377" s="1">
        <f>DATE(2013,1,27)</f>
        <v>41301</v>
      </c>
      <c r="B5377" t="s">
        <v>15</v>
      </c>
      <c r="C5377" t="s">
        <v>6</v>
      </c>
      <c r="D5377" s="3">
        <v>5121.3208000000004</v>
      </c>
      <c r="E5377" s="3">
        <v>0</v>
      </c>
      <c r="F5377" t="s">
        <v>45</v>
      </c>
      <c r="G5377" s="3">
        <f t="shared" si="636"/>
        <v>-5121.3208000000004</v>
      </c>
      <c r="H5377" s="3">
        <f t="shared" si="637"/>
        <v>5121.3208000000004</v>
      </c>
      <c r="I5377" s="5" t="str">
        <f t="shared" si="638"/>
        <v>017</v>
      </c>
      <c r="J5377" s="5" t="str">
        <f t="shared" si="639"/>
        <v>2100</v>
      </c>
      <c r="K5377" s="5" t="str">
        <f t="shared" si="640"/>
        <v>000</v>
      </c>
      <c r="L5377" s="5">
        <f t="shared" si="641"/>
        <v>1</v>
      </c>
      <c r="M5377" s="5">
        <f t="shared" si="642"/>
        <v>2013</v>
      </c>
    </row>
    <row r="5378" spans="1:13" ht="15" x14ac:dyDescent="0.25">
      <c r="A5378" s="1">
        <f>DATE(2013,1,27)</f>
        <v>41301</v>
      </c>
      <c r="B5378" t="s">
        <v>16</v>
      </c>
      <c r="C5378" t="s">
        <v>8</v>
      </c>
      <c r="D5378" s="3">
        <v>1501.836</v>
      </c>
      <c r="E5378" s="3">
        <v>0</v>
      </c>
      <c r="F5378" t="s">
        <v>45</v>
      </c>
      <c r="G5378" s="3">
        <f t="shared" ref="G5378:G5441" si="645">E5378-D5378</f>
        <v>-1501.836</v>
      </c>
      <c r="H5378" s="3">
        <f t="shared" ref="H5378:H5441" si="646">ABS(G5378)</f>
        <v>1501.836</v>
      </c>
      <c r="I5378" s="5" t="str">
        <f t="shared" ref="I5378:I5441" si="647">MID(B5378,1,3)</f>
        <v>017</v>
      </c>
      <c r="J5378" s="5" t="str">
        <f t="shared" ref="J5378:J5441" si="648">MID(B5378,5,4)</f>
        <v>2210</v>
      </c>
      <c r="K5378" s="5" t="str">
        <f t="shared" ref="K5378:K5441" si="649">MID(B5378,10,3)</f>
        <v>000</v>
      </c>
      <c r="L5378" s="5">
        <f t="shared" ref="L5378:L5441" si="650">MONTH(A5378)</f>
        <v>1</v>
      </c>
      <c r="M5378" s="5">
        <f t="shared" ref="M5378:M5441" si="651">YEAR(A5378)</f>
        <v>2013</v>
      </c>
    </row>
    <row r="5379" spans="1:13" ht="15" x14ac:dyDescent="0.25">
      <c r="A5379" s="1">
        <f>DATE(2013,1,27)</f>
        <v>41301</v>
      </c>
      <c r="B5379" t="s">
        <v>17</v>
      </c>
      <c r="C5379" t="s">
        <v>9</v>
      </c>
      <c r="D5379" s="3">
        <v>127.57920000000001</v>
      </c>
      <c r="E5379" s="3">
        <v>0</v>
      </c>
      <c r="F5379" t="s">
        <v>45</v>
      </c>
      <c r="G5379" s="3">
        <f t="shared" si="645"/>
        <v>-127.57920000000001</v>
      </c>
      <c r="H5379" s="3">
        <f t="shared" si="646"/>
        <v>127.57920000000001</v>
      </c>
      <c r="I5379" s="5" t="str">
        <f t="shared" si="647"/>
        <v>017</v>
      </c>
      <c r="J5379" s="5" t="str">
        <f t="shared" si="648"/>
        <v>2220</v>
      </c>
      <c r="K5379" s="5" t="str">
        <f t="shared" si="649"/>
        <v>000</v>
      </c>
      <c r="L5379" s="5">
        <f t="shared" si="650"/>
        <v>1</v>
      </c>
      <c r="M5379" s="5">
        <f t="shared" si="651"/>
        <v>2013</v>
      </c>
    </row>
    <row r="5380" spans="1:13" ht="15" x14ac:dyDescent="0.25">
      <c r="A5380" s="1">
        <f>DATE(2013,1,27)</f>
        <v>41301</v>
      </c>
      <c r="B5380" t="s">
        <v>18</v>
      </c>
      <c r="C5380" t="s">
        <v>10</v>
      </c>
      <c r="D5380" s="3">
        <v>24.206799999999998</v>
      </c>
      <c r="E5380" s="3">
        <v>0</v>
      </c>
      <c r="F5380" t="s">
        <v>45</v>
      </c>
      <c r="G5380" s="3">
        <f t="shared" si="645"/>
        <v>-24.206799999999998</v>
      </c>
      <c r="H5380" s="3">
        <f t="shared" si="646"/>
        <v>24.206799999999998</v>
      </c>
      <c r="I5380" s="5" t="str">
        <f t="shared" si="647"/>
        <v>017</v>
      </c>
      <c r="J5380" s="5" t="str">
        <f t="shared" si="648"/>
        <v>2230</v>
      </c>
      <c r="K5380" s="5" t="str">
        <f t="shared" si="649"/>
        <v>000</v>
      </c>
      <c r="L5380" s="5">
        <f t="shared" si="650"/>
        <v>1</v>
      </c>
      <c r="M5380" s="5">
        <f t="shared" si="651"/>
        <v>2013</v>
      </c>
    </row>
    <row r="5381" spans="1:13" ht="15" x14ac:dyDescent="0.25">
      <c r="A5381" s="1">
        <f>DATE(2013,1,21)</f>
        <v>41295</v>
      </c>
      <c r="B5381" t="s">
        <v>19</v>
      </c>
      <c r="C5381" t="s">
        <v>6</v>
      </c>
      <c r="D5381" s="3">
        <v>5563.7396000000008</v>
      </c>
      <c r="E5381" s="3">
        <v>0</v>
      </c>
      <c r="F5381" t="s">
        <v>45</v>
      </c>
      <c r="G5381" s="3">
        <f t="shared" si="645"/>
        <v>-5563.7396000000008</v>
      </c>
      <c r="H5381" s="3">
        <f t="shared" si="646"/>
        <v>5563.7396000000008</v>
      </c>
      <c r="I5381" s="5" t="str">
        <f t="shared" si="647"/>
        <v>018</v>
      </c>
      <c r="J5381" s="5" t="str">
        <f t="shared" si="648"/>
        <v>2100</v>
      </c>
      <c r="K5381" s="5" t="str">
        <f t="shared" si="649"/>
        <v>000</v>
      </c>
      <c r="L5381" s="5">
        <f t="shared" si="650"/>
        <v>1</v>
      </c>
      <c r="M5381" s="5">
        <f t="shared" si="651"/>
        <v>2013</v>
      </c>
    </row>
    <row r="5382" spans="1:13" ht="15" x14ac:dyDescent="0.25">
      <c r="A5382" s="1">
        <f>DATE(2013,1,21)</f>
        <v>41295</v>
      </c>
      <c r="B5382" t="s">
        <v>20</v>
      </c>
      <c r="C5382" t="s">
        <v>8</v>
      </c>
      <c r="D5382" s="3">
        <v>849.9036000000001</v>
      </c>
      <c r="E5382" s="3">
        <v>0</v>
      </c>
      <c r="F5382" t="s">
        <v>45</v>
      </c>
      <c r="G5382" s="3">
        <f t="shared" si="645"/>
        <v>-849.9036000000001</v>
      </c>
      <c r="H5382" s="3">
        <f t="shared" si="646"/>
        <v>849.9036000000001</v>
      </c>
      <c r="I5382" s="5" t="str">
        <f t="shared" si="647"/>
        <v>018</v>
      </c>
      <c r="J5382" s="5" t="str">
        <f t="shared" si="648"/>
        <v>2210</v>
      </c>
      <c r="K5382" s="5" t="str">
        <f t="shared" si="649"/>
        <v>000</v>
      </c>
      <c r="L5382" s="5">
        <f t="shared" si="650"/>
        <v>1</v>
      </c>
      <c r="M5382" s="5">
        <f t="shared" si="651"/>
        <v>2013</v>
      </c>
    </row>
    <row r="5383" spans="1:13" ht="15" x14ac:dyDescent="0.25">
      <c r="A5383" s="1">
        <f>DATE(2013,1,21)</f>
        <v>41295</v>
      </c>
      <c r="B5383" t="s">
        <v>21</v>
      </c>
      <c r="C5383" t="s">
        <v>9</v>
      </c>
      <c r="D5383" s="3">
        <v>109.5835</v>
      </c>
      <c r="E5383" s="3">
        <v>0</v>
      </c>
      <c r="F5383" t="s">
        <v>45</v>
      </c>
      <c r="G5383" s="3">
        <f t="shared" si="645"/>
        <v>-109.5835</v>
      </c>
      <c r="H5383" s="3">
        <f t="shared" si="646"/>
        <v>109.5835</v>
      </c>
      <c r="I5383" s="5" t="str">
        <f t="shared" si="647"/>
        <v>018</v>
      </c>
      <c r="J5383" s="5" t="str">
        <f t="shared" si="648"/>
        <v>2220</v>
      </c>
      <c r="K5383" s="5" t="str">
        <f t="shared" si="649"/>
        <v>000</v>
      </c>
      <c r="L5383" s="5">
        <f t="shared" si="650"/>
        <v>1</v>
      </c>
      <c r="M5383" s="5">
        <f t="shared" si="651"/>
        <v>2013</v>
      </c>
    </row>
    <row r="5384" spans="1:13" ht="15" x14ac:dyDescent="0.25">
      <c r="A5384" s="1">
        <f>DATE(2013,1,21)</f>
        <v>41295</v>
      </c>
      <c r="B5384" t="s">
        <v>22</v>
      </c>
      <c r="C5384" t="s">
        <v>10</v>
      </c>
      <c r="D5384" s="3">
        <v>18.765000000000001</v>
      </c>
      <c r="E5384" s="3">
        <v>0</v>
      </c>
      <c r="F5384" t="s">
        <v>45</v>
      </c>
      <c r="G5384" s="3">
        <f t="shared" si="645"/>
        <v>-18.765000000000001</v>
      </c>
      <c r="H5384" s="3">
        <f t="shared" si="646"/>
        <v>18.765000000000001</v>
      </c>
      <c r="I5384" s="5" t="str">
        <f t="shared" si="647"/>
        <v>018</v>
      </c>
      <c r="J5384" s="5" t="str">
        <f t="shared" si="648"/>
        <v>2230</v>
      </c>
      <c r="K5384" s="5" t="str">
        <f t="shared" si="649"/>
        <v>000</v>
      </c>
      <c r="L5384" s="5">
        <f t="shared" si="650"/>
        <v>1</v>
      </c>
      <c r="M5384" s="5">
        <f t="shared" si="651"/>
        <v>2013</v>
      </c>
    </row>
    <row r="5385" spans="1:13" ht="15" x14ac:dyDescent="0.25">
      <c r="A5385" s="1">
        <f>DATE(2013,1,22)</f>
        <v>41296</v>
      </c>
      <c r="B5385" t="s">
        <v>19</v>
      </c>
      <c r="C5385" t="s">
        <v>6</v>
      </c>
      <c r="D5385" s="3">
        <v>2029.0765000000001</v>
      </c>
      <c r="E5385" s="3">
        <v>0</v>
      </c>
      <c r="F5385" t="s">
        <v>45</v>
      </c>
      <c r="G5385" s="3">
        <f t="shared" si="645"/>
        <v>-2029.0765000000001</v>
      </c>
      <c r="H5385" s="3">
        <f t="shared" si="646"/>
        <v>2029.0765000000001</v>
      </c>
      <c r="I5385" s="5" t="str">
        <f t="shared" si="647"/>
        <v>018</v>
      </c>
      <c r="J5385" s="5" t="str">
        <f t="shared" si="648"/>
        <v>2100</v>
      </c>
      <c r="K5385" s="5" t="str">
        <f t="shared" si="649"/>
        <v>000</v>
      </c>
      <c r="L5385" s="5">
        <f t="shared" si="650"/>
        <v>1</v>
      </c>
      <c r="M5385" s="5">
        <f t="shared" si="651"/>
        <v>2013</v>
      </c>
    </row>
    <row r="5386" spans="1:13" ht="15" x14ac:dyDescent="0.25">
      <c r="A5386" s="1">
        <f>DATE(2013,1,22)</f>
        <v>41296</v>
      </c>
      <c r="B5386" t="s">
        <v>20</v>
      </c>
      <c r="C5386" t="s">
        <v>8</v>
      </c>
      <c r="D5386" s="3">
        <v>335.26720000000006</v>
      </c>
      <c r="E5386" s="3">
        <v>0</v>
      </c>
      <c r="F5386" t="s">
        <v>45</v>
      </c>
      <c r="G5386" s="3">
        <f t="shared" si="645"/>
        <v>-335.26720000000006</v>
      </c>
      <c r="H5386" s="3">
        <f t="shared" si="646"/>
        <v>335.26720000000006</v>
      </c>
      <c r="I5386" s="5" t="str">
        <f t="shared" si="647"/>
        <v>018</v>
      </c>
      <c r="J5386" s="5" t="str">
        <f t="shared" si="648"/>
        <v>2210</v>
      </c>
      <c r="K5386" s="5" t="str">
        <f t="shared" si="649"/>
        <v>000</v>
      </c>
      <c r="L5386" s="5">
        <f t="shared" si="650"/>
        <v>1</v>
      </c>
      <c r="M5386" s="5">
        <f t="shared" si="651"/>
        <v>2013</v>
      </c>
    </row>
    <row r="5387" spans="1:13" ht="15" x14ac:dyDescent="0.25">
      <c r="A5387" s="1">
        <f>DATE(2013,1,22)</f>
        <v>41296</v>
      </c>
      <c r="B5387" t="s">
        <v>21</v>
      </c>
      <c r="C5387" t="s">
        <v>9</v>
      </c>
      <c r="D5387" s="3">
        <v>97.920900000000003</v>
      </c>
      <c r="E5387" s="3">
        <v>0</v>
      </c>
      <c r="F5387" t="s">
        <v>45</v>
      </c>
      <c r="G5387" s="3">
        <f t="shared" si="645"/>
        <v>-97.920900000000003</v>
      </c>
      <c r="H5387" s="3">
        <f t="shared" si="646"/>
        <v>97.920900000000003</v>
      </c>
      <c r="I5387" s="5" t="str">
        <f t="shared" si="647"/>
        <v>018</v>
      </c>
      <c r="J5387" s="5" t="str">
        <f t="shared" si="648"/>
        <v>2220</v>
      </c>
      <c r="K5387" s="5" t="str">
        <f t="shared" si="649"/>
        <v>000</v>
      </c>
      <c r="L5387" s="5">
        <f t="shared" si="650"/>
        <v>1</v>
      </c>
      <c r="M5387" s="5">
        <f t="shared" si="651"/>
        <v>2013</v>
      </c>
    </row>
    <row r="5388" spans="1:13" ht="15" x14ac:dyDescent="0.25">
      <c r="A5388" s="1">
        <f>DATE(2013,1,22)</f>
        <v>41296</v>
      </c>
      <c r="B5388" t="s">
        <v>22</v>
      </c>
      <c r="C5388" t="s">
        <v>10</v>
      </c>
      <c r="D5388" s="3">
        <v>14.093399999999999</v>
      </c>
      <c r="E5388" s="3">
        <v>0</v>
      </c>
      <c r="F5388" t="s">
        <v>45</v>
      </c>
      <c r="G5388" s="3">
        <f t="shared" si="645"/>
        <v>-14.093399999999999</v>
      </c>
      <c r="H5388" s="3">
        <f t="shared" si="646"/>
        <v>14.093399999999999</v>
      </c>
      <c r="I5388" s="5" t="str">
        <f t="shared" si="647"/>
        <v>018</v>
      </c>
      <c r="J5388" s="5" t="str">
        <f t="shared" si="648"/>
        <v>2230</v>
      </c>
      <c r="K5388" s="5" t="str">
        <f t="shared" si="649"/>
        <v>000</v>
      </c>
      <c r="L5388" s="5">
        <f t="shared" si="650"/>
        <v>1</v>
      </c>
      <c r="M5388" s="5">
        <f t="shared" si="651"/>
        <v>2013</v>
      </c>
    </row>
    <row r="5389" spans="1:13" ht="15" x14ac:dyDescent="0.25">
      <c r="A5389" s="1">
        <f>DATE(2013,1,23)</f>
        <v>41297</v>
      </c>
      <c r="B5389" t="s">
        <v>19</v>
      </c>
      <c r="C5389" t="s">
        <v>6</v>
      </c>
      <c r="D5389" s="3">
        <v>2231.1959999999999</v>
      </c>
      <c r="E5389" s="3">
        <v>0</v>
      </c>
      <c r="F5389" t="s">
        <v>45</v>
      </c>
      <c r="G5389" s="3">
        <f t="shared" si="645"/>
        <v>-2231.1959999999999</v>
      </c>
      <c r="H5389" s="3">
        <f t="shared" si="646"/>
        <v>2231.1959999999999</v>
      </c>
      <c r="I5389" s="5" t="str">
        <f t="shared" si="647"/>
        <v>018</v>
      </c>
      <c r="J5389" s="5" t="str">
        <f t="shared" si="648"/>
        <v>2100</v>
      </c>
      <c r="K5389" s="5" t="str">
        <f t="shared" si="649"/>
        <v>000</v>
      </c>
      <c r="L5389" s="5">
        <f t="shared" si="650"/>
        <v>1</v>
      </c>
      <c r="M5389" s="5">
        <f t="shared" si="651"/>
        <v>2013</v>
      </c>
    </row>
    <row r="5390" spans="1:13" ht="15" x14ac:dyDescent="0.25">
      <c r="A5390" s="1">
        <f>DATE(2013,1,23)</f>
        <v>41297</v>
      </c>
      <c r="B5390" t="s">
        <v>20</v>
      </c>
      <c r="C5390" t="s">
        <v>8</v>
      </c>
      <c r="D5390" s="3">
        <v>690.88110000000006</v>
      </c>
      <c r="E5390" s="3">
        <v>0</v>
      </c>
      <c r="F5390" t="s">
        <v>45</v>
      </c>
      <c r="G5390" s="3">
        <f t="shared" si="645"/>
        <v>-690.88110000000006</v>
      </c>
      <c r="H5390" s="3">
        <f t="shared" si="646"/>
        <v>690.88110000000006</v>
      </c>
      <c r="I5390" s="5" t="str">
        <f t="shared" si="647"/>
        <v>018</v>
      </c>
      <c r="J5390" s="5" t="str">
        <f t="shared" si="648"/>
        <v>2210</v>
      </c>
      <c r="K5390" s="5" t="str">
        <f t="shared" si="649"/>
        <v>000</v>
      </c>
      <c r="L5390" s="5">
        <f t="shared" si="650"/>
        <v>1</v>
      </c>
      <c r="M5390" s="5">
        <f t="shared" si="651"/>
        <v>2013</v>
      </c>
    </row>
    <row r="5391" spans="1:13" ht="15" x14ac:dyDescent="0.25">
      <c r="A5391" s="1">
        <f>DATE(2013,1,23)</f>
        <v>41297</v>
      </c>
      <c r="B5391" t="s">
        <v>21</v>
      </c>
      <c r="C5391" t="s">
        <v>9</v>
      </c>
      <c r="D5391" s="3">
        <v>145.98400000000001</v>
      </c>
      <c r="E5391" s="3">
        <v>0</v>
      </c>
      <c r="F5391" t="s">
        <v>45</v>
      </c>
      <c r="G5391" s="3">
        <f t="shared" si="645"/>
        <v>-145.98400000000001</v>
      </c>
      <c r="H5391" s="3">
        <f t="shared" si="646"/>
        <v>145.98400000000001</v>
      </c>
      <c r="I5391" s="5" t="str">
        <f t="shared" si="647"/>
        <v>018</v>
      </c>
      <c r="J5391" s="5" t="str">
        <f t="shared" si="648"/>
        <v>2220</v>
      </c>
      <c r="K5391" s="5" t="str">
        <f t="shared" si="649"/>
        <v>000</v>
      </c>
      <c r="L5391" s="5">
        <f t="shared" si="650"/>
        <v>1</v>
      </c>
      <c r="M5391" s="5">
        <f t="shared" si="651"/>
        <v>2013</v>
      </c>
    </row>
    <row r="5392" spans="1:13" ht="15" x14ac:dyDescent="0.25">
      <c r="A5392" s="1">
        <f>DATE(2013,1,23)</f>
        <v>41297</v>
      </c>
      <c r="B5392" t="s">
        <v>22</v>
      </c>
      <c r="C5392" t="s">
        <v>10</v>
      </c>
      <c r="D5392" s="3">
        <v>31.577999999999999</v>
      </c>
      <c r="E5392" s="3">
        <v>0</v>
      </c>
      <c r="F5392" t="s">
        <v>45</v>
      </c>
      <c r="G5392" s="3">
        <f t="shared" si="645"/>
        <v>-31.577999999999999</v>
      </c>
      <c r="H5392" s="3">
        <f t="shared" si="646"/>
        <v>31.577999999999999</v>
      </c>
      <c r="I5392" s="5" t="str">
        <f t="shared" si="647"/>
        <v>018</v>
      </c>
      <c r="J5392" s="5" t="str">
        <f t="shared" si="648"/>
        <v>2230</v>
      </c>
      <c r="K5392" s="5" t="str">
        <f t="shared" si="649"/>
        <v>000</v>
      </c>
      <c r="L5392" s="5">
        <f t="shared" si="650"/>
        <v>1</v>
      </c>
      <c r="M5392" s="5">
        <f t="shared" si="651"/>
        <v>2013</v>
      </c>
    </row>
    <row r="5393" spans="1:13" ht="15" x14ac:dyDescent="0.25">
      <c r="A5393" s="1">
        <f>DATE(2013,1,24)</f>
        <v>41298</v>
      </c>
      <c r="B5393" t="s">
        <v>19</v>
      </c>
      <c r="C5393" t="s">
        <v>6</v>
      </c>
      <c r="D5393" s="3">
        <v>2469.2470000000003</v>
      </c>
      <c r="E5393" s="3">
        <v>0</v>
      </c>
      <c r="F5393" t="s">
        <v>45</v>
      </c>
      <c r="G5393" s="3">
        <f t="shared" si="645"/>
        <v>-2469.2470000000003</v>
      </c>
      <c r="H5393" s="3">
        <f t="shared" si="646"/>
        <v>2469.2470000000003</v>
      </c>
      <c r="I5393" s="5" t="str">
        <f t="shared" si="647"/>
        <v>018</v>
      </c>
      <c r="J5393" s="5" t="str">
        <f t="shared" si="648"/>
        <v>2100</v>
      </c>
      <c r="K5393" s="5" t="str">
        <f t="shared" si="649"/>
        <v>000</v>
      </c>
      <c r="L5393" s="5">
        <f t="shared" si="650"/>
        <v>1</v>
      </c>
      <c r="M5393" s="5">
        <f t="shared" si="651"/>
        <v>2013</v>
      </c>
    </row>
    <row r="5394" spans="1:13" ht="15" x14ac:dyDescent="0.25">
      <c r="A5394" s="1">
        <f>DATE(2013,1,24)</f>
        <v>41298</v>
      </c>
      <c r="B5394" t="s">
        <v>20</v>
      </c>
      <c r="C5394" t="s">
        <v>8</v>
      </c>
      <c r="D5394" s="3">
        <v>871.56809999999996</v>
      </c>
      <c r="E5394" s="3">
        <v>0</v>
      </c>
      <c r="F5394" t="s">
        <v>45</v>
      </c>
      <c r="G5394" s="3">
        <f t="shared" si="645"/>
        <v>-871.56809999999996</v>
      </c>
      <c r="H5394" s="3">
        <f t="shared" si="646"/>
        <v>871.56809999999996</v>
      </c>
      <c r="I5394" s="5" t="str">
        <f t="shared" si="647"/>
        <v>018</v>
      </c>
      <c r="J5394" s="5" t="str">
        <f t="shared" si="648"/>
        <v>2210</v>
      </c>
      <c r="K5394" s="5" t="str">
        <f t="shared" si="649"/>
        <v>000</v>
      </c>
      <c r="L5394" s="5">
        <f t="shared" si="650"/>
        <v>1</v>
      </c>
      <c r="M5394" s="5">
        <f t="shared" si="651"/>
        <v>2013</v>
      </c>
    </row>
    <row r="5395" spans="1:13" ht="15" x14ac:dyDescent="0.25">
      <c r="A5395" s="1">
        <f>DATE(2013,1,24)</f>
        <v>41298</v>
      </c>
      <c r="B5395" t="s">
        <v>21</v>
      </c>
      <c r="C5395" t="s">
        <v>9</v>
      </c>
      <c r="D5395" s="3">
        <v>235.95320000000001</v>
      </c>
      <c r="E5395" s="3">
        <v>0</v>
      </c>
      <c r="F5395" t="s">
        <v>45</v>
      </c>
      <c r="G5395" s="3">
        <f t="shared" si="645"/>
        <v>-235.95320000000001</v>
      </c>
      <c r="H5395" s="3">
        <f t="shared" si="646"/>
        <v>235.95320000000001</v>
      </c>
      <c r="I5395" s="5" t="str">
        <f t="shared" si="647"/>
        <v>018</v>
      </c>
      <c r="J5395" s="5" t="str">
        <f t="shared" si="648"/>
        <v>2220</v>
      </c>
      <c r="K5395" s="5" t="str">
        <f t="shared" si="649"/>
        <v>000</v>
      </c>
      <c r="L5395" s="5">
        <f t="shared" si="650"/>
        <v>1</v>
      </c>
      <c r="M5395" s="5">
        <f t="shared" si="651"/>
        <v>2013</v>
      </c>
    </row>
    <row r="5396" spans="1:13" ht="15" x14ac:dyDescent="0.25">
      <c r="A5396" s="1">
        <f>DATE(2013,1,24)</f>
        <v>41298</v>
      </c>
      <c r="B5396" t="s">
        <v>22</v>
      </c>
      <c r="C5396" t="s">
        <v>10</v>
      </c>
      <c r="D5396" s="3">
        <v>73.677199999999985</v>
      </c>
      <c r="E5396" s="3">
        <v>0</v>
      </c>
      <c r="F5396" t="s">
        <v>45</v>
      </c>
      <c r="G5396" s="3">
        <f t="shared" si="645"/>
        <v>-73.677199999999985</v>
      </c>
      <c r="H5396" s="3">
        <f t="shared" si="646"/>
        <v>73.677199999999985</v>
      </c>
      <c r="I5396" s="5" t="str">
        <f t="shared" si="647"/>
        <v>018</v>
      </c>
      <c r="J5396" s="5" t="str">
        <f t="shared" si="648"/>
        <v>2230</v>
      </c>
      <c r="K5396" s="5" t="str">
        <f t="shared" si="649"/>
        <v>000</v>
      </c>
      <c r="L5396" s="5">
        <f t="shared" si="650"/>
        <v>1</v>
      </c>
      <c r="M5396" s="5">
        <f t="shared" si="651"/>
        <v>2013</v>
      </c>
    </row>
    <row r="5397" spans="1:13" ht="15" x14ac:dyDescent="0.25">
      <c r="A5397" s="1">
        <f>DATE(2013,1,25)</f>
        <v>41299</v>
      </c>
      <c r="B5397" t="s">
        <v>19</v>
      </c>
      <c r="C5397" t="s">
        <v>6</v>
      </c>
      <c r="D5397" s="3">
        <v>6068.6539999999995</v>
      </c>
      <c r="E5397" s="3">
        <v>0</v>
      </c>
      <c r="F5397" t="s">
        <v>45</v>
      </c>
      <c r="G5397" s="3">
        <f t="shared" si="645"/>
        <v>-6068.6539999999995</v>
      </c>
      <c r="H5397" s="3">
        <f t="shared" si="646"/>
        <v>6068.6539999999995</v>
      </c>
      <c r="I5397" s="5" t="str">
        <f t="shared" si="647"/>
        <v>018</v>
      </c>
      <c r="J5397" s="5" t="str">
        <f t="shared" si="648"/>
        <v>2100</v>
      </c>
      <c r="K5397" s="5" t="str">
        <f t="shared" si="649"/>
        <v>000</v>
      </c>
      <c r="L5397" s="5">
        <f t="shared" si="650"/>
        <v>1</v>
      </c>
      <c r="M5397" s="5">
        <f t="shared" si="651"/>
        <v>2013</v>
      </c>
    </row>
    <row r="5398" spans="1:13" ht="15" x14ac:dyDescent="0.25">
      <c r="A5398" s="1">
        <f>DATE(2013,1,25)</f>
        <v>41299</v>
      </c>
      <c r="B5398" t="s">
        <v>20</v>
      </c>
      <c r="C5398" t="s">
        <v>8</v>
      </c>
      <c r="D5398" s="3">
        <v>1579.4779000000001</v>
      </c>
      <c r="E5398" s="3">
        <v>0</v>
      </c>
      <c r="F5398" t="s">
        <v>45</v>
      </c>
      <c r="G5398" s="3">
        <f t="shared" si="645"/>
        <v>-1579.4779000000001</v>
      </c>
      <c r="H5398" s="3">
        <f t="shared" si="646"/>
        <v>1579.4779000000001</v>
      </c>
      <c r="I5398" s="5" t="str">
        <f t="shared" si="647"/>
        <v>018</v>
      </c>
      <c r="J5398" s="5" t="str">
        <f t="shared" si="648"/>
        <v>2210</v>
      </c>
      <c r="K5398" s="5" t="str">
        <f t="shared" si="649"/>
        <v>000</v>
      </c>
      <c r="L5398" s="5">
        <f t="shared" si="650"/>
        <v>1</v>
      </c>
      <c r="M5398" s="5">
        <f t="shared" si="651"/>
        <v>2013</v>
      </c>
    </row>
    <row r="5399" spans="1:13" ht="15" x14ac:dyDescent="0.25">
      <c r="A5399" s="1">
        <f>DATE(2013,1,25)</f>
        <v>41299</v>
      </c>
      <c r="B5399" t="s">
        <v>21</v>
      </c>
      <c r="C5399" t="s">
        <v>9</v>
      </c>
      <c r="D5399" s="3">
        <v>418.05360000000002</v>
      </c>
      <c r="E5399" s="3">
        <v>0</v>
      </c>
      <c r="F5399" t="s">
        <v>45</v>
      </c>
      <c r="G5399" s="3">
        <f t="shared" si="645"/>
        <v>-418.05360000000002</v>
      </c>
      <c r="H5399" s="3">
        <f t="shared" si="646"/>
        <v>418.05360000000002</v>
      </c>
      <c r="I5399" s="5" t="str">
        <f t="shared" si="647"/>
        <v>018</v>
      </c>
      <c r="J5399" s="5" t="str">
        <f t="shared" si="648"/>
        <v>2220</v>
      </c>
      <c r="K5399" s="5" t="str">
        <f t="shared" si="649"/>
        <v>000</v>
      </c>
      <c r="L5399" s="5">
        <f t="shared" si="650"/>
        <v>1</v>
      </c>
      <c r="M5399" s="5">
        <f t="shared" si="651"/>
        <v>2013</v>
      </c>
    </row>
    <row r="5400" spans="1:13" ht="15" x14ac:dyDescent="0.25">
      <c r="A5400" s="1">
        <f>DATE(2013,1,25)</f>
        <v>41299</v>
      </c>
      <c r="B5400" t="s">
        <v>22</v>
      </c>
      <c r="C5400" t="s">
        <v>10</v>
      </c>
      <c r="D5400" s="3">
        <v>82.49499999999999</v>
      </c>
      <c r="E5400" s="3">
        <v>0</v>
      </c>
      <c r="F5400" t="s">
        <v>45</v>
      </c>
      <c r="G5400" s="3">
        <f t="shared" si="645"/>
        <v>-82.49499999999999</v>
      </c>
      <c r="H5400" s="3">
        <f t="shared" si="646"/>
        <v>82.49499999999999</v>
      </c>
      <c r="I5400" s="5" t="str">
        <f t="shared" si="647"/>
        <v>018</v>
      </c>
      <c r="J5400" s="5" t="str">
        <f t="shared" si="648"/>
        <v>2230</v>
      </c>
      <c r="K5400" s="5" t="str">
        <f t="shared" si="649"/>
        <v>000</v>
      </c>
      <c r="L5400" s="5">
        <f t="shared" si="650"/>
        <v>1</v>
      </c>
      <c r="M5400" s="5">
        <f t="shared" si="651"/>
        <v>2013</v>
      </c>
    </row>
    <row r="5401" spans="1:13" ht="15" x14ac:dyDescent="0.25">
      <c r="A5401" s="1">
        <f>DATE(2013,1,26)</f>
        <v>41300</v>
      </c>
      <c r="B5401" t="s">
        <v>19</v>
      </c>
      <c r="C5401" t="s">
        <v>6</v>
      </c>
      <c r="D5401" s="3">
        <v>13354.7048</v>
      </c>
      <c r="E5401" s="3">
        <v>0</v>
      </c>
      <c r="F5401" t="s">
        <v>45</v>
      </c>
      <c r="G5401" s="3">
        <f t="shared" si="645"/>
        <v>-13354.7048</v>
      </c>
      <c r="H5401" s="3">
        <f t="shared" si="646"/>
        <v>13354.7048</v>
      </c>
      <c r="I5401" s="5" t="str">
        <f t="shared" si="647"/>
        <v>018</v>
      </c>
      <c r="J5401" s="5" t="str">
        <f t="shared" si="648"/>
        <v>2100</v>
      </c>
      <c r="K5401" s="5" t="str">
        <f t="shared" si="649"/>
        <v>000</v>
      </c>
      <c r="L5401" s="5">
        <f t="shared" si="650"/>
        <v>1</v>
      </c>
      <c r="M5401" s="5">
        <f t="shared" si="651"/>
        <v>2013</v>
      </c>
    </row>
    <row r="5402" spans="1:13" ht="15" x14ac:dyDescent="0.25">
      <c r="A5402" s="1">
        <f>DATE(2013,1,26)</f>
        <v>41300</v>
      </c>
      <c r="B5402" t="s">
        <v>20</v>
      </c>
      <c r="C5402" t="s">
        <v>8</v>
      </c>
      <c r="D5402" s="3">
        <v>3244.0383999999999</v>
      </c>
      <c r="E5402" s="3">
        <v>0</v>
      </c>
      <c r="F5402" t="s">
        <v>45</v>
      </c>
      <c r="G5402" s="3">
        <f t="shared" si="645"/>
        <v>-3244.0383999999999</v>
      </c>
      <c r="H5402" s="3">
        <f t="shared" si="646"/>
        <v>3244.0383999999999</v>
      </c>
      <c r="I5402" s="5" t="str">
        <f t="shared" si="647"/>
        <v>018</v>
      </c>
      <c r="J5402" s="5" t="str">
        <f t="shared" si="648"/>
        <v>2210</v>
      </c>
      <c r="K5402" s="5" t="str">
        <f t="shared" si="649"/>
        <v>000</v>
      </c>
      <c r="L5402" s="5">
        <f t="shared" si="650"/>
        <v>1</v>
      </c>
      <c r="M5402" s="5">
        <f t="shared" si="651"/>
        <v>2013</v>
      </c>
    </row>
    <row r="5403" spans="1:13" ht="15" x14ac:dyDescent="0.25">
      <c r="A5403" s="1">
        <f>DATE(2013,1,26)</f>
        <v>41300</v>
      </c>
      <c r="B5403" t="s">
        <v>21</v>
      </c>
      <c r="C5403" t="s">
        <v>9</v>
      </c>
      <c r="D5403" s="3">
        <v>641.68340000000001</v>
      </c>
      <c r="E5403" s="3">
        <v>0</v>
      </c>
      <c r="F5403" t="s">
        <v>45</v>
      </c>
      <c r="G5403" s="3">
        <f t="shared" si="645"/>
        <v>-641.68340000000001</v>
      </c>
      <c r="H5403" s="3">
        <f t="shared" si="646"/>
        <v>641.68340000000001</v>
      </c>
      <c r="I5403" s="5" t="str">
        <f t="shared" si="647"/>
        <v>018</v>
      </c>
      <c r="J5403" s="5" t="str">
        <f t="shared" si="648"/>
        <v>2220</v>
      </c>
      <c r="K5403" s="5" t="str">
        <f t="shared" si="649"/>
        <v>000</v>
      </c>
      <c r="L5403" s="5">
        <f t="shared" si="650"/>
        <v>1</v>
      </c>
      <c r="M5403" s="5">
        <f t="shared" si="651"/>
        <v>2013</v>
      </c>
    </row>
    <row r="5404" spans="1:13" ht="15" x14ac:dyDescent="0.25">
      <c r="A5404" s="1">
        <f>DATE(2013,1,26)</f>
        <v>41300</v>
      </c>
      <c r="B5404" t="s">
        <v>22</v>
      </c>
      <c r="C5404" t="s">
        <v>10</v>
      </c>
      <c r="D5404" s="3">
        <v>93.849800000000002</v>
      </c>
      <c r="E5404" s="3">
        <v>0</v>
      </c>
      <c r="F5404" t="s">
        <v>45</v>
      </c>
      <c r="G5404" s="3">
        <f t="shared" si="645"/>
        <v>-93.849800000000002</v>
      </c>
      <c r="H5404" s="3">
        <f t="shared" si="646"/>
        <v>93.849800000000002</v>
      </c>
      <c r="I5404" s="5" t="str">
        <f t="shared" si="647"/>
        <v>018</v>
      </c>
      <c r="J5404" s="5" t="str">
        <f t="shared" si="648"/>
        <v>2230</v>
      </c>
      <c r="K5404" s="5" t="str">
        <f t="shared" si="649"/>
        <v>000</v>
      </c>
      <c r="L5404" s="5">
        <f t="shared" si="650"/>
        <v>1</v>
      </c>
      <c r="M5404" s="5">
        <f t="shared" si="651"/>
        <v>2013</v>
      </c>
    </row>
    <row r="5405" spans="1:13" ht="15" x14ac:dyDescent="0.25">
      <c r="A5405" s="1">
        <f>DATE(2013,1,27)</f>
        <v>41301</v>
      </c>
      <c r="B5405" t="s">
        <v>19</v>
      </c>
      <c r="C5405" t="s">
        <v>6</v>
      </c>
      <c r="D5405" s="3">
        <v>10607.888999999999</v>
      </c>
      <c r="E5405" s="3">
        <v>0</v>
      </c>
      <c r="F5405" t="s">
        <v>45</v>
      </c>
      <c r="G5405" s="3">
        <f t="shared" si="645"/>
        <v>-10607.888999999999</v>
      </c>
      <c r="H5405" s="3">
        <f t="shared" si="646"/>
        <v>10607.888999999999</v>
      </c>
      <c r="I5405" s="5" t="str">
        <f t="shared" si="647"/>
        <v>018</v>
      </c>
      <c r="J5405" s="5" t="str">
        <f t="shared" si="648"/>
        <v>2100</v>
      </c>
      <c r="K5405" s="5" t="str">
        <f t="shared" si="649"/>
        <v>000</v>
      </c>
      <c r="L5405" s="5">
        <f t="shared" si="650"/>
        <v>1</v>
      </c>
      <c r="M5405" s="5">
        <f t="shared" si="651"/>
        <v>2013</v>
      </c>
    </row>
    <row r="5406" spans="1:13" ht="15" x14ac:dyDescent="0.25">
      <c r="A5406" s="1">
        <f>DATE(2013,1,27)</f>
        <v>41301</v>
      </c>
      <c r="B5406" t="s">
        <v>20</v>
      </c>
      <c r="C5406" t="s">
        <v>8</v>
      </c>
      <c r="D5406" s="3">
        <v>1253.1711</v>
      </c>
      <c r="E5406" s="3">
        <v>0</v>
      </c>
      <c r="F5406" t="s">
        <v>45</v>
      </c>
      <c r="G5406" s="3">
        <f t="shared" si="645"/>
        <v>-1253.1711</v>
      </c>
      <c r="H5406" s="3">
        <f t="shared" si="646"/>
        <v>1253.1711</v>
      </c>
      <c r="I5406" s="5" t="str">
        <f t="shared" si="647"/>
        <v>018</v>
      </c>
      <c r="J5406" s="5" t="str">
        <f t="shared" si="648"/>
        <v>2210</v>
      </c>
      <c r="K5406" s="5" t="str">
        <f t="shared" si="649"/>
        <v>000</v>
      </c>
      <c r="L5406" s="5">
        <f t="shared" si="650"/>
        <v>1</v>
      </c>
      <c r="M5406" s="5">
        <f t="shared" si="651"/>
        <v>2013</v>
      </c>
    </row>
    <row r="5407" spans="1:13" ht="15" x14ac:dyDescent="0.25">
      <c r="A5407" s="1">
        <f>DATE(2013,1,27)</f>
        <v>41301</v>
      </c>
      <c r="B5407" t="s">
        <v>21</v>
      </c>
      <c r="C5407" t="s">
        <v>9</v>
      </c>
      <c r="D5407" s="3">
        <v>344.6952</v>
      </c>
      <c r="E5407" s="3">
        <v>0</v>
      </c>
      <c r="F5407" t="s">
        <v>45</v>
      </c>
      <c r="G5407" s="3">
        <f t="shared" si="645"/>
        <v>-344.6952</v>
      </c>
      <c r="H5407" s="3">
        <f t="shared" si="646"/>
        <v>344.6952</v>
      </c>
      <c r="I5407" s="5" t="str">
        <f t="shared" si="647"/>
        <v>018</v>
      </c>
      <c r="J5407" s="5" t="str">
        <f t="shared" si="648"/>
        <v>2220</v>
      </c>
      <c r="K5407" s="5" t="str">
        <f t="shared" si="649"/>
        <v>000</v>
      </c>
      <c r="L5407" s="5">
        <f t="shared" si="650"/>
        <v>1</v>
      </c>
      <c r="M5407" s="5">
        <f t="shared" si="651"/>
        <v>2013</v>
      </c>
    </row>
    <row r="5408" spans="1:13" ht="15" x14ac:dyDescent="0.25">
      <c r="A5408" s="1">
        <f>DATE(2013,1,27)</f>
        <v>41301</v>
      </c>
      <c r="B5408" t="s">
        <v>22</v>
      </c>
      <c r="C5408" t="s">
        <v>10</v>
      </c>
      <c r="D5408" s="3">
        <v>61.299199999999999</v>
      </c>
      <c r="E5408" s="3">
        <v>0</v>
      </c>
      <c r="F5408" t="s">
        <v>45</v>
      </c>
      <c r="G5408" s="3">
        <f t="shared" si="645"/>
        <v>-61.299199999999999</v>
      </c>
      <c r="H5408" s="3">
        <f t="shared" si="646"/>
        <v>61.299199999999999</v>
      </c>
      <c r="I5408" s="5" t="str">
        <f t="shared" si="647"/>
        <v>018</v>
      </c>
      <c r="J5408" s="5" t="str">
        <f t="shared" si="648"/>
        <v>2230</v>
      </c>
      <c r="K5408" s="5" t="str">
        <f t="shared" si="649"/>
        <v>000</v>
      </c>
      <c r="L5408" s="5">
        <f t="shared" si="650"/>
        <v>1</v>
      </c>
      <c r="M5408" s="5">
        <f t="shared" si="651"/>
        <v>2013</v>
      </c>
    </row>
    <row r="5409" spans="1:13" ht="15" x14ac:dyDescent="0.25">
      <c r="A5409" s="1">
        <f>DATE(2013,1,28)</f>
        <v>41302</v>
      </c>
      <c r="B5409" t="s">
        <v>11</v>
      </c>
      <c r="C5409" t="s">
        <v>6</v>
      </c>
      <c r="D5409" s="3">
        <v>1818.0225</v>
      </c>
      <c r="E5409" s="3">
        <v>0</v>
      </c>
      <c r="F5409" t="s">
        <v>45</v>
      </c>
      <c r="G5409" s="3">
        <f t="shared" si="645"/>
        <v>-1818.0225</v>
      </c>
      <c r="H5409" s="3">
        <f t="shared" si="646"/>
        <v>1818.0225</v>
      </c>
      <c r="I5409" s="5" t="str">
        <f t="shared" si="647"/>
        <v>016</v>
      </c>
      <c r="J5409" s="5" t="str">
        <f t="shared" si="648"/>
        <v>2100</v>
      </c>
      <c r="K5409" s="5" t="str">
        <f t="shared" si="649"/>
        <v>000</v>
      </c>
      <c r="L5409" s="5">
        <f t="shared" si="650"/>
        <v>1</v>
      </c>
      <c r="M5409" s="5">
        <f t="shared" si="651"/>
        <v>2013</v>
      </c>
    </row>
    <row r="5410" spans="1:13" ht="15" x14ac:dyDescent="0.25">
      <c r="A5410" s="1">
        <f>DATE(2013,1,28)</f>
        <v>41302</v>
      </c>
      <c r="B5410" t="s">
        <v>12</v>
      </c>
      <c r="C5410" t="s">
        <v>8</v>
      </c>
      <c r="D5410" s="3">
        <v>414.24490000000003</v>
      </c>
      <c r="E5410" s="3">
        <v>0</v>
      </c>
      <c r="F5410" t="s">
        <v>45</v>
      </c>
      <c r="G5410" s="3">
        <f t="shared" si="645"/>
        <v>-414.24490000000003</v>
      </c>
      <c r="H5410" s="3">
        <f t="shared" si="646"/>
        <v>414.24490000000003</v>
      </c>
      <c r="I5410" s="5" t="str">
        <f t="shared" si="647"/>
        <v>016</v>
      </c>
      <c r="J5410" s="5" t="str">
        <f t="shared" si="648"/>
        <v>2210</v>
      </c>
      <c r="K5410" s="5" t="str">
        <f t="shared" si="649"/>
        <v>000</v>
      </c>
      <c r="L5410" s="5">
        <f t="shared" si="650"/>
        <v>1</v>
      </c>
      <c r="M5410" s="5">
        <f t="shared" si="651"/>
        <v>2013</v>
      </c>
    </row>
    <row r="5411" spans="1:13" ht="15" x14ac:dyDescent="0.25">
      <c r="A5411" s="1">
        <f>DATE(2013,1,28)</f>
        <v>41302</v>
      </c>
      <c r="B5411" t="s">
        <v>13</v>
      </c>
      <c r="C5411" t="s">
        <v>9</v>
      </c>
      <c r="D5411" s="3">
        <v>98.419200000000004</v>
      </c>
      <c r="E5411" s="3">
        <v>0</v>
      </c>
      <c r="F5411" t="s">
        <v>45</v>
      </c>
      <c r="G5411" s="3">
        <f t="shared" si="645"/>
        <v>-98.419200000000004</v>
      </c>
      <c r="H5411" s="3">
        <f t="shared" si="646"/>
        <v>98.419200000000004</v>
      </c>
      <c r="I5411" s="5" t="str">
        <f t="shared" si="647"/>
        <v>016</v>
      </c>
      <c r="J5411" s="5" t="str">
        <f t="shared" si="648"/>
        <v>2220</v>
      </c>
      <c r="K5411" s="5" t="str">
        <f t="shared" si="649"/>
        <v>000</v>
      </c>
      <c r="L5411" s="5">
        <f t="shared" si="650"/>
        <v>1</v>
      </c>
      <c r="M5411" s="5">
        <f t="shared" si="651"/>
        <v>2013</v>
      </c>
    </row>
    <row r="5412" spans="1:13" ht="15" x14ac:dyDescent="0.25">
      <c r="A5412" s="1">
        <f>DATE(2013,1,28)</f>
        <v>41302</v>
      </c>
      <c r="B5412" t="s">
        <v>14</v>
      </c>
      <c r="C5412" t="s">
        <v>10</v>
      </c>
      <c r="D5412" s="3">
        <v>149.6746</v>
      </c>
      <c r="E5412" s="3">
        <v>0</v>
      </c>
      <c r="F5412" t="s">
        <v>45</v>
      </c>
      <c r="G5412" s="3">
        <f t="shared" si="645"/>
        <v>-149.6746</v>
      </c>
      <c r="H5412" s="3">
        <f t="shared" si="646"/>
        <v>149.6746</v>
      </c>
      <c r="I5412" s="5" t="str">
        <f t="shared" si="647"/>
        <v>016</v>
      </c>
      <c r="J5412" s="5" t="str">
        <f t="shared" si="648"/>
        <v>2230</v>
      </c>
      <c r="K5412" s="5" t="str">
        <f t="shared" si="649"/>
        <v>000</v>
      </c>
      <c r="L5412" s="5">
        <f t="shared" si="650"/>
        <v>1</v>
      </c>
      <c r="M5412" s="5">
        <f t="shared" si="651"/>
        <v>2013</v>
      </c>
    </row>
    <row r="5413" spans="1:13" ht="15" x14ac:dyDescent="0.25">
      <c r="A5413" s="1">
        <f>DATE(2013,1,29)</f>
        <v>41303</v>
      </c>
      <c r="B5413" t="s">
        <v>11</v>
      </c>
      <c r="C5413" t="s">
        <v>6</v>
      </c>
      <c r="D5413" s="3">
        <v>7035.8919999999998</v>
      </c>
      <c r="E5413" s="3">
        <v>0</v>
      </c>
      <c r="F5413" t="s">
        <v>45</v>
      </c>
      <c r="G5413" s="3">
        <f t="shared" si="645"/>
        <v>-7035.8919999999998</v>
      </c>
      <c r="H5413" s="3">
        <f t="shared" si="646"/>
        <v>7035.8919999999998</v>
      </c>
      <c r="I5413" s="5" t="str">
        <f t="shared" si="647"/>
        <v>016</v>
      </c>
      <c r="J5413" s="5" t="str">
        <f t="shared" si="648"/>
        <v>2100</v>
      </c>
      <c r="K5413" s="5" t="str">
        <f t="shared" si="649"/>
        <v>000</v>
      </c>
      <c r="L5413" s="5">
        <f t="shared" si="650"/>
        <v>1</v>
      </c>
      <c r="M5413" s="5">
        <f t="shared" si="651"/>
        <v>2013</v>
      </c>
    </row>
    <row r="5414" spans="1:13" ht="15" x14ac:dyDescent="0.25">
      <c r="A5414" s="1">
        <f>DATE(2013,1,29)</f>
        <v>41303</v>
      </c>
      <c r="B5414" t="s">
        <v>12</v>
      </c>
      <c r="C5414" t="s">
        <v>8</v>
      </c>
      <c r="D5414" s="3">
        <v>1924.8313000000001</v>
      </c>
      <c r="E5414" s="3">
        <v>0</v>
      </c>
      <c r="F5414" t="s">
        <v>45</v>
      </c>
      <c r="G5414" s="3">
        <f t="shared" si="645"/>
        <v>-1924.8313000000001</v>
      </c>
      <c r="H5414" s="3">
        <f t="shared" si="646"/>
        <v>1924.8313000000001</v>
      </c>
      <c r="I5414" s="5" t="str">
        <f t="shared" si="647"/>
        <v>016</v>
      </c>
      <c r="J5414" s="5" t="str">
        <f t="shared" si="648"/>
        <v>2210</v>
      </c>
      <c r="K5414" s="5" t="str">
        <f t="shared" si="649"/>
        <v>000</v>
      </c>
      <c r="L5414" s="5">
        <f t="shared" si="650"/>
        <v>1</v>
      </c>
      <c r="M5414" s="5">
        <f t="shared" si="651"/>
        <v>2013</v>
      </c>
    </row>
    <row r="5415" spans="1:13" ht="15" x14ac:dyDescent="0.25">
      <c r="A5415" s="1">
        <f>DATE(2013,1,29)</f>
        <v>41303</v>
      </c>
      <c r="B5415" t="s">
        <v>13</v>
      </c>
      <c r="C5415" t="s">
        <v>9</v>
      </c>
      <c r="D5415" s="3">
        <v>730.92750000000001</v>
      </c>
      <c r="E5415" s="3">
        <v>0</v>
      </c>
      <c r="F5415" t="s">
        <v>45</v>
      </c>
      <c r="G5415" s="3">
        <f t="shared" si="645"/>
        <v>-730.92750000000001</v>
      </c>
      <c r="H5415" s="3">
        <f t="shared" si="646"/>
        <v>730.92750000000001</v>
      </c>
      <c r="I5415" s="5" t="str">
        <f t="shared" si="647"/>
        <v>016</v>
      </c>
      <c r="J5415" s="5" t="str">
        <f t="shared" si="648"/>
        <v>2220</v>
      </c>
      <c r="K5415" s="5" t="str">
        <f t="shared" si="649"/>
        <v>000</v>
      </c>
      <c r="L5415" s="5">
        <f t="shared" si="650"/>
        <v>1</v>
      </c>
      <c r="M5415" s="5">
        <f t="shared" si="651"/>
        <v>2013</v>
      </c>
    </row>
    <row r="5416" spans="1:13" ht="15" x14ac:dyDescent="0.25">
      <c r="A5416" s="1">
        <f>DATE(2013,1,29)</f>
        <v>41303</v>
      </c>
      <c r="B5416" t="s">
        <v>14</v>
      </c>
      <c r="C5416" t="s">
        <v>10</v>
      </c>
      <c r="D5416" s="3">
        <v>145.34099999999998</v>
      </c>
      <c r="E5416" s="3">
        <v>0</v>
      </c>
      <c r="F5416" t="s">
        <v>45</v>
      </c>
      <c r="G5416" s="3">
        <f t="shared" si="645"/>
        <v>-145.34099999999998</v>
      </c>
      <c r="H5416" s="3">
        <f t="shared" si="646"/>
        <v>145.34099999999998</v>
      </c>
      <c r="I5416" s="5" t="str">
        <f t="shared" si="647"/>
        <v>016</v>
      </c>
      <c r="J5416" s="5" t="str">
        <f t="shared" si="648"/>
        <v>2230</v>
      </c>
      <c r="K5416" s="5" t="str">
        <f t="shared" si="649"/>
        <v>000</v>
      </c>
      <c r="L5416" s="5">
        <f t="shared" si="650"/>
        <v>1</v>
      </c>
      <c r="M5416" s="5">
        <f t="shared" si="651"/>
        <v>2013</v>
      </c>
    </row>
    <row r="5417" spans="1:13" ht="15" x14ac:dyDescent="0.25">
      <c r="A5417" s="1">
        <f>DATE(2013,1,30)</f>
        <v>41304</v>
      </c>
      <c r="B5417" t="s">
        <v>11</v>
      </c>
      <c r="C5417" t="s">
        <v>6</v>
      </c>
      <c r="D5417" s="3">
        <v>3473.4777000000004</v>
      </c>
      <c r="E5417" s="3">
        <v>0</v>
      </c>
      <c r="F5417" t="s">
        <v>45</v>
      </c>
      <c r="G5417" s="3">
        <f t="shared" si="645"/>
        <v>-3473.4777000000004</v>
      </c>
      <c r="H5417" s="3">
        <f t="shared" si="646"/>
        <v>3473.4777000000004</v>
      </c>
      <c r="I5417" s="5" t="str">
        <f t="shared" si="647"/>
        <v>016</v>
      </c>
      <c r="J5417" s="5" t="str">
        <f t="shared" si="648"/>
        <v>2100</v>
      </c>
      <c r="K5417" s="5" t="str">
        <f t="shared" si="649"/>
        <v>000</v>
      </c>
      <c r="L5417" s="5">
        <f t="shared" si="650"/>
        <v>1</v>
      </c>
      <c r="M5417" s="5">
        <f t="shared" si="651"/>
        <v>2013</v>
      </c>
    </row>
    <row r="5418" spans="1:13" ht="15" x14ac:dyDescent="0.25">
      <c r="A5418" s="1">
        <f>DATE(2013,1,30)</f>
        <v>41304</v>
      </c>
      <c r="B5418" t="s">
        <v>12</v>
      </c>
      <c r="C5418" t="s">
        <v>8</v>
      </c>
      <c r="D5418" s="3">
        <v>756.76859999999999</v>
      </c>
      <c r="E5418" s="3">
        <v>0</v>
      </c>
      <c r="F5418" t="s">
        <v>45</v>
      </c>
      <c r="G5418" s="3">
        <f t="shared" si="645"/>
        <v>-756.76859999999999</v>
      </c>
      <c r="H5418" s="3">
        <f t="shared" si="646"/>
        <v>756.76859999999999</v>
      </c>
      <c r="I5418" s="5" t="str">
        <f t="shared" si="647"/>
        <v>016</v>
      </c>
      <c r="J5418" s="5" t="str">
        <f t="shared" si="648"/>
        <v>2210</v>
      </c>
      <c r="K5418" s="5" t="str">
        <f t="shared" si="649"/>
        <v>000</v>
      </c>
      <c r="L5418" s="5">
        <f t="shared" si="650"/>
        <v>1</v>
      </c>
      <c r="M5418" s="5">
        <f t="shared" si="651"/>
        <v>2013</v>
      </c>
    </row>
    <row r="5419" spans="1:13" ht="15" x14ac:dyDescent="0.25">
      <c r="A5419" s="1">
        <f>DATE(2013,1,30)</f>
        <v>41304</v>
      </c>
      <c r="B5419" t="s">
        <v>13</v>
      </c>
      <c r="C5419" t="s">
        <v>9</v>
      </c>
      <c r="D5419" s="3">
        <v>82.5</v>
      </c>
      <c r="E5419" s="3">
        <v>0</v>
      </c>
      <c r="F5419" t="s">
        <v>45</v>
      </c>
      <c r="G5419" s="3">
        <f t="shared" si="645"/>
        <v>-82.5</v>
      </c>
      <c r="H5419" s="3">
        <f t="shared" si="646"/>
        <v>82.5</v>
      </c>
      <c r="I5419" s="5" t="str">
        <f t="shared" si="647"/>
        <v>016</v>
      </c>
      <c r="J5419" s="5" t="str">
        <f t="shared" si="648"/>
        <v>2220</v>
      </c>
      <c r="K5419" s="5" t="str">
        <f t="shared" si="649"/>
        <v>000</v>
      </c>
      <c r="L5419" s="5">
        <f t="shared" si="650"/>
        <v>1</v>
      </c>
      <c r="M5419" s="5">
        <f t="shared" si="651"/>
        <v>2013</v>
      </c>
    </row>
    <row r="5420" spans="1:13" ht="15" x14ac:dyDescent="0.25">
      <c r="A5420" s="1">
        <f>DATE(2013,1,30)</f>
        <v>41304</v>
      </c>
      <c r="B5420" t="s">
        <v>14</v>
      </c>
      <c r="C5420" t="s">
        <v>10</v>
      </c>
      <c r="D5420" s="3">
        <v>83.117999999999995</v>
      </c>
      <c r="E5420" s="3">
        <v>0</v>
      </c>
      <c r="F5420" t="s">
        <v>45</v>
      </c>
      <c r="G5420" s="3">
        <f t="shared" si="645"/>
        <v>-83.117999999999995</v>
      </c>
      <c r="H5420" s="3">
        <f t="shared" si="646"/>
        <v>83.117999999999995</v>
      </c>
      <c r="I5420" s="5" t="str">
        <f t="shared" si="647"/>
        <v>016</v>
      </c>
      <c r="J5420" s="5" t="str">
        <f t="shared" si="648"/>
        <v>2230</v>
      </c>
      <c r="K5420" s="5" t="str">
        <f t="shared" si="649"/>
        <v>000</v>
      </c>
      <c r="L5420" s="5">
        <f t="shared" si="650"/>
        <v>1</v>
      </c>
      <c r="M5420" s="5">
        <f t="shared" si="651"/>
        <v>2013</v>
      </c>
    </row>
    <row r="5421" spans="1:13" ht="15" x14ac:dyDescent="0.25">
      <c r="A5421" s="1">
        <f>DATE(2013,1,31)</f>
        <v>41305</v>
      </c>
      <c r="B5421" t="s">
        <v>11</v>
      </c>
      <c r="C5421" t="s">
        <v>6</v>
      </c>
      <c r="D5421" s="3">
        <v>2254.7979</v>
      </c>
      <c r="E5421" s="3">
        <v>0</v>
      </c>
      <c r="F5421" t="s">
        <v>45</v>
      </c>
      <c r="G5421" s="3">
        <f t="shared" si="645"/>
        <v>-2254.7979</v>
      </c>
      <c r="H5421" s="3">
        <f t="shared" si="646"/>
        <v>2254.7979</v>
      </c>
      <c r="I5421" s="5" t="str">
        <f t="shared" si="647"/>
        <v>016</v>
      </c>
      <c r="J5421" s="5" t="str">
        <f t="shared" si="648"/>
        <v>2100</v>
      </c>
      <c r="K5421" s="5" t="str">
        <f t="shared" si="649"/>
        <v>000</v>
      </c>
      <c r="L5421" s="5">
        <f t="shared" si="650"/>
        <v>1</v>
      </c>
      <c r="M5421" s="5">
        <f t="shared" si="651"/>
        <v>2013</v>
      </c>
    </row>
    <row r="5422" spans="1:13" ht="15" x14ac:dyDescent="0.25">
      <c r="A5422" s="1">
        <f>DATE(2013,1,31)</f>
        <v>41305</v>
      </c>
      <c r="B5422" t="s">
        <v>12</v>
      </c>
      <c r="C5422" t="s">
        <v>8</v>
      </c>
      <c r="D5422" s="3">
        <v>618.84739999999999</v>
      </c>
      <c r="E5422" s="3">
        <v>0</v>
      </c>
      <c r="F5422" t="s">
        <v>45</v>
      </c>
      <c r="G5422" s="3">
        <f t="shared" si="645"/>
        <v>-618.84739999999999</v>
      </c>
      <c r="H5422" s="3">
        <f t="shared" si="646"/>
        <v>618.84739999999999</v>
      </c>
      <c r="I5422" s="5" t="str">
        <f t="shared" si="647"/>
        <v>016</v>
      </c>
      <c r="J5422" s="5" t="str">
        <f t="shared" si="648"/>
        <v>2210</v>
      </c>
      <c r="K5422" s="5" t="str">
        <f t="shared" si="649"/>
        <v>000</v>
      </c>
      <c r="L5422" s="5">
        <f t="shared" si="650"/>
        <v>1</v>
      </c>
      <c r="M5422" s="5">
        <f t="shared" si="651"/>
        <v>2013</v>
      </c>
    </row>
    <row r="5423" spans="1:13" ht="15" x14ac:dyDescent="0.25">
      <c r="A5423" s="1">
        <f>DATE(2013,1,31)</f>
        <v>41305</v>
      </c>
      <c r="B5423" t="s">
        <v>13</v>
      </c>
      <c r="C5423" t="s">
        <v>9</v>
      </c>
      <c r="D5423" s="3">
        <v>101.80170000000001</v>
      </c>
      <c r="E5423" s="3">
        <v>0</v>
      </c>
      <c r="F5423" t="s">
        <v>45</v>
      </c>
      <c r="G5423" s="3">
        <f t="shared" si="645"/>
        <v>-101.80170000000001</v>
      </c>
      <c r="H5423" s="3">
        <f t="shared" si="646"/>
        <v>101.80170000000001</v>
      </c>
      <c r="I5423" s="5" t="str">
        <f t="shared" si="647"/>
        <v>016</v>
      </c>
      <c r="J5423" s="5" t="str">
        <f t="shared" si="648"/>
        <v>2220</v>
      </c>
      <c r="K5423" s="5" t="str">
        <f t="shared" si="649"/>
        <v>000</v>
      </c>
      <c r="L5423" s="5">
        <f t="shared" si="650"/>
        <v>1</v>
      </c>
      <c r="M5423" s="5">
        <f t="shared" si="651"/>
        <v>2013</v>
      </c>
    </row>
    <row r="5424" spans="1:13" ht="15" x14ac:dyDescent="0.25">
      <c r="A5424" s="1">
        <f>DATE(2013,1,31)</f>
        <v>41305</v>
      </c>
      <c r="B5424" t="s">
        <v>14</v>
      </c>
      <c r="C5424" t="s">
        <v>10</v>
      </c>
      <c r="D5424" s="3">
        <v>54.048000000000002</v>
      </c>
      <c r="E5424" s="3">
        <v>0</v>
      </c>
      <c r="F5424" t="s">
        <v>45</v>
      </c>
      <c r="G5424" s="3">
        <f t="shared" si="645"/>
        <v>-54.048000000000002</v>
      </c>
      <c r="H5424" s="3">
        <f t="shared" si="646"/>
        <v>54.048000000000002</v>
      </c>
      <c r="I5424" s="5" t="str">
        <f t="shared" si="647"/>
        <v>016</v>
      </c>
      <c r="J5424" s="5" t="str">
        <f t="shared" si="648"/>
        <v>2230</v>
      </c>
      <c r="K5424" s="5" t="str">
        <f t="shared" si="649"/>
        <v>000</v>
      </c>
      <c r="L5424" s="5">
        <f t="shared" si="650"/>
        <v>1</v>
      </c>
      <c r="M5424" s="5">
        <f t="shared" si="651"/>
        <v>2013</v>
      </c>
    </row>
    <row r="5425" spans="1:13" ht="15" x14ac:dyDescent="0.25">
      <c r="A5425" s="1">
        <f>DATE(2013,2,1)</f>
        <v>41306</v>
      </c>
      <c r="B5425" t="s">
        <v>11</v>
      </c>
      <c r="C5425" t="s">
        <v>6</v>
      </c>
      <c r="D5425" s="3">
        <v>5403.4404000000004</v>
      </c>
      <c r="E5425" s="3">
        <v>0</v>
      </c>
      <c r="F5425" t="s">
        <v>45</v>
      </c>
      <c r="G5425" s="3">
        <f t="shared" si="645"/>
        <v>-5403.4404000000004</v>
      </c>
      <c r="H5425" s="3">
        <f t="shared" si="646"/>
        <v>5403.4404000000004</v>
      </c>
      <c r="I5425" s="5" t="str">
        <f t="shared" si="647"/>
        <v>016</v>
      </c>
      <c r="J5425" s="5" t="str">
        <f t="shared" si="648"/>
        <v>2100</v>
      </c>
      <c r="K5425" s="5" t="str">
        <f t="shared" si="649"/>
        <v>000</v>
      </c>
      <c r="L5425" s="5">
        <f t="shared" si="650"/>
        <v>2</v>
      </c>
      <c r="M5425" s="5">
        <f t="shared" si="651"/>
        <v>2013</v>
      </c>
    </row>
    <row r="5426" spans="1:13" ht="15" x14ac:dyDescent="0.25">
      <c r="A5426" s="1">
        <f>DATE(2013,2,1)</f>
        <v>41306</v>
      </c>
      <c r="B5426" t="s">
        <v>12</v>
      </c>
      <c r="C5426" t="s">
        <v>8</v>
      </c>
      <c r="D5426" s="3">
        <v>1719.4190000000001</v>
      </c>
      <c r="E5426" s="3">
        <v>0</v>
      </c>
      <c r="F5426" t="s">
        <v>45</v>
      </c>
      <c r="G5426" s="3">
        <f t="shared" si="645"/>
        <v>-1719.4190000000001</v>
      </c>
      <c r="H5426" s="3">
        <f t="shared" si="646"/>
        <v>1719.4190000000001</v>
      </c>
      <c r="I5426" s="5" t="str">
        <f t="shared" si="647"/>
        <v>016</v>
      </c>
      <c r="J5426" s="5" t="str">
        <f t="shared" si="648"/>
        <v>2210</v>
      </c>
      <c r="K5426" s="5" t="str">
        <f t="shared" si="649"/>
        <v>000</v>
      </c>
      <c r="L5426" s="5">
        <f t="shared" si="650"/>
        <v>2</v>
      </c>
      <c r="M5426" s="5">
        <f t="shared" si="651"/>
        <v>2013</v>
      </c>
    </row>
    <row r="5427" spans="1:13" ht="15" x14ac:dyDescent="0.25">
      <c r="A5427" s="1">
        <f>DATE(2013,2,1)</f>
        <v>41306</v>
      </c>
      <c r="B5427" t="s">
        <v>13</v>
      </c>
      <c r="C5427" t="s">
        <v>9</v>
      </c>
      <c r="D5427" s="3">
        <v>213.56720000000001</v>
      </c>
      <c r="E5427" s="3">
        <v>0</v>
      </c>
      <c r="F5427" t="s">
        <v>45</v>
      </c>
      <c r="G5427" s="3">
        <f t="shared" si="645"/>
        <v>-213.56720000000001</v>
      </c>
      <c r="H5427" s="3">
        <f t="shared" si="646"/>
        <v>213.56720000000001</v>
      </c>
      <c r="I5427" s="5" t="str">
        <f t="shared" si="647"/>
        <v>016</v>
      </c>
      <c r="J5427" s="5" t="str">
        <f t="shared" si="648"/>
        <v>2220</v>
      </c>
      <c r="K5427" s="5" t="str">
        <f t="shared" si="649"/>
        <v>000</v>
      </c>
      <c r="L5427" s="5">
        <f t="shared" si="650"/>
        <v>2</v>
      </c>
      <c r="M5427" s="5">
        <f t="shared" si="651"/>
        <v>2013</v>
      </c>
    </row>
    <row r="5428" spans="1:13" ht="15" x14ac:dyDescent="0.25">
      <c r="A5428" s="1">
        <f>DATE(2013,2,1)</f>
        <v>41306</v>
      </c>
      <c r="B5428" t="s">
        <v>14</v>
      </c>
      <c r="C5428" t="s">
        <v>10</v>
      </c>
      <c r="D5428" s="3">
        <v>176.52800000000002</v>
      </c>
      <c r="E5428" s="3">
        <v>0</v>
      </c>
      <c r="F5428" t="s">
        <v>45</v>
      </c>
      <c r="G5428" s="3">
        <f t="shared" si="645"/>
        <v>-176.52800000000002</v>
      </c>
      <c r="H5428" s="3">
        <f t="shared" si="646"/>
        <v>176.52800000000002</v>
      </c>
      <c r="I5428" s="5" t="str">
        <f t="shared" si="647"/>
        <v>016</v>
      </c>
      <c r="J5428" s="5" t="str">
        <f t="shared" si="648"/>
        <v>2230</v>
      </c>
      <c r="K5428" s="5" t="str">
        <f t="shared" si="649"/>
        <v>000</v>
      </c>
      <c r="L5428" s="5">
        <f t="shared" si="650"/>
        <v>2</v>
      </c>
      <c r="M5428" s="5">
        <f t="shared" si="651"/>
        <v>2013</v>
      </c>
    </row>
    <row r="5429" spans="1:13" ht="15" x14ac:dyDescent="0.25">
      <c r="A5429" s="1">
        <f>DATE(2013,2,2)</f>
        <v>41307</v>
      </c>
      <c r="B5429" t="s">
        <v>11</v>
      </c>
      <c r="C5429" t="s">
        <v>6</v>
      </c>
      <c r="D5429" s="3">
        <v>9368.2763999999988</v>
      </c>
      <c r="E5429" s="3">
        <v>0</v>
      </c>
      <c r="F5429" t="s">
        <v>45</v>
      </c>
      <c r="G5429" s="3">
        <f t="shared" si="645"/>
        <v>-9368.2763999999988</v>
      </c>
      <c r="H5429" s="3">
        <f t="shared" si="646"/>
        <v>9368.2763999999988</v>
      </c>
      <c r="I5429" s="5" t="str">
        <f t="shared" si="647"/>
        <v>016</v>
      </c>
      <c r="J5429" s="5" t="str">
        <f t="shared" si="648"/>
        <v>2100</v>
      </c>
      <c r="K5429" s="5" t="str">
        <f t="shared" si="649"/>
        <v>000</v>
      </c>
      <c r="L5429" s="5">
        <f t="shared" si="650"/>
        <v>2</v>
      </c>
      <c r="M5429" s="5">
        <f t="shared" si="651"/>
        <v>2013</v>
      </c>
    </row>
    <row r="5430" spans="1:13" ht="15" x14ac:dyDescent="0.25">
      <c r="A5430" s="1">
        <f>DATE(2013,2,2)</f>
        <v>41307</v>
      </c>
      <c r="B5430" t="s">
        <v>12</v>
      </c>
      <c r="C5430" t="s">
        <v>8</v>
      </c>
      <c r="D5430" s="3">
        <v>2638.7840000000001</v>
      </c>
      <c r="E5430" s="3">
        <v>0</v>
      </c>
      <c r="F5430" t="s">
        <v>45</v>
      </c>
      <c r="G5430" s="3">
        <f t="shared" si="645"/>
        <v>-2638.7840000000001</v>
      </c>
      <c r="H5430" s="3">
        <f t="shared" si="646"/>
        <v>2638.7840000000001</v>
      </c>
      <c r="I5430" s="5" t="str">
        <f t="shared" si="647"/>
        <v>016</v>
      </c>
      <c r="J5430" s="5" t="str">
        <f t="shared" si="648"/>
        <v>2210</v>
      </c>
      <c r="K5430" s="5" t="str">
        <f t="shared" si="649"/>
        <v>000</v>
      </c>
      <c r="L5430" s="5">
        <f t="shared" si="650"/>
        <v>2</v>
      </c>
      <c r="M5430" s="5">
        <f t="shared" si="651"/>
        <v>2013</v>
      </c>
    </row>
    <row r="5431" spans="1:13" ht="15" x14ac:dyDescent="0.25">
      <c r="A5431" s="1">
        <f>DATE(2013,2,2)</f>
        <v>41307</v>
      </c>
      <c r="B5431" t="s">
        <v>13</v>
      </c>
      <c r="C5431" t="s">
        <v>9</v>
      </c>
      <c r="D5431" s="3">
        <v>358.06509999999997</v>
      </c>
      <c r="E5431" s="3">
        <v>0</v>
      </c>
      <c r="F5431" t="s">
        <v>45</v>
      </c>
      <c r="G5431" s="3">
        <f t="shared" si="645"/>
        <v>-358.06509999999997</v>
      </c>
      <c r="H5431" s="3">
        <f t="shared" si="646"/>
        <v>358.06509999999997</v>
      </c>
      <c r="I5431" s="5" t="str">
        <f t="shared" si="647"/>
        <v>016</v>
      </c>
      <c r="J5431" s="5" t="str">
        <f t="shared" si="648"/>
        <v>2220</v>
      </c>
      <c r="K5431" s="5" t="str">
        <f t="shared" si="649"/>
        <v>000</v>
      </c>
      <c r="L5431" s="5">
        <f t="shared" si="650"/>
        <v>2</v>
      </c>
      <c r="M5431" s="5">
        <f t="shared" si="651"/>
        <v>2013</v>
      </c>
    </row>
    <row r="5432" spans="1:13" ht="15" x14ac:dyDescent="0.25">
      <c r="A5432" s="1">
        <f>DATE(2013,2,2)</f>
        <v>41307</v>
      </c>
      <c r="B5432" t="s">
        <v>14</v>
      </c>
      <c r="C5432" t="s">
        <v>10</v>
      </c>
      <c r="D5432" s="3">
        <v>155.40599999999998</v>
      </c>
      <c r="E5432" s="3">
        <v>0</v>
      </c>
      <c r="F5432" t="s">
        <v>45</v>
      </c>
      <c r="G5432" s="3">
        <f t="shared" si="645"/>
        <v>-155.40599999999998</v>
      </c>
      <c r="H5432" s="3">
        <f t="shared" si="646"/>
        <v>155.40599999999998</v>
      </c>
      <c r="I5432" s="5" t="str">
        <f t="shared" si="647"/>
        <v>016</v>
      </c>
      <c r="J5432" s="5" t="str">
        <f t="shared" si="648"/>
        <v>2230</v>
      </c>
      <c r="K5432" s="5" t="str">
        <f t="shared" si="649"/>
        <v>000</v>
      </c>
      <c r="L5432" s="5">
        <f t="shared" si="650"/>
        <v>2</v>
      </c>
      <c r="M5432" s="5">
        <f t="shared" si="651"/>
        <v>2013</v>
      </c>
    </row>
    <row r="5433" spans="1:13" ht="15" x14ac:dyDescent="0.25">
      <c r="A5433" s="1">
        <f>DATE(2013,2,3)</f>
        <v>41308</v>
      </c>
      <c r="B5433" t="s">
        <v>11</v>
      </c>
      <c r="C5433" t="s">
        <v>6</v>
      </c>
      <c r="D5433" s="3">
        <v>3301.2046</v>
      </c>
      <c r="E5433" s="3">
        <v>0</v>
      </c>
      <c r="F5433" t="s">
        <v>45</v>
      </c>
      <c r="G5433" s="3">
        <f t="shared" si="645"/>
        <v>-3301.2046</v>
      </c>
      <c r="H5433" s="3">
        <f t="shared" si="646"/>
        <v>3301.2046</v>
      </c>
      <c r="I5433" s="5" t="str">
        <f t="shared" si="647"/>
        <v>016</v>
      </c>
      <c r="J5433" s="5" t="str">
        <f t="shared" si="648"/>
        <v>2100</v>
      </c>
      <c r="K5433" s="5" t="str">
        <f t="shared" si="649"/>
        <v>000</v>
      </c>
      <c r="L5433" s="5">
        <f t="shared" si="650"/>
        <v>2</v>
      </c>
      <c r="M5433" s="5">
        <f t="shared" si="651"/>
        <v>2013</v>
      </c>
    </row>
    <row r="5434" spans="1:13" ht="15" x14ac:dyDescent="0.25">
      <c r="A5434" s="1">
        <f>DATE(2013,2,3)</f>
        <v>41308</v>
      </c>
      <c r="B5434" t="s">
        <v>12</v>
      </c>
      <c r="C5434" t="s">
        <v>8</v>
      </c>
      <c r="D5434" s="3">
        <v>424.59200000000004</v>
      </c>
      <c r="E5434" s="3">
        <v>0</v>
      </c>
      <c r="F5434" t="s">
        <v>45</v>
      </c>
      <c r="G5434" s="3">
        <f t="shared" si="645"/>
        <v>-424.59200000000004</v>
      </c>
      <c r="H5434" s="3">
        <f t="shared" si="646"/>
        <v>424.59200000000004</v>
      </c>
      <c r="I5434" s="5" t="str">
        <f t="shared" si="647"/>
        <v>016</v>
      </c>
      <c r="J5434" s="5" t="str">
        <f t="shared" si="648"/>
        <v>2210</v>
      </c>
      <c r="K5434" s="5" t="str">
        <f t="shared" si="649"/>
        <v>000</v>
      </c>
      <c r="L5434" s="5">
        <f t="shared" si="650"/>
        <v>2</v>
      </c>
      <c r="M5434" s="5">
        <f t="shared" si="651"/>
        <v>2013</v>
      </c>
    </row>
    <row r="5435" spans="1:13" ht="15" x14ac:dyDescent="0.25">
      <c r="A5435" s="1">
        <f>DATE(2013,2,3)</f>
        <v>41308</v>
      </c>
      <c r="B5435" t="s">
        <v>13</v>
      </c>
      <c r="C5435" t="s">
        <v>9</v>
      </c>
      <c r="D5435" s="3">
        <v>120.00239999999998</v>
      </c>
      <c r="E5435" s="3">
        <v>0</v>
      </c>
      <c r="F5435" t="s">
        <v>45</v>
      </c>
      <c r="G5435" s="3">
        <f t="shared" si="645"/>
        <v>-120.00239999999998</v>
      </c>
      <c r="H5435" s="3">
        <f t="shared" si="646"/>
        <v>120.00239999999998</v>
      </c>
      <c r="I5435" s="5" t="str">
        <f t="shared" si="647"/>
        <v>016</v>
      </c>
      <c r="J5435" s="5" t="str">
        <f t="shared" si="648"/>
        <v>2220</v>
      </c>
      <c r="K5435" s="5" t="str">
        <f t="shared" si="649"/>
        <v>000</v>
      </c>
      <c r="L5435" s="5">
        <f t="shared" si="650"/>
        <v>2</v>
      </c>
      <c r="M5435" s="5">
        <f t="shared" si="651"/>
        <v>2013</v>
      </c>
    </row>
    <row r="5436" spans="1:13" ht="15" x14ac:dyDescent="0.25">
      <c r="A5436" s="1">
        <f>DATE(2013,2,3)</f>
        <v>41308</v>
      </c>
      <c r="B5436" t="s">
        <v>14</v>
      </c>
      <c r="C5436" t="s">
        <v>10</v>
      </c>
      <c r="D5436" s="3">
        <v>28.928900000000002</v>
      </c>
      <c r="E5436" s="3">
        <v>0</v>
      </c>
      <c r="F5436" t="s">
        <v>45</v>
      </c>
      <c r="G5436" s="3">
        <f t="shared" si="645"/>
        <v>-28.928900000000002</v>
      </c>
      <c r="H5436" s="3">
        <f t="shared" si="646"/>
        <v>28.928900000000002</v>
      </c>
      <c r="I5436" s="5" t="str">
        <f t="shared" si="647"/>
        <v>016</v>
      </c>
      <c r="J5436" s="5" t="str">
        <f t="shared" si="648"/>
        <v>2230</v>
      </c>
      <c r="K5436" s="5" t="str">
        <f t="shared" si="649"/>
        <v>000</v>
      </c>
      <c r="L5436" s="5">
        <f t="shared" si="650"/>
        <v>2</v>
      </c>
      <c r="M5436" s="5">
        <f t="shared" si="651"/>
        <v>2013</v>
      </c>
    </row>
    <row r="5437" spans="1:13" ht="15" x14ac:dyDescent="0.25">
      <c r="A5437" s="1">
        <f>DATE(2013,1,28)</f>
        <v>41302</v>
      </c>
      <c r="B5437" t="s">
        <v>15</v>
      </c>
      <c r="C5437" t="s">
        <v>6</v>
      </c>
      <c r="D5437" s="3">
        <v>4409.5109999999995</v>
      </c>
      <c r="E5437" s="3">
        <v>0</v>
      </c>
      <c r="F5437" t="s">
        <v>45</v>
      </c>
      <c r="G5437" s="3">
        <f t="shared" si="645"/>
        <v>-4409.5109999999995</v>
      </c>
      <c r="H5437" s="3">
        <f t="shared" si="646"/>
        <v>4409.5109999999995</v>
      </c>
      <c r="I5437" s="5" t="str">
        <f t="shared" si="647"/>
        <v>017</v>
      </c>
      <c r="J5437" s="5" t="str">
        <f t="shared" si="648"/>
        <v>2100</v>
      </c>
      <c r="K5437" s="5" t="str">
        <f t="shared" si="649"/>
        <v>000</v>
      </c>
      <c r="L5437" s="5">
        <f t="shared" si="650"/>
        <v>1</v>
      </c>
      <c r="M5437" s="5">
        <f t="shared" si="651"/>
        <v>2013</v>
      </c>
    </row>
    <row r="5438" spans="1:13" ht="15" x14ac:dyDescent="0.25">
      <c r="A5438" s="1">
        <f>DATE(2013,1,28)</f>
        <v>41302</v>
      </c>
      <c r="B5438" t="s">
        <v>16</v>
      </c>
      <c r="C5438" t="s">
        <v>8</v>
      </c>
      <c r="D5438" s="3">
        <v>570.84709999999995</v>
      </c>
      <c r="E5438" s="3">
        <v>0</v>
      </c>
      <c r="F5438" t="s">
        <v>45</v>
      </c>
      <c r="G5438" s="3">
        <f t="shared" si="645"/>
        <v>-570.84709999999995</v>
      </c>
      <c r="H5438" s="3">
        <f t="shared" si="646"/>
        <v>570.84709999999995</v>
      </c>
      <c r="I5438" s="5" t="str">
        <f t="shared" si="647"/>
        <v>017</v>
      </c>
      <c r="J5438" s="5" t="str">
        <f t="shared" si="648"/>
        <v>2210</v>
      </c>
      <c r="K5438" s="5" t="str">
        <f t="shared" si="649"/>
        <v>000</v>
      </c>
      <c r="L5438" s="5">
        <f t="shared" si="650"/>
        <v>1</v>
      </c>
      <c r="M5438" s="5">
        <f t="shared" si="651"/>
        <v>2013</v>
      </c>
    </row>
    <row r="5439" spans="1:13" ht="15" x14ac:dyDescent="0.25">
      <c r="A5439" s="1">
        <f>DATE(2013,1,28)</f>
        <v>41302</v>
      </c>
      <c r="B5439" t="s">
        <v>17</v>
      </c>
      <c r="C5439" t="s">
        <v>9</v>
      </c>
      <c r="D5439" s="3">
        <v>315.35759999999999</v>
      </c>
      <c r="E5439" s="3">
        <v>0</v>
      </c>
      <c r="F5439" t="s">
        <v>45</v>
      </c>
      <c r="G5439" s="3">
        <f t="shared" si="645"/>
        <v>-315.35759999999999</v>
      </c>
      <c r="H5439" s="3">
        <f t="shared" si="646"/>
        <v>315.35759999999999</v>
      </c>
      <c r="I5439" s="5" t="str">
        <f t="shared" si="647"/>
        <v>017</v>
      </c>
      <c r="J5439" s="5" t="str">
        <f t="shared" si="648"/>
        <v>2220</v>
      </c>
      <c r="K5439" s="5" t="str">
        <f t="shared" si="649"/>
        <v>000</v>
      </c>
      <c r="L5439" s="5">
        <f t="shared" si="650"/>
        <v>1</v>
      </c>
      <c r="M5439" s="5">
        <f t="shared" si="651"/>
        <v>2013</v>
      </c>
    </row>
    <row r="5440" spans="1:13" ht="15" x14ac:dyDescent="0.25">
      <c r="A5440" s="1">
        <f>DATE(2013,1,28)</f>
        <v>41302</v>
      </c>
      <c r="B5440" t="s">
        <v>18</v>
      </c>
      <c r="C5440" t="s">
        <v>10</v>
      </c>
      <c r="D5440" s="3">
        <v>14.942400000000001</v>
      </c>
      <c r="E5440" s="3">
        <v>0</v>
      </c>
      <c r="F5440" t="s">
        <v>45</v>
      </c>
      <c r="G5440" s="3">
        <f t="shared" si="645"/>
        <v>-14.942400000000001</v>
      </c>
      <c r="H5440" s="3">
        <f t="shared" si="646"/>
        <v>14.942400000000001</v>
      </c>
      <c r="I5440" s="5" t="str">
        <f t="shared" si="647"/>
        <v>017</v>
      </c>
      <c r="J5440" s="5" t="str">
        <f t="shared" si="648"/>
        <v>2230</v>
      </c>
      <c r="K5440" s="5" t="str">
        <f t="shared" si="649"/>
        <v>000</v>
      </c>
      <c r="L5440" s="5">
        <f t="shared" si="650"/>
        <v>1</v>
      </c>
      <c r="M5440" s="5">
        <f t="shared" si="651"/>
        <v>2013</v>
      </c>
    </row>
    <row r="5441" spans="1:13" ht="15" x14ac:dyDescent="0.25">
      <c r="A5441" s="1">
        <f>DATE(2013,1,29)</f>
        <v>41303</v>
      </c>
      <c r="B5441" t="s">
        <v>15</v>
      </c>
      <c r="C5441" t="s">
        <v>6</v>
      </c>
      <c r="D5441" s="3">
        <v>4502.0755000000008</v>
      </c>
      <c r="E5441" s="3">
        <v>0</v>
      </c>
      <c r="F5441" t="s">
        <v>45</v>
      </c>
      <c r="G5441" s="3">
        <f t="shared" si="645"/>
        <v>-4502.0755000000008</v>
      </c>
      <c r="H5441" s="3">
        <f t="shared" si="646"/>
        <v>4502.0755000000008</v>
      </c>
      <c r="I5441" s="5" t="str">
        <f t="shared" si="647"/>
        <v>017</v>
      </c>
      <c r="J5441" s="5" t="str">
        <f t="shared" si="648"/>
        <v>2100</v>
      </c>
      <c r="K5441" s="5" t="str">
        <f t="shared" si="649"/>
        <v>000</v>
      </c>
      <c r="L5441" s="5">
        <f t="shared" si="650"/>
        <v>1</v>
      </c>
      <c r="M5441" s="5">
        <f t="shared" si="651"/>
        <v>2013</v>
      </c>
    </row>
    <row r="5442" spans="1:13" ht="15" x14ac:dyDescent="0.25">
      <c r="A5442" s="1">
        <f>DATE(2013,1,29)</f>
        <v>41303</v>
      </c>
      <c r="B5442" t="s">
        <v>16</v>
      </c>
      <c r="C5442" t="s">
        <v>8</v>
      </c>
      <c r="D5442" s="3">
        <v>1285.2124000000001</v>
      </c>
      <c r="E5442" s="3">
        <v>0</v>
      </c>
      <c r="F5442" t="s">
        <v>45</v>
      </c>
      <c r="G5442" s="3">
        <f t="shared" ref="G5442:G5505" si="652">E5442-D5442</f>
        <v>-1285.2124000000001</v>
      </c>
      <c r="H5442" s="3">
        <f t="shared" ref="H5442:H5505" si="653">ABS(G5442)</f>
        <v>1285.2124000000001</v>
      </c>
      <c r="I5442" s="5" t="str">
        <f t="shared" ref="I5442:I5505" si="654">MID(B5442,1,3)</f>
        <v>017</v>
      </c>
      <c r="J5442" s="5" t="str">
        <f t="shared" ref="J5442:J5505" si="655">MID(B5442,5,4)</f>
        <v>2210</v>
      </c>
      <c r="K5442" s="5" t="str">
        <f t="shared" ref="K5442:K5505" si="656">MID(B5442,10,3)</f>
        <v>000</v>
      </c>
      <c r="L5442" s="5">
        <f t="shared" ref="L5442:L5505" si="657">MONTH(A5442)</f>
        <v>1</v>
      </c>
      <c r="M5442" s="5">
        <f t="shared" ref="M5442:M5505" si="658">YEAR(A5442)</f>
        <v>2013</v>
      </c>
    </row>
    <row r="5443" spans="1:13" ht="15" x14ac:dyDescent="0.25">
      <c r="A5443" s="1">
        <f>DATE(2013,1,29)</f>
        <v>41303</v>
      </c>
      <c r="B5443" t="s">
        <v>17</v>
      </c>
      <c r="C5443" t="s">
        <v>9</v>
      </c>
      <c r="D5443" s="3">
        <v>373.93139999999994</v>
      </c>
      <c r="E5443" s="3">
        <v>0</v>
      </c>
      <c r="F5443" t="s">
        <v>45</v>
      </c>
      <c r="G5443" s="3">
        <f t="shared" si="652"/>
        <v>-373.93139999999994</v>
      </c>
      <c r="H5443" s="3">
        <f t="shared" si="653"/>
        <v>373.93139999999994</v>
      </c>
      <c r="I5443" s="5" t="str">
        <f t="shared" si="654"/>
        <v>017</v>
      </c>
      <c r="J5443" s="5" t="str">
        <f t="shared" si="655"/>
        <v>2220</v>
      </c>
      <c r="K5443" s="5" t="str">
        <f t="shared" si="656"/>
        <v>000</v>
      </c>
      <c r="L5443" s="5">
        <f t="shared" si="657"/>
        <v>1</v>
      </c>
      <c r="M5443" s="5">
        <f t="shared" si="658"/>
        <v>2013</v>
      </c>
    </row>
    <row r="5444" spans="1:13" ht="15" x14ac:dyDescent="0.25">
      <c r="A5444" s="1">
        <f>DATE(2013,1,29)</f>
        <v>41303</v>
      </c>
      <c r="B5444" t="s">
        <v>18</v>
      </c>
      <c r="C5444" t="s">
        <v>10</v>
      </c>
      <c r="D5444" s="3">
        <v>377.84950000000003</v>
      </c>
      <c r="E5444" s="3">
        <v>0</v>
      </c>
      <c r="F5444" t="s">
        <v>45</v>
      </c>
      <c r="G5444" s="3">
        <f t="shared" si="652"/>
        <v>-377.84950000000003</v>
      </c>
      <c r="H5444" s="3">
        <f t="shared" si="653"/>
        <v>377.84950000000003</v>
      </c>
      <c r="I5444" s="5" t="str">
        <f t="shared" si="654"/>
        <v>017</v>
      </c>
      <c r="J5444" s="5" t="str">
        <f t="shared" si="655"/>
        <v>2230</v>
      </c>
      <c r="K5444" s="5" t="str">
        <f t="shared" si="656"/>
        <v>000</v>
      </c>
      <c r="L5444" s="5">
        <f t="shared" si="657"/>
        <v>1</v>
      </c>
      <c r="M5444" s="5">
        <f t="shared" si="658"/>
        <v>2013</v>
      </c>
    </row>
    <row r="5445" spans="1:13" ht="15" x14ac:dyDescent="0.25">
      <c r="A5445" s="1">
        <f>DATE(2013,1,30)</f>
        <v>41304</v>
      </c>
      <c r="B5445" t="s">
        <v>15</v>
      </c>
      <c r="C5445" t="s">
        <v>6</v>
      </c>
      <c r="D5445" s="3">
        <v>4153.2047999999995</v>
      </c>
      <c r="E5445" s="3">
        <v>0</v>
      </c>
      <c r="F5445" t="s">
        <v>45</v>
      </c>
      <c r="G5445" s="3">
        <f t="shared" si="652"/>
        <v>-4153.2047999999995</v>
      </c>
      <c r="H5445" s="3">
        <f t="shared" si="653"/>
        <v>4153.2047999999995</v>
      </c>
      <c r="I5445" s="5" t="str">
        <f t="shared" si="654"/>
        <v>017</v>
      </c>
      <c r="J5445" s="5" t="str">
        <f t="shared" si="655"/>
        <v>2100</v>
      </c>
      <c r="K5445" s="5" t="str">
        <f t="shared" si="656"/>
        <v>000</v>
      </c>
      <c r="L5445" s="5">
        <f t="shared" si="657"/>
        <v>1</v>
      </c>
      <c r="M5445" s="5">
        <f t="shared" si="658"/>
        <v>2013</v>
      </c>
    </row>
    <row r="5446" spans="1:13" ht="15" x14ac:dyDescent="0.25">
      <c r="A5446" s="1">
        <f>DATE(2013,1,30)</f>
        <v>41304</v>
      </c>
      <c r="B5446" t="s">
        <v>16</v>
      </c>
      <c r="C5446" t="s">
        <v>8</v>
      </c>
      <c r="D5446" s="3">
        <v>947.70060000000001</v>
      </c>
      <c r="E5446" s="3">
        <v>0</v>
      </c>
      <c r="F5446" t="s">
        <v>45</v>
      </c>
      <c r="G5446" s="3">
        <f t="shared" si="652"/>
        <v>-947.70060000000001</v>
      </c>
      <c r="H5446" s="3">
        <f t="shared" si="653"/>
        <v>947.70060000000001</v>
      </c>
      <c r="I5446" s="5" t="str">
        <f t="shared" si="654"/>
        <v>017</v>
      </c>
      <c r="J5446" s="5" t="str">
        <f t="shared" si="655"/>
        <v>2210</v>
      </c>
      <c r="K5446" s="5" t="str">
        <f t="shared" si="656"/>
        <v>000</v>
      </c>
      <c r="L5446" s="5">
        <f t="shared" si="657"/>
        <v>1</v>
      </c>
      <c r="M5446" s="5">
        <f t="shared" si="658"/>
        <v>2013</v>
      </c>
    </row>
    <row r="5447" spans="1:13" ht="15" x14ac:dyDescent="0.25">
      <c r="A5447" s="1">
        <f>DATE(2013,1,30)</f>
        <v>41304</v>
      </c>
      <c r="B5447" t="s">
        <v>17</v>
      </c>
      <c r="C5447" t="s">
        <v>9</v>
      </c>
      <c r="D5447" s="3">
        <v>326.2912</v>
      </c>
      <c r="E5447" s="3">
        <v>0</v>
      </c>
      <c r="F5447" t="s">
        <v>45</v>
      </c>
      <c r="G5447" s="3">
        <f t="shared" si="652"/>
        <v>-326.2912</v>
      </c>
      <c r="H5447" s="3">
        <f t="shared" si="653"/>
        <v>326.2912</v>
      </c>
      <c r="I5447" s="5" t="str">
        <f t="shared" si="654"/>
        <v>017</v>
      </c>
      <c r="J5447" s="5" t="str">
        <f t="shared" si="655"/>
        <v>2220</v>
      </c>
      <c r="K5447" s="5" t="str">
        <f t="shared" si="656"/>
        <v>000</v>
      </c>
      <c r="L5447" s="5">
        <f t="shared" si="657"/>
        <v>1</v>
      </c>
      <c r="M5447" s="5">
        <f t="shared" si="658"/>
        <v>2013</v>
      </c>
    </row>
    <row r="5448" spans="1:13" ht="15" x14ac:dyDescent="0.25">
      <c r="A5448" s="1">
        <f>DATE(2013,1,30)</f>
        <v>41304</v>
      </c>
      <c r="B5448" t="s">
        <v>18</v>
      </c>
      <c r="C5448" t="s">
        <v>10</v>
      </c>
      <c r="D5448" s="3">
        <v>84.990299999999991</v>
      </c>
      <c r="E5448" s="3">
        <v>0</v>
      </c>
      <c r="F5448" t="s">
        <v>45</v>
      </c>
      <c r="G5448" s="3">
        <f t="shared" si="652"/>
        <v>-84.990299999999991</v>
      </c>
      <c r="H5448" s="3">
        <f t="shared" si="653"/>
        <v>84.990299999999991</v>
      </c>
      <c r="I5448" s="5" t="str">
        <f t="shared" si="654"/>
        <v>017</v>
      </c>
      <c r="J5448" s="5" t="str">
        <f t="shared" si="655"/>
        <v>2230</v>
      </c>
      <c r="K5448" s="5" t="str">
        <f t="shared" si="656"/>
        <v>000</v>
      </c>
      <c r="L5448" s="5">
        <f t="shared" si="657"/>
        <v>1</v>
      </c>
      <c r="M5448" s="5">
        <f t="shared" si="658"/>
        <v>2013</v>
      </c>
    </row>
    <row r="5449" spans="1:13" ht="15" x14ac:dyDescent="0.25">
      <c r="A5449" s="1">
        <f>DATE(2013,1,31)</f>
        <v>41305</v>
      </c>
      <c r="B5449" t="s">
        <v>15</v>
      </c>
      <c r="C5449" t="s">
        <v>6</v>
      </c>
      <c r="D5449" s="3">
        <v>4917.6065999999992</v>
      </c>
      <c r="E5449" s="3">
        <v>0</v>
      </c>
      <c r="F5449" t="s">
        <v>45</v>
      </c>
      <c r="G5449" s="3">
        <f t="shared" si="652"/>
        <v>-4917.6065999999992</v>
      </c>
      <c r="H5449" s="3">
        <f t="shared" si="653"/>
        <v>4917.6065999999992</v>
      </c>
      <c r="I5449" s="5" t="str">
        <f t="shared" si="654"/>
        <v>017</v>
      </c>
      <c r="J5449" s="5" t="str">
        <f t="shared" si="655"/>
        <v>2100</v>
      </c>
      <c r="K5449" s="5" t="str">
        <f t="shared" si="656"/>
        <v>000</v>
      </c>
      <c r="L5449" s="5">
        <f t="shared" si="657"/>
        <v>1</v>
      </c>
      <c r="M5449" s="5">
        <f t="shared" si="658"/>
        <v>2013</v>
      </c>
    </row>
    <row r="5450" spans="1:13" ht="15" x14ac:dyDescent="0.25">
      <c r="A5450" s="1">
        <f>DATE(2013,1,31)</f>
        <v>41305</v>
      </c>
      <c r="B5450" t="s">
        <v>16</v>
      </c>
      <c r="C5450" t="s">
        <v>8</v>
      </c>
      <c r="D5450" s="3">
        <v>1900.3068000000001</v>
      </c>
      <c r="E5450" s="3">
        <v>0</v>
      </c>
      <c r="F5450" t="s">
        <v>45</v>
      </c>
      <c r="G5450" s="3">
        <f t="shared" si="652"/>
        <v>-1900.3068000000001</v>
      </c>
      <c r="H5450" s="3">
        <f t="shared" si="653"/>
        <v>1900.3068000000001</v>
      </c>
      <c r="I5450" s="5" t="str">
        <f t="shared" si="654"/>
        <v>017</v>
      </c>
      <c r="J5450" s="5" t="str">
        <f t="shared" si="655"/>
        <v>2210</v>
      </c>
      <c r="K5450" s="5" t="str">
        <f t="shared" si="656"/>
        <v>000</v>
      </c>
      <c r="L5450" s="5">
        <f t="shared" si="657"/>
        <v>1</v>
      </c>
      <c r="M5450" s="5">
        <f t="shared" si="658"/>
        <v>2013</v>
      </c>
    </row>
    <row r="5451" spans="1:13" ht="15" x14ac:dyDescent="0.25">
      <c r="A5451" s="1">
        <f>DATE(2013,1,31)</f>
        <v>41305</v>
      </c>
      <c r="B5451" t="s">
        <v>17</v>
      </c>
      <c r="C5451" t="s">
        <v>9</v>
      </c>
      <c r="D5451" s="3">
        <v>367.82439999999997</v>
      </c>
      <c r="E5451" s="3">
        <v>0</v>
      </c>
      <c r="F5451" t="s">
        <v>45</v>
      </c>
      <c r="G5451" s="3">
        <f t="shared" si="652"/>
        <v>-367.82439999999997</v>
      </c>
      <c r="H5451" s="3">
        <f t="shared" si="653"/>
        <v>367.82439999999997</v>
      </c>
      <c r="I5451" s="5" t="str">
        <f t="shared" si="654"/>
        <v>017</v>
      </c>
      <c r="J5451" s="5" t="str">
        <f t="shared" si="655"/>
        <v>2220</v>
      </c>
      <c r="K5451" s="5" t="str">
        <f t="shared" si="656"/>
        <v>000</v>
      </c>
      <c r="L5451" s="5">
        <f t="shared" si="657"/>
        <v>1</v>
      </c>
      <c r="M5451" s="5">
        <f t="shared" si="658"/>
        <v>2013</v>
      </c>
    </row>
    <row r="5452" spans="1:13" ht="15" x14ac:dyDescent="0.25">
      <c r="A5452" s="1">
        <f>DATE(2013,1,31)</f>
        <v>41305</v>
      </c>
      <c r="B5452" t="s">
        <v>18</v>
      </c>
      <c r="C5452" t="s">
        <v>10</v>
      </c>
      <c r="D5452" s="3">
        <v>30.323999999999998</v>
      </c>
      <c r="E5452" s="3">
        <v>0</v>
      </c>
      <c r="F5452" t="s">
        <v>45</v>
      </c>
      <c r="G5452" s="3">
        <f t="shared" si="652"/>
        <v>-30.323999999999998</v>
      </c>
      <c r="H5452" s="3">
        <f t="shared" si="653"/>
        <v>30.323999999999998</v>
      </c>
      <c r="I5452" s="5" t="str">
        <f t="shared" si="654"/>
        <v>017</v>
      </c>
      <c r="J5452" s="5" t="str">
        <f t="shared" si="655"/>
        <v>2230</v>
      </c>
      <c r="K5452" s="5" t="str">
        <f t="shared" si="656"/>
        <v>000</v>
      </c>
      <c r="L5452" s="5">
        <f t="shared" si="657"/>
        <v>1</v>
      </c>
      <c r="M5452" s="5">
        <f t="shared" si="658"/>
        <v>2013</v>
      </c>
    </row>
    <row r="5453" spans="1:13" ht="15" x14ac:dyDescent="0.25">
      <c r="A5453" s="1">
        <f>DATE(2013,2,1)</f>
        <v>41306</v>
      </c>
      <c r="B5453" t="s">
        <v>15</v>
      </c>
      <c r="C5453" t="s">
        <v>6</v>
      </c>
      <c r="D5453" s="3">
        <v>8719.9490999999998</v>
      </c>
      <c r="E5453" s="3">
        <v>0</v>
      </c>
      <c r="F5453" t="s">
        <v>45</v>
      </c>
      <c r="G5453" s="3">
        <f t="shared" si="652"/>
        <v>-8719.9490999999998</v>
      </c>
      <c r="H5453" s="3">
        <f t="shared" si="653"/>
        <v>8719.9490999999998</v>
      </c>
      <c r="I5453" s="5" t="str">
        <f t="shared" si="654"/>
        <v>017</v>
      </c>
      <c r="J5453" s="5" t="str">
        <f t="shared" si="655"/>
        <v>2100</v>
      </c>
      <c r="K5453" s="5" t="str">
        <f t="shared" si="656"/>
        <v>000</v>
      </c>
      <c r="L5453" s="5">
        <f t="shared" si="657"/>
        <v>2</v>
      </c>
      <c r="M5453" s="5">
        <f t="shared" si="658"/>
        <v>2013</v>
      </c>
    </row>
    <row r="5454" spans="1:13" ht="15" x14ac:dyDescent="0.25">
      <c r="A5454" s="1">
        <f>DATE(2013,2,1)</f>
        <v>41306</v>
      </c>
      <c r="B5454" t="s">
        <v>16</v>
      </c>
      <c r="C5454" t="s">
        <v>8</v>
      </c>
      <c r="D5454" s="3">
        <v>2283.2347999999997</v>
      </c>
      <c r="E5454" s="3">
        <v>0</v>
      </c>
      <c r="F5454" t="s">
        <v>45</v>
      </c>
      <c r="G5454" s="3">
        <f t="shared" si="652"/>
        <v>-2283.2347999999997</v>
      </c>
      <c r="H5454" s="3">
        <f t="shared" si="653"/>
        <v>2283.2347999999997</v>
      </c>
      <c r="I5454" s="5" t="str">
        <f t="shared" si="654"/>
        <v>017</v>
      </c>
      <c r="J5454" s="5" t="str">
        <f t="shared" si="655"/>
        <v>2210</v>
      </c>
      <c r="K5454" s="5" t="str">
        <f t="shared" si="656"/>
        <v>000</v>
      </c>
      <c r="L5454" s="5">
        <f t="shared" si="657"/>
        <v>2</v>
      </c>
      <c r="M5454" s="5">
        <f t="shared" si="658"/>
        <v>2013</v>
      </c>
    </row>
    <row r="5455" spans="1:13" ht="15" x14ac:dyDescent="0.25">
      <c r="A5455" s="1">
        <f>DATE(2013,2,1)</f>
        <v>41306</v>
      </c>
      <c r="B5455" t="s">
        <v>17</v>
      </c>
      <c r="C5455" t="s">
        <v>9</v>
      </c>
      <c r="D5455" s="3">
        <v>428.19919999999996</v>
      </c>
      <c r="E5455" s="3">
        <v>0</v>
      </c>
      <c r="F5455" t="s">
        <v>45</v>
      </c>
      <c r="G5455" s="3">
        <f t="shared" si="652"/>
        <v>-428.19919999999996</v>
      </c>
      <c r="H5455" s="3">
        <f t="shared" si="653"/>
        <v>428.19919999999996</v>
      </c>
      <c r="I5455" s="5" t="str">
        <f t="shared" si="654"/>
        <v>017</v>
      </c>
      <c r="J5455" s="5" t="str">
        <f t="shared" si="655"/>
        <v>2220</v>
      </c>
      <c r="K5455" s="5" t="str">
        <f t="shared" si="656"/>
        <v>000</v>
      </c>
      <c r="L5455" s="5">
        <f t="shared" si="657"/>
        <v>2</v>
      </c>
      <c r="M5455" s="5">
        <f t="shared" si="658"/>
        <v>2013</v>
      </c>
    </row>
    <row r="5456" spans="1:13" ht="15" x14ac:dyDescent="0.25">
      <c r="A5456" s="1">
        <f>DATE(2013,2,1)</f>
        <v>41306</v>
      </c>
      <c r="B5456" t="s">
        <v>18</v>
      </c>
      <c r="C5456" t="s">
        <v>10</v>
      </c>
      <c r="D5456" s="3">
        <v>120.26880000000001</v>
      </c>
      <c r="E5456" s="3">
        <v>0</v>
      </c>
      <c r="F5456" t="s">
        <v>45</v>
      </c>
      <c r="G5456" s="3">
        <f t="shared" si="652"/>
        <v>-120.26880000000001</v>
      </c>
      <c r="H5456" s="3">
        <f t="shared" si="653"/>
        <v>120.26880000000001</v>
      </c>
      <c r="I5456" s="5" t="str">
        <f t="shared" si="654"/>
        <v>017</v>
      </c>
      <c r="J5456" s="5" t="str">
        <f t="shared" si="655"/>
        <v>2230</v>
      </c>
      <c r="K5456" s="5" t="str">
        <f t="shared" si="656"/>
        <v>000</v>
      </c>
      <c r="L5456" s="5">
        <f t="shared" si="657"/>
        <v>2</v>
      </c>
      <c r="M5456" s="5">
        <f t="shared" si="658"/>
        <v>2013</v>
      </c>
    </row>
    <row r="5457" spans="1:13" ht="15" x14ac:dyDescent="0.25">
      <c r="A5457" s="1">
        <f>DATE(2013,2,2)</f>
        <v>41307</v>
      </c>
      <c r="B5457" t="s">
        <v>15</v>
      </c>
      <c r="C5457" t="s">
        <v>6</v>
      </c>
      <c r="D5457" s="3">
        <v>8341.8064999999988</v>
      </c>
      <c r="E5457" s="3">
        <v>0</v>
      </c>
      <c r="F5457" t="s">
        <v>45</v>
      </c>
      <c r="G5457" s="3">
        <f t="shared" si="652"/>
        <v>-8341.8064999999988</v>
      </c>
      <c r="H5457" s="3">
        <f t="shared" si="653"/>
        <v>8341.8064999999988</v>
      </c>
      <c r="I5457" s="5" t="str">
        <f t="shared" si="654"/>
        <v>017</v>
      </c>
      <c r="J5457" s="5" t="str">
        <f t="shared" si="655"/>
        <v>2100</v>
      </c>
      <c r="K5457" s="5" t="str">
        <f t="shared" si="656"/>
        <v>000</v>
      </c>
      <c r="L5457" s="5">
        <f t="shared" si="657"/>
        <v>2</v>
      </c>
      <c r="M5457" s="5">
        <f t="shared" si="658"/>
        <v>2013</v>
      </c>
    </row>
    <row r="5458" spans="1:13" ht="15" x14ac:dyDescent="0.25">
      <c r="A5458" s="1">
        <f>DATE(2013,2,2)</f>
        <v>41307</v>
      </c>
      <c r="B5458" t="s">
        <v>16</v>
      </c>
      <c r="C5458" t="s">
        <v>8</v>
      </c>
      <c r="D5458" s="3">
        <v>1660.4217000000001</v>
      </c>
      <c r="E5458" s="3">
        <v>0</v>
      </c>
      <c r="F5458" t="s">
        <v>45</v>
      </c>
      <c r="G5458" s="3">
        <f t="shared" si="652"/>
        <v>-1660.4217000000001</v>
      </c>
      <c r="H5458" s="3">
        <f t="shared" si="653"/>
        <v>1660.4217000000001</v>
      </c>
      <c r="I5458" s="5" t="str">
        <f t="shared" si="654"/>
        <v>017</v>
      </c>
      <c r="J5458" s="5" t="str">
        <f t="shared" si="655"/>
        <v>2210</v>
      </c>
      <c r="K5458" s="5" t="str">
        <f t="shared" si="656"/>
        <v>000</v>
      </c>
      <c r="L5458" s="5">
        <f t="shared" si="657"/>
        <v>2</v>
      </c>
      <c r="M5458" s="5">
        <f t="shared" si="658"/>
        <v>2013</v>
      </c>
    </row>
    <row r="5459" spans="1:13" ht="15" x14ac:dyDescent="0.25">
      <c r="A5459" s="1">
        <f>DATE(2013,2,2)</f>
        <v>41307</v>
      </c>
      <c r="B5459" t="s">
        <v>17</v>
      </c>
      <c r="C5459" t="s">
        <v>9</v>
      </c>
      <c r="D5459" s="3">
        <v>541.64700000000005</v>
      </c>
      <c r="E5459" s="3">
        <v>0</v>
      </c>
      <c r="F5459" t="s">
        <v>45</v>
      </c>
      <c r="G5459" s="3">
        <f t="shared" si="652"/>
        <v>-541.64700000000005</v>
      </c>
      <c r="H5459" s="3">
        <f t="shared" si="653"/>
        <v>541.64700000000005</v>
      </c>
      <c r="I5459" s="5" t="str">
        <f t="shared" si="654"/>
        <v>017</v>
      </c>
      <c r="J5459" s="5" t="str">
        <f t="shared" si="655"/>
        <v>2220</v>
      </c>
      <c r="K5459" s="5" t="str">
        <f t="shared" si="656"/>
        <v>000</v>
      </c>
      <c r="L5459" s="5">
        <f t="shared" si="657"/>
        <v>2</v>
      </c>
      <c r="M5459" s="5">
        <f t="shared" si="658"/>
        <v>2013</v>
      </c>
    </row>
    <row r="5460" spans="1:13" ht="15" x14ac:dyDescent="0.25">
      <c r="A5460" s="1">
        <f>DATE(2013,2,2)</f>
        <v>41307</v>
      </c>
      <c r="B5460" t="s">
        <v>18</v>
      </c>
      <c r="C5460" t="s">
        <v>10</v>
      </c>
      <c r="D5460" s="3">
        <v>134.15199999999999</v>
      </c>
      <c r="E5460" s="3">
        <v>0</v>
      </c>
      <c r="F5460" t="s">
        <v>45</v>
      </c>
      <c r="G5460" s="3">
        <f t="shared" si="652"/>
        <v>-134.15199999999999</v>
      </c>
      <c r="H5460" s="3">
        <f t="shared" si="653"/>
        <v>134.15199999999999</v>
      </c>
      <c r="I5460" s="5" t="str">
        <f t="shared" si="654"/>
        <v>017</v>
      </c>
      <c r="J5460" s="5" t="str">
        <f t="shared" si="655"/>
        <v>2230</v>
      </c>
      <c r="K5460" s="5" t="str">
        <f t="shared" si="656"/>
        <v>000</v>
      </c>
      <c r="L5460" s="5">
        <f t="shared" si="657"/>
        <v>2</v>
      </c>
      <c r="M5460" s="5">
        <f t="shared" si="658"/>
        <v>2013</v>
      </c>
    </row>
    <row r="5461" spans="1:13" ht="15" x14ac:dyDescent="0.25">
      <c r="A5461" s="1">
        <f>DATE(2013,2,3)</f>
        <v>41308</v>
      </c>
      <c r="B5461" t="s">
        <v>15</v>
      </c>
      <c r="C5461" t="s">
        <v>6</v>
      </c>
      <c r="D5461" s="3">
        <v>3358.6096000000002</v>
      </c>
      <c r="E5461" s="3">
        <v>0</v>
      </c>
      <c r="F5461" t="s">
        <v>45</v>
      </c>
      <c r="G5461" s="3">
        <f t="shared" si="652"/>
        <v>-3358.6096000000002</v>
      </c>
      <c r="H5461" s="3">
        <f t="shared" si="653"/>
        <v>3358.6096000000002</v>
      </c>
      <c r="I5461" s="5" t="str">
        <f t="shared" si="654"/>
        <v>017</v>
      </c>
      <c r="J5461" s="5" t="str">
        <f t="shared" si="655"/>
        <v>2100</v>
      </c>
      <c r="K5461" s="5" t="str">
        <f t="shared" si="656"/>
        <v>000</v>
      </c>
      <c r="L5461" s="5">
        <f t="shared" si="657"/>
        <v>2</v>
      </c>
      <c r="M5461" s="5">
        <f t="shared" si="658"/>
        <v>2013</v>
      </c>
    </row>
    <row r="5462" spans="1:13" ht="15" x14ac:dyDescent="0.25">
      <c r="A5462" s="1">
        <f>DATE(2013,2,3)</f>
        <v>41308</v>
      </c>
      <c r="B5462" t="s">
        <v>16</v>
      </c>
      <c r="C5462" t="s">
        <v>8</v>
      </c>
      <c r="D5462" s="3">
        <v>325.01919999999996</v>
      </c>
      <c r="E5462" s="3">
        <v>0</v>
      </c>
      <c r="F5462" t="s">
        <v>45</v>
      </c>
      <c r="G5462" s="3">
        <f t="shared" si="652"/>
        <v>-325.01919999999996</v>
      </c>
      <c r="H5462" s="3">
        <f t="shared" si="653"/>
        <v>325.01919999999996</v>
      </c>
      <c r="I5462" s="5" t="str">
        <f t="shared" si="654"/>
        <v>017</v>
      </c>
      <c r="J5462" s="5" t="str">
        <f t="shared" si="655"/>
        <v>2210</v>
      </c>
      <c r="K5462" s="5" t="str">
        <f t="shared" si="656"/>
        <v>000</v>
      </c>
      <c r="L5462" s="5">
        <f t="shared" si="657"/>
        <v>2</v>
      </c>
      <c r="M5462" s="5">
        <f t="shared" si="658"/>
        <v>2013</v>
      </c>
    </row>
    <row r="5463" spans="1:13" ht="15" x14ac:dyDescent="0.25">
      <c r="A5463" s="1">
        <f>DATE(2013,2,3)</f>
        <v>41308</v>
      </c>
      <c r="B5463" t="s">
        <v>17</v>
      </c>
      <c r="C5463" t="s">
        <v>9</v>
      </c>
      <c r="D5463" s="3">
        <v>109.77119999999999</v>
      </c>
      <c r="E5463" s="3">
        <v>0</v>
      </c>
      <c r="F5463" t="s">
        <v>45</v>
      </c>
      <c r="G5463" s="3">
        <f t="shared" si="652"/>
        <v>-109.77119999999999</v>
      </c>
      <c r="H5463" s="3">
        <f t="shared" si="653"/>
        <v>109.77119999999999</v>
      </c>
      <c r="I5463" s="5" t="str">
        <f t="shared" si="654"/>
        <v>017</v>
      </c>
      <c r="J5463" s="5" t="str">
        <f t="shared" si="655"/>
        <v>2220</v>
      </c>
      <c r="K5463" s="5" t="str">
        <f t="shared" si="656"/>
        <v>000</v>
      </c>
      <c r="L5463" s="5">
        <f t="shared" si="657"/>
        <v>2</v>
      </c>
      <c r="M5463" s="5">
        <f t="shared" si="658"/>
        <v>2013</v>
      </c>
    </row>
    <row r="5464" spans="1:13" ht="15" x14ac:dyDescent="0.25">
      <c r="A5464" s="1">
        <f>DATE(2013,2,3)</f>
        <v>41308</v>
      </c>
      <c r="B5464" t="s">
        <v>18</v>
      </c>
      <c r="C5464" t="s">
        <v>10</v>
      </c>
      <c r="D5464" s="3">
        <v>6.7915000000000001</v>
      </c>
      <c r="E5464" s="3">
        <v>0</v>
      </c>
      <c r="F5464" t="s">
        <v>45</v>
      </c>
      <c r="G5464" s="3">
        <f t="shared" si="652"/>
        <v>-6.7915000000000001</v>
      </c>
      <c r="H5464" s="3">
        <f t="shared" si="653"/>
        <v>6.7915000000000001</v>
      </c>
      <c r="I5464" s="5" t="str">
        <f t="shared" si="654"/>
        <v>017</v>
      </c>
      <c r="J5464" s="5" t="str">
        <f t="shared" si="655"/>
        <v>2230</v>
      </c>
      <c r="K5464" s="5" t="str">
        <f t="shared" si="656"/>
        <v>000</v>
      </c>
      <c r="L5464" s="5">
        <f t="shared" si="657"/>
        <v>2</v>
      </c>
      <c r="M5464" s="5">
        <f t="shared" si="658"/>
        <v>2013</v>
      </c>
    </row>
    <row r="5465" spans="1:13" ht="15" x14ac:dyDescent="0.25">
      <c r="A5465" s="1">
        <f>DATE(2013,1,28)</f>
        <v>41302</v>
      </c>
      <c r="B5465" t="s">
        <v>19</v>
      </c>
      <c r="C5465" t="s">
        <v>6</v>
      </c>
      <c r="D5465" s="3">
        <v>2660.1561000000002</v>
      </c>
      <c r="E5465" s="3">
        <v>0</v>
      </c>
      <c r="F5465" t="s">
        <v>45</v>
      </c>
      <c r="G5465" s="3">
        <f t="shared" si="652"/>
        <v>-2660.1561000000002</v>
      </c>
      <c r="H5465" s="3">
        <f t="shared" si="653"/>
        <v>2660.1561000000002</v>
      </c>
      <c r="I5465" s="5" t="str">
        <f t="shared" si="654"/>
        <v>018</v>
      </c>
      <c r="J5465" s="5" t="str">
        <f t="shared" si="655"/>
        <v>2100</v>
      </c>
      <c r="K5465" s="5" t="str">
        <f t="shared" si="656"/>
        <v>000</v>
      </c>
      <c r="L5465" s="5">
        <f t="shared" si="657"/>
        <v>1</v>
      </c>
      <c r="M5465" s="5">
        <f t="shared" si="658"/>
        <v>2013</v>
      </c>
    </row>
    <row r="5466" spans="1:13" ht="15" x14ac:dyDescent="0.25">
      <c r="A5466" s="1">
        <f>DATE(2013,1,28)</f>
        <v>41302</v>
      </c>
      <c r="B5466" t="s">
        <v>20</v>
      </c>
      <c r="C5466" t="s">
        <v>8</v>
      </c>
      <c r="D5466" s="3">
        <v>517.65350000000001</v>
      </c>
      <c r="E5466" s="3">
        <v>0</v>
      </c>
      <c r="F5466" t="s">
        <v>45</v>
      </c>
      <c r="G5466" s="3">
        <f t="shared" si="652"/>
        <v>-517.65350000000001</v>
      </c>
      <c r="H5466" s="3">
        <f t="shared" si="653"/>
        <v>517.65350000000001</v>
      </c>
      <c r="I5466" s="5" t="str">
        <f t="shared" si="654"/>
        <v>018</v>
      </c>
      <c r="J5466" s="5" t="str">
        <f t="shared" si="655"/>
        <v>2210</v>
      </c>
      <c r="K5466" s="5" t="str">
        <f t="shared" si="656"/>
        <v>000</v>
      </c>
      <c r="L5466" s="5">
        <f t="shared" si="657"/>
        <v>1</v>
      </c>
      <c r="M5466" s="5">
        <f t="shared" si="658"/>
        <v>2013</v>
      </c>
    </row>
    <row r="5467" spans="1:13" ht="15" x14ac:dyDescent="0.25">
      <c r="A5467" s="1">
        <f>DATE(2013,1,28)</f>
        <v>41302</v>
      </c>
      <c r="B5467" t="s">
        <v>21</v>
      </c>
      <c r="C5467" t="s">
        <v>9</v>
      </c>
      <c r="D5467" s="3">
        <v>75.913799999999995</v>
      </c>
      <c r="E5467" s="3">
        <v>0</v>
      </c>
      <c r="F5467" t="s">
        <v>45</v>
      </c>
      <c r="G5467" s="3">
        <f t="shared" si="652"/>
        <v>-75.913799999999995</v>
      </c>
      <c r="H5467" s="3">
        <f t="shared" si="653"/>
        <v>75.913799999999995</v>
      </c>
      <c r="I5467" s="5" t="str">
        <f t="shared" si="654"/>
        <v>018</v>
      </c>
      <c r="J5467" s="5" t="str">
        <f t="shared" si="655"/>
        <v>2220</v>
      </c>
      <c r="K5467" s="5" t="str">
        <f t="shared" si="656"/>
        <v>000</v>
      </c>
      <c r="L5467" s="5">
        <f t="shared" si="657"/>
        <v>1</v>
      </c>
      <c r="M5467" s="5">
        <f t="shared" si="658"/>
        <v>2013</v>
      </c>
    </row>
    <row r="5468" spans="1:13" ht="15" x14ac:dyDescent="0.25">
      <c r="A5468" s="1">
        <f>DATE(2013,1,28)</f>
        <v>41302</v>
      </c>
      <c r="B5468" t="s">
        <v>22</v>
      </c>
      <c r="C5468" t="s">
        <v>10</v>
      </c>
      <c r="D5468" s="3">
        <v>32.349000000000004</v>
      </c>
      <c r="E5468" s="3">
        <v>0</v>
      </c>
      <c r="F5468" t="s">
        <v>45</v>
      </c>
      <c r="G5468" s="3">
        <f t="shared" si="652"/>
        <v>-32.349000000000004</v>
      </c>
      <c r="H5468" s="3">
        <f t="shared" si="653"/>
        <v>32.349000000000004</v>
      </c>
      <c r="I5468" s="5" t="str">
        <f t="shared" si="654"/>
        <v>018</v>
      </c>
      <c r="J5468" s="5" t="str">
        <f t="shared" si="655"/>
        <v>2230</v>
      </c>
      <c r="K5468" s="5" t="str">
        <f t="shared" si="656"/>
        <v>000</v>
      </c>
      <c r="L5468" s="5">
        <f t="shared" si="657"/>
        <v>1</v>
      </c>
      <c r="M5468" s="5">
        <f t="shared" si="658"/>
        <v>2013</v>
      </c>
    </row>
    <row r="5469" spans="1:13" ht="15" x14ac:dyDescent="0.25">
      <c r="A5469" s="1">
        <f>DATE(2013,1,29)</f>
        <v>41303</v>
      </c>
      <c r="B5469" t="s">
        <v>19</v>
      </c>
      <c r="C5469" t="s">
        <v>6</v>
      </c>
      <c r="D5469" s="3">
        <v>3694.3676</v>
      </c>
      <c r="E5469" s="3">
        <v>0</v>
      </c>
      <c r="F5469" t="s">
        <v>45</v>
      </c>
      <c r="G5469" s="3">
        <f t="shared" si="652"/>
        <v>-3694.3676</v>
      </c>
      <c r="H5469" s="3">
        <f t="shared" si="653"/>
        <v>3694.3676</v>
      </c>
      <c r="I5469" s="5" t="str">
        <f t="shared" si="654"/>
        <v>018</v>
      </c>
      <c r="J5469" s="5" t="str">
        <f t="shared" si="655"/>
        <v>2100</v>
      </c>
      <c r="K5469" s="5" t="str">
        <f t="shared" si="656"/>
        <v>000</v>
      </c>
      <c r="L5469" s="5">
        <f t="shared" si="657"/>
        <v>1</v>
      </c>
      <c r="M5469" s="5">
        <f t="shared" si="658"/>
        <v>2013</v>
      </c>
    </row>
    <row r="5470" spans="1:13" ht="15" x14ac:dyDescent="0.25">
      <c r="A5470" s="1">
        <f>DATE(2013,1,29)</f>
        <v>41303</v>
      </c>
      <c r="B5470" t="s">
        <v>20</v>
      </c>
      <c r="C5470" t="s">
        <v>8</v>
      </c>
      <c r="D5470" s="3">
        <v>472.57560000000001</v>
      </c>
      <c r="E5470" s="3">
        <v>0</v>
      </c>
      <c r="F5470" t="s">
        <v>45</v>
      </c>
      <c r="G5470" s="3">
        <f t="shared" si="652"/>
        <v>-472.57560000000001</v>
      </c>
      <c r="H5470" s="3">
        <f t="shared" si="653"/>
        <v>472.57560000000001</v>
      </c>
      <c r="I5470" s="5" t="str">
        <f t="shared" si="654"/>
        <v>018</v>
      </c>
      <c r="J5470" s="5" t="str">
        <f t="shared" si="655"/>
        <v>2210</v>
      </c>
      <c r="K5470" s="5" t="str">
        <f t="shared" si="656"/>
        <v>000</v>
      </c>
      <c r="L5470" s="5">
        <f t="shared" si="657"/>
        <v>1</v>
      </c>
      <c r="M5470" s="5">
        <f t="shared" si="658"/>
        <v>2013</v>
      </c>
    </row>
    <row r="5471" spans="1:13" ht="15" x14ac:dyDescent="0.25">
      <c r="A5471" s="1">
        <f>DATE(2013,1,29)</f>
        <v>41303</v>
      </c>
      <c r="B5471" t="s">
        <v>21</v>
      </c>
      <c r="C5471" t="s">
        <v>9</v>
      </c>
      <c r="D5471" s="3">
        <v>310.5736</v>
      </c>
      <c r="E5471" s="3">
        <v>0</v>
      </c>
      <c r="F5471" t="s">
        <v>45</v>
      </c>
      <c r="G5471" s="3">
        <f t="shared" si="652"/>
        <v>-310.5736</v>
      </c>
      <c r="H5471" s="3">
        <f t="shared" si="653"/>
        <v>310.5736</v>
      </c>
      <c r="I5471" s="5" t="str">
        <f t="shared" si="654"/>
        <v>018</v>
      </c>
      <c r="J5471" s="5" t="str">
        <f t="shared" si="655"/>
        <v>2220</v>
      </c>
      <c r="K5471" s="5" t="str">
        <f t="shared" si="656"/>
        <v>000</v>
      </c>
      <c r="L5471" s="5">
        <f t="shared" si="657"/>
        <v>1</v>
      </c>
      <c r="M5471" s="5">
        <f t="shared" si="658"/>
        <v>2013</v>
      </c>
    </row>
    <row r="5472" spans="1:13" ht="15" x14ac:dyDescent="0.25">
      <c r="A5472" s="1">
        <f>DATE(2013,1,29)</f>
        <v>41303</v>
      </c>
      <c r="B5472" t="s">
        <v>22</v>
      </c>
      <c r="C5472" t="s">
        <v>10</v>
      </c>
      <c r="D5472" s="3">
        <v>61.533000000000008</v>
      </c>
      <c r="E5472" s="3">
        <v>0</v>
      </c>
      <c r="F5472" t="s">
        <v>45</v>
      </c>
      <c r="G5472" s="3">
        <f t="shared" si="652"/>
        <v>-61.533000000000008</v>
      </c>
      <c r="H5472" s="3">
        <f t="shared" si="653"/>
        <v>61.533000000000008</v>
      </c>
      <c r="I5472" s="5" t="str">
        <f t="shared" si="654"/>
        <v>018</v>
      </c>
      <c r="J5472" s="5" t="str">
        <f t="shared" si="655"/>
        <v>2230</v>
      </c>
      <c r="K5472" s="5" t="str">
        <f t="shared" si="656"/>
        <v>000</v>
      </c>
      <c r="L5472" s="5">
        <f t="shared" si="657"/>
        <v>1</v>
      </c>
      <c r="M5472" s="5">
        <f t="shared" si="658"/>
        <v>2013</v>
      </c>
    </row>
    <row r="5473" spans="1:13" ht="15" x14ac:dyDescent="0.25">
      <c r="A5473" s="1">
        <f>DATE(2013,1,30)</f>
        <v>41304</v>
      </c>
      <c r="B5473" t="s">
        <v>19</v>
      </c>
      <c r="C5473" t="s">
        <v>6</v>
      </c>
      <c r="D5473" s="3">
        <v>3181.88</v>
      </c>
      <c r="E5473" s="3">
        <v>0</v>
      </c>
      <c r="F5473" t="s">
        <v>45</v>
      </c>
      <c r="G5473" s="3">
        <f t="shared" si="652"/>
        <v>-3181.88</v>
      </c>
      <c r="H5473" s="3">
        <f t="shared" si="653"/>
        <v>3181.88</v>
      </c>
      <c r="I5473" s="5" t="str">
        <f t="shared" si="654"/>
        <v>018</v>
      </c>
      <c r="J5473" s="5" t="str">
        <f t="shared" si="655"/>
        <v>2100</v>
      </c>
      <c r="K5473" s="5" t="str">
        <f t="shared" si="656"/>
        <v>000</v>
      </c>
      <c r="L5473" s="5">
        <f t="shared" si="657"/>
        <v>1</v>
      </c>
      <c r="M5473" s="5">
        <f t="shared" si="658"/>
        <v>2013</v>
      </c>
    </row>
    <row r="5474" spans="1:13" ht="15" x14ac:dyDescent="0.25">
      <c r="A5474" s="1">
        <f>DATE(2013,1,30)</f>
        <v>41304</v>
      </c>
      <c r="B5474" t="s">
        <v>20</v>
      </c>
      <c r="C5474" t="s">
        <v>8</v>
      </c>
      <c r="D5474" s="3">
        <v>1037.616</v>
      </c>
      <c r="E5474" s="3">
        <v>0</v>
      </c>
      <c r="F5474" t="s">
        <v>45</v>
      </c>
      <c r="G5474" s="3">
        <f t="shared" si="652"/>
        <v>-1037.616</v>
      </c>
      <c r="H5474" s="3">
        <f t="shared" si="653"/>
        <v>1037.616</v>
      </c>
      <c r="I5474" s="5" t="str">
        <f t="shared" si="654"/>
        <v>018</v>
      </c>
      <c r="J5474" s="5" t="str">
        <f t="shared" si="655"/>
        <v>2210</v>
      </c>
      <c r="K5474" s="5" t="str">
        <f t="shared" si="656"/>
        <v>000</v>
      </c>
      <c r="L5474" s="5">
        <f t="shared" si="657"/>
        <v>1</v>
      </c>
      <c r="M5474" s="5">
        <f t="shared" si="658"/>
        <v>2013</v>
      </c>
    </row>
    <row r="5475" spans="1:13" ht="15" x14ac:dyDescent="0.25">
      <c r="A5475" s="1">
        <f>DATE(2013,1,30)</f>
        <v>41304</v>
      </c>
      <c r="B5475" t="s">
        <v>21</v>
      </c>
      <c r="C5475" t="s">
        <v>9</v>
      </c>
      <c r="D5475" s="3">
        <v>235.10159999999996</v>
      </c>
      <c r="E5475" s="3">
        <v>0</v>
      </c>
      <c r="F5475" t="s">
        <v>45</v>
      </c>
      <c r="G5475" s="3">
        <f t="shared" si="652"/>
        <v>-235.10159999999996</v>
      </c>
      <c r="H5475" s="3">
        <f t="shared" si="653"/>
        <v>235.10159999999996</v>
      </c>
      <c r="I5475" s="5" t="str">
        <f t="shared" si="654"/>
        <v>018</v>
      </c>
      <c r="J5475" s="5" t="str">
        <f t="shared" si="655"/>
        <v>2220</v>
      </c>
      <c r="K5475" s="5" t="str">
        <f t="shared" si="656"/>
        <v>000</v>
      </c>
      <c r="L5475" s="5">
        <f t="shared" si="657"/>
        <v>1</v>
      </c>
      <c r="M5475" s="5">
        <f t="shared" si="658"/>
        <v>2013</v>
      </c>
    </row>
    <row r="5476" spans="1:13" ht="15" x14ac:dyDescent="0.25">
      <c r="A5476" s="1">
        <f>DATE(2013,1,31)</f>
        <v>41305</v>
      </c>
      <c r="B5476" t="s">
        <v>19</v>
      </c>
      <c r="C5476" t="s">
        <v>6</v>
      </c>
      <c r="D5476" s="3">
        <v>3394.2171999999996</v>
      </c>
      <c r="E5476" s="3">
        <v>0</v>
      </c>
      <c r="F5476" t="s">
        <v>45</v>
      </c>
      <c r="G5476" s="3">
        <f t="shared" si="652"/>
        <v>-3394.2171999999996</v>
      </c>
      <c r="H5476" s="3">
        <f t="shared" si="653"/>
        <v>3394.2171999999996</v>
      </c>
      <c r="I5476" s="5" t="str">
        <f t="shared" si="654"/>
        <v>018</v>
      </c>
      <c r="J5476" s="5" t="str">
        <f t="shared" si="655"/>
        <v>2100</v>
      </c>
      <c r="K5476" s="5" t="str">
        <f t="shared" si="656"/>
        <v>000</v>
      </c>
      <c r="L5476" s="5">
        <f t="shared" si="657"/>
        <v>1</v>
      </c>
      <c r="M5476" s="5">
        <f t="shared" si="658"/>
        <v>2013</v>
      </c>
    </row>
    <row r="5477" spans="1:13" ht="15" x14ac:dyDescent="0.25">
      <c r="A5477" s="1">
        <f>DATE(2013,1,31)</f>
        <v>41305</v>
      </c>
      <c r="B5477" t="s">
        <v>20</v>
      </c>
      <c r="C5477" t="s">
        <v>8</v>
      </c>
      <c r="D5477" s="3">
        <v>621.59040000000005</v>
      </c>
      <c r="E5477" s="3">
        <v>0</v>
      </c>
      <c r="F5477" t="s">
        <v>45</v>
      </c>
      <c r="G5477" s="3">
        <f t="shared" si="652"/>
        <v>-621.59040000000005</v>
      </c>
      <c r="H5477" s="3">
        <f t="shared" si="653"/>
        <v>621.59040000000005</v>
      </c>
      <c r="I5477" s="5" t="str">
        <f t="shared" si="654"/>
        <v>018</v>
      </c>
      <c r="J5477" s="5" t="str">
        <f t="shared" si="655"/>
        <v>2210</v>
      </c>
      <c r="K5477" s="5" t="str">
        <f t="shared" si="656"/>
        <v>000</v>
      </c>
      <c r="L5477" s="5">
        <f t="shared" si="657"/>
        <v>1</v>
      </c>
      <c r="M5477" s="5">
        <f t="shared" si="658"/>
        <v>2013</v>
      </c>
    </row>
    <row r="5478" spans="1:13" ht="15" x14ac:dyDescent="0.25">
      <c r="A5478" s="1">
        <f>DATE(2013,1,31)</f>
        <v>41305</v>
      </c>
      <c r="B5478" t="s">
        <v>21</v>
      </c>
      <c r="C5478" t="s">
        <v>9</v>
      </c>
      <c r="D5478" s="3">
        <v>274.84449999999998</v>
      </c>
      <c r="E5478" s="3">
        <v>0</v>
      </c>
      <c r="F5478" t="s">
        <v>45</v>
      </c>
      <c r="G5478" s="3">
        <f t="shared" si="652"/>
        <v>-274.84449999999998</v>
      </c>
      <c r="H5478" s="3">
        <f t="shared" si="653"/>
        <v>274.84449999999998</v>
      </c>
      <c r="I5478" s="5" t="str">
        <f t="shared" si="654"/>
        <v>018</v>
      </c>
      <c r="J5478" s="5" t="str">
        <f t="shared" si="655"/>
        <v>2220</v>
      </c>
      <c r="K5478" s="5" t="str">
        <f t="shared" si="656"/>
        <v>000</v>
      </c>
      <c r="L5478" s="5">
        <f t="shared" si="657"/>
        <v>1</v>
      </c>
      <c r="M5478" s="5">
        <f t="shared" si="658"/>
        <v>2013</v>
      </c>
    </row>
    <row r="5479" spans="1:13" ht="15" x14ac:dyDescent="0.25">
      <c r="A5479" s="1">
        <f>DATE(2013,1,31)</f>
        <v>41305</v>
      </c>
      <c r="B5479" t="s">
        <v>22</v>
      </c>
      <c r="C5479" t="s">
        <v>10</v>
      </c>
      <c r="D5479" s="3">
        <v>20.475399999999997</v>
      </c>
      <c r="E5479" s="3">
        <v>0</v>
      </c>
      <c r="F5479" t="s">
        <v>45</v>
      </c>
      <c r="G5479" s="3">
        <f t="shared" si="652"/>
        <v>-20.475399999999997</v>
      </c>
      <c r="H5479" s="3">
        <f t="shared" si="653"/>
        <v>20.475399999999997</v>
      </c>
      <c r="I5479" s="5" t="str">
        <f t="shared" si="654"/>
        <v>018</v>
      </c>
      <c r="J5479" s="5" t="str">
        <f t="shared" si="655"/>
        <v>2230</v>
      </c>
      <c r="K5479" s="5" t="str">
        <f t="shared" si="656"/>
        <v>000</v>
      </c>
      <c r="L5479" s="5">
        <f t="shared" si="657"/>
        <v>1</v>
      </c>
      <c r="M5479" s="5">
        <f t="shared" si="658"/>
        <v>2013</v>
      </c>
    </row>
    <row r="5480" spans="1:13" ht="15" x14ac:dyDescent="0.25">
      <c r="A5480" s="1">
        <f>DATE(2013,2,1)</f>
        <v>41306</v>
      </c>
      <c r="B5480" t="s">
        <v>19</v>
      </c>
      <c r="C5480" t="s">
        <v>6</v>
      </c>
      <c r="D5480" s="3">
        <v>7406.1909999999998</v>
      </c>
      <c r="E5480" s="3">
        <v>0</v>
      </c>
      <c r="F5480" t="s">
        <v>45</v>
      </c>
      <c r="G5480" s="3">
        <f t="shared" si="652"/>
        <v>-7406.1909999999998</v>
      </c>
      <c r="H5480" s="3">
        <f t="shared" si="653"/>
        <v>7406.1909999999998</v>
      </c>
      <c r="I5480" s="5" t="str">
        <f t="shared" si="654"/>
        <v>018</v>
      </c>
      <c r="J5480" s="5" t="str">
        <f t="shared" si="655"/>
        <v>2100</v>
      </c>
      <c r="K5480" s="5" t="str">
        <f t="shared" si="656"/>
        <v>000</v>
      </c>
      <c r="L5480" s="5">
        <f t="shared" si="657"/>
        <v>2</v>
      </c>
      <c r="M5480" s="5">
        <f t="shared" si="658"/>
        <v>2013</v>
      </c>
    </row>
    <row r="5481" spans="1:13" ht="15" x14ac:dyDescent="0.25">
      <c r="A5481" s="1">
        <f>DATE(2013,2,1)</f>
        <v>41306</v>
      </c>
      <c r="B5481" t="s">
        <v>20</v>
      </c>
      <c r="C5481" t="s">
        <v>8</v>
      </c>
      <c r="D5481" s="3">
        <v>1685.9864000000002</v>
      </c>
      <c r="E5481" s="3">
        <v>0</v>
      </c>
      <c r="F5481" t="s">
        <v>45</v>
      </c>
      <c r="G5481" s="3">
        <f t="shared" si="652"/>
        <v>-1685.9864000000002</v>
      </c>
      <c r="H5481" s="3">
        <f t="shared" si="653"/>
        <v>1685.9864000000002</v>
      </c>
      <c r="I5481" s="5" t="str">
        <f t="shared" si="654"/>
        <v>018</v>
      </c>
      <c r="J5481" s="5" t="str">
        <f t="shared" si="655"/>
        <v>2210</v>
      </c>
      <c r="K5481" s="5" t="str">
        <f t="shared" si="656"/>
        <v>000</v>
      </c>
      <c r="L5481" s="5">
        <f t="shared" si="657"/>
        <v>2</v>
      </c>
      <c r="M5481" s="5">
        <f t="shared" si="658"/>
        <v>2013</v>
      </c>
    </row>
    <row r="5482" spans="1:13" ht="15" x14ac:dyDescent="0.25">
      <c r="A5482" s="1">
        <f>DATE(2013,2,1)</f>
        <v>41306</v>
      </c>
      <c r="B5482" t="s">
        <v>21</v>
      </c>
      <c r="C5482" t="s">
        <v>9</v>
      </c>
      <c r="D5482" s="3">
        <v>573.60840000000007</v>
      </c>
      <c r="E5482" s="3">
        <v>0</v>
      </c>
      <c r="F5482" t="s">
        <v>45</v>
      </c>
      <c r="G5482" s="3">
        <f t="shared" si="652"/>
        <v>-573.60840000000007</v>
      </c>
      <c r="H5482" s="3">
        <f t="shared" si="653"/>
        <v>573.60840000000007</v>
      </c>
      <c r="I5482" s="5" t="str">
        <f t="shared" si="654"/>
        <v>018</v>
      </c>
      <c r="J5482" s="5" t="str">
        <f t="shared" si="655"/>
        <v>2220</v>
      </c>
      <c r="K5482" s="5" t="str">
        <f t="shared" si="656"/>
        <v>000</v>
      </c>
      <c r="L5482" s="5">
        <f t="shared" si="657"/>
        <v>2</v>
      </c>
      <c r="M5482" s="5">
        <f t="shared" si="658"/>
        <v>2013</v>
      </c>
    </row>
    <row r="5483" spans="1:13" ht="15" x14ac:dyDescent="0.25">
      <c r="A5483" s="1">
        <f>DATE(2013,2,1)</f>
        <v>41306</v>
      </c>
      <c r="B5483" t="s">
        <v>22</v>
      </c>
      <c r="C5483" t="s">
        <v>10</v>
      </c>
      <c r="D5483" s="3">
        <v>136.92239999999998</v>
      </c>
      <c r="E5483" s="3">
        <v>0</v>
      </c>
      <c r="F5483" t="s">
        <v>45</v>
      </c>
      <c r="G5483" s="3">
        <f t="shared" si="652"/>
        <v>-136.92239999999998</v>
      </c>
      <c r="H5483" s="3">
        <f t="shared" si="653"/>
        <v>136.92239999999998</v>
      </c>
      <c r="I5483" s="5" t="str">
        <f t="shared" si="654"/>
        <v>018</v>
      </c>
      <c r="J5483" s="5" t="str">
        <f t="shared" si="655"/>
        <v>2230</v>
      </c>
      <c r="K5483" s="5" t="str">
        <f t="shared" si="656"/>
        <v>000</v>
      </c>
      <c r="L5483" s="5">
        <f t="shared" si="657"/>
        <v>2</v>
      </c>
      <c r="M5483" s="5">
        <f t="shared" si="658"/>
        <v>2013</v>
      </c>
    </row>
    <row r="5484" spans="1:13" ht="15" x14ac:dyDescent="0.25">
      <c r="A5484" s="1">
        <f>DATE(2013,2,2)</f>
        <v>41307</v>
      </c>
      <c r="B5484" t="s">
        <v>19</v>
      </c>
      <c r="C5484" t="s">
        <v>6</v>
      </c>
      <c r="D5484" s="3">
        <v>14797.899600000001</v>
      </c>
      <c r="E5484" s="3">
        <v>0</v>
      </c>
      <c r="F5484" t="s">
        <v>45</v>
      </c>
      <c r="G5484" s="3">
        <f t="shared" si="652"/>
        <v>-14797.899600000001</v>
      </c>
      <c r="H5484" s="3">
        <f t="shared" si="653"/>
        <v>14797.899600000001</v>
      </c>
      <c r="I5484" s="5" t="str">
        <f t="shared" si="654"/>
        <v>018</v>
      </c>
      <c r="J5484" s="5" t="str">
        <f t="shared" si="655"/>
        <v>2100</v>
      </c>
      <c r="K5484" s="5" t="str">
        <f t="shared" si="656"/>
        <v>000</v>
      </c>
      <c r="L5484" s="5">
        <f t="shared" si="657"/>
        <v>2</v>
      </c>
      <c r="M5484" s="5">
        <f t="shared" si="658"/>
        <v>2013</v>
      </c>
    </row>
    <row r="5485" spans="1:13" ht="15" x14ac:dyDescent="0.25">
      <c r="A5485" s="1">
        <f>DATE(2013,2,2)</f>
        <v>41307</v>
      </c>
      <c r="B5485" t="s">
        <v>20</v>
      </c>
      <c r="C5485" t="s">
        <v>8</v>
      </c>
      <c r="D5485" s="3">
        <v>2741.4560000000001</v>
      </c>
      <c r="E5485" s="3">
        <v>0</v>
      </c>
      <c r="F5485" t="s">
        <v>45</v>
      </c>
      <c r="G5485" s="3">
        <f t="shared" si="652"/>
        <v>-2741.4560000000001</v>
      </c>
      <c r="H5485" s="3">
        <f t="shared" si="653"/>
        <v>2741.4560000000001</v>
      </c>
      <c r="I5485" s="5" t="str">
        <f t="shared" si="654"/>
        <v>018</v>
      </c>
      <c r="J5485" s="5" t="str">
        <f t="shared" si="655"/>
        <v>2210</v>
      </c>
      <c r="K5485" s="5" t="str">
        <f t="shared" si="656"/>
        <v>000</v>
      </c>
      <c r="L5485" s="5">
        <f t="shared" si="657"/>
        <v>2</v>
      </c>
      <c r="M5485" s="5">
        <f t="shared" si="658"/>
        <v>2013</v>
      </c>
    </row>
    <row r="5486" spans="1:13" ht="15" x14ac:dyDescent="0.25">
      <c r="A5486" s="1">
        <f>DATE(2013,2,2)</f>
        <v>41307</v>
      </c>
      <c r="B5486" t="s">
        <v>21</v>
      </c>
      <c r="C5486" t="s">
        <v>9</v>
      </c>
      <c r="D5486" s="3">
        <v>877.65049999999997</v>
      </c>
      <c r="E5486" s="3">
        <v>0</v>
      </c>
      <c r="F5486" t="s">
        <v>45</v>
      </c>
      <c r="G5486" s="3">
        <f t="shared" si="652"/>
        <v>-877.65049999999997</v>
      </c>
      <c r="H5486" s="3">
        <f t="shared" si="653"/>
        <v>877.65049999999997</v>
      </c>
      <c r="I5486" s="5" t="str">
        <f t="shared" si="654"/>
        <v>018</v>
      </c>
      <c r="J5486" s="5" t="str">
        <f t="shared" si="655"/>
        <v>2220</v>
      </c>
      <c r="K5486" s="5" t="str">
        <f t="shared" si="656"/>
        <v>000</v>
      </c>
      <c r="L5486" s="5">
        <f t="shared" si="657"/>
        <v>2</v>
      </c>
      <c r="M5486" s="5">
        <f t="shared" si="658"/>
        <v>2013</v>
      </c>
    </row>
    <row r="5487" spans="1:13" ht="15" x14ac:dyDescent="0.25">
      <c r="A5487" s="1">
        <f>DATE(2013,2,2)</f>
        <v>41307</v>
      </c>
      <c r="B5487" t="s">
        <v>22</v>
      </c>
      <c r="C5487" t="s">
        <v>10</v>
      </c>
      <c r="D5487" s="3">
        <v>144.0376</v>
      </c>
      <c r="E5487" s="3">
        <v>0</v>
      </c>
      <c r="F5487" t="s">
        <v>45</v>
      </c>
      <c r="G5487" s="3">
        <f t="shared" si="652"/>
        <v>-144.0376</v>
      </c>
      <c r="H5487" s="3">
        <f t="shared" si="653"/>
        <v>144.0376</v>
      </c>
      <c r="I5487" s="5" t="str">
        <f t="shared" si="654"/>
        <v>018</v>
      </c>
      <c r="J5487" s="5" t="str">
        <f t="shared" si="655"/>
        <v>2230</v>
      </c>
      <c r="K5487" s="5" t="str">
        <f t="shared" si="656"/>
        <v>000</v>
      </c>
      <c r="L5487" s="5">
        <f t="shared" si="657"/>
        <v>2</v>
      </c>
      <c r="M5487" s="5">
        <f t="shared" si="658"/>
        <v>2013</v>
      </c>
    </row>
    <row r="5488" spans="1:13" ht="15" x14ac:dyDescent="0.25">
      <c r="A5488" s="1">
        <f>DATE(2013,2,3)</f>
        <v>41308</v>
      </c>
      <c r="B5488" t="s">
        <v>19</v>
      </c>
      <c r="C5488" t="s">
        <v>6</v>
      </c>
      <c r="D5488" s="3">
        <v>6294.3724000000002</v>
      </c>
      <c r="E5488" s="3">
        <v>0</v>
      </c>
      <c r="F5488" t="s">
        <v>45</v>
      </c>
      <c r="G5488" s="3">
        <f t="shared" si="652"/>
        <v>-6294.3724000000002</v>
      </c>
      <c r="H5488" s="3">
        <f t="shared" si="653"/>
        <v>6294.3724000000002</v>
      </c>
      <c r="I5488" s="5" t="str">
        <f t="shared" si="654"/>
        <v>018</v>
      </c>
      <c r="J5488" s="5" t="str">
        <f t="shared" si="655"/>
        <v>2100</v>
      </c>
      <c r="K5488" s="5" t="str">
        <f t="shared" si="656"/>
        <v>000</v>
      </c>
      <c r="L5488" s="5">
        <f t="shared" si="657"/>
        <v>2</v>
      </c>
      <c r="M5488" s="5">
        <f t="shared" si="658"/>
        <v>2013</v>
      </c>
    </row>
    <row r="5489" spans="1:13" ht="15" x14ac:dyDescent="0.25">
      <c r="A5489" s="1">
        <f>DATE(2013,2,3)</f>
        <v>41308</v>
      </c>
      <c r="B5489" t="s">
        <v>20</v>
      </c>
      <c r="C5489" t="s">
        <v>8</v>
      </c>
      <c r="D5489" s="3">
        <v>487.27249999999998</v>
      </c>
      <c r="E5489" s="3">
        <v>0</v>
      </c>
      <c r="F5489" t="s">
        <v>45</v>
      </c>
      <c r="G5489" s="3">
        <f t="shared" si="652"/>
        <v>-487.27249999999998</v>
      </c>
      <c r="H5489" s="3">
        <f t="shared" si="653"/>
        <v>487.27249999999998</v>
      </c>
      <c r="I5489" s="5" t="str">
        <f t="shared" si="654"/>
        <v>018</v>
      </c>
      <c r="J5489" s="5" t="str">
        <f t="shared" si="655"/>
        <v>2210</v>
      </c>
      <c r="K5489" s="5" t="str">
        <f t="shared" si="656"/>
        <v>000</v>
      </c>
      <c r="L5489" s="5">
        <f t="shared" si="657"/>
        <v>2</v>
      </c>
      <c r="M5489" s="5">
        <f t="shared" si="658"/>
        <v>2013</v>
      </c>
    </row>
    <row r="5490" spans="1:13" ht="15" x14ac:dyDescent="0.25">
      <c r="A5490" s="1">
        <f>DATE(2013,2,3)</f>
        <v>41308</v>
      </c>
      <c r="B5490" t="s">
        <v>21</v>
      </c>
      <c r="C5490" t="s">
        <v>9</v>
      </c>
      <c r="D5490" s="3">
        <v>170.3432</v>
      </c>
      <c r="E5490" s="3">
        <v>0</v>
      </c>
      <c r="F5490" t="s">
        <v>45</v>
      </c>
      <c r="G5490" s="3">
        <f t="shared" si="652"/>
        <v>-170.3432</v>
      </c>
      <c r="H5490" s="3">
        <f t="shared" si="653"/>
        <v>170.3432</v>
      </c>
      <c r="I5490" s="5" t="str">
        <f t="shared" si="654"/>
        <v>018</v>
      </c>
      <c r="J5490" s="5" t="str">
        <f t="shared" si="655"/>
        <v>2220</v>
      </c>
      <c r="K5490" s="5" t="str">
        <f t="shared" si="656"/>
        <v>000</v>
      </c>
      <c r="L5490" s="5">
        <f t="shared" si="657"/>
        <v>2</v>
      </c>
      <c r="M5490" s="5">
        <f t="shared" si="658"/>
        <v>2013</v>
      </c>
    </row>
    <row r="5491" spans="1:13" ht="15" x14ac:dyDescent="0.25">
      <c r="A5491" s="1">
        <f>DATE(2013,2,3)</f>
        <v>41308</v>
      </c>
      <c r="B5491" t="s">
        <v>22</v>
      </c>
      <c r="C5491" t="s">
        <v>10</v>
      </c>
      <c r="D5491" s="3">
        <v>50.779199999999996</v>
      </c>
      <c r="E5491" s="3">
        <v>0</v>
      </c>
      <c r="F5491" t="s">
        <v>45</v>
      </c>
      <c r="G5491" s="3">
        <f t="shared" si="652"/>
        <v>-50.779199999999996</v>
      </c>
      <c r="H5491" s="3">
        <f t="shared" si="653"/>
        <v>50.779199999999996</v>
      </c>
      <c r="I5491" s="5" t="str">
        <f t="shared" si="654"/>
        <v>018</v>
      </c>
      <c r="J5491" s="5" t="str">
        <f t="shared" si="655"/>
        <v>2230</v>
      </c>
      <c r="K5491" s="5" t="str">
        <f t="shared" si="656"/>
        <v>000</v>
      </c>
      <c r="L5491" s="5">
        <f t="shared" si="657"/>
        <v>2</v>
      </c>
      <c r="M5491" s="5">
        <f t="shared" si="658"/>
        <v>2013</v>
      </c>
    </row>
    <row r="5492" spans="1:13" ht="15" x14ac:dyDescent="0.25">
      <c r="A5492" s="1">
        <f>DATE(2013,2,4)</f>
        <v>41309</v>
      </c>
      <c r="B5492" t="s">
        <v>11</v>
      </c>
      <c r="C5492" t="s">
        <v>6</v>
      </c>
      <c r="D5492" s="3">
        <v>2293.1252999999997</v>
      </c>
      <c r="E5492" s="3">
        <v>0</v>
      </c>
      <c r="F5492" t="s">
        <v>45</v>
      </c>
      <c r="G5492" s="3">
        <f t="shared" si="652"/>
        <v>-2293.1252999999997</v>
      </c>
      <c r="H5492" s="3">
        <f t="shared" si="653"/>
        <v>2293.1252999999997</v>
      </c>
      <c r="I5492" s="5" t="str">
        <f t="shared" si="654"/>
        <v>016</v>
      </c>
      <c r="J5492" s="5" t="str">
        <f t="shared" si="655"/>
        <v>2100</v>
      </c>
      <c r="K5492" s="5" t="str">
        <f t="shared" si="656"/>
        <v>000</v>
      </c>
      <c r="L5492" s="5">
        <f t="shared" si="657"/>
        <v>2</v>
      </c>
      <c r="M5492" s="5">
        <f t="shared" si="658"/>
        <v>2013</v>
      </c>
    </row>
    <row r="5493" spans="1:13" ht="15" x14ac:dyDescent="0.25">
      <c r="A5493" s="1">
        <f>DATE(2013,2,4)</f>
        <v>41309</v>
      </c>
      <c r="B5493" t="s">
        <v>12</v>
      </c>
      <c r="C5493" t="s">
        <v>8</v>
      </c>
      <c r="D5493" s="3">
        <v>507.21440000000001</v>
      </c>
      <c r="E5493" s="3">
        <v>0</v>
      </c>
      <c r="F5493" t="s">
        <v>45</v>
      </c>
      <c r="G5493" s="3">
        <f t="shared" si="652"/>
        <v>-507.21440000000001</v>
      </c>
      <c r="H5493" s="3">
        <f t="shared" si="653"/>
        <v>507.21440000000001</v>
      </c>
      <c r="I5493" s="5" t="str">
        <f t="shared" si="654"/>
        <v>016</v>
      </c>
      <c r="J5493" s="5" t="str">
        <f t="shared" si="655"/>
        <v>2210</v>
      </c>
      <c r="K5493" s="5" t="str">
        <f t="shared" si="656"/>
        <v>000</v>
      </c>
      <c r="L5493" s="5">
        <f t="shared" si="657"/>
        <v>2</v>
      </c>
      <c r="M5493" s="5">
        <f t="shared" si="658"/>
        <v>2013</v>
      </c>
    </row>
    <row r="5494" spans="1:13" ht="15" x14ac:dyDescent="0.25">
      <c r="A5494" s="1">
        <f>DATE(2013,2,4)</f>
        <v>41309</v>
      </c>
      <c r="B5494" t="s">
        <v>13</v>
      </c>
      <c r="C5494" t="s">
        <v>9</v>
      </c>
      <c r="D5494" s="3">
        <v>69.749799999999993</v>
      </c>
      <c r="E5494" s="3">
        <v>0</v>
      </c>
      <c r="F5494" t="s">
        <v>45</v>
      </c>
      <c r="G5494" s="3">
        <f t="shared" si="652"/>
        <v>-69.749799999999993</v>
      </c>
      <c r="H5494" s="3">
        <f t="shared" si="653"/>
        <v>69.749799999999993</v>
      </c>
      <c r="I5494" s="5" t="str">
        <f t="shared" si="654"/>
        <v>016</v>
      </c>
      <c r="J5494" s="5" t="str">
        <f t="shared" si="655"/>
        <v>2220</v>
      </c>
      <c r="K5494" s="5" t="str">
        <f t="shared" si="656"/>
        <v>000</v>
      </c>
      <c r="L5494" s="5">
        <f t="shared" si="657"/>
        <v>2</v>
      </c>
      <c r="M5494" s="5">
        <f t="shared" si="658"/>
        <v>2013</v>
      </c>
    </row>
    <row r="5495" spans="1:13" ht="15" x14ac:dyDescent="0.25">
      <c r="A5495" s="1">
        <f>DATE(2013,2,4)</f>
        <v>41309</v>
      </c>
      <c r="B5495" t="s">
        <v>14</v>
      </c>
      <c r="C5495" t="s">
        <v>10</v>
      </c>
      <c r="D5495" s="3">
        <v>53.5122</v>
      </c>
      <c r="E5495" s="3">
        <v>0</v>
      </c>
      <c r="F5495" t="s">
        <v>45</v>
      </c>
      <c r="G5495" s="3">
        <f t="shared" si="652"/>
        <v>-53.5122</v>
      </c>
      <c r="H5495" s="3">
        <f t="shared" si="653"/>
        <v>53.5122</v>
      </c>
      <c r="I5495" s="5" t="str">
        <f t="shared" si="654"/>
        <v>016</v>
      </c>
      <c r="J5495" s="5" t="str">
        <f t="shared" si="655"/>
        <v>2230</v>
      </c>
      <c r="K5495" s="5" t="str">
        <f t="shared" si="656"/>
        <v>000</v>
      </c>
      <c r="L5495" s="5">
        <f t="shared" si="657"/>
        <v>2</v>
      </c>
      <c r="M5495" s="5">
        <f t="shared" si="658"/>
        <v>2013</v>
      </c>
    </row>
    <row r="5496" spans="1:13" ht="15" x14ac:dyDescent="0.25">
      <c r="A5496" s="1">
        <f>DATE(2013,2,5)</f>
        <v>41310</v>
      </c>
      <c r="B5496" t="s">
        <v>11</v>
      </c>
      <c r="C5496" t="s">
        <v>6</v>
      </c>
      <c r="D5496" s="3">
        <v>5391.2494999999999</v>
      </c>
      <c r="E5496" s="3">
        <v>0</v>
      </c>
      <c r="F5496" t="s">
        <v>45</v>
      </c>
      <c r="G5496" s="3">
        <f t="shared" si="652"/>
        <v>-5391.2494999999999</v>
      </c>
      <c r="H5496" s="3">
        <f t="shared" si="653"/>
        <v>5391.2494999999999</v>
      </c>
      <c r="I5496" s="5" t="str">
        <f t="shared" si="654"/>
        <v>016</v>
      </c>
      <c r="J5496" s="5" t="str">
        <f t="shared" si="655"/>
        <v>2100</v>
      </c>
      <c r="K5496" s="5" t="str">
        <f t="shared" si="656"/>
        <v>000</v>
      </c>
      <c r="L5496" s="5">
        <f t="shared" si="657"/>
        <v>2</v>
      </c>
      <c r="M5496" s="5">
        <f t="shared" si="658"/>
        <v>2013</v>
      </c>
    </row>
    <row r="5497" spans="1:13" ht="15" x14ac:dyDescent="0.25">
      <c r="A5497" s="1">
        <f>DATE(2013,2,5)</f>
        <v>41310</v>
      </c>
      <c r="B5497" t="s">
        <v>12</v>
      </c>
      <c r="C5497" t="s">
        <v>8</v>
      </c>
      <c r="D5497" s="3">
        <v>1684.7921999999999</v>
      </c>
      <c r="E5497" s="3">
        <v>0</v>
      </c>
      <c r="F5497" t="s">
        <v>45</v>
      </c>
      <c r="G5497" s="3">
        <f t="shared" si="652"/>
        <v>-1684.7921999999999</v>
      </c>
      <c r="H5497" s="3">
        <f t="shared" si="653"/>
        <v>1684.7921999999999</v>
      </c>
      <c r="I5497" s="5" t="str">
        <f t="shared" si="654"/>
        <v>016</v>
      </c>
      <c r="J5497" s="5" t="str">
        <f t="shared" si="655"/>
        <v>2210</v>
      </c>
      <c r="K5497" s="5" t="str">
        <f t="shared" si="656"/>
        <v>000</v>
      </c>
      <c r="L5497" s="5">
        <f t="shared" si="657"/>
        <v>2</v>
      </c>
      <c r="M5497" s="5">
        <f t="shared" si="658"/>
        <v>2013</v>
      </c>
    </row>
    <row r="5498" spans="1:13" ht="15" x14ac:dyDescent="0.25">
      <c r="A5498" s="1">
        <f>DATE(2013,2,5)</f>
        <v>41310</v>
      </c>
      <c r="B5498" t="s">
        <v>13</v>
      </c>
      <c r="C5498" t="s">
        <v>9</v>
      </c>
      <c r="D5498" s="3">
        <v>818.94889999999998</v>
      </c>
      <c r="E5498" s="3">
        <v>0</v>
      </c>
      <c r="F5498" t="s">
        <v>45</v>
      </c>
      <c r="G5498" s="3">
        <f t="shared" si="652"/>
        <v>-818.94889999999998</v>
      </c>
      <c r="H5498" s="3">
        <f t="shared" si="653"/>
        <v>818.94889999999998</v>
      </c>
      <c r="I5498" s="5" t="str">
        <f t="shared" si="654"/>
        <v>016</v>
      </c>
      <c r="J5498" s="5" t="str">
        <f t="shared" si="655"/>
        <v>2220</v>
      </c>
      <c r="K5498" s="5" t="str">
        <f t="shared" si="656"/>
        <v>000</v>
      </c>
      <c r="L5498" s="5">
        <f t="shared" si="657"/>
        <v>2</v>
      </c>
      <c r="M5498" s="5">
        <f t="shared" si="658"/>
        <v>2013</v>
      </c>
    </row>
    <row r="5499" spans="1:13" ht="15" x14ac:dyDescent="0.25">
      <c r="A5499" s="1">
        <f>DATE(2013,2,5)</f>
        <v>41310</v>
      </c>
      <c r="B5499" t="s">
        <v>14</v>
      </c>
      <c r="C5499" t="s">
        <v>10</v>
      </c>
      <c r="D5499" s="3">
        <v>100.71600000000001</v>
      </c>
      <c r="E5499" s="3">
        <v>0</v>
      </c>
      <c r="F5499" t="s">
        <v>45</v>
      </c>
      <c r="G5499" s="3">
        <f t="shared" si="652"/>
        <v>-100.71600000000001</v>
      </c>
      <c r="H5499" s="3">
        <f t="shared" si="653"/>
        <v>100.71600000000001</v>
      </c>
      <c r="I5499" s="5" t="str">
        <f t="shared" si="654"/>
        <v>016</v>
      </c>
      <c r="J5499" s="5" t="str">
        <f t="shared" si="655"/>
        <v>2230</v>
      </c>
      <c r="K5499" s="5" t="str">
        <f t="shared" si="656"/>
        <v>000</v>
      </c>
      <c r="L5499" s="5">
        <f t="shared" si="657"/>
        <v>2</v>
      </c>
      <c r="M5499" s="5">
        <f t="shared" si="658"/>
        <v>2013</v>
      </c>
    </row>
    <row r="5500" spans="1:13" ht="15" x14ac:dyDescent="0.25">
      <c r="A5500" s="1">
        <f>DATE(2013,2,6)</f>
        <v>41311</v>
      </c>
      <c r="B5500" t="s">
        <v>11</v>
      </c>
      <c r="C5500" t="s">
        <v>6</v>
      </c>
      <c r="D5500" s="3">
        <v>2843.2580000000003</v>
      </c>
      <c r="E5500" s="3">
        <v>0</v>
      </c>
      <c r="F5500" t="s">
        <v>45</v>
      </c>
      <c r="G5500" s="3">
        <f t="shared" si="652"/>
        <v>-2843.2580000000003</v>
      </c>
      <c r="H5500" s="3">
        <f t="shared" si="653"/>
        <v>2843.2580000000003</v>
      </c>
      <c r="I5500" s="5" t="str">
        <f t="shared" si="654"/>
        <v>016</v>
      </c>
      <c r="J5500" s="5" t="str">
        <f t="shared" si="655"/>
        <v>2100</v>
      </c>
      <c r="K5500" s="5" t="str">
        <f t="shared" si="656"/>
        <v>000</v>
      </c>
      <c r="L5500" s="5">
        <f t="shared" si="657"/>
        <v>2</v>
      </c>
      <c r="M5500" s="5">
        <f t="shared" si="658"/>
        <v>2013</v>
      </c>
    </row>
    <row r="5501" spans="1:13" ht="15" x14ac:dyDescent="0.25">
      <c r="A5501" s="1">
        <f>DATE(2013,2,6)</f>
        <v>41311</v>
      </c>
      <c r="B5501" t="s">
        <v>12</v>
      </c>
      <c r="C5501" t="s">
        <v>8</v>
      </c>
      <c r="D5501" s="3">
        <v>942.15719999999999</v>
      </c>
      <c r="E5501" s="3">
        <v>0</v>
      </c>
      <c r="F5501" t="s">
        <v>45</v>
      </c>
      <c r="G5501" s="3">
        <f t="shared" si="652"/>
        <v>-942.15719999999999</v>
      </c>
      <c r="H5501" s="3">
        <f t="shared" si="653"/>
        <v>942.15719999999999</v>
      </c>
      <c r="I5501" s="5" t="str">
        <f t="shared" si="654"/>
        <v>016</v>
      </c>
      <c r="J5501" s="5" t="str">
        <f t="shared" si="655"/>
        <v>2210</v>
      </c>
      <c r="K5501" s="5" t="str">
        <f t="shared" si="656"/>
        <v>000</v>
      </c>
      <c r="L5501" s="5">
        <f t="shared" si="657"/>
        <v>2</v>
      </c>
      <c r="M5501" s="5">
        <f t="shared" si="658"/>
        <v>2013</v>
      </c>
    </row>
    <row r="5502" spans="1:13" ht="15" x14ac:dyDescent="0.25">
      <c r="A5502" s="1">
        <f>DATE(2013,2,6)</f>
        <v>41311</v>
      </c>
      <c r="B5502" t="s">
        <v>13</v>
      </c>
      <c r="C5502" t="s">
        <v>9</v>
      </c>
      <c r="D5502" s="3">
        <v>216.73439999999999</v>
      </c>
      <c r="E5502" s="3">
        <v>0</v>
      </c>
      <c r="F5502" t="s">
        <v>45</v>
      </c>
      <c r="G5502" s="3">
        <f t="shared" si="652"/>
        <v>-216.73439999999999</v>
      </c>
      <c r="H5502" s="3">
        <f t="shared" si="653"/>
        <v>216.73439999999999</v>
      </c>
      <c r="I5502" s="5" t="str">
        <f t="shared" si="654"/>
        <v>016</v>
      </c>
      <c r="J5502" s="5" t="str">
        <f t="shared" si="655"/>
        <v>2220</v>
      </c>
      <c r="K5502" s="5" t="str">
        <f t="shared" si="656"/>
        <v>000</v>
      </c>
      <c r="L5502" s="5">
        <f t="shared" si="657"/>
        <v>2</v>
      </c>
      <c r="M5502" s="5">
        <f t="shared" si="658"/>
        <v>2013</v>
      </c>
    </row>
    <row r="5503" spans="1:13" ht="15" x14ac:dyDescent="0.25">
      <c r="A5503" s="1">
        <f>DATE(2013,2,6)</f>
        <v>41311</v>
      </c>
      <c r="B5503" t="s">
        <v>14</v>
      </c>
      <c r="C5503" t="s">
        <v>10</v>
      </c>
      <c r="D5503" s="3">
        <v>103.70099999999999</v>
      </c>
      <c r="E5503" s="3">
        <v>0</v>
      </c>
      <c r="F5503" t="s">
        <v>45</v>
      </c>
      <c r="G5503" s="3">
        <f t="shared" si="652"/>
        <v>-103.70099999999999</v>
      </c>
      <c r="H5503" s="3">
        <f t="shared" si="653"/>
        <v>103.70099999999999</v>
      </c>
      <c r="I5503" s="5" t="str">
        <f t="shared" si="654"/>
        <v>016</v>
      </c>
      <c r="J5503" s="5" t="str">
        <f t="shared" si="655"/>
        <v>2230</v>
      </c>
      <c r="K5503" s="5" t="str">
        <f t="shared" si="656"/>
        <v>000</v>
      </c>
      <c r="L5503" s="5">
        <f t="shared" si="657"/>
        <v>2</v>
      </c>
      <c r="M5503" s="5">
        <f t="shared" si="658"/>
        <v>2013</v>
      </c>
    </row>
    <row r="5504" spans="1:13" ht="15" x14ac:dyDescent="0.25">
      <c r="A5504" s="1">
        <f>DATE(2013,2,7)</f>
        <v>41312</v>
      </c>
      <c r="B5504" t="s">
        <v>11</v>
      </c>
      <c r="C5504" t="s">
        <v>6</v>
      </c>
      <c r="D5504" s="3">
        <v>3286.5119</v>
      </c>
      <c r="E5504" s="3">
        <v>0</v>
      </c>
      <c r="F5504" t="s">
        <v>45</v>
      </c>
      <c r="G5504" s="3">
        <f t="shared" si="652"/>
        <v>-3286.5119</v>
      </c>
      <c r="H5504" s="3">
        <f t="shared" si="653"/>
        <v>3286.5119</v>
      </c>
      <c r="I5504" s="5" t="str">
        <f t="shared" si="654"/>
        <v>016</v>
      </c>
      <c r="J5504" s="5" t="str">
        <f t="shared" si="655"/>
        <v>2100</v>
      </c>
      <c r="K5504" s="5" t="str">
        <f t="shared" si="656"/>
        <v>000</v>
      </c>
      <c r="L5504" s="5">
        <f t="shared" si="657"/>
        <v>2</v>
      </c>
      <c r="M5504" s="5">
        <f t="shared" si="658"/>
        <v>2013</v>
      </c>
    </row>
    <row r="5505" spans="1:13" ht="15" x14ac:dyDescent="0.25">
      <c r="A5505" s="1">
        <f>DATE(2013,2,7)</f>
        <v>41312</v>
      </c>
      <c r="B5505" t="s">
        <v>12</v>
      </c>
      <c r="C5505" t="s">
        <v>8</v>
      </c>
      <c r="D5505" s="3">
        <v>735.07280000000003</v>
      </c>
      <c r="E5505" s="3">
        <v>0</v>
      </c>
      <c r="F5505" t="s">
        <v>45</v>
      </c>
      <c r="G5505" s="3">
        <f t="shared" si="652"/>
        <v>-735.07280000000003</v>
      </c>
      <c r="H5505" s="3">
        <f t="shared" si="653"/>
        <v>735.07280000000003</v>
      </c>
      <c r="I5505" s="5" t="str">
        <f t="shared" si="654"/>
        <v>016</v>
      </c>
      <c r="J5505" s="5" t="str">
        <f t="shared" si="655"/>
        <v>2210</v>
      </c>
      <c r="K5505" s="5" t="str">
        <f t="shared" si="656"/>
        <v>000</v>
      </c>
      <c r="L5505" s="5">
        <f t="shared" si="657"/>
        <v>2</v>
      </c>
      <c r="M5505" s="5">
        <f t="shared" si="658"/>
        <v>2013</v>
      </c>
    </row>
    <row r="5506" spans="1:13" ht="15" x14ac:dyDescent="0.25">
      <c r="A5506" s="1">
        <f>DATE(2013,2,7)</f>
        <v>41312</v>
      </c>
      <c r="B5506" t="s">
        <v>13</v>
      </c>
      <c r="C5506" t="s">
        <v>9</v>
      </c>
      <c r="D5506" s="3">
        <v>124.31299999999999</v>
      </c>
      <c r="E5506" s="3">
        <v>0</v>
      </c>
      <c r="F5506" t="s">
        <v>45</v>
      </c>
      <c r="G5506" s="3">
        <f t="shared" ref="G5506:G5569" si="659">E5506-D5506</f>
        <v>-124.31299999999999</v>
      </c>
      <c r="H5506" s="3">
        <f t="shared" ref="H5506:H5569" si="660">ABS(G5506)</f>
        <v>124.31299999999999</v>
      </c>
      <c r="I5506" s="5" t="str">
        <f t="shared" ref="I5506:I5569" si="661">MID(B5506,1,3)</f>
        <v>016</v>
      </c>
      <c r="J5506" s="5" t="str">
        <f t="shared" ref="J5506:J5569" si="662">MID(B5506,5,4)</f>
        <v>2220</v>
      </c>
      <c r="K5506" s="5" t="str">
        <f t="shared" ref="K5506:K5569" si="663">MID(B5506,10,3)</f>
        <v>000</v>
      </c>
      <c r="L5506" s="5">
        <f t="shared" ref="L5506:L5569" si="664">MONTH(A5506)</f>
        <v>2</v>
      </c>
      <c r="M5506" s="5">
        <f t="shared" ref="M5506:M5569" si="665">YEAR(A5506)</f>
        <v>2013</v>
      </c>
    </row>
    <row r="5507" spans="1:13" ht="15" x14ac:dyDescent="0.25">
      <c r="A5507" s="1">
        <f>DATE(2013,2,7)</f>
        <v>41312</v>
      </c>
      <c r="B5507" t="s">
        <v>14</v>
      </c>
      <c r="C5507" t="s">
        <v>10</v>
      </c>
      <c r="D5507" s="3">
        <v>92.197500000000005</v>
      </c>
      <c r="E5507" s="3">
        <v>0</v>
      </c>
      <c r="F5507" t="s">
        <v>45</v>
      </c>
      <c r="G5507" s="3">
        <f t="shared" si="659"/>
        <v>-92.197500000000005</v>
      </c>
      <c r="H5507" s="3">
        <f t="shared" si="660"/>
        <v>92.197500000000005</v>
      </c>
      <c r="I5507" s="5" t="str">
        <f t="shared" si="661"/>
        <v>016</v>
      </c>
      <c r="J5507" s="5" t="str">
        <f t="shared" si="662"/>
        <v>2230</v>
      </c>
      <c r="K5507" s="5" t="str">
        <f t="shared" si="663"/>
        <v>000</v>
      </c>
      <c r="L5507" s="5">
        <f t="shared" si="664"/>
        <v>2</v>
      </c>
      <c r="M5507" s="5">
        <f t="shared" si="665"/>
        <v>2013</v>
      </c>
    </row>
    <row r="5508" spans="1:13" ht="15" x14ac:dyDescent="0.25">
      <c r="A5508" s="1">
        <f>DATE(2013,2,8)</f>
        <v>41313</v>
      </c>
      <c r="B5508" t="s">
        <v>11</v>
      </c>
      <c r="C5508" t="s">
        <v>6</v>
      </c>
      <c r="D5508" s="3">
        <v>6286.9279999999999</v>
      </c>
      <c r="E5508" s="3">
        <v>0</v>
      </c>
      <c r="F5508" t="s">
        <v>45</v>
      </c>
      <c r="G5508" s="3">
        <f t="shared" si="659"/>
        <v>-6286.9279999999999</v>
      </c>
      <c r="H5508" s="3">
        <f t="shared" si="660"/>
        <v>6286.9279999999999</v>
      </c>
      <c r="I5508" s="5" t="str">
        <f t="shared" si="661"/>
        <v>016</v>
      </c>
      <c r="J5508" s="5" t="str">
        <f t="shared" si="662"/>
        <v>2100</v>
      </c>
      <c r="K5508" s="5" t="str">
        <f t="shared" si="663"/>
        <v>000</v>
      </c>
      <c r="L5508" s="5">
        <f t="shared" si="664"/>
        <v>2</v>
      </c>
      <c r="M5508" s="5">
        <f t="shared" si="665"/>
        <v>2013</v>
      </c>
    </row>
    <row r="5509" spans="1:13" ht="15" x14ac:dyDescent="0.25">
      <c r="A5509" s="1">
        <f>DATE(2013,2,8)</f>
        <v>41313</v>
      </c>
      <c r="B5509" t="s">
        <v>12</v>
      </c>
      <c r="C5509" t="s">
        <v>8</v>
      </c>
      <c r="D5509" s="3">
        <v>1908.2824000000001</v>
      </c>
      <c r="E5509" s="3">
        <v>0</v>
      </c>
      <c r="F5509" t="s">
        <v>45</v>
      </c>
      <c r="G5509" s="3">
        <f t="shared" si="659"/>
        <v>-1908.2824000000001</v>
      </c>
      <c r="H5509" s="3">
        <f t="shared" si="660"/>
        <v>1908.2824000000001</v>
      </c>
      <c r="I5509" s="5" t="str">
        <f t="shared" si="661"/>
        <v>016</v>
      </c>
      <c r="J5509" s="5" t="str">
        <f t="shared" si="662"/>
        <v>2210</v>
      </c>
      <c r="K5509" s="5" t="str">
        <f t="shared" si="663"/>
        <v>000</v>
      </c>
      <c r="L5509" s="5">
        <f t="shared" si="664"/>
        <v>2</v>
      </c>
      <c r="M5509" s="5">
        <f t="shared" si="665"/>
        <v>2013</v>
      </c>
    </row>
    <row r="5510" spans="1:13" ht="15" x14ac:dyDescent="0.25">
      <c r="A5510" s="1">
        <f>DATE(2013,2,8)</f>
        <v>41313</v>
      </c>
      <c r="B5510" t="s">
        <v>13</v>
      </c>
      <c r="C5510" t="s">
        <v>9</v>
      </c>
      <c r="D5510" s="3">
        <v>354.03059999999999</v>
      </c>
      <c r="E5510" s="3">
        <v>0</v>
      </c>
      <c r="F5510" t="s">
        <v>45</v>
      </c>
      <c r="G5510" s="3">
        <f t="shared" si="659"/>
        <v>-354.03059999999999</v>
      </c>
      <c r="H5510" s="3">
        <f t="shared" si="660"/>
        <v>354.03059999999999</v>
      </c>
      <c r="I5510" s="5" t="str">
        <f t="shared" si="661"/>
        <v>016</v>
      </c>
      <c r="J5510" s="5" t="str">
        <f t="shared" si="662"/>
        <v>2220</v>
      </c>
      <c r="K5510" s="5" t="str">
        <f t="shared" si="663"/>
        <v>000</v>
      </c>
      <c r="L5510" s="5">
        <f t="shared" si="664"/>
        <v>2</v>
      </c>
      <c r="M5510" s="5">
        <f t="shared" si="665"/>
        <v>2013</v>
      </c>
    </row>
    <row r="5511" spans="1:13" ht="15" x14ac:dyDescent="0.25">
      <c r="A5511" s="1">
        <f>DATE(2013,2,8)</f>
        <v>41313</v>
      </c>
      <c r="B5511" t="s">
        <v>14</v>
      </c>
      <c r="C5511" t="s">
        <v>10</v>
      </c>
      <c r="D5511" s="3">
        <v>166.07079999999999</v>
      </c>
      <c r="E5511" s="3">
        <v>0</v>
      </c>
      <c r="F5511" t="s">
        <v>45</v>
      </c>
      <c r="G5511" s="3">
        <f t="shared" si="659"/>
        <v>-166.07079999999999</v>
      </c>
      <c r="H5511" s="3">
        <f t="shared" si="660"/>
        <v>166.07079999999999</v>
      </c>
      <c r="I5511" s="5" t="str">
        <f t="shared" si="661"/>
        <v>016</v>
      </c>
      <c r="J5511" s="5" t="str">
        <f t="shared" si="662"/>
        <v>2230</v>
      </c>
      <c r="K5511" s="5" t="str">
        <f t="shared" si="663"/>
        <v>000</v>
      </c>
      <c r="L5511" s="5">
        <f t="shared" si="664"/>
        <v>2</v>
      </c>
      <c r="M5511" s="5">
        <f t="shared" si="665"/>
        <v>2013</v>
      </c>
    </row>
    <row r="5512" spans="1:13" ht="15" x14ac:dyDescent="0.25">
      <c r="A5512" s="1">
        <f>DATE(2013,2,9)</f>
        <v>41314</v>
      </c>
      <c r="B5512" t="s">
        <v>11</v>
      </c>
      <c r="C5512" t="s">
        <v>6</v>
      </c>
      <c r="D5512" s="3">
        <v>8057.3976000000002</v>
      </c>
      <c r="E5512" s="3">
        <v>0</v>
      </c>
      <c r="F5512" t="s">
        <v>45</v>
      </c>
      <c r="G5512" s="3">
        <f t="shared" si="659"/>
        <v>-8057.3976000000002</v>
      </c>
      <c r="H5512" s="3">
        <f t="shared" si="660"/>
        <v>8057.3976000000002</v>
      </c>
      <c r="I5512" s="5" t="str">
        <f t="shared" si="661"/>
        <v>016</v>
      </c>
      <c r="J5512" s="5" t="str">
        <f t="shared" si="662"/>
        <v>2100</v>
      </c>
      <c r="K5512" s="5" t="str">
        <f t="shared" si="663"/>
        <v>000</v>
      </c>
      <c r="L5512" s="5">
        <f t="shared" si="664"/>
        <v>2</v>
      </c>
      <c r="M5512" s="5">
        <f t="shared" si="665"/>
        <v>2013</v>
      </c>
    </row>
    <row r="5513" spans="1:13" ht="15" x14ac:dyDescent="0.25">
      <c r="A5513" s="1">
        <f>DATE(2013,2,9)</f>
        <v>41314</v>
      </c>
      <c r="B5513" t="s">
        <v>12</v>
      </c>
      <c r="C5513" t="s">
        <v>8</v>
      </c>
      <c r="D5513" s="3">
        <v>2926.1556</v>
      </c>
      <c r="E5513" s="3">
        <v>0</v>
      </c>
      <c r="F5513" t="s">
        <v>45</v>
      </c>
      <c r="G5513" s="3">
        <f t="shared" si="659"/>
        <v>-2926.1556</v>
      </c>
      <c r="H5513" s="3">
        <f t="shared" si="660"/>
        <v>2926.1556</v>
      </c>
      <c r="I5513" s="5" t="str">
        <f t="shared" si="661"/>
        <v>016</v>
      </c>
      <c r="J5513" s="5" t="str">
        <f t="shared" si="662"/>
        <v>2210</v>
      </c>
      <c r="K5513" s="5" t="str">
        <f t="shared" si="663"/>
        <v>000</v>
      </c>
      <c r="L5513" s="5">
        <f t="shared" si="664"/>
        <v>2</v>
      </c>
      <c r="M5513" s="5">
        <f t="shared" si="665"/>
        <v>2013</v>
      </c>
    </row>
    <row r="5514" spans="1:13" ht="15" x14ac:dyDescent="0.25">
      <c r="A5514" s="1">
        <f>DATE(2013,2,9)</f>
        <v>41314</v>
      </c>
      <c r="B5514" t="s">
        <v>13</v>
      </c>
      <c r="C5514" t="s">
        <v>9</v>
      </c>
      <c r="D5514" s="3">
        <v>549.02570000000003</v>
      </c>
      <c r="E5514" s="3">
        <v>0</v>
      </c>
      <c r="F5514" t="s">
        <v>45</v>
      </c>
      <c r="G5514" s="3">
        <f t="shared" si="659"/>
        <v>-549.02570000000003</v>
      </c>
      <c r="H5514" s="3">
        <f t="shared" si="660"/>
        <v>549.02570000000003</v>
      </c>
      <c r="I5514" s="5" t="str">
        <f t="shared" si="661"/>
        <v>016</v>
      </c>
      <c r="J5514" s="5" t="str">
        <f t="shared" si="662"/>
        <v>2220</v>
      </c>
      <c r="K5514" s="5" t="str">
        <f t="shared" si="663"/>
        <v>000</v>
      </c>
      <c r="L5514" s="5">
        <f t="shared" si="664"/>
        <v>2</v>
      </c>
      <c r="M5514" s="5">
        <f t="shared" si="665"/>
        <v>2013</v>
      </c>
    </row>
    <row r="5515" spans="1:13" ht="15" x14ac:dyDescent="0.25">
      <c r="A5515" s="1">
        <f>DATE(2013,2,9)</f>
        <v>41314</v>
      </c>
      <c r="B5515" t="s">
        <v>14</v>
      </c>
      <c r="C5515" t="s">
        <v>10</v>
      </c>
      <c r="D5515" s="3">
        <v>222.00839999999999</v>
      </c>
      <c r="E5515" s="3">
        <v>0</v>
      </c>
      <c r="F5515" t="s">
        <v>45</v>
      </c>
      <c r="G5515" s="3">
        <f t="shared" si="659"/>
        <v>-222.00839999999999</v>
      </c>
      <c r="H5515" s="3">
        <f t="shared" si="660"/>
        <v>222.00839999999999</v>
      </c>
      <c r="I5515" s="5" t="str">
        <f t="shared" si="661"/>
        <v>016</v>
      </c>
      <c r="J5515" s="5" t="str">
        <f t="shared" si="662"/>
        <v>2230</v>
      </c>
      <c r="K5515" s="5" t="str">
        <f t="shared" si="663"/>
        <v>000</v>
      </c>
      <c r="L5515" s="5">
        <f t="shared" si="664"/>
        <v>2</v>
      </c>
      <c r="M5515" s="5">
        <f t="shared" si="665"/>
        <v>2013</v>
      </c>
    </row>
    <row r="5516" spans="1:13" ht="15" x14ac:dyDescent="0.25">
      <c r="A5516" s="1">
        <f>DATE(2013,2,10)</f>
        <v>41315</v>
      </c>
      <c r="B5516" t="s">
        <v>11</v>
      </c>
      <c r="C5516" t="s">
        <v>6</v>
      </c>
      <c r="D5516" s="3">
        <v>7717.2636000000002</v>
      </c>
      <c r="E5516" s="3">
        <v>0</v>
      </c>
      <c r="F5516" t="s">
        <v>45</v>
      </c>
      <c r="G5516" s="3">
        <f t="shared" si="659"/>
        <v>-7717.2636000000002</v>
      </c>
      <c r="H5516" s="3">
        <f t="shared" si="660"/>
        <v>7717.2636000000002</v>
      </c>
      <c r="I5516" s="5" t="str">
        <f t="shared" si="661"/>
        <v>016</v>
      </c>
      <c r="J5516" s="5" t="str">
        <f t="shared" si="662"/>
        <v>2100</v>
      </c>
      <c r="K5516" s="5" t="str">
        <f t="shared" si="663"/>
        <v>000</v>
      </c>
      <c r="L5516" s="5">
        <f t="shared" si="664"/>
        <v>2</v>
      </c>
      <c r="M5516" s="5">
        <f t="shared" si="665"/>
        <v>2013</v>
      </c>
    </row>
    <row r="5517" spans="1:13" ht="15" x14ac:dyDescent="0.25">
      <c r="A5517" s="1">
        <f>DATE(2013,2,10)</f>
        <v>41315</v>
      </c>
      <c r="B5517" t="s">
        <v>12</v>
      </c>
      <c r="C5517" t="s">
        <v>8</v>
      </c>
      <c r="D5517" s="3">
        <v>1645.8860000000002</v>
      </c>
      <c r="E5517" s="3">
        <v>0</v>
      </c>
      <c r="F5517" t="s">
        <v>45</v>
      </c>
      <c r="G5517" s="3">
        <f t="shared" si="659"/>
        <v>-1645.8860000000002</v>
      </c>
      <c r="H5517" s="3">
        <f t="shared" si="660"/>
        <v>1645.8860000000002</v>
      </c>
      <c r="I5517" s="5" t="str">
        <f t="shared" si="661"/>
        <v>016</v>
      </c>
      <c r="J5517" s="5" t="str">
        <f t="shared" si="662"/>
        <v>2210</v>
      </c>
      <c r="K5517" s="5" t="str">
        <f t="shared" si="663"/>
        <v>000</v>
      </c>
      <c r="L5517" s="5">
        <f t="shared" si="664"/>
        <v>2</v>
      </c>
      <c r="M5517" s="5">
        <f t="shared" si="665"/>
        <v>2013</v>
      </c>
    </row>
    <row r="5518" spans="1:13" ht="15" x14ac:dyDescent="0.25">
      <c r="A5518" s="1">
        <f>DATE(2013,2,10)</f>
        <v>41315</v>
      </c>
      <c r="B5518" t="s">
        <v>13</v>
      </c>
      <c r="C5518" t="s">
        <v>9</v>
      </c>
      <c r="D5518" s="3">
        <v>247.04190000000003</v>
      </c>
      <c r="E5518" s="3">
        <v>0</v>
      </c>
      <c r="F5518" t="s">
        <v>45</v>
      </c>
      <c r="G5518" s="3">
        <f t="shared" si="659"/>
        <v>-247.04190000000003</v>
      </c>
      <c r="H5518" s="3">
        <f t="shared" si="660"/>
        <v>247.04190000000003</v>
      </c>
      <c r="I5518" s="5" t="str">
        <f t="shared" si="661"/>
        <v>016</v>
      </c>
      <c r="J5518" s="5" t="str">
        <f t="shared" si="662"/>
        <v>2220</v>
      </c>
      <c r="K5518" s="5" t="str">
        <f t="shared" si="663"/>
        <v>000</v>
      </c>
      <c r="L5518" s="5">
        <f t="shared" si="664"/>
        <v>2</v>
      </c>
      <c r="M5518" s="5">
        <f t="shared" si="665"/>
        <v>2013</v>
      </c>
    </row>
    <row r="5519" spans="1:13" ht="15" x14ac:dyDescent="0.25">
      <c r="A5519" s="1">
        <f>DATE(2013,2,10)</f>
        <v>41315</v>
      </c>
      <c r="B5519" t="s">
        <v>14</v>
      </c>
      <c r="C5519" t="s">
        <v>10</v>
      </c>
      <c r="D5519" s="3">
        <v>92.127200000000002</v>
      </c>
      <c r="E5519" s="3">
        <v>0</v>
      </c>
      <c r="F5519" t="s">
        <v>45</v>
      </c>
      <c r="G5519" s="3">
        <f t="shared" si="659"/>
        <v>-92.127200000000002</v>
      </c>
      <c r="H5519" s="3">
        <f t="shared" si="660"/>
        <v>92.127200000000002</v>
      </c>
      <c r="I5519" s="5" t="str">
        <f t="shared" si="661"/>
        <v>016</v>
      </c>
      <c r="J5519" s="5" t="str">
        <f t="shared" si="662"/>
        <v>2230</v>
      </c>
      <c r="K5519" s="5" t="str">
        <f t="shared" si="663"/>
        <v>000</v>
      </c>
      <c r="L5519" s="5">
        <f t="shared" si="664"/>
        <v>2</v>
      </c>
      <c r="M5519" s="5">
        <f t="shared" si="665"/>
        <v>2013</v>
      </c>
    </row>
    <row r="5520" spans="1:13" ht="15" x14ac:dyDescent="0.25">
      <c r="A5520" s="1">
        <f>DATE(2013,2,4)</f>
        <v>41309</v>
      </c>
      <c r="B5520" t="s">
        <v>15</v>
      </c>
      <c r="C5520" t="s">
        <v>6</v>
      </c>
      <c r="D5520" s="3">
        <v>2008.4861999999998</v>
      </c>
      <c r="E5520" s="3">
        <v>0</v>
      </c>
      <c r="F5520" t="s">
        <v>45</v>
      </c>
      <c r="G5520" s="3">
        <f t="shared" si="659"/>
        <v>-2008.4861999999998</v>
      </c>
      <c r="H5520" s="3">
        <f t="shared" si="660"/>
        <v>2008.4861999999998</v>
      </c>
      <c r="I5520" s="5" t="str">
        <f t="shared" si="661"/>
        <v>017</v>
      </c>
      <c r="J5520" s="5" t="str">
        <f t="shared" si="662"/>
        <v>2100</v>
      </c>
      <c r="K5520" s="5" t="str">
        <f t="shared" si="663"/>
        <v>000</v>
      </c>
      <c r="L5520" s="5">
        <f t="shared" si="664"/>
        <v>2</v>
      </c>
      <c r="M5520" s="5">
        <f t="shared" si="665"/>
        <v>2013</v>
      </c>
    </row>
    <row r="5521" spans="1:13" ht="15" x14ac:dyDescent="0.25">
      <c r="A5521" s="1">
        <f>DATE(2013,2,4)</f>
        <v>41309</v>
      </c>
      <c r="B5521" t="s">
        <v>16</v>
      </c>
      <c r="C5521" t="s">
        <v>8</v>
      </c>
      <c r="D5521" s="3">
        <v>479.14260000000002</v>
      </c>
      <c r="E5521" s="3">
        <v>0</v>
      </c>
      <c r="F5521" t="s">
        <v>45</v>
      </c>
      <c r="G5521" s="3">
        <f t="shared" si="659"/>
        <v>-479.14260000000002</v>
      </c>
      <c r="H5521" s="3">
        <f t="shared" si="660"/>
        <v>479.14260000000002</v>
      </c>
      <c r="I5521" s="5" t="str">
        <f t="shared" si="661"/>
        <v>017</v>
      </c>
      <c r="J5521" s="5" t="str">
        <f t="shared" si="662"/>
        <v>2210</v>
      </c>
      <c r="K5521" s="5" t="str">
        <f t="shared" si="663"/>
        <v>000</v>
      </c>
      <c r="L5521" s="5">
        <f t="shared" si="664"/>
        <v>2</v>
      </c>
      <c r="M5521" s="5">
        <f t="shared" si="665"/>
        <v>2013</v>
      </c>
    </row>
    <row r="5522" spans="1:13" ht="15" x14ac:dyDescent="0.25">
      <c r="A5522" s="1">
        <f>DATE(2013,2,4)</f>
        <v>41309</v>
      </c>
      <c r="B5522" t="s">
        <v>17</v>
      </c>
      <c r="C5522" t="s">
        <v>9</v>
      </c>
      <c r="D5522" s="3">
        <v>257.29799999999994</v>
      </c>
      <c r="E5522" s="3">
        <v>0</v>
      </c>
      <c r="F5522" t="s">
        <v>45</v>
      </c>
      <c r="G5522" s="3">
        <f t="shared" si="659"/>
        <v>-257.29799999999994</v>
      </c>
      <c r="H5522" s="3">
        <f t="shared" si="660"/>
        <v>257.29799999999994</v>
      </c>
      <c r="I5522" s="5" t="str">
        <f t="shared" si="661"/>
        <v>017</v>
      </c>
      <c r="J5522" s="5" t="str">
        <f t="shared" si="662"/>
        <v>2220</v>
      </c>
      <c r="K5522" s="5" t="str">
        <f t="shared" si="663"/>
        <v>000</v>
      </c>
      <c r="L5522" s="5">
        <f t="shared" si="664"/>
        <v>2</v>
      </c>
      <c r="M5522" s="5">
        <f t="shared" si="665"/>
        <v>2013</v>
      </c>
    </row>
    <row r="5523" spans="1:13" ht="15" x14ac:dyDescent="0.25">
      <c r="A5523" s="1">
        <f>DATE(2013,2,4)</f>
        <v>41309</v>
      </c>
      <c r="B5523" t="s">
        <v>18</v>
      </c>
      <c r="C5523" t="s">
        <v>10</v>
      </c>
      <c r="D5523" s="3">
        <v>65.232599999999991</v>
      </c>
      <c r="E5523" s="3">
        <v>0</v>
      </c>
      <c r="F5523" t="s">
        <v>45</v>
      </c>
      <c r="G5523" s="3">
        <f t="shared" si="659"/>
        <v>-65.232599999999991</v>
      </c>
      <c r="H5523" s="3">
        <f t="shared" si="660"/>
        <v>65.232599999999991</v>
      </c>
      <c r="I5523" s="5" t="str">
        <f t="shared" si="661"/>
        <v>017</v>
      </c>
      <c r="J5523" s="5" t="str">
        <f t="shared" si="662"/>
        <v>2230</v>
      </c>
      <c r="K5523" s="5" t="str">
        <f t="shared" si="663"/>
        <v>000</v>
      </c>
      <c r="L5523" s="5">
        <f t="shared" si="664"/>
        <v>2</v>
      </c>
      <c r="M5523" s="5">
        <f t="shared" si="665"/>
        <v>2013</v>
      </c>
    </row>
    <row r="5524" spans="1:13" ht="15" x14ac:dyDescent="0.25">
      <c r="A5524" s="1">
        <f>DATE(2013,2,5)</f>
        <v>41310</v>
      </c>
      <c r="B5524" t="s">
        <v>15</v>
      </c>
      <c r="C5524" t="s">
        <v>6</v>
      </c>
      <c r="D5524" s="3">
        <v>5804.6706000000004</v>
      </c>
      <c r="E5524" s="3">
        <v>0</v>
      </c>
      <c r="F5524" t="s">
        <v>45</v>
      </c>
      <c r="G5524" s="3">
        <f t="shared" si="659"/>
        <v>-5804.6706000000004</v>
      </c>
      <c r="H5524" s="3">
        <f t="shared" si="660"/>
        <v>5804.6706000000004</v>
      </c>
      <c r="I5524" s="5" t="str">
        <f t="shared" si="661"/>
        <v>017</v>
      </c>
      <c r="J5524" s="5" t="str">
        <f t="shared" si="662"/>
        <v>2100</v>
      </c>
      <c r="K5524" s="5" t="str">
        <f t="shared" si="663"/>
        <v>000</v>
      </c>
      <c r="L5524" s="5">
        <f t="shared" si="664"/>
        <v>2</v>
      </c>
      <c r="M5524" s="5">
        <f t="shared" si="665"/>
        <v>2013</v>
      </c>
    </row>
    <row r="5525" spans="1:13" ht="15" x14ac:dyDescent="0.25">
      <c r="A5525" s="1">
        <f>DATE(2013,2,5)</f>
        <v>41310</v>
      </c>
      <c r="B5525" t="s">
        <v>16</v>
      </c>
      <c r="C5525" t="s">
        <v>8</v>
      </c>
      <c r="D5525" s="3">
        <v>1052.45</v>
      </c>
      <c r="E5525" s="3">
        <v>0</v>
      </c>
      <c r="F5525" t="s">
        <v>45</v>
      </c>
      <c r="G5525" s="3">
        <f t="shared" si="659"/>
        <v>-1052.45</v>
      </c>
      <c r="H5525" s="3">
        <f t="shared" si="660"/>
        <v>1052.45</v>
      </c>
      <c r="I5525" s="5" t="str">
        <f t="shared" si="661"/>
        <v>017</v>
      </c>
      <c r="J5525" s="5" t="str">
        <f t="shared" si="662"/>
        <v>2210</v>
      </c>
      <c r="K5525" s="5" t="str">
        <f t="shared" si="663"/>
        <v>000</v>
      </c>
      <c r="L5525" s="5">
        <f t="shared" si="664"/>
        <v>2</v>
      </c>
      <c r="M5525" s="5">
        <f t="shared" si="665"/>
        <v>2013</v>
      </c>
    </row>
    <row r="5526" spans="1:13" ht="15" x14ac:dyDescent="0.25">
      <c r="A5526" s="1">
        <f>DATE(2013,2,5)</f>
        <v>41310</v>
      </c>
      <c r="B5526" t="s">
        <v>17</v>
      </c>
      <c r="C5526" t="s">
        <v>9</v>
      </c>
      <c r="D5526" s="3">
        <v>482.06849999999997</v>
      </c>
      <c r="E5526" s="3">
        <v>0</v>
      </c>
      <c r="F5526" t="s">
        <v>45</v>
      </c>
      <c r="G5526" s="3">
        <f t="shared" si="659"/>
        <v>-482.06849999999997</v>
      </c>
      <c r="H5526" s="3">
        <f t="shared" si="660"/>
        <v>482.06849999999997</v>
      </c>
      <c r="I5526" s="5" t="str">
        <f t="shared" si="661"/>
        <v>017</v>
      </c>
      <c r="J5526" s="5" t="str">
        <f t="shared" si="662"/>
        <v>2220</v>
      </c>
      <c r="K5526" s="5" t="str">
        <f t="shared" si="663"/>
        <v>000</v>
      </c>
      <c r="L5526" s="5">
        <f t="shared" si="664"/>
        <v>2</v>
      </c>
      <c r="M5526" s="5">
        <f t="shared" si="665"/>
        <v>2013</v>
      </c>
    </row>
    <row r="5527" spans="1:13" ht="15" x14ac:dyDescent="0.25">
      <c r="A5527" s="1">
        <f>DATE(2013,2,5)</f>
        <v>41310</v>
      </c>
      <c r="B5527" t="s">
        <v>18</v>
      </c>
      <c r="C5527" t="s">
        <v>10</v>
      </c>
      <c r="D5527" s="3">
        <v>126.50550000000001</v>
      </c>
      <c r="E5527" s="3">
        <v>0</v>
      </c>
      <c r="F5527" t="s">
        <v>45</v>
      </c>
      <c r="G5527" s="3">
        <f t="shared" si="659"/>
        <v>-126.50550000000001</v>
      </c>
      <c r="H5527" s="3">
        <f t="shared" si="660"/>
        <v>126.50550000000001</v>
      </c>
      <c r="I5527" s="5" t="str">
        <f t="shared" si="661"/>
        <v>017</v>
      </c>
      <c r="J5527" s="5" t="str">
        <f t="shared" si="662"/>
        <v>2230</v>
      </c>
      <c r="K5527" s="5" t="str">
        <f t="shared" si="663"/>
        <v>000</v>
      </c>
      <c r="L5527" s="5">
        <f t="shared" si="664"/>
        <v>2</v>
      </c>
      <c r="M5527" s="5">
        <f t="shared" si="665"/>
        <v>2013</v>
      </c>
    </row>
    <row r="5528" spans="1:13" ht="15" x14ac:dyDescent="0.25">
      <c r="A5528" s="1">
        <f t="shared" ref="A5528:A5531" si="666">DATE(2013,2,6)</f>
        <v>41311</v>
      </c>
      <c r="B5528" t="s">
        <v>15</v>
      </c>
      <c r="C5528" t="s">
        <v>6</v>
      </c>
      <c r="D5528" s="3">
        <v>5448.1192000000001</v>
      </c>
      <c r="E5528" s="3">
        <v>0</v>
      </c>
      <c r="F5528" t="s">
        <v>45</v>
      </c>
      <c r="G5528" s="3">
        <f t="shared" si="659"/>
        <v>-5448.1192000000001</v>
      </c>
      <c r="H5528" s="3">
        <f t="shared" si="660"/>
        <v>5448.1192000000001</v>
      </c>
      <c r="I5528" s="5" t="str">
        <f t="shared" si="661"/>
        <v>017</v>
      </c>
      <c r="J5528" s="5" t="str">
        <f t="shared" si="662"/>
        <v>2100</v>
      </c>
      <c r="K5528" s="5" t="str">
        <f t="shared" si="663"/>
        <v>000</v>
      </c>
      <c r="L5528" s="5">
        <f t="shared" si="664"/>
        <v>2</v>
      </c>
      <c r="M5528" s="5">
        <f t="shared" si="665"/>
        <v>2013</v>
      </c>
    </row>
    <row r="5529" spans="1:13" ht="15" x14ac:dyDescent="0.25">
      <c r="A5529" s="1">
        <f t="shared" si="666"/>
        <v>41311</v>
      </c>
      <c r="B5529" t="s">
        <v>16</v>
      </c>
      <c r="C5529" t="s">
        <v>8</v>
      </c>
      <c r="D5529" s="3">
        <v>1643.838</v>
      </c>
      <c r="E5529" s="3">
        <v>0</v>
      </c>
      <c r="F5529" t="s">
        <v>45</v>
      </c>
      <c r="G5529" s="3">
        <f t="shared" si="659"/>
        <v>-1643.838</v>
      </c>
      <c r="H5529" s="3">
        <f t="shared" si="660"/>
        <v>1643.838</v>
      </c>
      <c r="I5529" s="5" t="str">
        <f t="shared" si="661"/>
        <v>017</v>
      </c>
      <c r="J5529" s="5" t="str">
        <f t="shared" si="662"/>
        <v>2210</v>
      </c>
      <c r="K5529" s="5" t="str">
        <f t="shared" si="663"/>
        <v>000</v>
      </c>
      <c r="L5529" s="5">
        <f t="shared" si="664"/>
        <v>2</v>
      </c>
      <c r="M5529" s="5">
        <f t="shared" si="665"/>
        <v>2013</v>
      </c>
    </row>
    <row r="5530" spans="1:13" ht="15" x14ac:dyDescent="0.25">
      <c r="A5530" s="1">
        <f t="shared" si="666"/>
        <v>41311</v>
      </c>
      <c r="B5530" t="s">
        <v>17</v>
      </c>
      <c r="C5530" t="s">
        <v>9</v>
      </c>
      <c r="D5530" s="3">
        <v>363.35199999999998</v>
      </c>
      <c r="E5530" s="3">
        <v>0</v>
      </c>
      <c r="F5530" t="s">
        <v>45</v>
      </c>
      <c r="G5530" s="3">
        <f t="shared" si="659"/>
        <v>-363.35199999999998</v>
      </c>
      <c r="H5530" s="3">
        <f t="shared" si="660"/>
        <v>363.35199999999998</v>
      </c>
      <c r="I5530" s="5" t="str">
        <f t="shared" si="661"/>
        <v>017</v>
      </c>
      <c r="J5530" s="5" t="str">
        <f t="shared" si="662"/>
        <v>2220</v>
      </c>
      <c r="K5530" s="5" t="str">
        <f t="shared" si="663"/>
        <v>000</v>
      </c>
      <c r="L5530" s="5">
        <f t="shared" si="664"/>
        <v>2</v>
      </c>
      <c r="M5530" s="5">
        <f t="shared" si="665"/>
        <v>2013</v>
      </c>
    </row>
    <row r="5531" spans="1:13" ht="15" x14ac:dyDescent="0.25">
      <c r="A5531" s="1">
        <f t="shared" si="666"/>
        <v>41311</v>
      </c>
      <c r="B5531" t="s">
        <v>18</v>
      </c>
      <c r="C5531" t="s">
        <v>10</v>
      </c>
      <c r="D5531" s="3">
        <v>67.977000000000004</v>
      </c>
      <c r="E5531" s="3">
        <v>0</v>
      </c>
      <c r="F5531" t="s">
        <v>45</v>
      </c>
      <c r="G5531" s="3">
        <f t="shared" si="659"/>
        <v>-67.977000000000004</v>
      </c>
      <c r="H5531" s="3">
        <f t="shared" si="660"/>
        <v>67.977000000000004</v>
      </c>
      <c r="I5531" s="5" t="str">
        <f t="shared" si="661"/>
        <v>017</v>
      </c>
      <c r="J5531" s="5" t="str">
        <f t="shared" si="662"/>
        <v>2230</v>
      </c>
      <c r="K5531" s="5" t="str">
        <f t="shared" si="663"/>
        <v>000</v>
      </c>
      <c r="L5531" s="5">
        <f t="shared" si="664"/>
        <v>2</v>
      </c>
      <c r="M5531" s="5">
        <f t="shared" si="665"/>
        <v>2013</v>
      </c>
    </row>
    <row r="5532" spans="1:13" ht="15" x14ac:dyDescent="0.25">
      <c r="A5532" s="1">
        <f>DATE(2013,2,7)</f>
        <v>41312</v>
      </c>
      <c r="B5532" t="s">
        <v>15</v>
      </c>
      <c r="C5532" t="s">
        <v>6</v>
      </c>
      <c r="D5532" s="3">
        <v>4585.3024000000005</v>
      </c>
      <c r="E5532" s="3">
        <v>0</v>
      </c>
      <c r="F5532" t="s">
        <v>45</v>
      </c>
      <c r="G5532" s="3">
        <f t="shared" si="659"/>
        <v>-4585.3024000000005</v>
      </c>
      <c r="H5532" s="3">
        <f t="shared" si="660"/>
        <v>4585.3024000000005</v>
      </c>
      <c r="I5532" s="5" t="str">
        <f t="shared" si="661"/>
        <v>017</v>
      </c>
      <c r="J5532" s="5" t="str">
        <f t="shared" si="662"/>
        <v>2100</v>
      </c>
      <c r="K5532" s="5" t="str">
        <f t="shared" si="663"/>
        <v>000</v>
      </c>
      <c r="L5532" s="5">
        <f t="shared" si="664"/>
        <v>2</v>
      </c>
      <c r="M5532" s="5">
        <f t="shared" si="665"/>
        <v>2013</v>
      </c>
    </row>
    <row r="5533" spans="1:13" ht="15" x14ac:dyDescent="0.25">
      <c r="A5533" s="1">
        <f>DATE(2013,2,7)</f>
        <v>41312</v>
      </c>
      <c r="B5533" t="s">
        <v>16</v>
      </c>
      <c r="C5533" t="s">
        <v>8</v>
      </c>
      <c r="D5533" s="3">
        <v>1123.6726999999998</v>
      </c>
      <c r="E5533" s="3">
        <v>0</v>
      </c>
      <c r="F5533" t="s">
        <v>45</v>
      </c>
      <c r="G5533" s="3">
        <f t="shared" si="659"/>
        <v>-1123.6726999999998</v>
      </c>
      <c r="H5533" s="3">
        <f t="shared" si="660"/>
        <v>1123.6726999999998</v>
      </c>
      <c r="I5533" s="5" t="str">
        <f t="shared" si="661"/>
        <v>017</v>
      </c>
      <c r="J5533" s="5" t="str">
        <f t="shared" si="662"/>
        <v>2210</v>
      </c>
      <c r="K5533" s="5" t="str">
        <f t="shared" si="663"/>
        <v>000</v>
      </c>
      <c r="L5533" s="5">
        <f t="shared" si="664"/>
        <v>2</v>
      </c>
      <c r="M5533" s="5">
        <f t="shared" si="665"/>
        <v>2013</v>
      </c>
    </row>
    <row r="5534" spans="1:13" ht="15" x14ac:dyDescent="0.25">
      <c r="A5534" s="1">
        <f>DATE(2013,2,7)</f>
        <v>41312</v>
      </c>
      <c r="B5534" t="s">
        <v>17</v>
      </c>
      <c r="C5534" t="s">
        <v>9</v>
      </c>
      <c r="D5534" s="3">
        <v>386.00250000000005</v>
      </c>
      <c r="E5534" s="3">
        <v>0</v>
      </c>
      <c r="F5534" t="s">
        <v>45</v>
      </c>
      <c r="G5534" s="3">
        <f t="shared" si="659"/>
        <v>-386.00250000000005</v>
      </c>
      <c r="H5534" s="3">
        <f t="shared" si="660"/>
        <v>386.00250000000005</v>
      </c>
      <c r="I5534" s="5" t="str">
        <f t="shared" si="661"/>
        <v>017</v>
      </c>
      <c r="J5534" s="5" t="str">
        <f t="shared" si="662"/>
        <v>2220</v>
      </c>
      <c r="K5534" s="5" t="str">
        <f t="shared" si="663"/>
        <v>000</v>
      </c>
      <c r="L5534" s="5">
        <f t="shared" si="664"/>
        <v>2</v>
      </c>
      <c r="M5534" s="5">
        <f t="shared" si="665"/>
        <v>2013</v>
      </c>
    </row>
    <row r="5535" spans="1:13" ht="15" x14ac:dyDescent="0.25">
      <c r="A5535" s="1">
        <f>DATE(2013,2,7)</f>
        <v>41312</v>
      </c>
      <c r="B5535" t="s">
        <v>18</v>
      </c>
      <c r="C5535" t="s">
        <v>10</v>
      </c>
      <c r="D5535" s="3">
        <v>123.53999999999999</v>
      </c>
      <c r="E5535" s="3">
        <v>0</v>
      </c>
      <c r="F5535" t="s">
        <v>45</v>
      </c>
      <c r="G5535" s="3">
        <f t="shared" si="659"/>
        <v>-123.53999999999999</v>
      </c>
      <c r="H5535" s="3">
        <f t="shared" si="660"/>
        <v>123.53999999999999</v>
      </c>
      <c r="I5535" s="5" t="str">
        <f t="shared" si="661"/>
        <v>017</v>
      </c>
      <c r="J5535" s="5" t="str">
        <f t="shared" si="662"/>
        <v>2230</v>
      </c>
      <c r="K5535" s="5" t="str">
        <f t="shared" si="663"/>
        <v>000</v>
      </c>
      <c r="L5535" s="5">
        <f t="shared" si="664"/>
        <v>2</v>
      </c>
      <c r="M5535" s="5">
        <f t="shared" si="665"/>
        <v>2013</v>
      </c>
    </row>
    <row r="5536" spans="1:13" ht="15" x14ac:dyDescent="0.25">
      <c r="A5536" s="1">
        <f>DATE(2013,2,8)</f>
        <v>41313</v>
      </c>
      <c r="B5536" t="s">
        <v>15</v>
      </c>
      <c r="C5536" t="s">
        <v>6</v>
      </c>
      <c r="D5536" s="3">
        <v>7321.7187999999996</v>
      </c>
      <c r="E5536" s="3">
        <v>0</v>
      </c>
      <c r="F5536" t="s">
        <v>45</v>
      </c>
      <c r="G5536" s="3">
        <f t="shared" si="659"/>
        <v>-7321.7187999999996</v>
      </c>
      <c r="H5536" s="3">
        <f t="shared" si="660"/>
        <v>7321.7187999999996</v>
      </c>
      <c r="I5536" s="5" t="str">
        <f t="shared" si="661"/>
        <v>017</v>
      </c>
      <c r="J5536" s="5" t="str">
        <f t="shared" si="662"/>
        <v>2100</v>
      </c>
      <c r="K5536" s="5" t="str">
        <f t="shared" si="663"/>
        <v>000</v>
      </c>
      <c r="L5536" s="5">
        <f t="shared" si="664"/>
        <v>2</v>
      </c>
      <c r="M5536" s="5">
        <f t="shared" si="665"/>
        <v>2013</v>
      </c>
    </row>
    <row r="5537" spans="1:13" ht="15" x14ac:dyDescent="0.25">
      <c r="A5537" s="1">
        <f>DATE(2013,2,8)</f>
        <v>41313</v>
      </c>
      <c r="B5537" t="s">
        <v>16</v>
      </c>
      <c r="C5537" t="s">
        <v>8</v>
      </c>
      <c r="D5537" s="3">
        <v>2404.3607999999999</v>
      </c>
      <c r="E5537" s="3">
        <v>0</v>
      </c>
      <c r="F5537" t="s">
        <v>45</v>
      </c>
      <c r="G5537" s="3">
        <f t="shared" si="659"/>
        <v>-2404.3607999999999</v>
      </c>
      <c r="H5537" s="3">
        <f t="shared" si="660"/>
        <v>2404.3607999999999</v>
      </c>
      <c r="I5537" s="5" t="str">
        <f t="shared" si="661"/>
        <v>017</v>
      </c>
      <c r="J5537" s="5" t="str">
        <f t="shared" si="662"/>
        <v>2210</v>
      </c>
      <c r="K5537" s="5" t="str">
        <f t="shared" si="663"/>
        <v>000</v>
      </c>
      <c r="L5537" s="5">
        <f t="shared" si="664"/>
        <v>2</v>
      </c>
      <c r="M5537" s="5">
        <f t="shared" si="665"/>
        <v>2013</v>
      </c>
    </row>
    <row r="5538" spans="1:13" ht="15" x14ac:dyDescent="0.25">
      <c r="A5538" s="1">
        <f>DATE(2013,2,8)</f>
        <v>41313</v>
      </c>
      <c r="B5538" t="s">
        <v>17</v>
      </c>
      <c r="C5538" t="s">
        <v>9</v>
      </c>
      <c r="D5538" s="3">
        <v>458.26440000000002</v>
      </c>
      <c r="E5538" s="3">
        <v>0</v>
      </c>
      <c r="F5538" t="s">
        <v>45</v>
      </c>
      <c r="G5538" s="3">
        <f t="shared" si="659"/>
        <v>-458.26440000000002</v>
      </c>
      <c r="H5538" s="3">
        <f t="shared" si="660"/>
        <v>458.26440000000002</v>
      </c>
      <c r="I5538" s="5" t="str">
        <f t="shared" si="661"/>
        <v>017</v>
      </c>
      <c r="J5538" s="5" t="str">
        <f t="shared" si="662"/>
        <v>2220</v>
      </c>
      <c r="K5538" s="5" t="str">
        <f t="shared" si="663"/>
        <v>000</v>
      </c>
      <c r="L5538" s="5">
        <f t="shared" si="664"/>
        <v>2</v>
      </c>
      <c r="M5538" s="5">
        <f t="shared" si="665"/>
        <v>2013</v>
      </c>
    </row>
    <row r="5539" spans="1:13" ht="15" x14ac:dyDescent="0.25">
      <c r="A5539" s="1">
        <f>DATE(2013,2,8)</f>
        <v>41313</v>
      </c>
      <c r="B5539" t="s">
        <v>18</v>
      </c>
      <c r="C5539" t="s">
        <v>10</v>
      </c>
      <c r="D5539" s="3">
        <v>35.238</v>
      </c>
      <c r="E5539" s="3">
        <v>0</v>
      </c>
      <c r="F5539" t="s">
        <v>45</v>
      </c>
      <c r="G5539" s="3">
        <f t="shared" si="659"/>
        <v>-35.238</v>
      </c>
      <c r="H5539" s="3">
        <f t="shared" si="660"/>
        <v>35.238</v>
      </c>
      <c r="I5539" s="5" t="str">
        <f t="shared" si="661"/>
        <v>017</v>
      </c>
      <c r="J5539" s="5" t="str">
        <f t="shared" si="662"/>
        <v>2230</v>
      </c>
      <c r="K5539" s="5" t="str">
        <f t="shared" si="663"/>
        <v>000</v>
      </c>
      <c r="L5539" s="5">
        <f t="shared" si="664"/>
        <v>2</v>
      </c>
      <c r="M5539" s="5">
        <f t="shared" si="665"/>
        <v>2013</v>
      </c>
    </row>
    <row r="5540" spans="1:13" ht="15" x14ac:dyDescent="0.25">
      <c r="A5540" s="1">
        <f>DATE(2013,2,9)</f>
        <v>41314</v>
      </c>
      <c r="B5540" t="s">
        <v>15</v>
      </c>
      <c r="C5540" t="s">
        <v>6</v>
      </c>
      <c r="D5540" s="3">
        <v>8955.7365999999984</v>
      </c>
      <c r="E5540" s="3">
        <v>0</v>
      </c>
      <c r="F5540" t="s">
        <v>45</v>
      </c>
      <c r="G5540" s="3">
        <f t="shared" si="659"/>
        <v>-8955.7365999999984</v>
      </c>
      <c r="H5540" s="3">
        <f t="shared" si="660"/>
        <v>8955.7365999999984</v>
      </c>
      <c r="I5540" s="5" t="str">
        <f t="shared" si="661"/>
        <v>017</v>
      </c>
      <c r="J5540" s="5" t="str">
        <f t="shared" si="662"/>
        <v>2100</v>
      </c>
      <c r="K5540" s="5" t="str">
        <f t="shared" si="663"/>
        <v>000</v>
      </c>
      <c r="L5540" s="5">
        <f t="shared" si="664"/>
        <v>2</v>
      </c>
      <c r="M5540" s="5">
        <f t="shared" si="665"/>
        <v>2013</v>
      </c>
    </row>
    <row r="5541" spans="1:13" ht="15" x14ac:dyDescent="0.25">
      <c r="A5541" s="1">
        <f>DATE(2013,2,9)</f>
        <v>41314</v>
      </c>
      <c r="B5541" t="s">
        <v>16</v>
      </c>
      <c r="C5541" t="s">
        <v>8</v>
      </c>
      <c r="D5541" s="3">
        <v>1882.2313000000001</v>
      </c>
      <c r="E5541" s="3">
        <v>0</v>
      </c>
      <c r="F5541" t="s">
        <v>45</v>
      </c>
      <c r="G5541" s="3">
        <f t="shared" si="659"/>
        <v>-1882.2313000000001</v>
      </c>
      <c r="H5541" s="3">
        <f t="shared" si="660"/>
        <v>1882.2313000000001</v>
      </c>
      <c r="I5541" s="5" t="str">
        <f t="shared" si="661"/>
        <v>017</v>
      </c>
      <c r="J5541" s="5" t="str">
        <f t="shared" si="662"/>
        <v>2210</v>
      </c>
      <c r="K5541" s="5" t="str">
        <f t="shared" si="663"/>
        <v>000</v>
      </c>
      <c r="L5541" s="5">
        <f t="shared" si="664"/>
        <v>2</v>
      </c>
      <c r="M5541" s="5">
        <f t="shared" si="665"/>
        <v>2013</v>
      </c>
    </row>
    <row r="5542" spans="1:13" ht="15" x14ac:dyDescent="0.25">
      <c r="A5542" s="1">
        <f>DATE(2013,2,9)</f>
        <v>41314</v>
      </c>
      <c r="B5542" t="s">
        <v>17</v>
      </c>
      <c r="C5542" t="s">
        <v>9</v>
      </c>
      <c r="D5542" s="3">
        <v>515.375</v>
      </c>
      <c r="E5542" s="3">
        <v>0</v>
      </c>
      <c r="F5542" t="s">
        <v>45</v>
      </c>
      <c r="G5542" s="3">
        <f t="shared" si="659"/>
        <v>-515.375</v>
      </c>
      <c r="H5542" s="3">
        <f t="shared" si="660"/>
        <v>515.375</v>
      </c>
      <c r="I5542" s="5" t="str">
        <f t="shared" si="661"/>
        <v>017</v>
      </c>
      <c r="J5542" s="5" t="str">
        <f t="shared" si="662"/>
        <v>2220</v>
      </c>
      <c r="K5542" s="5" t="str">
        <f t="shared" si="663"/>
        <v>000</v>
      </c>
      <c r="L5542" s="5">
        <f t="shared" si="664"/>
        <v>2</v>
      </c>
      <c r="M5542" s="5">
        <f t="shared" si="665"/>
        <v>2013</v>
      </c>
    </row>
    <row r="5543" spans="1:13" ht="15" x14ac:dyDescent="0.25">
      <c r="A5543" s="1">
        <f>DATE(2013,2,9)</f>
        <v>41314</v>
      </c>
      <c r="B5543" t="s">
        <v>18</v>
      </c>
      <c r="C5543" t="s">
        <v>10</v>
      </c>
      <c r="D5543" s="3">
        <v>143.52799999999999</v>
      </c>
      <c r="E5543" s="3">
        <v>0</v>
      </c>
      <c r="F5543" t="s">
        <v>45</v>
      </c>
      <c r="G5543" s="3">
        <f t="shared" si="659"/>
        <v>-143.52799999999999</v>
      </c>
      <c r="H5543" s="3">
        <f t="shared" si="660"/>
        <v>143.52799999999999</v>
      </c>
      <c r="I5543" s="5" t="str">
        <f t="shared" si="661"/>
        <v>017</v>
      </c>
      <c r="J5543" s="5" t="str">
        <f t="shared" si="662"/>
        <v>2230</v>
      </c>
      <c r="K5543" s="5" t="str">
        <f t="shared" si="663"/>
        <v>000</v>
      </c>
      <c r="L5543" s="5">
        <f t="shared" si="664"/>
        <v>2</v>
      </c>
      <c r="M5543" s="5">
        <f t="shared" si="665"/>
        <v>2013</v>
      </c>
    </row>
    <row r="5544" spans="1:13" ht="15" x14ac:dyDescent="0.25">
      <c r="A5544" s="1">
        <f>DATE(2013,2,10)</f>
        <v>41315</v>
      </c>
      <c r="B5544" t="s">
        <v>15</v>
      </c>
      <c r="C5544" t="s">
        <v>6</v>
      </c>
      <c r="D5544" s="3">
        <v>6076.6639999999998</v>
      </c>
      <c r="E5544" s="3">
        <v>0</v>
      </c>
      <c r="F5544" t="s">
        <v>45</v>
      </c>
      <c r="G5544" s="3">
        <f t="shared" si="659"/>
        <v>-6076.6639999999998</v>
      </c>
      <c r="H5544" s="3">
        <f t="shared" si="660"/>
        <v>6076.6639999999998</v>
      </c>
      <c r="I5544" s="5" t="str">
        <f t="shared" si="661"/>
        <v>017</v>
      </c>
      <c r="J5544" s="5" t="str">
        <f t="shared" si="662"/>
        <v>2100</v>
      </c>
      <c r="K5544" s="5" t="str">
        <f t="shared" si="663"/>
        <v>000</v>
      </c>
      <c r="L5544" s="5">
        <f t="shared" si="664"/>
        <v>2</v>
      </c>
      <c r="M5544" s="5">
        <f t="shared" si="665"/>
        <v>2013</v>
      </c>
    </row>
    <row r="5545" spans="1:13" ht="15" x14ac:dyDescent="0.25">
      <c r="A5545" s="1">
        <f>DATE(2013,2,10)</f>
        <v>41315</v>
      </c>
      <c r="B5545" t="s">
        <v>16</v>
      </c>
      <c r="C5545" t="s">
        <v>8</v>
      </c>
      <c r="D5545" s="3">
        <v>1116.8664000000001</v>
      </c>
      <c r="E5545" s="3">
        <v>0</v>
      </c>
      <c r="F5545" t="s">
        <v>45</v>
      </c>
      <c r="G5545" s="3">
        <f t="shared" si="659"/>
        <v>-1116.8664000000001</v>
      </c>
      <c r="H5545" s="3">
        <f t="shared" si="660"/>
        <v>1116.8664000000001</v>
      </c>
      <c r="I5545" s="5" t="str">
        <f t="shared" si="661"/>
        <v>017</v>
      </c>
      <c r="J5545" s="5" t="str">
        <f t="shared" si="662"/>
        <v>2210</v>
      </c>
      <c r="K5545" s="5" t="str">
        <f t="shared" si="663"/>
        <v>000</v>
      </c>
      <c r="L5545" s="5">
        <f t="shared" si="664"/>
        <v>2</v>
      </c>
      <c r="M5545" s="5">
        <f t="shared" si="665"/>
        <v>2013</v>
      </c>
    </row>
    <row r="5546" spans="1:13" ht="15" x14ac:dyDescent="0.25">
      <c r="A5546" s="1">
        <f>DATE(2013,2,10)</f>
        <v>41315</v>
      </c>
      <c r="B5546" t="s">
        <v>17</v>
      </c>
      <c r="C5546" t="s">
        <v>9</v>
      </c>
      <c r="D5546" s="3">
        <v>142.92669999999998</v>
      </c>
      <c r="E5546" s="3">
        <v>0</v>
      </c>
      <c r="F5546" t="s">
        <v>45</v>
      </c>
      <c r="G5546" s="3">
        <f t="shared" si="659"/>
        <v>-142.92669999999998</v>
      </c>
      <c r="H5546" s="3">
        <f t="shared" si="660"/>
        <v>142.92669999999998</v>
      </c>
      <c r="I5546" s="5" t="str">
        <f t="shared" si="661"/>
        <v>017</v>
      </c>
      <c r="J5546" s="5" t="str">
        <f t="shared" si="662"/>
        <v>2220</v>
      </c>
      <c r="K5546" s="5" t="str">
        <f t="shared" si="663"/>
        <v>000</v>
      </c>
      <c r="L5546" s="5">
        <f t="shared" si="664"/>
        <v>2</v>
      </c>
      <c r="M5546" s="5">
        <f t="shared" si="665"/>
        <v>2013</v>
      </c>
    </row>
    <row r="5547" spans="1:13" ht="15" x14ac:dyDescent="0.25">
      <c r="A5547" s="1">
        <f>DATE(2013,2,10)</f>
        <v>41315</v>
      </c>
      <c r="B5547" t="s">
        <v>18</v>
      </c>
      <c r="C5547" t="s">
        <v>10</v>
      </c>
      <c r="D5547" s="3">
        <v>16.230499999999999</v>
      </c>
      <c r="E5547" s="3">
        <v>0</v>
      </c>
      <c r="F5547" t="s">
        <v>45</v>
      </c>
      <c r="G5547" s="3">
        <f t="shared" si="659"/>
        <v>-16.230499999999999</v>
      </c>
      <c r="H5547" s="3">
        <f t="shared" si="660"/>
        <v>16.230499999999999</v>
      </c>
      <c r="I5547" s="5" t="str">
        <f t="shared" si="661"/>
        <v>017</v>
      </c>
      <c r="J5547" s="5" t="str">
        <f t="shared" si="662"/>
        <v>2230</v>
      </c>
      <c r="K5547" s="5" t="str">
        <f t="shared" si="663"/>
        <v>000</v>
      </c>
      <c r="L5547" s="5">
        <f t="shared" si="664"/>
        <v>2</v>
      </c>
      <c r="M5547" s="5">
        <f t="shared" si="665"/>
        <v>2013</v>
      </c>
    </row>
    <row r="5548" spans="1:13" ht="15" x14ac:dyDescent="0.25">
      <c r="A5548" s="1">
        <f>DATE(2013,2,4)</f>
        <v>41309</v>
      </c>
      <c r="B5548" t="s">
        <v>19</v>
      </c>
      <c r="C5548" t="s">
        <v>6</v>
      </c>
      <c r="D5548" s="3">
        <v>3079.0672</v>
      </c>
      <c r="E5548" s="3">
        <v>0</v>
      </c>
      <c r="F5548" t="s">
        <v>45</v>
      </c>
      <c r="G5548" s="3">
        <f t="shared" si="659"/>
        <v>-3079.0672</v>
      </c>
      <c r="H5548" s="3">
        <f t="shared" si="660"/>
        <v>3079.0672</v>
      </c>
      <c r="I5548" s="5" t="str">
        <f t="shared" si="661"/>
        <v>018</v>
      </c>
      <c r="J5548" s="5" t="str">
        <f t="shared" si="662"/>
        <v>2100</v>
      </c>
      <c r="K5548" s="5" t="str">
        <f t="shared" si="663"/>
        <v>000</v>
      </c>
      <c r="L5548" s="5">
        <f t="shared" si="664"/>
        <v>2</v>
      </c>
      <c r="M5548" s="5">
        <f t="shared" si="665"/>
        <v>2013</v>
      </c>
    </row>
    <row r="5549" spans="1:13" ht="15" x14ac:dyDescent="0.25">
      <c r="A5549" s="1">
        <f>DATE(2013,2,4)</f>
        <v>41309</v>
      </c>
      <c r="B5549" t="s">
        <v>20</v>
      </c>
      <c r="C5549" t="s">
        <v>8</v>
      </c>
      <c r="D5549" s="3">
        <v>586.45310000000006</v>
      </c>
      <c r="E5549" s="3">
        <v>0</v>
      </c>
      <c r="F5549" t="s">
        <v>45</v>
      </c>
      <c r="G5549" s="3">
        <f t="shared" si="659"/>
        <v>-586.45310000000006</v>
      </c>
      <c r="H5549" s="3">
        <f t="shared" si="660"/>
        <v>586.45310000000006</v>
      </c>
      <c r="I5549" s="5" t="str">
        <f t="shared" si="661"/>
        <v>018</v>
      </c>
      <c r="J5549" s="5" t="str">
        <f t="shared" si="662"/>
        <v>2210</v>
      </c>
      <c r="K5549" s="5" t="str">
        <f t="shared" si="663"/>
        <v>000</v>
      </c>
      <c r="L5549" s="5">
        <f t="shared" si="664"/>
        <v>2</v>
      </c>
      <c r="M5549" s="5">
        <f t="shared" si="665"/>
        <v>2013</v>
      </c>
    </row>
    <row r="5550" spans="1:13" ht="15" x14ac:dyDescent="0.25">
      <c r="A5550" s="1">
        <f>DATE(2013,2,4)</f>
        <v>41309</v>
      </c>
      <c r="B5550" t="s">
        <v>21</v>
      </c>
      <c r="C5550" t="s">
        <v>9</v>
      </c>
      <c r="D5550" s="3">
        <v>84.8874</v>
      </c>
      <c r="E5550" s="3">
        <v>0</v>
      </c>
      <c r="F5550" t="s">
        <v>45</v>
      </c>
      <c r="G5550" s="3">
        <f t="shared" si="659"/>
        <v>-84.8874</v>
      </c>
      <c r="H5550" s="3">
        <f t="shared" si="660"/>
        <v>84.8874</v>
      </c>
      <c r="I5550" s="5" t="str">
        <f t="shared" si="661"/>
        <v>018</v>
      </c>
      <c r="J5550" s="5" t="str">
        <f t="shared" si="662"/>
        <v>2220</v>
      </c>
      <c r="K5550" s="5" t="str">
        <f t="shared" si="663"/>
        <v>000</v>
      </c>
      <c r="L5550" s="5">
        <f t="shared" si="664"/>
        <v>2</v>
      </c>
      <c r="M5550" s="5">
        <f t="shared" si="665"/>
        <v>2013</v>
      </c>
    </row>
    <row r="5551" spans="1:13" ht="15" x14ac:dyDescent="0.25">
      <c r="A5551" s="1">
        <f>DATE(2013,2,4)</f>
        <v>41309</v>
      </c>
      <c r="B5551" t="s">
        <v>22</v>
      </c>
      <c r="C5551" t="s">
        <v>10</v>
      </c>
      <c r="D5551" s="3">
        <v>20.220800000000001</v>
      </c>
      <c r="E5551" s="3">
        <v>0</v>
      </c>
      <c r="F5551" t="s">
        <v>45</v>
      </c>
      <c r="G5551" s="3">
        <f t="shared" si="659"/>
        <v>-20.220800000000001</v>
      </c>
      <c r="H5551" s="3">
        <f t="shared" si="660"/>
        <v>20.220800000000001</v>
      </c>
      <c r="I5551" s="5" t="str">
        <f t="shared" si="661"/>
        <v>018</v>
      </c>
      <c r="J5551" s="5" t="str">
        <f t="shared" si="662"/>
        <v>2230</v>
      </c>
      <c r="K5551" s="5" t="str">
        <f t="shared" si="663"/>
        <v>000</v>
      </c>
      <c r="L5551" s="5">
        <f t="shared" si="664"/>
        <v>2</v>
      </c>
      <c r="M5551" s="5">
        <f t="shared" si="665"/>
        <v>2013</v>
      </c>
    </row>
    <row r="5552" spans="1:13" ht="15" x14ac:dyDescent="0.25">
      <c r="A5552" s="1">
        <f>DATE(2013,2,5)</f>
        <v>41310</v>
      </c>
      <c r="B5552" t="s">
        <v>19</v>
      </c>
      <c r="C5552" t="s">
        <v>6</v>
      </c>
      <c r="D5552" s="3">
        <v>2482.8258000000001</v>
      </c>
      <c r="E5552" s="3">
        <v>0</v>
      </c>
      <c r="F5552" t="s">
        <v>45</v>
      </c>
      <c r="G5552" s="3">
        <f t="shared" si="659"/>
        <v>-2482.8258000000001</v>
      </c>
      <c r="H5552" s="3">
        <f t="shared" si="660"/>
        <v>2482.8258000000001</v>
      </c>
      <c r="I5552" s="5" t="str">
        <f t="shared" si="661"/>
        <v>018</v>
      </c>
      <c r="J5552" s="5" t="str">
        <f t="shared" si="662"/>
        <v>2100</v>
      </c>
      <c r="K5552" s="5" t="str">
        <f t="shared" si="663"/>
        <v>000</v>
      </c>
      <c r="L5552" s="5">
        <f t="shared" si="664"/>
        <v>2</v>
      </c>
      <c r="M5552" s="5">
        <f t="shared" si="665"/>
        <v>2013</v>
      </c>
    </row>
    <row r="5553" spans="1:13" ht="15" x14ac:dyDescent="0.25">
      <c r="A5553" s="1">
        <f>DATE(2013,2,5)</f>
        <v>41310</v>
      </c>
      <c r="B5553" t="s">
        <v>20</v>
      </c>
      <c r="C5553" t="s">
        <v>8</v>
      </c>
      <c r="D5553" s="3">
        <v>492.23020000000002</v>
      </c>
      <c r="E5553" s="3">
        <v>0</v>
      </c>
      <c r="F5553" t="s">
        <v>45</v>
      </c>
      <c r="G5553" s="3">
        <f t="shared" si="659"/>
        <v>-492.23020000000002</v>
      </c>
      <c r="H5553" s="3">
        <f t="shared" si="660"/>
        <v>492.23020000000002</v>
      </c>
      <c r="I5553" s="5" t="str">
        <f t="shared" si="661"/>
        <v>018</v>
      </c>
      <c r="J5553" s="5" t="str">
        <f t="shared" si="662"/>
        <v>2210</v>
      </c>
      <c r="K5553" s="5" t="str">
        <f t="shared" si="663"/>
        <v>000</v>
      </c>
      <c r="L5553" s="5">
        <f t="shared" si="664"/>
        <v>2</v>
      </c>
      <c r="M5553" s="5">
        <f t="shared" si="665"/>
        <v>2013</v>
      </c>
    </row>
    <row r="5554" spans="1:13" ht="15" x14ac:dyDescent="0.25">
      <c r="A5554" s="1">
        <f>DATE(2013,2,5)</f>
        <v>41310</v>
      </c>
      <c r="B5554" t="s">
        <v>21</v>
      </c>
      <c r="C5554" t="s">
        <v>9</v>
      </c>
      <c r="D5554" s="3">
        <v>153.8109</v>
      </c>
      <c r="E5554" s="3">
        <v>0</v>
      </c>
      <c r="F5554" t="s">
        <v>45</v>
      </c>
      <c r="G5554" s="3">
        <f t="shared" si="659"/>
        <v>-153.8109</v>
      </c>
      <c r="H5554" s="3">
        <f t="shared" si="660"/>
        <v>153.8109</v>
      </c>
      <c r="I5554" s="5" t="str">
        <f t="shared" si="661"/>
        <v>018</v>
      </c>
      <c r="J5554" s="5" t="str">
        <f t="shared" si="662"/>
        <v>2220</v>
      </c>
      <c r="K5554" s="5" t="str">
        <f t="shared" si="663"/>
        <v>000</v>
      </c>
      <c r="L5554" s="5">
        <f t="shared" si="664"/>
        <v>2</v>
      </c>
      <c r="M5554" s="5">
        <f t="shared" si="665"/>
        <v>2013</v>
      </c>
    </row>
    <row r="5555" spans="1:13" ht="15" x14ac:dyDescent="0.25">
      <c r="A5555" s="1">
        <f>DATE(2013,2,5)</f>
        <v>41310</v>
      </c>
      <c r="B5555" t="s">
        <v>22</v>
      </c>
      <c r="C5555" t="s">
        <v>10</v>
      </c>
      <c r="D5555" s="3">
        <v>68.274000000000001</v>
      </c>
      <c r="E5555" s="3">
        <v>0</v>
      </c>
      <c r="F5555" t="s">
        <v>45</v>
      </c>
      <c r="G5555" s="3">
        <f t="shared" si="659"/>
        <v>-68.274000000000001</v>
      </c>
      <c r="H5555" s="3">
        <f t="shared" si="660"/>
        <v>68.274000000000001</v>
      </c>
      <c r="I5555" s="5" t="str">
        <f t="shared" si="661"/>
        <v>018</v>
      </c>
      <c r="J5555" s="5" t="str">
        <f t="shared" si="662"/>
        <v>2230</v>
      </c>
      <c r="K5555" s="5" t="str">
        <f t="shared" si="663"/>
        <v>000</v>
      </c>
      <c r="L5555" s="5">
        <f t="shared" si="664"/>
        <v>2</v>
      </c>
      <c r="M5555" s="5">
        <f t="shared" si="665"/>
        <v>2013</v>
      </c>
    </row>
    <row r="5556" spans="1:13" ht="15" x14ac:dyDescent="0.25">
      <c r="A5556" s="1">
        <f>DATE(2013,2,6)</f>
        <v>41311</v>
      </c>
      <c r="B5556" t="s">
        <v>19</v>
      </c>
      <c r="C5556" t="s">
        <v>6</v>
      </c>
      <c r="D5556" s="3">
        <v>3817.0955999999996</v>
      </c>
      <c r="E5556" s="3">
        <v>0</v>
      </c>
      <c r="F5556" t="s">
        <v>45</v>
      </c>
      <c r="G5556" s="3">
        <f t="shared" si="659"/>
        <v>-3817.0955999999996</v>
      </c>
      <c r="H5556" s="3">
        <f t="shared" si="660"/>
        <v>3817.0955999999996</v>
      </c>
      <c r="I5556" s="5" t="str">
        <f t="shared" si="661"/>
        <v>018</v>
      </c>
      <c r="J5556" s="5" t="str">
        <f t="shared" si="662"/>
        <v>2100</v>
      </c>
      <c r="K5556" s="5" t="str">
        <f t="shared" si="663"/>
        <v>000</v>
      </c>
      <c r="L5556" s="5">
        <f t="shared" si="664"/>
        <v>2</v>
      </c>
      <c r="M5556" s="5">
        <f t="shared" si="665"/>
        <v>2013</v>
      </c>
    </row>
    <row r="5557" spans="1:13" ht="15" x14ac:dyDescent="0.25">
      <c r="A5557" s="1">
        <f>DATE(2013,2,6)</f>
        <v>41311</v>
      </c>
      <c r="B5557" t="s">
        <v>20</v>
      </c>
      <c r="C5557" t="s">
        <v>8</v>
      </c>
      <c r="D5557" s="3">
        <v>525.47479999999996</v>
      </c>
      <c r="E5557" s="3">
        <v>0</v>
      </c>
      <c r="F5557" t="s">
        <v>45</v>
      </c>
      <c r="G5557" s="3">
        <f t="shared" si="659"/>
        <v>-525.47479999999996</v>
      </c>
      <c r="H5557" s="3">
        <f t="shared" si="660"/>
        <v>525.47479999999996</v>
      </c>
      <c r="I5557" s="5" t="str">
        <f t="shared" si="661"/>
        <v>018</v>
      </c>
      <c r="J5557" s="5" t="str">
        <f t="shared" si="662"/>
        <v>2210</v>
      </c>
      <c r="K5557" s="5" t="str">
        <f t="shared" si="663"/>
        <v>000</v>
      </c>
      <c r="L5557" s="5">
        <f t="shared" si="664"/>
        <v>2</v>
      </c>
      <c r="M5557" s="5">
        <f t="shared" si="665"/>
        <v>2013</v>
      </c>
    </row>
    <row r="5558" spans="1:13" ht="15" x14ac:dyDescent="0.25">
      <c r="A5558" s="1">
        <f>DATE(2013,2,6)</f>
        <v>41311</v>
      </c>
      <c r="B5558" t="s">
        <v>21</v>
      </c>
      <c r="C5558" t="s">
        <v>9</v>
      </c>
      <c r="D5558" s="3">
        <v>262.5326</v>
      </c>
      <c r="E5558" s="3">
        <v>0</v>
      </c>
      <c r="F5558" t="s">
        <v>45</v>
      </c>
      <c r="G5558" s="3">
        <f t="shared" si="659"/>
        <v>-262.5326</v>
      </c>
      <c r="H5558" s="3">
        <f t="shared" si="660"/>
        <v>262.5326</v>
      </c>
      <c r="I5558" s="5" t="str">
        <f t="shared" si="661"/>
        <v>018</v>
      </c>
      <c r="J5558" s="5" t="str">
        <f t="shared" si="662"/>
        <v>2220</v>
      </c>
      <c r="K5558" s="5" t="str">
        <f t="shared" si="663"/>
        <v>000</v>
      </c>
      <c r="L5558" s="5">
        <f t="shared" si="664"/>
        <v>2</v>
      </c>
      <c r="M5558" s="5">
        <f t="shared" si="665"/>
        <v>2013</v>
      </c>
    </row>
    <row r="5559" spans="1:13" ht="15" x14ac:dyDescent="0.25">
      <c r="A5559" s="1">
        <f>DATE(2013,2,6)</f>
        <v>41311</v>
      </c>
      <c r="B5559" t="s">
        <v>22</v>
      </c>
      <c r="C5559" t="s">
        <v>10</v>
      </c>
      <c r="D5559" s="3">
        <v>35.156000000000006</v>
      </c>
      <c r="E5559" s="3">
        <v>0</v>
      </c>
      <c r="F5559" t="s">
        <v>45</v>
      </c>
      <c r="G5559" s="3">
        <f t="shared" si="659"/>
        <v>-35.156000000000006</v>
      </c>
      <c r="H5559" s="3">
        <f t="shared" si="660"/>
        <v>35.156000000000006</v>
      </c>
      <c r="I5559" s="5" t="str">
        <f t="shared" si="661"/>
        <v>018</v>
      </c>
      <c r="J5559" s="5" t="str">
        <f t="shared" si="662"/>
        <v>2230</v>
      </c>
      <c r="K5559" s="5" t="str">
        <f t="shared" si="663"/>
        <v>000</v>
      </c>
      <c r="L5559" s="5">
        <f t="shared" si="664"/>
        <v>2</v>
      </c>
      <c r="M5559" s="5">
        <f t="shared" si="665"/>
        <v>2013</v>
      </c>
    </row>
    <row r="5560" spans="1:13" ht="15" x14ac:dyDescent="0.25">
      <c r="A5560" s="1">
        <f>DATE(2013,2,7)</f>
        <v>41312</v>
      </c>
      <c r="B5560" t="s">
        <v>19</v>
      </c>
      <c r="C5560" t="s">
        <v>6</v>
      </c>
      <c r="D5560" s="3">
        <v>2540.6080000000002</v>
      </c>
      <c r="E5560" s="3">
        <v>0</v>
      </c>
      <c r="F5560" t="s">
        <v>45</v>
      </c>
      <c r="G5560" s="3">
        <f t="shared" si="659"/>
        <v>-2540.6080000000002</v>
      </c>
      <c r="H5560" s="3">
        <f t="shared" si="660"/>
        <v>2540.6080000000002</v>
      </c>
      <c r="I5560" s="5" t="str">
        <f t="shared" si="661"/>
        <v>018</v>
      </c>
      <c r="J5560" s="5" t="str">
        <f t="shared" si="662"/>
        <v>2100</v>
      </c>
      <c r="K5560" s="5" t="str">
        <f t="shared" si="663"/>
        <v>000</v>
      </c>
      <c r="L5560" s="5">
        <f t="shared" si="664"/>
        <v>2</v>
      </c>
      <c r="M5560" s="5">
        <f t="shared" si="665"/>
        <v>2013</v>
      </c>
    </row>
    <row r="5561" spans="1:13" ht="15" x14ac:dyDescent="0.25">
      <c r="A5561" s="1">
        <f>DATE(2013,2,7)</f>
        <v>41312</v>
      </c>
      <c r="B5561" t="s">
        <v>20</v>
      </c>
      <c r="C5561" t="s">
        <v>8</v>
      </c>
      <c r="D5561" s="3">
        <v>489.73179999999996</v>
      </c>
      <c r="E5561" s="3">
        <v>0</v>
      </c>
      <c r="F5561" t="s">
        <v>45</v>
      </c>
      <c r="G5561" s="3">
        <f t="shared" si="659"/>
        <v>-489.73179999999996</v>
      </c>
      <c r="H5561" s="3">
        <f t="shared" si="660"/>
        <v>489.73179999999996</v>
      </c>
      <c r="I5561" s="5" t="str">
        <f t="shared" si="661"/>
        <v>018</v>
      </c>
      <c r="J5561" s="5" t="str">
        <f t="shared" si="662"/>
        <v>2210</v>
      </c>
      <c r="K5561" s="5" t="str">
        <f t="shared" si="663"/>
        <v>000</v>
      </c>
      <c r="L5561" s="5">
        <f t="shared" si="664"/>
        <v>2</v>
      </c>
      <c r="M5561" s="5">
        <f t="shared" si="665"/>
        <v>2013</v>
      </c>
    </row>
    <row r="5562" spans="1:13" ht="15" x14ac:dyDescent="0.25">
      <c r="A5562" s="1">
        <f>DATE(2013,2,7)</f>
        <v>41312</v>
      </c>
      <c r="B5562" t="s">
        <v>21</v>
      </c>
      <c r="C5562" t="s">
        <v>9</v>
      </c>
      <c r="D5562" s="3">
        <v>40.298999999999999</v>
      </c>
      <c r="E5562" s="3">
        <v>0</v>
      </c>
      <c r="F5562" t="s">
        <v>45</v>
      </c>
      <c r="G5562" s="3">
        <f t="shared" si="659"/>
        <v>-40.298999999999999</v>
      </c>
      <c r="H5562" s="3">
        <f t="shared" si="660"/>
        <v>40.298999999999999</v>
      </c>
      <c r="I5562" s="5" t="str">
        <f t="shared" si="661"/>
        <v>018</v>
      </c>
      <c r="J5562" s="5" t="str">
        <f t="shared" si="662"/>
        <v>2220</v>
      </c>
      <c r="K5562" s="5" t="str">
        <f t="shared" si="663"/>
        <v>000</v>
      </c>
      <c r="L5562" s="5">
        <f t="shared" si="664"/>
        <v>2</v>
      </c>
      <c r="M5562" s="5">
        <f t="shared" si="665"/>
        <v>2013</v>
      </c>
    </row>
    <row r="5563" spans="1:13" ht="15" x14ac:dyDescent="0.25">
      <c r="A5563" s="1">
        <f>DATE(2013,2,7)</f>
        <v>41312</v>
      </c>
      <c r="B5563" t="s">
        <v>22</v>
      </c>
      <c r="C5563" t="s">
        <v>10</v>
      </c>
      <c r="D5563" s="3">
        <v>20.898599999999998</v>
      </c>
      <c r="E5563" s="3">
        <v>0</v>
      </c>
      <c r="F5563" t="s">
        <v>45</v>
      </c>
      <c r="G5563" s="3">
        <f t="shared" si="659"/>
        <v>-20.898599999999998</v>
      </c>
      <c r="H5563" s="3">
        <f t="shared" si="660"/>
        <v>20.898599999999998</v>
      </c>
      <c r="I5563" s="5" t="str">
        <f t="shared" si="661"/>
        <v>018</v>
      </c>
      <c r="J5563" s="5" t="str">
        <f t="shared" si="662"/>
        <v>2230</v>
      </c>
      <c r="K5563" s="5" t="str">
        <f t="shared" si="663"/>
        <v>000</v>
      </c>
      <c r="L5563" s="5">
        <f t="shared" si="664"/>
        <v>2</v>
      </c>
      <c r="M5563" s="5">
        <f t="shared" si="665"/>
        <v>2013</v>
      </c>
    </row>
    <row r="5564" spans="1:13" ht="15" x14ac:dyDescent="0.25">
      <c r="A5564" s="1">
        <f>DATE(2013,2,8)</f>
        <v>41313</v>
      </c>
      <c r="B5564" t="s">
        <v>19</v>
      </c>
      <c r="C5564" t="s">
        <v>6</v>
      </c>
      <c r="D5564" s="3">
        <v>9420.255799999999</v>
      </c>
      <c r="E5564" s="3">
        <v>0</v>
      </c>
      <c r="F5564" t="s">
        <v>45</v>
      </c>
      <c r="G5564" s="3">
        <f t="shared" si="659"/>
        <v>-9420.255799999999</v>
      </c>
      <c r="H5564" s="3">
        <f t="shared" si="660"/>
        <v>9420.255799999999</v>
      </c>
      <c r="I5564" s="5" t="str">
        <f t="shared" si="661"/>
        <v>018</v>
      </c>
      <c r="J5564" s="5" t="str">
        <f t="shared" si="662"/>
        <v>2100</v>
      </c>
      <c r="K5564" s="5" t="str">
        <f t="shared" si="663"/>
        <v>000</v>
      </c>
      <c r="L5564" s="5">
        <f t="shared" si="664"/>
        <v>2</v>
      </c>
      <c r="M5564" s="5">
        <f t="shared" si="665"/>
        <v>2013</v>
      </c>
    </row>
    <row r="5565" spans="1:13" ht="15" x14ac:dyDescent="0.25">
      <c r="A5565" s="1">
        <f>DATE(2013,2,8)</f>
        <v>41313</v>
      </c>
      <c r="B5565" t="s">
        <v>20</v>
      </c>
      <c r="C5565" t="s">
        <v>8</v>
      </c>
      <c r="D5565" s="3">
        <v>1840.4187999999999</v>
      </c>
      <c r="E5565" s="3">
        <v>0</v>
      </c>
      <c r="F5565" t="s">
        <v>45</v>
      </c>
      <c r="G5565" s="3">
        <f t="shared" si="659"/>
        <v>-1840.4187999999999</v>
      </c>
      <c r="H5565" s="3">
        <f t="shared" si="660"/>
        <v>1840.4187999999999</v>
      </c>
      <c r="I5565" s="5" t="str">
        <f t="shared" si="661"/>
        <v>018</v>
      </c>
      <c r="J5565" s="5" t="str">
        <f t="shared" si="662"/>
        <v>2210</v>
      </c>
      <c r="K5565" s="5" t="str">
        <f t="shared" si="663"/>
        <v>000</v>
      </c>
      <c r="L5565" s="5">
        <f t="shared" si="664"/>
        <v>2</v>
      </c>
      <c r="M5565" s="5">
        <f t="shared" si="665"/>
        <v>2013</v>
      </c>
    </row>
    <row r="5566" spans="1:13" ht="15" x14ac:dyDescent="0.25">
      <c r="A5566" s="1">
        <f>DATE(2013,2,8)</f>
        <v>41313</v>
      </c>
      <c r="B5566" t="s">
        <v>21</v>
      </c>
      <c r="C5566" t="s">
        <v>9</v>
      </c>
      <c r="D5566" s="3">
        <v>467.14250000000004</v>
      </c>
      <c r="E5566" s="3">
        <v>0</v>
      </c>
      <c r="F5566" t="s">
        <v>45</v>
      </c>
      <c r="G5566" s="3">
        <f t="shared" si="659"/>
        <v>-467.14250000000004</v>
      </c>
      <c r="H5566" s="3">
        <f t="shared" si="660"/>
        <v>467.14250000000004</v>
      </c>
      <c r="I5566" s="5" t="str">
        <f t="shared" si="661"/>
        <v>018</v>
      </c>
      <c r="J5566" s="5" t="str">
        <f t="shared" si="662"/>
        <v>2220</v>
      </c>
      <c r="K5566" s="5" t="str">
        <f t="shared" si="663"/>
        <v>000</v>
      </c>
      <c r="L5566" s="5">
        <f t="shared" si="664"/>
        <v>2</v>
      </c>
      <c r="M5566" s="5">
        <f t="shared" si="665"/>
        <v>2013</v>
      </c>
    </row>
    <row r="5567" spans="1:13" ht="15" x14ac:dyDescent="0.25">
      <c r="A5567" s="1">
        <f>DATE(2013,2,8)</f>
        <v>41313</v>
      </c>
      <c r="B5567" t="s">
        <v>22</v>
      </c>
      <c r="C5567" t="s">
        <v>10</v>
      </c>
      <c r="D5567" s="3">
        <v>138.18960000000001</v>
      </c>
      <c r="E5567" s="3">
        <v>0</v>
      </c>
      <c r="F5567" t="s">
        <v>45</v>
      </c>
      <c r="G5567" s="3">
        <f t="shared" si="659"/>
        <v>-138.18960000000001</v>
      </c>
      <c r="H5567" s="3">
        <f t="shared" si="660"/>
        <v>138.18960000000001</v>
      </c>
      <c r="I5567" s="5" t="str">
        <f t="shared" si="661"/>
        <v>018</v>
      </c>
      <c r="J5567" s="5" t="str">
        <f t="shared" si="662"/>
        <v>2230</v>
      </c>
      <c r="K5567" s="5" t="str">
        <f t="shared" si="663"/>
        <v>000</v>
      </c>
      <c r="L5567" s="5">
        <f t="shared" si="664"/>
        <v>2</v>
      </c>
      <c r="M5567" s="5">
        <f t="shared" si="665"/>
        <v>2013</v>
      </c>
    </row>
    <row r="5568" spans="1:13" ht="15" x14ac:dyDescent="0.25">
      <c r="A5568" s="1">
        <f>DATE(2013,2,9)</f>
        <v>41314</v>
      </c>
      <c r="B5568" t="s">
        <v>19</v>
      </c>
      <c r="C5568" t="s">
        <v>6</v>
      </c>
      <c r="D5568" s="3">
        <v>17342.257600000001</v>
      </c>
      <c r="E5568" s="3">
        <v>0</v>
      </c>
      <c r="F5568" t="s">
        <v>45</v>
      </c>
      <c r="G5568" s="3">
        <f t="shared" si="659"/>
        <v>-17342.257600000001</v>
      </c>
      <c r="H5568" s="3">
        <f t="shared" si="660"/>
        <v>17342.257600000001</v>
      </c>
      <c r="I5568" s="5" t="str">
        <f t="shared" si="661"/>
        <v>018</v>
      </c>
      <c r="J5568" s="5" t="str">
        <f t="shared" si="662"/>
        <v>2100</v>
      </c>
      <c r="K5568" s="5" t="str">
        <f t="shared" si="663"/>
        <v>000</v>
      </c>
      <c r="L5568" s="5">
        <f t="shared" si="664"/>
        <v>2</v>
      </c>
      <c r="M5568" s="5">
        <f t="shared" si="665"/>
        <v>2013</v>
      </c>
    </row>
    <row r="5569" spans="1:13" ht="15" x14ac:dyDescent="0.25">
      <c r="A5569" s="1">
        <f>DATE(2013,2,9)</f>
        <v>41314</v>
      </c>
      <c r="B5569" t="s">
        <v>20</v>
      </c>
      <c r="C5569" t="s">
        <v>8</v>
      </c>
      <c r="D5569" s="3">
        <v>3380.6780000000003</v>
      </c>
      <c r="E5569" s="3">
        <v>0</v>
      </c>
      <c r="F5569" t="s">
        <v>45</v>
      </c>
      <c r="G5569" s="3">
        <f t="shared" si="659"/>
        <v>-3380.6780000000003</v>
      </c>
      <c r="H5569" s="3">
        <f t="shared" si="660"/>
        <v>3380.6780000000003</v>
      </c>
      <c r="I5569" s="5" t="str">
        <f t="shared" si="661"/>
        <v>018</v>
      </c>
      <c r="J5569" s="5" t="str">
        <f t="shared" si="662"/>
        <v>2210</v>
      </c>
      <c r="K5569" s="5" t="str">
        <f t="shared" si="663"/>
        <v>000</v>
      </c>
      <c r="L5569" s="5">
        <f t="shared" si="664"/>
        <v>2</v>
      </c>
      <c r="M5569" s="5">
        <f t="shared" si="665"/>
        <v>2013</v>
      </c>
    </row>
    <row r="5570" spans="1:13" ht="15" x14ac:dyDescent="0.25">
      <c r="A5570" s="1">
        <f>DATE(2013,2,9)</f>
        <v>41314</v>
      </c>
      <c r="B5570" t="s">
        <v>21</v>
      </c>
      <c r="C5570" t="s">
        <v>9</v>
      </c>
      <c r="D5570" s="3">
        <v>639.57039999999995</v>
      </c>
      <c r="E5570" s="3">
        <v>0</v>
      </c>
      <c r="F5570" t="s">
        <v>45</v>
      </c>
      <c r="G5570" s="3">
        <f t="shared" ref="G5570:G5633" si="667">E5570-D5570</f>
        <v>-639.57039999999995</v>
      </c>
      <c r="H5570" s="3">
        <f t="shared" ref="H5570:H5633" si="668">ABS(G5570)</f>
        <v>639.57039999999995</v>
      </c>
      <c r="I5570" s="5" t="str">
        <f t="shared" ref="I5570:I5633" si="669">MID(B5570,1,3)</f>
        <v>018</v>
      </c>
      <c r="J5570" s="5" t="str">
        <f t="shared" ref="J5570:J5633" si="670">MID(B5570,5,4)</f>
        <v>2220</v>
      </c>
      <c r="K5570" s="5" t="str">
        <f t="shared" ref="K5570:K5633" si="671">MID(B5570,10,3)</f>
        <v>000</v>
      </c>
      <c r="L5570" s="5">
        <f t="shared" ref="L5570:L5633" si="672">MONTH(A5570)</f>
        <v>2</v>
      </c>
      <c r="M5570" s="5">
        <f t="shared" ref="M5570:M5633" si="673">YEAR(A5570)</f>
        <v>2013</v>
      </c>
    </row>
    <row r="5571" spans="1:13" ht="15" x14ac:dyDescent="0.25">
      <c r="A5571" s="1">
        <f>DATE(2013,2,9)</f>
        <v>41314</v>
      </c>
      <c r="B5571" t="s">
        <v>22</v>
      </c>
      <c r="C5571" t="s">
        <v>10</v>
      </c>
      <c r="D5571" s="3">
        <v>65.748799999999989</v>
      </c>
      <c r="E5571" s="3">
        <v>0</v>
      </c>
      <c r="F5571" t="s">
        <v>45</v>
      </c>
      <c r="G5571" s="3">
        <f t="shared" si="667"/>
        <v>-65.748799999999989</v>
      </c>
      <c r="H5571" s="3">
        <f t="shared" si="668"/>
        <v>65.748799999999989</v>
      </c>
      <c r="I5571" s="5" t="str">
        <f t="shared" si="669"/>
        <v>018</v>
      </c>
      <c r="J5571" s="5" t="str">
        <f t="shared" si="670"/>
        <v>2230</v>
      </c>
      <c r="K5571" s="5" t="str">
        <f t="shared" si="671"/>
        <v>000</v>
      </c>
      <c r="L5571" s="5">
        <f t="shared" si="672"/>
        <v>2</v>
      </c>
      <c r="M5571" s="5">
        <f t="shared" si="673"/>
        <v>2013</v>
      </c>
    </row>
    <row r="5572" spans="1:13" ht="15" x14ac:dyDescent="0.25">
      <c r="A5572" s="1">
        <f>DATE(2013,2,10)</f>
        <v>41315</v>
      </c>
      <c r="B5572" t="s">
        <v>19</v>
      </c>
      <c r="C5572" t="s">
        <v>6</v>
      </c>
      <c r="D5572" s="3">
        <v>10729.8405</v>
      </c>
      <c r="E5572" s="3">
        <v>0</v>
      </c>
      <c r="F5572" t="s">
        <v>45</v>
      </c>
      <c r="G5572" s="3">
        <f t="shared" si="667"/>
        <v>-10729.8405</v>
      </c>
      <c r="H5572" s="3">
        <f t="shared" si="668"/>
        <v>10729.8405</v>
      </c>
      <c r="I5572" s="5" t="str">
        <f t="shared" si="669"/>
        <v>018</v>
      </c>
      <c r="J5572" s="5" t="str">
        <f t="shared" si="670"/>
        <v>2100</v>
      </c>
      <c r="K5572" s="5" t="str">
        <f t="shared" si="671"/>
        <v>000</v>
      </c>
      <c r="L5572" s="5">
        <f t="shared" si="672"/>
        <v>2</v>
      </c>
      <c r="M5572" s="5">
        <f t="shared" si="673"/>
        <v>2013</v>
      </c>
    </row>
    <row r="5573" spans="1:13" ht="15" x14ac:dyDescent="0.25">
      <c r="A5573" s="1">
        <f>DATE(2013,2,10)</f>
        <v>41315</v>
      </c>
      <c r="B5573" t="s">
        <v>20</v>
      </c>
      <c r="C5573" t="s">
        <v>8</v>
      </c>
      <c r="D5573" s="3">
        <v>944.67109999999991</v>
      </c>
      <c r="E5573" s="3">
        <v>0</v>
      </c>
      <c r="F5573" t="s">
        <v>45</v>
      </c>
      <c r="G5573" s="3">
        <f t="shared" si="667"/>
        <v>-944.67109999999991</v>
      </c>
      <c r="H5573" s="3">
        <f t="shared" si="668"/>
        <v>944.67109999999991</v>
      </c>
      <c r="I5573" s="5" t="str">
        <f t="shared" si="669"/>
        <v>018</v>
      </c>
      <c r="J5573" s="5" t="str">
        <f t="shared" si="670"/>
        <v>2210</v>
      </c>
      <c r="K5573" s="5" t="str">
        <f t="shared" si="671"/>
        <v>000</v>
      </c>
      <c r="L5573" s="5">
        <f t="shared" si="672"/>
        <v>2</v>
      </c>
      <c r="M5573" s="5">
        <f t="shared" si="673"/>
        <v>2013</v>
      </c>
    </row>
    <row r="5574" spans="1:13" ht="15" x14ac:dyDescent="0.25">
      <c r="A5574" s="1">
        <f>DATE(2013,2,10)</f>
        <v>41315</v>
      </c>
      <c r="B5574" t="s">
        <v>21</v>
      </c>
      <c r="C5574" t="s">
        <v>9</v>
      </c>
      <c r="D5574" s="3">
        <v>327.67200000000003</v>
      </c>
      <c r="E5574" s="3">
        <v>0</v>
      </c>
      <c r="F5574" t="s">
        <v>45</v>
      </c>
      <c r="G5574" s="3">
        <f t="shared" si="667"/>
        <v>-327.67200000000003</v>
      </c>
      <c r="H5574" s="3">
        <f t="shared" si="668"/>
        <v>327.67200000000003</v>
      </c>
      <c r="I5574" s="5" t="str">
        <f t="shared" si="669"/>
        <v>018</v>
      </c>
      <c r="J5574" s="5" t="str">
        <f t="shared" si="670"/>
        <v>2220</v>
      </c>
      <c r="K5574" s="5" t="str">
        <f t="shared" si="671"/>
        <v>000</v>
      </c>
      <c r="L5574" s="5">
        <f t="shared" si="672"/>
        <v>2</v>
      </c>
      <c r="M5574" s="5">
        <f t="shared" si="673"/>
        <v>2013</v>
      </c>
    </row>
    <row r="5575" spans="1:13" ht="15" x14ac:dyDescent="0.25">
      <c r="A5575" s="1">
        <f>DATE(2013,2,10)</f>
        <v>41315</v>
      </c>
      <c r="B5575" t="s">
        <v>22</v>
      </c>
      <c r="C5575" t="s">
        <v>10</v>
      </c>
      <c r="D5575" s="3">
        <v>115.53750000000001</v>
      </c>
      <c r="E5575" s="3">
        <v>0</v>
      </c>
      <c r="F5575" t="s">
        <v>45</v>
      </c>
      <c r="G5575" s="3">
        <f t="shared" si="667"/>
        <v>-115.53750000000001</v>
      </c>
      <c r="H5575" s="3">
        <f t="shared" si="668"/>
        <v>115.53750000000001</v>
      </c>
      <c r="I5575" s="5" t="str">
        <f t="shared" si="669"/>
        <v>018</v>
      </c>
      <c r="J5575" s="5" t="str">
        <f t="shared" si="670"/>
        <v>2230</v>
      </c>
      <c r="K5575" s="5" t="str">
        <f t="shared" si="671"/>
        <v>000</v>
      </c>
      <c r="L5575" s="5">
        <f t="shared" si="672"/>
        <v>2</v>
      </c>
      <c r="M5575" s="5">
        <f t="shared" si="673"/>
        <v>2013</v>
      </c>
    </row>
    <row r="5576" spans="1:13" ht="15" x14ac:dyDescent="0.25">
      <c r="A5576" s="1">
        <f>DATE(2013,2,11)</f>
        <v>41316</v>
      </c>
      <c r="B5576" t="s">
        <v>11</v>
      </c>
      <c r="C5576" t="s">
        <v>6</v>
      </c>
      <c r="D5576" s="3">
        <v>2717.7730000000001</v>
      </c>
      <c r="E5576" s="3">
        <v>0</v>
      </c>
      <c r="F5576" t="s">
        <v>45</v>
      </c>
      <c r="G5576" s="3">
        <f t="shared" si="667"/>
        <v>-2717.7730000000001</v>
      </c>
      <c r="H5576" s="3">
        <f t="shared" si="668"/>
        <v>2717.7730000000001</v>
      </c>
      <c r="I5576" s="5" t="str">
        <f t="shared" si="669"/>
        <v>016</v>
      </c>
      <c r="J5576" s="5" t="str">
        <f t="shared" si="670"/>
        <v>2100</v>
      </c>
      <c r="K5576" s="5" t="str">
        <f t="shared" si="671"/>
        <v>000</v>
      </c>
      <c r="L5576" s="5">
        <f t="shared" si="672"/>
        <v>2</v>
      </c>
      <c r="M5576" s="5">
        <f t="shared" si="673"/>
        <v>2013</v>
      </c>
    </row>
    <row r="5577" spans="1:13" ht="15" x14ac:dyDescent="0.25">
      <c r="A5577" s="1">
        <f>DATE(2013,2,11)</f>
        <v>41316</v>
      </c>
      <c r="B5577" t="s">
        <v>12</v>
      </c>
      <c r="C5577" t="s">
        <v>8</v>
      </c>
      <c r="D5577" s="3">
        <v>672.63049999999998</v>
      </c>
      <c r="E5577" s="3">
        <v>0</v>
      </c>
      <c r="F5577" t="s">
        <v>45</v>
      </c>
      <c r="G5577" s="3">
        <f t="shared" si="667"/>
        <v>-672.63049999999998</v>
      </c>
      <c r="H5577" s="3">
        <f t="shared" si="668"/>
        <v>672.63049999999998</v>
      </c>
      <c r="I5577" s="5" t="str">
        <f t="shared" si="669"/>
        <v>016</v>
      </c>
      <c r="J5577" s="5" t="str">
        <f t="shared" si="670"/>
        <v>2210</v>
      </c>
      <c r="K5577" s="5" t="str">
        <f t="shared" si="671"/>
        <v>000</v>
      </c>
      <c r="L5577" s="5">
        <f t="shared" si="672"/>
        <v>2</v>
      </c>
      <c r="M5577" s="5">
        <f t="shared" si="673"/>
        <v>2013</v>
      </c>
    </row>
    <row r="5578" spans="1:13" ht="15" x14ac:dyDescent="0.25">
      <c r="A5578" s="1">
        <f>DATE(2013,2,11)</f>
        <v>41316</v>
      </c>
      <c r="B5578" t="s">
        <v>13</v>
      </c>
      <c r="C5578" t="s">
        <v>9</v>
      </c>
      <c r="D5578" s="3">
        <v>143.52359999999999</v>
      </c>
      <c r="E5578" s="3">
        <v>0</v>
      </c>
      <c r="F5578" t="s">
        <v>45</v>
      </c>
      <c r="G5578" s="3">
        <f t="shared" si="667"/>
        <v>-143.52359999999999</v>
      </c>
      <c r="H5578" s="3">
        <f t="shared" si="668"/>
        <v>143.52359999999999</v>
      </c>
      <c r="I5578" s="5" t="str">
        <f t="shared" si="669"/>
        <v>016</v>
      </c>
      <c r="J5578" s="5" t="str">
        <f t="shared" si="670"/>
        <v>2220</v>
      </c>
      <c r="K5578" s="5" t="str">
        <f t="shared" si="671"/>
        <v>000</v>
      </c>
      <c r="L5578" s="5">
        <f t="shared" si="672"/>
        <v>2</v>
      </c>
      <c r="M5578" s="5">
        <f t="shared" si="673"/>
        <v>2013</v>
      </c>
    </row>
    <row r="5579" spans="1:13" ht="15" x14ac:dyDescent="0.25">
      <c r="A5579" s="1">
        <f>DATE(2013,2,11)</f>
        <v>41316</v>
      </c>
      <c r="B5579" t="s">
        <v>14</v>
      </c>
      <c r="C5579" t="s">
        <v>10</v>
      </c>
      <c r="D5579" s="3">
        <v>34.633500000000005</v>
      </c>
      <c r="E5579" s="3">
        <v>0</v>
      </c>
      <c r="F5579" t="s">
        <v>45</v>
      </c>
      <c r="G5579" s="3">
        <f t="shared" si="667"/>
        <v>-34.633500000000005</v>
      </c>
      <c r="H5579" s="3">
        <f t="shared" si="668"/>
        <v>34.633500000000005</v>
      </c>
      <c r="I5579" s="5" t="str">
        <f t="shared" si="669"/>
        <v>016</v>
      </c>
      <c r="J5579" s="5" t="str">
        <f t="shared" si="670"/>
        <v>2230</v>
      </c>
      <c r="K5579" s="5" t="str">
        <f t="shared" si="671"/>
        <v>000</v>
      </c>
      <c r="L5579" s="5">
        <f t="shared" si="672"/>
        <v>2</v>
      </c>
      <c r="M5579" s="5">
        <f t="shared" si="673"/>
        <v>2013</v>
      </c>
    </row>
    <row r="5580" spans="1:13" ht="15" x14ac:dyDescent="0.25">
      <c r="A5580" s="1">
        <f>DATE(2013,2,12)</f>
        <v>41317</v>
      </c>
      <c r="B5580" t="s">
        <v>11</v>
      </c>
      <c r="C5580" t="s">
        <v>6</v>
      </c>
      <c r="D5580" s="3">
        <v>6735.4326000000001</v>
      </c>
      <c r="E5580" s="3">
        <v>0</v>
      </c>
      <c r="F5580" t="s">
        <v>45</v>
      </c>
      <c r="G5580" s="3">
        <f t="shared" si="667"/>
        <v>-6735.4326000000001</v>
      </c>
      <c r="H5580" s="3">
        <f t="shared" si="668"/>
        <v>6735.4326000000001</v>
      </c>
      <c r="I5580" s="5" t="str">
        <f t="shared" si="669"/>
        <v>016</v>
      </c>
      <c r="J5580" s="5" t="str">
        <f t="shared" si="670"/>
        <v>2100</v>
      </c>
      <c r="K5580" s="5" t="str">
        <f t="shared" si="671"/>
        <v>000</v>
      </c>
      <c r="L5580" s="5">
        <f t="shared" si="672"/>
        <v>2</v>
      </c>
      <c r="M5580" s="5">
        <f t="shared" si="673"/>
        <v>2013</v>
      </c>
    </row>
    <row r="5581" spans="1:13" ht="15" x14ac:dyDescent="0.25">
      <c r="A5581" s="1">
        <f>DATE(2013,2,12)</f>
        <v>41317</v>
      </c>
      <c r="B5581" t="s">
        <v>12</v>
      </c>
      <c r="C5581" t="s">
        <v>8</v>
      </c>
      <c r="D5581" s="3">
        <v>2322.2808</v>
      </c>
      <c r="E5581" s="3">
        <v>0</v>
      </c>
      <c r="F5581" t="s">
        <v>45</v>
      </c>
      <c r="G5581" s="3">
        <f t="shared" si="667"/>
        <v>-2322.2808</v>
      </c>
      <c r="H5581" s="3">
        <f t="shared" si="668"/>
        <v>2322.2808</v>
      </c>
      <c r="I5581" s="5" t="str">
        <f t="shared" si="669"/>
        <v>016</v>
      </c>
      <c r="J5581" s="5" t="str">
        <f t="shared" si="670"/>
        <v>2210</v>
      </c>
      <c r="K5581" s="5" t="str">
        <f t="shared" si="671"/>
        <v>000</v>
      </c>
      <c r="L5581" s="5">
        <f t="shared" si="672"/>
        <v>2</v>
      </c>
      <c r="M5581" s="5">
        <f t="shared" si="673"/>
        <v>2013</v>
      </c>
    </row>
    <row r="5582" spans="1:13" ht="15" x14ac:dyDescent="0.25">
      <c r="A5582" s="1">
        <f>DATE(2013,2,12)</f>
        <v>41317</v>
      </c>
      <c r="B5582" t="s">
        <v>13</v>
      </c>
      <c r="C5582" t="s">
        <v>9</v>
      </c>
      <c r="D5582" s="3">
        <v>623.60480000000007</v>
      </c>
      <c r="E5582" s="3">
        <v>0</v>
      </c>
      <c r="F5582" t="s">
        <v>45</v>
      </c>
      <c r="G5582" s="3">
        <f t="shared" si="667"/>
        <v>-623.60480000000007</v>
      </c>
      <c r="H5582" s="3">
        <f t="shared" si="668"/>
        <v>623.60480000000007</v>
      </c>
      <c r="I5582" s="5" t="str">
        <f t="shared" si="669"/>
        <v>016</v>
      </c>
      <c r="J5582" s="5" t="str">
        <f t="shared" si="670"/>
        <v>2220</v>
      </c>
      <c r="K5582" s="5" t="str">
        <f t="shared" si="671"/>
        <v>000</v>
      </c>
      <c r="L5582" s="5">
        <f t="shared" si="672"/>
        <v>2</v>
      </c>
      <c r="M5582" s="5">
        <f t="shared" si="673"/>
        <v>2013</v>
      </c>
    </row>
    <row r="5583" spans="1:13" ht="15" x14ac:dyDescent="0.25">
      <c r="A5583" s="1">
        <f>DATE(2013,2,12)</f>
        <v>41317</v>
      </c>
      <c r="B5583" t="s">
        <v>14</v>
      </c>
      <c r="C5583" t="s">
        <v>10</v>
      </c>
      <c r="D5583" s="3">
        <v>70.770499999999998</v>
      </c>
      <c r="E5583" s="3">
        <v>0</v>
      </c>
      <c r="F5583" t="s">
        <v>45</v>
      </c>
      <c r="G5583" s="3">
        <f t="shared" si="667"/>
        <v>-70.770499999999998</v>
      </c>
      <c r="H5583" s="3">
        <f t="shared" si="668"/>
        <v>70.770499999999998</v>
      </c>
      <c r="I5583" s="5" t="str">
        <f t="shared" si="669"/>
        <v>016</v>
      </c>
      <c r="J5583" s="5" t="str">
        <f t="shared" si="670"/>
        <v>2230</v>
      </c>
      <c r="K5583" s="5" t="str">
        <f t="shared" si="671"/>
        <v>000</v>
      </c>
      <c r="L5583" s="5">
        <f t="shared" si="672"/>
        <v>2</v>
      </c>
      <c r="M5583" s="5">
        <f t="shared" si="673"/>
        <v>2013</v>
      </c>
    </row>
    <row r="5584" spans="1:13" ht="15" x14ac:dyDescent="0.25">
      <c r="A5584" s="1">
        <f>DATE(2013,2,13)</f>
        <v>41318</v>
      </c>
      <c r="B5584" t="s">
        <v>11</v>
      </c>
      <c r="C5584" t="s">
        <v>6</v>
      </c>
      <c r="D5584" s="3">
        <v>3817.1055999999999</v>
      </c>
      <c r="E5584" s="3">
        <v>0</v>
      </c>
      <c r="F5584" t="s">
        <v>45</v>
      </c>
      <c r="G5584" s="3">
        <f t="shared" si="667"/>
        <v>-3817.1055999999999</v>
      </c>
      <c r="H5584" s="3">
        <f t="shared" si="668"/>
        <v>3817.1055999999999</v>
      </c>
      <c r="I5584" s="5" t="str">
        <f t="shared" si="669"/>
        <v>016</v>
      </c>
      <c r="J5584" s="5" t="str">
        <f t="shared" si="670"/>
        <v>2100</v>
      </c>
      <c r="K5584" s="5" t="str">
        <f t="shared" si="671"/>
        <v>000</v>
      </c>
      <c r="L5584" s="5">
        <f t="shared" si="672"/>
        <v>2</v>
      </c>
      <c r="M5584" s="5">
        <f t="shared" si="673"/>
        <v>2013</v>
      </c>
    </row>
    <row r="5585" spans="1:13" ht="15" x14ac:dyDescent="0.25">
      <c r="A5585" s="1">
        <f>DATE(2013,2,13)</f>
        <v>41318</v>
      </c>
      <c r="B5585" t="s">
        <v>12</v>
      </c>
      <c r="C5585" t="s">
        <v>8</v>
      </c>
      <c r="D5585" s="3">
        <v>595.41599999999994</v>
      </c>
      <c r="E5585" s="3">
        <v>0</v>
      </c>
      <c r="F5585" t="s">
        <v>45</v>
      </c>
      <c r="G5585" s="3">
        <f t="shared" si="667"/>
        <v>-595.41599999999994</v>
      </c>
      <c r="H5585" s="3">
        <f t="shared" si="668"/>
        <v>595.41599999999994</v>
      </c>
      <c r="I5585" s="5" t="str">
        <f t="shared" si="669"/>
        <v>016</v>
      </c>
      <c r="J5585" s="5" t="str">
        <f t="shared" si="670"/>
        <v>2210</v>
      </c>
      <c r="K5585" s="5" t="str">
        <f t="shared" si="671"/>
        <v>000</v>
      </c>
      <c r="L5585" s="5">
        <f t="shared" si="672"/>
        <v>2</v>
      </c>
      <c r="M5585" s="5">
        <f t="shared" si="673"/>
        <v>2013</v>
      </c>
    </row>
    <row r="5586" spans="1:13" ht="15" x14ac:dyDescent="0.25">
      <c r="A5586" s="1">
        <f>DATE(2013,2,13)</f>
        <v>41318</v>
      </c>
      <c r="B5586" t="s">
        <v>13</v>
      </c>
      <c r="C5586" t="s">
        <v>9</v>
      </c>
      <c r="D5586" s="3">
        <v>143.77799999999999</v>
      </c>
      <c r="E5586" s="3">
        <v>0</v>
      </c>
      <c r="F5586" t="s">
        <v>45</v>
      </c>
      <c r="G5586" s="3">
        <f t="shared" si="667"/>
        <v>-143.77799999999999</v>
      </c>
      <c r="H5586" s="3">
        <f t="shared" si="668"/>
        <v>143.77799999999999</v>
      </c>
      <c r="I5586" s="5" t="str">
        <f t="shared" si="669"/>
        <v>016</v>
      </c>
      <c r="J5586" s="5" t="str">
        <f t="shared" si="670"/>
        <v>2220</v>
      </c>
      <c r="K5586" s="5" t="str">
        <f t="shared" si="671"/>
        <v>000</v>
      </c>
      <c r="L5586" s="5">
        <f t="shared" si="672"/>
        <v>2</v>
      </c>
      <c r="M5586" s="5">
        <f t="shared" si="673"/>
        <v>2013</v>
      </c>
    </row>
    <row r="5587" spans="1:13" ht="15" x14ac:dyDescent="0.25">
      <c r="A5587" s="1">
        <f>DATE(2013,2,13)</f>
        <v>41318</v>
      </c>
      <c r="B5587" t="s">
        <v>14</v>
      </c>
      <c r="C5587" t="s">
        <v>10</v>
      </c>
      <c r="D5587" s="3">
        <v>142.41499999999999</v>
      </c>
      <c r="E5587" s="3">
        <v>0</v>
      </c>
      <c r="F5587" t="s">
        <v>45</v>
      </c>
      <c r="G5587" s="3">
        <f t="shared" si="667"/>
        <v>-142.41499999999999</v>
      </c>
      <c r="H5587" s="3">
        <f t="shared" si="668"/>
        <v>142.41499999999999</v>
      </c>
      <c r="I5587" s="5" t="str">
        <f t="shared" si="669"/>
        <v>016</v>
      </c>
      <c r="J5587" s="5" t="str">
        <f t="shared" si="670"/>
        <v>2230</v>
      </c>
      <c r="K5587" s="5" t="str">
        <f t="shared" si="671"/>
        <v>000</v>
      </c>
      <c r="L5587" s="5">
        <f t="shared" si="672"/>
        <v>2</v>
      </c>
      <c r="M5587" s="5">
        <f t="shared" si="673"/>
        <v>2013</v>
      </c>
    </row>
    <row r="5588" spans="1:13" ht="15" x14ac:dyDescent="0.25">
      <c r="A5588" s="1">
        <f>DATE(2013,2,14)</f>
        <v>41319</v>
      </c>
      <c r="B5588" t="s">
        <v>11</v>
      </c>
      <c r="C5588" t="s">
        <v>6</v>
      </c>
      <c r="D5588" s="3">
        <v>4018.2126999999996</v>
      </c>
      <c r="E5588" s="3">
        <v>0</v>
      </c>
      <c r="F5588" t="s">
        <v>45</v>
      </c>
      <c r="G5588" s="3">
        <f t="shared" si="667"/>
        <v>-4018.2126999999996</v>
      </c>
      <c r="H5588" s="3">
        <f t="shared" si="668"/>
        <v>4018.2126999999996</v>
      </c>
      <c r="I5588" s="5" t="str">
        <f t="shared" si="669"/>
        <v>016</v>
      </c>
      <c r="J5588" s="5" t="str">
        <f t="shared" si="670"/>
        <v>2100</v>
      </c>
      <c r="K5588" s="5" t="str">
        <f t="shared" si="671"/>
        <v>000</v>
      </c>
      <c r="L5588" s="5">
        <f t="shared" si="672"/>
        <v>2</v>
      </c>
      <c r="M5588" s="5">
        <f t="shared" si="673"/>
        <v>2013</v>
      </c>
    </row>
    <row r="5589" spans="1:13" ht="15" x14ac:dyDescent="0.25">
      <c r="A5589" s="1">
        <f>DATE(2013,2,14)</f>
        <v>41319</v>
      </c>
      <c r="B5589" t="s">
        <v>12</v>
      </c>
      <c r="C5589" t="s">
        <v>8</v>
      </c>
      <c r="D5589" s="3">
        <v>1460.4864</v>
      </c>
      <c r="E5589" s="3">
        <v>0</v>
      </c>
      <c r="F5589" t="s">
        <v>45</v>
      </c>
      <c r="G5589" s="3">
        <f t="shared" si="667"/>
        <v>-1460.4864</v>
      </c>
      <c r="H5589" s="3">
        <f t="shared" si="668"/>
        <v>1460.4864</v>
      </c>
      <c r="I5589" s="5" t="str">
        <f t="shared" si="669"/>
        <v>016</v>
      </c>
      <c r="J5589" s="5" t="str">
        <f t="shared" si="670"/>
        <v>2210</v>
      </c>
      <c r="K5589" s="5" t="str">
        <f t="shared" si="671"/>
        <v>000</v>
      </c>
      <c r="L5589" s="5">
        <f t="shared" si="672"/>
        <v>2</v>
      </c>
      <c r="M5589" s="5">
        <f t="shared" si="673"/>
        <v>2013</v>
      </c>
    </row>
    <row r="5590" spans="1:13" ht="15" x14ac:dyDescent="0.25">
      <c r="A5590" s="1">
        <f>DATE(2013,2,14)</f>
        <v>41319</v>
      </c>
      <c r="B5590" t="s">
        <v>13</v>
      </c>
      <c r="C5590" t="s">
        <v>9</v>
      </c>
      <c r="D5590" s="3">
        <v>193.15169999999998</v>
      </c>
      <c r="E5590" s="3">
        <v>0</v>
      </c>
      <c r="F5590" t="s">
        <v>45</v>
      </c>
      <c r="G5590" s="3">
        <f t="shared" si="667"/>
        <v>-193.15169999999998</v>
      </c>
      <c r="H5590" s="3">
        <f t="shared" si="668"/>
        <v>193.15169999999998</v>
      </c>
      <c r="I5590" s="5" t="str">
        <f t="shared" si="669"/>
        <v>016</v>
      </c>
      <c r="J5590" s="5" t="str">
        <f t="shared" si="670"/>
        <v>2220</v>
      </c>
      <c r="K5590" s="5" t="str">
        <f t="shared" si="671"/>
        <v>000</v>
      </c>
      <c r="L5590" s="5">
        <f t="shared" si="672"/>
        <v>2</v>
      </c>
      <c r="M5590" s="5">
        <f t="shared" si="673"/>
        <v>2013</v>
      </c>
    </row>
    <row r="5591" spans="1:13" ht="15" x14ac:dyDescent="0.25">
      <c r="A5591" s="1">
        <f>DATE(2013,2,14)</f>
        <v>41319</v>
      </c>
      <c r="B5591" t="s">
        <v>14</v>
      </c>
      <c r="C5591" t="s">
        <v>10</v>
      </c>
      <c r="D5591" s="3">
        <v>111.5951</v>
      </c>
      <c r="E5591" s="3">
        <v>0</v>
      </c>
      <c r="F5591" t="s">
        <v>45</v>
      </c>
      <c r="G5591" s="3">
        <f t="shared" si="667"/>
        <v>-111.5951</v>
      </c>
      <c r="H5591" s="3">
        <f t="shared" si="668"/>
        <v>111.5951</v>
      </c>
      <c r="I5591" s="5" t="str">
        <f t="shared" si="669"/>
        <v>016</v>
      </c>
      <c r="J5591" s="5" t="str">
        <f t="shared" si="670"/>
        <v>2230</v>
      </c>
      <c r="K5591" s="5" t="str">
        <f t="shared" si="671"/>
        <v>000</v>
      </c>
      <c r="L5591" s="5">
        <f t="shared" si="672"/>
        <v>2</v>
      </c>
      <c r="M5591" s="5">
        <f t="shared" si="673"/>
        <v>2013</v>
      </c>
    </row>
    <row r="5592" spans="1:13" ht="15" x14ac:dyDescent="0.25">
      <c r="A5592" s="1">
        <f>DATE(2013,2,15)</f>
        <v>41320</v>
      </c>
      <c r="B5592" t="s">
        <v>11</v>
      </c>
      <c r="C5592" t="s">
        <v>6</v>
      </c>
      <c r="D5592" s="3">
        <v>6765.4859999999999</v>
      </c>
      <c r="E5592" s="3">
        <v>0</v>
      </c>
      <c r="F5592" t="s">
        <v>45</v>
      </c>
      <c r="G5592" s="3">
        <f t="shared" si="667"/>
        <v>-6765.4859999999999</v>
      </c>
      <c r="H5592" s="3">
        <f t="shared" si="668"/>
        <v>6765.4859999999999</v>
      </c>
      <c r="I5592" s="5" t="str">
        <f t="shared" si="669"/>
        <v>016</v>
      </c>
      <c r="J5592" s="5" t="str">
        <f t="shared" si="670"/>
        <v>2100</v>
      </c>
      <c r="K5592" s="5" t="str">
        <f t="shared" si="671"/>
        <v>000</v>
      </c>
      <c r="L5592" s="5">
        <f t="shared" si="672"/>
        <v>2</v>
      </c>
      <c r="M5592" s="5">
        <f t="shared" si="673"/>
        <v>2013</v>
      </c>
    </row>
    <row r="5593" spans="1:13" ht="15" x14ac:dyDescent="0.25">
      <c r="A5593" s="1">
        <f>DATE(2013,2,15)</f>
        <v>41320</v>
      </c>
      <c r="B5593" t="s">
        <v>12</v>
      </c>
      <c r="C5593" t="s">
        <v>8</v>
      </c>
      <c r="D5593" s="3">
        <v>1632.3516000000002</v>
      </c>
      <c r="E5593" s="3">
        <v>0</v>
      </c>
      <c r="F5593" t="s">
        <v>45</v>
      </c>
      <c r="G5593" s="3">
        <f t="shared" si="667"/>
        <v>-1632.3516000000002</v>
      </c>
      <c r="H5593" s="3">
        <f t="shared" si="668"/>
        <v>1632.3516000000002</v>
      </c>
      <c r="I5593" s="5" t="str">
        <f t="shared" si="669"/>
        <v>016</v>
      </c>
      <c r="J5593" s="5" t="str">
        <f t="shared" si="670"/>
        <v>2210</v>
      </c>
      <c r="K5593" s="5" t="str">
        <f t="shared" si="671"/>
        <v>000</v>
      </c>
      <c r="L5593" s="5">
        <f t="shared" si="672"/>
        <v>2</v>
      </c>
      <c r="M5593" s="5">
        <f t="shared" si="673"/>
        <v>2013</v>
      </c>
    </row>
    <row r="5594" spans="1:13" ht="15" x14ac:dyDescent="0.25">
      <c r="A5594" s="1">
        <f>DATE(2013,2,15)</f>
        <v>41320</v>
      </c>
      <c r="B5594" t="s">
        <v>13</v>
      </c>
      <c r="C5594" t="s">
        <v>9</v>
      </c>
      <c r="D5594" s="3">
        <v>312.572</v>
      </c>
      <c r="E5594" s="3">
        <v>0</v>
      </c>
      <c r="F5594" t="s">
        <v>45</v>
      </c>
      <c r="G5594" s="3">
        <f t="shared" si="667"/>
        <v>-312.572</v>
      </c>
      <c r="H5594" s="3">
        <f t="shared" si="668"/>
        <v>312.572</v>
      </c>
      <c r="I5594" s="5" t="str">
        <f t="shared" si="669"/>
        <v>016</v>
      </c>
      <c r="J5594" s="5" t="str">
        <f t="shared" si="670"/>
        <v>2220</v>
      </c>
      <c r="K5594" s="5" t="str">
        <f t="shared" si="671"/>
        <v>000</v>
      </c>
      <c r="L5594" s="5">
        <f t="shared" si="672"/>
        <v>2</v>
      </c>
      <c r="M5594" s="5">
        <f t="shared" si="673"/>
        <v>2013</v>
      </c>
    </row>
    <row r="5595" spans="1:13" ht="15" x14ac:dyDescent="0.25">
      <c r="A5595" s="1">
        <f>DATE(2013,2,15)</f>
        <v>41320</v>
      </c>
      <c r="B5595" t="s">
        <v>14</v>
      </c>
      <c r="C5595" t="s">
        <v>10</v>
      </c>
      <c r="D5595" s="3">
        <v>128.26409999999998</v>
      </c>
      <c r="E5595" s="3">
        <v>0</v>
      </c>
      <c r="F5595" t="s">
        <v>45</v>
      </c>
      <c r="G5595" s="3">
        <f t="shared" si="667"/>
        <v>-128.26409999999998</v>
      </c>
      <c r="H5595" s="3">
        <f t="shared" si="668"/>
        <v>128.26409999999998</v>
      </c>
      <c r="I5595" s="5" t="str">
        <f t="shared" si="669"/>
        <v>016</v>
      </c>
      <c r="J5595" s="5" t="str">
        <f t="shared" si="670"/>
        <v>2230</v>
      </c>
      <c r="K5595" s="5" t="str">
        <f t="shared" si="671"/>
        <v>000</v>
      </c>
      <c r="L5595" s="5">
        <f t="shared" si="672"/>
        <v>2</v>
      </c>
      <c r="M5595" s="5">
        <f t="shared" si="673"/>
        <v>2013</v>
      </c>
    </row>
    <row r="5596" spans="1:13" ht="15" x14ac:dyDescent="0.25">
      <c r="A5596" s="1">
        <f>DATE(2013,2,16)</f>
        <v>41321</v>
      </c>
      <c r="B5596" t="s">
        <v>11</v>
      </c>
      <c r="C5596" t="s">
        <v>6</v>
      </c>
      <c r="D5596" s="3">
        <v>7521.365600000001</v>
      </c>
      <c r="E5596" s="3">
        <v>0</v>
      </c>
      <c r="F5596" t="s">
        <v>45</v>
      </c>
      <c r="G5596" s="3">
        <f t="shared" si="667"/>
        <v>-7521.365600000001</v>
      </c>
      <c r="H5596" s="3">
        <f t="shared" si="668"/>
        <v>7521.365600000001</v>
      </c>
      <c r="I5596" s="5" t="str">
        <f t="shared" si="669"/>
        <v>016</v>
      </c>
      <c r="J5596" s="5" t="str">
        <f t="shared" si="670"/>
        <v>2100</v>
      </c>
      <c r="K5596" s="5" t="str">
        <f t="shared" si="671"/>
        <v>000</v>
      </c>
      <c r="L5596" s="5">
        <f t="shared" si="672"/>
        <v>2</v>
      </c>
      <c r="M5596" s="5">
        <f t="shared" si="673"/>
        <v>2013</v>
      </c>
    </row>
    <row r="5597" spans="1:13" ht="15" x14ac:dyDescent="0.25">
      <c r="A5597" s="1">
        <f>DATE(2013,2,16)</f>
        <v>41321</v>
      </c>
      <c r="B5597" t="s">
        <v>12</v>
      </c>
      <c r="C5597" t="s">
        <v>8</v>
      </c>
      <c r="D5597" s="3">
        <v>2770.3137000000002</v>
      </c>
      <c r="E5597" s="3">
        <v>0</v>
      </c>
      <c r="F5597" t="s">
        <v>45</v>
      </c>
      <c r="G5597" s="3">
        <f t="shared" si="667"/>
        <v>-2770.3137000000002</v>
      </c>
      <c r="H5597" s="3">
        <f t="shared" si="668"/>
        <v>2770.3137000000002</v>
      </c>
      <c r="I5597" s="5" t="str">
        <f t="shared" si="669"/>
        <v>016</v>
      </c>
      <c r="J5597" s="5" t="str">
        <f t="shared" si="670"/>
        <v>2210</v>
      </c>
      <c r="K5597" s="5" t="str">
        <f t="shared" si="671"/>
        <v>000</v>
      </c>
      <c r="L5597" s="5">
        <f t="shared" si="672"/>
        <v>2</v>
      </c>
      <c r="M5597" s="5">
        <f t="shared" si="673"/>
        <v>2013</v>
      </c>
    </row>
    <row r="5598" spans="1:13" ht="15" x14ac:dyDescent="0.25">
      <c r="A5598" s="1">
        <f>DATE(2013,2,16)</f>
        <v>41321</v>
      </c>
      <c r="B5598" t="s">
        <v>13</v>
      </c>
      <c r="C5598" t="s">
        <v>9</v>
      </c>
      <c r="D5598" s="3">
        <v>403.3417</v>
      </c>
      <c r="E5598" s="3">
        <v>0</v>
      </c>
      <c r="F5598" t="s">
        <v>45</v>
      </c>
      <c r="G5598" s="3">
        <f t="shared" si="667"/>
        <v>-403.3417</v>
      </c>
      <c r="H5598" s="3">
        <f t="shared" si="668"/>
        <v>403.3417</v>
      </c>
      <c r="I5598" s="5" t="str">
        <f t="shared" si="669"/>
        <v>016</v>
      </c>
      <c r="J5598" s="5" t="str">
        <f t="shared" si="670"/>
        <v>2220</v>
      </c>
      <c r="K5598" s="5" t="str">
        <f t="shared" si="671"/>
        <v>000</v>
      </c>
      <c r="L5598" s="5">
        <f t="shared" si="672"/>
        <v>2</v>
      </c>
      <c r="M5598" s="5">
        <f t="shared" si="673"/>
        <v>2013</v>
      </c>
    </row>
    <row r="5599" spans="1:13" ht="15" x14ac:dyDescent="0.25">
      <c r="A5599" s="1">
        <f>DATE(2013,2,16)</f>
        <v>41321</v>
      </c>
      <c r="B5599" t="s">
        <v>14</v>
      </c>
      <c r="C5599" t="s">
        <v>10</v>
      </c>
      <c r="D5599" s="3">
        <v>317.99349999999998</v>
      </c>
      <c r="E5599" s="3">
        <v>0</v>
      </c>
      <c r="F5599" t="s">
        <v>45</v>
      </c>
      <c r="G5599" s="3">
        <f t="shared" si="667"/>
        <v>-317.99349999999998</v>
      </c>
      <c r="H5599" s="3">
        <f t="shared" si="668"/>
        <v>317.99349999999998</v>
      </c>
      <c r="I5599" s="5" t="str">
        <f t="shared" si="669"/>
        <v>016</v>
      </c>
      <c r="J5599" s="5" t="str">
        <f t="shared" si="670"/>
        <v>2230</v>
      </c>
      <c r="K5599" s="5" t="str">
        <f t="shared" si="671"/>
        <v>000</v>
      </c>
      <c r="L5599" s="5">
        <f t="shared" si="672"/>
        <v>2</v>
      </c>
      <c r="M5599" s="5">
        <f t="shared" si="673"/>
        <v>2013</v>
      </c>
    </row>
    <row r="5600" spans="1:13" ht="15" x14ac:dyDescent="0.25">
      <c r="A5600" s="1">
        <f>DATE(2013,2,17)</f>
        <v>41322</v>
      </c>
      <c r="B5600" t="s">
        <v>11</v>
      </c>
      <c r="C5600" t="s">
        <v>6</v>
      </c>
      <c r="D5600" s="3">
        <v>6113.6345999999994</v>
      </c>
      <c r="E5600" s="3">
        <v>0</v>
      </c>
      <c r="F5600" t="s">
        <v>45</v>
      </c>
      <c r="G5600" s="3">
        <f t="shared" si="667"/>
        <v>-6113.6345999999994</v>
      </c>
      <c r="H5600" s="3">
        <f t="shared" si="668"/>
        <v>6113.6345999999994</v>
      </c>
      <c r="I5600" s="5" t="str">
        <f t="shared" si="669"/>
        <v>016</v>
      </c>
      <c r="J5600" s="5" t="str">
        <f t="shared" si="670"/>
        <v>2100</v>
      </c>
      <c r="K5600" s="5" t="str">
        <f t="shared" si="671"/>
        <v>000</v>
      </c>
      <c r="L5600" s="5">
        <f t="shared" si="672"/>
        <v>2</v>
      </c>
      <c r="M5600" s="5">
        <f t="shared" si="673"/>
        <v>2013</v>
      </c>
    </row>
    <row r="5601" spans="1:13" ht="15" x14ac:dyDescent="0.25">
      <c r="A5601" s="1">
        <f>DATE(2013,2,17)</f>
        <v>41322</v>
      </c>
      <c r="B5601" t="s">
        <v>12</v>
      </c>
      <c r="C5601" t="s">
        <v>8</v>
      </c>
      <c r="D5601" s="3">
        <v>1397.5105000000001</v>
      </c>
      <c r="E5601" s="3">
        <v>0</v>
      </c>
      <c r="F5601" t="s">
        <v>45</v>
      </c>
      <c r="G5601" s="3">
        <f t="shared" si="667"/>
        <v>-1397.5105000000001</v>
      </c>
      <c r="H5601" s="3">
        <f t="shared" si="668"/>
        <v>1397.5105000000001</v>
      </c>
      <c r="I5601" s="5" t="str">
        <f t="shared" si="669"/>
        <v>016</v>
      </c>
      <c r="J5601" s="5" t="str">
        <f t="shared" si="670"/>
        <v>2210</v>
      </c>
      <c r="K5601" s="5" t="str">
        <f t="shared" si="671"/>
        <v>000</v>
      </c>
      <c r="L5601" s="5">
        <f t="shared" si="672"/>
        <v>2</v>
      </c>
      <c r="M5601" s="5">
        <f t="shared" si="673"/>
        <v>2013</v>
      </c>
    </row>
    <row r="5602" spans="1:13" ht="15" x14ac:dyDescent="0.25">
      <c r="A5602" s="1">
        <f>DATE(2013,2,17)</f>
        <v>41322</v>
      </c>
      <c r="B5602" t="s">
        <v>13</v>
      </c>
      <c r="C5602" t="s">
        <v>9</v>
      </c>
      <c r="D5602" s="3">
        <v>261.32</v>
      </c>
      <c r="E5602" s="3">
        <v>0</v>
      </c>
      <c r="F5602" t="s">
        <v>45</v>
      </c>
      <c r="G5602" s="3">
        <f t="shared" si="667"/>
        <v>-261.32</v>
      </c>
      <c r="H5602" s="3">
        <f t="shared" si="668"/>
        <v>261.32</v>
      </c>
      <c r="I5602" s="5" t="str">
        <f t="shared" si="669"/>
        <v>016</v>
      </c>
      <c r="J5602" s="5" t="str">
        <f t="shared" si="670"/>
        <v>2220</v>
      </c>
      <c r="K5602" s="5" t="str">
        <f t="shared" si="671"/>
        <v>000</v>
      </c>
      <c r="L5602" s="5">
        <f t="shared" si="672"/>
        <v>2</v>
      </c>
      <c r="M5602" s="5">
        <f t="shared" si="673"/>
        <v>2013</v>
      </c>
    </row>
    <row r="5603" spans="1:13" ht="15" x14ac:dyDescent="0.25">
      <c r="A5603" s="1">
        <f>DATE(2013,2,17)</f>
        <v>41322</v>
      </c>
      <c r="B5603" t="s">
        <v>14</v>
      </c>
      <c r="C5603" t="s">
        <v>10</v>
      </c>
      <c r="D5603" s="3">
        <v>188.52149999999997</v>
      </c>
      <c r="E5603" s="3">
        <v>0</v>
      </c>
      <c r="F5603" t="s">
        <v>45</v>
      </c>
      <c r="G5603" s="3">
        <f t="shared" si="667"/>
        <v>-188.52149999999997</v>
      </c>
      <c r="H5603" s="3">
        <f t="shared" si="668"/>
        <v>188.52149999999997</v>
      </c>
      <c r="I5603" s="5" t="str">
        <f t="shared" si="669"/>
        <v>016</v>
      </c>
      <c r="J5603" s="5" t="str">
        <f t="shared" si="670"/>
        <v>2230</v>
      </c>
      <c r="K5603" s="5" t="str">
        <f t="shared" si="671"/>
        <v>000</v>
      </c>
      <c r="L5603" s="5">
        <f t="shared" si="672"/>
        <v>2</v>
      </c>
      <c r="M5603" s="5">
        <f t="shared" si="673"/>
        <v>2013</v>
      </c>
    </row>
    <row r="5604" spans="1:13" ht="15" x14ac:dyDescent="0.25">
      <c r="A5604" s="1">
        <f>DATE(2013,2,11)</f>
        <v>41316</v>
      </c>
      <c r="B5604" t="s">
        <v>15</v>
      </c>
      <c r="C5604" t="s">
        <v>6</v>
      </c>
      <c r="D5604" s="3">
        <v>3027.2585999999997</v>
      </c>
      <c r="E5604" s="3">
        <v>0</v>
      </c>
      <c r="F5604" t="s">
        <v>45</v>
      </c>
      <c r="G5604" s="3">
        <f t="shared" si="667"/>
        <v>-3027.2585999999997</v>
      </c>
      <c r="H5604" s="3">
        <f t="shared" si="668"/>
        <v>3027.2585999999997</v>
      </c>
      <c r="I5604" s="5" t="str">
        <f t="shared" si="669"/>
        <v>017</v>
      </c>
      <c r="J5604" s="5" t="str">
        <f t="shared" si="670"/>
        <v>2100</v>
      </c>
      <c r="K5604" s="5" t="str">
        <f t="shared" si="671"/>
        <v>000</v>
      </c>
      <c r="L5604" s="5">
        <f t="shared" si="672"/>
        <v>2</v>
      </c>
      <c r="M5604" s="5">
        <f t="shared" si="673"/>
        <v>2013</v>
      </c>
    </row>
    <row r="5605" spans="1:13" ht="15" x14ac:dyDescent="0.25">
      <c r="A5605" s="1">
        <f>DATE(2013,2,11)</f>
        <v>41316</v>
      </c>
      <c r="B5605" t="s">
        <v>16</v>
      </c>
      <c r="C5605" t="s">
        <v>8</v>
      </c>
      <c r="D5605" s="3">
        <v>639.78</v>
      </c>
      <c r="E5605" s="3">
        <v>0</v>
      </c>
      <c r="F5605" t="s">
        <v>45</v>
      </c>
      <c r="G5605" s="3">
        <f t="shared" si="667"/>
        <v>-639.78</v>
      </c>
      <c r="H5605" s="3">
        <f t="shared" si="668"/>
        <v>639.78</v>
      </c>
      <c r="I5605" s="5" t="str">
        <f t="shared" si="669"/>
        <v>017</v>
      </c>
      <c r="J5605" s="5" t="str">
        <f t="shared" si="670"/>
        <v>2210</v>
      </c>
      <c r="K5605" s="5" t="str">
        <f t="shared" si="671"/>
        <v>000</v>
      </c>
      <c r="L5605" s="5">
        <f t="shared" si="672"/>
        <v>2</v>
      </c>
      <c r="M5605" s="5">
        <f t="shared" si="673"/>
        <v>2013</v>
      </c>
    </row>
    <row r="5606" spans="1:13" ht="15" x14ac:dyDescent="0.25">
      <c r="A5606" s="1">
        <f>DATE(2013,2,11)</f>
        <v>41316</v>
      </c>
      <c r="B5606" t="s">
        <v>17</v>
      </c>
      <c r="C5606" t="s">
        <v>9</v>
      </c>
      <c r="D5606" s="3">
        <v>250.46749999999997</v>
      </c>
      <c r="E5606" s="3">
        <v>0</v>
      </c>
      <c r="F5606" t="s">
        <v>45</v>
      </c>
      <c r="G5606" s="3">
        <f t="shared" si="667"/>
        <v>-250.46749999999997</v>
      </c>
      <c r="H5606" s="3">
        <f t="shared" si="668"/>
        <v>250.46749999999997</v>
      </c>
      <c r="I5606" s="5" t="str">
        <f t="shared" si="669"/>
        <v>017</v>
      </c>
      <c r="J5606" s="5" t="str">
        <f t="shared" si="670"/>
        <v>2220</v>
      </c>
      <c r="K5606" s="5" t="str">
        <f t="shared" si="671"/>
        <v>000</v>
      </c>
      <c r="L5606" s="5">
        <f t="shared" si="672"/>
        <v>2</v>
      </c>
      <c r="M5606" s="5">
        <f t="shared" si="673"/>
        <v>2013</v>
      </c>
    </row>
    <row r="5607" spans="1:13" ht="15" x14ac:dyDescent="0.25">
      <c r="A5607" s="1">
        <f>DATE(2013,2,11)</f>
        <v>41316</v>
      </c>
      <c r="B5607" t="s">
        <v>18</v>
      </c>
      <c r="C5607" t="s">
        <v>10</v>
      </c>
      <c r="D5607" s="3">
        <v>101.9385</v>
      </c>
      <c r="E5607" s="3">
        <v>0</v>
      </c>
      <c r="F5607" t="s">
        <v>45</v>
      </c>
      <c r="G5607" s="3">
        <f t="shared" si="667"/>
        <v>-101.9385</v>
      </c>
      <c r="H5607" s="3">
        <f t="shared" si="668"/>
        <v>101.9385</v>
      </c>
      <c r="I5607" s="5" t="str">
        <f t="shared" si="669"/>
        <v>017</v>
      </c>
      <c r="J5607" s="5" t="str">
        <f t="shared" si="670"/>
        <v>2230</v>
      </c>
      <c r="K5607" s="5" t="str">
        <f t="shared" si="671"/>
        <v>000</v>
      </c>
      <c r="L5607" s="5">
        <f t="shared" si="672"/>
        <v>2</v>
      </c>
      <c r="M5607" s="5">
        <f t="shared" si="673"/>
        <v>2013</v>
      </c>
    </row>
    <row r="5608" spans="1:13" ht="15" x14ac:dyDescent="0.25">
      <c r="A5608" s="1">
        <f>DATE(2013,2,12)</f>
        <v>41317</v>
      </c>
      <c r="B5608" t="s">
        <v>15</v>
      </c>
      <c r="C5608" t="s">
        <v>6</v>
      </c>
      <c r="D5608" s="3">
        <v>7452.009</v>
      </c>
      <c r="E5608" s="3">
        <v>0</v>
      </c>
      <c r="F5608" t="s">
        <v>45</v>
      </c>
      <c r="G5608" s="3">
        <f t="shared" si="667"/>
        <v>-7452.009</v>
      </c>
      <c r="H5608" s="3">
        <f t="shared" si="668"/>
        <v>7452.009</v>
      </c>
      <c r="I5608" s="5" t="str">
        <f t="shared" si="669"/>
        <v>017</v>
      </c>
      <c r="J5608" s="5" t="str">
        <f t="shared" si="670"/>
        <v>2100</v>
      </c>
      <c r="K5608" s="5" t="str">
        <f t="shared" si="671"/>
        <v>000</v>
      </c>
      <c r="L5608" s="5">
        <f t="shared" si="672"/>
        <v>2</v>
      </c>
      <c r="M5608" s="5">
        <f t="shared" si="673"/>
        <v>2013</v>
      </c>
    </row>
    <row r="5609" spans="1:13" ht="15" x14ac:dyDescent="0.25">
      <c r="A5609" s="1">
        <f>DATE(2013,2,12)</f>
        <v>41317</v>
      </c>
      <c r="B5609" t="s">
        <v>16</v>
      </c>
      <c r="C5609" t="s">
        <v>8</v>
      </c>
      <c r="D5609" s="3">
        <v>1733.7359999999999</v>
      </c>
      <c r="E5609" s="3">
        <v>0</v>
      </c>
      <c r="F5609" t="s">
        <v>45</v>
      </c>
      <c r="G5609" s="3">
        <f t="shared" si="667"/>
        <v>-1733.7359999999999</v>
      </c>
      <c r="H5609" s="3">
        <f t="shared" si="668"/>
        <v>1733.7359999999999</v>
      </c>
      <c r="I5609" s="5" t="str">
        <f t="shared" si="669"/>
        <v>017</v>
      </c>
      <c r="J5609" s="5" t="str">
        <f t="shared" si="670"/>
        <v>2210</v>
      </c>
      <c r="K5609" s="5" t="str">
        <f t="shared" si="671"/>
        <v>000</v>
      </c>
      <c r="L5609" s="5">
        <f t="shared" si="672"/>
        <v>2</v>
      </c>
      <c r="M5609" s="5">
        <f t="shared" si="673"/>
        <v>2013</v>
      </c>
    </row>
    <row r="5610" spans="1:13" ht="15" x14ac:dyDescent="0.25">
      <c r="A5610" s="1">
        <f>DATE(2013,2,12)</f>
        <v>41317</v>
      </c>
      <c r="B5610" t="s">
        <v>17</v>
      </c>
      <c r="C5610" t="s">
        <v>9</v>
      </c>
      <c r="D5610" s="3">
        <v>518.13669999999991</v>
      </c>
      <c r="E5610" s="3">
        <v>0</v>
      </c>
      <c r="F5610" t="s">
        <v>45</v>
      </c>
      <c r="G5610" s="3">
        <f t="shared" si="667"/>
        <v>-518.13669999999991</v>
      </c>
      <c r="H5610" s="3">
        <f t="shared" si="668"/>
        <v>518.13669999999991</v>
      </c>
      <c r="I5610" s="5" t="str">
        <f t="shared" si="669"/>
        <v>017</v>
      </c>
      <c r="J5610" s="5" t="str">
        <f t="shared" si="670"/>
        <v>2220</v>
      </c>
      <c r="K5610" s="5" t="str">
        <f t="shared" si="671"/>
        <v>000</v>
      </c>
      <c r="L5610" s="5">
        <f t="shared" si="672"/>
        <v>2</v>
      </c>
      <c r="M5610" s="5">
        <f t="shared" si="673"/>
        <v>2013</v>
      </c>
    </row>
    <row r="5611" spans="1:13" ht="15" x14ac:dyDescent="0.25">
      <c r="A5611" s="1">
        <f>DATE(2013,2,12)</f>
        <v>41317</v>
      </c>
      <c r="B5611" t="s">
        <v>18</v>
      </c>
      <c r="C5611" t="s">
        <v>10</v>
      </c>
      <c r="D5611" s="3">
        <v>118.125</v>
      </c>
      <c r="E5611" s="3">
        <v>0</v>
      </c>
      <c r="F5611" t="s">
        <v>45</v>
      </c>
      <c r="G5611" s="3">
        <f t="shared" si="667"/>
        <v>-118.125</v>
      </c>
      <c r="H5611" s="3">
        <f t="shared" si="668"/>
        <v>118.125</v>
      </c>
      <c r="I5611" s="5" t="str">
        <f t="shared" si="669"/>
        <v>017</v>
      </c>
      <c r="J5611" s="5" t="str">
        <f t="shared" si="670"/>
        <v>2230</v>
      </c>
      <c r="K5611" s="5" t="str">
        <f t="shared" si="671"/>
        <v>000</v>
      </c>
      <c r="L5611" s="5">
        <f t="shared" si="672"/>
        <v>2</v>
      </c>
      <c r="M5611" s="5">
        <f t="shared" si="673"/>
        <v>2013</v>
      </c>
    </row>
    <row r="5612" spans="1:13" ht="15" x14ac:dyDescent="0.25">
      <c r="A5612" s="1">
        <f>DATE(2013,2,13)</f>
        <v>41318</v>
      </c>
      <c r="B5612" t="s">
        <v>15</v>
      </c>
      <c r="C5612" t="s">
        <v>6</v>
      </c>
      <c r="D5612" s="3">
        <v>3584.96</v>
      </c>
      <c r="E5612" s="3">
        <v>0</v>
      </c>
      <c r="F5612" t="s">
        <v>45</v>
      </c>
      <c r="G5612" s="3">
        <f t="shared" si="667"/>
        <v>-3584.96</v>
      </c>
      <c r="H5612" s="3">
        <f t="shared" si="668"/>
        <v>3584.96</v>
      </c>
      <c r="I5612" s="5" t="str">
        <f t="shared" si="669"/>
        <v>017</v>
      </c>
      <c r="J5612" s="5" t="str">
        <f t="shared" si="670"/>
        <v>2100</v>
      </c>
      <c r="K5612" s="5" t="str">
        <f t="shared" si="671"/>
        <v>000</v>
      </c>
      <c r="L5612" s="5">
        <f t="shared" si="672"/>
        <v>2</v>
      </c>
      <c r="M5612" s="5">
        <f t="shared" si="673"/>
        <v>2013</v>
      </c>
    </row>
    <row r="5613" spans="1:13" ht="15" x14ac:dyDescent="0.25">
      <c r="A5613" s="1">
        <f>DATE(2013,2,13)</f>
        <v>41318</v>
      </c>
      <c r="B5613" t="s">
        <v>16</v>
      </c>
      <c r="C5613" t="s">
        <v>8</v>
      </c>
      <c r="D5613" s="3">
        <v>1007.6444</v>
      </c>
      <c r="E5613" s="3">
        <v>0</v>
      </c>
      <c r="F5613" t="s">
        <v>45</v>
      </c>
      <c r="G5613" s="3">
        <f t="shared" si="667"/>
        <v>-1007.6444</v>
      </c>
      <c r="H5613" s="3">
        <f t="shared" si="668"/>
        <v>1007.6444</v>
      </c>
      <c r="I5613" s="5" t="str">
        <f t="shared" si="669"/>
        <v>017</v>
      </c>
      <c r="J5613" s="5" t="str">
        <f t="shared" si="670"/>
        <v>2210</v>
      </c>
      <c r="K5613" s="5" t="str">
        <f t="shared" si="671"/>
        <v>000</v>
      </c>
      <c r="L5613" s="5">
        <f t="shared" si="672"/>
        <v>2</v>
      </c>
      <c r="M5613" s="5">
        <f t="shared" si="673"/>
        <v>2013</v>
      </c>
    </row>
    <row r="5614" spans="1:13" ht="15" x14ac:dyDescent="0.25">
      <c r="A5614" s="1">
        <f>DATE(2013,2,13)</f>
        <v>41318</v>
      </c>
      <c r="B5614" t="s">
        <v>17</v>
      </c>
      <c r="C5614" t="s">
        <v>9</v>
      </c>
      <c r="D5614" s="3">
        <v>237.26300000000001</v>
      </c>
      <c r="E5614" s="3">
        <v>0</v>
      </c>
      <c r="F5614" t="s">
        <v>45</v>
      </c>
      <c r="G5614" s="3">
        <f t="shared" si="667"/>
        <v>-237.26300000000001</v>
      </c>
      <c r="H5614" s="3">
        <f t="shared" si="668"/>
        <v>237.26300000000001</v>
      </c>
      <c r="I5614" s="5" t="str">
        <f t="shared" si="669"/>
        <v>017</v>
      </c>
      <c r="J5614" s="5" t="str">
        <f t="shared" si="670"/>
        <v>2220</v>
      </c>
      <c r="K5614" s="5" t="str">
        <f t="shared" si="671"/>
        <v>000</v>
      </c>
      <c r="L5614" s="5">
        <f t="shared" si="672"/>
        <v>2</v>
      </c>
      <c r="M5614" s="5">
        <f t="shared" si="673"/>
        <v>2013</v>
      </c>
    </row>
    <row r="5615" spans="1:13" ht="15" x14ac:dyDescent="0.25">
      <c r="A5615" s="1">
        <f>DATE(2013,2,13)</f>
        <v>41318</v>
      </c>
      <c r="B5615" t="s">
        <v>18</v>
      </c>
      <c r="C5615" t="s">
        <v>10</v>
      </c>
      <c r="D5615" s="3">
        <v>12.945600000000001</v>
      </c>
      <c r="E5615" s="3">
        <v>0</v>
      </c>
      <c r="F5615" t="s">
        <v>45</v>
      </c>
      <c r="G5615" s="3">
        <f t="shared" si="667"/>
        <v>-12.945600000000001</v>
      </c>
      <c r="H5615" s="3">
        <f t="shared" si="668"/>
        <v>12.945600000000001</v>
      </c>
      <c r="I5615" s="5" t="str">
        <f t="shared" si="669"/>
        <v>017</v>
      </c>
      <c r="J5615" s="5" t="str">
        <f t="shared" si="670"/>
        <v>2230</v>
      </c>
      <c r="K5615" s="5" t="str">
        <f t="shared" si="671"/>
        <v>000</v>
      </c>
      <c r="L5615" s="5">
        <f t="shared" si="672"/>
        <v>2</v>
      </c>
      <c r="M5615" s="5">
        <f t="shared" si="673"/>
        <v>2013</v>
      </c>
    </row>
    <row r="5616" spans="1:13" ht="15" x14ac:dyDescent="0.25">
      <c r="A5616" s="1">
        <f>DATE(2013,2,14)</f>
        <v>41319</v>
      </c>
      <c r="B5616" t="s">
        <v>15</v>
      </c>
      <c r="C5616" t="s">
        <v>6</v>
      </c>
      <c r="D5616" s="3">
        <v>6689.5763999999999</v>
      </c>
      <c r="E5616" s="3">
        <v>0</v>
      </c>
      <c r="F5616" t="s">
        <v>45</v>
      </c>
      <c r="G5616" s="3">
        <f t="shared" si="667"/>
        <v>-6689.5763999999999</v>
      </c>
      <c r="H5616" s="3">
        <f t="shared" si="668"/>
        <v>6689.5763999999999</v>
      </c>
      <c r="I5616" s="5" t="str">
        <f t="shared" si="669"/>
        <v>017</v>
      </c>
      <c r="J5616" s="5" t="str">
        <f t="shared" si="670"/>
        <v>2100</v>
      </c>
      <c r="K5616" s="5" t="str">
        <f t="shared" si="671"/>
        <v>000</v>
      </c>
      <c r="L5616" s="5">
        <f t="shared" si="672"/>
        <v>2</v>
      </c>
      <c r="M5616" s="5">
        <f t="shared" si="673"/>
        <v>2013</v>
      </c>
    </row>
    <row r="5617" spans="1:13" ht="15" x14ac:dyDescent="0.25">
      <c r="A5617" s="1">
        <f>DATE(2013,2,14)</f>
        <v>41319</v>
      </c>
      <c r="B5617" t="s">
        <v>16</v>
      </c>
      <c r="C5617" t="s">
        <v>8</v>
      </c>
      <c r="D5617" s="3">
        <v>914.0625</v>
      </c>
      <c r="E5617" s="3">
        <v>0</v>
      </c>
      <c r="F5617" t="s">
        <v>45</v>
      </c>
      <c r="G5617" s="3">
        <f t="shared" si="667"/>
        <v>-914.0625</v>
      </c>
      <c r="H5617" s="3">
        <f t="shared" si="668"/>
        <v>914.0625</v>
      </c>
      <c r="I5617" s="5" t="str">
        <f t="shared" si="669"/>
        <v>017</v>
      </c>
      <c r="J5617" s="5" t="str">
        <f t="shared" si="670"/>
        <v>2210</v>
      </c>
      <c r="K5617" s="5" t="str">
        <f t="shared" si="671"/>
        <v>000</v>
      </c>
      <c r="L5617" s="5">
        <f t="shared" si="672"/>
        <v>2</v>
      </c>
      <c r="M5617" s="5">
        <f t="shared" si="673"/>
        <v>2013</v>
      </c>
    </row>
    <row r="5618" spans="1:13" ht="15" x14ac:dyDescent="0.25">
      <c r="A5618" s="1">
        <f>DATE(2013,2,14)</f>
        <v>41319</v>
      </c>
      <c r="B5618" t="s">
        <v>17</v>
      </c>
      <c r="C5618" t="s">
        <v>9</v>
      </c>
      <c r="D5618" s="3">
        <v>229.85820000000001</v>
      </c>
      <c r="E5618" s="3">
        <v>0</v>
      </c>
      <c r="F5618" t="s">
        <v>45</v>
      </c>
      <c r="G5618" s="3">
        <f t="shared" si="667"/>
        <v>-229.85820000000001</v>
      </c>
      <c r="H5618" s="3">
        <f t="shared" si="668"/>
        <v>229.85820000000001</v>
      </c>
      <c r="I5618" s="5" t="str">
        <f t="shared" si="669"/>
        <v>017</v>
      </c>
      <c r="J5618" s="5" t="str">
        <f t="shared" si="670"/>
        <v>2220</v>
      </c>
      <c r="K5618" s="5" t="str">
        <f t="shared" si="671"/>
        <v>000</v>
      </c>
      <c r="L5618" s="5">
        <f t="shared" si="672"/>
        <v>2</v>
      </c>
      <c r="M5618" s="5">
        <f t="shared" si="673"/>
        <v>2013</v>
      </c>
    </row>
    <row r="5619" spans="1:13" ht="15" x14ac:dyDescent="0.25">
      <c r="A5619" s="1">
        <f>DATE(2013,2,14)</f>
        <v>41319</v>
      </c>
      <c r="B5619" t="s">
        <v>18</v>
      </c>
      <c r="C5619" t="s">
        <v>10</v>
      </c>
      <c r="D5619" s="3">
        <v>51.443100000000001</v>
      </c>
      <c r="E5619" s="3">
        <v>0</v>
      </c>
      <c r="F5619" t="s">
        <v>45</v>
      </c>
      <c r="G5619" s="3">
        <f t="shared" si="667"/>
        <v>-51.443100000000001</v>
      </c>
      <c r="H5619" s="3">
        <f t="shared" si="668"/>
        <v>51.443100000000001</v>
      </c>
      <c r="I5619" s="5" t="str">
        <f t="shared" si="669"/>
        <v>017</v>
      </c>
      <c r="J5619" s="5" t="str">
        <f t="shared" si="670"/>
        <v>2230</v>
      </c>
      <c r="K5619" s="5" t="str">
        <f t="shared" si="671"/>
        <v>000</v>
      </c>
      <c r="L5619" s="5">
        <f t="shared" si="672"/>
        <v>2</v>
      </c>
      <c r="M5619" s="5">
        <f t="shared" si="673"/>
        <v>2013</v>
      </c>
    </row>
    <row r="5620" spans="1:13" ht="15" x14ac:dyDescent="0.25">
      <c r="A5620" s="1">
        <f>DATE(2013,2,15)</f>
        <v>41320</v>
      </c>
      <c r="B5620" t="s">
        <v>15</v>
      </c>
      <c r="C5620" t="s">
        <v>6</v>
      </c>
      <c r="D5620" s="3">
        <v>6821.3860000000013</v>
      </c>
      <c r="E5620" s="3">
        <v>0</v>
      </c>
      <c r="F5620" t="s">
        <v>45</v>
      </c>
      <c r="G5620" s="3">
        <f t="shared" si="667"/>
        <v>-6821.3860000000013</v>
      </c>
      <c r="H5620" s="3">
        <f t="shared" si="668"/>
        <v>6821.3860000000013</v>
      </c>
      <c r="I5620" s="5" t="str">
        <f t="shared" si="669"/>
        <v>017</v>
      </c>
      <c r="J5620" s="5" t="str">
        <f t="shared" si="670"/>
        <v>2100</v>
      </c>
      <c r="K5620" s="5" t="str">
        <f t="shared" si="671"/>
        <v>000</v>
      </c>
      <c r="L5620" s="5">
        <f t="shared" si="672"/>
        <v>2</v>
      </c>
      <c r="M5620" s="5">
        <f t="shared" si="673"/>
        <v>2013</v>
      </c>
    </row>
    <row r="5621" spans="1:13" ht="15" x14ac:dyDescent="0.25">
      <c r="A5621" s="1">
        <f>DATE(2013,2,15)</f>
        <v>41320</v>
      </c>
      <c r="B5621" t="s">
        <v>16</v>
      </c>
      <c r="C5621" t="s">
        <v>8</v>
      </c>
      <c r="D5621" s="3">
        <v>2191.8764999999999</v>
      </c>
      <c r="E5621" s="3">
        <v>0</v>
      </c>
      <c r="F5621" t="s">
        <v>45</v>
      </c>
      <c r="G5621" s="3">
        <f t="shared" si="667"/>
        <v>-2191.8764999999999</v>
      </c>
      <c r="H5621" s="3">
        <f t="shared" si="668"/>
        <v>2191.8764999999999</v>
      </c>
      <c r="I5621" s="5" t="str">
        <f t="shared" si="669"/>
        <v>017</v>
      </c>
      <c r="J5621" s="5" t="str">
        <f t="shared" si="670"/>
        <v>2210</v>
      </c>
      <c r="K5621" s="5" t="str">
        <f t="shared" si="671"/>
        <v>000</v>
      </c>
      <c r="L5621" s="5">
        <f t="shared" si="672"/>
        <v>2</v>
      </c>
      <c r="M5621" s="5">
        <f t="shared" si="673"/>
        <v>2013</v>
      </c>
    </row>
    <row r="5622" spans="1:13" ht="15" x14ac:dyDescent="0.25">
      <c r="A5622" s="1">
        <f>DATE(2013,2,15)</f>
        <v>41320</v>
      </c>
      <c r="B5622" t="s">
        <v>17</v>
      </c>
      <c r="C5622" t="s">
        <v>9</v>
      </c>
      <c r="D5622" s="3">
        <v>720.60399999999993</v>
      </c>
      <c r="E5622" s="3">
        <v>0</v>
      </c>
      <c r="F5622" t="s">
        <v>45</v>
      </c>
      <c r="G5622" s="3">
        <f t="shared" si="667"/>
        <v>-720.60399999999993</v>
      </c>
      <c r="H5622" s="3">
        <f t="shared" si="668"/>
        <v>720.60399999999993</v>
      </c>
      <c r="I5622" s="5" t="str">
        <f t="shared" si="669"/>
        <v>017</v>
      </c>
      <c r="J5622" s="5" t="str">
        <f t="shared" si="670"/>
        <v>2220</v>
      </c>
      <c r="K5622" s="5" t="str">
        <f t="shared" si="671"/>
        <v>000</v>
      </c>
      <c r="L5622" s="5">
        <f t="shared" si="672"/>
        <v>2</v>
      </c>
      <c r="M5622" s="5">
        <f t="shared" si="673"/>
        <v>2013</v>
      </c>
    </row>
    <row r="5623" spans="1:13" ht="15" x14ac:dyDescent="0.25">
      <c r="A5623" s="1">
        <f>DATE(2013,2,15)</f>
        <v>41320</v>
      </c>
      <c r="B5623" t="s">
        <v>18</v>
      </c>
      <c r="C5623" t="s">
        <v>10</v>
      </c>
      <c r="D5623" s="3">
        <v>152.14499999999998</v>
      </c>
      <c r="E5623" s="3">
        <v>0</v>
      </c>
      <c r="F5623" t="s">
        <v>45</v>
      </c>
      <c r="G5623" s="3">
        <f t="shared" si="667"/>
        <v>-152.14499999999998</v>
      </c>
      <c r="H5623" s="3">
        <f t="shared" si="668"/>
        <v>152.14499999999998</v>
      </c>
      <c r="I5623" s="5" t="str">
        <f t="shared" si="669"/>
        <v>017</v>
      </c>
      <c r="J5623" s="5" t="str">
        <f t="shared" si="670"/>
        <v>2230</v>
      </c>
      <c r="K5623" s="5" t="str">
        <f t="shared" si="671"/>
        <v>000</v>
      </c>
      <c r="L5623" s="5">
        <f t="shared" si="672"/>
        <v>2</v>
      </c>
      <c r="M5623" s="5">
        <f t="shared" si="673"/>
        <v>2013</v>
      </c>
    </row>
    <row r="5624" spans="1:13" ht="15" x14ac:dyDescent="0.25">
      <c r="A5624" s="1">
        <f>DATE(2013,2,16)</f>
        <v>41321</v>
      </c>
      <c r="B5624" t="s">
        <v>15</v>
      </c>
      <c r="C5624" t="s">
        <v>6</v>
      </c>
      <c r="D5624" s="3">
        <v>7091.7405000000008</v>
      </c>
      <c r="E5624" s="3">
        <v>0</v>
      </c>
      <c r="F5624" t="s">
        <v>45</v>
      </c>
      <c r="G5624" s="3">
        <f t="shared" si="667"/>
        <v>-7091.7405000000008</v>
      </c>
      <c r="H5624" s="3">
        <f t="shared" si="668"/>
        <v>7091.7405000000008</v>
      </c>
      <c r="I5624" s="5" t="str">
        <f t="shared" si="669"/>
        <v>017</v>
      </c>
      <c r="J5624" s="5" t="str">
        <f t="shared" si="670"/>
        <v>2100</v>
      </c>
      <c r="K5624" s="5" t="str">
        <f t="shared" si="671"/>
        <v>000</v>
      </c>
      <c r="L5624" s="5">
        <f t="shared" si="672"/>
        <v>2</v>
      </c>
      <c r="M5624" s="5">
        <f t="shared" si="673"/>
        <v>2013</v>
      </c>
    </row>
    <row r="5625" spans="1:13" ht="15" x14ac:dyDescent="0.25">
      <c r="A5625" s="1">
        <f>DATE(2013,2,16)</f>
        <v>41321</v>
      </c>
      <c r="B5625" t="s">
        <v>16</v>
      </c>
      <c r="C5625" t="s">
        <v>8</v>
      </c>
      <c r="D5625" s="3">
        <v>1950.2275</v>
      </c>
      <c r="E5625" s="3">
        <v>0</v>
      </c>
      <c r="F5625" t="s">
        <v>45</v>
      </c>
      <c r="G5625" s="3">
        <f t="shared" si="667"/>
        <v>-1950.2275</v>
      </c>
      <c r="H5625" s="3">
        <f t="shared" si="668"/>
        <v>1950.2275</v>
      </c>
      <c r="I5625" s="5" t="str">
        <f t="shared" si="669"/>
        <v>017</v>
      </c>
      <c r="J5625" s="5" t="str">
        <f t="shared" si="670"/>
        <v>2210</v>
      </c>
      <c r="K5625" s="5" t="str">
        <f t="shared" si="671"/>
        <v>000</v>
      </c>
      <c r="L5625" s="5">
        <f t="shared" si="672"/>
        <v>2</v>
      </c>
      <c r="M5625" s="5">
        <f t="shared" si="673"/>
        <v>2013</v>
      </c>
    </row>
    <row r="5626" spans="1:13" ht="15" x14ac:dyDescent="0.25">
      <c r="A5626" s="1">
        <f>DATE(2013,2,16)</f>
        <v>41321</v>
      </c>
      <c r="B5626" t="s">
        <v>17</v>
      </c>
      <c r="C5626" t="s">
        <v>9</v>
      </c>
      <c r="D5626" s="3">
        <v>438.8064</v>
      </c>
      <c r="E5626" s="3">
        <v>0</v>
      </c>
      <c r="F5626" t="s">
        <v>45</v>
      </c>
      <c r="G5626" s="3">
        <f t="shared" si="667"/>
        <v>-438.8064</v>
      </c>
      <c r="H5626" s="3">
        <f t="shared" si="668"/>
        <v>438.8064</v>
      </c>
      <c r="I5626" s="5" t="str">
        <f t="shared" si="669"/>
        <v>017</v>
      </c>
      <c r="J5626" s="5" t="str">
        <f t="shared" si="670"/>
        <v>2220</v>
      </c>
      <c r="K5626" s="5" t="str">
        <f t="shared" si="671"/>
        <v>000</v>
      </c>
      <c r="L5626" s="5">
        <f t="shared" si="672"/>
        <v>2</v>
      </c>
      <c r="M5626" s="5">
        <f t="shared" si="673"/>
        <v>2013</v>
      </c>
    </row>
    <row r="5627" spans="1:13" ht="15" x14ac:dyDescent="0.25">
      <c r="A5627" s="1">
        <f>DATE(2013,2,16)</f>
        <v>41321</v>
      </c>
      <c r="B5627" t="s">
        <v>18</v>
      </c>
      <c r="C5627" t="s">
        <v>10</v>
      </c>
      <c r="D5627" s="3">
        <v>117.6824</v>
      </c>
      <c r="E5627" s="3">
        <v>0</v>
      </c>
      <c r="F5627" t="s">
        <v>45</v>
      </c>
      <c r="G5627" s="3">
        <f t="shared" si="667"/>
        <v>-117.6824</v>
      </c>
      <c r="H5627" s="3">
        <f t="shared" si="668"/>
        <v>117.6824</v>
      </c>
      <c r="I5627" s="5" t="str">
        <f t="shared" si="669"/>
        <v>017</v>
      </c>
      <c r="J5627" s="5" t="str">
        <f t="shared" si="670"/>
        <v>2230</v>
      </c>
      <c r="K5627" s="5" t="str">
        <f t="shared" si="671"/>
        <v>000</v>
      </c>
      <c r="L5627" s="5">
        <f t="shared" si="672"/>
        <v>2</v>
      </c>
      <c r="M5627" s="5">
        <f t="shared" si="673"/>
        <v>2013</v>
      </c>
    </row>
    <row r="5628" spans="1:13" ht="15" x14ac:dyDescent="0.25">
      <c r="A5628" s="1">
        <f>DATE(2013,2,17)</f>
        <v>41322</v>
      </c>
      <c r="B5628" t="s">
        <v>15</v>
      </c>
      <c r="C5628" t="s">
        <v>6</v>
      </c>
      <c r="D5628" s="3">
        <v>4273.0163999999995</v>
      </c>
      <c r="E5628" s="3">
        <v>0</v>
      </c>
      <c r="F5628" t="s">
        <v>45</v>
      </c>
      <c r="G5628" s="3">
        <f t="shared" si="667"/>
        <v>-4273.0163999999995</v>
      </c>
      <c r="H5628" s="3">
        <f t="shared" si="668"/>
        <v>4273.0163999999995</v>
      </c>
      <c r="I5628" s="5" t="str">
        <f t="shared" si="669"/>
        <v>017</v>
      </c>
      <c r="J5628" s="5" t="str">
        <f t="shared" si="670"/>
        <v>2100</v>
      </c>
      <c r="K5628" s="5" t="str">
        <f t="shared" si="671"/>
        <v>000</v>
      </c>
      <c r="L5628" s="5">
        <f t="shared" si="672"/>
        <v>2</v>
      </c>
      <c r="M5628" s="5">
        <f t="shared" si="673"/>
        <v>2013</v>
      </c>
    </row>
    <row r="5629" spans="1:13" ht="15" x14ac:dyDescent="0.25">
      <c r="A5629" s="1">
        <f>DATE(2013,2,17)</f>
        <v>41322</v>
      </c>
      <c r="B5629" t="s">
        <v>16</v>
      </c>
      <c r="C5629" t="s">
        <v>8</v>
      </c>
      <c r="D5629" s="3">
        <v>1171.2703999999999</v>
      </c>
      <c r="E5629" s="3">
        <v>0</v>
      </c>
      <c r="F5629" t="s">
        <v>45</v>
      </c>
      <c r="G5629" s="3">
        <f t="shared" si="667"/>
        <v>-1171.2703999999999</v>
      </c>
      <c r="H5629" s="3">
        <f t="shared" si="668"/>
        <v>1171.2703999999999</v>
      </c>
      <c r="I5629" s="5" t="str">
        <f t="shared" si="669"/>
        <v>017</v>
      </c>
      <c r="J5629" s="5" t="str">
        <f t="shared" si="670"/>
        <v>2210</v>
      </c>
      <c r="K5629" s="5" t="str">
        <f t="shared" si="671"/>
        <v>000</v>
      </c>
      <c r="L5629" s="5">
        <f t="shared" si="672"/>
        <v>2</v>
      </c>
      <c r="M5629" s="5">
        <f t="shared" si="673"/>
        <v>2013</v>
      </c>
    </row>
    <row r="5630" spans="1:13" ht="15" x14ac:dyDescent="0.25">
      <c r="A5630" s="1">
        <f>DATE(2013,2,17)</f>
        <v>41322</v>
      </c>
      <c r="B5630" t="s">
        <v>17</v>
      </c>
      <c r="C5630" t="s">
        <v>9</v>
      </c>
      <c r="D5630" s="3">
        <v>266.10390000000001</v>
      </c>
      <c r="E5630" s="3">
        <v>0</v>
      </c>
      <c r="F5630" t="s">
        <v>45</v>
      </c>
      <c r="G5630" s="3">
        <f t="shared" si="667"/>
        <v>-266.10390000000001</v>
      </c>
      <c r="H5630" s="3">
        <f t="shared" si="668"/>
        <v>266.10390000000001</v>
      </c>
      <c r="I5630" s="5" t="str">
        <f t="shared" si="669"/>
        <v>017</v>
      </c>
      <c r="J5630" s="5" t="str">
        <f t="shared" si="670"/>
        <v>2220</v>
      </c>
      <c r="K5630" s="5" t="str">
        <f t="shared" si="671"/>
        <v>000</v>
      </c>
      <c r="L5630" s="5">
        <f t="shared" si="672"/>
        <v>2</v>
      </c>
      <c r="M5630" s="5">
        <f t="shared" si="673"/>
        <v>2013</v>
      </c>
    </row>
    <row r="5631" spans="1:13" ht="15" x14ac:dyDescent="0.25">
      <c r="A5631" s="1">
        <f>DATE(2013,2,17)</f>
        <v>41322</v>
      </c>
      <c r="B5631" t="s">
        <v>18</v>
      </c>
      <c r="C5631" t="s">
        <v>10</v>
      </c>
      <c r="D5631" s="3">
        <v>68.118700000000004</v>
      </c>
      <c r="E5631" s="3">
        <v>0</v>
      </c>
      <c r="F5631" t="s">
        <v>45</v>
      </c>
      <c r="G5631" s="3">
        <f t="shared" si="667"/>
        <v>-68.118700000000004</v>
      </c>
      <c r="H5631" s="3">
        <f t="shared" si="668"/>
        <v>68.118700000000004</v>
      </c>
      <c r="I5631" s="5" t="str">
        <f t="shared" si="669"/>
        <v>017</v>
      </c>
      <c r="J5631" s="5" t="str">
        <f t="shared" si="670"/>
        <v>2230</v>
      </c>
      <c r="K5631" s="5" t="str">
        <f t="shared" si="671"/>
        <v>000</v>
      </c>
      <c r="L5631" s="5">
        <f t="shared" si="672"/>
        <v>2</v>
      </c>
      <c r="M5631" s="5">
        <f t="shared" si="673"/>
        <v>2013</v>
      </c>
    </row>
    <row r="5632" spans="1:13" ht="15" x14ac:dyDescent="0.25">
      <c r="A5632" s="1">
        <f>DATE(2013,2,11)</f>
        <v>41316</v>
      </c>
      <c r="B5632" t="s">
        <v>19</v>
      </c>
      <c r="C5632" t="s">
        <v>6</v>
      </c>
      <c r="D5632" s="3">
        <v>2440.2755000000002</v>
      </c>
      <c r="E5632" s="3">
        <v>0</v>
      </c>
      <c r="F5632" t="s">
        <v>45</v>
      </c>
      <c r="G5632" s="3">
        <f t="shared" si="667"/>
        <v>-2440.2755000000002</v>
      </c>
      <c r="H5632" s="3">
        <f t="shared" si="668"/>
        <v>2440.2755000000002</v>
      </c>
      <c r="I5632" s="5" t="str">
        <f t="shared" si="669"/>
        <v>018</v>
      </c>
      <c r="J5632" s="5" t="str">
        <f t="shared" si="670"/>
        <v>2100</v>
      </c>
      <c r="K5632" s="5" t="str">
        <f t="shared" si="671"/>
        <v>000</v>
      </c>
      <c r="L5632" s="5">
        <f t="shared" si="672"/>
        <v>2</v>
      </c>
      <c r="M5632" s="5">
        <f t="shared" si="673"/>
        <v>2013</v>
      </c>
    </row>
    <row r="5633" spans="1:13" ht="15" x14ac:dyDescent="0.25">
      <c r="A5633" s="1">
        <f>DATE(2013,2,11)</f>
        <v>41316</v>
      </c>
      <c r="B5633" t="s">
        <v>20</v>
      </c>
      <c r="C5633" t="s">
        <v>8</v>
      </c>
      <c r="D5633" s="3">
        <v>419.54760000000005</v>
      </c>
      <c r="E5633" s="3">
        <v>0</v>
      </c>
      <c r="F5633" t="s">
        <v>45</v>
      </c>
      <c r="G5633" s="3">
        <f t="shared" si="667"/>
        <v>-419.54760000000005</v>
      </c>
      <c r="H5633" s="3">
        <f t="shared" si="668"/>
        <v>419.54760000000005</v>
      </c>
      <c r="I5633" s="5" t="str">
        <f t="shared" si="669"/>
        <v>018</v>
      </c>
      <c r="J5633" s="5" t="str">
        <f t="shared" si="670"/>
        <v>2210</v>
      </c>
      <c r="K5633" s="5" t="str">
        <f t="shared" si="671"/>
        <v>000</v>
      </c>
      <c r="L5633" s="5">
        <f t="shared" si="672"/>
        <v>2</v>
      </c>
      <c r="M5633" s="5">
        <f t="shared" si="673"/>
        <v>2013</v>
      </c>
    </row>
    <row r="5634" spans="1:13" ht="15" x14ac:dyDescent="0.25">
      <c r="A5634" s="1">
        <f>DATE(2013,2,11)</f>
        <v>41316</v>
      </c>
      <c r="B5634" t="s">
        <v>21</v>
      </c>
      <c r="C5634" t="s">
        <v>9</v>
      </c>
      <c r="D5634" s="3">
        <v>119.24279999999999</v>
      </c>
      <c r="E5634" s="3">
        <v>0</v>
      </c>
      <c r="F5634" t="s">
        <v>45</v>
      </c>
      <c r="G5634" s="3">
        <f t="shared" ref="G5634:G5697" si="674">E5634-D5634</f>
        <v>-119.24279999999999</v>
      </c>
      <c r="H5634" s="3">
        <f t="shared" ref="H5634:H5697" si="675">ABS(G5634)</f>
        <v>119.24279999999999</v>
      </c>
      <c r="I5634" s="5" t="str">
        <f t="shared" ref="I5634:I5697" si="676">MID(B5634,1,3)</f>
        <v>018</v>
      </c>
      <c r="J5634" s="5" t="str">
        <f t="shared" ref="J5634:J5697" si="677">MID(B5634,5,4)</f>
        <v>2220</v>
      </c>
      <c r="K5634" s="5" t="str">
        <f t="shared" ref="K5634:K5697" si="678">MID(B5634,10,3)</f>
        <v>000</v>
      </c>
      <c r="L5634" s="5">
        <f t="shared" ref="L5634:L5697" si="679">MONTH(A5634)</f>
        <v>2</v>
      </c>
      <c r="M5634" s="5">
        <f t="shared" ref="M5634:M5697" si="680">YEAR(A5634)</f>
        <v>2013</v>
      </c>
    </row>
    <row r="5635" spans="1:13" ht="15" x14ac:dyDescent="0.25">
      <c r="A5635" s="1">
        <f>DATE(2013,2,11)</f>
        <v>41316</v>
      </c>
      <c r="B5635" t="s">
        <v>22</v>
      </c>
      <c r="C5635" t="s">
        <v>10</v>
      </c>
      <c r="D5635" s="3">
        <v>14.193199999999999</v>
      </c>
      <c r="E5635" s="3">
        <v>0</v>
      </c>
      <c r="F5635" t="s">
        <v>45</v>
      </c>
      <c r="G5635" s="3">
        <f t="shared" si="674"/>
        <v>-14.193199999999999</v>
      </c>
      <c r="H5635" s="3">
        <f t="shared" si="675"/>
        <v>14.193199999999999</v>
      </c>
      <c r="I5635" s="5" t="str">
        <f t="shared" si="676"/>
        <v>018</v>
      </c>
      <c r="J5635" s="5" t="str">
        <f t="shared" si="677"/>
        <v>2230</v>
      </c>
      <c r="K5635" s="5" t="str">
        <f t="shared" si="678"/>
        <v>000</v>
      </c>
      <c r="L5635" s="5">
        <f t="shared" si="679"/>
        <v>2</v>
      </c>
      <c r="M5635" s="5">
        <f t="shared" si="680"/>
        <v>2013</v>
      </c>
    </row>
    <row r="5636" spans="1:13" ht="15" x14ac:dyDescent="0.25">
      <c r="A5636" s="1">
        <f>DATE(2013,2,12)</f>
        <v>41317</v>
      </c>
      <c r="B5636" t="s">
        <v>19</v>
      </c>
      <c r="C5636" t="s">
        <v>6</v>
      </c>
      <c r="D5636" s="3">
        <v>3351.0864000000001</v>
      </c>
      <c r="E5636" s="3">
        <v>0</v>
      </c>
      <c r="F5636" t="s">
        <v>45</v>
      </c>
      <c r="G5636" s="3">
        <f t="shared" si="674"/>
        <v>-3351.0864000000001</v>
      </c>
      <c r="H5636" s="3">
        <f t="shared" si="675"/>
        <v>3351.0864000000001</v>
      </c>
      <c r="I5636" s="5" t="str">
        <f t="shared" si="676"/>
        <v>018</v>
      </c>
      <c r="J5636" s="5" t="str">
        <f t="shared" si="677"/>
        <v>2100</v>
      </c>
      <c r="K5636" s="5" t="str">
        <f t="shared" si="678"/>
        <v>000</v>
      </c>
      <c r="L5636" s="5">
        <f t="shared" si="679"/>
        <v>2</v>
      </c>
      <c r="M5636" s="5">
        <f t="shared" si="680"/>
        <v>2013</v>
      </c>
    </row>
    <row r="5637" spans="1:13" ht="15" x14ac:dyDescent="0.25">
      <c r="A5637" s="1">
        <f>DATE(2013,2,12)</f>
        <v>41317</v>
      </c>
      <c r="B5637" t="s">
        <v>20</v>
      </c>
      <c r="C5637" t="s">
        <v>8</v>
      </c>
      <c r="D5637" s="3">
        <v>720.02120000000002</v>
      </c>
      <c r="E5637" s="3">
        <v>0</v>
      </c>
      <c r="F5637" t="s">
        <v>45</v>
      </c>
      <c r="G5637" s="3">
        <f t="shared" si="674"/>
        <v>-720.02120000000002</v>
      </c>
      <c r="H5637" s="3">
        <f t="shared" si="675"/>
        <v>720.02120000000002</v>
      </c>
      <c r="I5637" s="5" t="str">
        <f t="shared" si="676"/>
        <v>018</v>
      </c>
      <c r="J5637" s="5" t="str">
        <f t="shared" si="677"/>
        <v>2210</v>
      </c>
      <c r="K5637" s="5" t="str">
        <f t="shared" si="678"/>
        <v>000</v>
      </c>
      <c r="L5637" s="5">
        <f t="shared" si="679"/>
        <v>2</v>
      </c>
      <c r="M5637" s="5">
        <f t="shared" si="680"/>
        <v>2013</v>
      </c>
    </row>
    <row r="5638" spans="1:13" ht="15" x14ac:dyDescent="0.25">
      <c r="A5638" s="1">
        <f>DATE(2013,2,12)</f>
        <v>41317</v>
      </c>
      <c r="B5638" t="s">
        <v>21</v>
      </c>
      <c r="C5638" t="s">
        <v>9</v>
      </c>
      <c r="D5638" s="3">
        <v>186.4716</v>
      </c>
      <c r="E5638" s="3">
        <v>0</v>
      </c>
      <c r="F5638" t="s">
        <v>45</v>
      </c>
      <c r="G5638" s="3">
        <f t="shared" si="674"/>
        <v>-186.4716</v>
      </c>
      <c r="H5638" s="3">
        <f t="shared" si="675"/>
        <v>186.4716</v>
      </c>
      <c r="I5638" s="5" t="str">
        <f t="shared" si="676"/>
        <v>018</v>
      </c>
      <c r="J5638" s="5" t="str">
        <f t="shared" si="677"/>
        <v>2220</v>
      </c>
      <c r="K5638" s="5" t="str">
        <f t="shared" si="678"/>
        <v>000</v>
      </c>
      <c r="L5638" s="5">
        <f t="shared" si="679"/>
        <v>2</v>
      </c>
      <c r="M5638" s="5">
        <f t="shared" si="680"/>
        <v>2013</v>
      </c>
    </row>
    <row r="5639" spans="1:13" ht="15" x14ac:dyDescent="0.25">
      <c r="A5639" s="1">
        <f>DATE(2013,2,12)</f>
        <v>41317</v>
      </c>
      <c r="B5639" t="s">
        <v>22</v>
      </c>
      <c r="C5639" t="s">
        <v>10</v>
      </c>
      <c r="D5639" s="3">
        <v>13.584000000000001</v>
      </c>
      <c r="E5639" s="3">
        <v>0</v>
      </c>
      <c r="F5639" t="s">
        <v>45</v>
      </c>
      <c r="G5639" s="3">
        <f t="shared" si="674"/>
        <v>-13.584000000000001</v>
      </c>
      <c r="H5639" s="3">
        <f t="shared" si="675"/>
        <v>13.584000000000001</v>
      </c>
      <c r="I5639" s="5" t="str">
        <f t="shared" si="676"/>
        <v>018</v>
      </c>
      <c r="J5639" s="5" t="str">
        <f t="shared" si="677"/>
        <v>2230</v>
      </c>
      <c r="K5639" s="5" t="str">
        <f t="shared" si="678"/>
        <v>000</v>
      </c>
      <c r="L5639" s="5">
        <f t="shared" si="679"/>
        <v>2</v>
      </c>
      <c r="M5639" s="5">
        <f t="shared" si="680"/>
        <v>2013</v>
      </c>
    </row>
    <row r="5640" spans="1:13" ht="15" x14ac:dyDescent="0.25">
      <c r="A5640" s="1">
        <f>DATE(2013,2,13)</f>
        <v>41318</v>
      </c>
      <c r="B5640" t="s">
        <v>19</v>
      </c>
      <c r="C5640" t="s">
        <v>6</v>
      </c>
      <c r="D5640" s="3">
        <v>3531.0614999999993</v>
      </c>
      <c r="E5640" s="3">
        <v>0</v>
      </c>
      <c r="F5640" t="s">
        <v>45</v>
      </c>
      <c r="G5640" s="3">
        <f t="shared" si="674"/>
        <v>-3531.0614999999993</v>
      </c>
      <c r="H5640" s="3">
        <f t="shared" si="675"/>
        <v>3531.0614999999993</v>
      </c>
      <c r="I5640" s="5" t="str">
        <f t="shared" si="676"/>
        <v>018</v>
      </c>
      <c r="J5640" s="5" t="str">
        <f t="shared" si="677"/>
        <v>2100</v>
      </c>
      <c r="K5640" s="5" t="str">
        <f t="shared" si="678"/>
        <v>000</v>
      </c>
      <c r="L5640" s="5">
        <f t="shared" si="679"/>
        <v>2</v>
      </c>
      <c r="M5640" s="5">
        <f t="shared" si="680"/>
        <v>2013</v>
      </c>
    </row>
    <row r="5641" spans="1:13" ht="15" x14ac:dyDescent="0.25">
      <c r="A5641" s="1">
        <f>DATE(2013,2,13)</f>
        <v>41318</v>
      </c>
      <c r="B5641" t="s">
        <v>20</v>
      </c>
      <c r="C5641" t="s">
        <v>8</v>
      </c>
      <c r="D5641" s="3">
        <v>688.48919999999998</v>
      </c>
      <c r="E5641" s="3">
        <v>0</v>
      </c>
      <c r="F5641" t="s">
        <v>45</v>
      </c>
      <c r="G5641" s="3">
        <f t="shared" si="674"/>
        <v>-688.48919999999998</v>
      </c>
      <c r="H5641" s="3">
        <f t="shared" si="675"/>
        <v>688.48919999999998</v>
      </c>
      <c r="I5641" s="5" t="str">
        <f t="shared" si="676"/>
        <v>018</v>
      </c>
      <c r="J5641" s="5" t="str">
        <f t="shared" si="677"/>
        <v>2210</v>
      </c>
      <c r="K5641" s="5" t="str">
        <f t="shared" si="678"/>
        <v>000</v>
      </c>
      <c r="L5641" s="5">
        <f t="shared" si="679"/>
        <v>2</v>
      </c>
      <c r="M5641" s="5">
        <f t="shared" si="680"/>
        <v>2013</v>
      </c>
    </row>
    <row r="5642" spans="1:13" ht="15" x14ac:dyDescent="0.25">
      <c r="A5642" s="1">
        <f>DATE(2013,2,13)</f>
        <v>41318</v>
      </c>
      <c r="B5642" t="s">
        <v>21</v>
      </c>
      <c r="C5642" t="s">
        <v>9</v>
      </c>
      <c r="D5642" s="3">
        <v>101.00160000000001</v>
      </c>
      <c r="E5642" s="3">
        <v>0</v>
      </c>
      <c r="F5642" t="s">
        <v>45</v>
      </c>
      <c r="G5642" s="3">
        <f t="shared" si="674"/>
        <v>-101.00160000000001</v>
      </c>
      <c r="H5642" s="3">
        <f t="shared" si="675"/>
        <v>101.00160000000001</v>
      </c>
      <c r="I5642" s="5" t="str">
        <f t="shared" si="676"/>
        <v>018</v>
      </c>
      <c r="J5642" s="5" t="str">
        <f t="shared" si="677"/>
        <v>2220</v>
      </c>
      <c r="K5642" s="5" t="str">
        <f t="shared" si="678"/>
        <v>000</v>
      </c>
      <c r="L5642" s="5">
        <f t="shared" si="679"/>
        <v>2</v>
      </c>
      <c r="M5642" s="5">
        <f t="shared" si="680"/>
        <v>2013</v>
      </c>
    </row>
    <row r="5643" spans="1:13" ht="15" x14ac:dyDescent="0.25">
      <c r="A5643" s="1">
        <f>DATE(2013,2,13)</f>
        <v>41318</v>
      </c>
      <c r="B5643" t="s">
        <v>22</v>
      </c>
      <c r="C5643" t="s">
        <v>10</v>
      </c>
      <c r="D5643" s="3">
        <v>41.823699999999995</v>
      </c>
      <c r="E5643" s="3">
        <v>0</v>
      </c>
      <c r="F5643" t="s">
        <v>45</v>
      </c>
      <c r="G5643" s="3">
        <f t="shared" si="674"/>
        <v>-41.823699999999995</v>
      </c>
      <c r="H5643" s="3">
        <f t="shared" si="675"/>
        <v>41.823699999999995</v>
      </c>
      <c r="I5643" s="5" t="str">
        <f t="shared" si="676"/>
        <v>018</v>
      </c>
      <c r="J5643" s="5" t="str">
        <f t="shared" si="677"/>
        <v>2230</v>
      </c>
      <c r="K5643" s="5" t="str">
        <f t="shared" si="678"/>
        <v>000</v>
      </c>
      <c r="L5643" s="5">
        <f t="shared" si="679"/>
        <v>2</v>
      </c>
      <c r="M5643" s="5">
        <f t="shared" si="680"/>
        <v>2013</v>
      </c>
    </row>
    <row r="5644" spans="1:13" ht="15" x14ac:dyDescent="0.25">
      <c r="A5644" s="1">
        <f>DATE(2013,2,14)</f>
        <v>41319</v>
      </c>
      <c r="B5644" t="s">
        <v>19</v>
      </c>
      <c r="C5644" t="s">
        <v>6</v>
      </c>
      <c r="D5644" s="3">
        <v>12671.880000000001</v>
      </c>
      <c r="E5644" s="3">
        <v>0</v>
      </c>
      <c r="F5644" t="s">
        <v>45</v>
      </c>
      <c r="G5644" s="3">
        <f t="shared" si="674"/>
        <v>-12671.880000000001</v>
      </c>
      <c r="H5644" s="3">
        <f t="shared" si="675"/>
        <v>12671.880000000001</v>
      </c>
      <c r="I5644" s="5" t="str">
        <f t="shared" si="676"/>
        <v>018</v>
      </c>
      <c r="J5644" s="5" t="str">
        <f t="shared" si="677"/>
        <v>2100</v>
      </c>
      <c r="K5644" s="5" t="str">
        <f t="shared" si="678"/>
        <v>000</v>
      </c>
      <c r="L5644" s="5">
        <f t="shared" si="679"/>
        <v>2</v>
      </c>
      <c r="M5644" s="5">
        <f t="shared" si="680"/>
        <v>2013</v>
      </c>
    </row>
    <row r="5645" spans="1:13" ht="15" x14ac:dyDescent="0.25">
      <c r="A5645" s="1">
        <f>DATE(2013,2,14)</f>
        <v>41319</v>
      </c>
      <c r="B5645" t="s">
        <v>20</v>
      </c>
      <c r="C5645" t="s">
        <v>8</v>
      </c>
      <c r="D5645" s="3">
        <v>1556.0272</v>
      </c>
      <c r="E5645" s="3">
        <v>0</v>
      </c>
      <c r="F5645" t="s">
        <v>45</v>
      </c>
      <c r="G5645" s="3">
        <f t="shared" si="674"/>
        <v>-1556.0272</v>
      </c>
      <c r="H5645" s="3">
        <f t="shared" si="675"/>
        <v>1556.0272</v>
      </c>
      <c r="I5645" s="5" t="str">
        <f t="shared" si="676"/>
        <v>018</v>
      </c>
      <c r="J5645" s="5" t="str">
        <f t="shared" si="677"/>
        <v>2210</v>
      </c>
      <c r="K5645" s="5" t="str">
        <f t="shared" si="678"/>
        <v>000</v>
      </c>
      <c r="L5645" s="5">
        <f t="shared" si="679"/>
        <v>2</v>
      </c>
      <c r="M5645" s="5">
        <f t="shared" si="680"/>
        <v>2013</v>
      </c>
    </row>
    <row r="5646" spans="1:13" ht="15" x14ac:dyDescent="0.25">
      <c r="A5646" s="1">
        <f>DATE(2013,2,14)</f>
        <v>41319</v>
      </c>
      <c r="B5646" t="s">
        <v>21</v>
      </c>
      <c r="C5646" t="s">
        <v>9</v>
      </c>
      <c r="D5646" s="3">
        <v>724.93679999999995</v>
      </c>
      <c r="E5646" s="3">
        <v>0</v>
      </c>
      <c r="F5646" t="s">
        <v>45</v>
      </c>
      <c r="G5646" s="3">
        <f t="shared" si="674"/>
        <v>-724.93679999999995</v>
      </c>
      <c r="H5646" s="3">
        <f t="shared" si="675"/>
        <v>724.93679999999995</v>
      </c>
      <c r="I5646" s="5" t="str">
        <f t="shared" si="676"/>
        <v>018</v>
      </c>
      <c r="J5646" s="5" t="str">
        <f t="shared" si="677"/>
        <v>2220</v>
      </c>
      <c r="K5646" s="5" t="str">
        <f t="shared" si="678"/>
        <v>000</v>
      </c>
      <c r="L5646" s="5">
        <f t="shared" si="679"/>
        <v>2</v>
      </c>
      <c r="M5646" s="5">
        <f t="shared" si="680"/>
        <v>2013</v>
      </c>
    </row>
    <row r="5647" spans="1:13" ht="15" x14ac:dyDescent="0.25">
      <c r="A5647" s="1">
        <f>DATE(2013,2,14)</f>
        <v>41319</v>
      </c>
      <c r="B5647" t="s">
        <v>22</v>
      </c>
      <c r="C5647" t="s">
        <v>10</v>
      </c>
      <c r="D5647" s="3">
        <v>100.3434</v>
      </c>
      <c r="E5647" s="3">
        <v>0</v>
      </c>
      <c r="F5647" t="s">
        <v>45</v>
      </c>
      <c r="G5647" s="3">
        <f t="shared" si="674"/>
        <v>-100.3434</v>
      </c>
      <c r="H5647" s="3">
        <f t="shared" si="675"/>
        <v>100.3434</v>
      </c>
      <c r="I5647" s="5" t="str">
        <f t="shared" si="676"/>
        <v>018</v>
      </c>
      <c r="J5647" s="5" t="str">
        <f t="shared" si="677"/>
        <v>2230</v>
      </c>
      <c r="K5647" s="5" t="str">
        <f t="shared" si="678"/>
        <v>000</v>
      </c>
      <c r="L5647" s="5">
        <f t="shared" si="679"/>
        <v>2</v>
      </c>
      <c r="M5647" s="5">
        <f t="shared" si="680"/>
        <v>2013</v>
      </c>
    </row>
    <row r="5648" spans="1:13" ht="15" x14ac:dyDescent="0.25">
      <c r="A5648" s="1">
        <f>DATE(2013,2,15)</f>
        <v>41320</v>
      </c>
      <c r="B5648" t="s">
        <v>19</v>
      </c>
      <c r="C5648" t="s">
        <v>6</v>
      </c>
      <c r="D5648" s="3">
        <v>7721.7785999999987</v>
      </c>
      <c r="E5648" s="3">
        <v>0</v>
      </c>
      <c r="F5648" t="s">
        <v>45</v>
      </c>
      <c r="G5648" s="3">
        <f t="shared" si="674"/>
        <v>-7721.7785999999987</v>
      </c>
      <c r="H5648" s="3">
        <f t="shared" si="675"/>
        <v>7721.7785999999987</v>
      </c>
      <c r="I5648" s="5" t="str">
        <f t="shared" si="676"/>
        <v>018</v>
      </c>
      <c r="J5648" s="5" t="str">
        <f t="shared" si="677"/>
        <v>2100</v>
      </c>
      <c r="K5648" s="5" t="str">
        <f t="shared" si="678"/>
        <v>000</v>
      </c>
      <c r="L5648" s="5">
        <f t="shared" si="679"/>
        <v>2</v>
      </c>
      <c r="M5648" s="5">
        <f t="shared" si="680"/>
        <v>2013</v>
      </c>
    </row>
    <row r="5649" spans="1:13" ht="15" x14ac:dyDescent="0.25">
      <c r="A5649" s="1">
        <f>DATE(2013,2,15)</f>
        <v>41320</v>
      </c>
      <c r="B5649" t="s">
        <v>20</v>
      </c>
      <c r="C5649" t="s">
        <v>8</v>
      </c>
      <c r="D5649" s="3">
        <v>2684.0171999999998</v>
      </c>
      <c r="E5649" s="3">
        <v>0</v>
      </c>
      <c r="F5649" t="s">
        <v>45</v>
      </c>
      <c r="G5649" s="3">
        <f t="shared" si="674"/>
        <v>-2684.0171999999998</v>
      </c>
      <c r="H5649" s="3">
        <f t="shared" si="675"/>
        <v>2684.0171999999998</v>
      </c>
      <c r="I5649" s="5" t="str">
        <f t="shared" si="676"/>
        <v>018</v>
      </c>
      <c r="J5649" s="5" t="str">
        <f t="shared" si="677"/>
        <v>2210</v>
      </c>
      <c r="K5649" s="5" t="str">
        <f t="shared" si="678"/>
        <v>000</v>
      </c>
      <c r="L5649" s="5">
        <f t="shared" si="679"/>
        <v>2</v>
      </c>
      <c r="M5649" s="5">
        <f t="shared" si="680"/>
        <v>2013</v>
      </c>
    </row>
    <row r="5650" spans="1:13" ht="15" x14ac:dyDescent="0.25">
      <c r="A5650" s="1">
        <f>DATE(2013,2,15)</f>
        <v>41320</v>
      </c>
      <c r="B5650" t="s">
        <v>21</v>
      </c>
      <c r="C5650" t="s">
        <v>9</v>
      </c>
      <c r="D5650" s="3">
        <v>518.41679999999997</v>
      </c>
      <c r="E5650" s="3">
        <v>0</v>
      </c>
      <c r="F5650" t="s">
        <v>45</v>
      </c>
      <c r="G5650" s="3">
        <f t="shared" si="674"/>
        <v>-518.41679999999997</v>
      </c>
      <c r="H5650" s="3">
        <f t="shared" si="675"/>
        <v>518.41679999999997</v>
      </c>
      <c r="I5650" s="5" t="str">
        <f t="shared" si="676"/>
        <v>018</v>
      </c>
      <c r="J5650" s="5" t="str">
        <f t="shared" si="677"/>
        <v>2220</v>
      </c>
      <c r="K5650" s="5" t="str">
        <f t="shared" si="678"/>
        <v>000</v>
      </c>
      <c r="L5650" s="5">
        <f t="shared" si="679"/>
        <v>2</v>
      </c>
      <c r="M5650" s="5">
        <f t="shared" si="680"/>
        <v>2013</v>
      </c>
    </row>
    <row r="5651" spans="1:13" ht="15" x14ac:dyDescent="0.25">
      <c r="A5651" s="1">
        <f>DATE(2013,2,15)</f>
        <v>41320</v>
      </c>
      <c r="B5651" t="s">
        <v>22</v>
      </c>
      <c r="C5651" t="s">
        <v>10</v>
      </c>
      <c r="D5651" s="3">
        <v>117.47120000000001</v>
      </c>
      <c r="E5651" s="3">
        <v>0</v>
      </c>
      <c r="F5651" t="s">
        <v>45</v>
      </c>
      <c r="G5651" s="3">
        <f t="shared" si="674"/>
        <v>-117.47120000000001</v>
      </c>
      <c r="H5651" s="3">
        <f t="shared" si="675"/>
        <v>117.47120000000001</v>
      </c>
      <c r="I5651" s="5" t="str">
        <f t="shared" si="676"/>
        <v>018</v>
      </c>
      <c r="J5651" s="5" t="str">
        <f t="shared" si="677"/>
        <v>2230</v>
      </c>
      <c r="K5651" s="5" t="str">
        <f t="shared" si="678"/>
        <v>000</v>
      </c>
      <c r="L5651" s="5">
        <f t="shared" si="679"/>
        <v>2</v>
      </c>
      <c r="M5651" s="5">
        <f t="shared" si="680"/>
        <v>2013</v>
      </c>
    </row>
    <row r="5652" spans="1:13" ht="15" x14ac:dyDescent="0.25">
      <c r="A5652" s="1">
        <f>DATE(2013,2,16)</f>
        <v>41321</v>
      </c>
      <c r="B5652" t="s">
        <v>19</v>
      </c>
      <c r="C5652" t="s">
        <v>6</v>
      </c>
      <c r="D5652" s="3">
        <v>16239.2412</v>
      </c>
      <c r="E5652" s="3">
        <v>0</v>
      </c>
      <c r="F5652" t="s">
        <v>45</v>
      </c>
      <c r="G5652" s="3">
        <f t="shared" si="674"/>
        <v>-16239.2412</v>
      </c>
      <c r="H5652" s="3">
        <f t="shared" si="675"/>
        <v>16239.2412</v>
      </c>
      <c r="I5652" s="5" t="str">
        <f t="shared" si="676"/>
        <v>018</v>
      </c>
      <c r="J5652" s="5" t="str">
        <f t="shared" si="677"/>
        <v>2100</v>
      </c>
      <c r="K5652" s="5" t="str">
        <f t="shared" si="678"/>
        <v>000</v>
      </c>
      <c r="L5652" s="5">
        <f t="shared" si="679"/>
        <v>2</v>
      </c>
      <c r="M5652" s="5">
        <f t="shared" si="680"/>
        <v>2013</v>
      </c>
    </row>
    <row r="5653" spans="1:13" ht="15" x14ac:dyDescent="0.25">
      <c r="A5653" s="1">
        <f>DATE(2013,2,16)</f>
        <v>41321</v>
      </c>
      <c r="B5653" t="s">
        <v>20</v>
      </c>
      <c r="C5653" t="s">
        <v>8</v>
      </c>
      <c r="D5653" s="3">
        <v>4059.9674999999993</v>
      </c>
      <c r="E5653" s="3">
        <v>0</v>
      </c>
      <c r="F5653" t="s">
        <v>45</v>
      </c>
      <c r="G5653" s="3">
        <f t="shared" si="674"/>
        <v>-4059.9674999999993</v>
      </c>
      <c r="H5653" s="3">
        <f t="shared" si="675"/>
        <v>4059.9674999999993</v>
      </c>
      <c r="I5653" s="5" t="str">
        <f t="shared" si="676"/>
        <v>018</v>
      </c>
      <c r="J5653" s="5" t="str">
        <f t="shared" si="677"/>
        <v>2210</v>
      </c>
      <c r="K5653" s="5" t="str">
        <f t="shared" si="678"/>
        <v>000</v>
      </c>
      <c r="L5653" s="5">
        <f t="shared" si="679"/>
        <v>2</v>
      </c>
      <c r="M5653" s="5">
        <f t="shared" si="680"/>
        <v>2013</v>
      </c>
    </row>
    <row r="5654" spans="1:13" ht="15" x14ac:dyDescent="0.25">
      <c r="A5654" s="1">
        <f>DATE(2013,2,16)</f>
        <v>41321</v>
      </c>
      <c r="B5654" t="s">
        <v>21</v>
      </c>
      <c r="C5654" t="s">
        <v>9</v>
      </c>
      <c r="D5654" s="3">
        <v>834.73739999999998</v>
      </c>
      <c r="E5654" s="3">
        <v>0</v>
      </c>
      <c r="F5654" t="s">
        <v>45</v>
      </c>
      <c r="G5654" s="3">
        <f t="shared" si="674"/>
        <v>-834.73739999999998</v>
      </c>
      <c r="H5654" s="3">
        <f t="shared" si="675"/>
        <v>834.73739999999998</v>
      </c>
      <c r="I5654" s="5" t="str">
        <f t="shared" si="676"/>
        <v>018</v>
      </c>
      <c r="J5654" s="5" t="str">
        <f t="shared" si="677"/>
        <v>2220</v>
      </c>
      <c r="K5654" s="5" t="str">
        <f t="shared" si="678"/>
        <v>000</v>
      </c>
      <c r="L5654" s="5">
        <f t="shared" si="679"/>
        <v>2</v>
      </c>
      <c r="M5654" s="5">
        <f t="shared" si="680"/>
        <v>2013</v>
      </c>
    </row>
    <row r="5655" spans="1:13" ht="15" x14ac:dyDescent="0.25">
      <c r="A5655" s="1">
        <f>DATE(2013,2,16)</f>
        <v>41321</v>
      </c>
      <c r="B5655" t="s">
        <v>22</v>
      </c>
      <c r="C5655" t="s">
        <v>10</v>
      </c>
      <c r="D5655" s="3">
        <v>134.12959999999998</v>
      </c>
      <c r="E5655" s="3">
        <v>0</v>
      </c>
      <c r="F5655" t="s">
        <v>45</v>
      </c>
      <c r="G5655" s="3">
        <f t="shared" si="674"/>
        <v>-134.12959999999998</v>
      </c>
      <c r="H5655" s="3">
        <f t="shared" si="675"/>
        <v>134.12959999999998</v>
      </c>
      <c r="I5655" s="5" t="str">
        <f t="shared" si="676"/>
        <v>018</v>
      </c>
      <c r="J5655" s="5" t="str">
        <f t="shared" si="677"/>
        <v>2230</v>
      </c>
      <c r="K5655" s="5" t="str">
        <f t="shared" si="678"/>
        <v>000</v>
      </c>
      <c r="L5655" s="5">
        <f t="shared" si="679"/>
        <v>2</v>
      </c>
      <c r="M5655" s="5">
        <f t="shared" si="680"/>
        <v>2013</v>
      </c>
    </row>
    <row r="5656" spans="1:13" ht="15" x14ac:dyDescent="0.25">
      <c r="A5656" s="1">
        <f>DATE(2013,2,17)</f>
        <v>41322</v>
      </c>
      <c r="B5656" t="s">
        <v>19</v>
      </c>
      <c r="C5656" t="s">
        <v>6</v>
      </c>
      <c r="D5656" s="3">
        <v>9434.3984</v>
      </c>
      <c r="E5656" s="3">
        <v>0</v>
      </c>
      <c r="F5656" t="s">
        <v>45</v>
      </c>
      <c r="G5656" s="3">
        <f t="shared" si="674"/>
        <v>-9434.3984</v>
      </c>
      <c r="H5656" s="3">
        <f t="shared" si="675"/>
        <v>9434.3984</v>
      </c>
      <c r="I5656" s="5" t="str">
        <f t="shared" si="676"/>
        <v>018</v>
      </c>
      <c r="J5656" s="5" t="str">
        <f t="shared" si="677"/>
        <v>2100</v>
      </c>
      <c r="K5656" s="5" t="str">
        <f t="shared" si="678"/>
        <v>000</v>
      </c>
      <c r="L5656" s="5">
        <f t="shared" si="679"/>
        <v>2</v>
      </c>
      <c r="M5656" s="5">
        <f t="shared" si="680"/>
        <v>2013</v>
      </c>
    </row>
    <row r="5657" spans="1:13" ht="15" x14ac:dyDescent="0.25">
      <c r="A5657" s="1">
        <f>DATE(2013,2,17)</f>
        <v>41322</v>
      </c>
      <c r="B5657" t="s">
        <v>20</v>
      </c>
      <c r="C5657" t="s">
        <v>8</v>
      </c>
      <c r="D5657" s="3">
        <v>1896.8567999999998</v>
      </c>
      <c r="E5657" s="3">
        <v>0</v>
      </c>
      <c r="F5657" t="s">
        <v>45</v>
      </c>
      <c r="G5657" s="3">
        <f t="shared" si="674"/>
        <v>-1896.8567999999998</v>
      </c>
      <c r="H5657" s="3">
        <f t="shared" si="675"/>
        <v>1896.8567999999998</v>
      </c>
      <c r="I5657" s="5" t="str">
        <f t="shared" si="676"/>
        <v>018</v>
      </c>
      <c r="J5657" s="5" t="str">
        <f t="shared" si="677"/>
        <v>2210</v>
      </c>
      <c r="K5657" s="5" t="str">
        <f t="shared" si="678"/>
        <v>000</v>
      </c>
      <c r="L5657" s="5">
        <f t="shared" si="679"/>
        <v>2</v>
      </c>
      <c r="M5657" s="5">
        <f t="shared" si="680"/>
        <v>2013</v>
      </c>
    </row>
    <row r="5658" spans="1:13" ht="15" x14ac:dyDescent="0.25">
      <c r="A5658" s="1">
        <f>DATE(2013,2,17)</f>
        <v>41322</v>
      </c>
      <c r="B5658" t="s">
        <v>21</v>
      </c>
      <c r="C5658" t="s">
        <v>9</v>
      </c>
      <c r="D5658" s="3">
        <v>746.66550000000007</v>
      </c>
      <c r="E5658" s="3">
        <v>0</v>
      </c>
      <c r="F5658" t="s">
        <v>45</v>
      </c>
      <c r="G5658" s="3">
        <f t="shared" si="674"/>
        <v>-746.66550000000007</v>
      </c>
      <c r="H5658" s="3">
        <f t="shared" si="675"/>
        <v>746.66550000000007</v>
      </c>
      <c r="I5658" s="5" t="str">
        <f t="shared" si="676"/>
        <v>018</v>
      </c>
      <c r="J5658" s="5" t="str">
        <f t="shared" si="677"/>
        <v>2220</v>
      </c>
      <c r="K5658" s="5" t="str">
        <f t="shared" si="678"/>
        <v>000</v>
      </c>
      <c r="L5658" s="5">
        <f t="shared" si="679"/>
        <v>2</v>
      </c>
      <c r="M5658" s="5">
        <f t="shared" si="680"/>
        <v>2013</v>
      </c>
    </row>
    <row r="5659" spans="1:13" ht="15" x14ac:dyDescent="0.25">
      <c r="A5659" s="1">
        <f>DATE(2013,2,17)</f>
        <v>41322</v>
      </c>
      <c r="B5659" t="s">
        <v>22</v>
      </c>
      <c r="C5659" t="s">
        <v>10</v>
      </c>
      <c r="D5659" s="3">
        <v>66.652299999999997</v>
      </c>
      <c r="E5659" s="3">
        <v>0</v>
      </c>
      <c r="F5659" t="s">
        <v>45</v>
      </c>
      <c r="G5659" s="3">
        <f t="shared" si="674"/>
        <v>-66.652299999999997</v>
      </c>
      <c r="H5659" s="3">
        <f t="shared" si="675"/>
        <v>66.652299999999997</v>
      </c>
      <c r="I5659" s="5" t="str">
        <f t="shared" si="676"/>
        <v>018</v>
      </c>
      <c r="J5659" s="5" t="str">
        <f t="shared" si="677"/>
        <v>2230</v>
      </c>
      <c r="K5659" s="5" t="str">
        <f t="shared" si="678"/>
        <v>000</v>
      </c>
      <c r="L5659" s="5">
        <f t="shared" si="679"/>
        <v>2</v>
      </c>
      <c r="M5659" s="5">
        <f t="shared" si="680"/>
        <v>2013</v>
      </c>
    </row>
    <row r="5660" spans="1:13" ht="15" x14ac:dyDescent="0.25">
      <c r="A5660" s="1">
        <f>DATE(2013,2,18)</f>
        <v>41323</v>
      </c>
      <c r="B5660" t="s">
        <v>11</v>
      </c>
      <c r="C5660" t="s">
        <v>6</v>
      </c>
      <c r="D5660" s="3">
        <v>3715.4895999999994</v>
      </c>
      <c r="E5660" s="3">
        <v>0</v>
      </c>
      <c r="F5660" t="s">
        <v>45</v>
      </c>
      <c r="G5660" s="3">
        <f t="shared" si="674"/>
        <v>-3715.4895999999994</v>
      </c>
      <c r="H5660" s="3">
        <f t="shared" si="675"/>
        <v>3715.4895999999994</v>
      </c>
      <c r="I5660" s="5" t="str">
        <f t="shared" si="676"/>
        <v>016</v>
      </c>
      <c r="J5660" s="5" t="str">
        <f t="shared" si="677"/>
        <v>2100</v>
      </c>
      <c r="K5660" s="5" t="str">
        <f t="shared" si="678"/>
        <v>000</v>
      </c>
      <c r="L5660" s="5">
        <f t="shared" si="679"/>
        <v>2</v>
      </c>
      <c r="M5660" s="5">
        <f t="shared" si="680"/>
        <v>2013</v>
      </c>
    </row>
    <row r="5661" spans="1:13" ht="15" x14ac:dyDescent="0.25">
      <c r="A5661" s="1">
        <f>DATE(2013,2,18)</f>
        <v>41323</v>
      </c>
      <c r="B5661" t="s">
        <v>12</v>
      </c>
      <c r="C5661" t="s">
        <v>8</v>
      </c>
      <c r="D5661" s="3">
        <v>932.84059999999988</v>
      </c>
      <c r="E5661" s="3">
        <v>0</v>
      </c>
      <c r="F5661" t="s">
        <v>45</v>
      </c>
      <c r="G5661" s="3">
        <f t="shared" si="674"/>
        <v>-932.84059999999988</v>
      </c>
      <c r="H5661" s="3">
        <f t="shared" si="675"/>
        <v>932.84059999999988</v>
      </c>
      <c r="I5661" s="5" t="str">
        <f t="shared" si="676"/>
        <v>016</v>
      </c>
      <c r="J5661" s="5" t="str">
        <f t="shared" si="677"/>
        <v>2210</v>
      </c>
      <c r="K5661" s="5" t="str">
        <f t="shared" si="678"/>
        <v>000</v>
      </c>
      <c r="L5661" s="5">
        <f t="shared" si="679"/>
        <v>2</v>
      </c>
      <c r="M5661" s="5">
        <f t="shared" si="680"/>
        <v>2013</v>
      </c>
    </row>
    <row r="5662" spans="1:13" ht="15" x14ac:dyDescent="0.25">
      <c r="A5662" s="1">
        <f>DATE(2013,2,18)</f>
        <v>41323</v>
      </c>
      <c r="B5662" t="s">
        <v>13</v>
      </c>
      <c r="C5662" t="s">
        <v>9</v>
      </c>
      <c r="D5662" s="3">
        <v>200.82</v>
      </c>
      <c r="E5662" s="3">
        <v>0</v>
      </c>
      <c r="F5662" t="s">
        <v>45</v>
      </c>
      <c r="G5662" s="3">
        <f t="shared" si="674"/>
        <v>-200.82</v>
      </c>
      <c r="H5662" s="3">
        <f t="shared" si="675"/>
        <v>200.82</v>
      </c>
      <c r="I5662" s="5" t="str">
        <f t="shared" si="676"/>
        <v>016</v>
      </c>
      <c r="J5662" s="5" t="str">
        <f t="shared" si="677"/>
        <v>2220</v>
      </c>
      <c r="K5662" s="5" t="str">
        <f t="shared" si="678"/>
        <v>000</v>
      </c>
      <c r="L5662" s="5">
        <f t="shared" si="679"/>
        <v>2</v>
      </c>
      <c r="M5662" s="5">
        <f t="shared" si="680"/>
        <v>2013</v>
      </c>
    </row>
    <row r="5663" spans="1:13" ht="15" x14ac:dyDescent="0.25">
      <c r="A5663" s="1">
        <f>DATE(2013,2,18)</f>
        <v>41323</v>
      </c>
      <c r="B5663" t="s">
        <v>14</v>
      </c>
      <c r="C5663" t="s">
        <v>10</v>
      </c>
      <c r="D5663" s="3">
        <v>182.2244</v>
      </c>
      <c r="E5663" s="3">
        <v>0</v>
      </c>
      <c r="F5663" t="s">
        <v>45</v>
      </c>
      <c r="G5663" s="3">
        <f t="shared" si="674"/>
        <v>-182.2244</v>
      </c>
      <c r="H5663" s="3">
        <f t="shared" si="675"/>
        <v>182.2244</v>
      </c>
      <c r="I5663" s="5" t="str">
        <f t="shared" si="676"/>
        <v>016</v>
      </c>
      <c r="J5663" s="5" t="str">
        <f t="shared" si="677"/>
        <v>2230</v>
      </c>
      <c r="K5663" s="5" t="str">
        <f t="shared" si="678"/>
        <v>000</v>
      </c>
      <c r="L5663" s="5">
        <f t="shared" si="679"/>
        <v>2</v>
      </c>
      <c r="M5663" s="5">
        <f t="shared" si="680"/>
        <v>2013</v>
      </c>
    </row>
    <row r="5664" spans="1:13" ht="15" x14ac:dyDescent="0.25">
      <c r="A5664" s="1">
        <f>DATE(2013,2,19)</f>
        <v>41324</v>
      </c>
      <c r="B5664" t="s">
        <v>11</v>
      </c>
      <c r="C5664" t="s">
        <v>6</v>
      </c>
      <c r="D5664" s="3">
        <v>8741.6549999999988</v>
      </c>
      <c r="E5664" s="3">
        <v>0</v>
      </c>
      <c r="F5664" t="s">
        <v>45</v>
      </c>
      <c r="G5664" s="3">
        <f t="shared" si="674"/>
        <v>-8741.6549999999988</v>
      </c>
      <c r="H5664" s="3">
        <f t="shared" si="675"/>
        <v>8741.6549999999988</v>
      </c>
      <c r="I5664" s="5" t="str">
        <f t="shared" si="676"/>
        <v>016</v>
      </c>
      <c r="J5664" s="5" t="str">
        <f t="shared" si="677"/>
        <v>2100</v>
      </c>
      <c r="K5664" s="5" t="str">
        <f t="shared" si="678"/>
        <v>000</v>
      </c>
      <c r="L5664" s="5">
        <f t="shared" si="679"/>
        <v>2</v>
      </c>
      <c r="M5664" s="5">
        <f t="shared" si="680"/>
        <v>2013</v>
      </c>
    </row>
    <row r="5665" spans="1:13" ht="15" x14ac:dyDescent="0.25">
      <c r="A5665" s="1">
        <f>DATE(2013,2,19)</f>
        <v>41324</v>
      </c>
      <c r="B5665" t="s">
        <v>12</v>
      </c>
      <c r="C5665" t="s">
        <v>8</v>
      </c>
      <c r="D5665" s="3">
        <v>1899.4223999999999</v>
      </c>
      <c r="E5665" s="3">
        <v>0</v>
      </c>
      <c r="F5665" t="s">
        <v>45</v>
      </c>
      <c r="G5665" s="3">
        <f t="shared" si="674"/>
        <v>-1899.4223999999999</v>
      </c>
      <c r="H5665" s="3">
        <f t="shared" si="675"/>
        <v>1899.4223999999999</v>
      </c>
      <c r="I5665" s="5" t="str">
        <f t="shared" si="676"/>
        <v>016</v>
      </c>
      <c r="J5665" s="5" t="str">
        <f t="shared" si="677"/>
        <v>2210</v>
      </c>
      <c r="K5665" s="5" t="str">
        <f t="shared" si="678"/>
        <v>000</v>
      </c>
      <c r="L5665" s="5">
        <f t="shared" si="679"/>
        <v>2</v>
      </c>
      <c r="M5665" s="5">
        <f t="shared" si="680"/>
        <v>2013</v>
      </c>
    </row>
    <row r="5666" spans="1:13" ht="15" x14ac:dyDescent="0.25">
      <c r="A5666" s="1">
        <f>DATE(2013,2,19)</f>
        <v>41324</v>
      </c>
      <c r="B5666" t="s">
        <v>13</v>
      </c>
      <c r="C5666" t="s">
        <v>9</v>
      </c>
      <c r="D5666" s="3">
        <v>888.846</v>
      </c>
      <c r="E5666" s="3">
        <v>0</v>
      </c>
      <c r="F5666" t="s">
        <v>45</v>
      </c>
      <c r="G5666" s="3">
        <f t="shared" si="674"/>
        <v>-888.846</v>
      </c>
      <c r="H5666" s="3">
        <f t="shared" si="675"/>
        <v>888.846</v>
      </c>
      <c r="I5666" s="5" t="str">
        <f t="shared" si="676"/>
        <v>016</v>
      </c>
      <c r="J5666" s="5" t="str">
        <f t="shared" si="677"/>
        <v>2220</v>
      </c>
      <c r="K5666" s="5" t="str">
        <f t="shared" si="678"/>
        <v>000</v>
      </c>
      <c r="L5666" s="5">
        <f t="shared" si="679"/>
        <v>2</v>
      </c>
      <c r="M5666" s="5">
        <f t="shared" si="680"/>
        <v>2013</v>
      </c>
    </row>
    <row r="5667" spans="1:13" ht="15" x14ac:dyDescent="0.25">
      <c r="A5667" s="1">
        <f>DATE(2013,2,19)</f>
        <v>41324</v>
      </c>
      <c r="B5667" t="s">
        <v>14</v>
      </c>
      <c r="C5667" t="s">
        <v>10</v>
      </c>
      <c r="D5667" s="3">
        <v>191.928</v>
      </c>
      <c r="E5667" s="3">
        <v>0</v>
      </c>
      <c r="F5667" t="s">
        <v>45</v>
      </c>
      <c r="G5667" s="3">
        <f t="shared" si="674"/>
        <v>-191.928</v>
      </c>
      <c r="H5667" s="3">
        <f t="shared" si="675"/>
        <v>191.928</v>
      </c>
      <c r="I5667" s="5" t="str">
        <f t="shared" si="676"/>
        <v>016</v>
      </c>
      <c r="J5667" s="5" t="str">
        <f t="shared" si="677"/>
        <v>2230</v>
      </c>
      <c r="K5667" s="5" t="str">
        <f t="shared" si="678"/>
        <v>000</v>
      </c>
      <c r="L5667" s="5">
        <f t="shared" si="679"/>
        <v>2</v>
      </c>
      <c r="M5667" s="5">
        <f t="shared" si="680"/>
        <v>2013</v>
      </c>
    </row>
    <row r="5668" spans="1:13" ht="15" x14ac:dyDescent="0.25">
      <c r="A5668" s="1">
        <f>DATE(2013,2,20)</f>
        <v>41325</v>
      </c>
      <c r="B5668" t="s">
        <v>11</v>
      </c>
      <c r="C5668" t="s">
        <v>6</v>
      </c>
      <c r="D5668" s="3">
        <v>4530.7975000000006</v>
      </c>
      <c r="E5668" s="3">
        <v>0</v>
      </c>
      <c r="F5668" t="s">
        <v>45</v>
      </c>
      <c r="G5668" s="3">
        <f t="shared" si="674"/>
        <v>-4530.7975000000006</v>
      </c>
      <c r="H5668" s="3">
        <f t="shared" si="675"/>
        <v>4530.7975000000006</v>
      </c>
      <c r="I5668" s="5" t="str">
        <f t="shared" si="676"/>
        <v>016</v>
      </c>
      <c r="J5668" s="5" t="str">
        <f t="shared" si="677"/>
        <v>2100</v>
      </c>
      <c r="K5668" s="5" t="str">
        <f t="shared" si="678"/>
        <v>000</v>
      </c>
      <c r="L5668" s="5">
        <f t="shared" si="679"/>
        <v>2</v>
      </c>
      <c r="M5668" s="5">
        <f t="shared" si="680"/>
        <v>2013</v>
      </c>
    </row>
    <row r="5669" spans="1:13" ht="15" x14ac:dyDescent="0.25">
      <c r="A5669" s="1">
        <f>DATE(2013,2,20)</f>
        <v>41325</v>
      </c>
      <c r="B5669" t="s">
        <v>12</v>
      </c>
      <c r="C5669" t="s">
        <v>8</v>
      </c>
      <c r="D5669" s="3">
        <v>751.05639999999994</v>
      </c>
      <c r="E5669" s="3">
        <v>0</v>
      </c>
      <c r="F5669" t="s">
        <v>45</v>
      </c>
      <c r="G5669" s="3">
        <f t="shared" si="674"/>
        <v>-751.05639999999994</v>
      </c>
      <c r="H5669" s="3">
        <f t="shared" si="675"/>
        <v>751.05639999999994</v>
      </c>
      <c r="I5669" s="5" t="str">
        <f t="shared" si="676"/>
        <v>016</v>
      </c>
      <c r="J5669" s="5" t="str">
        <f t="shared" si="677"/>
        <v>2210</v>
      </c>
      <c r="K5669" s="5" t="str">
        <f t="shared" si="678"/>
        <v>000</v>
      </c>
      <c r="L5669" s="5">
        <f t="shared" si="679"/>
        <v>2</v>
      </c>
      <c r="M5669" s="5">
        <f t="shared" si="680"/>
        <v>2013</v>
      </c>
    </row>
    <row r="5670" spans="1:13" ht="15" x14ac:dyDescent="0.25">
      <c r="A5670" s="1">
        <f>DATE(2013,2,20)</f>
        <v>41325</v>
      </c>
      <c r="B5670" t="s">
        <v>13</v>
      </c>
      <c r="C5670" t="s">
        <v>9</v>
      </c>
      <c r="D5670" s="3">
        <v>129.17300000000003</v>
      </c>
      <c r="E5670" s="3">
        <v>0</v>
      </c>
      <c r="F5670" t="s">
        <v>45</v>
      </c>
      <c r="G5670" s="3">
        <f t="shared" si="674"/>
        <v>-129.17300000000003</v>
      </c>
      <c r="H5670" s="3">
        <f t="shared" si="675"/>
        <v>129.17300000000003</v>
      </c>
      <c r="I5670" s="5" t="str">
        <f t="shared" si="676"/>
        <v>016</v>
      </c>
      <c r="J5670" s="5" t="str">
        <f t="shared" si="677"/>
        <v>2220</v>
      </c>
      <c r="K5670" s="5" t="str">
        <f t="shared" si="678"/>
        <v>000</v>
      </c>
      <c r="L5670" s="5">
        <f t="shared" si="679"/>
        <v>2</v>
      </c>
      <c r="M5670" s="5">
        <f t="shared" si="680"/>
        <v>2013</v>
      </c>
    </row>
    <row r="5671" spans="1:13" ht="15" x14ac:dyDescent="0.25">
      <c r="A5671" s="1">
        <f>DATE(2013,2,20)</f>
        <v>41325</v>
      </c>
      <c r="B5671" t="s">
        <v>14</v>
      </c>
      <c r="C5671" t="s">
        <v>10</v>
      </c>
      <c r="D5671" s="3">
        <v>147.56719999999999</v>
      </c>
      <c r="E5671" s="3">
        <v>0</v>
      </c>
      <c r="F5671" t="s">
        <v>45</v>
      </c>
      <c r="G5671" s="3">
        <f t="shared" si="674"/>
        <v>-147.56719999999999</v>
      </c>
      <c r="H5671" s="3">
        <f t="shared" si="675"/>
        <v>147.56719999999999</v>
      </c>
      <c r="I5671" s="5" t="str">
        <f t="shared" si="676"/>
        <v>016</v>
      </c>
      <c r="J5671" s="5" t="str">
        <f t="shared" si="677"/>
        <v>2230</v>
      </c>
      <c r="K5671" s="5" t="str">
        <f t="shared" si="678"/>
        <v>000</v>
      </c>
      <c r="L5671" s="5">
        <f t="shared" si="679"/>
        <v>2</v>
      </c>
      <c r="M5671" s="5">
        <f t="shared" si="680"/>
        <v>2013</v>
      </c>
    </row>
    <row r="5672" spans="1:13" ht="15" x14ac:dyDescent="0.25">
      <c r="A5672" s="1">
        <f>DATE(2013,2,21)</f>
        <v>41326</v>
      </c>
      <c r="B5672" t="s">
        <v>11</v>
      </c>
      <c r="C5672" t="s">
        <v>6</v>
      </c>
      <c r="D5672" s="3">
        <v>5047.1730000000007</v>
      </c>
      <c r="E5672" s="3">
        <v>0</v>
      </c>
      <c r="F5672" t="s">
        <v>45</v>
      </c>
      <c r="G5672" s="3">
        <f t="shared" si="674"/>
        <v>-5047.1730000000007</v>
      </c>
      <c r="H5672" s="3">
        <f t="shared" si="675"/>
        <v>5047.1730000000007</v>
      </c>
      <c r="I5672" s="5" t="str">
        <f t="shared" si="676"/>
        <v>016</v>
      </c>
      <c r="J5672" s="5" t="str">
        <f t="shared" si="677"/>
        <v>2100</v>
      </c>
      <c r="K5672" s="5" t="str">
        <f t="shared" si="678"/>
        <v>000</v>
      </c>
      <c r="L5672" s="5">
        <f t="shared" si="679"/>
        <v>2</v>
      </c>
      <c r="M5672" s="5">
        <f t="shared" si="680"/>
        <v>2013</v>
      </c>
    </row>
    <row r="5673" spans="1:13" ht="15" x14ac:dyDescent="0.25">
      <c r="A5673" s="1">
        <f>DATE(2013,2,21)</f>
        <v>41326</v>
      </c>
      <c r="B5673" t="s">
        <v>12</v>
      </c>
      <c r="C5673" t="s">
        <v>8</v>
      </c>
      <c r="D5673" s="3">
        <v>953.08950000000016</v>
      </c>
      <c r="E5673" s="3">
        <v>0</v>
      </c>
      <c r="F5673" t="s">
        <v>45</v>
      </c>
      <c r="G5673" s="3">
        <f t="shared" si="674"/>
        <v>-953.08950000000016</v>
      </c>
      <c r="H5673" s="3">
        <f t="shared" si="675"/>
        <v>953.08950000000016</v>
      </c>
      <c r="I5673" s="5" t="str">
        <f t="shared" si="676"/>
        <v>016</v>
      </c>
      <c r="J5673" s="5" t="str">
        <f t="shared" si="677"/>
        <v>2210</v>
      </c>
      <c r="K5673" s="5" t="str">
        <f t="shared" si="678"/>
        <v>000</v>
      </c>
      <c r="L5673" s="5">
        <f t="shared" si="679"/>
        <v>2</v>
      </c>
      <c r="M5673" s="5">
        <f t="shared" si="680"/>
        <v>2013</v>
      </c>
    </row>
    <row r="5674" spans="1:13" ht="15" x14ac:dyDescent="0.25">
      <c r="A5674" s="1">
        <f>DATE(2013,2,21)</f>
        <v>41326</v>
      </c>
      <c r="B5674" t="s">
        <v>13</v>
      </c>
      <c r="C5674" t="s">
        <v>9</v>
      </c>
      <c r="D5674" s="3">
        <v>273.7</v>
      </c>
      <c r="E5674" s="3">
        <v>0</v>
      </c>
      <c r="F5674" t="s">
        <v>45</v>
      </c>
      <c r="G5674" s="3">
        <f t="shared" si="674"/>
        <v>-273.7</v>
      </c>
      <c r="H5674" s="3">
        <f t="shared" si="675"/>
        <v>273.7</v>
      </c>
      <c r="I5674" s="5" t="str">
        <f t="shared" si="676"/>
        <v>016</v>
      </c>
      <c r="J5674" s="5" t="str">
        <f t="shared" si="677"/>
        <v>2220</v>
      </c>
      <c r="K5674" s="5" t="str">
        <f t="shared" si="678"/>
        <v>000</v>
      </c>
      <c r="L5674" s="5">
        <f t="shared" si="679"/>
        <v>2</v>
      </c>
      <c r="M5674" s="5">
        <f t="shared" si="680"/>
        <v>2013</v>
      </c>
    </row>
    <row r="5675" spans="1:13" ht="15" x14ac:dyDescent="0.25">
      <c r="A5675" s="1">
        <f>DATE(2013,2,21)</f>
        <v>41326</v>
      </c>
      <c r="B5675" t="s">
        <v>14</v>
      </c>
      <c r="C5675" t="s">
        <v>10</v>
      </c>
      <c r="D5675" s="3">
        <v>84.163800000000009</v>
      </c>
      <c r="E5675" s="3">
        <v>0</v>
      </c>
      <c r="F5675" t="s">
        <v>45</v>
      </c>
      <c r="G5675" s="3">
        <f t="shared" si="674"/>
        <v>-84.163800000000009</v>
      </c>
      <c r="H5675" s="3">
        <f t="shared" si="675"/>
        <v>84.163800000000009</v>
      </c>
      <c r="I5675" s="5" t="str">
        <f t="shared" si="676"/>
        <v>016</v>
      </c>
      <c r="J5675" s="5" t="str">
        <f t="shared" si="677"/>
        <v>2230</v>
      </c>
      <c r="K5675" s="5" t="str">
        <f t="shared" si="678"/>
        <v>000</v>
      </c>
      <c r="L5675" s="5">
        <f t="shared" si="679"/>
        <v>2</v>
      </c>
      <c r="M5675" s="5">
        <f t="shared" si="680"/>
        <v>2013</v>
      </c>
    </row>
    <row r="5676" spans="1:13" ht="15" x14ac:dyDescent="0.25">
      <c r="A5676" s="1">
        <f>DATE(2013,2,22)</f>
        <v>41327</v>
      </c>
      <c r="B5676" t="s">
        <v>11</v>
      </c>
      <c r="C5676" t="s">
        <v>6</v>
      </c>
      <c r="D5676" s="3">
        <v>7858.7412000000013</v>
      </c>
      <c r="E5676" s="3">
        <v>0</v>
      </c>
      <c r="F5676" t="s">
        <v>45</v>
      </c>
      <c r="G5676" s="3">
        <f t="shared" si="674"/>
        <v>-7858.7412000000013</v>
      </c>
      <c r="H5676" s="3">
        <f t="shared" si="675"/>
        <v>7858.7412000000013</v>
      </c>
      <c r="I5676" s="5" t="str">
        <f t="shared" si="676"/>
        <v>016</v>
      </c>
      <c r="J5676" s="5" t="str">
        <f t="shared" si="677"/>
        <v>2100</v>
      </c>
      <c r="K5676" s="5" t="str">
        <f t="shared" si="678"/>
        <v>000</v>
      </c>
      <c r="L5676" s="5">
        <f t="shared" si="679"/>
        <v>2</v>
      </c>
      <c r="M5676" s="5">
        <f t="shared" si="680"/>
        <v>2013</v>
      </c>
    </row>
    <row r="5677" spans="1:13" ht="15" x14ac:dyDescent="0.25">
      <c r="A5677" s="1">
        <f>DATE(2013,2,22)</f>
        <v>41327</v>
      </c>
      <c r="B5677" t="s">
        <v>12</v>
      </c>
      <c r="C5677" t="s">
        <v>8</v>
      </c>
      <c r="D5677" s="3">
        <v>1589.5715000000002</v>
      </c>
      <c r="E5677" s="3">
        <v>0</v>
      </c>
      <c r="F5677" t="s">
        <v>45</v>
      </c>
      <c r="G5677" s="3">
        <f t="shared" si="674"/>
        <v>-1589.5715000000002</v>
      </c>
      <c r="H5677" s="3">
        <f t="shared" si="675"/>
        <v>1589.5715000000002</v>
      </c>
      <c r="I5677" s="5" t="str">
        <f t="shared" si="676"/>
        <v>016</v>
      </c>
      <c r="J5677" s="5" t="str">
        <f t="shared" si="677"/>
        <v>2210</v>
      </c>
      <c r="K5677" s="5" t="str">
        <f t="shared" si="678"/>
        <v>000</v>
      </c>
      <c r="L5677" s="5">
        <f t="shared" si="679"/>
        <v>2</v>
      </c>
      <c r="M5677" s="5">
        <f t="shared" si="680"/>
        <v>2013</v>
      </c>
    </row>
    <row r="5678" spans="1:13" ht="15" x14ac:dyDescent="0.25">
      <c r="A5678" s="1">
        <f>DATE(2013,2,22)</f>
        <v>41327</v>
      </c>
      <c r="B5678" t="s">
        <v>13</v>
      </c>
      <c r="C5678" t="s">
        <v>9</v>
      </c>
      <c r="D5678" s="3">
        <v>386.01750000000004</v>
      </c>
      <c r="E5678" s="3">
        <v>0</v>
      </c>
      <c r="F5678" t="s">
        <v>45</v>
      </c>
      <c r="G5678" s="3">
        <f t="shared" si="674"/>
        <v>-386.01750000000004</v>
      </c>
      <c r="H5678" s="3">
        <f t="shared" si="675"/>
        <v>386.01750000000004</v>
      </c>
      <c r="I5678" s="5" t="str">
        <f t="shared" si="676"/>
        <v>016</v>
      </c>
      <c r="J5678" s="5" t="str">
        <f t="shared" si="677"/>
        <v>2220</v>
      </c>
      <c r="K5678" s="5" t="str">
        <f t="shared" si="678"/>
        <v>000</v>
      </c>
      <c r="L5678" s="5">
        <f t="shared" si="679"/>
        <v>2</v>
      </c>
      <c r="M5678" s="5">
        <f t="shared" si="680"/>
        <v>2013</v>
      </c>
    </row>
    <row r="5679" spans="1:13" ht="15" x14ac:dyDescent="0.25">
      <c r="A5679" s="1">
        <f>DATE(2013,2,22)</f>
        <v>41327</v>
      </c>
      <c r="B5679" t="s">
        <v>14</v>
      </c>
      <c r="C5679" t="s">
        <v>10</v>
      </c>
      <c r="D5679" s="3">
        <v>181.3185</v>
      </c>
      <c r="E5679" s="3">
        <v>0</v>
      </c>
      <c r="F5679" t="s">
        <v>45</v>
      </c>
      <c r="G5679" s="3">
        <f t="shared" si="674"/>
        <v>-181.3185</v>
      </c>
      <c r="H5679" s="3">
        <f t="shared" si="675"/>
        <v>181.3185</v>
      </c>
      <c r="I5679" s="5" t="str">
        <f t="shared" si="676"/>
        <v>016</v>
      </c>
      <c r="J5679" s="5" t="str">
        <f t="shared" si="677"/>
        <v>2230</v>
      </c>
      <c r="K5679" s="5" t="str">
        <f t="shared" si="678"/>
        <v>000</v>
      </c>
      <c r="L5679" s="5">
        <f t="shared" si="679"/>
        <v>2</v>
      </c>
      <c r="M5679" s="5">
        <f t="shared" si="680"/>
        <v>2013</v>
      </c>
    </row>
    <row r="5680" spans="1:13" ht="15" x14ac:dyDescent="0.25">
      <c r="A5680" s="1">
        <f>DATE(2013,2,23)</f>
        <v>41328</v>
      </c>
      <c r="B5680" t="s">
        <v>11</v>
      </c>
      <c r="C5680" t="s">
        <v>6</v>
      </c>
      <c r="D5680" s="3">
        <v>9905.9961000000003</v>
      </c>
      <c r="E5680" s="3">
        <v>0</v>
      </c>
      <c r="F5680" t="s">
        <v>45</v>
      </c>
      <c r="G5680" s="3">
        <f t="shared" si="674"/>
        <v>-9905.9961000000003</v>
      </c>
      <c r="H5680" s="3">
        <f t="shared" si="675"/>
        <v>9905.9961000000003</v>
      </c>
      <c r="I5680" s="5" t="str">
        <f t="shared" si="676"/>
        <v>016</v>
      </c>
      <c r="J5680" s="5" t="str">
        <f t="shared" si="677"/>
        <v>2100</v>
      </c>
      <c r="K5680" s="5" t="str">
        <f t="shared" si="678"/>
        <v>000</v>
      </c>
      <c r="L5680" s="5">
        <f t="shared" si="679"/>
        <v>2</v>
      </c>
      <c r="M5680" s="5">
        <f t="shared" si="680"/>
        <v>2013</v>
      </c>
    </row>
    <row r="5681" spans="1:13" ht="15" x14ac:dyDescent="0.25">
      <c r="A5681" s="1">
        <f>DATE(2013,2,23)</f>
        <v>41328</v>
      </c>
      <c r="B5681" t="s">
        <v>12</v>
      </c>
      <c r="C5681" t="s">
        <v>8</v>
      </c>
      <c r="D5681" s="3">
        <v>3575.3120000000004</v>
      </c>
      <c r="E5681" s="3">
        <v>0</v>
      </c>
      <c r="F5681" t="s">
        <v>45</v>
      </c>
      <c r="G5681" s="3">
        <f t="shared" si="674"/>
        <v>-3575.3120000000004</v>
      </c>
      <c r="H5681" s="3">
        <f t="shared" si="675"/>
        <v>3575.3120000000004</v>
      </c>
      <c r="I5681" s="5" t="str">
        <f t="shared" si="676"/>
        <v>016</v>
      </c>
      <c r="J5681" s="5" t="str">
        <f t="shared" si="677"/>
        <v>2210</v>
      </c>
      <c r="K5681" s="5" t="str">
        <f t="shared" si="678"/>
        <v>000</v>
      </c>
      <c r="L5681" s="5">
        <f t="shared" si="679"/>
        <v>2</v>
      </c>
      <c r="M5681" s="5">
        <f t="shared" si="680"/>
        <v>2013</v>
      </c>
    </row>
    <row r="5682" spans="1:13" ht="15" x14ac:dyDescent="0.25">
      <c r="A5682" s="1">
        <f>DATE(2013,2,23)</f>
        <v>41328</v>
      </c>
      <c r="B5682" t="s">
        <v>13</v>
      </c>
      <c r="C5682" t="s">
        <v>9</v>
      </c>
      <c r="D5682" s="3">
        <v>843.07529999999997</v>
      </c>
      <c r="E5682" s="3">
        <v>0</v>
      </c>
      <c r="F5682" t="s">
        <v>45</v>
      </c>
      <c r="G5682" s="3">
        <f t="shared" si="674"/>
        <v>-843.07529999999997</v>
      </c>
      <c r="H5682" s="3">
        <f t="shared" si="675"/>
        <v>843.07529999999997</v>
      </c>
      <c r="I5682" s="5" t="str">
        <f t="shared" si="676"/>
        <v>016</v>
      </c>
      <c r="J5682" s="5" t="str">
        <f t="shared" si="677"/>
        <v>2220</v>
      </c>
      <c r="K5682" s="5" t="str">
        <f t="shared" si="678"/>
        <v>000</v>
      </c>
      <c r="L5682" s="5">
        <f t="shared" si="679"/>
        <v>2</v>
      </c>
      <c r="M5682" s="5">
        <f t="shared" si="680"/>
        <v>2013</v>
      </c>
    </row>
    <row r="5683" spans="1:13" ht="15" x14ac:dyDescent="0.25">
      <c r="A5683" s="1">
        <f>DATE(2013,2,23)</f>
        <v>41328</v>
      </c>
      <c r="B5683" t="s">
        <v>14</v>
      </c>
      <c r="C5683" t="s">
        <v>10</v>
      </c>
      <c r="D5683" s="3">
        <v>188.82600000000002</v>
      </c>
      <c r="E5683" s="3">
        <v>0</v>
      </c>
      <c r="F5683" t="s">
        <v>45</v>
      </c>
      <c r="G5683" s="3">
        <f t="shared" si="674"/>
        <v>-188.82600000000002</v>
      </c>
      <c r="H5683" s="3">
        <f t="shared" si="675"/>
        <v>188.82600000000002</v>
      </c>
      <c r="I5683" s="5" t="str">
        <f t="shared" si="676"/>
        <v>016</v>
      </c>
      <c r="J5683" s="5" t="str">
        <f t="shared" si="677"/>
        <v>2230</v>
      </c>
      <c r="K5683" s="5" t="str">
        <f t="shared" si="678"/>
        <v>000</v>
      </c>
      <c r="L5683" s="5">
        <f t="shared" si="679"/>
        <v>2</v>
      </c>
      <c r="M5683" s="5">
        <f t="shared" si="680"/>
        <v>2013</v>
      </c>
    </row>
    <row r="5684" spans="1:13" ht="15" x14ac:dyDescent="0.25">
      <c r="A5684" s="1">
        <f>DATE(2013,2,24)</f>
        <v>41329</v>
      </c>
      <c r="B5684" t="s">
        <v>11</v>
      </c>
      <c r="C5684" t="s">
        <v>6</v>
      </c>
      <c r="D5684" s="3">
        <v>6412.2631999999994</v>
      </c>
      <c r="E5684" s="3">
        <v>0</v>
      </c>
      <c r="F5684" t="s">
        <v>45</v>
      </c>
      <c r="G5684" s="3">
        <f t="shared" si="674"/>
        <v>-6412.2631999999994</v>
      </c>
      <c r="H5684" s="3">
        <f t="shared" si="675"/>
        <v>6412.2631999999994</v>
      </c>
      <c r="I5684" s="5" t="str">
        <f t="shared" si="676"/>
        <v>016</v>
      </c>
      <c r="J5684" s="5" t="str">
        <f t="shared" si="677"/>
        <v>2100</v>
      </c>
      <c r="K5684" s="5" t="str">
        <f t="shared" si="678"/>
        <v>000</v>
      </c>
      <c r="L5684" s="5">
        <f t="shared" si="679"/>
        <v>2</v>
      </c>
      <c r="M5684" s="5">
        <f t="shared" si="680"/>
        <v>2013</v>
      </c>
    </row>
    <row r="5685" spans="1:13" ht="15" x14ac:dyDescent="0.25">
      <c r="A5685" s="1">
        <f>DATE(2013,2,24)</f>
        <v>41329</v>
      </c>
      <c r="B5685" t="s">
        <v>12</v>
      </c>
      <c r="C5685" t="s">
        <v>8</v>
      </c>
      <c r="D5685" s="3">
        <v>1458.4956</v>
      </c>
      <c r="E5685" s="3">
        <v>0</v>
      </c>
      <c r="F5685" t="s">
        <v>45</v>
      </c>
      <c r="G5685" s="3">
        <f t="shared" si="674"/>
        <v>-1458.4956</v>
      </c>
      <c r="H5685" s="3">
        <f t="shared" si="675"/>
        <v>1458.4956</v>
      </c>
      <c r="I5685" s="5" t="str">
        <f t="shared" si="676"/>
        <v>016</v>
      </c>
      <c r="J5685" s="5" t="str">
        <f t="shared" si="677"/>
        <v>2210</v>
      </c>
      <c r="K5685" s="5" t="str">
        <f t="shared" si="678"/>
        <v>000</v>
      </c>
      <c r="L5685" s="5">
        <f t="shared" si="679"/>
        <v>2</v>
      </c>
      <c r="M5685" s="5">
        <f t="shared" si="680"/>
        <v>2013</v>
      </c>
    </row>
    <row r="5686" spans="1:13" ht="15" x14ac:dyDescent="0.25">
      <c r="A5686" s="1">
        <f>DATE(2013,2,24)</f>
        <v>41329</v>
      </c>
      <c r="B5686" t="s">
        <v>13</v>
      </c>
      <c r="C5686" t="s">
        <v>9</v>
      </c>
      <c r="D5686" s="3">
        <v>272.20349999999996</v>
      </c>
      <c r="E5686" s="3">
        <v>0</v>
      </c>
      <c r="F5686" t="s">
        <v>45</v>
      </c>
      <c r="G5686" s="3">
        <f t="shared" si="674"/>
        <v>-272.20349999999996</v>
      </c>
      <c r="H5686" s="3">
        <f t="shared" si="675"/>
        <v>272.20349999999996</v>
      </c>
      <c r="I5686" s="5" t="str">
        <f t="shared" si="676"/>
        <v>016</v>
      </c>
      <c r="J5686" s="5" t="str">
        <f t="shared" si="677"/>
        <v>2220</v>
      </c>
      <c r="K5686" s="5" t="str">
        <f t="shared" si="678"/>
        <v>000</v>
      </c>
      <c r="L5686" s="5">
        <f t="shared" si="679"/>
        <v>2</v>
      </c>
      <c r="M5686" s="5">
        <f t="shared" si="680"/>
        <v>2013</v>
      </c>
    </row>
    <row r="5687" spans="1:13" ht="15" x14ac:dyDescent="0.25">
      <c r="A5687" s="1">
        <f>DATE(2013,2,24)</f>
        <v>41329</v>
      </c>
      <c r="B5687" t="s">
        <v>14</v>
      </c>
      <c r="C5687" t="s">
        <v>10</v>
      </c>
      <c r="D5687" s="3">
        <v>168.89760000000001</v>
      </c>
      <c r="E5687" s="3">
        <v>0</v>
      </c>
      <c r="F5687" t="s">
        <v>45</v>
      </c>
      <c r="G5687" s="3">
        <f t="shared" si="674"/>
        <v>-168.89760000000001</v>
      </c>
      <c r="H5687" s="3">
        <f t="shared" si="675"/>
        <v>168.89760000000001</v>
      </c>
      <c r="I5687" s="5" t="str">
        <f t="shared" si="676"/>
        <v>016</v>
      </c>
      <c r="J5687" s="5" t="str">
        <f t="shared" si="677"/>
        <v>2230</v>
      </c>
      <c r="K5687" s="5" t="str">
        <f t="shared" si="678"/>
        <v>000</v>
      </c>
      <c r="L5687" s="5">
        <f t="shared" si="679"/>
        <v>2</v>
      </c>
      <c r="M5687" s="5">
        <f t="shared" si="680"/>
        <v>2013</v>
      </c>
    </row>
    <row r="5688" spans="1:13" ht="15" x14ac:dyDescent="0.25">
      <c r="A5688" s="1">
        <f>DATE(2013,2,18)</f>
        <v>41323</v>
      </c>
      <c r="B5688" t="s">
        <v>15</v>
      </c>
      <c r="C5688" t="s">
        <v>6</v>
      </c>
      <c r="D5688" s="3">
        <v>2951.2026000000001</v>
      </c>
      <c r="E5688" s="3">
        <v>0</v>
      </c>
      <c r="F5688" t="s">
        <v>45</v>
      </c>
      <c r="G5688" s="3">
        <f t="shared" si="674"/>
        <v>-2951.2026000000001</v>
      </c>
      <c r="H5688" s="3">
        <f t="shared" si="675"/>
        <v>2951.2026000000001</v>
      </c>
      <c r="I5688" s="5" t="str">
        <f t="shared" si="676"/>
        <v>017</v>
      </c>
      <c r="J5688" s="5" t="str">
        <f t="shared" si="677"/>
        <v>2100</v>
      </c>
      <c r="K5688" s="5" t="str">
        <f t="shared" si="678"/>
        <v>000</v>
      </c>
      <c r="L5688" s="5">
        <f t="shared" si="679"/>
        <v>2</v>
      </c>
      <c r="M5688" s="5">
        <f t="shared" si="680"/>
        <v>2013</v>
      </c>
    </row>
    <row r="5689" spans="1:13" ht="15" x14ac:dyDescent="0.25">
      <c r="A5689" s="1">
        <f>DATE(2013,2,18)</f>
        <v>41323</v>
      </c>
      <c r="B5689" t="s">
        <v>16</v>
      </c>
      <c r="C5689" t="s">
        <v>8</v>
      </c>
      <c r="D5689" s="3">
        <v>866.33699999999999</v>
      </c>
      <c r="E5689" s="3">
        <v>0</v>
      </c>
      <c r="F5689" t="s">
        <v>45</v>
      </c>
      <c r="G5689" s="3">
        <f t="shared" si="674"/>
        <v>-866.33699999999999</v>
      </c>
      <c r="H5689" s="3">
        <f t="shared" si="675"/>
        <v>866.33699999999999</v>
      </c>
      <c r="I5689" s="5" t="str">
        <f t="shared" si="676"/>
        <v>017</v>
      </c>
      <c r="J5689" s="5" t="str">
        <f t="shared" si="677"/>
        <v>2210</v>
      </c>
      <c r="K5689" s="5" t="str">
        <f t="shared" si="678"/>
        <v>000</v>
      </c>
      <c r="L5689" s="5">
        <f t="shared" si="679"/>
        <v>2</v>
      </c>
      <c r="M5689" s="5">
        <f t="shared" si="680"/>
        <v>2013</v>
      </c>
    </row>
    <row r="5690" spans="1:13" ht="15" x14ac:dyDescent="0.25">
      <c r="A5690" s="1">
        <f>DATE(2013,2,18)</f>
        <v>41323</v>
      </c>
      <c r="B5690" t="s">
        <v>17</v>
      </c>
      <c r="C5690" t="s">
        <v>9</v>
      </c>
      <c r="D5690" s="3">
        <v>393.72710000000001</v>
      </c>
      <c r="E5690" s="3">
        <v>0</v>
      </c>
      <c r="F5690" t="s">
        <v>45</v>
      </c>
      <c r="G5690" s="3">
        <f t="shared" si="674"/>
        <v>-393.72710000000001</v>
      </c>
      <c r="H5690" s="3">
        <f t="shared" si="675"/>
        <v>393.72710000000001</v>
      </c>
      <c r="I5690" s="5" t="str">
        <f t="shared" si="676"/>
        <v>017</v>
      </c>
      <c r="J5690" s="5" t="str">
        <f t="shared" si="677"/>
        <v>2220</v>
      </c>
      <c r="K5690" s="5" t="str">
        <f t="shared" si="678"/>
        <v>000</v>
      </c>
      <c r="L5690" s="5">
        <f t="shared" si="679"/>
        <v>2</v>
      </c>
      <c r="M5690" s="5">
        <f t="shared" si="680"/>
        <v>2013</v>
      </c>
    </row>
    <row r="5691" spans="1:13" ht="15" x14ac:dyDescent="0.25">
      <c r="A5691" s="1">
        <f>DATE(2013,2,18)</f>
        <v>41323</v>
      </c>
      <c r="B5691" t="s">
        <v>18</v>
      </c>
      <c r="C5691" t="s">
        <v>10</v>
      </c>
      <c r="D5691" s="3">
        <v>50.973300000000002</v>
      </c>
      <c r="E5691" s="3">
        <v>0</v>
      </c>
      <c r="F5691" t="s">
        <v>45</v>
      </c>
      <c r="G5691" s="3">
        <f t="shared" si="674"/>
        <v>-50.973300000000002</v>
      </c>
      <c r="H5691" s="3">
        <f t="shared" si="675"/>
        <v>50.973300000000002</v>
      </c>
      <c r="I5691" s="5" t="str">
        <f t="shared" si="676"/>
        <v>017</v>
      </c>
      <c r="J5691" s="5" t="str">
        <f t="shared" si="677"/>
        <v>2230</v>
      </c>
      <c r="K5691" s="5" t="str">
        <f t="shared" si="678"/>
        <v>000</v>
      </c>
      <c r="L5691" s="5">
        <f t="shared" si="679"/>
        <v>2</v>
      </c>
      <c r="M5691" s="5">
        <f t="shared" si="680"/>
        <v>2013</v>
      </c>
    </row>
    <row r="5692" spans="1:13" ht="15" x14ac:dyDescent="0.25">
      <c r="A5692" s="1">
        <f>DATE(2013,2,19)</f>
        <v>41324</v>
      </c>
      <c r="B5692" t="s">
        <v>15</v>
      </c>
      <c r="C5692" t="s">
        <v>6</v>
      </c>
      <c r="D5692" s="3">
        <v>3018.1271999999999</v>
      </c>
      <c r="E5692" s="3">
        <v>0</v>
      </c>
      <c r="F5692" t="s">
        <v>45</v>
      </c>
      <c r="G5692" s="3">
        <f t="shared" si="674"/>
        <v>-3018.1271999999999</v>
      </c>
      <c r="H5692" s="3">
        <f t="shared" si="675"/>
        <v>3018.1271999999999</v>
      </c>
      <c r="I5692" s="5" t="str">
        <f t="shared" si="676"/>
        <v>017</v>
      </c>
      <c r="J5692" s="5" t="str">
        <f t="shared" si="677"/>
        <v>2100</v>
      </c>
      <c r="K5692" s="5" t="str">
        <f t="shared" si="678"/>
        <v>000</v>
      </c>
      <c r="L5692" s="5">
        <f t="shared" si="679"/>
        <v>2</v>
      </c>
      <c r="M5692" s="5">
        <f t="shared" si="680"/>
        <v>2013</v>
      </c>
    </row>
    <row r="5693" spans="1:13" ht="15" x14ac:dyDescent="0.25">
      <c r="A5693" s="1">
        <f>DATE(2013,2,19)</f>
        <v>41324</v>
      </c>
      <c r="B5693" t="s">
        <v>16</v>
      </c>
      <c r="C5693" t="s">
        <v>8</v>
      </c>
      <c r="D5693" s="3">
        <v>832.04240000000004</v>
      </c>
      <c r="E5693" s="3">
        <v>0</v>
      </c>
      <c r="F5693" t="s">
        <v>45</v>
      </c>
      <c r="G5693" s="3">
        <f t="shared" si="674"/>
        <v>-832.04240000000004</v>
      </c>
      <c r="H5693" s="3">
        <f t="shared" si="675"/>
        <v>832.04240000000004</v>
      </c>
      <c r="I5693" s="5" t="str">
        <f t="shared" si="676"/>
        <v>017</v>
      </c>
      <c r="J5693" s="5" t="str">
        <f t="shared" si="677"/>
        <v>2210</v>
      </c>
      <c r="K5693" s="5" t="str">
        <f t="shared" si="678"/>
        <v>000</v>
      </c>
      <c r="L5693" s="5">
        <f t="shared" si="679"/>
        <v>2</v>
      </c>
      <c r="M5693" s="5">
        <f t="shared" si="680"/>
        <v>2013</v>
      </c>
    </row>
    <row r="5694" spans="1:13" ht="15" x14ac:dyDescent="0.25">
      <c r="A5694" s="1">
        <f>DATE(2013,2,19)</f>
        <v>41324</v>
      </c>
      <c r="B5694" t="s">
        <v>17</v>
      </c>
      <c r="C5694" t="s">
        <v>9</v>
      </c>
      <c r="D5694" s="3">
        <v>313.62389999999999</v>
      </c>
      <c r="E5694" s="3">
        <v>0</v>
      </c>
      <c r="F5694" t="s">
        <v>45</v>
      </c>
      <c r="G5694" s="3">
        <f t="shared" si="674"/>
        <v>-313.62389999999999</v>
      </c>
      <c r="H5694" s="3">
        <f t="shared" si="675"/>
        <v>313.62389999999999</v>
      </c>
      <c r="I5694" s="5" t="str">
        <f t="shared" si="676"/>
        <v>017</v>
      </c>
      <c r="J5694" s="5" t="str">
        <f t="shared" si="677"/>
        <v>2220</v>
      </c>
      <c r="K5694" s="5" t="str">
        <f t="shared" si="678"/>
        <v>000</v>
      </c>
      <c r="L5694" s="5">
        <f t="shared" si="679"/>
        <v>2</v>
      </c>
      <c r="M5694" s="5">
        <f t="shared" si="680"/>
        <v>2013</v>
      </c>
    </row>
    <row r="5695" spans="1:13" ht="15" x14ac:dyDescent="0.25">
      <c r="A5695" s="1">
        <f>DATE(2013,2,19)</f>
        <v>41324</v>
      </c>
      <c r="B5695" t="s">
        <v>18</v>
      </c>
      <c r="C5695" t="s">
        <v>10</v>
      </c>
      <c r="D5695" s="3">
        <v>102.6782</v>
      </c>
      <c r="E5695" s="3">
        <v>0</v>
      </c>
      <c r="F5695" t="s">
        <v>45</v>
      </c>
      <c r="G5695" s="3">
        <f t="shared" si="674"/>
        <v>-102.6782</v>
      </c>
      <c r="H5695" s="3">
        <f t="shared" si="675"/>
        <v>102.6782</v>
      </c>
      <c r="I5695" s="5" t="str">
        <f t="shared" si="676"/>
        <v>017</v>
      </c>
      <c r="J5695" s="5" t="str">
        <f t="shared" si="677"/>
        <v>2230</v>
      </c>
      <c r="K5695" s="5" t="str">
        <f t="shared" si="678"/>
        <v>000</v>
      </c>
      <c r="L5695" s="5">
        <f t="shared" si="679"/>
        <v>2</v>
      </c>
      <c r="M5695" s="5">
        <f t="shared" si="680"/>
        <v>2013</v>
      </c>
    </row>
    <row r="5696" spans="1:13" ht="15" x14ac:dyDescent="0.25">
      <c r="A5696" s="1">
        <f>DATE(2013,2,20)</f>
        <v>41325</v>
      </c>
      <c r="B5696" t="s">
        <v>15</v>
      </c>
      <c r="C5696" t="s">
        <v>6</v>
      </c>
      <c r="D5696" s="3">
        <v>6858.5075999999999</v>
      </c>
      <c r="E5696" s="3">
        <v>0</v>
      </c>
      <c r="F5696" t="s">
        <v>45</v>
      </c>
      <c r="G5696" s="3">
        <f t="shared" si="674"/>
        <v>-6858.5075999999999</v>
      </c>
      <c r="H5696" s="3">
        <f t="shared" si="675"/>
        <v>6858.5075999999999</v>
      </c>
      <c r="I5696" s="5" t="str">
        <f t="shared" si="676"/>
        <v>017</v>
      </c>
      <c r="J5696" s="5" t="str">
        <f t="shared" si="677"/>
        <v>2100</v>
      </c>
      <c r="K5696" s="5" t="str">
        <f t="shared" si="678"/>
        <v>000</v>
      </c>
      <c r="L5696" s="5">
        <f t="shared" si="679"/>
        <v>2</v>
      </c>
      <c r="M5696" s="5">
        <f t="shared" si="680"/>
        <v>2013</v>
      </c>
    </row>
    <row r="5697" spans="1:13" ht="15" x14ac:dyDescent="0.25">
      <c r="A5697" s="1">
        <f>DATE(2013,2,20)</f>
        <v>41325</v>
      </c>
      <c r="B5697" t="s">
        <v>16</v>
      </c>
      <c r="C5697" t="s">
        <v>8</v>
      </c>
      <c r="D5697" s="3">
        <v>1542.7439999999999</v>
      </c>
      <c r="E5697" s="3">
        <v>0</v>
      </c>
      <c r="F5697" t="s">
        <v>45</v>
      </c>
      <c r="G5697" s="3">
        <f t="shared" si="674"/>
        <v>-1542.7439999999999</v>
      </c>
      <c r="H5697" s="3">
        <f t="shared" si="675"/>
        <v>1542.7439999999999</v>
      </c>
      <c r="I5697" s="5" t="str">
        <f t="shared" si="676"/>
        <v>017</v>
      </c>
      <c r="J5697" s="5" t="str">
        <f t="shared" si="677"/>
        <v>2210</v>
      </c>
      <c r="K5697" s="5" t="str">
        <f t="shared" si="678"/>
        <v>000</v>
      </c>
      <c r="L5697" s="5">
        <f t="shared" si="679"/>
        <v>2</v>
      </c>
      <c r="M5697" s="5">
        <f t="shared" si="680"/>
        <v>2013</v>
      </c>
    </row>
    <row r="5698" spans="1:13" ht="15" x14ac:dyDescent="0.25">
      <c r="A5698" s="1">
        <f>DATE(2013,2,20)</f>
        <v>41325</v>
      </c>
      <c r="B5698" t="s">
        <v>17</v>
      </c>
      <c r="C5698" t="s">
        <v>9</v>
      </c>
      <c r="D5698" s="3">
        <v>463.41129999999993</v>
      </c>
      <c r="E5698" s="3">
        <v>0</v>
      </c>
      <c r="F5698" t="s">
        <v>45</v>
      </c>
      <c r="G5698" s="3">
        <f t="shared" ref="G5698:G5761" si="681">E5698-D5698</f>
        <v>-463.41129999999993</v>
      </c>
      <c r="H5698" s="3">
        <f t="shared" ref="H5698:H5761" si="682">ABS(G5698)</f>
        <v>463.41129999999993</v>
      </c>
      <c r="I5698" s="5" t="str">
        <f t="shared" ref="I5698:I5761" si="683">MID(B5698,1,3)</f>
        <v>017</v>
      </c>
      <c r="J5698" s="5" t="str">
        <f t="shared" ref="J5698:J5761" si="684">MID(B5698,5,4)</f>
        <v>2220</v>
      </c>
      <c r="K5698" s="5" t="str">
        <f t="shared" ref="K5698:K5761" si="685">MID(B5698,10,3)</f>
        <v>000</v>
      </c>
      <c r="L5698" s="5">
        <f t="shared" ref="L5698:L5761" si="686">MONTH(A5698)</f>
        <v>2</v>
      </c>
      <c r="M5698" s="5">
        <f t="shared" ref="M5698:M5761" si="687">YEAR(A5698)</f>
        <v>2013</v>
      </c>
    </row>
    <row r="5699" spans="1:13" ht="15" x14ac:dyDescent="0.25">
      <c r="A5699" s="1">
        <f>DATE(2013,2,20)</f>
        <v>41325</v>
      </c>
      <c r="B5699" t="s">
        <v>18</v>
      </c>
      <c r="C5699" t="s">
        <v>10</v>
      </c>
      <c r="D5699" s="3">
        <v>97.593600000000009</v>
      </c>
      <c r="E5699" s="3">
        <v>0</v>
      </c>
      <c r="F5699" t="s">
        <v>45</v>
      </c>
      <c r="G5699" s="3">
        <f t="shared" si="681"/>
        <v>-97.593600000000009</v>
      </c>
      <c r="H5699" s="3">
        <f t="shared" si="682"/>
        <v>97.593600000000009</v>
      </c>
      <c r="I5699" s="5" t="str">
        <f t="shared" si="683"/>
        <v>017</v>
      </c>
      <c r="J5699" s="5" t="str">
        <f t="shared" si="684"/>
        <v>2230</v>
      </c>
      <c r="K5699" s="5" t="str">
        <f t="shared" si="685"/>
        <v>000</v>
      </c>
      <c r="L5699" s="5">
        <f t="shared" si="686"/>
        <v>2</v>
      </c>
      <c r="M5699" s="5">
        <f t="shared" si="687"/>
        <v>2013</v>
      </c>
    </row>
    <row r="5700" spans="1:13" ht="15" x14ac:dyDescent="0.25">
      <c r="A5700" s="1">
        <f>DATE(2013,2,21)</f>
        <v>41326</v>
      </c>
      <c r="B5700" t="s">
        <v>15</v>
      </c>
      <c r="C5700" t="s">
        <v>6</v>
      </c>
      <c r="D5700" s="3">
        <v>7563.3711999999996</v>
      </c>
      <c r="E5700" s="3">
        <v>0</v>
      </c>
      <c r="F5700" t="s">
        <v>45</v>
      </c>
      <c r="G5700" s="3">
        <f t="shared" si="681"/>
        <v>-7563.3711999999996</v>
      </c>
      <c r="H5700" s="3">
        <f t="shared" si="682"/>
        <v>7563.3711999999996</v>
      </c>
      <c r="I5700" s="5" t="str">
        <f t="shared" si="683"/>
        <v>017</v>
      </c>
      <c r="J5700" s="5" t="str">
        <f t="shared" si="684"/>
        <v>2100</v>
      </c>
      <c r="K5700" s="5" t="str">
        <f t="shared" si="685"/>
        <v>000</v>
      </c>
      <c r="L5700" s="5">
        <f t="shared" si="686"/>
        <v>2</v>
      </c>
      <c r="M5700" s="5">
        <f t="shared" si="687"/>
        <v>2013</v>
      </c>
    </row>
    <row r="5701" spans="1:13" ht="15" x14ac:dyDescent="0.25">
      <c r="A5701" s="1">
        <f>DATE(2013,2,21)</f>
        <v>41326</v>
      </c>
      <c r="B5701" t="s">
        <v>16</v>
      </c>
      <c r="C5701" t="s">
        <v>8</v>
      </c>
      <c r="D5701" s="3">
        <v>1893.586</v>
      </c>
      <c r="E5701" s="3">
        <v>0</v>
      </c>
      <c r="F5701" t="s">
        <v>45</v>
      </c>
      <c r="G5701" s="3">
        <f t="shared" si="681"/>
        <v>-1893.586</v>
      </c>
      <c r="H5701" s="3">
        <f t="shared" si="682"/>
        <v>1893.586</v>
      </c>
      <c r="I5701" s="5" t="str">
        <f t="shared" si="683"/>
        <v>017</v>
      </c>
      <c r="J5701" s="5" t="str">
        <f t="shared" si="684"/>
        <v>2210</v>
      </c>
      <c r="K5701" s="5" t="str">
        <f t="shared" si="685"/>
        <v>000</v>
      </c>
      <c r="L5701" s="5">
        <f t="shared" si="686"/>
        <v>2</v>
      </c>
      <c r="M5701" s="5">
        <f t="shared" si="687"/>
        <v>2013</v>
      </c>
    </row>
    <row r="5702" spans="1:13" ht="15" x14ac:dyDescent="0.25">
      <c r="A5702" s="1">
        <f>DATE(2013,2,21)</f>
        <v>41326</v>
      </c>
      <c r="B5702" t="s">
        <v>17</v>
      </c>
      <c r="C5702" t="s">
        <v>9</v>
      </c>
      <c r="D5702" s="3">
        <v>504.03839999999997</v>
      </c>
      <c r="E5702" s="3">
        <v>0</v>
      </c>
      <c r="F5702" t="s">
        <v>45</v>
      </c>
      <c r="G5702" s="3">
        <f t="shared" si="681"/>
        <v>-504.03839999999997</v>
      </c>
      <c r="H5702" s="3">
        <f t="shared" si="682"/>
        <v>504.03839999999997</v>
      </c>
      <c r="I5702" s="5" t="str">
        <f t="shared" si="683"/>
        <v>017</v>
      </c>
      <c r="J5702" s="5" t="str">
        <f t="shared" si="684"/>
        <v>2220</v>
      </c>
      <c r="K5702" s="5" t="str">
        <f t="shared" si="685"/>
        <v>000</v>
      </c>
      <c r="L5702" s="5">
        <f t="shared" si="686"/>
        <v>2</v>
      </c>
      <c r="M5702" s="5">
        <f t="shared" si="687"/>
        <v>2013</v>
      </c>
    </row>
    <row r="5703" spans="1:13" ht="15" x14ac:dyDescent="0.25">
      <c r="A5703" s="1">
        <f>DATE(2013,2,21)</f>
        <v>41326</v>
      </c>
      <c r="B5703" t="s">
        <v>18</v>
      </c>
      <c r="C5703" t="s">
        <v>10</v>
      </c>
      <c r="D5703" s="3">
        <v>122.404</v>
      </c>
      <c r="E5703" s="3">
        <v>0</v>
      </c>
      <c r="F5703" t="s">
        <v>45</v>
      </c>
      <c r="G5703" s="3">
        <f t="shared" si="681"/>
        <v>-122.404</v>
      </c>
      <c r="H5703" s="3">
        <f t="shared" si="682"/>
        <v>122.404</v>
      </c>
      <c r="I5703" s="5" t="str">
        <f t="shared" si="683"/>
        <v>017</v>
      </c>
      <c r="J5703" s="5" t="str">
        <f t="shared" si="684"/>
        <v>2230</v>
      </c>
      <c r="K5703" s="5" t="str">
        <f t="shared" si="685"/>
        <v>000</v>
      </c>
      <c r="L5703" s="5">
        <f t="shared" si="686"/>
        <v>2</v>
      </c>
      <c r="M5703" s="5">
        <f t="shared" si="687"/>
        <v>2013</v>
      </c>
    </row>
    <row r="5704" spans="1:13" ht="15" x14ac:dyDescent="0.25">
      <c r="A5704" s="1">
        <f>DATE(2013,2,22)</f>
        <v>41327</v>
      </c>
      <c r="B5704" t="s">
        <v>15</v>
      </c>
      <c r="C5704" t="s">
        <v>6</v>
      </c>
      <c r="D5704" s="3">
        <v>7398.0216000000009</v>
      </c>
      <c r="E5704" s="3">
        <v>0</v>
      </c>
      <c r="F5704" t="s">
        <v>45</v>
      </c>
      <c r="G5704" s="3">
        <f t="shared" si="681"/>
        <v>-7398.0216000000009</v>
      </c>
      <c r="H5704" s="3">
        <f t="shared" si="682"/>
        <v>7398.0216000000009</v>
      </c>
      <c r="I5704" s="5" t="str">
        <f t="shared" si="683"/>
        <v>017</v>
      </c>
      <c r="J5704" s="5" t="str">
        <f t="shared" si="684"/>
        <v>2100</v>
      </c>
      <c r="K5704" s="5" t="str">
        <f t="shared" si="685"/>
        <v>000</v>
      </c>
      <c r="L5704" s="5">
        <f t="shared" si="686"/>
        <v>2</v>
      </c>
      <c r="M5704" s="5">
        <f t="shared" si="687"/>
        <v>2013</v>
      </c>
    </row>
    <row r="5705" spans="1:13" ht="15" x14ac:dyDescent="0.25">
      <c r="A5705" s="1">
        <f>DATE(2013,2,22)</f>
        <v>41327</v>
      </c>
      <c r="B5705" t="s">
        <v>16</v>
      </c>
      <c r="C5705" t="s">
        <v>8</v>
      </c>
      <c r="D5705" s="3">
        <v>1863.5904</v>
      </c>
      <c r="E5705" s="3">
        <v>0</v>
      </c>
      <c r="F5705" t="s">
        <v>45</v>
      </c>
      <c r="G5705" s="3">
        <f t="shared" si="681"/>
        <v>-1863.5904</v>
      </c>
      <c r="H5705" s="3">
        <f t="shared" si="682"/>
        <v>1863.5904</v>
      </c>
      <c r="I5705" s="5" t="str">
        <f t="shared" si="683"/>
        <v>017</v>
      </c>
      <c r="J5705" s="5" t="str">
        <f t="shared" si="684"/>
        <v>2210</v>
      </c>
      <c r="K5705" s="5" t="str">
        <f t="shared" si="685"/>
        <v>000</v>
      </c>
      <c r="L5705" s="5">
        <f t="shared" si="686"/>
        <v>2</v>
      </c>
      <c r="M5705" s="5">
        <f t="shared" si="687"/>
        <v>2013</v>
      </c>
    </row>
    <row r="5706" spans="1:13" ht="15" x14ac:dyDescent="0.25">
      <c r="A5706" s="1">
        <f>DATE(2013,2,22)</f>
        <v>41327</v>
      </c>
      <c r="B5706" t="s">
        <v>17</v>
      </c>
      <c r="C5706" t="s">
        <v>9</v>
      </c>
      <c r="D5706" s="3">
        <v>506.68000000000006</v>
      </c>
      <c r="E5706" s="3">
        <v>0</v>
      </c>
      <c r="F5706" t="s">
        <v>45</v>
      </c>
      <c r="G5706" s="3">
        <f t="shared" si="681"/>
        <v>-506.68000000000006</v>
      </c>
      <c r="H5706" s="3">
        <f t="shared" si="682"/>
        <v>506.68000000000006</v>
      </c>
      <c r="I5706" s="5" t="str">
        <f t="shared" si="683"/>
        <v>017</v>
      </c>
      <c r="J5706" s="5" t="str">
        <f t="shared" si="684"/>
        <v>2220</v>
      </c>
      <c r="K5706" s="5" t="str">
        <f t="shared" si="685"/>
        <v>000</v>
      </c>
      <c r="L5706" s="5">
        <f t="shared" si="686"/>
        <v>2</v>
      </c>
      <c r="M5706" s="5">
        <f t="shared" si="687"/>
        <v>2013</v>
      </c>
    </row>
    <row r="5707" spans="1:13" ht="15" x14ac:dyDescent="0.25">
      <c r="A5707" s="1">
        <f>DATE(2013,2,22)</f>
        <v>41327</v>
      </c>
      <c r="B5707" t="s">
        <v>18</v>
      </c>
      <c r="C5707" t="s">
        <v>10</v>
      </c>
      <c r="D5707" s="3">
        <v>46.625999999999998</v>
      </c>
      <c r="E5707" s="3">
        <v>0</v>
      </c>
      <c r="F5707" t="s">
        <v>45</v>
      </c>
      <c r="G5707" s="3">
        <f t="shared" si="681"/>
        <v>-46.625999999999998</v>
      </c>
      <c r="H5707" s="3">
        <f t="shared" si="682"/>
        <v>46.625999999999998</v>
      </c>
      <c r="I5707" s="5" t="str">
        <f t="shared" si="683"/>
        <v>017</v>
      </c>
      <c r="J5707" s="5" t="str">
        <f t="shared" si="684"/>
        <v>2230</v>
      </c>
      <c r="K5707" s="5" t="str">
        <f t="shared" si="685"/>
        <v>000</v>
      </c>
      <c r="L5707" s="5">
        <f t="shared" si="686"/>
        <v>2</v>
      </c>
      <c r="M5707" s="5">
        <f t="shared" si="687"/>
        <v>2013</v>
      </c>
    </row>
    <row r="5708" spans="1:13" ht="15" x14ac:dyDescent="0.25">
      <c r="A5708" s="1">
        <f>DATE(2013,2,23)</f>
        <v>41328</v>
      </c>
      <c r="B5708" t="s">
        <v>15</v>
      </c>
      <c r="C5708" t="s">
        <v>6</v>
      </c>
      <c r="D5708" s="3">
        <v>7967.1678000000002</v>
      </c>
      <c r="E5708" s="3">
        <v>0</v>
      </c>
      <c r="F5708" t="s">
        <v>45</v>
      </c>
      <c r="G5708" s="3">
        <f t="shared" si="681"/>
        <v>-7967.1678000000002</v>
      </c>
      <c r="H5708" s="3">
        <f t="shared" si="682"/>
        <v>7967.1678000000002</v>
      </c>
      <c r="I5708" s="5" t="str">
        <f t="shared" si="683"/>
        <v>017</v>
      </c>
      <c r="J5708" s="5" t="str">
        <f t="shared" si="684"/>
        <v>2100</v>
      </c>
      <c r="K5708" s="5" t="str">
        <f t="shared" si="685"/>
        <v>000</v>
      </c>
      <c r="L5708" s="5">
        <f t="shared" si="686"/>
        <v>2</v>
      </c>
      <c r="M5708" s="5">
        <f t="shared" si="687"/>
        <v>2013</v>
      </c>
    </row>
    <row r="5709" spans="1:13" ht="15" x14ac:dyDescent="0.25">
      <c r="A5709" s="1">
        <f>DATE(2013,2,23)</f>
        <v>41328</v>
      </c>
      <c r="B5709" t="s">
        <v>16</v>
      </c>
      <c r="C5709" t="s">
        <v>8</v>
      </c>
      <c r="D5709" s="3">
        <v>1983.807</v>
      </c>
      <c r="E5709" s="3">
        <v>0</v>
      </c>
      <c r="F5709" t="s">
        <v>45</v>
      </c>
      <c r="G5709" s="3">
        <f t="shared" si="681"/>
        <v>-1983.807</v>
      </c>
      <c r="H5709" s="3">
        <f t="shared" si="682"/>
        <v>1983.807</v>
      </c>
      <c r="I5709" s="5" t="str">
        <f t="shared" si="683"/>
        <v>017</v>
      </c>
      <c r="J5709" s="5" t="str">
        <f t="shared" si="684"/>
        <v>2210</v>
      </c>
      <c r="K5709" s="5" t="str">
        <f t="shared" si="685"/>
        <v>000</v>
      </c>
      <c r="L5709" s="5">
        <f t="shared" si="686"/>
        <v>2</v>
      </c>
      <c r="M5709" s="5">
        <f t="shared" si="687"/>
        <v>2013</v>
      </c>
    </row>
    <row r="5710" spans="1:13" ht="15" x14ac:dyDescent="0.25">
      <c r="A5710" s="1">
        <f>DATE(2013,2,23)</f>
        <v>41328</v>
      </c>
      <c r="B5710" t="s">
        <v>17</v>
      </c>
      <c r="C5710" t="s">
        <v>9</v>
      </c>
      <c r="D5710" s="3">
        <v>370.91250000000002</v>
      </c>
      <c r="E5710" s="3">
        <v>0</v>
      </c>
      <c r="F5710" t="s">
        <v>45</v>
      </c>
      <c r="G5710" s="3">
        <f t="shared" si="681"/>
        <v>-370.91250000000002</v>
      </c>
      <c r="H5710" s="3">
        <f t="shared" si="682"/>
        <v>370.91250000000002</v>
      </c>
      <c r="I5710" s="5" t="str">
        <f t="shared" si="683"/>
        <v>017</v>
      </c>
      <c r="J5710" s="5" t="str">
        <f t="shared" si="684"/>
        <v>2220</v>
      </c>
      <c r="K5710" s="5" t="str">
        <f t="shared" si="685"/>
        <v>000</v>
      </c>
      <c r="L5710" s="5">
        <f t="shared" si="686"/>
        <v>2</v>
      </c>
      <c r="M5710" s="5">
        <f t="shared" si="687"/>
        <v>2013</v>
      </c>
    </row>
    <row r="5711" spans="1:13" ht="15" x14ac:dyDescent="0.25">
      <c r="A5711" s="1">
        <f>DATE(2013,2,23)</f>
        <v>41328</v>
      </c>
      <c r="B5711" t="s">
        <v>18</v>
      </c>
      <c r="C5711" t="s">
        <v>10</v>
      </c>
      <c r="D5711" s="3">
        <v>73.058399999999992</v>
      </c>
      <c r="E5711" s="3">
        <v>0</v>
      </c>
      <c r="F5711" t="s">
        <v>45</v>
      </c>
      <c r="G5711" s="3">
        <f t="shared" si="681"/>
        <v>-73.058399999999992</v>
      </c>
      <c r="H5711" s="3">
        <f t="shared" si="682"/>
        <v>73.058399999999992</v>
      </c>
      <c r="I5711" s="5" t="str">
        <f t="shared" si="683"/>
        <v>017</v>
      </c>
      <c r="J5711" s="5" t="str">
        <f t="shared" si="684"/>
        <v>2230</v>
      </c>
      <c r="K5711" s="5" t="str">
        <f t="shared" si="685"/>
        <v>000</v>
      </c>
      <c r="L5711" s="5">
        <f t="shared" si="686"/>
        <v>2</v>
      </c>
      <c r="M5711" s="5">
        <f t="shared" si="687"/>
        <v>2013</v>
      </c>
    </row>
    <row r="5712" spans="1:13" ht="15" x14ac:dyDescent="0.25">
      <c r="A5712" s="1">
        <f>DATE(2013,2,24)</f>
        <v>41329</v>
      </c>
      <c r="B5712" t="s">
        <v>15</v>
      </c>
      <c r="C5712" t="s">
        <v>6</v>
      </c>
      <c r="D5712" s="3">
        <v>4720.7338</v>
      </c>
      <c r="E5712" s="3">
        <v>0</v>
      </c>
      <c r="F5712" t="s">
        <v>45</v>
      </c>
      <c r="G5712" s="3">
        <f t="shared" si="681"/>
        <v>-4720.7338</v>
      </c>
      <c r="H5712" s="3">
        <f t="shared" si="682"/>
        <v>4720.7338</v>
      </c>
      <c r="I5712" s="5" t="str">
        <f t="shared" si="683"/>
        <v>017</v>
      </c>
      <c r="J5712" s="5" t="str">
        <f t="shared" si="684"/>
        <v>2100</v>
      </c>
      <c r="K5712" s="5" t="str">
        <f t="shared" si="685"/>
        <v>000</v>
      </c>
      <c r="L5712" s="5">
        <f t="shared" si="686"/>
        <v>2</v>
      </c>
      <c r="M5712" s="5">
        <f t="shared" si="687"/>
        <v>2013</v>
      </c>
    </row>
    <row r="5713" spans="1:13" ht="15" x14ac:dyDescent="0.25">
      <c r="A5713" s="1">
        <f>DATE(2013,2,24)</f>
        <v>41329</v>
      </c>
      <c r="B5713" t="s">
        <v>16</v>
      </c>
      <c r="C5713" t="s">
        <v>8</v>
      </c>
      <c r="D5713" s="3">
        <v>1214.3473999999999</v>
      </c>
      <c r="E5713" s="3">
        <v>0</v>
      </c>
      <c r="F5713" t="s">
        <v>45</v>
      </c>
      <c r="G5713" s="3">
        <f t="shared" si="681"/>
        <v>-1214.3473999999999</v>
      </c>
      <c r="H5713" s="3">
        <f t="shared" si="682"/>
        <v>1214.3473999999999</v>
      </c>
      <c r="I5713" s="5" t="str">
        <f t="shared" si="683"/>
        <v>017</v>
      </c>
      <c r="J5713" s="5" t="str">
        <f t="shared" si="684"/>
        <v>2210</v>
      </c>
      <c r="K5713" s="5" t="str">
        <f t="shared" si="685"/>
        <v>000</v>
      </c>
      <c r="L5713" s="5">
        <f t="shared" si="686"/>
        <v>2</v>
      </c>
      <c r="M5713" s="5">
        <f t="shared" si="687"/>
        <v>2013</v>
      </c>
    </row>
    <row r="5714" spans="1:13" ht="15" x14ac:dyDescent="0.25">
      <c r="A5714" s="1">
        <f>DATE(2013,2,24)</f>
        <v>41329</v>
      </c>
      <c r="B5714" t="s">
        <v>17</v>
      </c>
      <c r="C5714" t="s">
        <v>9</v>
      </c>
      <c r="D5714" s="3">
        <v>165.04109999999997</v>
      </c>
      <c r="E5714" s="3">
        <v>0</v>
      </c>
      <c r="F5714" t="s">
        <v>45</v>
      </c>
      <c r="G5714" s="3">
        <f t="shared" si="681"/>
        <v>-165.04109999999997</v>
      </c>
      <c r="H5714" s="3">
        <f t="shared" si="682"/>
        <v>165.04109999999997</v>
      </c>
      <c r="I5714" s="5" t="str">
        <f t="shared" si="683"/>
        <v>017</v>
      </c>
      <c r="J5714" s="5" t="str">
        <f t="shared" si="684"/>
        <v>2220</v>
      </c>
      <c r="K5714" s="5" t="str">
        <f t="shared" si="685"/>
        <v>000</v>
      </c>
      <c r="L5714" s="5">
        <f t="shared" si="686"/>
        <v>2</v>
      </c>
      <c r="M5714" s="5">
        <f t="shared" si="687"/>
        <v>2013</v>
      </c>
    </row>
    <row r="5715" spans="1:13" ht="15" x14ac:dyDescent="0.25">
      <c r="A5715" s="1">
        <f>DATE(2013,2,24)</f>
        <v>41329</v>
      </c>
      <c r="B5715" t="s">
        <v>18</v>
      </c>
      <c r="C5715" t="s">
        <v>10</v>
      </c>
      <c r="D5715" s="3">
        <v>75.248400000000004</v>
      </c>
      <c r="E5715" s="3">
        <v>0</v>
      </c>
      <c r="F5715" t="s">
        <v>45</v>
      </c>
      <c r="G5715" s="3">
        <f t="shared" si="681"/>
        <v>-75.248400000000004</v>
      </c>
      <c r="H5715" s="3">
        <f t="shared" si="682"/>
        <v>75.248400000000004</v>
      </c>
      <c r="I5715" s="5" t="str">
        <f t="shared" si="683"/>
        <v>017</v>
      </c>
      <c r="J5715" s="5" t="str">
        <f t="shared" si="684"/>
        <v>2230</v>
      </c>
      <c r="K5715" s="5" t="str">
        <f t="shared" si="685"/>
        <v>000</v>
      </c>
      <c r="L5715" s="5">
        <f t="shared" si="686"/>
        <v>2</v>
      </c>
      <c r="M5715" s="5">
        <f t="shared" si="687"/>
        <v>2013</v>
      </c>
    </row>
    <row r="5716" spans="1:13" ht="15" x14ac:dyDescent="0.25">
      <c r="A5716" s="1">
        <f>DATE(2013,2,18)</f>
        <v>41323</v>
      </c>
      <c r="B5716" t="s">
        <v>19</v>
      </c>
      <c r="C5716" t="s">
        <v>6</v>
      </c>
      <c r="D5716" s="3">
        <v>8616.6256000000012</v>
      </c>
      <c r="E5716" s="3">
        <v>0</v>
      </c>
      <c r="F5716" t="s">
        <v>45</v>
      </c>
      <c r="G5716" s="3">
        <f t="shared" si="681"/>
        <v>-8616.6256000000012</v>
      </c>
      <c r="H5716" s="3">
        <f t="shared" si="682"/>
        <v>8616.6256000000012</v>
      </c>
      <c r="I5716" s="5" t="str">
        <f t="shared" si="683"/>
        <v>018</v>
      </c>
      <c r="J5716" s="5" t="str">
        <f t="shared" si="684"/>
        <v>2100</v>
      </c>
      <c r="K5716" s="5" t="str">
        <f t="shared" si="685"/>
        <v>000</v>
      </c>
      <c r="L5716" s="5">
        <f t="shared" si="686"/>
        <v>2</v>
      </c>
      <c r="M5716" s="5">
        <f t="shared" si="687"/>
        <v>2013</v>
      </c>
    </row>
    <row r="5717" spans="1:13" ht="15" x14ac:dyDescent="0.25">
      <c r="A5717" s="1">
        <f>DATE(2013,2,18)</f>
        <v>41323</v>
      </c>
      <c r="B5717" t="s">
        <v>20</v>
      </c>
      <c r="C5717" t="s">
        <v>8</v>
      </c>
      <c r="D5717" s="3">
        <v>693.27500000000009</v>
      </c>
      <c r="E5717" s="3">
        <v>0</v>
      </c>
      <c r="F5717" t="s">
        <v>45</v>
      </c>
      <c r="G5717" s="3">
        <f t="shared" si="681"/>
        <v>-693.27500000000009</v>
      </c>
      <c r="H5717" s="3">
        <f t="shared" si="682"/>
        <v>693.27500000000009</v>
      </c>
      <c r="I5717" s="5" t="str">
        <f t="shared" si="683"/>
        <v>018</v>
      </c>
      <c r="J5717" s="5" t="str">
        <f t="shared" si="684"/>
        <v>2210</v>
      </c>
      <c r="K5717" s="5" t="str">
        <f t="shared" si="685"/>
        <v>000</v>
      </c>
      <c r="L5717" s="5">
        <f t="shared" si="686"/>
        <v>2</v>
      </c>
      <c r="M5717" s="5">
        <f t="shared" si="687"/>
        <v>2013</v>
      </c>
    </row>
    <row r="5718" spans="1:13" ht="15" x14ac:dyDescent="0.25">
      <c r="A5718" s="1">
        <f>DATE(2013,2,18)</f>
        <v>41323</v>
      </c>
      <c r="B5718" t="s">
        <v>21</v>
      </c>
      <c r="C5718" t="s">
        <v>9</v>
      </c>
      <c r="D5718" s="3">
        <v>240.66</v>
      </c>
      <c r="E5718" s="3">
        <v>0</v>
      </c>
      <c r="F5718" t="s">
        <v>45</v>
      </c>
      <c r="G5718" s="3">
        <f t="shared" si="681"/>
        <v>-240.66</v>
      </c>
      <c r="H5718" s="3">
        <f t="shared" si="682"/>
        <v>240.66</v>
      </c>
      <c r="I5718" s="5" t="str">
        <f t="shared" si="683"/>
        <v>018</v>
      </c>
      <c r="J5718" s="5" t="str">
        <f t="shared" si="684"/>
        <v>2220</v>
      </c>
      <c r="K5718" s="5" t="str">
        <f t="shared" si="685"/>
        <v>000</v>
      </c>
      <c r="L5718" s="5">
        <f t="shared" si="686"/>
        <v>2</v>
      </c>
      <c r="M5718" s="5">
        <f t="shared" si="687"/>
        <v>2013</v>
      </c>
    </row>
    <row r="5719" spans="1:13" ht="15" x14ac:dyDescent="0.25">
      <c r="A5719" s="1">
        <f>DATE(2013,2,18)</f>
        <v>41323</v>
      </c>
      <c r="B5719" t="s">
        <v>22</v>
      </c>
      <c r="C5719" t="s">
        <v>10</v>
      </c>
      <c r="D5719" s="3">
        <v>81.799199999999999</v>
      </c>
      <c r="E5719" s="3">
        <v>0</v>
      </c>
      <c r="F5719" t="s">
        <v>45</v>
      </c>
      <c r="G5719" s="3">
        <f t="shared" si="681"/>
        <v>-81.799199999999999</v>
      </c>
      <c r="H5719" s="3">
        <f t="shared" si="682"/>
        <v>81.799199999999999</v>
      </c>
      <c r="I5719" s="5" t="str">
        <f t="shared" si="683"/>
        <v>018</v>
      </c>
      <c r="J5719" s="5" t="str">
        <f t="shared" si="684"/>
        <v>2230</v>
      </c>
      <c r="K5719" s="5" t="str">
        <f t="shared" si="685"/>
        <v>000</v>
      </c>
      <c r="L5719" s="5">
        <f t="shared" si="686"/>
        <v>2</v>
      </c>
      <c r="M5719" s="5">
        <f t="shared" si="687"/>
        <v>2013</v>
      </c>
    </row>
    <row r="5720" spans="1:13" ht="15" x14ac:dyDescent="0.25">
      <c r="A5720" s="1">
        <f>DATE(2013,2,19)</f>
        <v>41324</v>
      </c>
      <c r="B5720" t="s">
        <v>19</v>
      </c>
      <c r="C5720" t="s">
        <v>6</v>
      </c>
      <c r="D5720" s="3">
        <v>2094.9138000000003</v>
      </c>
      <c r="E5720" s="3">
        <v>0</v>
      </c>
      <c r="F5720" t="s">
        <v>45</v>
      </c>
      <c r="G5720" s="3">
        <f t="shared" si="681"/>
        <v>-2094.9138000000003</v>
      </c>
      <c r="H5720" s="3">
        <f t="shared" si="682"/>
        <v>2094.9138000000003</v>
      </c>
      <c r="I5720" s="5" t="str">
        <f t="shared" si="683"/>
        <v>018</v>
      </c>
      <c r="J5720" s="5" t="str">
        <f t="shared" si="684"/>
        <v>2100</v>
      </c>
      <c r="K5720" s="5" t="str">
        <f t="shared" si="685"/>
        <v>000</v>
      </c>
      <c r="L5720" s="5">
        <f t="shared" si="686"/>
        <v>2</v>
      </c>
      <c r="M5720" s="5">
        <f t="shared" si="687"/>
        <v>2013</v>
      </c>
    </row>
    <row r="5721" spans="1:13" ht="15" x14ac:dyDescent="0.25">
      <c r="A5721" s="1">
        <f>DATE(2013,2,19)</f>
        <v>41324</v>
      </c>
      <c r="B5721" t="s">
        <v>20</v>
      </c>
      <c r="C5721" t="s">
        <v>8</v>
      </c>
      <c r="D5721" s="3">
        <v>481.18399999999997</v>
      </c>
      <c r="E5721" s="3">
        <v>0</v>
      </c>
      <c r="F5721" t="s">
        <v>45</v>
      </c>
      <c r="G5721" s="3">
        <f t="shared" si="681"/>
        <v>-481.18399999999997</v>
      </c>
      <c r="H5721" s="3">
        <f t="shared" si="682"/>
        <v>481.18399999999997</v>
      </c>
      <c r="I5721" s="5" t="str">
        <f t="shared" si="683"/>
        <v>018</v>
      </c>
      <c r="J5721" s="5" t="str">
        <f t="shared" si="684"/>
        <v>2210</v>
      </c>
      <c r="K5721" s="5" t="str">
        <f t="shared" si="685"/>
        <v>000</v>
      </c>
      <c r="L5721" s="5">
        <f t="shared" si="686"/>
        <v>2</v>
      </c>
      <c r="M5721" s="5">
        <f t="shared" si="687"/>
        <v>2013</v>
      </c>
    </row>
    <row r="5722" spans="1:13" ht="15" x14ac:dyDescent="0.25">
      <c r="A5722" s="1">
        <f>DATE(2013,2,19)</f>
        <v>41324</v>
      </c>
      <c r="B5722" t="s">
        <v>21</v>
      </c>
      <c r="C5722" t="s">
        <v>9</v>
      </c>
      <c r="D5722" s="3">
        <v>109.0859</v>
      </c>
      <c r="E5722" s="3">
        <v>0</v>
      </c>
      <c r="F5722" t="s">
        <v>45</v>
      </c>
      <c r="G5722" s="3">
        <f t="shared" si="681"/>
        <v>-109.0859</v>
      </c>
      <c r="H5722" s="3">
        <f t="shared" si="682"/>
        <v>109.0859</v>
      </c>
      <c r="I5722" s="5" t="str">
        <f t="shared" si="683"/>
        <v>018</v>
      </c>
      <c r="J5722" s="5" t="str">
        <f t="shared" si="684"/>
        <v>2220</v>
      </c>
      <c r="K5722" s="5" t="str">
        <f t="shared" si="685"/>
        <v>000</v>
      </c>
      <c r="L5722" s="5">
        <f t="shared" si="686"/>
        <v>2</v>
      </c>
      <c r="M5722" s="5">
        <f t="shared" si="687"/>
        <v>2013</v>
      </c>
    </row>
    <row r="5723" spans="1:13" ht="15" x14ac:dyDescent="0.25">
      <c r="A5723" s="1">
        <f>DATE(2013,2,19)</f>
        <v>41324</v>
      </c>
      <c r="B5723" t="s">
        <v>22</v>
      </c>
      <c r="C5723" t="s">
        <v>10</v>
      </c>
      <c r="D5723" s="3">
        <v>24.205400000000001</v>
      </c>
      <c r="E5723" s="3">
        <v>0</v>
      </c>
      <c r="F5723" t="s">
        <v>45</v>
      </c>
      <c r="G5723" s="3">
        <f t="shared" si="681"/>
        <v>-24.205400000000001</v>
      </c>
      <c r="H5723" s="3">
        <f t="shared" si="682"/>
        <v>24.205400000000001</v>
      </c>
      <c r="I5723" s="5" t="str">
        <f t="shared" si="683"/>
        <v>018</v>
      </c>
      <c r="J5723" s="5" t="str">
        <f t="shared" si="684"/>
        <v>2230</v>
      </c>
      <c r="K5723" s="5" t="str">
        <f t="shared" si="685"/>
        <v>000</v>
      </c>
      <c r="L5723" s="5">
        <f t="shared" si="686"/>
        <v>2</v>
      </c>
      <c r="M5723" s="5">
        <f t="shared" si="687"/>
        <v>2013</v>
      </c>
    </row>
    <row r="5724" spans="1:13" ht="15" x14ac:dyDescent="0.25">
      <c r="A5724" s="1">
        <f>DATE(2013,2,20)</f>
        <v>41325</v>
      </c>
      <c r="B5724" t="s">
        <v>19</v>
      </c>
      <c r="C5724" t="s">
        <v>6</v>
      </c>
      <c r="D5724" s="3">
        <v>2350.8795</v>
      </c>
      <c r="E5724" s="3">
        <v>0</v>
      </c>
      <c r="F5724" t="s">
        <v>45</v>
      </c>
      <c r="G5724" s="3">
        <f t="shared" si="681"/>
        <v>-2350.8795</v>
      </c>
      <c r="H5724" s="3">
        <f t="shared" si="682"/>
        <v>2350.8795</v>
      </c>
      <c r="I5724" s="5" t="str">
        <f t="shared" si="683"/>
        <v>018</v>
      </c>
      <c r="J5724" s="5" t="str">
        <f t="shared" si="684"/>
        <v>2100</v>
      </c>
      <c r="K5724" s="5" t="str">
        <f t="shared" si="685"/>
        <v>000</v>
      </c>
      <c r="L5724" s="5">
        <f t="shared" si="686"/>
        <v>2</v>
      </c>
      <c r="M5724" s="5">
        <f t="shared" si="687"/>
        <v>2013</v>
      </c>
    </row>
    <row r="5725" spans="1:13" ht="15" x14ac:dyDescent="0.25">
      <c r="A5725" s="1">
        <f>DATE(2013,2,20)</f>
        <v>41325</v>
      </c>
      <c r="B5725" t="s">
        <v>20</v>
      </c>
      <c r="C5725" t="s">
        <v>8</v>
      </c>
      <c r="D5725" s="3">
        <v>405.57599999999996</v>
      </c>
      <c r="E5725" s="3">
        <v>0</v>
      </c>
      <c r="F5725" t="s">
        <v>45</v>
      </c>
      <c r="G5725" s="3">
        <f t="shared" si="681"/>
        <v>-405.57599999999996</v>
      </c>
      <c r="H5725" s="3">
        <f t="shared" si="682"/>
        <v>405.57599999999996</v>
      </c>
      <c r="I5725" s="5" t="str">
        <f t="shared" si="683"/>
        <v>018</v>
      </c>
      <c r="J5725" s="5" t="str">
        <f t="shared" si="684"/>
        <v>2210</v>
      </c>
      <c r="K5725" s="5" t="str">
        <f t="shared" si="685"/>
        <v>000</v>
      </c>
      <c r="L5725" s="5">
        <f t="shared" si="686"/>
        <v>2</v>
      </c>
      <c r="M5725" s="5">
        <f t="shared" si="687"/>
        <v>2013</v>
      </c>
    </row>
    <row r="5726" spans="1:13" ht="15" x14ac:dyDescent="0.25">
      <c r="A5726" s="1">
        <f>DATE(2013,2,20)</f>
        <v>41325</v>
      </c>
      <c r="B5726" t="s">
        <v>21</v>
      </c>
      <c r="C5726" t="s">
        <v>9</v>
      </c>
      <c r="D5726" s="3">
        <v>89.208799999999997</v>
      </c>
      <c r="E5726" s="3">
        <v>0</v>
      </c>
      <c r="F5726" t="s">
        <v>45</v>
      </c>
      <c r="G5726" s="3">
        <f t="shared" si="681"/>
        <v>-89.208799999999997</v>
      </c>
      <c r="H5726" s="3">
        <f t="shared" si="682"/>
        <v>89.208799999999997</v>
      </c>
      <c r="I5726" s="5" t="str">
        <f t="shared" si="683"/>
        <v>018</v>
      </c>
      <c r="J5726" s="5" t="str">
        <f t="shared" si="684"/>
        <v>2220</v>
      </c>
      <c r="K5726" s="5" t="str">
        <f t="shared" si="685"/>
        <v>000</v>
      </c>
      <c r="L5726" s="5">
        <f t="shared" si="686"/>
        <v>2</v>
      </c>
      <c r="M5726" s="5">
        <f t="shared" si="687"/>
        <v>2013</v>
      </c>
    </row>
    <row r="5727" spans="1:13" ht="15" x14ac:dyDescent="0.25">
      <c r="A5727" s="1">
        <f>DATE(2013,2,20)</f>
        <v>41325</v>
      </c>
      <c r="B5727" t="s">
        <v>22</v>
      </c>
      <c r="C5727" t="s">
        <v>10</v>
      </c>
      <c r="D5727" s="3">
        <v>19.5518</v>
      </c>
      <c r="E5727" s="3">
        <v>0</v>
      </c>
      <c r="F5727" t="s">
        <v>45</v>
      </c>
      <c r="G5727" s="3">
        <f t="shared" si="681"/>
        <v>-19.5518</v>
      </c>
      <c r="H5727" s="3">
        <f t="shared" si="682"/>
        <v>19.5518</v>
      </c>
      <c r="I5727" s="5" t="str">
        <f t="shared" si="683"/>
        <v>018</v>
      </c>
      <c r="J5727" s="5" t="str">
        <f t="shared" si="684"/>
        <v>2230</v>
      </c>
      <c r="K5727" s="5" t="str">
        <f t="shared" si="685"/>
        <v>000</v>
      </c>
      <c r="L5727" s="5">
        <f t="shared" si="686"/>
        <v>2</v>
      </c>
      <c r="M5727" s="5">
        <f t="shared" si="687"/>
        <v>2013</v>
      </c>
    </row>
    <row r="5728" spans="1:13" ht="15" x14ac:dyDescent="0.25">
      <c r="A5728" s="1">
        <f>DATE(2013,2,21)</f>
        <v>41326</v>
      </c>
      <c r="B5728" t="s">
        <v>19</v>
      </c>
      <c r="C5728" t="s">
        <v>6</v>
      </c>
      <c r="D5728" s="3">
        <v>3232.4490000000001</v>
      </c>
      <c r="E5728" s="3">
        <v>0</v>
      </c>
      <c r="F5728" t="s">
        <v>45</v>
      </c>
      <c r="G5728" s="3">
        <f t="shared" si="681"/>
        <v>-3232.4490000000001</v>
      </c>
      <c r="H5728" s="3">
        <f t="shared" si="682"/>
        <v>3232.4490000000001</v>
      </c>
      <c r="I5728" s="5" t="str">
        <f t="shared" si="683"/>
        <v>018</v>
      </c>
      <c r="J5728" s="5" t="str">
        <f t="shared" si="684"/>
        <v>2100</v>
      </c>
      <c r="K5728" s="5" t="str">
        <f t="shared" si="685"/>
        <v>000</v>
      </c>
      <c r="L5728" s="5">
        <f t="shared" si="686"/>
        <v>2</v>
      </c>
      <c r="M5728" s="5">
        <f t="shared" si="687"/>
        <v>2013</v>
      </c>
    </row>
    <row r="5729" spans="1:13" ht="15" x14ac:dyDescent="0.25">
      <c r="A5729" s="1">
        <f>DATE(2013,2,21)</f>
        <v>41326</v>
      </c>
      <c r="B5729" t="s">
        <v>20</v>
      </c>
      <c r="C5729" t="s">
        <v>8</v>
      </c>
      <c r="D5729" s="3">
        <v>610.20719999999994</v>
      </c>
      <c r="E5729" s="3">
        <v>0</v>
      </c>
      <c r="F5729" t="s">
        <v>45</v>
      </c>
      <c r="G5729" s="3">
        <f t="shared" si="681"/>
        <v>-610.20719999999994</v>
      </c>
      <c r="H5729" s="3">
        <f t="shared" si="682"/>
        <v>610.20719999999994</v>
      </c>
      <c r="I5729" s="5" t="str">
        <f t="shared" si="683"/>
        <v>018</v>
      </c>
      <c r="J5729" s="5" t="str">
        <f t="shared" si="684"/>
        <v>2210</v>
      </c>
      <c r="K5729" s="5" t="str">
        <f t="shared" si="685"/>
        <v>000</v>
      </c>
      <c r="L5729" s="5">
        <f t="shared" si="686"/>
        <v>2</v>
      </c>
      <c r="M5729" s="5">
        <f t="shared" si="687"/>
        <v>2013</v>
      </c>
    </row>
    <row r="5730" spans="1:13" ht="15" x14ac:dyDescent="0.25">
      <c r="A5730" s="1">
        <f>DATE(2013,2,21)</f>
        <v>41326</v>
      </c>
      <c r="B5730" t="s">
        <v>21</v>
      </c>
      <c r="C5730" t="s">
        <v>9</v>
      </c>
      <c r="D5730" s="3">
        <v>273.04520000000002</v>
      </c>
      <c r="E5730" s="3">
        <v>0</v>
      </c>
      <c r="F5730" t="s">
        <v>45</v>
      </c>
      <c r="G5730" s="3">
        <f t="shared" si="681"/>
        <v>-273.04520000000002</v>
      </c>
      <c r="H5730" s="3">
        <f t="shared" si="682"/>
        <v>273.04520000000002</v>
      </c>
      <c r="I5730" s="5" t="str">
        <f t="shared" si="683"/>
        <v>018</v>
      </c>
      <c r="J5730" s="5" t="str">
        <f t="shared" si="684"/>
        <v>2220</v>
      </c>
      <c r="K5730" s="5" t="str">
        <f t="shared" si="685"/>
        <v>000</v>
      </c>
      <c r="L5730" s="5">
        <f t="shared" si="686"/>
        <v>2</v>
      </c>
      <c r="M5730" s="5">
        <f t="shared" si="687"/>
        <v>2013</v>
      </c>
    </row>
    <row r="5731" spans="1:13" ht="15" x14ac:dyDescent="0.25">
      <c r="A5731" s="1">
        <f>DATE(2013,2,21)</f>
        <v>41326</v>
      </c>
      <c r="B5731" t="s">
        <v>22</v>
      </c>
      <c r="C5731" t="s">
        <v>10</v>
      </c>
      <c r="D5731" s="3">
        <v>4.6341999999999999</v>
      </c>
      <c r="E5731" s="3">
        <v>0</v>
      </c>
      <c r="F5731" t="s">
        <v>45</v>
      </c>
      <c r="G5731" s="3">
        <f t="shared" si="681"/>
        <v>-4.6341999999999999</v>
      </c>
      <c r="H5731" s="3">
        <f t="shared" si="682"/>
        <v>4.6341999999999999</v>
      </c>
      <c r="I5731" s="5" t="str">
        <f t="shared" si="683"/>
        <v>018</v>
      </c>
      <c r="J5731" s="5" t="str">
        <f t="shared" si="684"/>
        <v>2230</v>
      </c>
      <c r="K5731" s="5" t="str">
        <f t="shared" si="685"/>
        <v>000</v>
      </c>
      <c r="L5731" s="5">
        <f t="shared" si="686"/>
        <v>2</v>
      </c>
      <c r="M5731" s="5">
        <f t="shared" si="687"/>
        <v>2013</v>
      </c>
    </row>
    <row r="5732" spans="1:13" ht="15" x14ac:dyDescent="0.25">
      <c r="A5732" s="1">
        <f>DATE(2013,2,22)</f>
        <v>41327</v>
      </c>
      <c r="B5732" t="s">
        <v>19</v>
      </c>
      <c r="C5732" t="s">
        <v>6</v>
      </c>
      <c r="D5732" s="3">
        <v>7016.5550000000003</v>
      </c>
      <c r="E5732" s="3">
        <v>0</v>
      </c>
      <c r="F5732" t="s">
        <v>45</v>
      </c>
      <c r="G5732" s="3">
        <f t="shared" si="681"/>
        <v>-7016.5550000000003</v>
      </c>
      <c r="H5732" s="3">
        <f t="shared" si="682"/>
        <v>7016.5550000000003</v>
      </c>
      <c r="I5732" s="5" t="str">
        <f t="shared" si="683"/>
        <v>018</v>
      </c>
      <c r="J5732" s="5" t="str">
        <f t="shared" si="684"/>
        <v>2100</v>
      </c>
      <c r="K5732" s="5" t="str">
        <f t="shared" si="685"/>
        <v>000</v>
      </c>
      <c r="L5732" s="5">
        <f t="shared" si="686"/>
        <v>2</v>
      </c>
      <c r="M5732" s="5">
        <f t="shared" si="687"/>
        <v>2013</v>
      </c>
    </row>
    <row r="5733" spans="1:13" ht="15" x14ac:dyDescent="0.25">
      <c r="A5733" s="1">
        <f>DATE(2013,2,22)</f>
        <v>41327</v>
      </c>
      <c r="B5733" t="s">
        <v>20</v>
      </c>
      <c r="C5733" t="s">
        <v>8</v>
      </c>
      <c r="D5733" s="3">
        <v>3074.2618999999995</v>
      </c>
      <c r="E5733" s="3">
        <v>0</v>
      </c>
      <c r="F5733" t="s">
        <v>45</v>
      </c>
      <c r="G5733" s="3">
        <f t="shared" si="681"/>
        <v>-3074.2618999999995</v>
      </c>
      <c r="H5733" s="3">
        <f t="shared" si="682"/>
        <v>3074.2618999999995</v>
      </c>
      <c r="I5733" s="5" t="str">
        <f t="shared" si="683"/>
        <v>018</v>
      </c>
      <c r="J5733" s="5" t="str">
        <f t="shared" si="684"/>
        <v>2210</v>
      </c>
      <c r="K5733" s="5" t="str">
        <f t="shared" si="685"/>
        <v>000</v>
      </c>
      <c r="L5733" s="5">
        <f t="shared" si="686"/>
        <v>2</v>
      </c>
      <c r="M5733" s="5">
        <f t="shared" si="687"/>
        <v>2013</v>
      </c>
    </row>
    <row r="5734" spans="1:13" ht="15" x14ac:dyDescent="0.25">
      <c r="A5734" s="1">
        <f>DATE(2013,2,22)</f>
        <v>41327</v>
      </c>
      <c r="B5734" t="s">
        <v>21</v>
      </c>
      <c r="C5734" t="s">
        <v>9</v>
      </c>
      <c r="D5734" s="3">
        <v>559.23149999999998</v>
      </c>
      <c r="E5734" s="3">
        <v>0</v>
      </c>
      <c r="F5734" t="s">
        <v>45</v>
      </c>
      <c r="G5734" s="3">
        <f t="shared" si="681"/>
        <v>-559.23149999999998</v>
      </c>
      <c r="H5734" s="3">
        <f t="shared" si="682"/>
        <v>559.23149999999998</v>
      </c>
      <c r="I5734" s="5" t="str">
        <f t="shared" si="683"/>
        <v>018</v>
      </c>
      <c r="J5734" s="5" t="str">
        <f t="shared" si="684"/>
        <v>2220</v>
      </c>
      <c r="K5734" s="5" t="str">
        <f t="shared" si="685"/>
        <v>000</v>
      </c>
      <c r="L5734" s="5">
        <f t="shared" si="686"/>
        <v>2</v>
      </c>
      <c r="M5734" s="5">
        <f t="shared" si="687"/>
        <v>2013</v>
      </c>
    </row>
    <row r="5735" spans="1:13" ht="15" x14ac:dyDescent="0.25">
      <c r="A5735" s="1">
        <f>DATE(2013,2,22)</f>
        <v>41327</v>
      </c>
      <c r="B5735" t="s">
        <v>22</v>
      </c>
      <c r="C5735" t="s">
        <v>10</v>
      </c>
      <c r="D5735" s="3">
        <v>128.9624</v>
      </c>
      <c r="E5735" s="3">
        <v>0</v>
      </c>
      <c r="F5735" t="s">
        <v>45</v>
      </c>
      <c r="G5735" s="3">
        <f t="shared" si="681"/>
        <v>-128.9624</v>
      </c>
      <c r="H5735" s="3">
        <f t="shared" si="682"/>
        <v>128.9624</v>
      </c>
      <c r="I5735" s="5" t="str">
        <f t="shared" si="683"/>
        <v>018</v>
      </c>
      <c r="J5735" s="5" t="str">
        <f t="shared" si="684"/>
        <v>2230</v>
      </c>
      <c r="K5735" s="5" t="str">
        <f t="shared" si="685"/>
        <v>000</v>
      </c>
      <c r="L5735" s="5">
        <f t="shared" si="686"/>
        <v>2</v>
      </c>
      <c r="M5735" s="5">
        <f t="shared" si="687"/>
        <v>2013</v>
      </c>
    </row>
    <row r="5736" spans="1:13" ht="15" x14ac:dyDescent="0.25">
      <c r="A5736" s="1">
        <f>DATE(2013,2,23)</f>
        <v>41328</v>
      </c>
      <c r="B5736" t="s">
        <v>19</v>
      </c>
      <c r="C5736" t="s">
        <v>6</v>
      </c>
      <c r="D5736" s="3">
        <v>17113.038400000001</v>
      </c>
      <c r="E5736" s="3">
        <v>0</v>
      </c>
      <c r="F5736" t="s">
        <v>45</v>
      </c>
      <c r="G5736" s="3">
        <f t="shared" si="681"/>
        <v>-17113.038400000001</v>
      </c>
      <c r="H5736" s="3">
        <f t="shared" si="682"/>
        <v>17113.038400000001</v>
      </c>
      <c r="I5736" s="5" t="str">
        <f t="shared" si="683"/>
        <v>018</v>
      </c>
      <c r="J5736" s="5" t="str">
        <f t="shared" si="684"/>
        <v>2100</v>
      </c>
      <c r="K5736" s="5" t="str">
        <f t="shared" si="685"/>
        <v>000</v>
      </c>
      <c r="L5736" s="5">
        <f t="shared" si="686"/>
        <v>2</v>
      </c>
      <c r="M5736" s="5">
        <f t="shared" si="687"/>
        <v>2013</v>
      </c>
    </row>
    <row r="5737" spans="1:13" ht="15" x14ac:dyDescent="0.25">
      <c r="A5737" s="1">
        <f>DATE(2013,2,23)</f>
        <v>41328</v>
      </c>
      <c r="B5737" t="s">
        <v>20</v>
      </c>
      <c r="C5737" t="s">
        <v>8</v>
      </c>
      <c r="D5737" s="3">
        <v>3120.6790999999998</v>
      </c>
      <c r="E5737" s="3">
        <v>0</v>
      </c>
      <c r="F5737" t="s">
        <v>45</v>
      </c>
      <c r="G5737" s="3">
        <f t="shared" si="681"/>
        <v>-3120.6790999999998</v>
      </c>
      <c r="H5737" s="3">
        <f t="shared" si="682"/>
        <v>3120.6790999999998</v>
      </c>
      <c r="I5737" s="5" t="str">
        <f t="shared" si="683"/>
        <v>018</v>
      </c>
      <c r="J5737" s="5" t="str">
        <f t="shared" si="684"/>
        <v>2210</v>
      </c>
      <c r="K5737" s="5" t="str">
        <f t="shared" si="685"/>
        <v>000</v>
      </c>
      <c r="L5737" s="5">
        <f t="shared" si="686"/>
        <v>2</v>
      </c>
      <c r="M5737" s="5">
        <f t="shared" si="687"/>
        <v>2013</v>
      </c>
    </row>
    <row r="5738" spans="1:13" ht="15" x14ac:dyDescent="0.25">
      <c r="A5738" s="1">
        <f>DATE(2013,2,23)</f>
        <v>41328</v>
      </c>
      <c r="B5738" t="s">
        <v>21</v>
      </c>
      <c r="C5738" t="s">
        <v>9</v>
      </c>
      <c r="D5738" s="3">
        <v>696.72200000000009</v>
      </c>
      <c r="E5738" s="3">
        <v>0</v>
      </c>
      <c r="F5738" t="s">
        <v>45</v>
      </c>
      <c r="G5738" s="3">
        <f t="shared" si="681"/>
        <v>-696.72200000000009</v>
      </c>
      <c r="H5738" s="3">
        <f t="shared" si="682"/>
        <v>696.72200000000009</v>
      </c>
      <c r="I5738" s="5" t="str">
        <f t="shared" si="683"/>
        <v>018</v>
      </c>
      <c r="J5738" s="5" t="str">
        <f t="shared" si="684"/>
        <v>2220</v>
      </c>
      <c r="K5738" s="5" t="str">
        <f t="shared" si="685"/>
        <v>000</v>
      </c>
      <c r="L5738" s="5">
        <f t="shared" si="686"/>
        <v>2</v>
      </c>
      <c r="M5738" s="5">
        <f t="shared" si="687"/>
        <v>2013</v>
      </c>
    </row>
    <row r="5739" spans="1:13" ht="15" x14ac:dyDescent="0.25">
      <c r="A5739" s="1">
        <f>DATE(2013,2,23)</f>
        <v>41328</v>
      </c>
      <c r="B5739" t="s">
        <v>22</v>
      </c>
      <c r="C5739" t="s">
        <v>10</v>
      </c>
      <c r="D5739" s="3">
        <v>95.206800000000001</v>
      </c>
      <c r="E5739" s="3">
        <v>0</v>
      </c>
      <c r="F5739" t="s">
        <v>45</v>
      </c>
      <c r="G5739" s="3">
        <f t="shared" si="681"/>
        <v>-95.206800000000001</v>
      </c>
      <c r="H5739" s="3">
        <f t="shared" si="682"/>
        <v>95.206800000000001</v>
      </c>
      <c r="I5739" s="5" t="str">
        <f t="shared" si="683"/>
        <v>018</v>
      </c>
      <c r="J5739" s="5" t="str">
        <f t="shared" si="684"/>
        <v>2230</v>
      </c>
      <c r="K5739" s="5" t="str">
        <f t="shared" si="685"/>
        <v>000</v>
      </c>
      <c r="L5739" s="5">
        <f t="shared" si="686"/>
        <v>2</v>
      </c>
      <c r="M5739" s="5">
        <f t="shared" si="687"/>
        <v>2013</v>
      </c>
    </row>
    <row r="5740" spans="1:13" ht="15" x14ac:dyDescent="0.25">
      <c r="A5740" s="1">
        <f>DATE(2013,2,24)</f>
        <v>41329</v>
      </c>
      <c r="B5740" t="s">
        <v>19</v>
      </c>
      <c r="C5740" t="s">
        <v>6</v>
      </c>
      <c r="D5740" s="3">
        <v>8985.0720000000001</v>
      </c>
      <c r="E5740" s="3">
        <v>0</v>
      </c>
      <c r="F5740" t="s">
        <v>45</v>
      </c>
      <c r="G5740" s="3">
        <f t="shared" si="681"/>
        <v>-8985.0720000000001</v>
      </c>
      <c r="H5740" s="3">
        <f t="shared" si="682"/>
        <v>8985.0720000000001</v>
      </c>
      <c r="I5740" s="5" t="str">
        <f t="shared" si="683"/>
        <v>018</v>
      </c>
      <c r="J5740" s="5" t="str">
        <f t="shared" si="684"/>
        <v>2100</v>
      </c>
      <c r="K5740" s="5" t="str">
        <f t="shared" si="685"/>
        <v>000</v>
      </c>
      <c r="L5740" s="5">
        <f t="shared" si="686"/>
        <v>2</v>
      </c>
      <c r="M5740" s="5">
        <f t="shared" si="687"/>
        <v>2013</v>
      </c>
    </row>
    <row r="5741" spans="1:13" ht="15" x14ac:dyDescent="0.25">
      <c r="A5741" s="1">
        <f>DATE(2013,2,24)</f>
        <v>41329</v>
      </c>
      <c r="B5741" t="s">
        <v>20</v>
      </c>
      <c r="C5741" t="s">
        <v>8</v>
      </c>
      <c r="D5741" s="3">
        <v>839.3078999999999</v>
      </c>
      <c r="E5741" s="3">
        <v>0</v>
      </c>
      <c r="F5741" t="s">
        <v>45</v>
      </c>
      <c r="G5741" s="3">
        <f t="shared" si="681"/>
        <v>-839.3078999999999</v>
      </c>
      <c r="H5741" s="3">
        <f t="shared" si="682"/>
        <v>839.3078999999999</v>
      </c>
      <c r="I5741" s="5" t="str">
        <f t="shared" si="683"/>
        <v>018</v>
      </c>
      <c r="J5741" s="5" t="str">
        <f t="shared" si="684"/>
        <v>2210</v>
      </c>
      <c r="K5741" s="5" t="str">
        <f t="shared" si="685"/>
        <v>000</v>
      </c>
      <c r="L5741" s="5">
        <f t="shared" si="686"/>
        <v>2</v>
      </c>
      <c r="M5741" s="5">
        <f t="shared" si="687"/>
        <v>2013</v>
      </c>
    </row>
    <row r="5742" spans="1:13" ht="15" x14ac:dyDescent="0.25">
      <c r="A5742" s="1">
        <f>DATE(2013,2,24)</f>
        <v>41329</v>
      </c>
      <c r="B5742" t="s">
        <v>21</v>
      </c>
      <c r="C5742" t="s">
        <v>9</v>
      </c>
      <c r="D5742" s="3">
        <v>291.01679999999999</v>
      </c>
      <c r="E5742" s="3">
        <v>0</v>
      </c>
      <c r="F5742" t="s">
        <v>45</v>
      </c>
      <c r="G5742" s="3">
        <f t="shared" si="681"/>
        <v>-291.01679999999999</v>
      </c>
      <c r="H5742" s="3">
        <f t="shared" si="682"/>
        <v>291.01679999999999</v>
      </c>
      <c r="I5742" s="5" t="str">
        <f t="shared" si="683"/>
        <v>018</v>
      </c>
      <c r="J5742" s="5" t="str">
        <f t="shared" si="684"/>
        <v>2220</v>
      </c>
      <c r="K5742" s="5" t="str">
        <f t="shared" si="685"/>
        <v>000</v>
      </c>
      <c r="L5742" s="5">
        <f t="shared" si="686"/>
        <v>2</v>
      </c>
      <c r="M5742" s="5">
        <f t="shared" si="687"/>
        <v>2013</v>
      </c>
    </row>
    <row r="5743" spans="1:13" ht="15" x14ac:dyDescent="0.25">
      <c r="A5743" s="1">
        <f>DATE(2013,2,24)</f>
        <v>41329</v>
      </c>
      <c r="B5743" t="s">
        <v>22</v>
      </c>
      <c r="C5743" t="s">
        <v>10</v>
      </c>
      <c r="D5743" s="3">
        <v>71.829499999999996</v>
      </c>
      <c r="E5743" s="3">
        <v>0</v>
      </c>
      <c r="F5743" t="s">
        <v>45</v>
      </c>
      <c r="G5743" s="3">
        <f t="shared" si="681"/>
        <v>-71.829499999999996</v>
      </c>
      <c r="H5743" s="3">
        <f t="shared" si="682"/>
        <v>71.829499999999996</v>
      </c>
      <c r="I5743" s="5" t="str">
        <f t="shared" si="683"/>
        <v>018</v>
      </c>
      <c r="J5743" s="5" t="str">
        <f t="shared" si="684"/>
        <v>2230</v>
      </c>
      <c r="K5743" s="5" t="str">
        <f t="shared" si="685"/>
        <v>000</v>
      </c>
      <c r="L5743" s="5">
        <f t="shared" si="686"/>
        <v>2</v>
      </c>
      <c r="M5743" s="5">
        <f t="shared" si="687"/>
        <v>2013</v>
      </c>
    </row>
    <row r="5744" spans="1:13" ht="15" x14ac:dyDescent="0.25">
      <c r="A5744" s="1">
        <f>DATE(2013,2,25)</f>
        <v>41330</v>
      </c>
      <c r="B5744" t="s">
        <v>11</v>
      </c>
      <c r="C5744" t="s">
        <v>6</v>
      </c>
      <c r="D5744" s="3">
        <v>3470.2257</v>
      </c>
      <c r="E5744" s="3">
        <v>0</v>
      </c>
      <c r="F5744" t="s">
        <v>45</v>
      </c>
      <c r="G5744" s="3">
        <f t="shared" si="681"/>
        <v>-3470.2257</v>
      </c>
      <c r="H5744" s="3">
        <f t="shared" si="682"/>
        <v>3470.2257</v>
      </c>
      <c r="I5744" s="5" t="str">
        <f t="shared" si="683"/>
        <v>016</v>
      </c>
      <c r="J5744" s="5" t="str">
        <f t="shared" si="684"/>
        <v>2100</v>
      </c>
      <c r="K5744" s="5" t="str">
        <f t="shared" si="685"/>
        <v>000</v>
      </c>
      <c r="L5744" s="5">
        <f t="shared" si="686"/>
        <v>2</v>
      </c>
      <c r="M5744" s="5">
        <f t="shared" si="687"/>
        <v>2013</v>
      </c>
    </row>
    <row r="5745" spans="1:13" ht="15" x14ac:dyDescent="0.25">
      <c r="A5745" s="1">
        <f>DATE(2013,2,25)</f>
        <v>41330</v>
      </c>
      <c r="B5745" t="s">
        <v>12</v>
      </c>
      <c r="C5745" t="s">
        <v>8</v>
      </c>
      <c r="D5745" s="3">
        <v>697.94979999999998</v>
      </c>
      <c r="E5745" s="3">
        <v>0</v>
      </c>
      <c r="F5745" t="s">
        <v>45</v>
      </c>
      <c r="G5745" s="3">
        <f t="shared" si="681"/>
        <v>-697.94979999999998</v>
      </c>
      <c r="H5745" s="3">
        <f t="shared" si="682"/>
        <v>697.94979999999998</v>
      </c>
      <c r="I5745" s="5" t="str">
        <f t="shared" si="683"/>
        <v>016</v>
      </c>
      <c r="J5745" s="5" t="str">
        <f t="shared" si="684"/>
        <v>2210</v>
      </c>
      <c r="K5745" s="5" t="str">
        <f t="shared" si="685"/>
        <v>000</v>
      </c>
      <c r="L5745" s="5">
        <f t="shared" si="686"/>
        <v>2</v>
      </c>
      <c r="M5745" s="5">
        <f t="shared" si="687"/>
        <v>2013</v>
      </c>
    </row>
    <row r="5746" spans="1:13" ht="15" x14ac:dyDescent="0.25">
      <c r="A5746" s="1">
        <f>DATE(2013,2,25)</f>
        <v>41330</v>
      </c>
      <c r="B5746" t="s">
        <v>13</v>
      </c>
      <c r="C5746" t="s">
        <v>9</v>
      </c>
      <c r="D5746" s="3">
        <v>122.94329999999999</v>
      </c>
      <c r="E5746" s="3">
        <v>0</v>
      </c>
      <c r="F5746" t="s">
        <v>45</v>
      </c>
      <c r="G5746" s="3">
        <f t="shared" si="681"/>
        <v>-122.94329999999999</v>
      </c>
      <c r="H5746" s="3">
        <f t="shared" si="682"/>
        <v>122.94329999999999</v>
      </c>
      <c r="I5746" s="5" t="str">
        <f t="shared" si="683"/>
        <v>016</v>
      </c>
      <c r="J5746" s="5" t="str">
        <f t="shared" si="684"/>
        <v>2220</v>
      </c>
      <c r="K5746" s="5" t="str">
        <f t="shared" si="685"/>
        <v>000</v>
      </c>
      <c r="L5746" s="5">
        <f t="shared" si="686"/>
        <v>2</v>
      </c>
      <c r="M5746" s="5">
        <f t="shared" si="687"/>
        <v>2013</v>
      </c>
    </row>
    <row r="5747" spans="1:13" ht="15" x14ac:dyDescent="0.25">
      <c r="A5747" s="1">
        <f>DATE(2013,2,25)</f>
        <v>41330</v>
      </c>
      <c r="B5747" t="s">
        <v>14</v>
      </c>
      <c r="C5747" t="s">
        <v>10</v>
      </c>
      <c r="D5747" s="3">
        <v>81.008099999999999</v>
      </c>
      <c r="E5747" s="3">
        <v>0</v>
      </c>
      <c r="F5747" t="s">
        <v>45</v>
      </c>
      <c r="G5747" s="3">
        <f t="shared" si="681"/>
        <v>-81.008099999999999</v>
      </c>
      <c r="H5747" s="3">
        <f t="shared" si="682"/>
        <v>81.008099999999999</v>
      </c>
      <c r="I5747" s="5" t="str">
        <f t="shared" si="683"/>
        <v>016</v>
      </c>
      <c r="J5747" s="5" t="str">
        <f t="shared" si="684"/>
        <v>2230</v>
      </c>
      <c r="K5747" s="5" t="str">
        <f t="shared" si="685"/>
        <v>000</v>
      </c>
      <c r="L5747" s="5">
        <f t="shared" si="686"/>
        <v>2</v>
      </c>
      <c r="M5747" s="5">
        <f t="shared" si="687"/>
        <v>2013</v>
      </c>
    </row>
    <row r="5748" spans="1:13" ht="15" x14ac:dyDescent="0.25">
      <c r="A5748" s="1">
        <f t="shared" ref="A5748:A5751" si="688">DATE(2013,2,26)</f>
        <v>41331</v>
      </c>
      <c r="B5748" t="s">
        <v>11</v>
      </c>
      <c r="C5748" t="s">
        <v>6</v>
      </c>
      <c r="D5748" s="3">
        <v>5997.2795999999998</v>
      </c>
      <c r="E5748" s="3">
        <v>0</v>
      </c>
      <c r="F5748" t="s">
        <v>45</v>
      </c>
      <c r="G5748" s="3">
        <f t="shared" si="681"/>
        <v>-5997.2795999999998</v>
      </c>
      <c r="H5748" s="3">
        <f t="shared" si="682"/>
        <v>5997.2795999999998</v>
      </c>
      <c r="I5748" s="5" t="str">
        <f t="shared" si="683"/>
        <v>016</v>
      </c>
      <c r="J5748" s="5" t="str">
        <f t="shared" si="684"/>
        <v>2100</v>
      </c>
      <c r="K5748" s="5" t="str">
        <f t="shared" si="685"/>
        <v>000</v>
      </c>
      <c r="L5748" s="5">
        <f t="shared" si="686"/>
        <v>2</v>
      </c>
      <c r="M5748" s="5">
        <f t="shared" si="687"/>
        <v>2013</v>
      </c>
    </row>
    <row r="5749" spans="1:13" ht="15" x14ac:dyDescent="0.25">
      <c r="A5749" s="1">
        <f t="shared" si="688"/>
        <v>41331</v>
      </c>
      <c r="B5749" t="s">
        <v>12</v>
      </c>
      <c r="C5749" t="s">
        <v>8</v>
      </c>
      <c r="D5749" s="3">
        <v>1660.482</v>
      </c>
      <c r="E5749" s="3">
        <v>0</v>
      </c>
      <c r="F5749" t="s">
        <v>45</v>
      </c>
      <c r="G5749" s="3">
        <f t="shared" si="681"/>
        <v>-1660.482</v>
      </c>
      <c r="H5749" s="3">
        <f t="shared" si="682"/>
        <v>1660.482</v>
      </c>
      <c r="I5749" s="5" t="str">
        <f t="shared" si="683"/>
        <v>016</v>
      </c>
      <c r="J5749" s="5" t="str">
        <f t="shared" si="684"/>
        <v>2210</v>
      </c>
      <c r="K5749" s="5" t="str">
        <f t="shared" si="685"/>
        <v>000</v>
      </c>
      <c r="L5749" s="5">
        <f t="shared" si="686"/>
        <v>2</v>
      </c>
      <c r="M5749" s="5">
        <f t="shared" si="687"/>
        <v>2013</v>
      </c>
    </row>
    <row r="5750" spans="1:13" ht="15" x14ac:dyDescent="0.25">
      <c r="A5750" s="1">
        <f t="shared" si="688"/>
        <v>41331</v>
      </c>
      <c r="B5750" t="s">
        <v>13</v>
      </c>
      <c r="C5750" t="s">
        <v>9</v>
      </c>
      <c r="D5750" s="3">
        <v>576.2328</v>
      </c>
      <c r="E5750" s="3">
        <v>0</v>
      </c>
      <c r="F5750" t="s">
        <v>45</v>
      </c>
      <c r="G5750" s="3">
        <f t="shared" si="681"/>
        <v>-576.2328</v>
      </c>
      <c r="H5750" s="3">
        <f t="shared" si="682"/>
        <v>576.2328</v>
      </c>
      <c r="I5750" s="5" t="str">
        <f t="shared" si="683"/>
        <v>016</v>
      </c>
      <c r="J5750" s="5" t="str">
        <f t="shared" si="684"/>
        <v>2220</v>
      </c>
      <c r="K5750" s="5" t="str">
        <f t="shared" si="685"/>
        <v>000</v>
      </c>
      <c r="L5750" s="5">
        <f t="shared" si="686"/>
        <v>2</v>
      </c>
      <c r="M5750" s="5">
        <f t="shared" si="687"/>
        <v>2013</v>
      </c>
    </row>
    <row r="5751" spans="1:13" ht="15" x14ac:dyDescent="0.25">
      <c r="A5751" s="1">
        <f t="shared" si="688"/>
        <v>41331</v>
      </c>
      <c r="B5751" t="s">
        <v>14</v>
      </c>
      <c r="C5751" t="s">
        <v>10</v>
      </c>
      <c r="D5751" s="3">
        <v>157.31980000000001</v>
      </c>
      <c r="E5751" s="3">
        <v>0</v>
      </c>
      <c r="F5751" t="s">
        <v>45</v>
      </c>
      <c r="G5751" s="3">
        <f t="shared" si="681"/>
        <v>-157.31980000000001</v>
      </c>
      <c r="H5751" s="3">
        <f t="shared" si="682"/>
        <v>157.31980000000001</v>
      </c>
      <c r="I5751" s="5" t="str">
        <f t="shared" si="683"/>
        <v>016</v>
      </c>
      <c r="J5751" s="5" t="str">
        <f t="shared" si="684"/>
        <v>2230</v>
      </c>
      <c r="K5751" s="5" t="str">
        <f t="shared" si="685"/>
        <v>000</v>
      </c>
      <c r="L5751" s="5">
        <f t="shared" si="686"/>
        <v>2</v>
      </c>
      <c r="M5751" s="5">
        <f t="shared" si="687"/>
        <v>2013</v>
      </c>
    </row>
    <row r="5752" spans="1:13" ht="15" x14ac:dyDescent="0.25">
      <c r="A5752" s="1">
        <f>DATE(2013,2,27)</f>
        <v>41332</v>
      </c>
      <c r="B5752" t="s">
        <v>11</v>
      </c>
      <c r="C5752" t="s">
        <v>6</v>
      </c>
      <c r="D5752" s="3">
        <v>2830.0360000000001</v>
      </c>
      <c r="E5752" s="3">
        <v>0</v>
      </c>
      <c r="F5752" t="s">
        <v>45</v>
      </c>
      <c r="G5752" s="3">
        <f t="shared" si="681"/>
        <v>-2830.0360000000001</v>
      </c>
      <c r="H5752" s="3">
        <f t="shared" si="682"/>
        <v>2830.0360000000001</v>
      </c>
      <c r="I5752" s="5" t="str">
        <f t="shared" si="683"/>
        <v>016</v>
      </c>
      <c r="J5752" s="5" t="str">
        <f t="shared" si="684"/>
        <v>2100</v>
      </c>
      <c r="K5752" s="5" t="str">
        <f t="shared" si="685"/>
        <v>000</v>
      </c>
      <c r="L5752" s="5">
        <f t="shared" si="686"/>
        <v>2</v>
      </c>
      <c r="M5752" s="5">
        <f t="shared" si="687"/>
        <v>2013</v>
      </c>
    </row>
    <row r="5753" spans="1:13" ht="15" x14ac:dyDescent="0.25">
      <c r="A5753" s="1">
        <f>DATE(2013,2,27)</f>
        <v>41332</v>
      </c>
      <c r="B5753" t="s">
        <v>12</v>
      </c>
      <c r="C5753" t="s">
        <v>8</v>
      </c>
      <c r="D5753" s="3">
        <v>730.1925</v>
      </c>
      <c r="E5753" s="3">
        <v>0</v>
      </c>
      <c r="F5753" t="s">
        <v>45</v>
      </c>
      <c r="G5753" s="3">
        <f t="shared" si="681"/>
        <v>-730.1925</v>
      </c>
      <c r="H5753" s="3">
        <f t="shared" si="682"/>
        <v>730.1925</v>
      </c>
      <c r="I5753" s="5" t="str">
        <f t="shared" si="683"/>
        <v>016</v>
      </c>
      <c r="J5753" s="5" t="str">
        <f t="shared" si="684"/>
        <v>2210</v>
      </c>
      <c r="K5753" s="5" t="str">
        <f t="shared" si="685"/>
        <v>000</v>
      </c>
      <c r="L5753" s="5">
        <f t="shared" si="686"/>
        <v>2</v>
      </c>
      <c r="M5753" s="5">
        <f t="shared" si="687"/>
        <v>2013</v>
      </c>
    </row>
    <row r="5754" spans="1:13" ht="15" x14ac:dyDescent="0.25">
      <c r="A5754" s="1">
        <f>DATE(2013,2,27)</f>
        <v>41332</v>
      </c>
      <c r="B5754" t="s">
        <v>13</v>
      </c>
      <c r="C5754" t="s">
        <v>9</v>
      </c>
      <c r="D5754" s="3">
        <v>139.33150000000001</v>
      </c>
      <c r="E5754" s="3">
        <v>0</v>
      </c>
      <c r="F5754" t="s">
        <v>45</v>
      </c>
      <c r="G5754" s="3">
        <f t="shared" si="681"/>
        <v>-139.33150000000001</v>
      </c>
      <c r="H5754" s="3">
        <f t="shared" si="682"/>
        <v>139.33150000000001</v>
      </c>
      <c r="I5754" s="5" t="str">
        <f t="shared" si="683"/>
        <v>016</v>
      </c>
      <c r="J5754" s="5" t="str">
        <f t="shared" si="684"/>
        <v>2220</v>
      </c>
      <c r="K5754" s="5" t="str">
        <f t="shared" si="685"/>
        <v>000</v>
      </c>
      <c r="L5754" s="5">
        <f t="shared" si="686"/>
        <v>2</v>
      </c>
      <c r="M5754" s="5">
        <f t="shared" si="687"/>
        <v>2013</v>
      </c>
    </row>
    <row r="5755" spans="1:13" ht="15" x14ac:dyDescent="0.25">
      <c r="A5755" s="1">
        <f>DATE(2013,2,27)</f>
        <v>41332</v>
      </c>
      <c r="B5755" t="s">
        <v>14</v>
      </c>
      <c r="C5755" t="s">
        <v>10</v>
      </c>
      <c r="D5755" s="3">
        <v>127.75539999999999</v>
      </c>
      <c r="E5755" s="3">
        <v>0</v>
      </c>
      <c r="F5755" t="s">
        <v>45</v>
      </c>
      <c r="G5755" s="3">
        <f t="shared" si="681"/>
        <v>-127.75539999999999</v>
      </c>
      <c r="H5755" s="3">
        <f t="shared" si="682"/>
        <v>127.75539999999999</v>
      </c>
      <c r="I5755" s="5" t="str">
        <f t="shared" si="683"/>
        <v>016</v>
      </c>
      <c r="J5755" s="5" t="str">
        <f t="shared" si="684"/>
        <v>2230</v>
      </c>
      <c r="K5755" s="5" t="str">
        <f t="shared" si="685"/>
        <v>000</v>
      </c>
      <c r="L5755" s="5">
        <f t="shared" si="686"/>
        <v>2</v>
      </c>
      <c r="M5755" s="5">
        <f t="shared" si="687"/>
        <v>2013</v>
      </c>
    </row>
    <row r="5756" spans="1:13" ht="15" x14ac:dyDescent="0.25">
      <c r="A5756" s="1">
        <f>DATE(2013,2,28)</f>
        <v>41333</v>
      </c>
      <c r="B5756" t="s">
        <v>11</v>
      </c>
      <c r="C5756" t="s">
        <v>6</v>
      </c>
      <c r="D5756" s="3">
        <v>2910.5786999999996</v>
      </c>
      <c r="E5756" s="3">
        <v>0</v>
      </c>
      <c r="F5756" t="s">
        <v>45</v>
      </c>
      <c r="G5756" s="3">
        <f t="shared" si="681"/>
        <v>-2910.5786999999996</v>
      </c>
      <c r="H5756" s="3">
        <f t="shared" si="682"/>
        <v>2910.5786999999996</v>
      </c>
      <c r="I5756" s="5" t="str">
        <f t="shared" si="683"/>
        <v>016</v>
      </c>
      <c r="J5756" s="5" t="str">
        <f t="shared" si="684"/>
        <v>2100</v>
      </c>
      <c r="K5756" s="5" t="str">
        <f t="shared" si="685"/>
        <v>000</v>
      </c>
      <c r="L5756" s="5">
        <f t="shared" si="686"/>
        <v>2</v>
      </c>
      <c r="M5756" s="5">
        <f t="shared" si="687"/>
        <v>2013</v>
      </c>
    </row>
    <row r="5757" spans="1:13" ht="15" x14ac:dyDescent="0.25">
      <c r="A5757" s="1">
        <f>DATE(2013,2,28)</f>
        <v>41333</v>
      </c>
      <c r="B5757" t="s">
        <v>12</v>
      </c>
      <c r="C5757" t="s">
        <v>8</v>
      </c>
      <c r="D5757" s="3">
        <v>675.70240000000001</v>
      </c>
      <c r="E5757" s="3">
        <v>0</v>
      </c>
      <c r="F5757" t="s">
        <v>45</v>
      </c>
      <c r="G5757" s="3">
        <f t="shared" si="681"/>
        <v>-675.70240000000001</v>
      </c>
      <c r="H5757" s="3">
        <f t="shared" si="682"/>
        <v>675.70240000000001</v>
      </c>
      <c r="I5757" s="5" t="str">
        <f t="shared" si="683"/>
        <v>016</v>
      </c>
      <c r="J5757" s="5" t="str">
        <f t="shared" si="684"/>
        <v>2210</v>
      </c>
      <c r="K5757" s="5" t="str">
        <f t="shared" si="685"/>
        <v>000</v>
      </c>
      <c r="L5757" s="5">
        <f t="shared" si="686"/>
        <v>2</v>
      </c>
      <c r="M5757" s="5">
        <f t="shared" si="687"/>
        <v>2013</v>
      </c>
    </row>
    <row r="5758" spans="1:13" ht="15" x14ac:dyDescent="0.25">
      <c r="A5758" s="1">
        <f>DATE(2013,2,28)</f>
        <v>41333</v>
      </c>
      <c r="B5758" t="s">
        <v>13</v>
      </c>
      <c r="C5758" t="s">
        <v>9</v>
      </c>
      <c r="D5758" s="3">
        <v>146.94550000000001</v>
      </c>
      <c r="E5758" s="3">
        <v>0</v>
      </c>
      <c r="F5758" t="s">
        <v>45</v>
      </c>
      <c r="G5758" s="3">
        <f t="shared" si="681"/>
        <v>-146.94550000000001</v>
      </c>
      <c r="H5758" s="3">
        <f t="shared" si="682"/>
        <v>146.94550000000001</v>
      </c>
      <c r="I5758" s="5" t="str">
        <f t="shared" si="683"/>
        <v>016</v>
      </c>
      <c r="J5758" s="5" t="str">
        <f t="shared" si="684"/>
        <v>2220</v>
      </c>
      <c r="K5758" s="5" t="str">
        <f t="shared" si="685"/>
        <v>000</v>
      </c>
      <c r="L5758" s="5">
        <f t="shared" si="686"/>
        <v>2</v>
      </c>
      <c r="M5758" s="5">
        <f t="shared" si="687"/>
        <v>2013</v>
      </c>
    </row>
    <row r="5759" spans="1:13" ht="15" x14ac:dyDescent="0.25">
      <c r="A5759" s="1">
        <f>DATE(2013,2,28)</f>
        <v>41333</v>
      </c>
      <c r="B5759" t="s">
        <v>14</v>
      </c>
      <c r="C5759" t="s">
        <v>10</v>
      </c>
      <c r="D5759" s="3">
        <v>71.211500000000001</v>
      </c>
      <c r="E5759" s="3">
        <v>0</v>
      </c>
      <c r="F5759" t="s">
        <v>45</v>
      </c>
      <c r="G5759" s="3">
        <f t="shared" si="681"/>
        <v>-71.211500000000001</v>
      </c>
      <c r="H5759" s="3">
        <f t="shared" si="682"/>
        <v>71.211500000000001</v>
      </c>
      <c r="I5759" s="5" t="str">
        <f t="shared" si="683"/>
        <v>016</v>
      </c>
      <c r="J5759" s="5" t="str">
        <f t="shared" si="684"/>
        <v>2230</v>
      </c>
      <c r="K5759" s="5" t="str">
        <f t="shared" si="685"/>
        <v>000</v>
      </c>
      <c r="L5759" s="5">
        <f t="shared" si="686"/>
        <v>2</v>
      </c>
      <c r="M5759" s="5">
        <f t="shared" si="687"/>
        <v>2013</v>
      </c>
    </row>
    <row r="5760" spans="1:13" ht="15" x14ac:dyDescent="0.25">
      <c r="A5760" s="1">
        <f>DATE(2013,3,1)</f>
        <v>41334</v>
      </c>
      <c r="B5760" t="s">
        <v>11</v>
      </c>
      <c r="C5760" t="s">
        <v>6</v>
      </c>
      <c r="D5760" s="3">
        <v>6867.7106000000003</v>
      </c>
      <c r="E5760" s="3">
        <v>0</v>
      </c>
      <c r="F5760" t="s">
        <v>45</v>
      </c>
      <c r="G5760" s="3">
        <f t="shared" si="681"/>
        <v>-6867.7106000000003</v>
      </c>
      <c r="H5760" s="3">
        <f t="shared" si="682"/>
        <v>6867.7106000000003</v>
      </c>
      <c r="I5760" s="5" t="str">
        <f t="shared" si="683"/>
        <v>016</v>
      </c>
      <c r="J5760" s="5" t="str">
        <f t="shared" si="684"/>
        <v>2100</v>
      </c>
      <c r="K5760" s="5" t="str">
        <f t="shared" si="685"/>
        <v>000</v>
      </c>
      <c r="L5760" s="5">
        <f t="shared" si="686"/>
        <v>3</v>
      </c>
      <c r="M5760" s="5">
        <f t="shared" si="687"/>
        <v>2013</v>
      </c>
    </row>
    <row r="5761" spans="1:13" ht="15" x14ac:dyDescent="0.25">
      <c r="A5761" s="1">
        <f>DATE(2013,3,1)</f>
        <v>41334</v>
      </c>
      <c r="B5761" t="s">
        <v>12</v>
      </c>
      <c r="C5761" t="s">
        <v>8</v>
      </c>
      <c r="D5761" s="3">
        <v>2102.6879999999996</v>
      </c>
      <c r="E5761" s="3">
        <v>0</v>
      </c>
      <c r="F5761" t="s">
        <v>45</v>
      </c>
      <c r="G5761" s="3">
        <f t="shared" si="681"/>
        <v>-2102.6879999999996</v>
      </c>
      <c r="H5761" s="3">
        <f t="shared" si="682"/>
        <v>2102.6879999999996</v>
      </c>
      <c r="I5761" s="5" t="str">
        <f t="shared" si="683"/>
        <v>016</v>
      </c>
      <c r="J5761" s="5" t="str">
        <f t="shared" si="684"/>
        <v>2210</v>
      </c>
      <c r="K5761" s="5" t="str">
        <f t="shared" si="685"/>
        <v>000</v>
      </c>
      <c r="L5761" s="5">
        <f t="shared" si="686"/>
        <v>3</v>
      </c>
      <c r="M5761" s="5">
        <f t="shared" si="687"/>
        <v>2013</v>
      </c>
    </row>
    <row r="5762" spans="1:13" ht="15" x14ac:dyDescent="0.25">
      <c r="A5762" s="1">
        <f>DATE(2013,3,1)</f>
        <v>41334</v>
      </c>
      <c r="B5762" t="s">
        <v>13</v>
      </c>
      <c r="C5762" t="s">
        <v>9</v>
      </c>
      <c r="D5762" s="3">
        <v>294.44279999999998</v>
      </c>
      <c r="E5762" s="3">
        <v>0</v>
      </c>
      <c r="F5762" t="s">
        <v>45</v>
      </c>
      <c r="G5762" s="3">
        <f t="shared" ref="G5762:G5825" si="689">E5762-D5762</f>
        <v>-294.44279999999998</v>
      </c>
      <c r="H5762" s="3">
        <f t="shared" ref="H5762:H5825" si="690">ABS(G5762)</f>
        <v>294.44279999999998</v>
      </c>
      <c r="I5762" s="5" t="str">
        <f t="shared" ref="I5762:I5825" si="691">MID(B5762,1,3)</f>
        <v>016</v>
      </c>
      <c r="J5762" s="5" t="str">
        <f t="shared" ref="J5762:J5825" si="692">MID(B5762,5,4)</f>
        <v>2220</v>
      </c>
      <c r="K5762" s="5" t="str">
        <f t="shared" ref="K5762:K5825" si="693">MID(B5762,10,3)</f>
        <v>000</v>
      </c>
      <c r="L5762" s="5">
        <f t="shared" ref="L5762:L5825" si="694">MONTH(A5762)</f>
        <v>3</v>
      </c>
      <c r="M5762" s="5">
        <f t="shared" ref="M5762:M5825" si="695">YEAR(A5762)</f>
        <v>2013</v>
      </c>
    </row>
    <row r="5763" spans="1:13" ht="15" x14ac:dyDescent="0.25">
      <c r="A5763" s="1">
        <f>DATE(2013,3,1)</f>
        <v>41334</v>
      </c>
      <c r="B5763" t="s">
        <v>14</v>
      </c>
      <c r="C5763" t="s">
        <v>10</v>
      </c>
      <c r="D5763" s="3">
        <v>217.49680000000001</v>
      </c>
      <c r="E5763" s="3">
        <v>0</v>
      </c>
      <c r="F5763" t="s">
        <v>45</v>
      </c>
      <c r="G5763" s="3">
        <f t="shared" si="689"/>
        <v>-217.49680000000001</v>
      </c>
      <c r="H5763" s="3">
        <f t="shared" si="690"/>
        <v>217.49680000000001</v>
      </c>
      <c r="I5763" s="5" t="str">
        <f t="shared" si="691"/>
        <v>016</v>
      </c>
      <c r="J5763" s="5" t="str">
        <f t="shared" si="692"/>
        <v>2230</v>
      </c>
      <c r="K5763" s="5" t="str">
        <f t="shared" si="693"/>
        <v>000</v>
      </c>
      <c r="L5763" s="5">
        <f t="shared" si="694"/>
        <v>3</v>
      </c>
      <c r="M5763" s="5">
        <f t="shared" si="695"/>
        <v>2013</v>
      </c>
    </row>
    <row r="5764" spans="1:13" ht="15" x14ac:dyDescent="0.25">
      <c r="A5764" s="1">
        <f>DATE(2013,3,2)</f>
        <v>41335</v>
      </c>
      <c r="B5764" t="s">
        <v>11</v>
      </c>
      <c r="C5764" t="s">
        <v>6</v>
      </c>
      <c r="D5764" s="3">
        <v>7878.7566000000006</v>
      </c>
      <c r="E5764" s="3">
        <v>0</v>
      </c>
      <c r="F5764" t="s">
        <v>45</v>
      </c>
      <c r="G5764" s="3">
        <f t="shared" si="689"/>
        <v>-7878.7566000000006</v>
      </c>
      <c r="H5764" s="3">
        <f t="shared" si="690"/>
        <v>7878.7566000000006</v>
      </c>
      <c r="I5764" s="5" t="str">
        <f t="shared" si="691"/>
        <v>016</v>
      </c>
      <c r="J5764" s="5" t="str">
        <f t="shared" si="692"/>
        <v>2100</v>
      </c>
      <c r="K5764" s="5" t="str">
        <f t="shared" si="693"/>
        <v>000</v>
      </c>
      <c r="L5764" s="5">
        <f t="shared" si="694"/>
        <v>3</v>
      </c>
      <c r="M5764" s="5">
        <f t="shared" si="695"/>
        <v>2013</v>
      </c>
    </row>
    <row r="5765" spans="1:13" ht="15" x14ac:dyDescent="0.25">
      <c r="A5765" s="1">
        <f>DATE(2013,3,2)</f>
        <v>41335</v>
      </c>
      <c r="B5765" t="s">
        <v>12</v>
      </c>
      <c r="C5765" t="s">
        <v>8</v>
      </c>
      <c r="D5765" s="3">
        <v>3900.6618000000003</v>
      </c>
      <c r="E5765" s="3">
        <v>0</v>
      </c>
      <c r="F5765" t="s">
        <v>45</v>
      </c>
      <c r="G5765" s="3">
        <f t="shared" si="689"/>
        <v>-3900.6618000000003</v>
      </c>
      <c r="H5765" s="3">
        <f t="shared" si="690"/>
        <v>3900.6618000000003</v>
      </c>
      <c r="I5765" s="5" t="str">
        <f t="shared" si="691"/>
        <v>016</v>
      </c>
      <c r="J5765" s="5" t="str">
        <f t="shared" si="692"/>
        <v>2210</v>
      </c>
      <c r="K5765" s="5" t="str">
        <f t="shared" si="693"/>
        <v>000</v>
      </c>
      <c r="L5765" s="5">
        <f t="shared" si="694"/>
        <v>3</v>
      </c>
      <c r="M5765" s="5">
        <f t="shared" si="695"/>
        <v>2013</v>
      </c>
    </row>
    <row r="5766" spans="1:13" ht="15" x14ac:dyDescent="0.25">
      <c r="A5766" s="1">
        <f>DATE(2013,3,2)</f>
        <v>41335</v>
      </c>
      <c r="B5766" t="s">
        <v>13</v>
      </c>
      <c r="C5766" t="s">
        <v>9</v>
      </c>
      <c r="D5766" s="3">
        <v>572.60249999999996</v>
      </c>
      <c r="E5766" s="3">
        <v>0</v>
      </c>
      <c r="F5766" t="s">
        <v>45</v>
      </c>
      <c r="G5766" s="3">
        <f t="shared" si="689"/>
        <v>-572.60249999999996</v>
      </c>
      <c r="H5766" s="3">
        <f t="shared" si="690"/>
        <v>572.60249999999996</v>
      </c>
      <c r="I5766" s="5" t="str">
        <f t="shared" si="691"/>
        <v>016</v>
      </c>
      <c r="J5766" s="5" t="str">
        <f t="shared" si="692"/>
        <v>2220</v>
      </c>
      <c r="K5766" s="5" t="str">
        <f t="shared" si="693"/>
        <v>000</v>
      </c>
      <c r="L5766" s="5">
        <f t="shared" si="694"/>
        <v>3</v>
      </c>
      <c r="M5766" s="5">
        <f t="shared" si="695"/>
        <v>2013</v>
      </c>
    </row>
    <row r="5767" spans="1:13" ht="15" x14ac:dyDescent="0.25">
      <c r="A5767" s="1">
        <f>DATE(2013,3,2)</f>
        <v>41335</v>
      </c>
      <c r="B5767" t="s">
        <v>14</v>
      </c>
      <c r="C5767" t="s">
        <v>10</v>
      </c>
      <c r="D5767" s="3">
        <v>208.89330000000001</v>
      </c>
      <c r="E5767" s="3">
        <v>0</v>
      </c>
      <c r="F5767" t="s">
        <v>45</v>
      </c>
      <c r="G5767" s="3">
        <f t="shared" si="689"/>
        <v>-208.89330000000001</v>
      </c>
      <c r="H5767" s="3">
        <f t="shared" si="690"/>
        <v>208.89330000000001</v>
      </c>
      <c r="I5767" s="5" t="str">
        <f t="shared" si="691"/>
        <v>016</v>
      </c>
      <c r="J5767" s="5" t="str">
        <f t="shared" si="692"/>
        <v>2230</v>
      </c>
      <c r="K5767" s="5" t="str">
        <f t="shared" si="693"/>
        <v>000</v>
      </c>
      <c r="L5767" s="5">
        <f t="shared" si="694"/>
        <v>3</v>
      </c>
      <c r="M5767" s="5">
        <f t="shared" si="695"/>
        <v>2013</v>
      </c>
    </row>
    <row r="5768" spans="1:13" ht="15" x14ac:dyDescent="0.25">
      <c r="A5768" s="1">
        <f>DATE(2013,3,3)</f>
        <v>41336</v>
      </c>
      <c r="B5768" t="s">
        <v>11</v>
      </c>
      <c r="C5768" t="s">
        <v>6</v>
      </c>
      <c r="D5768" s="3">
        <v>5445.4769999999999</v>
      </c>
      <c r="E5768" s="3">
        <v>0</v>
      </c>
      <c r="F5768" t="s">
        <v>45</v>
      </c>
      <c r="G5768" s="3">
        <f t="shared" si="689"/>
        <v>-5445.4769999999999</v>
      </c>
      <c r="H5768" s="3">
        <f t="shared" si="690"/>
        <v>5445.4769999999999</v>
      </c>
      <c r="I5768" s="5" t="str">
        <f t="shared" si="691"/>
        <v>016</v>
      </c>
      <c r="J5768" s="5" t="str">
        <f t="shared" si="692"/>
        <v>2100</v>
      </c>
      <c r="K5768" s="5" t="str">
        <f t="shared" si="693"/>
        <v>000</v>
      </c>
      <c r="L5768" s="5">
        <f t="shared" si="694"/>
        <v>3</v>
      </c>
      <c r="M5768" s="5">
        <f t="shared" si="695"/>
        <v>2013</v>
      </c>
    </row>
    <row r="5769" spans="1:13" ht="15" x14ac:dyDescent="0.25">
      <c r="A5769" s="1">
        <f>DATE(2013,3,3)</f>
        <v>41336</v>
      </c>
      <c r="B5769" t="s">
        <v>12</v>
      </c>
      <c r="C5769" t="s">
        <v>8</v>
      </c>
      <c r="D5769" s="3">
        <v>1342.4916000000001</v>
      </c>
      <c r="E5769" s="3">
        <v>0</v>
      </c>
      <c r="F5769" t="s">
        <v>45</v>
      </c>
      <c r="G5769" s="3">
        <f t="shared" si="689"/>
        <v>-1342.4916000000001</v>
      </c>
      <c r="H5769" s="3">
        <f t="shared" si="690"/>
        <v>1342.4916000000001</v>
      </c>
      <c r="I5769" s="5" t="str">
        <f t="shared" si="691"/>
        <v>016</v>
      </c>
      <c r="J5769" s="5" t="str">
        <f t="shared" si="692"/>
        <v>2210</v>
      </c>
      <c r="K5769" s="5" t="str">
        <f t="shared" si="693"/>
        <v>000</v>
      </c>
      <c r="L5769" s="5">
        <f t="shared" si="694"/>
        <v>3</v>
      </c>
      <c r="M5769" s="5">
        <f t="shared" si="695"/>
        <v>2013</v>
      </c>
    </row>
    <row r="5770" spans="1:13" ht="15" x14ac:dyDescent="0.25">
      <c r="A5770" s="1">
        <f>DATE(2013,3,3)</f>
        <v>41336</v>
      </c>
      <c r="B5770" t="s">
        <v>13</v>
      </c>
      <c r="C5770" t="s">
        <v>9</v>
      </c>
      <c r="D5770" s="3">
        <v>209.7851</v>
      </c>
      <c r="E5770" s="3">
        <v>0</v>
      </c>
      <c r="F5770" t="s">
        <v>45</v>
      </c>
      <c r="G5770" s="3">
        <f t="shared" si="689"/>
        <v>-209.7851</v>
      </c>
      <c r="H5770" s="3">
        <f t="shared" si="690"/>
        <v>209.7851</v>
      </c>
      <c r="I5770" s="5" t="str">
        <f t="shared" si="691"/>
        <v>016</v>
      </c>
      <c r="J5770" s="5" t="str">
        <f t="shared" si="692"/>
        <v>2220</v>
      </c>
      <c r="K5770" s="5" t="str">
        <f t="shared" si="693"/>
        <v>000</v>
      </c>
      <c r="L5770" s="5">
        <f t="shared" si="694"/>
        <v>3</v>
      </c>
      <c r="M5770" s="5">
        <f t="shared" si="695"/>
        <v>2013</v>
      </c>
    </row>
    <row r="5771" spans="1:13" ht="15" x14ac:dyDescent="0.25">
      <c r="A5771" s="1">
        <f>DATE(2013,3,3)</f>
        <v>41336</v>
      </c>
      <c r="B5771" t="s">
        <v>14</v>
      </c>
      <c r="C5771" t="s">
        <v>10</v>
      </c>
      <c r="D5771" s="3">
        <v>80.805899999999994</v>
      </c>
      <c r="E5771" s="3">
        <v>0</v>
      </c>
      <c r="F5771" t="s">
        <v>45</v>
      </c>
      <c r="G5771" s="3">
        <f t="shared" si="689"/>
        <v>-80.805899999999994</v>
      </c>
      <c r="H5771" s="3">
        <f t="shared" si="690"/>
        <v>80.805899999999994</v>
      </c>
      <c r="I5771" s="5" t="str">
        <f t="shared" si="691"/>
        <v>016</v>
      </c>
      <c r="J5771" s="5" t="str">
        <f t="shared" si="692"/>
        <v>2230</v>
      </c>
      <c r="K5771" s="5" t="str">
        <f t="shared" si="693"/>
        <v>000</v>
      </c>
      <c r="L5771" s="5">
        <f t="shared" si="694"/>
        <v>3</v>
      </c>
      <c r="M5771" s="5">
        <f t="shared" si="695"/>
        <v>2013</v>
      </c>
    </row>
    <row r="5772" spans="1:13" ht="15" x14ac:dyDescent="0.25">
      <c r="A5772" s="1">
        <f>DATE(2013,2,25)</f>
        <v>41330</v>
      </c>
      <c r="B5772" t="s">
        <v>15</v>
      </c>
      <c r="C5772" t="s">
        <v>6</v>
      </c>
      <c r="D5772" s="3">
        <v>4481.0568000000003</v>
      </c>
      <c r="E5772" s="3">
        <v>0</v>
      </c>
      <c r="F5772" t="s">
        <v>45</v>
      </c>
      <c r="G5772" s="3">
        <f t="shared" si="689"/>
        <v>-4481.0568000000003</v>
      </c>
      <c r="H5772" s="3">
        <f t="shared" si="690"/>
        <v>4481.0568000000003</v>
      </c>
      <c r="I5772" s="5" t="str">
        <f t="shared" si="691"/>
        <v>017</v>
      </c>
      <c r="J5772" s="5" t="str">
        <f t="shared" si="692"/>
        <v>2100</v>
      </c>
      <c r="K5772" s="5" t="str">
        <f t="shared" si="693"/>
        <v>000</v>
      </c>
      <c r="L5772" s="5">
        <f t="shared" si="694"/>
        <v>2</v>
      </c>
      <c r="M5772" s="5">
        <f t="shared" si="695"/>
        <v>2013</v>
      </c>
    </row>
    <row r="5773" spans="1:13" ht="15" x14ac:dyDescent="0.25">
      <c r="A5773" s="1">
        <f>DATE(2013,2,25)</f>
        <v>41330</v>
      </c>
      <c r="B5773" t="s">
        <v>16</v>
      </c>
      <c r="C5773" t="s">
        <v>8</v>
      </c>
      <c r="D5773" s="3">
        <v>1050.6756</v>
      </c>
      <c r="E5773" s="3">
        <v>0</v>
      </c>
      <c r="F5773" t="s">
        <v>45</v>
      </c>
      <c r="G5773" s="3">
        <f t="shared" si="689"/>
        <v>-1050.6756</v>
      </c>
      <c r="H5773" s="3">
        <f t="shared" si="690"/>
        <v>1050.6756</v>
      </c>
      <c r="I5773" s="5" t="str">
        <f t="shared" si="691"/>
        <v>017</v>
      </c>
      <c r="J5773" s="5" t="str">
        <f t="shared" si="692"/>
        <v>2210</v>
      </c>
      <c r="K5773" s="5" t="str">
        <f t="shared" si="693"/>
        <v>000</v>
      </c>
      <c r="L5773" s="5">
        <f t="shared" si="694"/>
        <v>2</v>
      </c>
      <c r="M5773" s="5">
        <f t="shared" si="695"/>
        <v>2013</v>
      </c>
    </row>
    <row r="5774" spans="1:13" ht="15" x14ac:dyDescent="0.25">
      <c r="A5774" s="1">
        <f>DATE(2013,2,25)</f>
        <v>41330</v>
      </c>
      <c r="B5774" t="s">
        <v>17</v>
      </c>
      <c r="C5774" t="s">
        <v>9</v>
      </c>
      <c r="D5774" s="3">
        <v>353.83319999999998</v>
      </c>
      <c r="E5774" s="3">
        <v>0</v>
      </c>
      <c r="F5774" t="s">
        <v>45</v>
      </c>
      <c r="G5774" s="3">
        <f t="shared" si="689"/>
        <v>-353.83319999999998</v>
      </c>
      <c r="H5774" s="3">
        <f t="shared" si="690"/>
        <v>353.83319999999998</v>
      </c>
      <c r="I5774" s="5" t="str">
        <f t="shared" si="691"/>
        <v>017</v>
      </c>
      <c r="J5774" s="5" t="str">
        <f t="shared" si="692"/>
        <v>2220</v>
      </c>
      <c r="K5774" s="5" t="str">
        <f t="shared" si="693"/>
        <v>000</v>
      </c>
      <c r="L5774" s="5">
        <f t="shared" si="694"/>
        <v>2</v>
      </c>
      <c r="M5774" s="5">
        <f t="shared" si="695"/>
        <v>2013</v>
      </c>
    </row>
    <row r="5775" spans="1:13" ht="15" x14ac:dyDescent="0.25">
      <c r="A5775" s="1">
        <f>DATE(2013,2,25)</f>
        <v>41330</v>
      </c>
      <c r="B5775" t="s">
        <v>18</v>
      </c>
      <c r="C5775" t="s">
        <v>10</v>
      </c>
      <c r="D5775" s="3">
        <v>65.58059999999999</v>
      </c>
      <c r="E5775" s="3">
        <v>0</v>
      </c>
      <c r="F5775" t="s">
        <v>45</v>
      </c>
      <c r="G5775" s="3">
        <f t="shared" si="689"/>
        <v>-65.58059999999999</v>
      </c>
      <c r="H5775" s="3">
        <f t="shared" si="690"/>
        <v>65.58059999999999</v>
      </c>
      <c r="I5775" s="5" t="str">
        <f t="shared" si="691"/>
        <v>017</v>
      </c>
      <c r="J5775" s="5" t="str">
        <f t="shared" si="692"/>
        <v>2230</v>
      </c>
      <c r="K5775" s="5" t="str">
        <f t="shared" si="693"/>
        <v>000</v>
      </c>
      <c r="L5775" s="5">
        <f t="shared" si="694"/>
        <v>2</v>
      </c>
      <c r="M5775" s="5">
        <f t="shared" si="695"/>
        <v>2013</v>
      </c>
    </row>
    <row r="5776" spans="1:13" ht="15" x14ac:dyDescent="0.25">
      <c r="A5776" s="1">
        <f>DATE(2013,2,26)</f>
        <v>41331</v>
      </c>
      <c r="B5776" t="s">
        <v>15</v>
      </c>
      <c r="C5776" t="s">
        <v>6</v>
      </c>
      <c r="D5776" s="3">
        <v>6073.5923999999995</v>
      </c>
      <c r="E5776" s="3">
        <v>0</v>
      </c>
      <c r="F5776" t="s">
        <v>45</v>
      </c>
      <c r="G5776" s="3">
        <f t="shared" si="689"/>
        <v>-6073.5923999999995</v>
      </c>
      <c r="H5776" s="3">
        <f t="shared" si="690"/>
        <v>6073.5923999999995</v>
      </c>
      <c r="I5776" s="5" t="str">
        <f t="shared" si="691"/>
        <v>017</v>
      </c>
      <c r="J5776" s="5" t="str">
        <f t="shared" si="692"/>
        <v>2100</v>
      </c>
      <c r="K5776" s="5" t="str">
        <f t="shared" si="693"/>
        <v>000</v>
      </c>
      <c r="L5776" s="5">
        <f t="shared" si="694"/>
        <v>2</v>
      </c>
      <c r="M5776" s="5">
        <f t="shared" si="695"/>
        <v>2013</v>
      </c>
    </row>
    <row r="5777" spans="1:13" ht="15" x14ac:dyDescent="0.25">
      <c r="A5777" s="1">
        <f>DATE(2013,2,26)</f>
        <v>41331</v>
      </c>
      <c r="B5777" t="s">
        <v>16</v>
      </c>
      <c r="C5777" t="s">
        <v>8</v>
      </c>
      <c r="D5777" s="3">
        <v>1060.3376000000001</v>
      </c>
      <c r="E5777" s="3">
        <v>0</v>
      </c>
      <c r="F5777" t="s">
        <v>45</v>
      </c>
      <c r="G5777" s="3">
        <f t="shared" si="689"/>
        <v>-1060.3376000000001</v>
      </c>
      <c r="H5777" s="3">
        <f t="shared" si="690"/>
        <v>1060.3376000000001</v>
      </c>
      <c r="I5777" s="5" t="str">
        <f t="shared" si="691"/>
        <v>017</v>
      </c>
      <c r="J5777" s="5" t="str">
        <f t="shared" si="692"/>
        <v>2210</v>
      </c>
      <c r="K5777" s="5" t="str">
        <f t="shared" si="693"/>
        <v>000</v>
      </c>
      <c r="L5777" s="5">
        <f t="shared" si="694"/>
        <v>2</v>
      </c>
      <c r="M5777" s="5">
        <f t="shared" si="695"/>
        <v>2013</v>
      </c>
    </row>
    <row r="5778" spans="1:13" ht="15" x14ac:dyDescent="0.25">
      <c r="A5778" s="1">
        <f>DATE(2013,2,26)</f>
        <v>41331</v>
      </c>
      <c r="B5778" t="s">
        <v>17</v>
      </c>
      <c r="C5778" t="s">
        <v>9</v>
      </c>
      <c r="D5778" s="3">
        <v>589.56560000000002</v>
      </c>
      <c r="E5778" s="3">
        <v>0</v>
      </c>
      <c r="F5778" t="s">
        <v>45</v>
      </c>
      <c r="G5778" s="3">
        <f t="shared" si="689"/>
        <v>-589.56560000000002</v>
      </c>
      <c r="H5778" s="3">
        <f t="shared" si="690"/>
        <v>589.56560000000002</v>
      </c>
      <c r="I5778" s="5" t="str">
        <f t="shared" si="691"/>
        <v>017</v>
      </c>
      <c r="J5778" s="5" t="str">
        <f t="shared" si="692"/>
        <v>2220</v>
      </c>
      <c r="K5778" s="5" t="str">
        <f t="shared" si="693"/>
        <v>000</v>
      </c>
      <c r="L5778" s="5">
        <f t="shared" si="694"/>
        <v>2</v>
      </c>
      <c r="M5778" s="5">
        <f t="shared" si="695"/>
        <v>2013</v>
      </c>
    </row>
    <row r="5779" spans="1:13" ht="15" x14ac:dyDescent="0.25">
      <c r="A5779" s="1">
        <f>DATE(2013,2,26)</f>
        <v>41331</v>
      </c>
      <c r="B5779" t="s">
        <v>18</v>
      </c>
      <c r="C5779" t="s">
        <v>10</v>
      </c>
      <c r="D5779" s="3">
        <v>129.60000000000002</v>
      </c>
      <c r="E5779" s="3">
        <v>0</v>
      </c>
      <c r="F5779" t="s">
        <v>45</v>
      </c>
      <c r="G5779" s="3">
        <f t="shared" si="689"/>
        <v>-129.60000000000002</v>
      </c>
      <c r="H5779" s="3">
        <f t="shared" si="690"/>
        <v>129.60000000000002</v>
      </c>
      <c r="I5779" s="5" t="str">
        <f t="shared" si="691"/>
        <v>017</v>
      </c>
      <c r="J5779" s="5" t="str">
        <f t="shared" si="692"/>
        <v>2230</v>
      </c>
      <c r="K5779" s="5" t="str">
        <f t="shared" si="693"/>
        <v>000</v>
      </c>
      <c r="L5779" s="5">
        <f t="shared" si="694"/>
        <v>2</v>
      </c>
      <c r="M5779" s="5">
        <f t="shared" si="695"/>
        <v>2013</v>
      </c>
    </row>
    <row r="5780" spans="1:13" ht="15" x14ac:dyDescent="0.25">
      <c r="A5780" s="1">
        <f>DATE(2013,2,27)</f>
        <v>41332</v>
      </c>
      <c r="B5780" t="s">
        <v>15</v>
      </c>
      <c r="C5780" t="s">
        <v>6</v>
      </c>
      <c r="D5780" s="3">
        <v>7847.4395999999997</v>
      </c>
      <c r="E5780" s="3">
        <v>0</v>
      </c>
      <c r="F5780" t="s">
        <v>45</v>
      </c>
      <c r="G5780" s="3">
        <f t="shared" si="689"/>
        <v>-7847.4395999999997</v>
      </c>
      <c r="H5780" s="3">
        <f t="shared" si="690"/>
        <v>7847.4395999999997</v>
      </c>
      <c r="I5780" s="5" t="str">
        <f t="shared" si="691"/>
        <v>017</v>
      </c>
      <c r="J5780" s="5" t="str">
        <f t="shared" si="692"/>
        <v>2100</v>
      </c>
      <c r="K5780" s="5" t="str">
        <f t="shared" si="693"/>
        <v>000</v>
      </c>
      <c r="L5780" s="5">
        <f t="shared" si="694"/>
        <v>2</v>
      </c>
      <c r="M5780" s="5">
        <f t="shared" si="695"/>
        <v>2013</v>
      </c>
    </row>
    <row r="5781" spans="1:13" ht="15" x14ac:dyDescent="0.25">
      <c r="A5781" s="1">
        <f>DATE(2013,2,27)</f>
        <v>41332</v>
      </c>
      <c r="B5781" t="s">
        <v>16</v>
      </c>
      <c r="C5781" t="s">
        <v>8</v>
      </c>
      <c r="D5781" s="3">
        <v>1275.6769999999999</v>
      </c>
      <c r="E5781" s="3">
        <v>0</v>
      </c>
      <c r="F5781" t="s">
        <v>45</v>
      </c>
      <c r="G5781" s="3">
        <f t="shared" si="689"/>
        <v>-1275.6769999999999</v>
      </c>
      <c r="H5781" s="3">
        <f t="shared" si="690"/>
        <v>1275.6769999999999</v>
      </c>
      <c r="I5781" s="5" t="str">
        <f t="shared" si="691"/>
        <v>017</v>
      </c>
      <c r="J5781" s="5" t="str">
        <f t="shared" si="692"/>
        <v>2210</v>
      </c>
      <c r="K5781" s="5" t="str">
        <f t="shared" si="693"/>
        <v>000</v>
      </c>
      <c r="L5781" s="5">
        <f t="shared" si="694"/>
        <v>2</v>
      </c>
      <c r="M5781" s="5">
        <f t="shared" si="695"/>
        <v>2013</v>
      </c>
    </row>
    <row r="5782" spans="1:13" ht="15" x14ac:dyDescent="0.25">
      <c r="A5782" s="1">
        <f>DATE(2013,2,27)</f>
        <v>41332</v>
      </c>
      <c r="B5782" t="s">
        <v>17</v>
      </c>
      <c r="C5782" t="s">
        <v>9</v>
      </c>
      <c r="D5782" s="3">
        <v>411.66809999999998</v>
      </c>
      <c r="E5782" s="3">
        <v>0</v>
      </c>
      <c r="F5782" t="s">
        <v>45</v>
      </c>
      <c r="G5782" s="3">
        <f t="shared" si="689"/>
        <v>-411.66809999999998</v>
      </c>
      <c r="H5782" s="3">
        <f t="shared" si="690"/>
        <v>411.66809999999998</v>
      </c>
      <c r="I5782" s="5" t="str">
        <f t="shared" si="691"/>
        <v>017</v>
      </c>
      <c r="J5782" s="5" t="str">
        <f t="shared" si="692"/>
        <v>2220</v>
      </c>
      <c r="K5782" s="5" t="str">
        <f t="shared" si="693"/>
        <v>000</v>
      </c>
      <c r="L5782" s="5">
        <f t="shared" si="694"/>
        <v>2</v>
      </c>
      <c r="M5782" s="5">
        <f t="shared" si="695"/>
        <v>2013</v>
      </c>
    </row>
    <row r="5783" spans="1:13" ht="15" x14ac:dyDescent="0.25">
      <c r="A5783" s="1">
        <f>DATE(2013,2,27)</f>
        <v>41332</v>
      </c>
      <c r="B5783" t="s">
        <v>18</v>
      </c>
      <c r="C5783" t="s">
        <v>10</v>
      </c>
      <c r="D5783" s="3">
        <v>35.947299999999998</v>
      </c>
      <c r="E5783" s="3">
        <v>0</v>
      </c>
      <c r="F5783" t="s">
        <v>45</v>
      </c>
      <c r="G5783" s="3">
        <f t="shared" si="689"/>
        <v>-35.947299999999998</v>
      </c>
      <c r="H5783" s="3">
        <f t="shared" si="690"/>
        <v>35.947299999999998</v>
      </c>
      <c r="I5783" s="5" t="str">
        <f t="shared" si="691"/>
        <v>017</v>
      </c>
      <c r="J5783" s="5" t="str">
        <f t="shared" si="692"/>
        <v>2230</v>
      </c>
      <c r="K5783" s="5" t="str">
        <f t="shared" si="693"/>
        <v>000</v>
      </c>
      <c r="L5783" s="5">
        <f t="shared" si="694"/>
        <v>2</v>
      </c>
      <c r="M5783" s="5">
        <f t="shared" si="695"/>
        <v>2013</v>
      </c>
    </row>
    <row r="5784" spans="1:13" ht="15" x14ac:dyDescent="0.25">
      <c r="A5784" s="1">
        <f>DATE(2013,2,28)</f>
        <v>41333</v>
      </c>
      <c r="B5784" t="s">
        <v>15</v>
      </c>
      <c r="C5784" t="s">
        <v>6</v>
      </c>
      <c r="D5784" s="3">
        <v>6070.6076999999996</v>
      </c>
      <c r="E5784" s="3">
        <v>0</v>
      </c>
      <c r="F5784" t="s">
        <v>45</v>
      </c>
      <c r="G5784" s="3">
        <f t="shared" si="689"/>
        <v>-6070.6076999999996</v>
      </c>
      <c r="H5784" s="3">
        <f t="shared" si="690"/>
        <v>6070.6076999999996</v>
      </c>
      <c r="I5784" s="5" t="str">
        <f t="shared" si="691"/>
        <v>017</v>
      </c>
      <c r="J5784" s="5" t="str">
        <f t="shared" si="692"/>
        <v>2100</v>
      </c>
      <c r="K5784" s="5" t="str">
        <f t="shared" si="693"/>
        <v>000</v>
      </c>
      <c r="L5784" s="5">
        <f t="shared" si="694"/>
        <v>2</v>
      </c>
      <c r="M5784" s="5">
        <f t="shared" si="695"/>
        <v>2013</v>
      </c>
    </row>
    <row r="5785" spans="1:13" ht="15" x14ac:dyDescent="0.25">
      <c r="A5785" s="1">
        <f>DATE(2013,2,28)</f>
        <v>41333</v>
      </c>
      <c r="B5785" t="s">
        <v>16</v>
      </c>
      <c r="C5785" t="s">
        <v>8</v>
      </c>
      <c r="D5785" s="3">
        <v>1138.1184000000001</v>
      </c>
      <c r="E5785" s="3">
        <v>0</v>
      </c>
      <c r="F5785" t="s">
        <v>45</v>
      </c>
      <c r="G5785" s="3">
        <f t="shared" si="689"/>
        <v>-1138.1184000000001</v>
      </c>
      <c r="H5785" s="3">
        <f t="shared" si="690"/>
        <v>1138.1184000000001</v>
      </c>
      <c r="I5785" s="5" t="str">
        <f t="shared" si="691"/>
        <v>017</v>
      </c>
      <c r="J5785" s="5" t="str">
        <f t="shared" si="692"/>
        <v>2210</v>
      </c>
      <c r="K5785" s="5" t="str">
        <f t="shared" si="693"/>
        <v>000</v>
      </c>
      <c r="L5785" s="5">
        <f t="shared" si="694"/>
        <v>2</v>
      </c>
      <c r="M5785" s="5">
        <f t="shared" si="695"/>
        <v>2013</v>
      </c>
    </row>
    <row r="5786" spans="1:13" ht="15" x14ac:dyDescent="0.25">
      <c r="A5786" s="1">
        <f>DATE(2013,2,28)</f>
        <v>41333</v>
      </c>
      <c r="B5786" t="s">
        <v>17</v>
      </c>
      <c r="C5786" t="s">
        <v>9</v>
      </c>
      <c r="D5786" s="3">
        <v>328.86560000000003</v>
      </c>
      <c r="E5786" s="3">
        <v>0</v>
      </c>
      <c r="F5786" t="s">
        <v>45</v>
      </c>
      <c r="G5786" s="3">
        <f t="shared" si="689"/>
        <v>-328.86560000000003</v>
      </c>
      <c r="H5786" s="3">
        <f t="shared" si="690"/>
        <v>328.86560000000003</v>
      </c>
      <c r="I5786" s="5" t="str">
        <f t="shared" si="691"/>
        <v>017</v>
      </c>
      <c r="J5786" s="5" t="str">
        <f t="shared" si="692"/>
        <v>2220</v>
      </c>
      <c r="K5786" s="5" t="str">
        <f t="shared" si="693"/>
        <v>000</v>
      </c>
      <c r="L5786" s="5">
        <f t="shared" si="694"/>
        <v>2</v>
      </c>
      <c r="M5786" s="5">
        <f t="shared" si="695"/>
        <v>2013</v>
      </c>
    </row>
    <row r="5787" spans="1:13" ht="15" x14ac:dyDescent="0.25">
      <c r="A5787" s="1">
        <f>DATE(2013,2,28)</f>
        <v>41333</v>
      </c>
      <c r="B5787" t="s">
        <v>18</v>
      </c>
      <c r="C5787" t="s">
        <v>10</v>
      </c>
      <c r="D5787" s="3">
        <v>303.31799999999998</v>
      </c>
      <c r="E5787" s="3">
        <v>0</v>
      </c>
      <c r="F5787" t="s">
        <v>45</v>
      </c>
      <c r="G5787" s="3">
        <f t="shared" si="689"/>
        <v>-303.31799999999998</v>
      </c>
      <c r="H5787" s="3">
        <f t="shared" si="690"/>
        <v>303.31799999999998</v>
      </c>
      <c r="I5787" s="5" t="str">
        <f t="shared" si="691"/>
        <v>017</v>
      </c>
      <c r="J5787" s="5" t="str">
        <f t="shared" si="692"/>
        <v>2230</v>
      </c>
      <c r="K5787" s="5" t="str">
        <f t="shared" si="693"/>
        <v>000</v>
      </c>
      <c r="L5787" s="5">
        <f t="shared" si="694"/>
        <v>2</v>
      </c>
      <c r="M5787" s="5">
        <f t="shared" si="695"/>
        <v>2013</v>
      </c>
    </row>
    <row r="5788" spans="1:13" ht="15" x14ac:dyDescent="0.25">
      <c r="A5788" s="1">
        <f>DATE(2013,3,1)</f>
        <v>41334</v>
      </c>
      <c r="B5788" t="s">
        <v>15</v>
      </c>
      <c r="C5788" t="s">
        <v>6</v>
      </c>
      <c r="D5788" s="3">
        <v>7588.3885</v>
      </c>
      <c r="E5788" s="3">
        <v>0</v>
      </c>
      <c r="F5788" t="s">
        <v>45</v>
      </c>
      <c r="G5788" s="3">
        <f t="shared" si="689"/>
        <v>-7588.3885</v>
      </c>
      <c r="H5788" s="3">
        <f t="shared" si="690"/>
        <v>7588.3885</v>
      </c>
      <c r="I5788" s="5" t="str">
        <f t="shared" si="691"/>
        <v>017</v>
      </c>
      <c r="J5788" s="5" t="str">
        <f t="shared" si="692"/>
        <v>2100</v>
      </c>
      <c r="K5788" s="5" t="str">
        <f t="shared" si="693"/>
        <v>000</v>
      </c>
      <c r="L5788" s="5">
        <f t="shared" si="694"/>
        <v>3</v>
      </c>
      <c r="M5788" s="5">
        <f t="shared" si="695"/>
        <v>2013</v>
      </c>
    </row>
    <row r="5789" spans="1:13" ht="15" x14ac:dyDescent="0.25">
      <c r="A5789" s="1">
        <f>DATE(2013,3,1)</f>
        <v>41334</v>
      </c>
      <c r="B5789" t="s">
        <v>16</v>
      </c>
      <c r="C5789" t="s">
        <v>8</v>
      </c>
      <c r="D5789" s="3">
        <v>2036.6964000000003</v>
      </c>
      <c r="E5789" s="3">
        <v>0</v>
      </c>
      <c r="F5789" t="s">
        <v>45</v>
      </c>
      <c r="G5789" s="3">
        <f t="shared" si="689"/>
        <v>-2036.6964000000003</v>
      </c>
      <c r="H5789" s="3">
        <f t="shared" si="690"/>
        <v>2036.6964000000003</v>
      </c>
      <c r="I5789" s="5" t="str">
        <f t="shared" si="691"/>
        <v>017</v>
      </c>
      <c r="J5789" s="5" t="str">
        <f t="shared" si="692"/>
        <v>2210</v>
      </c>
      <c r="K5789" s="5" t="str">
        <f t="shared" si="693"/>
        <v>000</v>
      </c>
      <c r="L5789" s="5">
        <f t="shared" si="694"/>
        <v>3</v>
      </c>
      <c r="M5789" s="5">
        <f t="shared" si="695"/>
        <v>2013</v>
      </c>
    </row>
    <row r="5790" spans="1:13" ht="15" x14ac:dyDescent="0.25">
      <c r="A5790" s="1">
        <f>DATE(2013,3,1)</f>
        <v>41334</v>
      </c>
      <c r="B5790" t="s">
        <v>17</v>
      </c>
      <c r="C5790" t="s">
        <v>9</v>
      </c>
      <c r="D5790" s="3">
        <v>335.90800000000002</v>
      </c>
      <c r="E5790" s="3">
        <v>0</v>
      </c>
      <c r="F5790" t="s">
        <v>45</v>
      </c>
      <c r="G5790" s="3">
        <f t="shared" si="689"/>
        <v>-335.90800000000002</v>
      </c>
      <c r="H5790" s="3">
        <f t="shared" si="690"/>
        <v>335.90800000000002</v>
      </c>
      <c r="I5790" s="5" t="str">
        <f t="shared" si="691"/>
        <v>017</v>
      </c>
      <c r="J5790" s="5" t="str">
        <f t="shared" si="692"/>
        <v>2220</v>
      </c>
      <c r="K5790" s="5" t="str">
        <f t="shared" si="693"/>
        <v>000</v>
      </c>
      <c r="L5790" s="5">
        <f t="shared" si="694"/>
        <v>3</v>
      </c>
      <c r="M5790" s="5">
        <f t="shared" si="695"/>
        <v>2013</v>
      </c>
    </row>
    <row r="5791" spans="1:13" ht="15" x14ac:dyDescent="0.25">
      <c r="A5791" s="1">
        <f>DATE(2013,3,1)</f>
        <v>41334</v>
      </c>
      <c r="B5791" t="s">
        <v>18</v>
      </c>
      <c r="C5791" t="s">
        <v>10</v>
      </c>
      <c r="D5791" s="3">
        <v>169.68900000000002</v>
      </c>
      <c r="E5791" s="3">
        <v>0</v>
      </c>
      <c r="F5791" t="s">
        <v>45</v>
      </c>
      <c r="G5791" s="3">
        <f t="shared" si="689"/>
        <v>-169.68900000000002</v>
      </c>
      <c r="H5791" s="3">
        <f t="shared" si="690"/>
        <v>169.68900000000002</v>
      </c>
      <c r="I5791" s="5" t="str">
        <f t="shared" si="691"/>
        <v>017</v>
      </c>
      <c r="J5791" s="5" t="str">
        <f t="shared" si="692"/>
        <v>2230</v>
      </c>
      <c r="K5791" s="5" t="str">
        <f t="shared" si="693"/>
        <v>000</v>
      </c>
      <c r="L5791" s="5">
        <f t="shared" si="694"/>
        <v>3</v>
      </c>
      <c r="M5791" s="5">
        <f t="shared" si="695"/>
        <v>2013</v>
      </c>
    </row>
    <row r="5792" spans="1:13" ht="15" x14ac:dyDescent="0.25">
      <c r="A5792" s="1">
        <f>DATE(2013,3,2)</f>
        <v>41335</v>
      </c>
      <c r="B5792" t="s">
        <v>15</v>
      </c>
      <c r="C5792" t="s">
        <v>6</v>
      </c>
      <c r="D5792" s="3">
        <v>9572.5925999999999</v>
      </c>
      <c r="E5792" s="3">
        <v>0</v>
      </c>
      <c r="F5792" t="s">
        <v>45</v>
      </c>
      <c r="G5792" s="3">
        <f t="shared" si="689"/>
        <v>-9572.5925999999999</v>
      </c>
      <c r="H5792" s="3">
        <f t="shared" si="690"/>
        <v>9572.5925999999999</v>
      </c>
      <c r="I5792" s="5" t="str">
        <f t="shared" si="691"/>
        <v>017</v>
      </c>
      <c r="J5792" s="5" t="str">
        <f t="shared" si="692"/>
        <v>2100</v>
      </c>
      <c r="K5792" s="5" t="str">
        <f t="shared" si="693"/>
        <v>000</v>
      </c>
      <c r="L5792" s="5">
        <f t="shared" si="694"/>
        <v>3</v>
      </c>
      <c r="M5792" s="5">
        <f t="shared" si="695"/>
        <v>2013</v>
      </c>
    </row>
    <row r="5793" spans="1:13" ht="15" x14ac:dyDescent="0.25">
      <c r="A5793" s="1">
        <f>DATE(2013,3,2)</f>
        <v>41335</v>
      </c>
      <c r="B5793" t="s">
        <v>16</v>
      </c>
      <c r="C5793" t="s">
        <v>8</v>
      </c>
      <c r="D5793" s="3">
        <v>2373.77</v>
      </c>
      <c r="E5793" s="3">
        <v>0</v>
      </c>
      <c r="F5793" t="s">
        <v>45</v>
      </c>
      <c r="G5793" s="3">
        <f t="shared" si="689"/>
        <v>-2373.77</v>
      </c>
      <c r="H5793" s="3">
        <f t="shared" si="690"/>
        <v>2373.77</v>
      </c>
      <c r="I5793" s="5" t="str">
        <f t="shared" si="691"/>
        <v>017</v>
      </c>
      <c r="J5793" s="5" t="str">
        <f t="shared" si="692"/>
        <v>2210</v>
      </c>
      <c r="K5793" s="5" t="str">
        <f t="shared" si="693"/>
        <v>000</v>
      </c>
      <c r="L5793" s="5">
        <f t="shared" si="694"/>
        <v>3</v>
      </c>
      <c r="M5793" s="5">
        <f t="shared" si="695"/>
        <v>2013</v>
      </c>
    </row>
    <row r="5794" spans="1:13" ht="15" x14ac:dyDescent="0.25">
      <c r="A5794" s="1">
        <f>DATE(2013,3,2)</f>
        <v>41335</v>
      </c>
      <c r="B5794" t="s">
        <v>17</v>
      </c>
      <c r="C5794" t="s">
        <v>9</v>
      </c>
      <c r="D5794" s="3">
        <v>490.51929999999999</v>
      </c>
      <c r="E5794" s="3">
        <v>0</v>
      </c>
      <c r="F5794" t="s">
        <v>45</v>
      </c>
      <c r="G5794" s="3">
        <f t="shared" si="689"/>
        <v>-490.51929999999999</v>
      </c>
      <c r="H5794" s="3">
        <f t="shared" si="690"/>
        <v>490.51929999999999</v>
      </c>
      <c r="I5794" s="5" t="str">
        <f t="shared" si="691"/>
        <v>017</v>
      </c>
      <c r="J5794" s="5" t="str">
        <f t="shared" si="692"/>
        <v>2220</v>
      </c>
      <c r="K5794" s="5" t="str">
        <f t="shared" si="693"/>
        <v>000</v>
      </c>
      <c r="L5794" s="5">
        <f t="shared" si="694"/>
        <v>3</v>
      </c>
      <c r="M5794" s="5">
        <f t="shared" si="695"/>
        <v>2013</v>
      </c>
    </row>
    <row r="5795" spans="1:13" ht="15" x14ac:dyDescent="0.25">
      <c r="A5795" s="1">
        <f>DATE(2013,3,2)</f>
        <v>41335</v>
      </c>
      <c r="B5795" t="s">
        <v>18</v>
      </c>
      <c r="C5795" t="s">
        <v>10</v>
      </c>
      <c r="D5795" s="3">
        <v>146.93639999999999</v>
      </c>
      <c r="E5795" s="3">
        <v>0</v>
      </c>
      <c r="F5795" t="s">
        <v>45</v>
      </c>
      <c r="G5795" s="3">
        <f t="shared" si="689"/>
        <v>-146.93639999999999</v>
      </c>
      <c r="H5795" s="3">
        <f t="shared" si="690"/>
        <v>146.93639999999999</v>
      </c>
      <c r="I5795" s="5" t="str">
        <f t="shared" si="691"/>
        <v>017</v>
      </c>
      <c r="J5795" s="5" t="str">
        <f t="shared" si="692"/>
        <v>2230</v>
      </c>
      <c r="K5795" s="5" t="str">
        <f t="shared" si="693"/>
        <v>000</v>
      </c>
      <c r="L5795" s="5">
        <f t="shared" si="694"/>
        <v>3</v>
      </c>
      <c r="M5795" s="5">
        <f t="shared" si="695"/>
        <v>2013</v>
      </c>
    </row>
    <row r="5796" spans="1:13" ht="15" x14ac:dyDescent="0.25">
      <c r="A5796" s="1">
        <f>DATE(2013,3,3)</f>
        <v>41336</v>
      </c>
      <c r="B5796" t="s">
        <v>15</v>
      </c>
      <c r="C5796" t="s">
        <v>6</v>
      </c>
      <c r="D5796" s="3">
        <v>5570.1554999999998</v>
      </c>
      <c r="E5796" s="3">
        <v>0</v>
      </c>
      <c r="F5796" t="s">
        <v>45</v>
      </c>
      <c r="G5796" s="3">
        <f t="shared" si="689"/>
        <v>-5570.1554999999998</v>
      </c>
      <c r="H5796" s="3">
        <f t="shared" si="690"/>
        <v>5570.1554999999998</v>
      </c>
      <c r="I5796" s="5" t="str">
        <f t="shared" si="691"/>
        <v>017</v>
      </c>
      <c r="J5796" s="5" t="str">
        <f t="shared" si="692"/>
        <v>2100</v>
      </c>
      <c r="K5796" s="5" t="str">
        <f t="shared" si="693"/>
        <v>000</v>
      </c>
      <c r="L5796" s="5">
        <f t="shared" si="694"/>
        <v>3</v>
      </c>
      <c r="M5796" s="5">
        <f t="shared" si="695"/>
        <v>2013</v>
      </c>
    </row>
    <row r="5797" spans="1:13" ht="15" x14ac:dyDescent="0.25">
      <c r="A5797" s="1">
        <f>DATE(2013,3,3)</f>
        <v>41336</v>
      </c>
      <c r="B5797" t="s">
        <v>16</v>
      </c>
      <c r="C5797" t="s">
        <v>8</v>
      </c>
      <c r="D5797" s="3">
        <v>931.05320000000006</v>
      </c>
      <c r="E5797" s="3">
        <v>0</v>
      </c>
      <c r="F5797" t="s">
        <v>45</v>
      </c>
      <c r="G5797" s="3">
        <f t="shared" si="689"/>
        <v>-931.05320000000006</v>
      </c>
      <c r="H5797" s="3">
        <f t="shared" si="690"/>
        <v>931.05320000000006</v>
      </c>
      <c r="I5797" s="5" t="str">
        <f t="shared" si="691"/>
        <v>017</v>
      </c>
      <c r="J5797" s="5" t="str">
        <f t="shared" si="692"/>
        <v>2210</v>
      </c>
      <c r="K5797" s="5" t="str">
        <f t="shared" si="693"/>
        <v>000</v>
      </c>
      <c r="L5797" s="5">
        <f t="shared" si="694"/>
        <v>3</v>
      </c>
      <c r="M5797" s="5">
        <f t="shared" si="695"/>
        <v>2013</v>
      </c>
    </row>
    <row r="5798" spans="1:13" ht="15" x14ac:dyDescent="0.25">
      <c r="A5798" s="1">
        <f>DATE(2013,3,3)</f>
        <v>41336</v>
      </c>
      <c r="B5798" t="s">
        <v>17</v>
      </c>
      <c r="C5798" t="s">
        <v>9</v>
      </c>
      <c r="D5798" s="3">
        <v>168.28659999999999</v>
      </c>
      <c r="E5798" s="3">
        <v>0</v>
      </c>
      <c r="F5798" t="s">
        <v>45</v>
      </c>
      <c r="G5798" s="3">
        <f t="shared" si="689"/>
        <v>-168.28659999999999</v>
      </c>
      <c r="H5798" s="3">
        <f t="shared" si="690"/>
        <v>168.28659999999999</v>
      </c>
      <c r="I5798" s="5" t="str">
        <f t="shared" si="691"/>
        <v>017</v>
      </c>
      <c r="J5798" s="5" t="str">
        <f t="shared" si="692"/>
        <v>2220</v>
      </c>
      <c r="K5798" s="5" t="str">
        <f t="shared" si="693"/>
        <v>000</v>
      </c>
      <c r="L5798" s="5">
        <f t="shared" si="694"/>
        <v>3</v>
      </c>
      <c r="M5798" s="5">
        <f t="shared" si="695"/>
        <v>2013</v>
      </c>
    </row>
    <row r="5799" spans="1:13" ht="15" x14ac:dyDescent="0.25">
      <c r="A5799" s="1">
        <f>DATE(2013,3,3)</f>
        <v>41336</v>
      </c>
      <c r="B5799" t="s">
        <v>18</v>
      </c>
      <c r="C5799" t="s">
        <v>10</v>
      </c>
      <c r="D5799" s="3">
        <v>44.460199999999993</v>
      </c>
      <c r="E5799" s="3">
        <v>0</v>
      </c>
      <c r="F5799" t="s">
        <v>45</v>
      </c>
      <c r="G5799" s="3">
        <f t="shared" si="689"/>
        <v>-44.460199999999993</v>
      </c>
      <c r="H5799" s="3">
        <f t="shared" si="690"/>
        <v>44.460199999999993</v>
      </c>
      <c r="I5799" s="5" t="str">
        <f t="shared" si="691"/>
        <v>017</v>
      </c>
      <c r="J5799" s="5" t="str">
        <f t="shared" si="692"/>
        <v>2230</v>
      </c>
      <c r="K5799" s="5" t="str">
        <f t="shared" si="693"/>
        <v>000</v>
      </c>
      <c r="L5799" s="5">
        <f t="shared" si="694"/>
        <v>3</v>
      </c>
      <c r="M5799" s="5">
        <f t="shared" si="695"/>
        <v>2013</v>
      </c>
    </row>
    <row r="5800" spans="1:13" ht="15" x14ac:dyDescent="0.25">
      <c r="A5800" s="1">
        <f>DATE(2013,2,25)</f>
        <v>41330</v>
      </c>
      <c r="B5800" t="s">
        <v>19</v>
      </c>
      <c r="C5800" t="s">
        <v>6</v>
      </c>
      <c r="D5800" s="3">
        <v>3480.0970000000002</v>
      </c>
      <c r="E5800" s="3">
        <v>0</v>
      </c>
      <c r="F5800" t="s">
        <v>45</v>
      </c>
      <c r="G5800" s="3">
        <f t="shared" si="689"/>
        <v>-3480.0970000000002</v>
      </c>
      <c r="H5800" s="3">
        <f t="shared" si="690"/>
        <v>3480.0970000000002</v>
      </c>
      <c r="I5800" s="5" t="str">
        <f t="shared" si="691"/>
        <v>018</v>
      </c>
      <c r="J5800" s="5" t="str">
        <f t="shared" si="692"/>
        <v>2100</v>
      </c>
      <c r="K5800" s="5" t="str">
        <f t="shared" si="693"/>
        <v>000</v>
      </c>
      <c r="L5800" s="5">
        <f t="shared" si="694"/>
        <v>2</v>
      </c>
      <c r="M5800" s="5">
        <f t="shared" si="695"/>
        <v>2013</v>
      </c>
    </row>
    <row r="5801" spans="1:13" ht="15" x14ac:dyDescent="0.25">
      <c r="A5801" s="1">
        <f>DATE(2013,2,25)</f>
        <v>41330</v>
      </c>
      <c r="B5801" t="s">
        <v>20</v>
      </c>
      <c r="C5801" t="s">
        <v>8</v>
      </c>
      <c r="D5801" s="3">
        <v>324.23840000000001</v>
      </c>
      <c r="E5801" s="3">
        <v>0</v>
      </c>
      <c r="F5801" t="s">
        <v>45</v>
      </c>
      <c r="G5801" s="3">
        <f t="shared" si="689"/>
        <v>-324.23840000000001</v>
      </c>
      <c r="H5801" s="3">
        <f t="shared" si="690"/>
        <v>324.23840000000001</v>
      </c>
      <c r="I5801" s="5" t="str">
        <f t="shared" si="691"/>
        <v>018</v>
      </c>
      <c r="J5801" s="5" t="str">
        <f t="shared" si="692"/>
        <v>2210</v>
      </c>
      <c r="K5801" s="5" t="str">
        <f t="shared" si="693"/>
        <v>000</v>
      </c>
      <c r="L5801" s="5">
        <f t="shared" si="694"/>
        <v>2</v>
      </c>
      <c r="M5801" s="5">
        <f t="shared" si="695"/>
        <v>2013</v>
      </c>
    </row>
    <row r="5802" spans="1:13" ht="15" x14ac:dyDescent="0.25">
      <c r="A5802" s="1">
        <f>DATE(2013,2,25)</f>
        <v>41330</v>
      </c>
      <c r="B5802" t="s">
        <v>21</v>
      </c>
      <c r="C5802" t="s">
        <v>9</v>
      </c>
      <c r="D5802" s="3">
        <v>172.6764</v>
      </c>
      <c r="E5802" s="3">
        <v>0</v>
      </c>
      <c r="F5802" t="s">
        <v>45</v>
      </c>
      <c r="G5802" s="3">
        <f t="shared" si="689"/>
        <v>-172.6764</v>
      </c>
      <c r="H5802" s="3">
        <f t="shared" si="690"/>
        <v>172.6764</v>
      </c>
      <c r="I5802" s="5" t="str">
        <f t="shared" si="691"/>
        <v>018</v>
      </c>
      <c r="J5802" s="5" t="str">
        <f t="shared" si="692"/>
        <v>2220</v>
      </c>
      <c r="K5802" s="5" t="str">
        <f t="shared" si="693"/>
        <v>000</v>
      </c>
      <c r="L5802" s="5">
        <f t="shared" si="694"/>
        <v>2</v>
      </c>
      <c r="M5802" s="5">
        <f t="shared" si="695"/>
        <v>2013</v>
      </c>
    </row>
    <row r="5803" spans="1:13" ht="15" x14ac:dyDescent="0.25">
      <c r="A5803" s="1">
        <f>DATE(2013,2,25)</f>
        <v>41330</v>
      </c>
      <c r="B5803" t="s">
        <v>22</v>
      </c>
      <c r="C5803" t="s">
        <v>10</v>
      </c>
      <c r="D5803" s="3">
        <v>64.0428</v>
      </c>
      <c r="E5803" s="3">
        <v>0</v>
      </c>
      <c r="F5803" t="s">
        <v>45</v>
      </c>
      <c r="G5803" s="3">
        <f t="shared" si="689"/>
        <v>-64.0428</v>
      </c>
      <c r="H5803" s="3">
        <f t="shared" si="690"/>
        <v>64.0428</v>
      </c>
      <c r="I5803" s="5" t="str">
        <f t="shared" si="691"/>
        <v>018</v>
      </c>
      <c r="J5803" s="5" t="str">
        <f t="shared" si="692"/>
        <v>2230</v>
      </c>
      <c r="K5803" s="5" t="str">
        <f t="shared" si="693"/>
        <v>000</v>
      </c>
      <c r="L5803" s="5">
        <f t="shared" si="694"/>
        <v>2</v>
      </c>
      <c r="M5803" s="5">
        <f t="shared" si="695"/>
        <v>2013</v>
      </c>
    </row>
    <row r="5804" spans="1:13" ht="15" x14ac:dyDescent="0.25">
      <c r="A5804" s="1">
        <f>DATE(2013,2,26)</f>
        <v>41331</v>
      </c>
      <c r="B5804" t="s">
        <v>19</v>
      </c>
      <c r="C5804" t="s">
        <v>6</v>
      </c>
      <c r="D5804" s="3">
        <v>3125.7252000000003</v>
      </c>
      <c r="E5804" s="3">
        <v>0</v>
      </c>
      <c r="F5804" t="s">
        <v>45</v>
      </c>
      <c r="G5804" s="3">
        <f t="shared" si="689"/>
        <v>-3125.7252000000003</v>
      </c>
      <c r="H5804" s="3">
        <f t="shared" si="690"/>
        <v>3125.7252000000003</v>
      </c>
      <c r="I5804" s="5" t="str">
        <f t="shared" si="691"/>
        <v>018</v>
      </c>
      <c r="J5804" s="5" t="str">
        <f t="shared" si="692"/>
        <v>2100</v>
      </c>
      <c r="K5804" s="5" t="str">
        <f t="shared" si="693"/>
        <v>000</v>
      </c>
      <c r="L5804" s="5">
        <f t="shared" si="694"/>
        <v>2</v>
      </c>
      <c r="M5804" s="5">
        <f t="shared" si="695"/>
        <v>2013</v>
      </c>
    </row>
    <row r="5805" spans="1:13" ht="15" x14ac:dyDescent="0.25">
      <c r="A5805" s="1">
        <f>DATE(2013,2,26)</f>
        <v>41331</v>
      </c>
      <c r="B5805" t="s">
        <v>20</v>
      </c>
      <c r="C5805" t="s">
        <v>8</v>
      </c>
      <c r="D5805" s="3">
        <v>549.36599999999999</v>
      </c>
      <c r="E5805" s="3">
        <v>0</v>
      </c>
      <c r="F5805" t="s">
        <v>45</v>
      </c>
      <c r="G5805" s="3">
        <f t="shared" si="689"/>
        <v>-549.36599999999999</v>
      </c>
      <c r="H5805" s="3">
        <f t="shared" si="690"/>
        <v>549.36599999999999</v>
      </c>
      <c r="I5805" s="5" t="str">
        <f t="shared" si="691"/>
        <v>018</v>
      </c>
      <c r="J5805" s="5" t="str">
        <f t="shared" si="692"/>
        <v>2210</v>
      </c>
      <c r="K5805" s="5" t="str">
        <f t="shared" si="693"/>
        <v>000</v>
      </c>
      <c r="L5805" s="5">
        <f t="shared" si="694"/>
        <v>2</v>
      </c>
      <c r="M5805" s="5">
        <f t="shared" si="695"/>
        <v>2013</v>
      </c>
    </row>
    <row r="5806" spans="1:13" ht="15" x14ac:dyDescent="0.25">
      <c r="A5806" s="1">
        <f>DATE(2013,2,26)</f>
        <v>41331</v>
      </c>
      <c r="B5806" t="s">
        <v>21</v>
      </c>
      <c r="C5806" t="s">
        <v>9</v>
      </c>
      <c r="D5806" s="3">
        <v>83.188000000000002</v>
      </c>
      <c r="E5806" s="3">
        <v>0</v>
      </c>
      <c r="F5806" t="s">
        <v>45</v>
      </c>
      <c r="G5806" s="3">
        <f t="shared" si="689"/>
        <v>-83.188000000000002</v>
      </c>
      <c r="H5806" s="3">
        <f t="shared" si="690"/>
        <v>83.188000000000002</v>
      </c>
      <c r="I5806" s="5" t="str">
        <f t="shared" si="691"/>
        <v>018</v>
      </c>
      <c r="J5806" s="5" t="str">
        <f t="shared" si="692"/>
        <v>2220</v>
      </c>
      <c r="K5806" s="5" t="str">
        <f t="shared" si="693"/>
        <v>000</v>
      </c>
      <c r="L5806" s="5">
        <f t="shared" si="694"/>
        <v>2</v>
      </c>
      <c r="M5806" s="5">
        <f t="shared" si="695"/>
        <v>2013</v>
      </c>
    </row>
    <row r="5807" spans="1:13" ht="15" x14ac:dyDescent="0.25">
      <c r="A5807" s="1">
        <f>DATE(2013,2,26)</f>
        <v>41331</v>
      </c>
      <c r="B5807" t="s">
        <v>22</v>
      </c>
      <c r="C5807" t="s">
        <v>10</v>
      </c>
      <c r="D5807" s="3">
        <v>7.1208000000000009</v>
      </c>
      <c r="E5807" s="3">
        <v>0</v>
      </c>
      <c r="F5807" t="s">
        <v>45</v>
      </c>
      <c r="G5807" s="3">
        <f t="shared" si="689"/>
        <v>-7.1208000000000009</v>
      </c>
      <c r="H5807" s="3">
        <f t="shared" si="690"/>
        <v>7.1208000000000009</v>
      </c>
      <c r="I5807" s="5" t="str">
        <f t="shared" si="691"/>
        <v>018</v>
      </c>
      <c r="J5807" s="5" t="str">
        <f t="shared" si="692"/>
        <v>2230</v>
      </c>
      <c r="K5807" s="5" t="str">
        <f t="shared" si="693"/>
        <v>000</v>
      </c>
      <c r="L5807" s="5">
        <f t="shared" si="694"/>
        <v>2</v>
      </c>
      <c r="M5807" s="5">
        <f t="shared" si="695"/>
        <v>2013</v>
      </c>
    </row>
    <row r="5808" spans="1:13" ht="15" x14ac:dyDescent="0.25">
      <c r="A5808" s="1">
        <f>DATE(2013,2,27)</f>
        <v>41332</v>
      </c>
      <c r="B5808" t="s">
        <v>19</v>
      </c>
      <c r="C5808" t="s">
        <v>6</v>
      </c>
      <c r="D5808" s="3">
        <v>4078.3263999999999</v>
      </c>
      <c r="E5808" s="3">
        <v>0</v>
      </c>
      <c r="F5808" t="s">
        <v>45</v>
      </c>
      <c r="G5808" s="3">
        <f t="shared" si="689"/>
        <v>-4078.3263999999999</v>
      </c>
      <c r="H5808" s="3">
        <f t="shared" si="690"/>
        <v>4078.3263999999999</v>
      </c>
      <c r="I5808" s="5" t="str">
        <f t="shared" si="691"/>
        <v>018</v>
      </c>
      <c r="J5808" s="5" t="str">
        <f t="shared" si="692"/>
        <v>2100</v>
      </c>
      <c r="K5808" s="5" t="str">
        <f t="shared" si="693"/>
        <v>000</v>
      </c>
      <c r="L5808" s="5">
        <f t="shared" si="694"/>
        <v>2</v>
      </c>
      <c r="M5808" s="5">
        <f t="shared" si="695"/>
        <v>2013</v>
      </c>
    </row>
    <row r="5809" spans="1:13" ht="15" x14ac:dyDescent="0.25">
      <c r="A5809" s="1">
        <f>DATE(2013,2,27)</f>
        <v>41332</v>
      </c>
      <c r="B5809" t="s">
        <v>20</v>
      </c>
      <c r="C5809" t="s">
        <v>8</v>
      </c>
      <c r="D5809" s="3">
        <v>594.33990000000006</v>
      </c>
      <c r="E5809" s="3">
        <v>0</v>
      </c>
      <c r="F5809" t="s">
        <v>45</v>
      </c>
      <c r="G5809" s="3">
        <f t="shared" si="689"/>
        <v>-594.33990000000006</v>
      </c>
      <c r="H5809" s="3">
        <f t="shared" si="690"/>
        <v>594.33990000000006</v>
      </c>
      <c r="I5809" s="5" t="str">
        <f t="shared" si="691"/>
        <v>018</v>
      </c>
      <c r="J5809" s="5" t="str">
        <f t="shared" si="692"/>
        <v>2210</v>
      </c>
      <c r="K5809" s="5" t="str">
        <f t="shared" si="693"/>
        <v>000</v>
      </c>
      <c r="L5809" s="5">
        <f t="shared" si="694"/>
        <v>2</v>
      </c>
      <c r="M5809" s="5">
        <f t="shared" si="695"/>
        <v>2013</v>
      </c>
    </row>
    <row r="5810" spans="1:13" ht="15" x14ac:dyDescent="0.25">
      <c r="A5810" s="1">
        <f>DATE(2013,2,27)</f>
        <v>41332</v>
      </c>
      <c r="B5810" t="s">
        <v>21</v>
      </c>
      <c r="C5810" t="s">
        <v>9</v>
      </c>
      <c r="D5810" s="3">
        <v>150.96199999999999</v>
      </c>
      <c r="E5810" s="3">
        <v>0</v>
      </c>
      <c r="F5810" t="s">
        <v>45</v>
      </c>
      <c r="G5810" s="3">
        <f t="shared" si="689"/>
        <v>-150.96199999999999</v>
      </c>
      <c r="H5810" s="3">
        <f t="shared" si="690"/>
        <v>150.96199999999999</v>
      </c>
      <c r="I5810" s="5" t="str">
        <f t="shared" si="691"/>
        <v>018</v>
      </c>
      <c r="J5810" s="5" t="str">
        <f t="shared" si="692"/>
        <v>2220</v>
      </c>
      <c r="K5810" s="5" t="str">
        <f t="shared" si="693"/>
        <v>000</v>
      </c>
      <c r="L5810" s="5">
        <f t="shared" si="694"/>
        <v>2</v>
      </c>
      <c r="M5810" s="5">
        <f t="shared" si="695"/>
        <v>2013</v>
      </c>
    </row>
    <row r="5811" spans="1:13" ht="15" x14ac:dyDescent="0.25">
      <c r="A5811" s="1">
        <f>DATE(2013,2,28)</f>
        <v>41333</v>
      </c>
      <c r="B5811" t="s">
        <v>19</v>
      </c>
      <c r="C5811" t="s">
        <v>6</v>
      </c>
      <c r="D5811" s="3">
        <v>4853.8820000000005</v>
      </c>
      <c r="E5811" s="3">
        <v>0</v>
      </c>
      <c r="F5811" t="s">
        <v>45</v>
      </c>
      <c r="G5811" s="3">
        <f t="shared" si="689"/>
        <v>-4853.8820000000005</v>
      </c>
      <c r="H5811" s="3">
        <f t="shared" si="690"/>
        <v>4853.8820000000005</v>
      </c>
      <c r="I5811" s="5" t="str">
        <f t="shared" si="691"/>
        <v>018</v>
      </c>
      <c r="J5811" s="5" t="str">
        <f t="shared" si="692"/>
        <v>2100</v>
      </c>
      <c r="K5811" s="5" t="str">
        <f t="shared" si="693"/>
        <v>000</v>
      </c>
      <c r="L5811" s="5">
        <f t="shared" si="694"/>
        <v>2</v>
      </c>
      <c r="M5811" s="5">
        <f t="shared" si="695"/>
        <v>2013</v>
      </c>
    </row>
    <row r="5812" spans="1:13" ht="15" x14ac:dyDescent="0.25">
      <c r="A5812" s="1">
        <f>DATE(2013,2,28)</f>
        <v>41333</v>
      </c>
      <c r="B5812" t="s">
        <v>20</v>
      </c>
      <c r="C5812" t="s">
        <v>8</v>
      </c>
      <c r="D5812" s="3">
        <v>857.3664</v>
      </c>
      <c r="E5812" s="3">
        <v>0</v>
      </c>
      <c r="F5812" t="s">
        <v>45</v>
      </c>
      <c r="G5812" s="3">
        <f t="shared" si="689"/>
        <v>-857.3664</v>
      </c>
      <c r="H5812" s="3">
        <f t="shared" si="690"/>
        <v>857.3664</v>
      </c>
      <c r="I5812" s="5" t="str">
        <f t="shared" si="691"/>
        <v>018</v>
      </c>
      <c r="J5812" s="5" t="str">
        <f t="shared" si="692"/>
        <v>2210</v>
      </c>
      <c r="K5812" s="5" t="str">
        <f t="shared" si="693"/>
        <v>000</v>
      </c>
      <c r="L5812" s="5">
        <f t="shared" si="694"/>
        <v>2</v>
      </c>
      <c r="M5812" s="5">
        <f t="shared" si="695"/>
        <v>2013</v>
      </c>
    </row>
    <row r="5813" spans="1:13" ht="15" x14ac:dyDescent="0.25">
      <c r="A5813" s="1">
        <f>DATE(2013,2,28)</f>
        <v>41333</v>
      </c>
      <c r="B5813" t="s">
        <v>21</v>
      </c>
      <c r="C5813" t="s">
        <v>9</v>
      </c>
      <c r="D5813" s="3">
        <v>166.57760000000002</v>
      </c>
      <c r="E5813" s="3">
        <v>0</v>
      </c>
      <c r="F5813" t="s">
        <v>45</v>
      </c>
      <c r="G5813" s="3">
        <f t="shared" si="689"/>
        <v>-166.57760000000002</v>
      </c>
      <c r="H5813" s="3">
        <f t="shared" si="690"/>
        <v>166.57760000000002</v>
      </c>
      <c r="I5813" s="5" t="str">
        <f t="shared" si="691"/>
        <v>018</v>
      </c>
      <c r="J5813" s="5" t="str">
        <f t="shared" si="692"/>
        <v>2220</v>
      </c>
      <c r="K5813" s="5" t="str">
        <f t="shared" si="693"/>
        <v>000</v>
      </c>
      <c r="L5813" s="5">
        <f t="shared" si="694"/>
        <v>2</v>
      </c>
      <c r="M5813" s="5">
        <f t="shared" si="695"/>
        <v>2013</v>
      </c>
    </row>
    <row r="5814" spans="1:13" ht="15" x14ac:dyDescent="0.25">
      <c r="A5814" s="1">
        <f>DATE(2013,2,28)</f>
        <v>41333</v>
      </c>
      <c r="B5814" t="s">
        <v>22</v>
      </c>
      <c r="C5814" t="s">
        <v>10</v>
      </c>
      <c r="D5814" s="3">
        <v>58.136000000000003</v>
      </c>
      <c r="E5814" s="3">
        <v>0</v>
      </c>
      <c r="F5814" t="s">
        <v>45</v>
      </c>
      <c r="G5814" s="3">
        <f t="shared" si="689"/>
        <v>-58.136000000000003</v>
      </c>
      <c r="H5814" s="3">
        <f t="shared" si="690"/>
        <v>58.136000000000003</v>
      </c>
      <c r="I5814" s="5" t="str">
        <f t="shared" si="691"/>
        <v>018</v>
      </c>
      <c r="J5814" s="5" t="str">
        <f t="shared" si="692"/>
        <v>2230</v>
      </c>
      <c r="K5814" s="5" t="str">
        <f t="shared" si="693"/>
        <v>000</v>
      </c>
      <c r="L5814" s="5">
        <f t="shared" si="694"/>
        <v>2</v>
      </c>
      <c r="M5814" s="5">
        <f t="shared" si="695"/>
        <v>2013</v>
      </c>
    </row>
    <row r="5815" spans="1:13" ht="15" x14ac:dyDescent="0.25">
      <c r="A5815" s="1">
        <f>DATE(2013,3,1)</f>
        <v>41334</v>
      </c>
      <c r="B5815" t="s">
        <v>19</v>
      </c>
      <c r="C5815" t="s">
        <v>6</v>
      </c>
      <c r="D5815" s="3">
        <v>7297.798499999999</v>
      </c>
      <c r="E5815" s="3">
        <v>0</v>
      </c>
      <c r="F5815" t="s">
        <v>45</v>
      </c>
      <c r="G5815" s="3">
        <f t="shared" si="689"/>
        <v>-7297.798499999999</v>
      </c>
      <c r="H5815" s="3">
        <f t="shared" si="690"/>
        <v>7297.798499999999</v>
      </c>
      <c r="I5815" s="5" t="str">
        <f t="shared" si="691"/>
        <v>018</v>
      </c>
      <c r="J5815" s="5" t="str">
        <f t="shared" si="692"/>
        <v>2100</v>
      </c>
      <c r="K5815" s="5" t="str">
        <f t="shared" si="693"/>
        <v>000</v>
      </c>
      <c r="L5815" s="5">
        <f t="shared" si="694"/>
        <v>3</v>
      </c>
      <c r="M5815" s="5">
        <f t="shared" si="695"/>
        <v>2013</v>
      </c>
    </row>
    <row r="5816" spans="1:13" ht="15" x14ac:dyDescent="0.25">
      <c r="A5816" s="1">
        <f>DATE(2013,3,1)</f>
        <v>41334</v>
      </c>
      <c r="B5816" t="s">
        <v>20</v>
      </c>
      <c r="C5816" t="s">
        <v>8</v>
      </c>
      <c r="D5816" s="3">
        <v>1917.5573999999999</v>
      </c>
      <c r="E5816" s="3">
        <v>0</v>
      </c>
      <c r="F5816" t="s">
        <v>45</v>
      </c>
      <c r="G5816" s="3">
        <f t="shared" si="689"/>
        <v>-1917.5573999999999</v>
      </c>
      <c r="H5816" s="3">
        <f t="shared" si="690"/>
        <v>1917.5573999999999</v>
      </c>
      <c r="I5816" s="5" t="str">
        <f t="shared" si="691"/>
        <v>018</v>
      </c>
      <c r="J5816" s="5" t="str">
        <f t="shared" si="692"/>
        <v>2210</v>
      </c>
      <c r="K5816" s="5" t="str">
        <f t="shared" si="693"/>
        <v>000</v>
      </c>
      <c r="L5816" s="5">
        <f t="shared" si="694"/>
        <v>3</v>
      </c>
      <c r="M5816" s="5">
        <f t="shared" si="695"/>
        <v>2013</v>
      </c>
    </row>
    <row r="5817" spans="1:13" ht="15" x14ac:dyDescent="0.25">
      <c r="A5817" s="1">
        <f>DATE(2013,3,1)</f>
        <v>41334</v>
      </c>
      <c r="B5817" t="s">
        <v>21</v>
      </c>
      <c r="C5817" t="s">
        <v>9</v>
      </c>
      <c r="D5817" s="3">
        <v>721.49649999999997</v>
      </c>
      <c r="E5817" s="3">
        <v>0</v>
      </c>
      <c r="F5817" t="s">
        <v>45</v>
      </c>
      <c r="G5817" s="3">
        <f t="shared" si="689"/>
        <v>-721.49649999999997</v>
      </c>
      <c r="H5817" s="3">
        <f t="shared" si="690"/>
        <v>721.49649999999997</v>
      </c>
      <c r="I5817" s="5" t="str">
        <f t="shared" si="691"/>
        <v>018</v>
      </c>
      <c r="J5817" s="5" t="str">
        <f t="shared" si="692"/>
        <v>2220</v>
      </c>
      <c r="K5817" s="5" t="str">
        <f t="shared" si="693"/>
        <v>000</v>
      </c>
      <c r="L5817" s="5">
        <f t="shared" si="694"/>
        <v>3</v>
      </c>
      <c r="M5817" s="5">
        <f t="shared" si="695"/>
        <v>2013</v>
      </c>
    </row>
    <row r="5818" spans="1:13" ht="15" x14ac:dyDescent="0.25">
      <c r="A5818" s="1">
        <f>DATE(2013,3,1)</f>
        <v>41334</v>
      </c>
      <c r="B5818" t="s">
        <v>22</v>
      </c>
      <c r="C5818" t="s">
        <v>10</v>
      </c>
      <c r="D5818" s="3">
        <v>154.03560000000002</v>
      </c>
      <c r="E5818" s="3">
        <v>0</v>
      </c>
      <c r="F5818" t="s">
        <v>45</v>
      </c>
      <c r="G5818" s="3">
        <f t="shared" si="689"/>
        <v>-154.03560000000002</v>
      </c>
      <c r="H5818" s="3">
        <f t="shared" si="690"/>
        <v>154.03560000000002</v>
      </c>
      <c r="I5818" s="5" t="str">
        <f t="shared" si="691"/>
        <v>018</v>
      </c>
      <c r="J5818" s="5" t="str">
        <f t="shared" si="692"/>
        <v>2230</v>
      </c>
      <c r="K5818" s="5" t="str">
        <f t="shared" si="693"/>
        <v>000</v>
      </c>
      <c r="L5818" s="5">
        <f t="shared" si="694"/>
        <v>3</v>
      </c>
      <c r="M5818" s="5">
        <f t="shared" si="695"/>
        <v>2013</v>
      </c>
    </row>
    <row r="5819" spans="1:13" ht="15" x14ac:dyDescent="0.25">
      <c r="A5819" s="1">
        <f>DATE(2013,3,2)</f>
        <v>41335</v>
      </c>
      <c r="B5819" t="s">
        <v>19</v>
      </c>
      <c r="C5819" t="s">
        <v>6</v>
      </c>
      <c r="D5819" s="3">
        <v>16838.5448</v>
      </c>
      <c r="E5819" s="3">
        <v>0</v>
      </c>
      <c r="F5819" t="s">
        <v>45</v>
      </c>
      <c r="G5819" s="3">
        <f t="shared" si="689"/>
        <v>-16838.5448</v>
      </c>
      <c r="H5819" s="3">
        <f t="shared" si="690"/>
        <v>16838.5448</v>
      </c>
      <c r="I5819" s="5" t="str">
        <f t="shared" si="691"/>
        <v>018</v>
      </c>
      <c r="J5819" s="5" t="str">
        <f t="shared" si="692"/>
        <v>2100</v>
      </c>
      <c r="K5819" s="5" t="str">
        <f t="shared" si="693"/>
        <v>000</v>
      </c>
      <c r="L5819" s="5">
        <f t="shared" si="694"/>
        <v>3</v>
      </c>
      <c r="M5819" s="5">
        <f t="shared" si="695"/>
        <v>2013</v>
      </c>
    </row>
    <row r="5820" spans="1:13" ht="15" x14ac:dyDescent="0.25">
      <c r="A5820" s="1">
        <f>DATE(2013,3,2)</f>
        <v>41335</v>
      </c>
      <c r="B5820" t="s">
        <v>20</v>
      </c>
      <c r="C5820" t="s">
        <v>8</v>
      </c>
      <c r="D5820" s="3">
        <v>2593.7308000000003</v>
      </c>
      <c r="E5820" s="3">
        <v>0</v>
      </c>
      <c r="F5820" t="s">
        <v>45</v>
      </c>
      <c r="G5820" s="3">
        <f t="shared" si="689"/>
        <v>-2593.7308000000003</v>
      </c>
      <c r="H5820" s="3">
        <f t="shared" si="690"/>
        <v>2593.7308000000003</v>
      </c>
      <c r="I5820" s="5" t="str">
        <f t="shared" si="691"/>
        <v>018</v>
      </c>
      <c r="J5820" s="5" t="str">
        <f t="shared" si="692"/>
        <v>2210</v>
      </c>
      <c r="K5820" s="5" t="str">
        <f t="shared" si="693"/>
        <v>000</v>
      </c>
      <c r="L5820" s="5">
        <f t="shared" si="694"/>
        <v>3</v>
      </c>
      <c r="M5820" s="5">
        <f t="shared" si="695"/>
        <v>2013</v>
      </c>
    </row>
    <row r="5821" spans="1:13" ht="15" x14ac:dyDescent="0.25">
      <c r="A5821" s="1">
        <f>DATE(2013,3,2)</f>
        <v>41335</v>
      </c>
      <c r="B5821" t="s">
        <v>21</v>
      </c>
      <c r="C5821" t="s">
        <v>9</v>
      </c>
      <c r="D5821" s="3">
        <v>800.50400000000002</v>
      </c>
      <c r="E5821" s="3">
        <v>0</v>
      </c>
      <c r="F5821" t="s">
        <v>45</v>
      </c>
      <c r="G5821" s="3">
        <f t="shared" si="689"/>
        <v>-800.50400000000002</v>
      </c>
      <c r="H5821" s="3">
        <f t="shared" si="690"/>
        <v>800.50400000000002</v>
      </c>
      <c r="I5821" s="5" t="str">
        <f t="shared" si="691"/>
        <v>018</v>
      </c>
      <c r="J5821" s="5" t="str">
        <f t="shared" si="692"/>
        <v>2220</v>
      </c>
      <c r="K5821" s="5" t="str">
        <f t="shared" si="693"/>
        <v>000</v>
      </c>
      <c r="L5821" s="5">
        <f t="shared" si="694"/>
        <v>3</v>
      </c>
      <c r="M5821" s="5">
        <f t="shared" si="695"/>
        <v>2013</v>
      </c>
    </row>
    <row r="5822" spans="1:13" ht="15" x14ac:dyDescent="0.25">
      <c r="A5822" s="1">
        <f>DATE(2013,3,2)</f>
        <v>41335</v>
      </c>
      <c r="B5822" t="s">
        <v>22</v>
      </c>
      <c r="C5822" t="s">
        <v>10</v>
      </c>
      <c r="D5822" s="3">
        <v>142.88029999999998</v>
      </c>
      <c r="E5822" s="3">
        <v>0</v>
      </c>
      <c r="F5822" t="s">
        <v>45</v>
      </c>
      <c r="G5822" s="3">
        <f t="shared" si="689"/>
        <v>-142.88029999999998</v>
      </c>
      <c r="H5822" s="3">
        <f t="shared" si="690"/>
        <v>142.88029999999998</v>
      </c>
      <c r="I5822" s="5" t="str">
        <f t="shared" si="691"/>
        <v>018</v>
      </c>
      <c r="J5822" s="5" t="str">
        <f t="shared" si="692"/>
        <v>2230</v>
      </c>
      <c r="K5822" s="5" t="str">
        <f t="shared" si="693"/>
        <v>000</v>
      </c>
      <c r="L5822" s="5">
        <f t="shared" si="694"/>
        <v>3</v>
      </c>
      <c r="M5822" s="5">
        <f t="shared" si="695"/>
        <v>2013</v>
      </c>
    </row>
    <row r="5823" spans="1:13" ht="15" x14ac:dyDescent="0.25">
      <c r="A5823" s="1">
        <f>DATE(2013,3,3)</f>
        <v>41336</v>
      </c>
      <c r="B5823" t="s">
        <v>19</v>
      </c>
      <c r="C5823" t="s">
        <v>6</v>
      </c>
      <c r="D5823" s="3">
        <v>12406.919</v>
      </c>
      <c r="E5823" s="3">
        <v>0</v>
      </c>
      <c r="F5823" t="s">
        <v>45</v>
      </c>
      <c r="G5823" s="3">
        <f t="shared" si="689"/>
        <v>-12406.919</v>
      </c>
      <c r="H5823" s="3">
        <f t="shared" si="690"/>
        <v>12406.919</v>
      </c>
      <c r="I5823" s="5" t="str">
        <f t="shared" si="691"/>
        <v>018</v>
      </c>
      <c r="J5823" s="5" t="str">
        <f t="shared" si="692"/>
        <v>2100</v>
      </c>
      <c r="K5823" s="5" t="str">
        <f t="shared" si="693"/>
        <v>000</v>
      </c>
      <c r="L5823" s="5">
        <f t="shared" si="694"/>
        <v>3</v>
      </c>
      <c r="M5823" s="5">
        <f t="shared" si="695"/>
        <v>2013</v>
      </c>
    </row>
    <row r="5824" spans="1:13" ht="15" x14ac:dyDescent="0.25">
      <c r="A5824" s="1">
        <f>DATE(2013,3,3)</f>
        <v>41336</v>
      </c>
      <c r="B5824" t="s">
        <v>20</v>
      </c>
      <c r="C5824" t="s">
        <v>8</v>
      </c>
      <c r="D5824" s="3">
        <v>1680</v>
      </c>
      <c r="E5824" s="3">
        <v>0</v>
      </c>
      <c r="F5824" t="s">
        <v>45</v>
      </c>
      <c r="G5824" s="3">
        <f t="shared" si="689"/>
        <v>-1680</v>
      </c>
      <c r="H5824" s="3">
        <f t="shared" si="690"/>
        <v>1680</v>
      </c>
      <c r="I5824" s="5" t="str">
        <f t="shared" si="691"/>
        <v>018</v>
      </c>
      <c r="J5824" s="5" t="str">
        <f t="shared" si="692"/>
        <v>2210</v>
      </c>
      <c r="K5824" s="5" t="str">
        <f t="shared" si="693"/>
        <v>000</v>
      </c>
      <c r="L5824" s="5">
        <f t="shared" si="694"/>
        <v>3</v>
      </c>
      <c r="M5824" s="5">
        <f t="shared" si="695"/>
        <v>2013</v>
      </c>
    </row>
    <row r="5825" spans="1:13" ht="15" x14ac:dyDescent="0.25">
      <c r="A5825" s="1">
        <f>DATE(2013,3,3)</f>
        <v>41336</v>
      </c>
      <c r="B5825" t="s">
        <v>21</v>
      </c>
      <c r="C5825" t="s">
        <v>9</v>
      </c>
      <c r="D5825" s="3">
        <v>400.96800000000002</v>
      </c>
      <c r="E5825" s="3">
        <v>0</v>
      </c>
      <c r="F5825" t="s">
        <v>45</v>
      </c>
      <c r="G5825" s="3">
        <f t="shared" si="689"/>
        <v>-400.96800000000002</v>
      </c>
      <c r="H5825" s="3">
        <f t="shared" si="690"/>
        <v>400.96800000000002</v>
      </c>
      <c r="I5825" s="5" t="str">
        <f t="shared" si="691"/>
        <v>018</v>
      </c>
      <c r="J5825" s="5" t="str">
        <f t="shared" si="692"/>
        <v>2220</v>
      </c>
      <c r="K5825" s="5" t="str">
        <f t="shared" si="693"/>
        <v>000</v>
      </c>
      <c r="L5825" s="5">
        <f t="shared" si="694"/>
        <v>3</v>
      </c>
      <c r="M5825" s="5">
        <f t="shared" si="695"/>
        <v>2013</v>
      </c>
    </row>
    <row r="5826" spans="1:13" ht="15" x14ac:dyDescent="0.25">
      <c r="A5826" s="1">
        <f>DATE(2013,3,3)</f>
        <v>41336</v>
      </c>
      <c r="B5826" t="s">
        <v>22</v>
      </c>
      <c r="C5826" t="s">
        <v>10</v>
      </c>
      <c r="D5826" s="3">
        <v>38.641500000000001</v>
      </c>
      <c r="E5826" s="3">
        <v>0</v>
      </c>
      <c r="F5826" t="s">
        <v>45</v>
      </c>
      <c r="G5826" s="3">
        <f t="shared" ref="G5826:G5889" si="696">E5826-D5826</f>
        <v>-38.641500000000001</v>
      </c>
      <c r="H5826" s="3">
        <f t="shared" ref="H5826:H5889" si="697">ABS(G5826)</f>
        <v>38.641500000000001</v>
      </c>
      <c r="I5826" s="5" t="str">
        <f t="shared" ref="I5826:I5889" si="698">MID(B5826,1,3)</f>
        <v>018</v>
      </c>
      <c r="J5826" s="5" t="str">
        <f t="shared" ref="J5826:J5889" si="699">MID(B5826,5,4)</f>
        <v>2230</v>
      </c>
      <c r="K5826" s="5" t="str">
        <f t="shared" ref="K5826:K5889" si="700">MID(B5826,10,3)</f>
        <v>000</v>
      </c>
      <c r="L5826" s="5">
        <f t="shared" ref="L5826:L5889" si="701">MONTH(A5826)</f>
        <v>3</v>
      </c>
      <c r="M5826" s="5">
        <f t="shared" ref="M5826:M5889" si="702">YEAR(A5826)</f>
        <v>2013</v>
      </c>
    </row>
    <row r="5827" spans="1:13" ht="15" x14ac:dyDescent="0.25">
      <c r="A5827" s="1">
        <f>DATE(2013,3,4)</f>
        <v>41337</v>
      </c>
      <c r="B5827" t="s">
        <v>11</v>
      </c>
      <c r="C5827" t="s">
        <v>6</v>
      </c>
      <c r="D5827" s="3">
        <v>3761.9754000000003</v>
      </c>
      <c r="E5827" s="3">
        <v>0</v>
      </c>
      <c r="F5827" t="s">
        <v>45</v>
      </c>
      <c r="G5827" s="3">
        <f t="shared" si="696"/>
        <v>-3761.9754000000003</v>
      </c>
      <c r="H5827" s="3">
        <f t="shared" si="697"/>
        <v>3761.9754000000003</v>
      </c>
      <c r="I5827" s="5" t="str">
        <f t="shared" si="698"/>
        <v>016</v>
      </c>
      <c r="J5827" s="5" t="str">
        <f t="shared" si="699"/>
        <v>2100</v>
      </c>
      <c r="K5827" s="5" t="str">
        <f t="shared" si="700"/>
        <v>000</v>
      </c>
      <c r="L5827" s="5">
        <f t="shared" si="701"/>
        <v>3</v>
      </c>
      <c r="M5827" s="5">
        <f t="shared" si="702"/>
        <v>2013</v>
      </c>
    </row>
    <row r="5828" spans="1:13" ht="15" x14ac:dyDescent="0.25">
      <c r="A5828" s="1">
        <f>DATE(2013,3,4)</f>
        <v>41337</v>
      </c>
      <c r="B5828" t="s">
        <v>12</v>
      </c>
      <c r="C5828" t="s">
        <v>8</v>
      </c>
      <c r="D5828" s="3">
        <v>1058.5564999999999</v>
      </c>
      <c r="E5828" s="3">
        <v>0</v>
      </c>
      <c r="F5828" t="s">
        <v>45</v>
      </c>
      <c r="G5828" s="3">
        <f t="shared" si="696"/>
        <v>-1058.5564999999999</v>
      </c>
      <c r="H5828" s="3">
        <f t="shared" si="697"/>
        <v>1058.5564999999999</v>
      </c>
      <c r="I5828" s="5" t="str">
        <f t="shared" si="698"/>
        <v>016</v>
      </c>
      <c r="J5828" s="5" t="str">
        <f t="shared" si="699"/>
        <v>2210</v>
      </c>
      <c r="K5828" s="5" t="str">
        <f t="shared" si="700"/>
        <v>000</v>
      </c>
      <c r="L5828" s="5">
        <f t="shared" si="701"/>
        <v>3</v>
      </c>
      <c r="M5828" s="5">
        <f t="shared" si="702"/>
        <v>2013</v>
      </c>
    </row>
    <row r="5829" spans="1:13" ht="15" x14ac:dyDescent="0.25">
      <c r="A5829" s="1">
        <f>DATE(2013,3,4)</f>
        <v>41337</v>
      </c>
      <c r="B5829" t="s">
        <v>13</v>
      </c>
      <c r="C5829" t="s">
        <v>9</v>
      </c>
      <c r="D5829" s="3">
        <v>90.740999999999985</v>
      </c>
      <c r="E5829" s="3">
        <v>0</v>
      </c>
      <c r="F5829" t="s">
        <v>45</v>
      </c>
      <c r="G5829" s="3">
        <f t="shared" si="696"/>
        <v>-90.740999999999985</v>
      </c>
      <c r="H5829" s="3">
        <f t="shared" si="697"/>
        <v>90.740999999999985</v>
      </c>
      <c r="I5829" s="5" t="str">
        <f t="shared" si="698"/>
        <v>016</v>
      </c>
      <c r="J5829" s="5" t="str">
        <f t="shared" si="699"/>
        <v>2220</v>
      </c>
      <c r="K5829" s="5" t="str">
        <f t="shared" si="700"/>
        <v>000</v>
      </c>
      <c r="L5829" s="5">
        <f t="shared" si="701"/>
        <v>3</v>
      </c>
      <c r="M5829" s="5">
        <f t="shared" si="702"/>
        <v>2013</v>
      </c>
    </row>
    <row r="5830" spans="1:13" ht="15" x14ac:dyDescent="0.25">
      <c r="A5830" s="1">
        <f>DATE(2013,3,4)</f>
        <v>41337</v>
      </c>
      <c r="B5830" t="s">
        <v>14</v>
      </c>
      <c r="C5830" t="s">
        <v>10</v>
      </c>
      <c r="D5830" s="3">
        <v>91.245000000000005</v>
      </c>
      <c r="E5830" s="3">
        <v>0</v>
      </c>
      <c r="F5830" t="s">
        <v>45</v>
      </c>
      <c r="G5830" s="3">
        <f t="shared" si="696"/>
        <v>-91.245000000000005</v>
      </c>
      <c r="H5830" s="3">
        <f t="shared" si="697"/>
        <v>91.245000000000005</v>
      </c>
      <c r="I5830" s="5" t="str">
        <f t="shared" si="698"/>
        <v>016</v>
      </c>
      <c r="J5830" s="5" t="str">
        <f t="shared" si="699"/>
        <v>2230</v>
      </c>
      <c r="K5830" s="5" t="str">
        <f t="shared" si="700"/>
        <v>000</v>
      </c>
      <c r="L5830" s="5">
        <f t="shared" si="701"/>
        <v>3</v>
      </c>
      <c r="M5830" s="5">
        <f t="shared" si="702"/>
        <v>2013</v>
      </c>
    </row>
    <row r="5831" spans="1:13" ht="15" x14ac:dyDescent="0.25">
      <c r="A5831" s="1">
        <f>DATE(2013,3,5)</f>
        <v>41338</v>
      </c>
      <c r="B5831" t="s">
        <v>11</v>
      </c>
      <c r="C5831" t="s">
        <v>6</v>
      </c>
      <c r="D5831" s="3">
        <v>7241.4395999999997</v>
      </c>
      <c r="E5831" s="3">
        <v>0</v>
      </c>
      <c r="F5831" t="s">
        <v>45</v>
      </c>
      <c r="G5831" s="3">
        <f t="shared" si="696"/>
        <v>-7241.4395999999997</v>
      </c>
      <c r="H5831" s="3">
        <f t="shared" si="697"/>
        <v>7241.4395999999997</v>
      </c>
      <c r="I5831" s="5" t="str">
        <f t="shared" si="698"/>
        <v>016</v>
      </c>
      <c r="J5831" s="5" t="str">
        <f t="shared" si="699"/>
        <v>2100</v>
      </c>
      <c r="K5831" s="5" t="str">
        <f t="shared" si="700"/>
        <v>000</v>
      </c>
      <c r="L5831" s="5">
        <f t="shared" si="701"/>
        <v>3</v>
      </c>
      <c r="M5831" s="5">
        <f t="shared" si="702"/>
        <v>2013</v>
      </c>
    </row>
    <row r="5832" spans="1:13" ht="15" x14ac:dyDescent="0.25">
      <c r="A5832" s="1">
        <f>DATE(2013,3,5)</f>
        <v>41338</v>
      </c>
      <c r="B5832" t="s">
        <v>12</v>
      </c>
      <c r="C5832" t="s">
        <v>8</v>
      </c>
      <c r="D5832" s="3">
        <v>1845.7745999999997</v>
      </c>
      <c r="E5832" s="3">
        <v>0</v>
      </c>
      <c r="F5832" t="s">
        <v>45</v>
      </c>
      <c r="G5832" s="3">
        <f t="shared" si="696"/>
        <v>-1845.7745999999997</v>
      </c>
      <c r="H5832" s="3">
        <f t="shared" si="697"/>
        <v>1845.7745999999997</v>
      </c>
      <c r="I5832" s="5" t="str">
        <f t="shared" si="698"/>
        <v>016</v>
      </c>
      <c r="J5832" s="5" t="str">
        <f t="shared" si="699"/>
        <v>2210</v>
      </c>
      <c r="K5832" s="5" t="str">
        <f t="shared" si="700"/>
        <v>000</v>
      </c>
      <c r="L5832" s="5">
        <f t="shared" si="701"/>
        <v>3</v>
      </c>
      <c r="M5832" s="5">
        <f t="shared" si="702"/>
        <v>2013</v>
      </c>
    </row>
    <row r="5833" spans="1:13" ht="15" x14ac:dyDescent="0.25">
      <c r="A5833" s="1">
        <f>DATE(2013,3,5)</f>
        <v>41338</v>
      </c>
      <c r="B5833" t="s">
        <v>13</v>
      </c>
      <c r="C5833" t="s">
        <v>9</v>
      </c>
      <c r="D5833" s="3">
        <v>883.44960000000003</v>
      </c>
      <c r="E5833" s="3">
        <v>0</v>
      </c>
      <c r="F5833" t="s">
        <v>45</v>
      </c>
      <c r="G5833" s="3">
        <f t="shared" si="696"/>
        <v>-883.44960000000003</v>
      </c>
      <c r="H5833" s="3">
        <f t="shared" si="697"/>
        <v>883.44960000000003</v>
      </c>
      <c r="I5833" s="5" t="str">
        <f t="shared" si="698"/>
        <v>016</v>
      </c>
      <c r="J5833" s="5" t="str">
        <f t="shared" si="699"/>
        <v>2220</v>
      </c>
      <c r="K5833" s="5" t="str">
        <f t="shared" si="700"/>
        <v>000</v>
      </c>
      <c r="L5833" s="5">
        <f t="shared" si="701"/>
        <v>3</v>
      </c>
      <c r="M5833" s="5">
        <f t="shared" si="702"/>
        <v>2013</v>
      </c>
    </row>
    <row r="5834" spans="1:13" ht="15" x14ac:dyDescent="0.25">
      <c r="A5834" s="1">
        <f>DATE(2013,3,5)</f>
        <v>41338</v>
      </c>
      <c r="B5834" t="s">
        <v>14</v>
      </c>
      <c r="C5834" t="s">
        <v>10</v>
      </c>
      <c r="D5834" s="3">
        <v>151.1994</v>
      </c>
      <c r="E5834" s="3">
        <v>0</v>
      </c>
      <c r="F5834" t="s">
        <v>45</v>
      </c>
      <c r="G5834" s="3">
        <f t="shared" si="696"/>
        <v>-151.1994</v>
      </c>
      <c r="H5834" s="3">
        <f t="shared" si="697"/>
        <v>151.1994</v>
      </c>
      <c r="I5834" s="5" t="str">
        <f t="shared" si="698"/>
        <v>016</v>
      </c>
      <c r="J5834" s="5" t="str">
        <f t="shared" si="699"/>
        <v>2230</v>
      </c>
      <c r="K5834" s="5" t="str">
        <f t="shared" si="700"/>
        <v>000</v>
      </c>
      <c r="L5834" s="5">
        <f t="shared" si="701"/>
        <v>3</v>
      </c>
      <c r="M5834" s="5">
        <f t="shared" si="702"/>
        <v>2013</v>
      </c>
    </row>
    <row r="5835" spans="1:13" ht="15" x14ac:dyDescent="0.25">
      <c r="A5835" s="1">
        <f>DATE(2013,3,6)</f>
        <v>41339</v>
      </c>
      <c r="B5835" t="s">
        <v>11</v>
      </c>
      <c r="C5835" t="s">
        <v>6</v>
      </c>
      <c r="D5835" s="3">
        <v>3202.4304000000002</v>
      </c>
      <c r="E5835" s="3">
        <v>0</v>
      </c>
      <c r="F5835" t="s">
        <v>45</v>
      </c>
      <c r="G5835" s="3">
        <f t="shared" si="696"/>
        <v>-3202.4304000000002</v>
      </c>
      <c r="H5835" s="3">
        <f t="shared" si="697"/>
        <v>3202.4304000000002</v>
      </c>
      <c r="I5835" s="5" t="str">
        <f t="shared" si="698"/>
        <v>016</v>
      </c>
      <c r="J5835" s="5" t="str">
        <f t="shared" si="699"/>
        <v>2100</v>
      </c>
      <c r="K5835" s="5" t="str">
        <f t="shared" si="700"/>
        <v>000</v>
      </c>
      <c r="L5835" s="5">
        <f t="shared" si="701"/>
        <v>3</v>
      </c>
      <c r="M5835" s="5">
        <f t="shared" si="702"/>
        <v>2013</v>
      </c>
    </row>
    <row r="5836" spans="1:13" ht="15" x14ac:dyDescent="0.25">
      <c r="A5836" s="1">
        <f>DATE(2013,3,6)</f>
        <v>41339</v>
      </c>
      <c r="B5836" t="s">
        <v>12</v>
      </c>
      <c r="C5836" t="s">
        <v>8</v>
      </c>
      <c r="D5836" s="3">
        <v>745.40800000000002</v>
      </c>
      <c r="E5836" s="3">
        <v>0</v>
      </c>
      <c r="F5836" t="s">
        <v>45</v>
      </c>
      <c r="G5836" s="3">
        <f t="shared" si="696"/>
        <v>-745.40800000000002</v>
      </c>
      <c r="H5836" s="3">
        <f t="shared" si="697"/>
        <v>745.40800000000002</v>
      </c>
      <c r="I5836" s="5" t="str">
        <f t="shared" si="698"/>
        <v>016</v>
      </c>
      <c r="J5836" s="5" t="str">
        <f t="shared" si="699"/>
        <v>2210</v>
      </c>
      <c r="K5836" s="5" t="str">
        <f t="shared" si="700"/>
        <v>000</v>
      </c>
      <c r="L5836" s="5">
        <f t="shared" si="701"/>
        <v>3</v>
      </c>
      <c r="M5836" s="5">
        <f t="shared" si="702"/>
        <v>2013</v>
      </c>
    </row>
    <row r="5837" spans="1:13" ht="15" x14ac:dyDescent="0.25">
      <c r="A5837" s="1">
        <f>DATE(2013,3,6)</f>
        <v>41339</v>
      </c>
      <c r="B5837" t="s">
        <v>13</v>
      </c>
      <c r="C5837" t="s">
        <v>9</v>
      </c>
      <c r="D5837" s="3">
        <v>108.49299999999999</v>
      </c>
      <c r="E5837" s="3">
        <v>0</v>
      </c>
      <c r="F5837" t="s">
        <v>45</v>
      </c>
      <c r="G5837" s="3">
        <f t="shared" si="696"/>
        <v>-108.49299999999999</v>
      </c>
      <c r="H5837" s="3">
        <f t="shared" si="697"/>
        <v>108.49299999999999</v>
      </c>
      <c r="I5837" s="5" t="str">
        <f t="shared" si="698"/>
        <v>016</v>
      </c>
      <c r="J5837" s="5" t="str">
        <f t="shared" si="699"/>
        <v>2220</v>
      </c>
      <c r="K5837" s="5" t="str">
        <f t="shared" si="700"/>
        <v>000</v>
      </c>
      <c r="L5837" s="5">
        <f t="shared" si="701"/>
        <v>3</v>
      </c>
      <c r="M5837" s="5">
        <f t="shared" si="702"/>
        <v>2013</v>
      </c>
    </row>
    <row r="5838" spans="1:13" ht="15" x14ac:dyDescent="0.25">
      <c r="A5838" s="1">
        <f>DATE(2013,3,6)</f>
        <v>41339</v>
      </c>
      <c r="B5838" t="s">
        <v>14</v>
      </c>
      <c r="C5838" t="s">
        <v>10</v>
      </c>
      <c r="D5838" s="3">
        <v>106.6656</v>
      </c>
      <c r="E5838" s="3">
        <v>0</v>
      </c>
      <c r="F5838" t="s">
        <v>45</v>
      </c>
      <c r="G5838" s="3">
        <f t="shared" si="696"/>
        <v>-106.6656</v>
      </c>
      <c r="H5838" s="3">
        <f t="shared" si="697"/>
        <v>106.6656</v>
      </c>
      <c r="I5838" s="5" t="str">
        <f t="shared" si="698"/>
        <v>016</v>
      </c>
      <c r="J5838" s="5" t="str">
        <f t="shared" si="699"/>
        <v>2230</v>
      </c>
      <c r="K5838" s="5" t="str">
        <f t="shared" si="700"/>
        <v>000</v>
      </c>
      <c r="L5838" s="5">
        <f t="shared" si="701"/>
        <v>3</v>
      </c>
      <c r="M5838" s="5">
        <f t="shared" si="702"/>
        <v>2013</v>
      </c>
    </row>
    <row r="5839" spans="1:13" ht="15" x14ac:dyDescent="0.25">
      <c r="A5839" s="1">
        <f>DATE(2013,3,7)</f>
        <v>41340</v>
      </c>
      <c r="B5839" t="s">
        <v>11</v>
      </c>
      <c r="C5839" t="s">
        <v>6</v>
      </c>
      <c r="D5839" s="3">
        <v>5136.1032000000005</v>
      </c>
      <c r="E5839" s="3">
        <v>0</v>
      </c>
      <c r="F5839" t="s">
        <v>45</v>
      </c>
      <c r="G5839" s="3">
        <f t="shared" si="696"/>
        <v>-5136.1032000000005</v>
      </c>
      <c r="H5839" s="3">
        <f t="shared" si="697"/>
        <v>5136.1032000000005</v>
      </c>
      <c r="I5839" s="5" t="str">
        <f t="shared" si="698"/>
        <v>016</v>
      </c>
      <c r="J5839" s="5" t="str">
        <f t="shared" si="699"/>
        <v>2100</v>
      </c>
      <c r="K5839" s="5" t="str">
        <f t="shared" si="700"/>
        <v>000</v>
      </c>
      <c r="L5839" s="5">
        <f t="shared" si="701"/>
        <v>3</v>
      </c>
      <c r="M5839" s="5">
        <f t="shared" si="702"/>
        <v>2013</v>
      </c>
    </row>
    <row r="5840" spans="1:13" ht="15" x14ac:dyDescent="0.25">
      <c r="A5840" s="1">
        <f>DATE(2013,3,7)</f>
        <v>41340</v>
      </c>
      <c r="B5840" t="s">
        <v>12</v>
      </c>
      <c r="C5840" t="s">
        <v>8</v>
      </c>
      <c r="D5840" s="3">
        <v>1245.0239999999999</v>
      </c>
      <c r="E5840" s="3">
        <v>0</v>
      </c>
      <c r="F5840" t="s">
        <v>45</v>
      </c>
      <c r="G5840" s="3">
        <f t="shared" si="696"/>
        <v>-1245.0239999999999</v>
      </c>
      <c r="H5840" s="3">
        <f t="shared" si="697"/>
        <v>1245.0239999999999</v>
      </c>
      <c r="I5840" s="5" t="str">
        <f t="shared" si="698"/>
        <v>016</v>
      </c>
      <c r="J5840" s="5" t="str">
        <f t="shared" si="699"/>
        <v>2210</v>
      </c>
      <c r="K5840" s="5" t="str">
        <f t="shared" si="700"/>
        <v>000</v>
      </c>
      <c r="L5840" s="5">
        <f t="shared" si="701"/>
        <v>3</v>
      </c>
      <c r="M5840" s="5">
        <f t="shared" si="702"/>
        <v>2013</v>
      </c>
    </row>
    <row r="5841" spans="1:13" ht="15" x14ac:dyDescent="0.25">
      <c r="A5841" s="1">
        <f>DATE(2013,3,7)</f>
        <v>41340</v>
      </c>
      <c r="B5841" t="s">
        <v>13</v>
      </c>
      <c r="C5841" t="s">
        <v>9</v>
      </c>
      <c r="D5841" s="3">
        <v>298.93799999999999</v>
      </c>
      <c r="E5841" s="3">
        <v>0</v>
      </c>
      <c r="F5841" t="s">
        <v>45</v>
      </c>
      <c r="G5841" s="3">
        <f t="shared" si="696"/>
        <v>-298.93799999999999</v>
      </c>
      <c r="H5841" s="3">
        <f t="shared" si="697"/>
        <v>298.93799999999999</v>
      </c>
      <c r="I5841" s="5" t="str">
        <f t="shared" si="698"/>
        <v>016</v>
      </c>
      <c r="J5841" s="5" t="str">
        <f t="shared" si="699"/>
        <v>2220</v>
      </c>
      <c r="K5841" s="5" t="str">
        <f t="shared" si="700"/>
        <v>000</v>
      </c>
      <c r="L5841" s="5">
        <f t="shared" si="701"/>
        <v>3</v>
      </c>
      <c r="M5841" s="5">
        <f t="shared" si="702"/>
        <v>2013</v>
      </c>
    </row>
    <row r="5842" spans="1:13" ht="15" x14ac:dyDescent="0.25">
      <c r="A5842" s="1">
        <f>DATE(2013,3,7)</f>
        <v>41340</v>
      </c>
      <c r="B5842" t="s">
        <v>14</v>
      </c>
      <c r="C5842" t="s">
        <v>10</v>
      </c>
      <c r="D5842" s="3">
        <v>217.72800000000001</v>
      </c>
      <c r="E5842" s="3">
        <v>0</v>
      </c>
      <c r="F5842" t="s">
        <v>45</v>
      </c>
      <c r="G5842" s="3">
        <f t="shared" si="696"/>
        <v>-217.72800000000001</v>
      </c>
      <c r="H5842" s="3">
        <f t="shared" si="697"/>
        <v>217.72800000000001</v>
      </c>
      <c r="I5842" s="5" t="str">
        <f t="shared" si="698"/>
        <v>016</v>
      </c>
      <c r="J5842" s="5" t="str">
        <f t="shared" si="699"/>
        <v>2230</v>
      </c>
      <c r="K5842" s="5" t="str">
        <f t="shared" si="700"/>
        <v>000</v>
      </c>
      <c r="L5842" s="5">
        <f t="shared" si="701"/>
        <v>3</v>
      </c>
      <c r="M5842" s="5">
        <f t="shared" si="702"/>
        <v>2013</v>
      </c>
    </row>
    <row r="5843" spans="1:13" ht="15" x14ac:dyDescent="0.25">
      <c r="A5843" s="1">
        <f>DATE(2013,3,8)</f>
        <v>41341</v>
      </c>
      <c r="B5843" t="s">
        <v>11</v>
      </c>
      <c r="C5843" t="s">
        <v>6</v>
      </c>
      <c r="D5843" s="3">
        <v>8687.4120000000003</v>
      </c>
      <c r="E5843" s="3">
        <v>0</v>
      </c>
      <c r="F5843" t="s">
        <v>45</v>
      </c>
      <c r="G5843" s="3">
        <f t="shared" si="696"/>
        <v>-8687.4120000000003</v>
      </c>
      <c r="H5843" s="3">
        <f t="shared" si="697"/>
        <v>8687.4120000000003</v>
      </c>
      <c r="I5843" s="5" t="str">
        <f t="shared" si="698"/>
        <v>016</v>
      </c>
      <c r="J5843" s="5" t="str">
        <f t="shared" si="699"/>
        <v>2100</v>
      </c>
      <c r="K5843" s="5" t="str">
        <f t="shared" si="700"/>
        <v>000</v>
      </c>
      <c r="L5843" s="5">
        <f t="shared" si="701"/>
        <v>3</v>
      </c>
      <c r="M5843" s="5">
        <f t="shared" si="702"/>
        <v>2013</v>
      </c>
    </row>
    <row r="5844" spans="1:13" ht="15" x14ac:dyDescent="0.25">
      <c r="A5844" s="1">
        <f>DATE(2013,3,8)</f>
        <v>41341</v>
      </c>
      <c r="B5844" t="s">
        <v>12</v>
      </c>
      <c r="C5844" t="s">
        <v>8</v>
      </c>
      <c r="D5844" s="3">
        <v>2247.4407999999999</v>
      </c>
      <c r="E5844" s="3">
        <v>0</v>
      </c>
      <c r="F5844" t="s">
        <v>45</v>
      </c>
      <c r="G5844" s="3">
        <f t="shared" si="696"/>
        <v>-2247.4407999999999</v>
      </c>
      <c r="H5844" s="3">
        <f t="shared" si="697"/>
        <v>2247.4407999999999</v>
      </c>
      <c r="I5844" s="5" t="str">
        <f t="shared" si="698"/>
        <v>016</v>
      </c>
      <c r="J5844" s="5" t="str">
        <f t="shared" si="699"/>
        <v>2210</v>
      </c>
      <c r="K5844" s="5" t="str">
        <f t="shared" si="700"/>
        <v>000</v>
      </c>
      <c r="L5844" s="5">
        <f t="shared" si="701"/>
        <v>3</v>
      </c>
      <c r="M5844" s="5">
        <f t="shared" si="702"/>
        <v>2013</v>
      </c>
    </row>
    <row r="5845" spans="1:13" ht="15" x14ac:dyDescent="0.25">
      <c r="A5845" s="1">
        <f>DATE(2013,3,8)</f>
        <v>41341</v>
      </c>
      <c r="B5845" t="s">
        <v>13</v>
      </c>
      <c r="C5845" t="s">
        <v>9</v>
      </c>
      <c r="D5845" s="3">
        <v>299.62240000000003</v>
      </c>
      <c r="E5845" s="3">
        <v>0</v>
      </c>
      <c r="F5845" t="s">
        <v>45</v>
      </c>
      <c r="G5845" s="3">
        <f t="shared" si="696"/>
        <v>-299.62240000000003</v>
      </c>
      <c r="H5845" s="3">
        <f t="shared" si="697"/>
        <v>299.62240000000003</v>
      </c>
      <c r="I5845" s="5" t="str">
        <f t="shared" si="698"/>
        <v>016</v>
      </c>
      <c r="J5845" s="5" t="str">
        <f t="shared" si="699"/>
        <v>2220</v>
      </c>
      <c r="K5845" s="5" t="str">
        <f t="shared" si="700"/>
        <v>000</v>
      </c>
      <c r="L5845" s="5">
        <f t="shared" si="701"/>
        <v>3</v>
      </c>
      <c r="M5845" s="5">
        <f t="shared" si="702"/>
        <v>2013</v>
      </c>
    </row>
    <row r="5846" spans="1:13" ht="15" x14ac:dyDescent="0.25">
      <c r="A5846" s="1">
        <f>DATE(2013,3,8)</f>
        <v>41341</v>
      </c>
      <c r="B5846" t="s">
        <v>14</v>
      </c>
      <c r="C5846" t="s">
        <v>10</v>
      </c>
      <c r="D5846" s="3">
        <v>416.214</v>
      </c>
      <c r="E5846" s="3">
        <v>0</v>
      </c>
      <c r="F5846" t="s">
        <v>45</v>
      </c>
      <c r="G5846" s="3">
        <f t="shared" si="696"/>
        <v>-416.214</v>
      </c>
      <c r="H5846" s="3">
        <f t="shared" si="697"/>
        <v>416.214</v>
      </c>
      <c r="I5846" s="5" t="str">
        <f t="shared" si="698"/>
        <v>016</v>
      </c>
      <c r="J5846" s="5" t="str">
        <f t="shared" si="699"/>
        <v>2230</v>
      </c>
      <c r="K5846" s="5" t="str">
        <f t="shared" si="700"/>
        <v>000</v>
      </c>
      <c r="L5846" s="5">
        <f t="shared" si="701"/>
        <v>3</v>
      </c>
      <c r="M5846" s="5">
        <f t="shared" si="702"/>
        <v>2013</v>
      </c>
    </row>
    <row r="5847" spans="1:13" ht="15" x14ac:dyDescent="0.25">
      <c r="A5847" s="1">
        <f>DATE(2013,3,9)</f>
        <v>41342</v>
      </c>
      <c r="B5847" t="s">
        <v>11</v>
      </c>
      <c r="C5847" t="s">
        <v>6</v>
      </c>
      <c r="D5847" s="3">
        <v>8518.2559000000001</v>
      </c>
      <c r="E5847" s="3">
        <v>0</v>
      </c>
      <c r="F5847" t="s">
        <v>45</v>
      </c>
      <c r="G5847" s="3">
        <f t="shared" si="696"/>
        <v>-8518.2559000000001</v>
      </c>
      <c r="H5847" s="3">
        <f t="shared" si="697"/>
        <v>8518.2559000000001</v>
      </c>
      <c r="I5847" s="5" t="str">
        <f t="shared" si="698"/>
        <v>016</v>
      </c>
      <c r="J5847" s="5" t="str">
        <f t="shared" si="699"/>
        <v>2100</v>
      </c>
      <c r="K5847" s="5" t="str">
        <f t="shared" si="700"/>
        <v>000</v>
      </c>
      <c r="L5847" s="5">
        <f t="shared" si="701"/>
        <v>3</v>
      </c>
      <c r="M5847" s="5">
        <f t="shared" si="702"/>
        <v>2013</v>
      </c>
    </row>
    <row r="5848" spans="1:13" ht="15" x14ac:dyDescent="0.25">
      <c r="A5848" s="1">
        <f>DATE(2013,3,9)</f>
        <v>41342</v>
      </c>
      <c r="B5848" t="s">
        <v>12</v>
      </c>
      <c r="C5848" t="s">
        <v>8</v>
      </c>
      <c r="D5848" s="3">
        <v>2121.4570000000003</v>
      </c>
      <c r="E5848" s="3">
        <v>0</v>
      </c>
      <c r="F5848" t="s">
        <v>45</v>
      </c>
      <c r="G5848" s="3">
        <f t="shared" si="696"/>
        <v>-2121.4570000000003</v>
      </c>
      <c r="H5848" s="3">
        <f t="shared" si="697"/>
        <v>2121.4570000000003</v>
      </c>
      <c r="I5848" s="5" t="str">
        <f t="shared" si="698"/>
        <v>016</v>
      </c>
      <c r="J5848" s="5" t="str">
        <f t="shared" si="699"/>
        <v>2210</v>
      </c>
      <c r="K5848" s="5" t="str">
        <f t="shared" si="700"/>
        <v>000</v>
      </c>
      <c r="L5848" s="5">
        <f t="shared" si="701"/>
        <v>3</v>
      </c>
      <c r="M5848" s="5">
        <f t="shared" si="702"/>
        <v>2013</v>
      </c>
    </row>
    <row r="5849" spans="1:13" ht="15" x14ac:dyDescent="0.25">
      <c r="A5849" s="1">
        <f>DATE(2013,3,9)</f>
        <v>41342</v>
      </c>
      <c r="B5849" t="s">
        <v>13</v>
      </c>
      <c r="C5849" t="s">
        <v>9</v>
      </c>
      <c r="D5849" s="3">
        <v>250.51400000000004</v>
      </c>
      <c r="E5849" s="3">
        <v>0</v>
      </c>
      <c r="F5849" t="s">
        <v>45</v>
      </c>
      <c r="G5849" s="3">
        <f t="shared" si="696"/>
        <v>-250.51400000000004</v>
      </c>
      <c r="H5849" s="3">
        <f t="shared" si="697"/>
        <v>250.51400000000004</v>
      </c>
      <c r="I5849" s="5" t="str">
        <f t="shared" si="698"/>
        <v>016</v>
      </c>
      <c r="J5849" s="5" t="str">
        <f t="shared" si="699"/>
        <v>2220</v>
      </c>
      <c r="K5849" s="5" t="str">
        <f t="shared" si="700"/>
        <v>000</v>
      </c>
      <c r="L5849" s="5">
        <f t="shared" si="701"/>
        <v>3</v>
      </c>
      <c r="M5849" s="5">
        <f t="shared" si="702"/>
        <v>2013</v>
      </c>
    </row>
    <row r="5850" spans="1:13" ht="15" x14ac:dyDescent="0.25">
      <c r="A5850" s="1">
        <f>DATE(2013,3,9)</f>
        <v>41342</v>
      </c>
      <c r="B5850" t="s">
        <v>14</v>
      </c>
      <c r="C5850" t="s">
        <v>10</v>
      </c>
      <c r="D5850" s="3">
        <v>245.36820000000003</v>
      </c>
      <c r="E5850" s="3">
        <v>0</v>
      </c>
      <c r="F5850" t="s">
        <v>45</v>
      </c>
      <c r="G5850" s="3">
        <f t="shared" si="696"/>
        <v>-245.36820000000003</v>
      </c>
      <c r="H5850" s="3">
        <f t="shared" si="697"/>
        <v>245.36820000000003</v>
      </c>
      <c r="I5850" s="5" t="str">
        <f t="shared" si="698"/>
        <v>016</v>
      </c>
      <c r="J5850" s="5" t="str">
        <f t="shared" si="699"/>
        <v>2230</v>
      </c>
      <c r="K5850" s="5" t="str">
        <f t="shared" si="700"/>
        <v>000</v>
      </c>
      <c r="L5850" s="5">
        <f t="shared" si="701"/>
        <v>3</v>
      </c>
      <c r="M5850" s="5">
        <f t="shared" si="702"/>
        <v>2013</v>
      </c>
    </row>
    <row r="5851" spans="1:13" ht="15" x14ac:dyDescent="0.25">
      <c r="A5851" s="1">
        <f>DATE(2013,3,10)</f>
        <v>41343</v>
      </c>
      <c r="B5851" t="s">
        <v>11</v>
      </c>
      <c r="C5851" t="s">
        <v>6</v>
      </c>
      <c r="D5851" s="3">
        <v>5160.4336000000003</v>
      </c>
      <c r="E5851" s="3">
        <v>0</v>
      </c>
      <c r="F5851" t="s">
        <v>45</v>
      </c>
      <c r="G5851" s="3">
        <f t="shared" si="696"/>
        <v>-5160.4336000000003</v>
      </c>
      <c r="H5851" s="3">
        <f t="shared" si="697"/>
        <v>5160.4336000000003</v>
      </c>
      <c r="I5851" s="5" t="str">
        <f t="shared" si="698"/>
        <v>016</v>
      </c>
      <c r="J5851" s="5" t="str">
        <f t="shared" si="699"/>
        <v>2100</v>
      </c>
      <c r="K5851" s="5" t="str">
        <f t="shared" si="700"/>
        <v>000</v>
      </c>
      <c r="L5851" s="5">
        <f t="shared" si="701"/>
        <v>3</v>
      </c>
      <c r="M5851" s="5">
        <f t="shared" si="702"/>
        <v>2013</v>
      </c>
    </row>
    <row r="5852" spans="1:13" ht="15" x14ac:dyDescent="0.25">
      <c r="A5852" s="1">
        <f>DATE(2013,3,10)</f>
        <v>41343</v>
      </c>
      <c r="B5852" t="s">
        <v>12</v>
      </c>
      <c r="C5852" t="s">
        <v>8</v>
      </c>
      <c r="D5852" s="3">
        <v>1225.8746000000001</v>
      </c>
      <c r="E5852" s="3">
        <v>0</v>
      </c>
      <c r="F5852" t="s">
        <v>45</v>
      </c>
      <c r="G5852" s="3">
        <f t="shared" si="696"/>
        <v>-1225.8746000000001</v>
      </c>
      <c r="H5852" s="3">
        <f t="shared" si="697"/>
        <v>1225.8746000000001</v>
      </c>
      <c r="I5852" s="5" t="str">
        <f t="shared" si="698"/>
        <v>016</v>
      </c>
      <c r="J5852" s="5" t="str">
        <f t="shared" si="699"/>
        <v>2210</v>
      </c>
      <c r="K5852" s="5" t="str">
        <f t="shared" si="700"/>
        <v>000</v>
      </c>
      <c r="L5852" s="5">
        <f t="shared" si="701"/>
        <v>3</v>
      </c>
      <c r="M5852" s="5">
        <f t="shared" si="702"/>
        <v>2013</v>
      </c>
    </row>
    <row r="5853" spans="1:13" ht="15" x14ac:dyDescent="0.25">
      <c r="A5853" s="1">
        <f>DATE(2013,3,10)</f>
        <v>41343</v>
      </c>
      <c r="B5853" t="s">
        <v>13</v>
      </c>
      <c r="C5853" t="s">
        <v>9</v>
      </c>
      <c r="D5853" s="3">
        <v>249.10709999999997</v>
      </c>
      <c r="E5853" s="3">
        <v>0</v>
      </c>
      <c r="F5853" t="s">
        <v>45</v>
      </c>
      <c r="G5853" s="3">
        <f t="shared" si="696"/>
        <v>-249.10709999999997</v>
      </c>
      <c r="H5853" s="3">
        <f t="shared" si="697"/>
        <v>249.10709999999997</v>
      </c>
      <c r="I5853" s="5" t="str">
        <f t="shared" si="698"/>
        <v>016</v>
      </c>
      <c r="J5853" s="5" t="str">
        <f t="shared" si="699"/>
        <v>2220</v>
      </c>
      <c r="K5853" s="5" t="str">
        <f t="shared" si="700"/>
        <v>000</v>
      </c>
      <c r="L5853" s="5">
        <f t="shared" si="701"/>
        <v>3</v>
      </c>
      <c r="M5853" s="5">
        <f t="shared" si="702"/>
        <v>2013</v>
      </c>
    </row>
    <row r="5854" spans="1:13" ht="15" x14ac:dyDescent="0.25">
      <c r="A5854" s="1">
        <f>DATE(2013,3,10)</f>
        <v>41343</v>
      </c>
      <c r="B5854" t="s">
        <v>14</v>
      </c>
      <c r="C5854" t="s">
        <v>10</v>
      </c>
      <c r="D5854" s="3">
        <v>123.08579999999999</v>
      </c>
      <c r="E5854" s="3">
        <v>0</v>
      </c>
      <c r="F5854" t="s">
        <v>45</v>
      </c>
      <c r="G5854" s="3">
        <f t="shared" si="696"/>
        <v>-123.08579999999999</v>
      </c>
      <c r="H5854" s="3">
        <f t="shared" si="697"/>
        <v>123.08579999999999</v>
      </c>
      <c r="I5854" s="5" t="str">
        <f t="shared" si="698"/>
        <v>016</v>
      </c>
      <c r="J5854" s="5" t="str">
        <f t="shared" si="699"/>
        <v>2230</v>
      </c>
      <c r="K5854" s="5" t="str">
        <f t="shared" si="700"/>
        <v>000</v>
      </c>
      <c r="L5854" s="5">
        <f t="shared" si="701"/>
        <v>3</v>
      </c>
      <c r="M5854" s="5">
        <f t="shared" si="702"/>
        <v>2013</v>
      </c>
    </row>
    <row r="5855" spans="1:13" ht="15" x14ac:dyDescent="0.25">
      <c r="A5855" s="1">
        <f>DATE(2013,3,4)</f>
        <v>41337</v>
      </c>
      <c r="B5855" t="s">
        <v>15</v>
      </c>
      <c r="C5855" t="s">
        <v>6</v>
      </c>
      <c r="D5855" s="3">
        <v>3952.2968999999998</v>
      </c>
      <c r="E5855" s="3">
        <v>0</v>
      </c>
      <c r="F5855" t="s">
        <v>45</v>
      </c>
      <c r="G5855" s="3">
        <f t="shared" si="696"/>
        <v>-3952.2968999999998</v>
      </c>
      <c r="H5855" s="3">
        <f t="shared" si="697"/>
        <v>3952.2968999999998</v>
      </c>
      <c r="I5855" s="5" t="str">
        <f t="shared" si="698"/>
        <v>017</v>
      </c>
      <c r="J5855" s="5" t="str">
        <f t="shared" si="699"/>
        <v>2100</v>
      </c>
      <c r="K5855" s="5" t="str">
        <f t="shared" si="700"/>
        <v>000</v>
      </c>
      <c r="L5855" s="5">
        <f t="shared" si="701"/>
        <v>3</v>
      </c>
      <c r="M5855" s="5">
        <f t="shared" si="702"/>
        <v>2013</v>
      </c>
    </row>
    <row r="5856" spans="1:13" ht="15" x14ac:dyDescent="0.25">
      <c r="A5856" s="1">
        <f>DATE(2013,3,4)</f>
        <v>41337</v>
      </c>
      <c r="B5856" t="s">
        <v>16</v>
      </c>
      <c r="C5856" t="s">
        <v>8</v>
      </c>
      <c r="D5856" s="3">
        <v>946.38259999999991</v>
      </c>
      <c r="E5856" s="3">
        <v>0</v>
      </c>
      <c r="F5856" t="s">
        <v>45</v>
      </c>
      <c r="G5856" s="3">
        <f t="shared" si="696"/>
        <v>-946.38259999999991</v>
      </c>
      <c r="H5856" s="3">
        <f t="shared" si="697"/>
        <v>946.38259999999991</v>
      </c>
      <c r="I5856" s="5" t="str">
        <f t="shared" si="698"/>
        <v>017</v>
      </c>
      <c r="J5856" s="5" t="str">
        <f t="shared" si="699"/>
        <v>2210</v>
      </c>
      <c r="K5856" s="5" t="str">
        <f t="shared" si="700"/>
        <v>000</v>
      </c>
      <c r="L5856" s="5">
        <f t="shared" si="701"/>
        <v>3</v>
      </c>
      <c r="M5856" s="5">
        <f t="shared" si="702"/>
        <v>2013</v>
      </c>
    </row>
    <row r="5857" spans="1:13" ht="15" x14ac:dyDescent="0.25">
      <c r="A5857" s="1">
        <f>DATE(2013,3,4)</f>
        <v>41337</v>
      </c>
      <c r="B5857" t="s">
        <v>17</v>
      </c>
      <c r="C5857" t="s">
        <v>9</v>
      </c>
      <c r="D5857" s="3">
        <v>163.965</v>
      </c>
      <c r="E5857" s="3">
        <v>0</v>
      </c>
      <c r="F5857" t="s">
        <v>45</v>
      </c>
      <c r="G5857" s="3">
        <f t="shared" si="696"/>
        <v>-163.965</v>
      </c>
      <c r="H5857" s="3">
        <f t="shared" si="697"/>
        <v>163.965</v>
      </c>
      <c r="I5857" s="5" t="str">
        <f t="shared" si="698"/>
        <v>017</v>
      </c>
      <c r="J5857" s="5" t="str">
        <f t="shared" si="699"/>
        <v>2220</v>
      </c>
      <c r="K5857" s="5" t="str">
        <f t="shared" si="700"/>
        <v>000</v>
      </c>
      <c r="L5857" s="5">
        <f t="shared" si="701"/>
        <v>3</v>
      </c>
      <c r="M5857" s="5">
        <f t="shared" si="702"/>
        <v>2013</v>
      </c>
    </row>
    <row r="5858" spans="1:13" ht="15" x14ac:dyDescent="0.25">
      <c r="A5858" s="1">
        <f>DATE(2013,3,4)</f>
        <v>41337</v>
      </c>
      <c r="B5858" t="s">
        <v>18</v>
      </c>
      <c r="C5858" t="s">
        <v>10</v>
      </c>
      <c r="D5858" s="3">
        <v>13.4232</v>
      </c>
      <c r="E5858" s="3">
        <v>0</v>
      </c>
      <c r="F5858" t="s">
        <v>45</v>
      </c>
      <c r="G5858" s="3">
        <f t="shared" si="696"/>
        <v>-13.4232</v>
      </c>
      <c r="H5858" s="3">
        <f t="shared" si="697"/>
        <v>13.4232</v>
      </c>
      <c r="I5858" s="5" t="str">
        <f t="shared" si="698"/>
        <v>017</v>
      </c>
      <c r="J5858" s="5" t="str">
        <f t="shared" si="699"/>
        <v>2230</v>
      </c>
      <c r="K5858" s="5" t="str">
        <f t="shared" si="700"/>
        <v>000</v>
      </c>
      <c r="L5858" s="5">
        <f t="shared" si="701"/>
        <v>3</v>
      </c>
      <c r="M5858" s="5">
        <f t="shared" si="702"/>
        <v>2013</v>
      </c>
    </row>
    <row r="5859" spans="1:13" ht="15" x14ac:dyDescent="0.25">
      <c r="A5859" s="1">
        <f>DATE(2013,3,5)</f>
        <v>41338</v>
      </c>
      <c r="B5859" t="s">
        <v>15</v>
      </c>
      <c r="C5859" t="s">
        <v>6</v>
      </c>
      <c r="D5859" s="3">
        <v>5311.5021999999999</v>
      </c>
      <c r="E5859" s="3">
        <v>0</v>
      </c>
      <c r="F5859" t="s">
        <v>45</v>
      </c>
      <c r="G5859" s="3">
        <f t="shared" si="696"/>
        <v>-5311.5021999999999</v>
      </c>
      <c r="H5859" s="3">
        <f t="shared" si="697"/>
        <v>5311.5021999999999</v>
      </c>
      <c r="I5859" s="5" t="str">
        <f t="shared" si="698"/>
        <v>017</v>
      </c>
      <c r="J5859" s="5" t="str">
        <f t="shared" si="699"/>
        <v>2100</v>
      </c>
      <c r="K5859" s="5" t="str">
        <f t="shared" si="700"/>
        <v>000</v>
      </c>
      <c r="L5859" s="5">
        <f t="shared" si="701"/>
        <v>3</v>
      </c>
      <c r="M5859" s="5">
        <f t="shared" si="702"/>
        <v>2013</v>
      </c>
    </row>
    <row r="5860" spans="1:13" ht="15" x14ac:dyDescent="0.25">
      <c r="A5860" s="1">
        <f>DATE(2013,3,5)</f>
        <v>41338</v>
      </c>
      <c r="B5860" t="s">
        <v>16</v>
      </c>
      <c r="C5860" t="s">
        <v>8</v>
      </c>
      <c r="D5860" s="3">
        <v>1084.8388</v>
      </c>
      <c r="E5860" s="3">
        <v>0</v>
      </c>
      <c r="F5860" t="s">
        <v>45</v>
      </c>
      <c r="G5860" s="3">
        <f t="shared" si="696"/>
        <v>-1084.8388</v>
      </c>
      <c r="H5860" s="3">
        <f t="shared" si="697"/>
        <v>1084.8388</v>
      </c>
      <c r="I5860" s="5" t="str">
        <f t="shared" si="698"/>
        <v>017</v>
      </c>
      <c r="J5860" s="5" t="str">
        <f t="shared" si="699"/>
        <v>2210</v>
      </c>
      <c r="K5860" s="5" t="str">
        <f t="shared" si="700"/>
        <v>000</v>
      </c>
      <c r="L5860" s="5">
        <f t="shared" si="701"/>
        <v>3</v>
      </c>
      <c r="M5860" s="5">
        <f t="shared" si="702"/>
        <v>2013</v>
      </c>
    </row>
    <row r="5861" spans="1:13" ht="15" x14ac:dyDescent="0.25">
      <c r="A5861" s="1">
        <f>DATE(2013,3,5)</f>
        <v>41338</v>
      </c>
      <c r="B5861" t="s">
        <v>17</v>
      </c>
      <c r="C5861" t="s">
        <v>9</v>
      </c>
      <c r="D5861" s="3">
        <v>299.75760000000002</v>
      </c>
      <c r="E5861" s="3">
        <v>0</v>
      </c>
      <c r="F5861" t="s">
        <v>45</v>
      </c>
      <c r="G5861" s="3">
        <f t="shared" si="696"/>
        <v>-299.75760000000002</v>
      </c>
      <c r="H5861" s="3">
        <f t="shared" si="697"/>
        <v>299.75760000000002</v>
      </c>
      <c r="I5861" s="5" t="str">
        <f t="shared" si="698"/>
        <v>017</v>
      </c>
      <c r="J5861" s="5" t="str">
        <f t="shared" si="699"/>
        <v>2220</v>
      </c>
      <c r="K5861" s="5" t="str">
        <f t="shared" si="700"/>
        <v>000</v>
      </c>
      <c r="L5861" s="5">
        <f t="shared" si="701"/>
        <v>3</v>
      </c>
      <c r="M5861" s="5">
        <f t="shared" si="702"/>
        <v>2013</v>
      </c>
    </row>
    <row r="5862" spans="1:13" ht="15" x14ac:dyDescent="0.25">
      <c r="A5862" s="1">
        <f>DATE(2013,3,5)</f>
        <v>41338</v>
      </c>
      <c r="B5862" t="s">
        <v>18</v>
      </c>
      <c r="C5862" t="s">
        <v>10</v>
      </c>
      <c r="D5862" s="3">
        <v>51.529500000000006</v>
      </c>
      <c r="E5862" s="3">
        <v>0</v>
      </c>
      <c r="F5862" t="s">
        <v>45</v>
      </c>
      <c r="G5862" s="3">
        <f t="shared" si="696"/>
        <v>-51.529500000000006</v>
      </c>
      <c r="H5862" s="3">
        <f t="shared" si="697"/>
        <v>51.529500000000006</v>
      </c>
      <c r="I5862" s="5" t="str">
        <f t="shared" si="698"/>
        <v>017</v>
      </c>
      <c r="J5862" s="5" t="str">
        <f t="shared" si="699"/>
        <v>2230</v>
      </c>
      <c r="K5862" s="5" t="str">
        <f t="shared" si="700"/>
        <v>000</v>
      </c>
      <c r="L5862" s="5">
        <f t="shared" si="701"/>
        <v>3</v>
      </c>
      <c r="M5862" s="5">
        <f t="shared" si="702"/>
        <v>2013</v>
      </c>
    </row>
    <row r="5863" spans="1:13" ht="15" x14ac:dyDescent="0.25">
      <c r="A5863" s="1">
        <f>DATE(2013,3,6)</f>
        <v>41339</v>
      </c>
      <c r="B5863" t="s">
        <v>15</v>
      </c>
      <c r="C5863" t="s">
        <v>6</v>
      </c>
      <c r="D5863" s="3">
        <v>4795.6986000000006</v>
      </c>
      <c r="E5863" s="3">
        <v>0</v>
      </c>
      <c r="F5863" t="s">
        <v>45</v>
      </c>
      <c r="G5863" s="3">
        <f t="shared" si="696"/>
        <v>-4795.6986000000006</v>
      </c>
      <c r="H5863" s="3">
        <f t="shared" si="697"/>
        <v>4795.6986000000006</v>
      </c>
      <c r="I5863" s="5" t="str">
        <f t="shared" si="698"/>
        <v>017</v>
      </c>
      <c r="J5863" s="5" t="str">
        <f t="shared" si="699"/>
        <v>2100</v>
      </c>
      <c r="K5863" s="5" t="str">
        <f t="shared" si="700"/>
        <v>000</v>
      </c>
      <c r="L5863" s="5">
        <f t="shared" si="701"/>
        <v>3</v>
      </c>
      <c r="M5863" s="5">
        <f t="shared" si="702"/>
        <v>2013</v>
      </c>
    </row>
    <row r="5864" spans="1:13" ht="15" x14ac:dyDescent="0.25">
      <c r="A5864" s="1">
        <f>DATE(2013,3,6)</f>
        <v>41339</v>
      </c>
      <c r="B5864" t="s">
        <v>16</v>
      </c>
      <c r="C5864" t="s">
        <v>8</v>
      </c>
      <c r="D5864" s="3">
        <v>1164.4932000000001</v>
      </c>
      <c r="E5864" s="3">
        <v>0</v>
      </c>
      <c r="F5864" t="s">
        <v>45</v>
      </c>
      <c r="G5864" s="3">
        <f t="shared" si="696"/>
        <v>-1164.4932000000001</v>
      </c>
      <c r="H5864" s="3">
        <f t="shared" si="697"/>
        <v>1164.4932000000001</v>
      </c>
      <c r="I5864" s="5" t="str">
        <f t="shared" si="698"/>
        <v>017</v>
      </c>
      <c r="J5864" s="5" t="str">
        <f t="shared" si="699"/>
        <v>2210</v>
      </c>
      <c r="K5864" s="5" t="str">
        <f t="shared" si="700"/>
        <v>000</v>
      </c>
      <c r="L5864" s="5">
        <f t="shared" si="701"/>
        <v>3</v>
      </c>
      <c r="M5864" s="5">
        <f t="shared" si="702"/>
        <v>2013</v>
      </c>
    </row>
    <row r="5865" spans="1:13" ht="15" x14ac:dyDescent="0.25">
      <c r="A5865" s="1">
        <f>DATE(2013,3,6)</f>
        <v>41339</v>
      </c>
      <c r="B5865" t="s">
        <v>17</v>
      </c>
      <c r="C5865" t="s">
        <v>9</v>
      </c>
      <c r="D5865" s="3">
        <v>301.40880000000004</v>
      </c>
      <c r="E5865" s="3">
        <v>0</v>
      </c>
      <c r="F5865" t="s">
        <v>45</v>
      </c>
      <c r="G5865" s="3">
        <f t="shared" si="696"/>
        <v>-301.40880000000004</v>
      </c>
      <c r="H5865" s="3">
        <f t="shared" si="697"/>
        <v>301.40880000000004</v>
      </c>
      <c r="I5865" s="5" t="str">
        <f t="shared" si="698"/>
        <v>017</v>
      </c>
      <c r="J5865" s="5" t="str">
        <f t="shared" si="699"/>
        <v>2220</v>
      </c>
      <c r="K5865" s="5" t="str">
        <f t="shared" si="700"/>
        <v>000</v>
      </c>
      <c r="L5865" s="5">
        <f t="shared" si="701"/>
        <v>3</v>
      </c>
      <c r="M5865" s="5">
        <f t="shared" si="702"/>
        <v>2013</v>
      </c>
    </row>
    <row r="5866" spans="1:13" ht="15" x14ac:dyDescent="0.25">
      <c r="A5866" s="1">
        <f>DATE(2013,3,6)</f>
        <v>41339</v>
      </c>
      <c r="B5866" t="s">
        <v>18</v>
      </c>
      <c r="C5866" t="s">
        <v>10</v>
      </c>
      <c r="D5866" s="3">
        <v>87.121999999999986</v>
      </c>
      <c r="E5866" s="3">
        <v>0</v>
      </c>
      <c r="F5866" t="s">
        <v>45</v>
      </c>
      <c r="G5866" s="3">
        <f t="shared" si="696"/>
        <v>-87.121999999999986</v>
      </c>
      <c r="H5866" s="3">
        <f t="shared" si="697"/>
        <v>87.121999999999986</v>
      </c>
      <c r="I5866" s="5" t="str">
        <f t="shared" si="698"/>
        <v>017</v>
      </c>
      <c r="J5866" s="5" t="str">
        <f t="shared" si="699"/>
        <v>2230</v>
      </c>
      <c r="K5866" s="5" t="str">
        <f t="shared" si="700"/>
        <v>000</v>
      </c>
      <c r="L5866" s="5">
        <f t="shared" si="701"/>
        <v>3</v>
      </c>
      <c r="M5866" s="5">
        <f t="shared" si="702"/>
        <v>2013</v>
      </c>
    </row>
    <row r="5867" spans="1:13" ht="15" x14ac:dyDescent="0.25">
      <c r="A5867" s="1">
        <f>DATE(2013,3,7)</f>
        <v>41340</v>
      </c>
      <c r="B5867" t="s">
        <v>15</v>
      </c>
      <c r="C5867" t="s">
        <v>6</v>
      </c>
      <c r="D5867" s="3">
        <v>4175.22</v>
      </c>
      <c r="E5867" s="3">
        <v>0</v>
      </c>
      <c r="F5867" t="s">
        <v>45</v>
      </c>
      <c r="G5867" s="3">
        <f t="shared" si="696"/>
        <v>-4175.22</v>
      </c>
      <c r="H5867" s="3">
        <f t="shared" si="697"/>
        <v>4175.22</v>
      </c>
      <c r="I5867" s="5" t="str">
        <f t="shared" si="698"/>
        <v>017</v>
      </c>
      <c r="J5867" s="5" t="str">
        <f t="shared" si="699"/>
        <v>2100</v>
      </c>
      <c r="K5867" s="5" t="str">
        <f t="shared" si="700"/>
        <v>000</v>
      </c>
      <c r="L5867" s="5">
        <f t="shared" si="701"/>
        <v>3</v>
      </c>
      <c r="M5867" s="5">
        <f t="shared" si="702"/>
        <v>2013</v>
      </c>
    </row>
    <row r="5868" spans="1:13" ht="15" x14ac:dyDescent="0.25">
      <c r="A5868" s="1">
        <f>DATE(2013,3,7)</f>
        <v>41340</v>
      </c>
      <c r="B5868" t="s">
        <v>16</v>
      </c>
      <c r="C5868" t="s">
        <v>8</v>
      </c>
      <c r="D5868" s="3">
        <v>1236.5584000000001</v>
      </c>
      <c r="E5868" s="3">
        <v>0</v>
      </c>
      <c r="F5868" t="s">
        <v>45</v>
      </c>
      <c r="G5868" s="3">
        <f t="shared" si="696"/>
        <v>-1236.5584000000001</v>
      </c>
      <c r="H5868" s="3">
        <f t="shared" si="697"/>
        <v>1236.5584000000001</v>
      </c>
      <c r="I5868" s="5" t="str">
        <f t="shared" si="698"/>
        <v>017</v>
      </c>
      <c r="J5868" s="5" t="str">
        <f t="shared" si="699"/>
        <v>2210</v>
      </c>
      <c r="K5868" s="5" t="str">
        <f t="shared" si="700"/>
        <v>000</v>
      </c>
      <c r="L5868" s="5">
        <f t="shared" si="701"/>
        <v>3</v>
      </c>
      <c r="M5868" s="5">
        <f t="shared" si="702"/>
        <v>2013</v>
      </c>
    </row>
    <row r="5869" spans="1:13" ht="15" x14ac:dyDescent="0.25">
      <c r="A5869" s="1">
        <f>DATE(2013,3,7)</f>
        <v>41340</v>
      </c>
      <c r="B5869" t="s">
        <v>17</v>
      </c>
      <c r="C5869" t="s">
        <v>9</v>
      </c>
      <c r="D5869" s="3">
        <v>465.35999999999996</v>
      </c>
      <c r="E5869" s="3">
        <v>0</v>
      </c>
      <c r="F5869" t="s">
        <v>45</v>
      </c>
      <c r="G5869" s="3">
        <f t="shared" si="696"/>
        <v>-465.35999999999996</v>
      </c>
      <c r="H5869" s="3">
        <f t="shared" si="697"/>
        <v>465.35999999999996</v>
      </c>
      <c r="I5869" s="5" t="str">
        <f t="shared" si="698"/>
        <v>017</v>
      </c>
      <c r="J5869" s="5" t="str">
        <f t="shared" si="699"/>
        <v>2220</v>
      </c>
      <c r="K5869" s="5" t="str">
        <f t="shared" si="700"/>
        <v>000</v>
      </c>
      <c r="L5869" s="5">
        <f t="shared" si="701"/>
        <v>3</v>
      </c>
      <c r="M5869" s="5">
        <f t="shared" si="702"/>
        <v>2013</v>
      </c>
    </row>
    <row r="5870" spans="1:13" ht="15" x14ac:dyDescent="0.25">
      <c r="A5870" s="1">
        <f>DATE(2013,3,7)</f>
        <v>41340</v>
      </c>
      <c r="B5870" t="s">
        <v>18</v>
      </c>
      <c r="C5870" t="s">
        <v>10</v>
      </c>
      <c r="D5870" s="3">
        <v>119.92330000000001</v>
      </c>
      <c r="E5870" s="3">
        <v>0</v>
      </c>
      <c r="F5870" t="s">
        <v>45</v>
      </c>
      <c r="G5870" s="3">
        <f t="shared" si="696"/>
        <v>-119.92330000000001</v>
      </c>
      <c r="H5870" s="3">
        <f t="shared" si="697"/>
        <v>119.92330000000001</v>
      </c>
      <c r="I5870" s="5" t="str">
        <f t="shared" si="698"/>
        <v>017</v>
      </c>
      <c r="J5870" s="5" t="str">
        <f t="shared" si="699"/>
        <v>2230</v>
      </c>
      <c r="K5870" s="5" t="str">
        <f t="shared" si="700"/>
        <v>000</v>
      </c>
      <c r="L5870" s="5">
        <f t="shared" si="701"/>
        <v>3</v>
      </c>
      <c r="M5870" s="5">
        <f t="shared" si="702"/>
        <v>2013</v>
      </c>
    </row>
    <row r="5871" spans="1:13" ht="15" x14ac:dyDescent="0.25">
      <c r="A5871" s="1">
        <f>DATE(2013,3,8)</f>
        <v>41341</v>
      </c>
      <c r="B5871" t="s">
        <v>15</v>
      </c>
      <c r="C5871" t="s">
        <v>6</v>
      </c>
      <c r="D5871" s="3">
        <v>8202.9791999999998</v>
      </c>
      <c r="E5871" s="3">
        <v>0</v>
      </c>
      <c r="F5871" t="s">
        <v>45</v>
      </c>
      <c r="G5871" s="3">
        <f t="shared" si="696"/>
        <v>-8202.9791999999998</v>
      </c>
      <c r="H5871" s="3">
        <f t="shared" si="697"/>
        <v>8202.9791999999998</v>
      </c>
      <c r="I5871" s="5" t="str">
        <f t="shared" si="698"/>
        <v>017</v>
      </c>
      <c r="J5871" s="5" t="str">
        <f t="shared" si="699"/>
        <v>2100</v>
      </c>
      <c r="K5871" s="5" t="str">
        <f t="shared" si="700"/>
        <v>000</v>
      </c>
      <c r="L5871" s="5">
        <f t="shared" si="701"/>
        <v>3</v>
      </c>
      <c r="M5871" s="5">
        <f t="shared" si="702"/>
        <v>2013</v>
      </c>
    </row>
    <row r="5872" spans="1:13" ht="15" x14ac:dyDescent="0.25">
      <c r="A5872" s="1">
        <f>DATE(2013,3,8)</f>
        <v>41341</v>
      </c>
      <c r="B5872" t="s">
        <v>16</v>
      </c>
      <c r="C5872" t="s">
        <v>8</v>
      </c>
      <c r="D5872" s="3">
        <v>2834.9189999999999</v>
      </c>
      <c r="E5872" s="3">
        <v>0</v>
      </c>
      <c r="F5872" t="s">
        <v>45</v>
      </c>
      <c r="G5872" s="3">
        <f t="shared" si="696"/>
        <v>-2834.9189999999999</v>
      </c>
      <c r="H5872" s="3">
        <f t="shared" si="697"/>
        <v>2834.9189999999999</v>
      </c>
      <c r="I5872" s="5" t="str">
        <f t="shared" si="698"/>
        <v>017</v>
      </c>
      <c r="J5872" s="5" t="str">
        <f t="shared" si="699"/>
        <v>2210</v>
      </c>
      <c r="K5872" s="5" t="str">
        <f t="shared" si="700"/>
        <v>000</v>
      </c>
      <c r="L5872" s="5">
        <f t="shared" si="701"/>
        <v>3</v>
      </c>
      <c r="M5872" s="5">
        <f t="shared" si="702"/>
        <v>2013</v>
      </c>
    </row>
    <row r="5873" spans="1:13" ht="15" x14ac:dyDescent="0.25">
      <c r="A5873" s="1">
        <f>DATE(2013,3,8)</f>
        <v>41341</v>
      </c>
      <c r="B5873" t="s">
        <v>17</v>
      </c>
      <c r="C5873" t="s">
        <v>9</v>
      </c>
      <c r="D5873" s="3">
        <v>427.3974</v>
      </c>
      <c r="E5873" s="3">
        <v>0</v>
      </c>
      <c r="F5873" t="s">
        <v>45</v>
      </c>
      <c r="G5873" s="3">
        <f t="shared" si="696"/>
        <v>-427.3974</v>
      </c>
      <c r="H5873" s="3">
        <f t="shared" si="697"/>
        <v>427.3974</v>
      </c>
      <c r="I5873" s="5" t="str">
        <f t="shared" si="698"/>
        <v>017</v>
      </c>
      <c r="J5873" s="5" t="str">
        <f t="shared" si="699"/>
        <v>2220</v>
      </c>
      <c r="K5873" s="5" t="str">
        <f t="shared" si="700"/>
        <v>000</v>
      </c>
      <c r="L5873" s="5">
        <f t="shared" si="701"/>
        <v>3</v>
      </c>
      <c r="M5873" s="5">
        <f t="shared" si="702"/>
        <v>2013</v>
      </c>
    </row>
    <row r="5874" spans="1:13" ht="15" x14ac:dyDescent="0.25">
      <c r="A5874" s="1">
        <f>DATE(2013,3,8)</f>
        <v>41341</v>
      </c>
      <c r="B5874" t="s">
        <v>18</v>
      </c>
      <c r="C5874" t="s">
        <v>10</v>
      </c>
      <c r="D5874" s="3">
        <v>84.677999999999997</v>
      </c>
      <c r="E5874" s="3">
        <v>0</v>
      </c>
      <c r="F5874" t="s">
        <v>45</v>
      </c>
      <c r="G5874" s="3">
        <f t="shared" si="696"/>
        <v>-84.677999999999997</v>
      </c>
      <c r="H5874" s="3">
        <f t="shared" si="697"/>
        <v>84.677999999999997</v>
      </c>
      <c r="I5874" s="5" t="str">
        <f t="shared" si="698"/>
        <v>017</v>
      </c>
      <c r="J5874" s="5" t="str">
        <f t="shared" si="699"/>
        <v>2230</v>
      </c>
      <c r="K5874" s="5" t="str">
        <f t="shared" si="700"/>
        <v>000</v>
      </c>
      <c r="L5874" s="5">
        <f t="shared" si="701"/>
        <v>3</v>
      </c>
      <c r="M5874" s="5">
        <f t="shared" si="702"/>
        <v>2013</v>
      </c>
    </row>
    <row r="5875" spans="1:13" ht="15" x14ac:dyDescent="0.25">
      <c r="A5875" s="1">
        <f>DATE(2013,3,9)</f>
        <v>41342</v>
      </c>
      <c r="B5875" t="s">
        <v>15</v>
      </c>
      <c r="C5875" t="s">
        <v>6</v>
      </c>
      <c r="D5875" s="3">
        <v>5975.0824000000011</v>
      </c>
      <c r="E5875" s="3">
        <v>0</v>
      </c>
      <c r="F5875" t="s">
        <v>45</v>
      </c>
      <c r="G5875" s="3">
        <f t="shared" si="696"/>
        <v>-5975.0824000000011</v>
      </c>
      <c r="H5875" s="3">
        <f t="shared" si="697"/>
        <v>5975.0824000000011</v>
      </c>
      <c r="I5875" s="5" t="str">
        <f t="shared" si="698"/>
        <v>017</v>
      </c>
      <c r="J5875" s="5" t="str">
        <f t="shared" si="699"/>
        <v>2100</v>
      </c>
      <c r="K5875" s="5" t="str">
        <f t="shared" si="700"/>
        <v>000</v>
      </c>
      <c r="L5875" s="5">
        <f t="shared" si="701"/>
        <v>3</v>
      </c>
      <c r="M5875" s="5">
        <f t="shared" si="702"/>
        <v>2013</v>
      </c>
    </row>
    <row r="5876" spans="1:13" ht="15" x14ac:dyDescent="0.25">
      <c r="A5876" s="1">
        <f>DATE(2013,3,9)</f>
        <v>41342</v>
      </c>
      <c r="B5876" t="s">
        <v>16</v>
      </c>
      <c r="C5876" t="s">
        <v>8</v>
      </c>
      <c r="D5876" s="3">
        <v>1590.5670000000002</v>
      </c>
      <c r="E5876" s="3">
        <v>0</v>
      </c>
      <c r="F5876" t="s">
        <v>45</v>
      </c>
      <c r="G5876" s="3">
        <f t="shared" si="696"/>
        <v>-1590.5670000000002</v>
      </c>
      <c r="H5876" s="3">
        <f t="shared" si="697"/>
        <v>1590.5670000000002</v>
      </c>
      <c r="I5876" s="5" t="str">
        <f t="shared" si="698"/>
        <v>017</v>
      </c>
      <c r="J5876" s="5" t="str">
        <f t="shared" si="699"/>
        <v>2210</v>
      </c>
      <c r="K5876" s="5" t="str">
        <f t="shared" si="700"/>
        <v>000</v>
      </c>
      <c r="L5876" s="5">
        <f t="shared" si="701"/>
        <v>3</v>
      </c>
      <c r="M5876" s="5">
        <f t="shared" si="702"/>
        <v>2013</v>
      </c>
    </row>
    <row r="5877" spans="1:13" ht="15" x14ac:dyDescent="0.25">
      <c r="A5877" s="1">
        <f>DATE(2013,3,9)</f>
        <v>41342</v>
      </c>
      <c r="B5877" t="s">
        <v>17</v>
      </c>
      <c r="C5877" t="s">
        <v>9</v>
      </c>
      <c r="D5877" s="3">
        <v>445.08750000000003</v>
      </c>
      <c r="E5877" s="3">
        <v>0</v>
      </c>
      <c r="F5877" t="s">
        <v>45</v>
      </c>
      <c r="G5877" s="3">
        <f t="shared" si="696"/>
        <v>-445.08750000000003</v>
      </c>
      <c r="H5877" s="3">
        <f t="shared" si="697"/>
        <v>445.08750000000003</v>
      </c>
      <c r="I5877" s="5" t="str">
        <f t="shared" si="698"/>
        <v>017</v>
      </c>
      <c r="J5877" s="5" t="str">
        <f t="shared" si="699"/>
        <v>2220</v>
      </c>
      <c r="K5877" s="5" t="str">
        <f t="shared" si="700"/>
        <v>000</v>
      </c>
      <c r="L5877" s="5">
        <f t="shared" si="701"/>
        <v>3</v>
      </c>
      <c r="M5877" s="5">
        <f t="shared" si="702"/>
        <v>2013</v>
      </c>
    </row>
    <row r="5878" spans="1:13" ht="15" x14ac:dyDescent="0.25">
      <c r="A5878" s="1">
        <f>DATE(2013,3,9)</f>
        <v>41342</v>
      </c>
      <c r="B5878" t="s">
        <v>18</v>
      </c>
      <c r="C5878" t="s">
        <v>10</v>
      </c>
      <c r="D5878" s="3">
        <v>124.47819999999999</v>
      </c>
      <c r="E5878" s="3">
        <v>0</v>
      </c>
      <c r="F5878" t="s">
        <v>45</v>
      </c>
      <c r="G5878" s="3">
        <f t="shared" si="696"/>
        <v>-124.47819999999999</v>
      </c>
      <c r="H5878" s="3">
        <f t="shared" si="697"/>
        <v>124.47819999999999</v>
      </c>
      <c r="I5878" s="5" t="str">
        <f t="shared" si="698"/>
        <v>017</v>
      </c>
      <c r="J5878" s="5" t="str">
        <f t="shared" si="699"/>
        <v>2230</v>
      </c>
      <c r="K5878" s="5" t="str">
        <f t="shared" si="700"/>
        <v>000</v>
      </c>
      <c r="L5878" s="5">
        <f t="shared" si="701"/>
        <v>3</v>
      </c>
      <c r="M5878" s="5">
        <f t="shared" si="702"/>
        <v>2013</v>
      </c>
    </row>
    <row r="5879" spans="1:13" ht="15" x14ac:dyDescent="0.25">
      <c r="A5879" s="1">
        <f>DATE(2013,3,10)</f>
        <v>41343</v>
      </c>
      <c r="B5879" t="s">
        <v>15</v>
      </c>
      <c r="C5879" t="s">
        <v>6</v>
      </c>
      <c r="D5879" s="3">
        <v>6941.3526000000002</v>
      </c>
      <c r="E5879" s="3">
        <v>0</v>
      </c>
      <c r="F5879" t="s">
        <v>45</v>
      </c>
      <c r="G5879" s="3">
        <f t="shared" si="696"/>
        <v>-6941.3526000000002</v>
      </c>
      <c r="H5879" s="3">
        <f t="shared" si="697"/>
        <v>6941.3526000000002</v>
      </c>
      <c r="I5879" s="5" t="str">
        <f t="shared" si="698"/>
        <v>017</v>
      </c>
      <c r="J5879" s="5" t="str">
        <f t="shared" si="699"/>
        <v>2100</v>
      </c>
      <c r="K5879" s="5" t="str">
        <f t="shared" si="700"/>
        <v>000</v>
      </c>
      <c r="L5879" s="5">
        <f t="shared" si="701"/>
        <v>3</v>
      </c>
      <c r="M5879" s="5">
        <f t="shared" si="702"/>
        <v>2013</v>
      </c>
    </row>
    <row r="5880" spans="1:13" ht="15" x14ac:dyDescent="0.25">
      <c r="A5880" s="1">
        <f>DATE(2013,3,10)</f>
        <v>41343</v>
      </c>
      <c r="B5880" t="s">
        <v>16</v>
      </c>
      <c r="C5880" t="s">
        <v>8</v>
      </c>
      <c r="D5880" s="3">
        <v>716.30900000000008</v>
      </c>
      <c r="E5880" s="3">
        <v>0</v>
      </c>
      <c r="F5880" t="s">
        <v>45</v>
      </c>
      <c r="G5880" s="3">
        <f t="shared" si="696"/>
        <v>-716.30900000000008</v>
      </c>
      <c r="H5880" s="3">
        <f t="shared" si="697"/>
        <v>716.30900000000008</v>
      </c>
      <c r="I5880" s="5" t="str">
        <f t="shared" si="698"/>
        <v>017</v>
      </c>
      <c r="J5880" s="5" t="str">
        <f t="shared" si="699"/>
        <v>2210</v>
      </c>
      <c r="K5880" s="5" t="str">
        <f t="shared" si="700"/>
        <v>000</v>
      </c>
      <c r="L5880" s="5">
        <f t="shared" si="701"/>
        <v>3</v>
      </c>
      <c r="M5880" s="5">
        <f t="shared" si="702"/>
        <v>2013</v>
      </c>
    </row>
    <row r="5881" spans="1:13" ht="15" x14ac:dyDescent="0.25">
      <c r="A5881" s="1">
        <f>DATE(2013,3,10)</f>
        <v>41343</v>
      </c>
      <c r="B5881" t="s">
        <v>17</v>
      </c>
      <c r="C5881" t="s">
        <v>9</v>
      </c>
      <c r="D5881" s="3">
        <v>227.77689999999998</v>
      </c>
      <c r="E5881" s="3">
        <v>0</v>
      </c>
      <c r="F5881" t="s">
        <v>45</v>
      </c>
      <c r="G5881" s="3">
        <f t="shared" si="696"/>
        <v>-227.77689999999998</v>
      </c>
      <c r="H5881" s="3">
        <f t="shared" si="697"/>
        <v>227.77689999999998</v>
      </c>
      <c r="I5881" s="5" t="str">
        <f t="shared" si="698"/>
        <v>017</v>
      </c>
      <c r="J5881" s="5" t="str">
        <f t="shared" si="699"/>
        <v>2220</v>
      </c>
      <c r="K5881" s="5" t="str">
        <f t="shared" si="700"/>
        <v>000</v>
      </c>
      <c r="L5881" s="5">
        <f t="shared" si="701"/>
        <v>3</v>
      </c>
      <c r="M5881" s="5">
        <f t="shared" si="702"/>
        <v>2013</v>
      </c>
    </row>
    <row r="5882" spans="1:13" ht="15" x14ac:dyDescent="0.25">
      <c r="A5882" s="1">
        <f>DATE(2013,3,10)</f>
        <v>41343</v>
      </c>
      <c r="B5882" t="s">
        <v>18</v>
      </c>
      <c r="C5882" t="s">
        <v>10</v>
      </c>
      <c r="D5882" s="3">
        <v>45.656800000000004</v>
      </c>
      <c r="E5882" s="3">
        <v>0</v>
      </c>
      <c r="F5882" t="s">
        <v>45</v>
      </c>
      <c r="G5882" s="3">
        <f t="shared" si="696"/>
        <v>-45.656800000000004</v>
      </c>
      <c r="H5882" s="3">
        <f t="shared" si="697"/>
        <v>45.656800000000004</v>
      </c>
      <c r="I5882" s="5" t="str">
        <f t="shared" si="698"/>
        <v>017</v>
      </c>
      <c r="J5882" s="5" t="str">
        <f t="shared" si="699"/>
        <v>2230</v>
      </c>
      <c r="K5882" s="5" t="str">
        <f t="shared" si="700"/>
        <v>000</v>
      </c>
      <c r="L5882" s="5">
        <f t="shared" si="701"/>
        <v>3</v>
      </c>
      <c r="M5882" s="5">
        <f t="shared" si="702"/>
        <v>2013</v>
      </c>
    </row>
    <row r="5883" spans="1:13" ht="15" x14ac:dyDescent="0.25">
      <c r="A5883" s="1">
        <f>DATE(2013,3,4)</f>
        <v>41337</v>
      </c>
      <c r="B5883" t="s">
        <v>19</v>
      </c>
      <c r="C5883" t="s">
        <v>6</v>
      </c>
      <c r="D5883" s="3">
        <v>4358.6868000000004</v>
      </c>
      <c r="E5883" s="3">
        <v>0</v>
      </c>
      <c r="F5883" t="s">
        <v>45</v>
      </c>
      <c r="G5883" s="3">
        <f t="shared" si="696"/>
        <v>-4358.6868000000004</v>
      </c>
      <c r="H5883" s="3">
        <f t="shared" si="697"/>
        <v>4358.6868000000004</v>
      </c>
      <c r="I5883" s="5" t="str">
        <f t="shared" si="698"/>
        <v>018</v>
      </c>
      <c r="J5883" s="5" t="str">
        <f t="shared" si="699"/>
        <v>2100</v>
      </c>
      <c r="K5883" s="5" t="str">
        <f t="shared" si="700"/>
        <v>000</v>
      </c>
      <c r="L5883" s="5">
        <f t="shared" si="701"/>
        <v>3</v>
      </c>
      <c r="M5883" s="5">
        <f t="shared" si="702"/>
        <v>2013</v>
      </c>
    </row>
    <row r="5884" spans="1:13" ht="15" x14ac:dyDescent="0.25">
      <c r="A5884" s="1">
        <f>DATE(2013,3,4)</f>
        <v>41337</v>
      </c>
      <c r="B5884" t="s">
        <v>20</v>
      </c>
      <c r="C5884" t="s">
        <v>8</v>
      </c>
      <c r="D5884" s="3">
        <v>352.14480000000003</v>
      </c>
      <c r="E5884" s="3">
        <v>0</v>
      </c>
      <c r="F5884" t="s">
        <v>45</v>
      </c>
      <c r="G5884" s="3">
        <f t="shared" si="696"/>
        <v>-352.14480000000003</v>
      </c>
      <c r="H5884" s="3">
        <f t="shared" si="697"/>
        <v>352.14480000000003</v>
      </c>
      <c r="I5884" s="5" t="str">
        <f t="shared" si="698"/>
        <v>018</v>
      </c>
      <c r="J5884" s="5" t="str">
        <f t="shared" si="699"/>
        <v>2210</v>
      </c>
      <c r="K5884" s="5" t="str">
        <f t="shared" si="700"/>
        <v>000</v>
      </c>
      <c r="L5884" s="5">
        <f t="shared" si="701"/>
        <v>3</v>
      </c>
      <c r="M5884" s="5">
        <f t="shared" si="702"/>
        <v>2013</v>
      </c>
    </row>
    <row r="5885" spans="1:13" ht="15" x14ac:dyDescent="0.25">
      <c r="A5885" s="1">
        <f>DATE(2013,3,4)</f>
        <v>41337</v>
      </c>
      <c r="B5885" t="s">
        <v>21</v>
      </c>
      <c r="C5885" t="s">
        <v>9</v>
      </c>
      <c r="D5885" s="3">
        <v>79.632000000000005</v>
      </c>
      <c r="E5885" s="3">
        <v>0</v>
      </c>
      <c r="F5885" t="s">
        <v>45</v>
      </c>
      <c r="G5885" s="3">
        <f t="shared" si="696"/>
        <v>-79.632000000000005</v>
      </c>
      <c r="H5885" s="3">
        <f t="shared" si="697"/>
        <v>79.632000000000005</v>
      </c>
      <c r="I5885" s="5" t="str">
        <f t="shared" si="698"/>
        <v>018</v>
      </c>
      <c r="J5885" s="5" t="str">
        <f t="shared" si="699"/>
        <v>2220</v>
      </c>
      <c r="K5885" s="5" t="str">
        <f t="shared" si="700"/>
        <v>000</v>
      </c>
      <c r="L5885" s="5">
        <f t="shared" si="701"/>
        <v>3</v>
      </c>
      <c r="M5885" s="5">
        <f t="shared" si="702"/>
        <v>2013</v>
      </c>
    </row>
    <row r="5886" spans="1:13" ht="15" x14ac:dyDescent="0.25">
      <c r="A5886" s="1">
        <f>DATE(2013,3,4)</f>
        <v>41337</v>
      </c>
      <c r="B5886" t="s">
        <v>22</v>
      </c>
      <c r="C5886" t="s">
        <v>10</v>
      </c>
      <c r="D5886" s="3">
        <v>65.0244</v>
      </c>
      <c r="E5886" s="3">
        <v>0</v>
      </c>
      <c r="F5886" t="s">
        <v>45</v>
      </c>
      <c r="G5886" s="3">
        <f t="shared" si="696"/>
        <v>-65.0244</v>
      </c>
      <c r="H5886" s="3">
        <f t="shared" si="697"/>
        <v>65.0244</v>
      </c>
      <c r="I5886" s="5" t="str">
        <f t="shared" si="698"/>
        <v>018</v>
      </c>
      <c r="J5886" s="5" t="str">
        <f t="shared" si="699"/>
        <v>2230</v>
      </c>
      <c r="K5886" s="5" t="str">
        <f t="shared" si="700"/>
        <v>000</v>
      </c>
      <c r="L5886" s="5">
        <f t="shared" si="701"/>
        <v>3</v>
      </c>
      <c r="M5886" s="5">
        <f t="shared" si="702"/>
        <v>2013</v>
      </c>
    </row>
    <row r="5887" spans="1:13" ht="15" x14ac:dyDescent="0.25">
      <c r="A5887" s="1">
        <f>DATE(2013,3,5)</f>
        <v>41338</v>
      </c>
      <c r="B5887" t="s">
        <v>19</v>
      </c>
      <c r="C5887" t="s">
        <v>6</v>
      </c>
      <c r="D5887" s="3">
        <v>5036.8242</v>
      </c>
      <c r="E5887" s="3">
        <v>0</v>
      </c>
      <c r="F5887" t="s">
        <v>45</v>
      </c>
      <c r="G5887" s="3">
        <f t="shared" si="696"/>
        <v>-5036.8242</v>
      </c>
      <c r="H5887" s="3">
        <f t="shared" si="697"/>
        <v>5036.8242</v>
      </c>
      <c r="I5887" s="5" t="str">
        <f t="shared" si="698"/>
        <v>018</v>
      </c>
      <c r="J5887" s="5" t="str">
        <f t="shared" si="699"/>
        <v>2100</v>
      </c>
      <c r="K5887" s="5" t="str">
        <f t="shared" si="700"/>
        <v>000</v>
      </c>
      <c r="L5887" s="5">
        <f t="shared" si="701"/>
        <v>3</v>
      </c>
      <c r="M5887" s="5">
        <f t="shared" si="702"/>
        <v>2013</v>
      </c>
    </row>
    <row r="5888" spans="1:13" ht="15" x14ac:dyDescent="0.25">
      <c r="A5888" s="1">
        <f>DATE(2013,3,5)</f>
        <v>41338</v>
      </c>
      <c r="B5888" t="s">
        <v>20</v>
      </c>
      <c r="C5888" t="s">
        <v>8</v>
      </c>
      <c r="D5888" s="3">
        <v>616.58209999999997</v>
      </c>
      <c r="E5888" s="3">
        <v>0</v>
      </c>
      <c r="F5888" t="s">
        <v>45</v>
      </c>
      <c r="G5888" s="3">
        <f t="shared" si="696"/>
        <v>-616.58209999999997</v>
      </c>
      <c r="H5888" s="3">
        <f t="shared" si="697"/>
        <v>616.58209999999997</v>
      </c>
      <c r="I5888" s="5" t="str">
        <f t="shared" si="698"/>
        <v>018</v>
      </c>
      <c r="J5888" s="5" t="str">
        <f t="shared" si="699"/>
        <v>2210</v>
      </c>
      <c r="K5888" s="5" t="str">
        <f t="shared" si="700"/>
        <v>000</v>
      </c>
      <c r="L5888" s="5">
        <f t="shared" si="701"/>
        <v>3</v>
      </c>
      <c r="M5888" s="5">
        <f t="shared" si="702"/>
        <v>2013</v>
      </c>
    </row>
    <row r="5889" spans="1:13" ht="15" x14ac:dyDescent="0.25">
      <c r="A5889" s="1">
        <f>DATE(2013,3,5)</f>
        <v>41338</v>
      </c>
      <c r="B5889" t="s">
        <v>21</v>
      </c>
      <c r="C5889" t="s">
        <v>9</v>
      </c>
      <c r="D5889" s="3">
        <v>237.04890000000003</v>
      </c>
      <c r="E5889" s="3">
        <v>0</v>
      </c>
      <c r="F5889" t="s">
        <v>45</v>
      </c>
      <c r="G5889" s="3">
        <f t="shared" si="696"/>
        <v>-237.04890000000003</v>
      </c>
      <c r="H5889" s="3">
        <f t="shared" si="697"/>
        <v>237.04890000000003</v>
      </c>
      <c r="I5889" s="5" t="str">
        <f t="shared" si="698"/>
        <v>018</v>
      </c>
      <c r="J5889" s="5" t="str">
        <f t="shared" si="699"/>
        <v>2220</v>
      </c>
      <c r="K5889" s="5" t="str">
        <f t="shared" si="700"/>
        <v>000</v>
      </c>
      <c r="L5889" s="5">
        <f t="shared" si="701"/>
        <v>3</v>
      </c>
      <c r="M5889" s="5">
        <f t="shared" si="702"/>
        <v>2013</v>
      </c>
    </row>
    <row r="5890" spans="1:13" ht="15" x14ac:dyDescent="0.25">
      <c r="A5890" s="1">
        <f>DATE(2013,3,5)</f>
        <v>41338</v>
      </c>
      <c r="B5890" t="s">
        <v>22</v>
      </c>
      <c r="C5890" t="s">
        <v>10</v>
      </c>
      <c r="D5890" s="3">
        <v>29.729699999999998</v>
      </c>
      <c r="E5890" s="3">
        <v>0</v>
      </c>
      <c r="F5890" t="s">
        <v>45</v>
      </c>
      <c r="G5890" s="3">
        <f t="shared" ref="G5890:G5953" si="703">E5890-D5890</f>
        <v>-29.729699999999998</v>
      </c>
      <c r="H5890" s="3">
        <f t="shared" ref="H5890:H5953" si="704">ABS(G5890)</f>
        <v>29.729699999999998</v>
      </c>
      <c r="I5890" s="5" t="str">
        <f t="shared" ref="I5890:I5953" si="705">MID(B5890,1,3)</f>
        <v>018</v>
      </c>
      <c r="J5890" s="5" t="str">
        <f t="shared" ref="J5890:J5953" si="706">MID(B5890,5,4)</f>
        <v>2230</v>
      </c>
      <c r="K5890" s="5" t="str">
        <f t="shared" ref="K5890:K5953" si="707">MID(B5890,10,3)</f>
        <v>000</v>
      </c>
      <c r="L5890" s="5">
        <f t="shared" ref="L5890:L5953" si="708">MONTH(A5890)</f>
        <v>3</v>
      </c>
      <c r="M5890" s="5">
        <f t="shared" ref="M5890:M5953" si="709">YEAR(A5890)</f>
        <v>2013</v>
      </c>
    </row>
    <row r="5891" spans="1:13" ht="15" x14ac:dyDescent="0.25">
      <c r="A5891" s="1">
        <f>DATE(2013,3,6)</f>
        <v>41339</v>
      </c>
      <c r="B5891" t="s">
        <v>19</v>
      </c>
      <c r="C5891" t="s">
        <v>6</v>
      </c>
      <c r="D5891" s="3">
        <v>4679.2514000000001</v>
      </c>
      <c r="E5891" s="3">
        <v>0</v>
      </c>
      <c r="F5891" t="s">
        <v>45</v>
      </c>
      <c r="G5891" s="3">
        <f t="shared" si="703"/>
        <v>-4679.2514000000001</v>
      </c>
      <c r="H5891" s="3">
        <f t="shared" si="704"/>
        <v>4679.2514000000001</v>
      </c>
      <c r="I5891" s="5" t="str">
        <f t="shared" si="705"/>
        <v>018</v>
      </c>
      <c r="J5891" s="5" t="str">
        <f t="shared" si="706"/>
        <v>2100</v>
      </c>
      <c r="K5891" s="5" t="str">
        <f t="shared" si="707"/>
        <v>000</v>
      </c>
      <c r="L5891" s="5">
        <f t="shared" si="708"/>
        <v>3</v>
      </c>
      <c r="M5891" s="5">
        <f t="shared" si="709"/>
        <v>2013</v>
      </c>
    </row>
    <row r="5892" spans="1:13" ht="15" x14ac:dyDescent="0.25">
      <c r="A5892" s="1">
        <f>DATE(2013,3,6)</f>
        <v>41339</v>
      </c>
      <c r="B5892" t="s">
        <v>20</v>
      </c>
      <c r="C5892" t="s">
        <v>8</v>
      </c>
      <c r="D5892" s="3">
        <v>1290.0463</v>
      </c>
      <c r="E5892" s="3">
        <v>0</v>
      </c>
      <c r="F5892" t="s">
        <v>45</v>
      </c>
      <c r="G5892" s="3">
        <f t="shared" si="703"/>
        <v>-1290.0463</v>
      </c>
      <c r="H5892" s="3">
        <f t="shared" si="704"/>
        <v>1290.0463</v>
      </c>
      <c r="I5892" s="5" t="str">
        <f t="shared" si="705"/>
        <v>018</v>
      </c>
      <c r="J5892" s="5" t="str">
        <f t="shared" si="706"/>
        <v>2210</v>
      </c>
      <c r="K5892" s="5" t="str">
        <f t="shared" si="707"/>
        <v>000</v>
      </c>
      <c r="L5892" s="5">
        <f t="shared" si="708"/>
        <v>3</v>
      </c>
      <c r="M5892" s="5">
        <f t="shared" si="709"/>
        <v>2013</v>
      </c>
    </row>
    <row r="5893" spans="1:13" ht="15" x14ac:dyDescent="0.25">
      <c r="A5893" s="1">
        <f>DATE(2013,3,6)</f>
        <v>41339</v>
      </c>
      <c r="B5893" t="s">
        <v>21</v>
      </c>
      <c r="C5893" t="s">
        <v>9</v>
      </c>
      <c r="D5893" s="3">
        <v>371.71680000000003</v>
      </c>
      <c r="E5893" s="3">
        <v>0</v>
      </c>
      <c r="F5893" t="s">
        <v>45</v>
      </c>
      <c r="G5893" s="3">
        <f t="shared" si="703"/>
        <v>-371.71680000000003</v>
      </c>
      <c r="H5893" s="3">
        <f t="shared" si="704"/>
        <v>371.71680000000003</v>
      </c>
      <c r="I5893" s="5" t="str">
        <f t="shared" si="705"/>
        <v>018</v>
      </c>
      <c r="J5893" s="5" t="str">
        <f t="shared" si="706"/>
        <v>2220</v>
      </c>
      <c r="K5893" s="5" t="str">
        <f t="shared" si="707"/>
        <v>000</v>
      </c>
      <c r="L5893" s="5">
        <f t="shared" si="708"/>
        <v>3</v>
      </c>
      <c r="M5893" s="5">
        <f t="shared" si="709"/>
        <v>2013</v>
      </c>
    </row>
    <row r="5894" spans="1:13" ht="15" x14ac:dyDescent="0.25">
      <c r="A5894" s="1">
        <f>DATE(2013,3,6)</f>
        <v>41339</v>
      </c>
      <c r="B5894" t="s">
        <v>22</v>
      </c>
      <c r="C5894" t="s">
        <v>10</v>
      </c>
      <c r="D5894" s="3">
        <v>80.016599999999997</v>
      </c>
      <c r="E5894" s="3">
        <v>0</v>
      </c>
      <c r="F5894" t="s">
        <v>45</v>
      </c>
      <c r="G5894" s="3">
        <f t="shared" si="703"/>
        <v>-80.016599999999997</v>
      </c>
      <c r="H5894" s="3">
        <f t="shared" si="704"/>
        <v>80.016599999999997</v>
      </c>
      <c r="I5894" s="5" t="str">
        <f t="shared" si="705"/>
        <v>018</v>
      </c>
      <c r="J5894" s="5" t="str">
        <f t="shared" si="706"/>
        <v>2230</v>
      </c>
      <c r="K5894" s="5" t="str">
        <f t="shared" si="707"/>
        <v>000</v>
      </c>
      <c r="L5894" s="5">
        <f t="shared" si="708"/>
        <v>3</v>
      </c>
      <c r="M5894" s="5">
        <f t="shared" si="709"/>
        <v>2013</v>
      </c>
    </row>
    <row r="5895" spans="1:13" ht="15" x14ac:dyDescent="0.25">
      <c r="A5895" s="1">
        <f>DATE(2013,3,7)</f>
        <v>41340</v>
      </c>
      <c r="B5895" t="s">
        <v>19</v>
      </c>
      <c r="C5895" t="s">
        <v>6</v>
      </c>
      <c r="D5895" s="3">
        <v>3149.7424000000001</v>
      </c>
      <c r="E5895" s="3">
        <v>0</v>
      </c>
      <c r="F5895" t="s">
        <v>45</v>
      </c>
      <c r="G5895" s="3">
        <f t="shared" si="703"/>
        <v>-3149.7424000000001</v>
      </c>
      <c r="H5895" s="3">
        <f t="shared" si="704"/>
        <v>3149.7424000000001</v>
      </c>
      <c r="I5895" s="5" t="str">
        <f t="shared" si="705"/>
        <v>018</v>
      </c>
      <c r="J5895" s="5" t="str">
        <f t="shared" si="706"/>
        <v>2100</v>
      </c>
      <c r="K5895" s="5" t="str">
        <f t="shared" si="707"/>
        <v>000</v>
      </c>
      <c r="L5895" s="5">
        <f t="shared" si="708"/>
        <v>3</v>
      </c>
      <c r="M5895" s="5">
        <f t="shared" si="709"/>
        <v>2013</v>
      </c>
    </row>
    <row r="5896" spans="1:13" ht="15" x14ac:dyDescent="0.25">
      <c r="A5896" s="1">
        <f>DATE(2013,3,7)</f>
        <v>41340</v>
      </c>
      <c r="B5896" t="s">
        <v>20</v>
      </c>
      <c r="C5896" t="s">
        <v>8</v>
      </c>
      <c r="D5896" s="3">
        <v>1031.4624999999999</v>
      </c>
      <c r="E5896" s="3">
        <v>0</v>
      </c>
      <c r="F5896" t="s">
        <v>45</v>
      </c>
      <c r="G5896" s="3">
        <f t="shared" si="703"/>
        <v>-1031.4624999999999</v>
      </c>
      <c r="H5896" s="3">
        <f t="shared" si="704"/>
        <v>1031.4624999999999</v>
      </c>
      <c r="I5896" s="5" t="str">
        <f t="shared" si="705"/>
        <v>018</v>
      </c>
      <c r="J5896" s="5" t="str">
        <f t="shared" si="706"/>
        <v>2210</v>
      </c>
      <c r="K5896" s="5" t="str">
        <f t="shared" si="707"/>
        <v>000</v>
      </c>
      <c r="L5896" s="5">
        <f t="shared" si="708"/>
        <v>3</v>
      </c>
      <c r="M5896" s="5">
        <f t="shared" si="709"/>
        <v>2013</v>
      </c>
    </row>
    <row r="5897" spans="1:13" ht="15" x14ac:dyDescent="0.25">
      <c r="A5897" s="1">
        <f>DATE(2013,3,7)</f>
        <v>41340</v>
      </c>
      <c r="B5897" t="s">
        <v>21</v>
      </c>
      <c r="C5897" t="s">
        <v>9</v>
      </c>
      <c r="D5897" s="3">
        <v>198.08250000000001</v>
      </c>
      <c r="E5897" s="3">
        <v>0</v>
      </c>
      <c r="F5897" t="s">
        <v>45</v>
      </c>
      <c r="G5897" s="3">
        <f t="shared" si="703"/>
        <v>-198.08250000000001</v>
      </c>
      <c r="H5897" s="3">
        <f t="shared" si="704"/>
        <v>198.08250000000001</v>
      </c>
      <c r="I5897" s="5" t="str">
        <f t="shared" si="705"/>
        <v>018</v>
      </c>
      <c r="J5897" s="5" t="str">
        <f t="shared" si="706"/>
        <v>2220</v>
      </c>
      <c r="K5897" s="5" t="str">
        <f t="shared" si="707"/>
        <v>000</v>
      </c>
      <c r="L5897" s="5">
        <f t="shared" si="708"/>
        <v>3</v>
      </c>
      <c r="M5897" s="5">
        <f t="shared" si="709"/>
        <v>2013</v>
      </c>
    </row>
    <row r="5898" spans="1:13" ht="15" x14ac:dyDescent="0.25">
      <c r="A5898" s="1">
        <f>DATE(2013,3,7)</f>
        <v>41340</v>
      </c>
      <c r="B5898" t="s">
        <v>22</v>
      </c>
      <c r="C5898" t="s">
        <v>10</v>
      </c>
      <c r="D5898" s="3">
        <v>13.999700000000001</v>
      </c>
      <c r="E5898" s="3">
        <v>0</v>
      </c>
      <c r="F5898" t="s">
        <v>45</v>
      </c>
      <c r="G5898" s="3">
        <f t="shared" si="703"/>
        <v>-13.999700000000001</v>
      </c>
      <c r="H5898" s="3">
        <f t="shared" si="704"/>
        <v>13.999700000000001</v>
      </c>
      <c r="I5898" s="5" t="str">
        <f t="shared" si="705"/>
        <v>018</v>
      </c>
      <c r="J5898" s="5" t="str">
        <f t="shared" si="706"/>
        <v>2230</v>
      </c>
      <c r="K5898" s="5" t="str">
        <f t="shared" si="707"/>
        <v>000</v>
      </c>
      <c r="L5898" s="5">
        <f t="shared" si="708"/>
        <v>3</v>
      </c>
      <c r="M5898" s="5">
        <f t="shared" si="709"/>
        <v>2013</v>
      </c>
    </row>
    <row r="5899" spans="1:13" ht="15" x14ac:dyDescent="0.25">
      <c r="A5899" s="1">
        <f>DATE(2013,3,8)</f>
        <v>41341</v>
      </c>
      <c r="B5899" t="s">
        <v>19</v>
      </c>
      <c r="C5899" t="s">
        <v>6</v>
      </c>
      <c r="D5899" s="3">
        <v>11495.2747</v>
      </c>
      <c r="E5899" s="3">
        <v>0</v>
      </c>
      <c r="F5899" t="s">
        <v>45</v>
      </c>
      <c r="G5899" s="3">
        <f t="shared" si="703"/>
        <v>-11495.2747</v>
      </c>
      <c r="H5899" s="3">
        <f t="shared" si="704"/>
        <v>11495.2747</v>
      </c>
      <c r="I5899" s="5" t="str">
        <f t="shared" si="705"/>
        <v>018</v>
      </c>
      <c r="J5899" s="5" t="str">
        <f t="shared" si="706"/>
        <v>2100</v>
      </c>
      <c r="K5899" s="5" t="str">
        <f t="shared" si="707"/>
        <v>000</v>
      </c>
      <c r="L5899" s="5">
        <f t="shared" si="708"/>
        <v>3</v>
      </c>
      <c r="M5899" s="5">
        <f t="shared" si="709"/>
        <v>2013</v>
      </c>
    </row>
    <row r="5900" spans="1:13" ht="15" x14ac:dyDescent="0.25">
      <c r="A5900" s="1">
        <f>DATE(2013,3,8)</f>
        <v>41341</v>
      </c>
      <c r="B5900" t="s">
        <v>20</v>
      </c>
      <c r="C5900" t="s">
        <v>8</v>
      </c>
      <c r="D5900" s="3">
        <v>3552.5442000000003</v>
      </c>
      <c r="E5900" s="3">
        <v>0</v>
      </c>
      <c r="F5900" t="s">
        <v>45</v>
      </c>
      <c r="G5900" s="3">
        <f t="shared" si="703"/>
        <v>-3552.5442000000003</v>
      </c>
      <c r="H5900" s="3">
        <f t="shared" si="704"/>
        <v>3552.5442000000003</v>
      </c>
      <c r="I5900" s="5" t="str">
        <f t="shared" si="705"/>
        <v>018</v>
      </c>
      <c r="J5900" s="5" t="str">
        <f t="shared" si="706"/>
        <v>2210</v>
      </c>
      <c r="K5900" s="5" t="str">
        <f t="shared" si="707"/>
        <v>000</v>
      </c>
      <c r="L5900" s="5">
        <f t="shared" si="708"/>
        <v>3</v>
      </c>
      <c r="M5900" s="5">
        <f t="shared" si="709"/>
        <v>2013</v>
      </c>
    </row>
    <row r="5901" spans="1:13" ht="15" x14ac:dyDescent="0.25">
      <c r="A5901" s="1">
        <f>DATE(2013,3,8)</f>
        <v>41341</v>
      </c>
      <c r="B5901" t="s">
        <v>21</v>
      </c>
      <c r="C5901" t="s">
        <v>9</v>
      </c>
      <c r="D5901" s="3">
        <v>554.38280000000009</v>
      </c>
      <c r="E5901" s="3">
        <v>0</v>
      </c>
      <c r="F5901" t="s">
        <v>45</v>
      </c>
      <c r="G5901" s="3">
        <f t="shared" si="703"/>
        <v>-554.38280000000009</v>
      </c>
      <c r="H5901" s="3">
        <f t="shared" si="704"/>
        <v>554.38280000000009</v>
      </c>
      <c r="I5901" s="5" t="str">
        <f t="shared" si="705"/>
        <v>018</v>
      </c>
      <c r="J5901" s="5" t="str">
        <f t="shared" si="706"/>
        <v>2220</v>
      </c>
      <c r="K5901" s="5" t="str">
        <f t="shared" si="707"/>
        <v>000</v>
      </c>
      <c r="L5901" s="5">
        <f t="shared" si="708"/>
        <v>3</v>
      </c>
      <c r="M5901" s="5">
        <f t="shared" si="709"/>
        <v>2013</v>
      </c>
    </row>
    <row r="5902" spans="1:13" ht="15" x14ac:dyDescent="0.25">
      <c r="A5902" s="1">
        <f>DATE(2013,3,8)</f>
        <v>41341</v>
      </c>
      <c r="B5902" t="s">
        <v>22</v>
      </c>
      <c r="C5902" t="s">
        <v>10</v>
      </c>
      <c r="D5902" s="3">
        <v>147.54040000000001</v>
      </c>
      <c r="E5902" s="3">
        <v>0</v>
      </c>
      <c r="F5902" t="s">
        <v>45</v>
      </c>
      <c r="G5902" s="3">
        <f t="shared" si="703"/>
        <v>-147.54040000000001</v>
      </c>
      <c r="H5902" s="3">
        <f t="shared" si="704"/>
        <v>147.54040000000001</v>
      </c>
      <c r="I5902" s="5" t="str">
        <f t="shared" si="705"/>
        <v>018</v>
      </c>
      <c r="J5902" s="5" t="str">
        <f t="shared" si="706"/>
        <v>2230</v>
      </c>
      <c r="K5902" s="5" t="str">
        <f t="shared" si="707"/>
        <v>000</v>
      </c>
      <c r="L5902" s="5">
        <f t="shared" si="708"/>
        <v>3</v>
      </c>
      <c r="M5902" s="5">
        <f t="shared" si="709"/>
        <v>2013</v>
      </c>
    </row>
    <row r="5903" spans="1:13" ht="15" x14ac:dyDescent="0.25">
      <c r="A5903" s="1">
        <f>DATE(2013,3,9)</f>
        <v>41342</v>
      </c>
      <c r="B5903" t="s">
        <v>19</v>
      </c>
      <c r="C5903" t="s">
        <v>6</v>
      </c>
      <c r="D5903" s="3">
        <v>16654.450499999999</v>
      </c>
      <c r="E5903" s="3">
        <v>0</v>
      </c>
      <c r="F5903" t="s">
        <v>45</v>
      </c>
      <c r="G5903" s="3">
        <f t="shared" si="703"/>
        <v>-16654.450499999999</v>
      </c>
      <c r="H5903" s="3">
        <f t="shared" si="704"/>
        <v>16654.450499999999</v>
      </c>
      <c r="I5903" s="5" t="str">
        <f t="shared" si="705"/>
        <v>018</v>
      </c>
      <c r="J5903" s="5" t="str">
        <f t="shared" si="706"/>
        <v>2100</v>
      </c>
      <c r="K5903" s="5" t="str">
        <f t="shared" si="707"/>
        <v>000</v>
      </c>
      <c r="L5903" s="5">
        <f t="shared" si="708"/>
        <v>3</v>
      </c>
      <c r="M5903" s="5">
        <f t="shared" si="709"/>
        <v>2013</v>
      </c>
    </row>
    <row r="5904" spans="1:13" ht="15" x14ac:dyDescent="0.25">
      <c r="A5904" s="1">
        <f>DATE(2013,3,9)</f>
        <v>41342</v>
      </c>
      <c r="B5904" t="s">
        <v>20</v>
      </c>
      <c r="C5904" t="s">
        <v>8</v>
      </c>
      <c r="D5904" s="3">
        <v>3298.0041000000001</v>
      </c>
      <c r="E5904" s="3">
        <v>0</v>
      </c>
      <c r="F5904" t="s">
        <v>45</v>
      </c>
      <c r="G5904" s="3">
        <f t="shared" si="703"/>
        <v>-3298.0041000000001</v>
      </c>
      <c r="H5904" s="3">
        <f t="shared" si="704"/>
        <v>3298.0041000000001</v>
      </c>
      <c r="I5904" s="5" t="str">
        <f t="shared" si="705"/>
        <v>018</v>
      </c>
      <c r="J5904" s="5" t="str">
        <f t="shared" si="706"/>
        <v>2210</v>
      </c>
      <c r="K5904" s="5" t="str">
        <f t="shared" si="707"/>
        <v>000</v>
      </c>
      <c r="L5904" s="5">
        <f t="shared" si="708"/>
        <v>3</v>
      </c>
      <c r="M5904" s="5">
        <f t="shared" si="709"/>
        <v>2013</v>
      </c>
    </row>
    <row r="5905" spans="1:13" ht="15" x14ac:dyDescent="0.25">
      <c r="A5905" s="1">
        <f>DATE(2013,3,9)</f>
        <v>41342</v>
      </c>
      <c r="B5905" t="s">
        <v>21</v>
      </c>
      <c r="C5905" t="s">
        <v>9</v>
      </c>
      <c r="D5905" s="3">
        <v>961.452</v>
      </c>
      <c r="E5905" s="3">
        <v>0</v>
      </c>
      <c r="F5905" t="s">
        <v>45</v>
      </c>
      <c r="G5905" s="3">
        <f t="shared" si="703"/>
        <v>-961.452</v>
      </c>
      <c r="H5905" s="3">
        <f t="shared" si="704"/>
        <v>961.452</v>
      </c>
      <c r="I5905" s="5" t="str">
        <f t="shared" si="705"/>
        <v>018</v>
      </c>
      <c r="J5905" s="5" t="str">
        <f t="shared" si="706"/>
        <v>2220</v>
      </c>
      <c r="K5905" s="5" t="str">
        <f t="shared" si="707"/>
        <v>000</v>
      </c>
      <c r="L5905" s="5">
        <f t="shared" si="708"/>
        <v>3</v>
      </c>
      <c r="M5905" s="5">
        <f t="shared" si="709"/>
        <v>2013</v>
      </c>
    </row>
    <row r="5906" spans="1:13" ht="15" x14ac:dyDescent="0.25">
      <c r="A5906" s="1">
        <f>DATE(2013,3,9)</f>
        <v>41342</v>
      </c>
      <c r="B5906" t="s">
        <v>22</v>
      </c>
      <c r="C5906" t="s">
        <v>10</v>
      </c>
      <c r="D5906" s="3">
        <v>139.892</v>
      </c>
      <c r="E5906" s="3">
        <v>0</v>
      </c>
      <c r="F5906" t="s">
        <v>45</v>
      </c>
      <c r="G5906" s="3">
        <f t="shared" si="703"/>
        <v>-139.892</v>
      </c>
      <c r="H5906" s="3">
        <f t="shared" si="704"/>
        <v>139.892</v>
      </c>
      <c r="I5906" s="5" t="str">
        <f t="shared" si="705"/>
        <v>018</v>
      </c>
      <c r="J5906" s="5" t="str">
        <f t="shared" si="706"/>
        <v>2230</v>
      </c>
      <c r="K5906" s="5" t="str">
        <f t="shared" si="707"/>
        <v>000</v>
      </c>
      <c r="L5906" s="5">
        <f t="shared" si="708"/>
        <v>3</v>
      </c>
      <c r="M5906" s="5">
        <f t="shared" si="709"/>
        <v>2013</v>
      </c>
    </row>
    <row r="5907" spans="1:13" ht="15" x14ac:dyDescent="0.25">
      <c r="A5907" s="1">
        <f>DATE(2013,3,10)</f>
        <v>41343</v>
      </c>
      <c r="B5907" t="s">
        <v>19</v>
      </c>
      <c r="C5907" t="s">
        <v>6</v>
      </c>
      <c r="D5907" s="3">
        <v>12693.2652</v>
      </c>
      <c r="E5907" s="3">
        <v>0</v>
      </c>
      <c r="F5907" t="s">
        <v>45</v>
      </c>
      <c r="G5907" s="3">
        <f t="shared" si="703"/>
        <v>-12693.2652</v>
      </c>
      <c r="H5907" s="3">
        <f t="shared" si="704"/>
        <v>12693.2652</v>
      </c>
      <c r="I5907" s="5" t="str">
        <f t="shared" si="705"/>
        <v>018</v>
      </c>
      <c r="J5907" s="5" t="str">
        <f t="shared" si="706"/>
        <v>2100</v>
      </c>
      <c r="K5907" s="5" t="str">
        <f t="shared" si="707"/>
        <v>000</v>
      </c>
      <c r="L5907" s="5">
        <f t="shared" si="708"/>
        <v>3</v>
      </c>
      <c r="M5907" s="5">
        <f t="shared" si="709"/>
        <v>2013</v>
      </c>
    </row>
    <row r="5908" spans="1:13" ht="15" x14ac:dyDescent="0.25">
      <c r="A5908" s="1">
        <f>DATE(2013,3,10)</f>
        <v>41343</v>
      </c>
      <c r="B5908" t="s">
        <v>20</v>
      </c>
      <c r="C5908" t="s">
        <v>8</v>
      </c>
      <c r="D5908" s="3">
        <v>1613.9655</v>
      </c>
      <c r="E5908" s="3">
        <v>0</v>
      </c>
      <c r="F5908" t="s">
        <v>45</v>
      </c>
      <c r="G5908" s="3">
        <f t="shared" si="703"/>
        <v>-1613.9655</v>
      </c>
      <c r="H5908" s="3">
        <f t="shared" si="704"/>
        <v>1613.9655</v>
      </c>
      <c r="I5908" s="5" t="str">
        <f t="shared" si="705"/>
        <v>018</v>
      </c>
      <c r="J5908" s="5" t="str">
        <f t="shared" si="706"/>
        <v>2210</v>
      </c>
      <c r="K5908" s="5" t="str">
        <f t="shared" si="707"/>
        <v>000</v>
      </c>
      <c r="L5908" s="5">
        <f t="shared" si="708"/>
        <v>3</v>
      </c>
      <c r="M5908" s="5">
        <f t="shared" si="709"/>
        <v>2013</v>
      </c>
    </row>
    <row r="5909" spans="1:13" ht="15" x14ac:dyDescent="0.25">
      <c r="A5909" s="1">
        <f>DATE(2013,3,10)</f>
        <v>41343</v>
      </c>
      <c r="B5909" t="s">
        <v>21</v>
      </c>
      <c r="C5909" t="s">
        <v>9</v>
      </c>
      <c r="D5909" s="3">
        <v>340.83119999999997</v>
      </c>
      <c r="E5909" s="3">
        <v>0</v>
      </c>
      <c r="F5909" t="s">
        <v>45</v>
      </c>
      <c r="G5909" s="3">
        <f t="shared" si="703"/>
        <v>-340.83119999999997</v>
      </c>
      <c r="H5909" s="3">
        <f t="shared" si="704"/>
        <v>340.83119999999997</v>
      </c>
      <c r="I5909" s="5" t="str">
        <f t="shared" si="705"/>
        <v>018</v>
      </c>
      <c r="J5909" s="5" t="str">
        <f t="shared" si="706"/>
        <v>2220</v>
      </c>
      <c r="K5909" s="5" t="str">
        <f t="shared" si="707"/>
        <v>000</v>
      </c>
      <c r="L5909" s="5">
        <f t="shared" si="708"/>
        <v>3</v>
      </c>
      <c r="M5909" s="5">
        <f t="shared" si="709"/>
        <v>2013</v>
      </c>
    </row>
    <row r="5910" spans="1:13" ht="15" x14ac:dyDescent="0.25">
      <c r="A5910" s="1">
        <f>DATE(2013,3,10)</f>
        <v>41343</v>
      </c>
      <c r="B5910" t="s">
        <v>22</v>
      </c>
      <c r="C5910" t="s">
        <v>10</v>
      </c>
      <c r="D5910" s="3">
        <v>122.23380000000002</v>
      </c>
      <c r="E5910" s="3">
        <v>0</v>
      </c>
      <c r="F5910" t="s">
        <v>45</v>
      </c>
      <c r="G5910" s="3">
        <f t="shared" si="703"/>
        <v>-122.23380000000002</v>
      </c>
      <c r="H5910" s="3">
        <f t="shared" si="704"/>
        <v>122.23380000000002</v>
      </c>
      <c r="I5910" s="5" t="str">
        <f t="shared" si="705"/>
        <v>018</v>
      </c>
      <c r="J5910" s="5" t="str">
        <f t="shared" si="706"/>
        <v>2230</v>
      </c>
      <c r="K5910" s="5" t="str">
        <f t="shared" si="707"/>
        <v>000</v>
      </c>
      <c r="L5910" s="5">
        <f t="shared" si="708"/>
        <v>3</v>
      </c>
      <c r="M5910" s="5">
        <f t="shared" si="709"/>
        <v>2013</v>
      </c>
    </row>
    <row r="5911" spans="1:13" ht="15" x14ac:dyDescent="0.25">
      <c r="A5911" s="1">
        <f>DATE(2013,3,11)</f>
        <v>41344</v>
      </c>
      <c r="B5911" t="s">
        <v>11</v>
      </c>
      <c r="C5911" t="s">
        <v>6</v>
      </c>
      <c r="D5911" s="3">
        <v>2488.0704000000001</v>
      </c>
      <c r="E5911" s="3">
        <v>0</v>
      </c>
      <c r="F5911" t="s">
        <v>45</v>
      </c>
      <c r="G5911" s="3">
        <f t="shared" si="703"/>
        <v>-2488.0704000000001</v>
      </c>
      <c r="H5911" s="3">
        <f t="shared" si="704"/>
        <v>2488.0704000000001</v>
      </c>
      <c r="I5911" s="5" t="str">
        <f t="shared" si="705"/>
        <v>016</v>
      </c>
      <c r="J5911" s="5" t="str">
        <f t="shared" si="706"/>
        <v>2100</v>
      </c>
      <c r="K5911" s="5" t="str">
        <f t="shared" si="707"/>
        <v>000</v>
      </c>
      <c r="L5911" s="5">
        <f t="shared" si="708"/>
        <v>3</v>
      </c>
      <c r="M5911" s="5">
        <f t="shared" si="709"/>
        <v>2013</v>
      </c>
    </row>
    <row r="5912" spans="1:13" ht="15" x14ac:dyDescent="0.25">
      <c r="A5912" s="1">
        <f>DATE(2013,3,11)</f>
        <v>41344</v>
      </c>
      <c r="B5912" t="s">
        <v>12</v>
      </c>
      <c r="C5912" t="s">
        <v>8</v>
      </c>
      <c r="D5912" s="3">
        <v>628.17930000000001</v>
      </c>
      <c r="E5912" s="3">
        <v>0</v>
      </c>
      <c r="F5912" t="s">
        <v>45</v>
      </c>
      <c r="G5912" s="3">
        <f t="shared" si="703"/>
        <v>-628.17930000000001</v>
      </c>
      <c r="H5912" s="3">
        <f t="shared" si="704"/>
        <v>628.17930000000001</v>
      </c>
      <c r="I5912" s="5" t="str">
        <f t="shared" si="705"/>
        <v>016</v>
      </c>
      <c r="J5912" s="5" t="str">
        <f t="shared" si="706"/>
        <v>2210</v>
      </c>
      <c r="K5912" s="5" t="str">
        <f t="shared" si="707"/>
        <v>000</v>
      </c>
      <c r="L5912" s="5">
        <f t="shared" si="708"/>
        <v>3</v>
      </c>
      <c r="M5912" s="5">
        <f t="shared" si="709"/>
        <v>2013</v>
      </c>
    </row>
    <row r="5913" spans="1:13" ht="15" x14ac:dyDescent="0.25">
      <c r="A5913" s="1">
        <f>DATE(2013,3,11)</f>
        <v>41344</v>
      </c>
      <c r="B5913" t="s">
        <v>13</v>
      </c>
      <c r="C5913" t="s">
        <v>9</v>
      </c>
      <c r="D5913" s="3">
        <v>86.210799999999992</v>
      </c>
      <c r="E5913" s="3">
        <v>0</v>
      </c>
      <c r="F5913" t="s">
        <v>45</v>
      </c>
      <c r="G5913" s="3">
        <f t="shared" si="703"/>
        <v>-86.210799999999992</v>
      </c>
      <c r="H5913" s="3">
        <f t="shared" si="704"/>
        <v>86.210799999999992</v>
      </c>
      <c r="I5913" s="5" t="str">
        <f t="shared" si="705"/>
        <v>016</v>
      </c>
      <c r="J5913" s="5" t="str">
        <f t="shared" si="706"/>
        <v>2220</v>
      </c>
      <c r="K5913" s="5" t="str">
        <f t="shared" si="707"/>
        <v>000</v>
      </c>
      <c r="L5913" s="5">
        <f t="shared" si="708"/>
        <v>3</v>
      </c>
      <c r="M5913" s="5">
        <f t="shared" si="709"/>
        <v>2013</v>
      </c>
    </row>
    <row r="5914" spans="1:13" ht="15" x14ac:dyDescent="0.25">
      <c r="A5914" s="1">
        <f>DATE(2013,3,11)</f>
        <v>41344</v>
      </c>
      <c r="B5914" t="s">
        <v>14</v>
      </c>
      <c r="C5914" t="s">
        <v>10</v>
      </c>
      <c r="D5914" s="3">
        <v>65.688500000000005</v>
      </c>
      <c r="E5914" s="3">
        <v>0</v>
      </c>
      <c r="F5914" t="s">
        <v>45</v>
      </c>
      <c r="G5914" s="3">
        <f t="shared" si="703"/>
        <v>-65.688500000000005</v>
      </c>
      <c r="H5914" s="3">
        <f t="shared" si="704"/>
        <v>65.688500000000005</v>
      </c>
      <c r="I5914" s="5" t="str">
        <f t="shared" si="705"/>
        <v>016</v>
      </c>
      <c r="J5914" s="5" t="str">
        <f t="shared" si="706"/>
        <v>2230</v>
      </c>
      <c r="K5914" s="5" t="str">
        <f t="shared" si="707"/>
        <v>000</v>
      </c>
      <c r="L5914" s="5">
        <f t="shared" si="708"/>
        <v>3</v>
      </c>
      <c r="M5914" s="5">
        <f t="shared" si="709"/>
        <v>2013</v>
      </c>
    </row>
    <row r="5915" spans="1:13" ht="15" x14ac:dyDescent="0.25">
      <c r="A5915" s="1">
        <f>DATE(2013,3,12)</f>
        <v>41345</v>
      </c>
      <c r="B5915" t="s">
        <v>11</v>
      </c>
      <c r="C5915" t="s">
        <v>6</v>
      </c>
      <c r="D5915" s="3">
        <v>9329.7161999999989</v>
      </c>
      <c r="E5915" s="3">
        <v>0</v>
      </c>
      <c r="F5915" t="s">
        <v>45</v>
      </c>
      <c r="G5915" s="3">
        <f t="shared" si="703"/>
        <v>-9329.7161999999989</v>
      </c>
      <c r="H5915" s="3">
        <f t="shared" si="704"/>
        <v>9329.7161999999989</v>
      </c>
      <c r="I5915" s="5" t="str">
        <f t="shared" si="705"/>
        <v>016</v>
      </c>
      <c r="J5915" s="5" t="str">
        <f t="shared" si="706"/>
        <v>2100</v>
      </c>
      <c r="K5915" s="5" t="str">
        <f t="shared" si="707"/>
        <v>000</v>
      </c>
      <c r="L5915" s="5">
        <f t="shared" si="708"/>
        <v>3</v>
      </c>
      <c r="M5915" s="5">
        <f t="shared" si="709"/>
        <v>2013</v>
      </c>
    </row>
    <row r="5916" spans="1:13" ht="15" x14ac:dyDescent="0.25">
      <c r="A5916" s="1">
        <f>DATE(2013,3,12)</f>
        <v>41345</v>
      </c>
      <c r="B5916" t="s">
        <v>12</v>
      </c>
      <c r="C5916" t="s">
        <v>8</v>
      </c>
      <c r="D5916" s="3">
        <v>2642.4240000000004</v>
      </c>
      <c r="E5916" s="3">
        <v>0</v>
      </c>
      <c r="F5916" t="s">
        <v>45</v>
      </c>
      <c r="G5916" s="3">
        <f t="shared" si="703"/>
        <v>-2642.4240000000004</v>
      </c>
      <c r="H5916" s="3">
        <f t="shared" si="704"/>
        <v>2642.4240000000004</v>
      </c>
      <c r="I5916" s="5" t="str">
        <f t="shared" si="705"/>
        <v>016</v>
      </c>
      <c r="J5916" s="5" t="str">
        <f t="shared" si="706"/>
        <v>2210</v>
      </c>
      <c r="K5916" s="5" t="str">
        <f t="shared" si="707"/>
        <v>000</v>
      </c>
      <c r="L5916" s="5">
        <f t="shared" si="708"/>
        <v>3</v>
      </c>
      <c r="M5916" s="5">
        <f t="shared" si="709"/>
        <v>2013</v>
      </c>
    </row>
    <row r="5917" spans="1:13" ht="15" x14ac:dyDescent="0.25">
      <c r="A5917" s="1">
        <f>DATE(2013,3,12)</f>
        <v>41345</v>
      </c>
      <c r="B5917" t="s">
        <v>13</v>
      </c>
      <c r="C5917" t="s">
        <v>9</v>
      </c>
      <c r="D5917" s="3">
        <v>616.67679999999996</v>
      </c>
      <c r="E5917" s="3">
        <v>0</v>
      </c>
      <c r="F5917" t="s">
        <v>45</v>
      </c>
      <c r="G5917" s="3">
        <f t="shared" si="703"/>
        <v>-616.67679999999996</v>
      </c>
      <c r="H5917" s="3">
        <f t="shared" si="704"/>
        <v>616.67679999999996</v>
      </c>
      <c r="I5917" s="5" t="str">
        <f t="shared" si="705"/>
        <v>016</v>
      </c>
      <c r="J5917" s="5" t="str">
        <f t="shared" si="706"/>
        <v>2220</v>
      </c>
      <c r="K5917" s="5" t="str">
        <f t="shared" si="707"/>
        <v>000</v>
      </c>
      <c r="L5917" s="5">
        <f t="shared" si="708"/>
        <v>3</v>
      </c>
      <c r="M5917" s="5">
        <f t="shared" si="709"/>
        <v>2013</v>
      </c>
    </row>
    <row r="5918" spans="1:13" ht="15" x14ac:dyDescent="0.25">
      <c r="A5918" s="1">
        <f>DATE(2013,3,12)</f>
        <v>41345</v>
      </c>
      <c r="B5918" t="s">
        <v>14</v>
      </c>
      <c r="C5918" t="s">
        <v>10</v>
      </c>
      <c r="D5918" s="3">
        <v>270.45319999999998</v>
      </c>
      <c r="E5918" s="3">
        <v>0</v>
      </c>
      <c r="F5918" t="s">
        <v>45</v>
      </c>
      <c r="G5918" s="3">
        <f t="shared" si="703"/>
        <v>-270.45319999999998</v>
      </c>
      <c r="H5918" s="3">
        <f t="shared" si="704"/>
        <v>270.45319999999998</v>
      </c>
      <c r="I5918" s="5" t="str">
        <f t="shared" si="705"/>
        <v>016</v>
      </c>
      <c r="J5918" s="5" t="str">
        <f t="shared" si="706"/>
        <v>2230</v>
      </c>
      <c r="K5918" s="5" t="str">
        <f t="shared" si="707"/>
        <v>000</v>
      </c>
      <c r="L5918" s="5">
        <f t="shared" si="708"/>
        <v>3</v>
      </c>
      <c r="M5918" s="5">
        <f t="shared" si="709"/>
        <v>2013</v>
      </c>
    </row>
    <row r="5919" spans="1:13" ht="15" x14ac:dyDescent="0.25">
      <c r="A5919" s="1">
        <f>DATE(2013,3,13)</f>
        <v>41346</v>
      </c>
      <c r="B5919" t="s">
        <v>11</v>
      </c>
      <c r="C5919" t="s">
        <v>6</v>
      </c>
      <c r="D5919" s="3">
        <v>4404.3234999999995</v>
      </c>
      <c r="E5919" s="3">
        <v>0</v>
      </c>
      <c r="F5919" t="s">
        <v>45</v>
      </c>
      <c r="G5919" s="3">
        <f t="shared" si="703"/>
        <v>-4404.3234999999995</v>
      </c>
      <c r="H5919" s="3">
        <f t="shared" si="704"/>
        <v>4404.3234999999995</v>
      </c>
      <c r="I5919" s="5" t="str">
        <f t="shared" si="705"/>
        <v>016</v>
      </c>
      <c r="J5919" s="5" t="str">
        <f t="shared" si="706"/>
        <v>2100</v>
      </c>
      <c r="K5919" s="5" t="str">
        <f t="shared" si="707"/>
        <v>000</v>
      </c>
      <c r="L5919" s="5">
        <f t="shared" si="708"/>
        <v>3</v>
      </c>
      <c r="M5919" s="5">
        <f t="shared" si="709"/>
        <v>2013</v>
      </c>
    </row>
    <row r="5920" spans="1:13" ht="15" x14ac:dyDescent="0.25">
      <c r="A5920" s="1">
        <f>DATE(2013,3,13)</f>
        <v>41346</v>
      </c>
      <c r="B5920" t="s">
        <v>12</v>
      </c>
      <c r="C5920" t="s">
        <v>8</v>
      </c>
      <c r="D5920" s="3">
        <v>758.50699999999995</v>
      </c>
      <c r="E5920" s="3">
        <v>0</v>
      </c>
      <c r="F5920" t="s">
        <v>45</v>
      </c>
      <c r="G5920" s="3">
        <f t="shared" si="703"/>
        <v>-758.50699999999995</v>
      </c>
      <c r="H5920" s="3">
        <f t="shared" si="704"/>
        <v>758.50699999999995</v>
      </c>
      <c r="I5920" s="5" t="str">
        <f t="shared" si="705"/>
        <v>016</v>
      </c>
      <c r="J5920" s="5" t="str">
        <f t="shared" si="706"/>
        <v>2210</v>
      </c>
      <c r="K5920" s="5" t="str">
        <f t="shared" si="707"/>
        <v>000</v>
      </c>
      <c r="L5920" s="5">
        <f t="shared" si="708"/>
        <v>3</v>
      </c>
      <c r="M5920" s="5">
        <f t="shared" si="709"/>
        <v>2013</v>
      </c>
    </row>
    <row r="5921" spans="1:13" ht="15" x14ac:dyDescent="0.25">
      <c r="A5921" s="1">
        <f>DATE(2013,3,13)</f>
        <v>41346</v>
      </c>
      <c r="B5921" t="s">
        <v>13</v>
      </c>
      <c r="C5921" t="s">
        <v>9</v>
      </c>
      <c r="D5921" s="3">
        <v>102.57940000000001</v>
      </c>
      <c r="E5921" s="3">
        <v>0</v>
      </c>
      <c r="F5921" t="s">
        <v>45</v>
      </c>
      <c r="G5921" s="3">
        <f t="shared" si="703"/>
        <v>-102.57940000000001</v>
      </c>
      <c r="H5921" s="3">
        <f t="shared" si="704"/>
        <v>102.57940000000001</v>
      </c>
      <c r="I5921" s="5" t="str">
        <f t="shared" si="705"/>
        <v>016</v>
      </c>
      <c r="J5921" s="5" t="str">
        <f t="shared" si="706"/>
        <v>2220</v>
      </c>
      <c r="K5921" s="5" t="str">
        <f t="shared" si="707"/>
        <v>000</v>
      </c>
      <c r="L5921" s="5">
        <f t="shared" si="708"/>
        <v>3</v>
      </c>
      <c r="M5921" s="5">
        <f t="shared" si="709"/>
        <v>2013</v>
      </c>
    </row>
    <row r="5922" spans="1:13" ht="15" x14ac:dyDescent="0.25">
      <c r="A5922" s="1">
        <f>DATE(2013,3,13)</f>
        <v>41346</v>
      </c>
      <c r="B5922" t="s">
        <v>14</v>
      </c>
      <c r="C5922" t="s">
        <v>10</v>
      </c>
      <c r="D5922" s="3">
        <v>98.812799999999996</v>
      </c>
      <c r="E5922" s="3">
        <v>0</v>
      </c>
      <c r="F5922" t="s">
        <v>45</v>
      </c>
      <c r="G5922" s="3">
        <f t="shared" si="703"/>
        <v>-98.812799999999996</v>
      </c>
      <c r="H5922" s="3">
        <f t="shared" si="704"/>
        <v>98.812799999999996</v>
      </c>
      <c r="I5922" s="5" t="str">
        <f t="shared" si="705"/>
        <v>016</v>
      </c>
      <c r="J5922" s="5" t="str">
        <f t="shared" si="706"/>
        <v>2230</v>
      </c>
      <c r="K5922" s="5" t="str">
        <f t="shared" si="707"/>
        <v>000</v>
      </c>
      <c r="L5922" s="5">
        <f t="shared" si="708"/>
        <v>3</v>
      </c>
      <c r="M5922" s="5">
        <f t="shared" si="709"/>
        <v>2013</v>
      </c>
    </row>
    <row r="5923" spans="1:13" ht="15" x14ac:dyDescent="0.25">
      <c r="A5923" s="1">
        <f>DATE(2013,3,14)</f>
        <v>41347</v>
      </c>
      <c r="B5923" t="s">
        <v>11</v>
      </c>
      <c r="C5923" t="s">
        <v>6</v>
      </c>
      <c r="D5923" s="3">
        <v>5751.1089999999995</v>
      </c>
      <c r="E5923" s="3">
        <v>0</v>
      </c>
      <c r="F5923" t="s">
        <v>45</v>
      </c>
      <c r="G5923" s="3">
        <f t="shared" si="703"/>
        <v>-5751.1089999999995</v>
      </c>
      <c r="H5923" s="3">
        <f t="shared" si="704"/>
        <v>5751.1089999999995</v>
      </c>
      <c r="I5923" s="5" t="str">
        <f t="shared" si="705"/>
        <v>016</v>
      </c>
      <c r="J5923" s="5" t="str">
        <f t="shared" si="706"/>
        <v>2100</v>
      </c>
      <c r="K5923" s="5" t="str">
        <f t="shared" si="707"/>
        <v>000</v>
      </c>
      <c r="L5923" s="5">
        <f t="shared" si="708"/>
        <v>3</v>
      </c>
      <c r="M5923" s="5">
        <f t="shared" si="709"/>
        <v>2013</v>
      </c>
    </row>
    <row r="5924" spans="1:13" ht="15" x14ac:dyDescent="0.25">
      <c r="A5924" s="1">
        <f>DATE(2013,3,14)</f>
        <v>41347</v>
      </c>
      <c r="B5924" t="s">
        <v>12</v>
      </c>
      <c r="C5924" t="s">
        <v>8</v>
      </c>
      <c r="D5924" s="3">
        <v>1490.6133</v>
      </c>
      <c r="E5924" s="3">
        <v>0</v>
      </c>
      <c r="F5924" t="s">
        <v>45</v>
      </c>
      <c r="G5924" s="3">
        <f t="shared" si="703"/>
        <v>-1490.6133</v>
      </c>
      <c r="H5924" s="3">
        <f t="shared" si="704"/>
        <v>1490.6133</v>
      </c>
      <c r="I5924" s="5" t="str">
        <f t="shared" si="705"/>
        <v>016</v>
      </c>
      <c r="J5924" s="5" t="str">
        <f t="shared" si="706"/>
        <v>2210</v>
      </c>
      <c r="K5924" s="5" t="str">
        <f t="shared" si="707"/>
        <v>000</v>
      </c>
      <c r="L5924" s="5">
        <f t="shared" si="708"/>
        <v>3</v>
      </c>
      <c r="M5924" s="5">
        <f t="shared" si="709"/>
        <v>2013</v>
      </c>
    </row>
    <row r="5925" spans="1:13" ht="15" x14ac:dyDescent="0.25">
      <c r="A5925" s="1">
        <f>DATE(2013,3,14)</f>
        <v>41347</v>
      </c>
      <c r="B5925" t="s">
        <v>13</v>
      </c>
      <c r="C5925" t="s">
        <v>9</v>
      </c>
      <c r="D5925" s="3">
        <v>224.30590000000001</v>
      </c>
      <c r="E5925" s="3">
        <v>0</v>
      </c>
      <c r="F5925" t="s">
        <v>45</v>
      </c>
      <c r="G5925" s="3">
        <f t="shared" si="703"/>
        <v>-224.30590000000001</v>
      </c>
      <c r="H5925" s="3">
        <f t="shared" si="704"/>
        <v>224.30590000000001</v>
      </c>
      <c r="I5925" s="5" t="str">
        <f t="shared" si="705"/>
        <v>016</v>
      </c>
      <c r="J5925" s="5" t="str">
        <f t="shared" si="706"/>
        <v>2220</v>
      </c>
      <c r="K5925" s="5" t="str">
        <f t="shared" si="707"/>
        <v>000</v>
      </c>
      <c r="L5925" s="5">
        <f t="shared" si="708"/>
        <v>3</v>
      </c>
      <c r="M5925" s="5">
        <f t="shared" si="709"/>
        <v>2013</v>
      </c>
    </row>
    <row r="5926" spans="1:13" ht="15" x14ac:dyDescent="0.25">
      <c r="A5926" s="1">
        <f>DATE(2013,3,14)</f>
        <v>41347</v>
      </c>
      <c r="B5926" t="s">
        <v>14</v>
      </c>
      <c r="C5926" t="s">
        <v>10</v>
      </c>
      <c r="D5926" s="3">
        <v>67.660600000000002</v>
      </c>
      <c r="E5926" s="3">
        <v>0</v>
      </c>
      <c r="F5926" t="s">
        <v>45</v>
      </c>
      <c r="G5926" s="3">
        <f t="shared" si="703"/>
        <v>-67.660600000000002</v>
      </c>
      <c r="H5926" s="3">
        <f t="shared" si="704"/>
        <v>67.660600000000002</v>
      </c>
      <c r="I5926" s="5" t="str">
        <f t="shared" si="705"/>
        <v>016</v>
      </c>
      <c r="J5926" s="5" t="str">
        <f t="shared" si="706"/>
        <v>2230</v>
      </c>
      <c r="K5926" s="5" t="str">
        <f t="shared" si="707"/>
        <v>000</v>
      </c>
      <c r="L5926" s="5">
        <f t="shared" si="708"/>
        <v>3</v>
      </c>
      <c r="M5926" s="5">
        <f t="shared" si="709"/>
        <v>2013</v>
      </c>
    </row>
    <row r="5927" spans="1:13" ht="15" x14ac:dyDescent="0.25">
      <c r="A5927" s="1">
        <f>DATE(2013,3,15)</f>
        <v>41348</v>
      </c>
      <c r="B5927" t="s">
        <v>11</v>
      </c>
      <c r="C5927" t="s">
        <v>6</v>
      </c>
      <c r="D5927" s="3">
        <v>8394.3009000000002</v>
      </c>
      <c r="E5927" s="3">
        <v>0</v>
      </c>
      <c r="F5927" t="s">
        <v>45</v>
      </c>
      <c r="G5927" s="3">
        <f t="shared" si="703"/>
        <v>-8394.3009000000002</v>
      </c>
      <c r="H5927" s="3">
        <f t="shared" si="704"/>
        <v>8394.3009000000002</v>
      </c>
      <c r="I5927" s="5" t="str">
        <f t="shared" si="705"/>
        <v>016</v>
      </c>
      <c r="J5927" s="5" t="str">
        <f t="shared" si="706"/>
        <v>2100</v>
      </c>
      <c r="K5927" s="5" t="str">
        <f t="shared" si="707"/>
        <v>000</v>
      </c>
      <c r="L5927" s="5">
        <f t="shared" si="708"/>
        <v>3</v>
      </c>
      <c r="M5927" s="5">
        <f t="shared" si="709"/>
        <v>2013</v>
      </c>
    </row>
    <row r="5928" spans="1:13" ht="15" x14ac:dyDescent="0.25">
      <c r="A5928" s="1">
        <f>DATE(2013,3,15)</f>
        <v>41348</v>
      </c>
      <c r="B5928" t="s">
        <v>12</v>
      </c>
      <c r="C5928" t="s">
        <v>8</v>
      </c>
      <c r="D5928" s="3">
        <v>2164.7274000000002</v>
      </c>
      <c r="E5928" s="3">
        <v>0</v>
      </c>
      <c r="F5928" t="s">
        <v>45</v>
      </c>
      <c r="G5928" s="3">
        <f t="shared" si="703"/>
        <v>-2164.7274000000002</v>
      </c>
      <c r="H5928" s="3">
        <f t="shared" si="704"/>
        <v>2164.7274000000002</v>
      </c>
      <c r="I5928" s="5" t="str">
        <f t="shared" si="705"/>
        <v>016</v>
      </c>
      <c r="J5928" s="5" t="str">
        <f t="shared" si="706"/>
        <v>2210</v>
      </c>
      <c r="K5928" s="5" t="str">
        <f t="shared" si="707"/>
        <v>000</v>
      </c>
      <c r="L5928" s="5">
        <f t="shared" si="708"/>
        <v>3</v>
      </c>
      <c r="M5928" s="5">
        <f t="shared" si="709"/>
        <v>2013</v>
      </c>
    </row>
    <row r="5929" spans="1:13" ht="15" x14ac:dyDescent="0.25">
      <c r="A5929" s="1">
        <f>DATE(2013,3,15)</f>
        <v>41348</v>
      </c>
      <c r="B5929" t="s">
        <v>13</v>
      </c>
      <c r="C5929" t="s">
        <v>9</v>
      </c>
      <c r="D5929" s="3">
        <v>428.54019999999997</v>
      </c>
      <c r="E5929" s="3">
        <v>0</v>
      </c>
      <c r="F5929" t="s">
        <v>45</v>
      </c>
      <c r="G5929" s="3">
        <f t="shared" si="703"/>
        <v>-428.54019999999997</v>
      </c>
      <c r="H5929" s="3">
        <f t="shared" si="704"/>
        <v>428.54019999999997</v>
      </c>
      <c r="I5929" s="5" t="str">
        <f t="shared" si="705"/>
        <v>016</v>
      </c>
      <c r="J5929" s="5" t="str">
        <f t="shared" si="706"/>
        <v>2220</v>
      </c>
      <c r="K5929" s="5" t="str">
        <f t="shared" si="707"/>
        <v>000</v>
      </c>
      <c r="L5929" s="5">
        <f t="shared" si="708"/>
        <v>3</v>
      </c>
      <c r="M5929" s="5">
        <f t="shared" si="709"/>
        <v>2013</v>
      </c>
    </row>
    <row r="5930" spans="1:13" ht="15" x14ac:dyDescent="0.25">
      <c r="A5930" s="1">
        <f>DATE(2013,3,15)</f>
        <v>41348</v>
      </c>
      <c r="B5930" t="s">
        <v>14</v>
      </c>
      <c r="C5930" t="s">
        <v>10</v>
      </c>
      <c r="D5930" s="3">
        <v>147.43599999999998</v>
      </c>
      <c r="E5930" s="3">
        <v>0</v>
      </c>
      <c r="F5930" t="s">
        <v>45</v>
      </c>
      <c r="G5930" s="3">
        <f t="shared" si="703"/>
        <v>-147.43599999999998</v>
      </c>
      <c r="H5930" s="3">
        <f t="shared" si="704"/>
        <v>147.43599999999998</v>
      </c>
      <c r="I5930" s="5" t="str">
        <f t="shared" si="705"/>
        <v>016</v>
      </c>
      <c r="J5930" s="5" t="str">
        <f t="shared" si="706"/>
        <v>2230</v>
      </c>
      <c r="K5930" s="5" t="str">
        <f t="shared" si="707"/>
        <v>000</v>
      </c>
      <c r="L5930" s="5">
        <f t="shared" si="708"/>
        <v>3</v>
      </c>
      <c r="M5930" s="5">
        <f t="shared" si="709"/>
        <v>2013</v>
      </c>
    </row>
    <row r="5931" spans="1:13" ht="15" x14ac:dyDescent="0.25">
      <c r="A5931" s="1">
        <f>DATE(2013,3,16)</f>
        <v>41349</v>
      </c>
      <c r="B5931" t="s">
        <v>11</v>
      </c>
      <c r="C5931" t="s">
        <v>6</v>
      </c>
      <c r="D5931" s="3">
        <v>7886.7821999999987</v>
      </c>
      <c r="E5931" s="3">
        <v>0</v>
      </c>
      <c r="F5931" t="s">
        <v>45</v>
      </c>
      <c r="G5931" s="3">
        <f t="shared" si="703"/>
        <v>-7886.7821999999987</v>
      </c>
      <c r="H5931" s="3">
        <f t="shared" si="704"/>
        <v>7886.7821999999987</v>
      </c>
      <c r="I5931" s="5" t="str">
        <f t="shared" si="705"/>
        <v>016</v>
      </c>
      <c r="J5931" s="5" t="str">
        <f t="shared" si="706"/>
        <v>2100</v>
      </c>
      <c r="K5931" s="5" t="str">
        <f t="shared" si="707"/>
        <v>000</v>
      </c>
      <c r="L5931" s="5">
        <f t="shared" si="708"/>
        <v>3</v>
      </c>
      <c r="M5931" s="5">
        <f t="shared" si="709"/>
        <v>2013</v>
      </c>
    </row>
    <row r="5932" spans="1:13" ht="15" x14ac:dyDescent="0.25">
      <c r="A5932" s="1">
        <f>DATE(2013,3,16)</f>
        <v>41349</v>
      </c>
      <c r="B5932" t="s">
        <v>12</v>
      </c>
      <c r="C5932" t="s">
        <v>8</v>
      </c>
      <c r="D5932" s="3">
        <v>3734.7760000000003</v>
      </c>
      <c r="E5932" s="3">
        <v>0</v>
      </c>
      <c r="F5932" t="s">
        <v>45</v>
      </c>
      <c r="G5932" s="3">
        <f t="shared" si="703"/>
        <v>-3734.7760000000003</v>
      </c>
      <c r="H5932" s="3">
        <f t="shared" si="704"/>
        <v>3734.7760000000003</v>
      </c>
      <c r="I5932" s="5" t="str">
        <f t="shared" si="705"/>
        <v>016</v>
      </c>
      <c r="J5932" s="5" t="str">
        <f t="shared" si="706"/>
        <v>2210</v>
      </c>
      <c r="K5932" s="5" t="str">
        <f t="shared" si="707"/>
        <v>000</v>
      </c>
      <c r="L5932" s="5">
        <f t="shared" si="708"/>
        <v>3</v>
      </c>
      <c r="M5932" s="5">
        <f t="shared" si="709"/>
        <v>2013</v>
      </c>
    </row>
    <row r="5933" spans="1:13" ht="15" x14ac:dyDescent="0.25">
      <c r="A5933" s="1">
        <f>DATE(2013,3,16)</f>
        <v>41349</v>
      </c>
      <c r="B5933" t="s">
        <v>13</v>
      </c>
      <c r="C5933" t="s">
        <v>9</v>
      </c>
      <c r="D5933" s="3">
        <v>524.97059999999999</v>
      </c>
      <c r="E5933" s="3">
        <v>0</v>
      </c>
      <c r="F5933" t="s">
        <v>45</v>
      </c>
      <c r="G5933" s="3">
        <f t="shared" si="703"/>
        <v>-524.97059999999999</v>
      </c>
      <c r="H5933" s="3">
        <f t="shared" si="704"/>
        <v>524.97059999999999</v>
      </c>
      <c r="I5933" s="5" t="str">
        <f t="shared" si="705"/>
        <v>016</v>
      </c>
      <c r="J5933" s="5" t="str">
        <f t="shared" si="706"/>
        <v>2220</v>
      </c>
      <c r="K5933" s="5" t="str">
        <f t="shared" si="707"/>
        <v>000</v>
      </c>
      <c r="L5933" s="5">
        <f t="shared" si="708"/>
        <v>3</v>
      </c>
      <c r="M5933" s="5">
        <f t="shared" si="709"/>
        <v>2013</v>
      </c>
    </row>
    <row r="5934" spans="1:13" ht="15" x14ac:dyDescent="0.25">
      <c r="A5934" s="1">
        <f>DATE(2013,3,16)</f>
        <v>41349</v>
      </c>
      <c r="B5934" t="s">
        <v>14</v>
      </c>
      <c r="C5934" t="s">
        <v>10</v>
      </c>
      <c r="D5934" s="3">
        <v>301.995</v>
      </c>
      <c r="E5934" s="3">
        <v>0</v>
      </c>
      <c r="F5934" t="s">
        <v>45</v>
      </c>
      <c r="G5934" s="3">
        <f t="shared" si="703"/>
        <v>-301.995</v>
      </c>
      <c r="H5934" s="3">
        <f t="shared" si="704"/>
        <v>301.995</v>
      </c>
      <c r="I5934" s="5" t="str">
        <f t="shared" si="705"/>
        <v>016</v>
      </c>
      <c r="J5934" s="5" t="str">
        <f t="shared" si="706"/>
        <v>2230</v>
      </c>
      <c r="K5934" s="5" t="str">
        <f t="shared" si="707"/>
        <v>000</v>
      </c>
      <c r="L5934" s="5">
        <f t="shared" si="708"/>
        <v>3</v>
      </c>
      <c r="M5934" s="5">
        <f t="shared" si="709"/>
        <v>2013</v>
      </c>
    </row>
    <row r="5935" spans="1:13" ht="15" x14ac:dyDescent="0.25">
      <c r="A5935" s="1">
        <f>DATE(2013,3,17)</f>
        <v>41350</v>
      </c>
      <c r="B5935" t="s">
        <v>11</v>
      </c>
      <c r="C5935" t="s">
        <v>6</v>
      </c>
      <c r="D5935" s="3">
        <v>6577.6949999999997</v>
      </c>
      <c r="E5935" s="3">
        <v>0</v>
      </c>
      <c r="F5935" t="s">
        <v>45</v>
      </c>
      <c r="G5935" s="3">
        <f t="shared" si="703"/>
        <v>-6577.6949999999997</v>
      </c>
      <c r="H5935" s="3">
        <f t="shared" si="704"/>
        <v>6577.6949999999997</v>
      </c>
      <c r="I5935" s="5" t="str">
        <f t="shared" si="705"/>
        <v>016</v>
      </c>
      <c r="J5935" s="5" t="str">
        <f t="shared" si="706"/>
        <v>2100</v>
      </c>
      <c r="K5935" s="5" t="str">
        <f t="shared" si="707"/>
        <v>000</v>
      </c>
      <c r="L5935" s="5">
        <f t="shared" si="708"/>
        <v>3</v>
      </c>
      <c r="M5935" s="5">
        <f t="shared" si="709"/>
        <v>2013</v>
      </c>
    </row>
    <row r="5936" spans="1:13" ht="15" x14ac:dyDescent="0.25">
      <c r="A5936" s="1">
        <f>DATE(2013,3,17)</f>
        <v>41350</v>
      </c>
      <c r="B5936" t="s">
        <v>12</v>
      </c>
      <c r="C5936" t="s">
        <v>8</v>
      </c>
      <c r="D5936" s="3">
        <v>2115.9775</v>
      </c>
      <c r="E5936" s="3">
        <v>0</v>
      </c>
      <c r="F5936" t="s">
        <v>45</v>
      </c>
      <c r="G5936" s="3">
        <f t="shared" si="703"/>
        <v>-2115.9775</v>
      </c>
      <c r="H5936" s="3">
        <f t="shared" si="704"/>
        <v>2115.9775</v>
      </c>
      <c r="I5936" s="5" t="str">
        <f t="shared" si="705"/>
        <v>016</v>
      </c>
      <c r="J5936" s="5" t="str">
        <f t="shared" si="706"/>
        <v>2210</v>
      </c>
      <c r="K5936" s="5" t="str">
        <f t="shared" si="707"/>
        <v>000</v>
      </c>
      <c r="L5936" s="5">
        <f t="shared" si="708"/>
        <v>3</v>
      </c>
      <c r="M5936" s="5">
        <f t="shared" si="709"/>
        <v>2013</v>
      </c>
    </row>
    <row r="5937" spans="1:13" ht="15" x14ac:dyDescent="0.25">
      <c r="A5937" s="1">
        <f>DATE(2013,3,17)</f>
        <v>41350</v>
      </c>
      <c r="B5937" t="s">
        <v>13</v>
      </c>
      <c r="C5937" t="s">
        <v>9</v>
      </c>
      <c r="D5937" s="3">
        <v>850.89420000000007</v>
      </c>
      <c r="E5937" s="3">
        <v>0</v>
      </c>
      <c r="F5937" t="s">
        <v>45</v>
      </c>
      <c r="G5937" s="3">
        <f t="shared" si="703"/>
        <v>-850.89420000000007</v>
      </c>
      <c r="H5937" s="3">
        <f t="shared" si="704"/>
        <v>850.89420000000007</v>
      </c>
      <c r="I5937" s="5" t="str">
        <f t="shared" si="705"/>
        <v>016</v>
      </c>
      <c r="J5937" s="5" t="str">
        <f t="shared" si="706"/>
        <v>2220</v>
      </c>
      <c r="K5937" s="5" t="str">
        <f t="shared" si="707"/>
        <v>000</v>
      </c>
      <c r="L5937" s="5">
        <f t="shared" si="708"/>
        <v>3</v>
      </c>
      <c r="M5937" s="5">
        <f t="shared" si="709"/>
        <v>2013</v>
      </c>
    </row>
    <row r="5938" spans="1:13" ht="15" x14ac:dyDescent="0.25">
      <c r="A5938" s="1">
        <f>DATE(2013,3,17)</f>
        <v>41350</v>
      </c>
      <c r="B5938" t="s">
        <v>14</v>
      </c>
      <c r="C5938" t="s">
        <v>10</v>
      </c>
      <c r="D5938" s="3">
        <v>114.82289999999999</v>
      </c>
      <c r="E5938" s="3">
        <v>0</v>
      </c>
      <c r="F5938" t="s">
        <v>45</v>
      </c>
      <c r="G5938" s="3">
        <f t="shared" si="703"/>
        <v>-114.82289999999999</v>
      </c>
      <c r="H5938" s="3">
        <f t="shared" si="704"/>
        <v>114.82289999999999</v>
      </c>
      <c r="I5938" s="5" t="str">
        <f t="shared" si="705"/>
        <v>016</v>
      </c>
      <c r="J5938" s="5" t="str">
        <f t="shared" si="706"/>
        <v>2230</v>
      </c>
      <c r="K5938" s="5" t="str">
        <f t="shared" si="707"/>
        <v>000</v>
      </c>
      <c r="L5938" s="5">
        <f t="shared" si="708"/>
        <v>3</v>
      </c>
      <c r="M5938" s="5">
        <f t="shared" si="709"/>
        <v>2013</v>
      </c>
    </row>
    <row r="5939" spans="1:13" ht="15" x14ac:dyDescent="0.25">
      <c r="A5939" s="1">
        <f>DATE(2013,3,11)</f>
        <v>41344</v>
      </c>
      <c r="B5939" t="s">
        <v>15</v>
      </c>
      <c r="C5939" t="s">
        <v>6</v>
      </c>
      <c r="D5939" s="3">
        <v>3183.4892</v>
      </c>
      <c r="E5939" s="3">
        <v>0</v>
      </c>
      <c r="F5939" t="s">
        <v>45</v>
      </c>
      <c r="G5939" s="3">
        <f t="shared" si="703"/>
        <v>-3183.4892</v>
      </c>
      <c r="H5939" s="3">
        <f t="shared" si="704"/>
        <v>3183.4892</v>
      </c>
      <c r="I5939" s="5" t="str">
        <f t="shared" si="705"/>
        <v>017</v>
      </c>
      <c r="J5939" s="5" t="str">
        <f t="shared" si="706"/>
        <v>2100</v>
      </c>
      <c r="K5939" s="5" t="str">
        <f t="shared" si="707"/>
        <v>000</v>
      </c>
      <c r="L5939" s="5">
        <f t="shared" si="708"/>
        <v>3</v>
      </c>
      <c r="M5939" s="5">
        <f t="shared" si="709"/>
        <v>2013</v>
      </c>
    </row>
    <row r="5940" spans="1:13" ht="15" x14ac:dyDescent="0.25">
      <c r="A5940" s="1">
        <f>DATE(2013,3,11)</f>
        <v>41344</v>
      </c>
      <c r="B5940" t="s">
        <v>16</v>
      </c>
      <c r="C5940" t="s">
        <v>8</v>
      </c>
      <c r="D5940" s="3">
        <v>719.12739999999985</v>
      </c>
      <c r="E5940" s="3">
        <v>0</v>
      </c>
      <c r="F5940" t="s">
        <v>45</v>
      </c>
      <c r="G5940" s="3">
        <f t="shared" si="703"/>
        <v>-719.12739999999985</v>
      </c>
      <c r="H5940" s="3">
        <f t="shared" si="704"/>
        <v>719.12739999999985</v>
      </c>
      <c r="I5940" s="5" t="str">
        <f t="shared" si="705"/>
        <v>017</v>
      </c>
      <c r="J5940" s="5" t="str">
        <f t="shared" si="706"/>
        <v>2210</v>
      </c>
      <c r="K5940" s="5" t="str">
        <f t="shared" si="707"/>
        <v>000</v>
      </c>
      <c r="L5940" s="5">
        <f t="shared" si="708"/>
        <v>3</v>
      </c>
      <c r="M5940" s="5">
        <f t="shared" si="709"/>
        <v>2013</v>
      </c>
    </row>
    <row r="5941" spans="1:13" ht="15" x14ac:dyDescent="0.25">
      <c r="A5941" s="1">
        <f>DATE(2013,3,11)</f>
        <v>41344</v>
      </c>
      <c r="B5941" t="s">
        <v>17</v>
      </c>
      <c r="C5941" t="s">
        <v>9</v>
      </c>
      <c r="D5941" s="3">
        <v>272.233</v>
      </c>
      <c r="E5941" s="3">
        <v>0</v>
      </c>
      <c r="F5941" t="s">
        <v>45</v>
      </c>
      <c r="G5941" s="3">
        <f t="shared" si="703"/>
        <v>-272.233</v>
      </c>
      <c r="H5941" s="3">
        <f t="shared" si="704"/>
        <v>272.233</v>
      </c>
      <c r="I5941" s="5" t="str">
        <f t="shared" si="705"/>
        <v>017</v>
      </c>
      <c r="J5941" s="5" t="str">
        <f t="shared" si="706"/>
        <v>2220</v>
      </c>
      <c r="K5941" s="5" t="str">
        <f t="shared" si="707"/>
        <v>000</v>
      </c>
      <c r="L5941" s="5">
        <f t="shared" si="708"/>
        <v>3</v>
      </c>
      <c r="M5941" s="5">
        <f t="shared" si="709"/>
        <v>2013</v>
      </c>
    </row>
    <row r="5942" spans="1:13" ht="15" x14ac:dyDescent="0.25">
      <c r="A5942" s="1">
        <f>DATE(2013,3,11)</f>
        <v>41344</v>
      </c>
      <c r="B5942" t="s">
        <v>18</v>
      </c>
      <c r="C5942" t="s">
        <v>10</v>
      </c>
      <c r="D5942" s="3">
        <v>90.152000000000001</v>
      </c>
      <c r="E5942" s="3">
        <v>0</v>
      </c>
      <c r="F5942" t="s">
        <v>45</v>
      </c>
      <c r="G5942" s="3">
        <f t="shared" si="703"/>
        <v>-90.152000000000001</v>
      </c>
      <c r="H5942" s="3">
        <f t="shared" si="704"/>
        <v>90.152000000000001</v>
      </c>
      <c r="I5942" s="5" t="str">
        <f t="shared" si="705"/>
        <v>017</v>
      </c>
      <c r="J5942" s="5" t="str">
        <f t="shared" si="706"/>
        <v>2230</v>
      </c>
      <c r="K5942" s="5" t="str">
        <f t="shared" si="707"/>
        <v>000</v>
      </c>
      <c r="L5942" s="5">
        <f t="shared" si="708"/>
        <v>3</v>
      </c>
      <c r="M5942" s="5">
        <f t="shared" si="709"/>
        <v>2013</v>
      </c>
    </row>
    <row r="5943" spans="1:13" ht="15" x14ac:dyDescent="0.25">
      <c r="A5943" s="1">
        <f>DATE(2013,3,12)</f>
        <v>41345</v>
      </c>
      <c r="B5943" t="s">
        <v>15</v>
      </c>
      <c r="C5943" t="s">
        <v>6</v>
      </c>
      <c r="D5943" s="3">
        <v>6734.9610000000002</v>
      </c>
      <c r="E5943" s="3">
        <v>0</v>
      </c>
      <c r="F5943" t="s">
        <v>45</v>
      </c>
      <c r="G5943" s="3">
        <f t="shared" si="703"/>
        <v>-6734.9610000000002</v>
      </c>
      <c r="H5943" s="3">
        <f t="shared" si="704"/>
        <v>6734.9610000000002</v>
      </c>
      <c r="I5943" s="5" t="str">
        <f t="shared" si="705"/>
        <v>017</v>
      </c>
      <c r="J5943" s="5" t="str">
        <f t="shared" si="706"/>
        <v>2100</v>
      </c>
      <c r="K5943" s="5" t="str">
        <f t="shared" si="707"/>
        <v>000</v>
      </c>
      <c r="L5943" s="5">
        <f t="shared" si="708"/>
        <v>3</v>
      </c>
      <c r="M5943" s="5">
        <f t="shared" si="709"/>
        <v>2013</v>
      </c>
    </row>
    <row r="5944" spans="1:13" ht="15" x14ac:dyDescent="0.25">
      <c r="A5944" s="1">
        <f>DATE(2013,3,12)</f>
        <v>41345</v>
      </c>
      <c r="B5944" t="s">
        <v>16</v>
      </c>
      <c r="C5944" t="s">
        <v>8</v>
      </c>
      <c r="D5944" s="3">
        <v>1703.0449999999998</v>
      </c>
      <c r="E5944" s="3">
        <v>0</v>
      </c>
      <c r="F5944" t="s">
        <v>45</v>
      </c>
      <c r="G5944" s="3">
        <f t="shared" si="703"/>
        <v>-1703.0449999999998</v>
      </c>
      <c r="H5944" s="3">
        <f t="shared" si="704"/>
        <v>1703.0449999999998</v>
      </c>
      <c r="I5944" s="5" t="str">
        <f t="shared" si="705"/>
        <v>017</v>
      </c>
      <c r="J5944" s="5" t="str">
        <f t="shared" si="706"/>
        <v>2210</v>
      </c>
      <c r="K5944" s="5" t="str">
        <f t="shared" si="707"/>
        <v>000</v>
      </c>
      <c r="L5944" s="5">
        <f t="shared" si="708"/>
        <v>3</v>
      </c>
      <c r="M5944" s="5">
        <f t="shared" si="709"/>
        <v>2013</v>
      </c>
    </row>
    <row r="5945" spans="1:13" ht="15" x14ac:dyDescent="0.25">
      <c r="A5945" s="1">
        <f>DATE(2013,3,12)</f>
        <v>41345</v>
      </c>
      <c r="B5945" t="s">
        <v>17</v>
      </c>
      <c r="C5945" t="s">
        <v>9</v>
      </c>
      <c r="D5945" s="3">
        <v>437.45600000000002</v>
      </c>
      <c r="E5945" s="3">
        <v>0</v>
      </c>
      <c r="F5945" t="s">
        <v>45</v>
      </c>
      <c r="G5945" s="3">
        <f t="shared" si="703"/>
        <v>-437.45600000000002</v>
      </c>
      <c r="H5945" s="3">
        <f t="shared" si="704"/>
        <v>437.45600000000002</v>
      </c>
      <c r="I5945" s="5" t="str">
        <f t="shared" si="705"/>
        <v>017</v>
      </c>
      <c r="J5945" s="5" t="str">
        <f t="shared" si="706"/>
        <v>2220</v>
      </c>
      <c r="K5945" s="5" t="str">
        <f t="shared" si="707"/>
        <v>000</v>
      </c>
      <c r="L5945" s="5">
        <f t="shared" si="708"/>
        <v>3</v>
      </c>
      <c r="M5945" s="5">
        <f t="shared" si="709"/>
        <v>2013</v>
      </c>
    </row>
    <row r="5946" spans="1:13" ht="15" x14ac:dyDescent="0.25">
      <c r="A5946" s="1">
        <f>DATE(2013,3,12)</f>
        <v>41345</v>
      </c>
      <c r="B5946" t="s">
        <v>18</v>
      </c>
      <c r="C5946" t="s">
        <v>10</v>
      </c>
      <c r="D5946" s="3">
        <v>119.56</v>
      </c>
      <c r="E5946" s="3">
        <v>0</v>
      </c>
      <c r="F5946" t="s">
        <v>45</v>
      </c>
      <c r="G5946" s="3">
        <f t="shared" si="703"/>
        <v>-119.56</v>
      </c>
      <c r="H5946" s="3">
        <f t="shared" si="704"/>
        <v>119.56</v>
      </c>
      <c r="I5946" s="5" t="str">
        <f t="shared" si="705"/>
        <v>017</v>
      </c>
      <c r="J5946" s="5" t="str">
        <f t="shared" si="706"/>
        <v>2230</v>
      </c>
      <c r="K5946" s="5" t="str">
        <f t="shared" si="707"/>
        <v>000</v>
      </c>
      <c r="L5946" s="5">
        <f t="shared" si="708"/>
        <v>3</v>
      </c>
      <c r="M5946" s="5">
        <f t="shared" si="709"/>
        <v>2013</v>
      </c>
    </row>
    <row r="5947" spans="1:13" ht="15" x14ac:dyDescent="0.25">
      <c r="A5947" s="1">
        <f>DATE(2013,3,13)</f>
        <v>41346</v>
      </c>
      <c r="B5947" t="s">
        <v>15</v>
      </c>
      <c r="C5947" t="s">
        <v>6</v>
      </c>
      <c r="D5947" s="3">
        <v>6322.0851999999995</v>
      </c>
      <c r="E5947" s="3">
        <v>0</v>
      </c>
      <c r="F5947" t="s">
        <v>45</v>
      </c>
      <c r="G5947" s="3">
        <f t="shared" si="703"/>
        <v>-6322.0851999999995</v>
      </c>
      <c r="H5947" s="3">
        <f t="shared" si="704"/>
        <v>6322.0851999999995</v>
      </c>
      <c r="I5947" s="5" t="str">
        <f t="shared" si="705"/>
        <v>017</v>
      </c>
      <c r="J5947" s="5" t="str">
        <f t="shared" si="706"/>
        <v>2100</v>
      </c>
      <c r="K5947" s="5" t="str">
        <f t="shared" si="707"/>
        <v>000</v>
      </c>
      <c r="L5947" s="5">
        <f t="shared" si="708"/>
        <v>3</v>
      </c>
      <c r="M5947" s="5">
        <f t="shared" si="709"/>
        <v>2013</v>
      </c>
    </row>
    <row r="5948" spans="1:13" ht="15" x14ac:dyDescent="0.25">
      <c r="A5948" s="1">
        <f>DATE(2013,3,13)</f>
        <v>41346</v>
      </c>
      <c r="B5948" t="s">
        <v>16</v>
      </c>
      <c r="C5948" t="s">
        <v>8</v>
      </c>
      <c r="D5948" s="3">
        <v>1592.6101000000003</v>
      </c>
      <c r="E5948" s="3">
        <v>0</v>
      </c>
      <c r="F5948" t="s">
        <v>45</v>
      </c>
      <c r="G5948" s="3">
        <f t="shared" si="703"/>
        <v>-1592.6101000000003</v>
      </c>
      <c r="H5948" s="3">
        <f t="shared" si="704"/>
        <v>1592.6101000000003</v>
      </c>
      <c r="I5948" s="5" t="str">
        <f t="shared" si="705"/>
        <v>017</v>
      </c>
      <c r="J5948" s="5" t="str">
        <f t="shared" si="706"/>
        <v>2210</v>
      </c>
      <c r="K5948" s="5" t="str">
        <f t="shared" si="707"/>
        <v>000</v>
      </c>
      <c r="L5948" s="5">
        <f t="shared" si="708"/>
        <v>3</v>
      </c>
      <c r="M5948" s="5">
        <f t="shared" si="709"/>
        <v>2013</v>
      </c>
    </row>
    <row r="5949" spans="1:13" ht="15" x14ac:dyDescent="0.25">
      <c r="A5949" s="1">
        <f>DATE(2013,3,13)</f>
        <v>41346</v>
      </c>
      <c r="B5949" t="s">
        <v>17</v>
      </c>
      <c r="C5949" t="s">
        <v>9</v>
      </c>
      <c r="D5949" s="3">
        <v>583.16800000000001</v>
      </c>
      <c r="E5949" s="3">
        <v>0</v>
      </c>
      <c r="F5949" t="s">
        <v>45</v>
      </c>
      <c r="G5949" s="3">
        <f t="shared" si="703"/>
        <v>-583.16800000000001</v>
      </c>
      <c r="H5949" s="3">
        <f t="shared" si="704"/>
        <v>583.16800000000001</v>
      </c>
      <c r="I5949" s="5" t="str">
        <f t="shared" si="705"/>
        <v>017</v>
      </c>
      <c r="J5949" s="5" t="str">
        <f t="shared" si="706"/>
        <v>2220</v>
      </c>
      <c r="K5949" s="5" t="str">
        <f t="shared" si="707"/>
        <v>000</v>
      </c>
      <c r="L5949" s="5">
        <f t="shared" si="708"/>
        <v>3</v>
      </c>
      <c r="M5949" s="5">
        <f t="shared" si="709"/>
        <v>2013</v>
      </c>
    </row>
    <row r="5950" spans="1:13" ht="15" x14ac:dyDescent="0.25">
      <c r="A5950" s="1">
        <f>DATE(2013,3,13)</f>
        <v>41346</v>
      </c>
      <c r="B5950" t="s">
        <v>18</v>
      </c>
      <c r="C5950" t="s">
        <v>10</v>
      </c>
      <c r="D5950" s="3">
        <v>151.33359999999999</v>
      </c>
      <c r="E5950" s="3">
        <v>0</v>
      </c>
      <c r="F5950" t="s">
        <v>45</v>
      </c>
      <c r="G5950" s="3">
        <f t="shared" si="703"/>
        <v>-151.33359999999999</v>
      </c>
      <c r="H5950" s="3">
        <f t="shared" si="704"/>
        <v>151.33359999999999</v>
      </c>
      <c r="I5950" s="5" t="str">
        <f t="shared" si="705"/>
        <v>017</v>
      </c>
      <c r="J5950" s="5" t="str">
        <f t="shared" si="706"/>
        <v>2230</v>
      </c>
      <c r="K5950" s="5" t="str">
        <f t="shared" si="707"/>
        <v>000</v>
      </c>
      <c r="L5950" s="5">
        <f t="shared" si="708"/>
        <v>3</v>
      </c>
      <c r="M5950" s="5">
        <f t="shared" si="709"/>
        <v>2013</v>
      </c>
    </row>
    <row r="5951" spans="1:13" ht="15" x14ac:dyDescent="0.25">
      <c r="A5951" s="1">
        <f>DATE(2013,3,14)</f>
        <v>41347</v>
      </c>
      <c r="B5951" t="s">
        <v>15</v>
      </c>
      <c r="C5951" t="s">
        <v>6</v>
      </c>
      <c r="D5951" s="3">
        <v>8226.8799999999992</v>
      </c>
      <c r="E5951" s="3">
        <v>0</v>
      </c>
      <c r="F5951" t="s">
        <v>45</v>
      </c>
      <c r="G5951" s="3">
        <f t="shared" si="703"/>
        <v>-8226.8799999999992</v>
      </c>
      <c r="H5951" s="3">
        <f t="shared" si="704"/>
        <v>8226.8799999999992</v>
      </c>
      <c r="I5951" s="5" t="str">
        <f t="shared" si="705"/>
        <v>017</v>
      </c>
      <c r="J5951" s="5" t="str">
        <f t="shared" si="706"/>
        <v>2100</v>
      </c>
      <c r="K5951" s="5" t="str">
        <f t="shared" si="707"/>
        <v>000</v>
      </c>
      <c r="L5951" s="5">
        <f t="shared" si="708"/>
        <v>3</v>
      </c>
      <c r="M5951" s="5">
        <f t="shared" si="709"/>
        <v>2013</v>
      </c>
    </row>
    <row r="5952" spans="1:13" ht="15" x14ac:dyDescent="0.25">
      <c r="A5952" s="1">
        <f>DATE(2013,3,14)</f>
        <v>41347</v>
      </c>
      <c r="B5952" t="s">
        <v>16</v>
      </c>
      <c r="C5952" t="s">
        <v>8</v>
      </c>
      <c r="D5952" s="3">
        <v>1754.4946</v>
      </c>
      <c r="E5952" s="3">
        <v>0</v>
      </c>
      <c r="F5952" t="s">
        <v>45</v>
      </c>
      <c r="G5952" s="3">
        <f t="shared" si="703"/>
        <v>-1754.4946</v>
      </c>
      <c r="H5952" s="3">
        <f t="shared" si="704"/>
        <v>1754.4946</v>
      </c>
      <c r="I5952" s="5" t="str">
        <f t="shared" si="705"/>
        <v>017</v>
      </c>
      <c r="J5952" s="5" t="str">
        <f t="shared" si="706"/>
        <v>2210</v>
      </c>
      <c r="K5952" s="5" t="str">
        <f t="shared" si="707"/>
        <v>000</v>
      </c>
      <c r="L5952" s="5">
        <f t="shared" si="708"/>
        <v>3</v>
      </c>
      <c r="M5952" s="5">
        <f t="shared" si="709"/>
        <v>2013</v>
      </c>
    </row>
    <row r="5953" spans="1:13" ht="15" x14ac:dyDescent="0.25">
      <c r="A5953" s="1">
        <f>DATE(2013,3,14)</f>
        <v>41347</v>
      </c>
      <c r="B5953" t="s">
        <v>17</v>
      </c>
      <c r="C5953" t="s">
        <v>9</v>
      </c>
      <c r="D5953" s="3">
        <v>395.77529999999996</v>
      </c>
      <c r="E5953" s="3">
        <v>0</v>
      </c>
      <c r="F5953" t="s">
        <v>45</v>
      </c>
      <c r="G5953" s="3">
        <f t="shared" si="703"/>
        <v>-395.77529999999996</v>
      </c>
      <c r="H5953" s="3">
        <f t="shared" si="704"/>
        <v>395.77529999999996</v>
      </c>
      <c r="I5953" s="5" t="str">
        <f t="shared" si="705"/>
        <v>017</v>
      </c>
      <c r="J5953" s="5" t="str">
        <f t="shared" si="706"/>
        <v>2220</v>
      </c>
      <c r="K5953" s="5" t="str">
        <f t="shared" si="707"/>
        <v>000</v>
      </c>
      <c r="L5953" s="5">
        <f t="shared" si="708"/>
        <v>3</v>
      </c>
      <c r="M5953" s="5">
        <f t="shared" si="709"/>
        <v>2013</v>
      </c>
    </row>
    <row r="5954" spans="1:13" ht="15" x14ac:dyDescent="0.25">
      <c r="A5954" s="1">
        <f>DATE(2013,3,14)</f>
        <v>41347</v>
      </c>
      <c r="B5954" t="s">
        <v>18</v>
      </c>
      <c r="C5954" t="s">
        <v>10</v>
      </c>
      <c r="D5954" s="3">
        <v>147.88240000000002</v>
      </c>
      <c r="E5954" s="3">
        <v>0</v>
      </c>
      <c r="F5954" t="s">
        <v>45</v>
      </c>
      <c r="G5954" s="3">
        <f t="shared" ref="G5954:G6017" si="710">E5954-D5954</f>
        <v>-147.88240000000002</v>
      </c>
      <c r="H5954" s="3">
        <f t="shared" ref="H5954:H6017" si="711">ABS(G5954)</f>
        <v>147.88240000000002</v>
      </c>
      <c r="I5954" s="5" t="str">
        <f t="shared" ref="I5954:I6017" si="712">MID(B5954,1,3)</f>
        <v>017</v>
      </c>
      <c r="J5954" s="5" t="str">
        <f t="shared" ref="J5954:J6017" si="713">MID(B5954,5,4)</f>
        <v>2230</v>
      </c>
      <c r="K5954" s="5" t="str">
        <f t="shared" ref="K5954:K6017" si="714">MID(B5954,10,3)</f>
        <v>000</v>
      </c>
      <c r="L5954" s="5">
        <f t="shared" ref="L5954:L6017" si="715">MONTH(A5954)</f>
        <v>3</v>
      </c>
      <c r="M5954" s="5">
        <f t="shared" ref="M5954:M6017" si="716">YEAR(A5954)</f>
        <v>2013</v>
      </c>
    </row>
    <row r="5955" spans="1:13" ht="15" x14ac:dyDescent="0.25">
      <c r="A5955" s="1">
        <f>DATE(2013,3,15)</f>
        <v>41348</v>
      </c>
      <c r="B5955" t="s">
        <v>15</v>
      </c>
      <c r="C5955" t="s">
        <v>6</v>
      </c>
      <c r="D5955" s="3">
        <v>8731.1288999999997</v>
      </c>
      <c r="E5955" s="3">
        <v>0</v>
      </c>
      <c r="F5955" t="s">
        <v>45</v>
      </c>
      <c r="G5955" s="3">
        <f t="shared" si="710"/>
        <v>-8731.1288999999997</v>
      </c>
      <c r="H5955" s="3">
        <f t="shared" si="711"/>
        <v>8731.1288999999997</v>
      </c>
      <c r="I5955" s="5" t="str">
        <f t="shared" si="712"/>
        <v>017</v>
      </c>
      <c r="J5955" s="5" t="str">
        <f t="shared" si="713"/>
        <v>2100</v>
      </c>
      <c r="K5955" s="5" t="str">
        <f t="shared" si="714"/>
        <v>000</v>
      </c>
      <c r="L5955" s="5">
        <f t="shared" si="715"/>
        <v>3</v>
      </c>
      <c r="M5955" s="5">
        <f t="shared" si="716"/>
        <v>2013</v>
      </c>
    </row>
    <row r="5956" spans="1:13" ht="15" x14ac:dyDescent="0.25">
      <c r="A5956" s="1">
        <f>DATE(2013,3,15)</f>
        <v>41348</v>
      </c>
      <c r="B5956" t="s">
        <v>16</v>
      </c>
      <c r="C5956" t="s">
        <v>8</v>
      </c>
      <c r="D5956" s="3">
        <v>3833.0189999999998</v>
      </c>
      <c r="E5956" s="3">
        <v>0</v>
      </c>
      <c r="F5956" t="s">
        <v>45</v>
      </c>
      <c r="G5956" s="3">
        <f t="shared" si="710"/>
        <v>-3833.0189999999998</v>
      </c>
      <c r="H5956" s="3">
        <f t="shared" si="711"/>
        <v>3833.0189999999998</v>
      </c>
      <c r="I5956" s="5" t="str">
        <f t="shared" si="712"/>
        <v>017</v>
      </c>
      <c r="J5956" s="5" t="str">
        <f t="shared" si="713"/>
        <v>2210</v>
      </c>
      <c r="K5956" s="5" t="str">
        <f t="shared" si="714"/>
        <v>000</v>
      </c>
      <c r="L5956" s="5">
        <f t="shared" si="715"/>
        <v>3</v>
      </c>
      <c r="M5956" s="5">
        <f t="shared" si="716"/>
        <v>2013</v>
      </c>
    </row>
    <row r="5957" spans="1:13" ht="15" x14ac:dyDescent="0.25">
      <c r="A5957" s="1">
        <f>DATE(2013,3,15)</f>
        <v>41348</v>
      </c>
      <c r="B5957" t="s">
        <v>17</v>
      </c>
      <c r="C5957" t="s">
        <v>9</v>
      </c>
      <c r="D5957" s="3">
        <v>570.43799999999999</v>
      </c>
      <c r="E5957" s="3">
        <v>0</v>
      </c>
      <c r="F5957" t="s">
        <v>45</v>
      </c>
      <c r="G5957" s="3">
        <f t="shared" si="710"/>
        <v>-570.43799999999999</v>
      </c>
      <c r="H5957" s="3">
        <f t="shared" si="711"/>
        <v>570.43799999999999</v>
      </c>
      <c r="I5957" s="5" t="str">
        <f t="shared" si="712"/>
        <v>017</v>
      </c>
      <c r="J5957" s="5" t="str">
        <f t="shared" si="713"/>
        <v>2220</v>
      </c>
      <c r="K5957" s="5" t="str">
        <f t="shared" si="714"/>
        <v>000</v>
      </c>
      <c r="L5957" s="5">
        <f t="shared" si="715"/>
        <v>3</v>
      </c>
      <c r="M5957" s="5">
        <f t="shared" si="716"/>
        <v>2013</v>
      </c>
    </row>
    <row r="5958" spans="1:13" ht="15" x14ac:dyDescent="0.25">
      <c r="A5958" s="1">
        <f>DATE(2013,3,15)</f>
        <v>41348</v>
      </c>
      <c r="B5958" t="s">
        <v>18</v>
      </c>
      <c r="C5958" t="s">
        <v>10</v>
      </c>
      <c r="D5958" s="3">
        <v>120.30719999999999</v>
      </c>
      <c r="E5958" s="3">
        <v>0</v>
      </c>
      <c r="F5958" t="s">
        <v>45</v>
      </c>
      <c r="G5958" s="3">
        <f t="shared" si="710"/>
        <v>-120.30719999999999</v>
      </c>
      <c r="H5958" s="3">
        <f t="shared" si="711"/>
        <v>120.30719999999999</v>
      </c>
      <c r="I5958" s="5" t="str">
        <f t="shared" si="712"/>
        <v>017</v>
      </c>
      <c r="J5958" s="5" t="str">
        <f t="shared" si="713"/>
        <v>2230</v>
      </c>
      <c r="K5958" s="5" t="str">
        <f t="shared" si="714"/>
        <v>000</v>
      </c>
      <c r="L5958" s="5">
        <f t="shared" si="715"/>
        <v>3</v>
      </c>
      <c r="M5958" s="5">
        <f t="shared" si="716"/>
        <v>2013</v>
      </c>
    </row>
    <row r="5959" spans="1:13" ht="15" x14ac:dyDescent="0.25">
      <c r="A5959" s="1">
        <f>DATE(2013,3,16)</f>
        <v>41349</v>
      </c>
      <c r="B5959" t="s">
        <v>15</v>
      </c>
      <c r="C5959" t="s">
        <v>6</v>
      </c>
      <c r="D5959" s="3">
        <v>8171.1634999999997</v>
      </c>
      <c r="E5959" s="3">
        <v>0</v>
      </c>
      <c r="F5959" t="s">
        <v>45</v>
      </c>
      <c r="G5959" s="3">
        <f t="shared" si="710"/>
        <v>-8171.1634999999997</v>
      </c>
      <c r="H5959" s="3">
        <f t="shared" si="711"/>
        <v>8171.1634999999997</v>
      </c>
      <c r="I5959" s="5" t="str">
        <f t="shared" si="712"/>
        <v>017</v>
      </c>
      <c r="J5959" s="5" t="str">
        <f t="shared" si="713"/>
        <v>2100</v>
      </c>
      <c r="K5959" s="5" t="str">
        <f t="shared" si="714"/>
        <v>000</v>
      </c>
      <c r="L5959" s="5">
        <f t="shared" si="715"/>
        <v>3</v>
      </c>
      <c r="M5959" s="5">
        <f t="shared" si="716"/>
        <v>2013</v>
      </c>
    </row>
    <row r="5960" spans="1:13" ht="15" x14ac:dyDescent="0.25">
      <c r="A5960" s="1">
        <f>DATE(2013,3,16)</f>
        <v>41349</v>
      </c>
      <c r="B5960" t="s">
        <v>16</v>
      </c>
      <c r="C5960" t="s">
        <v>8</v>
      </c>
      <c r="D5960" s="3">
        <v>3168.0009999999997</v>
      </c>
      <c r="E5960" s="3">
        <v>0</v>
      </c>
      <c r="F5960" t="s">
        <v>45</v>
      </c>
      <c r="G5960" s="3">
        <f t="shared" si="710"/>
        <v>-3168.0009999999997</v>
      </c>
      <c r="H5960" s="3">
        <f t="shared" si="711"/>
        <v>3168.0009999999997</v>
      </c>
      <c r="I5960" s="5" t="str">
        <f t="shared" si="712"/>
        <v>017</v>
      </c>
      <c r="J5960" s="5" t="str">
        <f t="shared" si="713"/>
        <v>2210</v>
      </c>
      <c r="K5960" s="5" t="str">
        <f t="shared" si="714"/>
        <v>000</v>
      </c>
      <c r="L5960" s="5">
        <f t="shared" si="715"/>
        <v>3</v>
      </c>
      <c r="M5960" s="5">
        <f t="shared" si="716"/>
        <v>2013</v>
      </c>
    </row>
    <row r="5961" spans="1:13" ht="15" x14ac:dyDescent="0.25">
      <c r="A5961" s="1">
        <f>DATE(2013,3,16)</f>
        <v>41349</v>
      </c>
      <c r="B5961" t="s">
        <v>17</v>
      </c>
      <c r="C5961" t="s">
        <v>9</v>
      </c>
      <c r="D5961" s="3">
        <v>438.02779999999996</v>
      </c>
      <c r="E5961" s="3">
        <v>0</v>
      </c>
      <c r="F5961" t="s">
        <v>45</v>
      </c>
      <c r="G5961" s="3">
        <f t="shared" si="710"/>
        <v>-438.02779999999996</v>
      </c>
      <c r="H5961" s="3">
        <f t="shared" si="711"/>
        <v>438.02779999999996</v>
      </c>
      <c r="I5961" s="5" t="str">
        <f t="shared" si="712"/>
        <v>017</v>
      </c>
      <c r="J5961" s="5" t="str">
        <f t="shared" si="713"/>
        <v>2220</v>
      </c>
      <c r="K5961" s="5" t="str">
        <f t="shared" si="714"/>
        <v>000</v>
      </c>
      <c r="L5961" s="5">
        <f t="shared" si="715"/>
        <v>3</v>
      </c>
      <c r="M5961" s="5">
        <f t="shared" si="716"/>
        <v>2013</v>
      </c>
    </row>
    <row r="5962" spans="1:13" ht="15" x14ac:dyDescent="0.25">
      <c r="A5962" s="1">
        <f>DATE(2013,3,16)</f>
        <v>41349</v>
      </c>
      <c r="B5962" t="s">
        <v>18</v>
      </c>
      <c r="C5962" t="s">
        <v>10</v>
      </c>
      <c r="D5962" s="3">
        <v>105.32899999999998</v>
      </c>
      <c r="E5962" s="3">
        <v>0</v>
      </c>
      <c r="F5962" t="s">
        <v>45</v>
      </c>
      <c r="G5962" s="3">
        <f t="shared" si="710"/>
        <v>-105.32899999999998</v>
      </c>
      <c r="H5962" s="3">
        <f t="shared" si="711"/>
        <v>105.32899999999998</v>
      </c>
      <c r="I5962" s="5" t="str">
        <f t="shared" si="712"/>
        <v>017</v>
      </c>
      <c r="J5962" s="5" t="str">
        <f t="shared" si="713"/>
        <v>2230</v>
      </c>
      <c r="K5962" s="5" t="str">
        <f t="shared" si="714"/>
        <v>000</v>
      </c>
      <c r="L5962" s="5">
        <f t="shared" si="715"/>
        <v>3</v>
      </c>
      <c r="M5962" s="5">
        <f t="shared" si="716"/>
        <v>2013</v>
      </c>
    </row>
    <row r="5963" spans="1:13" ht="15" x14ac:dyDescent="0.25">
      <c r="A5963" s="1">
        <f>DATE(2013,3,17)</f>
        <v>41350</v>
      </c>
      <c r="B5963" t="s">
        <v>15</v>
      </c>
      <c r="C5963" t="s">
        <v>6</v>
      </c>
      <c r="D5963" s="3">
        <v>4853.1839999999993</v>
      </c>
      <c r="E5963" s="3">
        <v>0</v>
      </c>
      <c r="F5963" t="s">
        <v>45</v>
      </c>
      <c r="G5963" s="3">
        <f t="shared" si="710"/>
        <v>-4853.1839999999993</v>
      </c>
      <c r="H5963" s="3">
        <f t="shared" si="711"/>
        <v>4853.1839999999993</v>
      </c>
      <c r="I5963" s="5" t="str">
        <f t="shared" si="712"/>
        <v>017</v>
      </c>
      <c r="J5963" s="5" t="str">
        <f t="shared" si="713"/>
        <v>2100</v>
      </c>
      <c r="K5963" s="5" t="str">
        <f t="shared" si="714"/>
        <v>000</v>
      </c>
      <c r="L5963" s="5">
        <f t="shared" si="715"/>
        <v>3</v>
      </c>
      <c r="M5963" s="5">
        <f t="shared" si="716"/>
        <v>2013</v>
      </c>
    </row>
    <row r="5964" spans="1:13" ht="15" x14ac:dyDescent="0.25">
      <c r="A5964" s="1">
        <f>DATE(2013,3,17)</f>
        <v>41350</v>
      </c>
      <c r="B5964" t="s">
        <v>16</v>
      </c>
      <c r="C5964" t="s">
        <v>8</v>
      </c>
      <c r="D5964" s="3">
        <v>862.72480000000007</v>
      </c>
      <c r="E5964" s="3">
        <v>0</v>
      </c>
      <c r="F5964" t="s">
        <v>45</v>
      </c>
      <c r="G5964" s="3">
        <f t="shared" si="710"/>
        <v>-862.72480000000007</v>
      </c>
      <c r="H5964" s="3">
        <f t="shared" si="711"/>
        <v>862.72480000000007</v>
      </c>
      <c r="I5964" s="5" t="str">
        <f t="shared" si="712"/>
        <v>017</v>
      </c>
      <c r="J5964" s="5" t="str">
        <f t="shared" si="713"/>
        <v>2210</v>
      </c>
      <c r="K5964" s="5" t="str">
        <f t="shared" si="714"/>
        <v>000</v>
      </c>
      <c r="L5964" s="5">
        <f t="shared" si="715"/>
        <v>3</v>
      </c>
      <c r="M5964" s="5">
        <f t="shared" si="716"/>
        <v>2013</v>
      </c>
    </row>
    <row r="5965" spans="1:13" ht="15" x14ac:dyDescent="0.25">
      <c r="A5965" s="1">
        <f>DATE(2013,3,17)</f>
        <v>41350</v>
      </c>
      <c r="B5965" t="s">
        <v>17</v>
      </c>
      <c r="C5965" t="s">
        <v>9</v>
      </c>
      <c r="D5965" s="3">
        <v>242.99439999999998</v>
      </c>
      <c r="E5965" s="3">
        <v>0</v>
      </c>
      <c r="F5965" t="s">
        <v>45</v>
      </c>
      <c r="G5965" s="3">
        <f t="shared" si="710"/>
        <v>-242.99439999999998</v>
      </c>
      <c r="H5965" s="3">
        <f t="shared" si="711"/>
        <v>242.99439999999998</v>
      </c>
      <c r="I5965" s="5" t="str">
        <f t="shared" si="712"/>
        <v>017</v>
      </c>
      <c r="J5965" s="5" t="str">
        <f t="shared" si="713"/>
        <v>2220</v>
      </c>
      <c r="K5965" s="5" t="str">
        <f t="shared" si="714"/>
        <v>000</v>
      </c>
      <c r="L5965" s="5">
        <f t="shared" si="715"/>
        <v>3</v>
      </c>
      <c r="M5965" s="5">
        <f t="shared" si="716"/>
        <v>2013</v>
      </c>
    </row>
    <row r="5966" spans="1:13" ht="15" x14ac:dyDescent="0.25">
      <c r="A5966" s="1">
        <f>DATE(2013,3,17)</f>
        <v>41350</v>
      </c>
      <c r="B5966" t="s">
        <v>18</v>
      </c>
      <c r="C5966" t="s">
        <v>10</v>
      </c>
      <c r="D5966" s="3">
        <v>26.257000000000001</v>
      </c>
      <c r="E5966" s="3">
        <v>0</v>
      </c>
      <c r="F5966" t="s">
        <v>45</v>
      </c>
      <c r="G5966" s="3">
        <f t="shared" si="710"/>
        <v>-26.257000000000001</v>
      </c>
      <c r="H5966" s="3">
        <f t="shared" si="711"/>
        <v>26.257000000000001</v>
      </c>
      <c r="I5966" s="5" t="str">
        <f t="shared" si="712"/>
        <v>017</v>
      </c>
      <c r="J5966" s="5" t="str">
        <f t="shared" si="713"/>
        <v>2230</v>
      </c>
      <c r="K5966" s="5" t="str">
        <f t="shared" si="714"/>
        <v>000</v>
      </c>
      <c r="L5966" s="5">
        <f t="shared" si="715"/>
        <v>3</v>
      </c>
      <c r="M5966" s="5">
        <f t="shared" si="716"/>
        <v>2013</v>
      </c>
    </row>
    <row r="5967" spans="1:13" ht="15" x14ac:dyDescent="0.25">
      <c r="A5967" s="1">
        <f>DATE(2013,3,11)</f>
        <v>41344</v>
      </c>
      <c r="B5967" t="s">
        <v>19</v>
      </c>
      <c r="C5967" t="s">
        <v>6</v>
      </c>
      <c r="D5967" s="3">
        <v>3199.6559999999999</v>
      </c>
      <c r="E5967" s="3">
        <v>0</v>
      </c>
      <c r="F5967" t="s">
        <v>45</v>
      </c>
      <c r="G5967" s="3">
        <f t="shared" si="710"/>
        <v>-3199.6559999999999</v>
      </c>
      <c r="H5967" s="3">
        <f t="shared" si="711"/>
        <v>3199.6559999999999</v>
      </c>
      <c r="I5967" s="5" t="str">
        <f t="shared" si="712"/>
        <v>018</v>
      </c>
      <c r="J5967" s="5" t="str">
        <f t="shared" si="713"/>
        <v>2100</v>
      </c>
      <c r="K5967" s="5" t="str">
        <f t="shared" si="714"/>
        <v>000</v>
      </c>
      <c r="L5967" s="5">
        <f t="shared" si="715"/>
        <v>3</v>
      </c>
      <c r="M5967" s="5">
        <f t="shared" si="716"/>
        <v>2013</v>
      </c>
    </row>
    <row r="5968" spans="1:13" ht="15" x14ac:dyDescent="0.25">
      <c r="A5968" s="1">
        <f>DATE(2013,3,11)</f>
        <v>41344</v>
      </c>
      <c r="B5968" t="s">
        <v>20</v>
      </c>
      <c r="C5968" t="s">
        <v>8</v>
      </c>
      <c r="D5968" s="3">
        <v>804.68640000000005</v>
      </c>
      <c r="E5968" s="3">
        <v>0</v>
      </c>
      <c r="F5968" t="s">
        <v>45</v>
      </c>
      <c r="G5968" s="3">
        <f t="shared" si="710"/>
        <v>-804.68640000000005</v>
      </c>
      <c r="H5968" s="3">
        <f t="shared" si="711"/>
        <v>804.68640000000005</v>
      </c>
      <c r="I5968" s="5" t="str">
        <f t="shared" si="712"/>
        <v>018</v>
      </c>
      <c r="J5968" s="5" t="str">
        <f t="shared" si="713"/>
        <v>2210</v>
      </c>
      <c r="K5968" s="5" t="str">
        <f t="shared" si="714"/>
        <v>000</v>
      </c>
      <c r="L5968" s="5">
        <f t="shared" si="715"/>
        <v>3</v>
      </c>
      <c r="M5968" s="5">
        <f t="shared" si="716"/>
        <v>2013</v>
      </c>
    </row>
    <row r="5969" spans="1:13" ht="15" x14ac:dyDescent="0.25">
      <c r="A5969" s="1">
        <f>DATE(2013,3,11)</f>
        <v>41344</v>
      </c>
      <c r="B5969" t="s">
        <v>21</v>
      </c>
      <c r="C5969" t="s">
        <v>9</v>
      </c>
      <c r="D5969" s="3">
        <v>144.04560000000001</v>
      </c>
      <c r="E5969" s="3">
        <v>0</v>
      </c>
      <c r="F5969" t="s">
        <v>45</v>
      </c>
      <c r="G5969" s="3">
        <f t="shared" si="710"/>
        <v>-144.04560000000001</v>
      </c>
      <c r="H5969" s="3">
        <f t="shared" si="711"/>
        <v>144.04560000000001</v>
      </c>
      <c r="I5969" s="5" t="str">
        <f t="shared" si="712"/>
        <v>018</v>
      </c>
      <c r="J5969" s="5" t="str">
        <f t="shared" si="713"/>
        <v>2220</v>
      </c>
      <c r="K5969" s="5" t="str">
        <f t="shared" si="714"/>
        <v>000</v>
      </c>
      <c r="L5969" s="5">
        <f t="shared" si="715"/>
        <v>3</v>
      </c>
      <c r="M5969" s="5">
        <f t="shared" si="716"/>
        <v>2013</v>
      </c>
    </row>
    <row r="5970" spans="1:13" ht="15" x14ac:dyDescent="0.25">
      <c r="A5970" s="1">
        <f>DATE(2013,3,11)</f>
        <v>41344</v>
      </c>
      <c r="B5970" t="s">
        <v>22</v>
      </c>
      <c r="C5970" t="s">
        <v>10</v>
      </c>
      <c r="D5970" s="3">
        <v>19.477499999999999</v>
      </c>
      <c r="E5970" s="3">
        <v>0</v>
      </c>
      <c r="F5970" t="s">
        <v>45</v>
      </c>
      <c r="G5970" s="3">
        <f t="shared" si="710"/>
        <v>-19.477499999999999</v>
      </c>
      <c r="H5970" s="3">
        <f t="shared" si="711"/>
        <v>19.477499999999999</v>
      </c>
      <c r="I5970" s="5" t="str">
        <f t="shared" si="712"/>
        <v>018</v>
      </c>
      <c r="J5970" s="5" t="str">
        <f t="shared" si="713"/>
        <v>2230</v>
      </c>
      <c r="K5970" s="5" t="str">
        <f t="shared" si="714"/>
        <v>000</v>
      </c>
      <c r="L5970" s="5">
        <f t="shared" si="715"/>
        <v>3</v>
      </c>
      <c r="M5970" s="5">
        <f t="shared" si="716"/>
        <v>2013</v>
      </c>
    </row>
    <row r="5971" spans="1:13" ht="15" x14ac:dyDescent="0.25">
      <c r="A5971" s="1">
        <f>DATE(2013,3,12)</f>
        <v>41345</v>
      </c>
      <c r="B5971" t="s">
        <v>19</v>
      </c>
      <c r="C5971" t="s">
        <v>6</v>
      </c>
      <c r="D5971" s="3">
        <v>4373.6324999999997</v>
      </c>
      <c r="E5971" s="3">
        <v>0</v>
      </c>
      <c r="F5971" t="s">
        <v>45</v>
      </c>
      <c r="G5971" s="3">
        <f t="shared" si="710"/>
        <v>-4373.6324999999997</v>
      </c>
      <c r="H5971" s="3">
        <f t="shared" si="711"/>
        <v>4373.6324999999997</v>
      </c>
      <c r="I5971" s="5" t="str">
        <f t="shared" si="712"/>
        <v>018</v>
      </c>
      <c r="J5971" s="5" t="str">
        <f t="shared" si="713"/>
        <v>2100</v>
      </c>
      <c r="K5971" s="5" t="str">
        <f t="shared" si="714"/>
        <v>000</v>
      </c>
      <c r="L5971" s="5">
        <f t="shared" si="715"/>
        <v>3</v>
      </c>
      <c r="M5971" s="5">
        <f t="shared" si="716"/>
        <v>2013</v>
      </c>
    </row>
    <row r="5972" spans="1:13" ht="15" x14ac:dyDescent="0.25">
      <c r="A5972" s="1">
        <f>DATE(2013,3,12)</f>
        <v>41345</v>
      </c>
      <c r="B5972" t="s">
        <v>20</v>
      </c>
      <c r="C5972" t="s">
        <v>8</v>
      </c>
      <c r="D5972" s="3">
        <v>642.7428000000001</v>
      </c>
      <c r="E5972" s="3">
        <v>0</v>
      </c>
      <c r="F5972" t="s">
        <v>45</v>
      </c>
      <c r="G5972" s="3">
        <f t="shared" si="710"/>
        <v>-642.7428000000001</v>
      </c>
      <c r="H5972" s="3">
        <f t="shared" si="711"/>
        <v>642.7428000000001</v>
      </c>
      <c r="I5972" s="5" t="str">
        <f t="shared" si="712"/>
        <v>018</v>
      </c>
      <c r="J5972" s="5" t="str">
        <f t="shared" si="713"/>
        <v>2210</v>
      </c>
      <c r="K5972" s="5" t="str">
        <f t="shared" si="714"/>
        <v>000</v>
      </c>
      <c r="L5972" s="5">
        <f t="shared" si="715"/>
        <v>3</v>
      </c>
      <c r="M5972" s="5">
        <f t="shared" si="716"/>
        <v>2013</v>
      </c>
    </row>
    <row r="5973" spans="1:13" ht="15" x14ac:dyDescent="0.25">
      <c r="A5973" s="1">
        <f>DATE(2013,3,12)</f>
        <v>41345</v>
      </c>
      <c r="B5973" t="s">
        <v>21</v>
      </c>
      <c r="C5973" t="s">
        <v>9</v>
      </c>
      <c r="D5973" s="3">
        <v>121.32400000000001</v>
      </c>
      <c r="E5973" s="3">
        <v>0</v>
      </c>
      <c r="F5973" t="s">
        <v>45</v>
      </c>
      <c r="G5973" s="3">
        <f t="shared" si="710"/>
        <v>-121.32400000000001</v>
      </c>
      <c r="H5973" s="3">
        <f t="shared" si="711"/>
        <v>121.32400000000001</v>
      </c>
      <c r="I5973" s="5" t="str">
        <f t="shared" si="712"/>
        <v>018</v>
      </c>
      <c r="J5973" s="5" t="str">
        <f t="shared" si="713"/>
        <v>2220</v>
      </c>
      <c r="K5973" s="5" t="str">
        <f t="shared" si="714"/>
        <v>000</v>
      </c>
      <c r="L5973" s="5">
        <f t="shared" si="715"/>
        <v>3</v>
      </c>
      <c r="M5973" s="5">
        <f t="shared" si="716"/>
        <v>2013</v>
      </c>
    </row>
    <row r="5974" spans="1:13" ht="15" x14ac:dyDescent="0.25">
      <c r="A5974" s="1">
        <f>DATE(2013,3,12)</f>
        <v>41345</v>
      </c>
      <c r="B5974" t="s">
        <v>22</v>
      </c>
      <c r="C5974" t="s">
        <v>10</v>
      </c>
      <c r="D5974" s="3">
        <v>29.722800000000003</v>
      </c>
      <c r="E5974" s="3">
        <v>0</v>
      </c>
      <c r="F5974" t="s">
        <v>45</v>
      </c>
      <c r="G5974" s="3">
        <f t="shared" si="710"/>
        <v>-29.722800000000003</v>
      </c>
      <c r="H5974" s="3">
        <f t="shared" si="711"/>
        <v>29.722800000000003</v>
      </c>
      <c r="I5974" s="5" t="str">
        <f t="shared" si="712"/>
        <v>018</v>
      </c>
      <c r="J5974" s="5" t="str">
        <f t="shared" si="713"/>
        <v>2230</v>
      </c>
      <c r="K5974" s="5" t="str">
        <f t="shared" si="714"/>
        <v>000</v>
      </c>
      <c r="L5974" s="5">
        <f t="shared" si="715"/>
        <v>3</v>
      </c>
      <c r="M5974" s="5">
        <f t="shared" si="716"/>
        <v>2013</v>
      </c>
    </row>
    <row r="5975" spans="1:13" ht="15" x14ac:dyDescent="0.25">
      <c r="A5975" s="1">
        <f>DATE(2013,3,13)</f>
        <v>41346</v>
      </c>
      <c r="B5975" t="s">
        <v>19</v>
      </c>
      <c r="C5975" t="s">
        <v>6</v>
      </c>
      <c r="D5975" s="3">
        <v>4588.5504000000001</v>
      </c>
      <c r="E5975" s="3">
        <v>0</v>
      </c>
      <c r="F5975" t="s">
        <v>45</v>
      </c>
      <c r="G5975" s="3">
        <f t="shared" si="710"/>
        <v>-4588.5504000000001</v>
      </c>
      <c r="H5975" s="3">
        <f t="shared" si="711"/>
        <v>4588.5504000000001</v>
      </c>
      <c r="I5975" s="5" t="str">
        <f t="shared" si="712"/>
        <v>018</v>
      </c>
      <c r="J5975" s="5" t="str">
        <f t="shared" si="713"/>
        <v>2100</v>
      </c>
      <c r="K5975" s="5" t="str">
        <f t="shared" si="714"/>
        <v>000</v>
      </c>
      <c r="L5975" s="5">
        <f t="shared" si="715"/>
        <v>3</v>
      </c>
      <c r="M5975" s="5">
        <f t="shared" si="716"/>
        <v>2013</v>
      </c>
    </row>
    <row r="5976" spans="1:13" ht="15" x14ac:dyDescent="0.25">
      <c r="A5976" s="1">
        <f>DATE(2013,3,13)</f>
        <v>41346</v>
      </c>
      <c r="B5976" t="s">
        <v>20</v>
      </c>
      <c r="C5976" t="s">
        <v>8</v>
      </c>
      <c r="D5976" s="3">
        <v>915.96050000000002</v>
      </c>
      <c r="E5976" s="3">
        <v>0</v>
      </c>
      <c r="F5976" t="s">
        <v>45</v>
      </c>
      <c r="G5976" s="3">
        <f t="shared" si="710"/>
        <v>-915.96050000000002</v>
      </c>
      <c r="H5976" s="3">
        <f t="shared" si="711"/>
        <v>915.96050000000002</v>
      </c>
      <c r="I5976" s="5" t="str">
        <f t="shared" si="712"/>
        <v>018</v>
      </c>
      <c r="J5976" s="5" t="str">
        <f t="shared" si="713"/>
        <v>2210</v>
      </c>
      <c r="K5976" s="5" t="str">
        <f t="shared" si="714"/>
        <v>000</v>
      </c>
      <c r="L5976" s="5">
        <f t="shared" si="715"/>
        <v>3</v>
      </c>
      <c r="M5976" s="5">
        <f t="shared" si="716"/>
        <v>2013</v>
      </c>
    </row>
    <row r="5977" spans="1:13" ht="15" x14ac:dyDescent="0.25">
      <c r="A5977" s="1">
        <f>DATE(2013,3,13)</f>
        <v>41346</v>
      </c>
      <c r="B5977" t="s">
        <v>21</v>
      </c>
      <c r="C5977" t="s">
        <v>9</v>
      </c>
      <c r="D5977" s="3">
        <v>160.22380000000001</v>
      </c>
      <c r="E5977" s="3">
        <v>0</v>
      </c>
      <c r="F5977" t="s">
        <v>45</v>
      </c>
      <c r="G5977" s="3">
        <f t="shared" si="710"/>
        <v>-160.22380000000001</v>
      </c>
      <c r="H5977" s="3">
        <f t="shared" si="711"/>
        <v>160.22380000000001</v>
      </c>
      <c r="I5977" s="5" t="str">
        <f t="shared" si="712"/>
        <v>018</v>
      </c>
      <c r="J5977" s="5" t="str">
        <f t="shared" si="713"/>
        <v>2220</v>
      </c>
      <c r="K5977" s="5" t="str">
        <f t="shared" si="714"/>
        <v>000</v>
      </c>
      <c r="L5977" s="5">
        <f t="shared" si="715"/>
        <v>3</v>
      </c>
      <c r="M5977" s="5">
        <f t="shared" si="716"/>
        <v>2013</v>
      </c>
    </row>
    <row r="5978" spans="1:13" ht="15" x14ac:dyDescent="0.25">
      <c r="A5978" s="1">
        <f>DATE(2013,3,13)</f>
        <v>41346</v>
      </c>
      <c r="B5978" t="s">
        <v>22</v>
      </c>
      <c r="C5978" t="s">
        <v>10</v>
      </c>
      <c r="D5978" s="3">
        <v>21.861999999999998</v>
      </c>
      <c r="E5978" s="3">
        <v>0</v>
      </c>
      <c r="F5978" t="s">
        <v>45</v>
      </c>
      <c r="G5978" s="3">
        <f t="shared" si="710"/>
        <v>-21.861999999999998</v>
      </c>
      <c r="H5978" s="3">
        <f t="shared" si="711"/>
        <v>21.861999999999998</v>
      </c>
      <c r="I5978" s="5" t="str">
        <f t="shared" si="712"/>
        <v>018</v>
      </c>
      <c r="J5978" s="5" t="str">
        <f t="shared" si="713"/>
        <v>2230</v>
      </c>
      <c r="K5978" s="5" t="str">
        <f t="shared" si="714"/>
        <v>000</v>
      </c>
      <c r="L5978" s="5">
        <f t="shared" si="715"/>
        <v>3</v>
      </c>
      <c r="M5978" s="5">
        <f t="shared" si="716"/>
        <v>2013</v>
      </c>
    </row>
    <row r="5979" spans="1:13" ht="15" x14ac:dyDescent="0.25">
      <c r="A5979" s="1">
        <f>DATE(2013,3,14)</f>
        <v>41347</v>
      </c>
      <c r="B5979" t="s">
        <v>19</v>
      </c>
      <c r="C5979" t="s">
        <v>6</v>
      </c>
      <c r="D5979" s="3">
        <v>4470.6150000000007</v>
      </c>
      <c r="E5979" s="3">
        <v>0</v>
      </c>
      <c r="F5979" t="s">
        <v>45</v>
      </c>
      <c r="G5979" s="3">
        <f t="shared" si="710"/>
        <v>-4470.6150000000007</v>
      </c>
      <c r="H5979" s="3">
        <f t="shared" si="711"/>
        <v>4470.6150000000007</v>
      </c>
      <c r="I5979" s="5" t="str">
        <f t="shared" si="712"/>
        <v>018</v>
      </c>
      <c r="J5979" s="5" t="str">
        <f t="shared" si="713"/>
        <v>2100</v>
      </c>
      <c r="K5979" s="5" t="str">
        <f t="shared" si="714"/>
        <v>000</v>
      </c>
      <c r="L5979" s="5">
        <f t="shared" si="715"/>
        <v>3</v>
      </c>
      <c r="M5979" s="5">
        <f t="shared" si="716"/>
        <v>2013</v>
      </c>
    </row>
    <row r="5980" spans="1:13" ht="15" x14ac:dyDescent="0.25">
      <c r="A5980" s="1">
        <f>DATE(2013,3,14)</f>
        <v>41347</v>
      </c>
      <c r="B5980" t="s">
        <v>20</v>
      </c>
      <c r="C5980" t="s">
        <v>8</v>
      </c>
      <c r="D5980" s="3">
        <v>461.64720000000005</v>
      </c>
      <c r="E5980" s="3">
        <v>0</v>
      </c>
      <c r="F5980" t="s">
        <v>45</v>
      </c>
      <c r="G5980" s="3">
        <f t="shared" si="710"/>
        <v>-461.64720000000005</v>
      </c>
      <c r="H5980" s="3">
        <f t="shared" si="711"/>
        <v>461.64720000000005</v>
      </c>
      <c r="I5980" s="5" t="str">
        <f t="shared" si="712"/>
        <v>018</v>
      </c>
      <c r="J5980" s="5" t="str">
        <f t="shared" si="713"/>
        <v>2210</v>
      </c>
      <c r="K5980" s="5" t="str">
        <f t="shared" si="714"/>
        <v>000</v>
      </c>
      <c r="L5980" s="5">
        <f t="shared" si="715"/>
        <v>3</v>
      </c>
      <c r="M5980" s="5">
        <f t="shared" si="716"/>
        <v>2013</v>
      </c>
    </row>
    <row r="5981" spans="1:13" ht="15" x14ac:dyDescent="0.25">
      <c r="A5981" s="1">
        <f>DATE(2013,3,14)</f>
        <v>41347</v>
      </c>
      <c r="B5981" t="s">
        <v>21</v>
      </c>
      <c r="C5981" t="s">
        <v>9</v>
      </c>
      <c r="D5981" s="3">
        <v>132.91289999999998</v>
      </c>
      <c r="E5981" s="3">
        <v>0</v>
      </c>
      <c r="F5981" t="s">
        <v>45</v>
      </c>
      <c r="G5981" s="3">
        <f t="shared" si="710"/>
        <v>-132.91289999999998</v>
      </c>
      <c r="H5981" s="3">
        <f t="shared" si="711"/>
        <v>132.91289999999998</v>
      </c>
      <c r="I5981" s="5" t="str">
        <f t="shared" si="712"/>
        <v>018</v>
      </c>
      <c r="J5981" s="5" t="str">
        <f t="shared" si="713"/>
        <v>2220</v>
      </c>
      <c r="K5981" s="5" t="str">
        <f t="shared" si="714"/>
        <v>000</v>
      </c>
      <c r="L5981" s="5">
        <f t="shared" si="715"/>
        <v>3</v>
      </c>
      <c r="M5981" s="5">
        <f t="shared" si="716"/>
        <v>2013</v>
      </c>
    </row>
    <row r="5982" spans="1:13" ht="15" x14ac:dyDescent="0.25">
      <c r="A5982" s="1">
        <f>DATE(2013,3,14)</f>
        <v>41347</v>
      </c>
      <c r="B5982" t="s">
        <v>22</v>
      </c>
      <c r="C5982" t="s">
        <v>10</v>
      </c>
      <c r="D5982" s="3">
        <v>41.744399999999999</v>
      </c>
      <c r="E5982" s="3">
        <v>0</v>
      </c>
      <c r="F5982" t="s">
        <v>45</v>
      </c>
      <c r="G5982" s="3">
        <f t="shared" si="710"/>
        <v>-41.744399999999999</v>
      </c>
      <c r="H5982" s="3">
        <f t="shared" si="711"/>
        <v>41.744399999999999</v>
      </c>
      <c r="I5982" s="5" t="str">
        <f t="shared" si="712"/>
        <v>018</v>
      </c>
      <c r="J5982" s="5" t="str">
        <f t="shared" si="713"/>
        <v>2230</v>
      </c>
      <c r="K5982" s="5" t="str">
        <f t="shared" si="714"/>
        <v>000</v>
      </c>
      <c r="L5982" s="5">
        <f t="shared" si="715"/>
        <v>3</v>
      </c>
      <c r="M5982" s="5">
        <f t="shared" si="716"/>
        <v>2013</v>
      </c>
    </row>
    <row r="5983" spans="1:13" ht="15" x14ac:dyDescent="0.25">
      <c r="A5983" s="1">
        <f>DATE(2013,3,15)</f>
        <v>41348</v>
      </c>
      <c r="B5983" t="s">
        <v>19</v>
      </c>
      <c r="C5983" t="s">
        <v>6</v>
      </c>
      <c r="D5983" s="3">
        <v>10393.0836</v>
      </c>
      <c r="E5983" s="3">
        <v>0</v>
      </c>
      <c r="F5983" t="s">
        <v>45</v>
      </c>
      <c r="G5983" s="3">
        <f t="shared" si="710"/>
        <v>-10393.0836</v>
      </c>
      <c r="H5983" s="3">
        <f t="shared" si="711"/>
        <v>10393.0836</v>
      </c>
      <c r="I5983" s="5" t="str">
        <f t="shared" si="712"/>
        <v>018</v>
      </c>
      <c r="J5983" s="5" t="str">
        <f t="shared" si="713"/>
        <v>2100</v>
      </c>
      <c r="K5983" s="5" t="str">
        <f t="shared" si="714"/>
        <v>000</v>
      </c>
      <c r="L5983" s="5">
        <f t="shared" si="715"/>
        <v>3</v>
      </c>
      <c r="M5983" s="5">
        <f t="shared" si="716"/>
        <v>2013</v>
      </c>
    </row>
    <row r="5984" spans="1:13" ht="15" x14ac:dyDescent="0.25">
      <c r="A5984" s="1">
        <f>DATE(2013,3,15)</f>
        <v>41348</v>
      </c>
      <c r="B5984" t="s">
        <v>20</v>
      </c>
      <c r="C5984" t="s">
        <v>8</v>
      </c>
      <c r="D5984" s="3">
        <v>2398.4535000000001</v>
      </c>
      <c r="E5984" s="3">
        <v>0</v>
      </c>
      <c r="F5984" t="s">
        <v>45</v>
      </c>
      <c r="G5984" s="3">
        <f t="shared" si="710"/>
        <v>-2398.4535000000001</v>
      </c>
      <c r="H5984" s="3">
        <f t="shared" si="711"/>
        <v>2398.4535000000001</v>
      </c>
      <c r="I5984" s="5" t="str">
        <f t="shared" si="712"/>
        <v>018</v>
      </c>
      <c r="J5984" s="5" t="str">
        <f t="shared" si="713"/>
        <v>2210</v>
      </c>
      <c r="K5984" s="5" t="str">
        <f t="shared" si="714"/>
        <v>000</v>
      </c>
      <c r="L5984" s="5">
        <f t="shared" si="715"/>
        <v>3</v>
      </c>
      <c r="M5984" s="5">
        <f t="shared" si="716"/>
        <v>2013</v>
      </c>
    </row>
    <row r="5985" spans="1:13" ht="15" x14ac:dyDescent="0.25">
      <c r="A5985" s="1">
        <f>DATE(2013,3,15)</f>
        <v>41348</v>
      </c>
      <c r="B5985" t="s">
        <v>21</v>
      </c>
      <c r="C5985" t="s">
        <v>9</v>
      </c>
      <c r="D5985" s="3">
        <v>823.24</v>
      </c>
      <c r="E5985" s="3">
        <v>0</v>
      </c>
      <c r="F5985" t="s">
        <v>45</v>
      </c>
      <c r="G5985" s="3">
        <f t="shared" si="710"/>
        <v>-823.24</v>
      </c>
      <c r="H5985" s="3">
        <f t="shared" si="711"/>
        <v>823.24</v>
      </c>
      <c r="I5985" s="5" t="str">
        <f t="shared" si="712"/>
        <v>018</v>
      </c>
      <c r="J5985" s="5" t="str">
        <f t="shared" si="713"/>
        <v>2220</v>
      </c>
      <c r="K5985" s="5" t="str">
        <f t="shared" si="714"/>
        <v>000</v>
      </c>
      <c r="L5985" s="5">
        <f t="shared" si="715"/>
        <v>3</v>
      </c>
      <c r="M5985" s="5">
        <f t="shared" si="716"/>
        <v>2013</v>
      </c>
    </row>
    <row r="5986" spans="1:13" ht="15" x14ac:dyDescent="0.25">
      <c r="A5986" s="1">
        <f>DATE(2013,3,15)</f>
        <v>41348</v>
      </c>
      <c r="B5986" t="s">
        <v>22</v>
      </c>
      <c r="C5986" t="s">
        <v>10</v>
      </c>
      <c r="D5986" s="3">
        <v>35.505000000000003</v>
      </c>
      <c r="E5986" s="3">
        <v>0</v>
      </c>
      <c r="F5986" t="s">
        <v>45</v>
      </c>
      <c r="G5986" s="3">
        <f t="shared" si="710"/>
        <v>-35.505000000000003</v>
      </c>
      <c r="H5986" s="3">
        <f t="shared" si="711"/>
        <v>35.505000000000003</v>
      </c>
      <c r="I5986" s="5" t="str">
        <f t="shared" si="712"/>
        <v>018</v>
      </c>
      <c r="J5986" s="5" t="str">
        <f t="shared" si="713"/>
        <v>2230</v>
      </c>
      <c r="K5986" s="5" t="str">
        <f t="shared" si="714"/>
        <v>000</v>
      </c>
      <c r="L5986" s="5">
        <f t="shared" si="715"/>
        <v>3</v>
      </c>
      <c r="M5986" s="5">
        <f t="shared" si="716"/>
        <v>2013</v>
      </c>
    </row>
    <row r="5987" spans="1:13" ht="15" x14ac:dyDescent="0.25">
      <c r="A5987" s="1">
        <f>DATE(2013,3,16)</f>
        <v>41349</v>
      </c>
      <c r="B5987" t="s">
        <v>19</v>
      </c>
      <c r="C5987" t="s">
        <v>6</v>
      </c>
      <c r="D5987" s="3">
        <v>13701.340400000001</v>
      </c>
      <c r="E5987" s="3">
        <v>0</v>
      </c>
      <c r="F5987" t="s">
        <v>45</v>
      </c>
      <c r="G5987" s="3">
        <f t="shared" si="710"/>
        <v>-13701.340400000001</v>
      </c>
      <c r="H5987" s="3">
        <f t="shared" si="711"/>
        <v>13701.340400000001</v>
      </c>
      <c r="I5987" s="5" t="str">
        <f t="shared" si="712"/>
        <v>018</v>
      </c>
      <c r="J5987" s="5" t="str">
        <f t="shared" si="713"/>
        <v>2100</v>
      </c>
      <c r="K5987" s="5" t="str">
        <f t="shared" si="714"/>
        <v>000</v>
      </c>
      <c r="L5987" s="5">
        <f t="shared" si="715"/>
        <v>3</v>
      </c>
      <c r="M5987" s="5">
        <f t="shared" si="716"/>
        <v>2013</v>
      </c>
    </row>
    <row r="5988" spans="1:13" ht="15" x14ac:dyDescent="0.25">
      <c r="A5988" s="1">
        <f>DATE(2013,3,16)</f>
        <v>41349</v>
      </c>
      <c r="B5988" t="s">
        <v>20</v>
      </c>
      <c r="C5988" t="s">
        <v>8</v>
      </c>
      <c r="D5988" s="3">
        <v>3745.3559999999998</v>
      </c>
      <c r="E5988" s="3">
        <v>0</v>
      </c>
      <c r="F5988" t="s">
        <v>45</v>
      </c>
      <c r="G5988" s="3">
        <f t="shared" si="710"/>
        <v>-3745.3559999999998</v>
      </c>
      <c r="H5988" s="3">
        <f t="shared" si="711"/>
        <v>3745.3559999999998</v>
      </c>
      <c r="I5988" s="5" t="str">
        <f t="shared" si="712"/>
        <v>018</v>
      </c>
      <c r="J5988" s="5" t="str">
        <f t="shared" si="713"/>
        <v>2210</v>
      </c>
      <c r="K5988" s="5" t="str">
        <f t="shared" si="714"/>
        <v>000</v>
      </c>
      <c r="L5988" s="5">
        <f t="shared" si="715"/>
        <v>3</v>
      </c>
      <c r="M5988" s="5">
        <f t="shared" si="716"/>
        <v>2013</v>
      </c>
    </row>
    <row r="5989" spans="1:13" ht="15" x14ac:dyDescent="0.25">
      <c r="A5989" s="1">
        <f>DATE(2013,3,16)</f>
        <v>41349</v>
      </c>
      <c r="B5989" t="s">
        <v>21</v>
      </c>
      <c r="C5989" t="s">
        <v>9</v>
      </c>
      <c r="D5989" s="3">
        <v>850.97249999999997</v>
      </c>
      <c r="E5989" s="3">
        <v>0</v>
      </c>
      <c r="F5989" t="s">
        <v>45</v>
      </c>
      <c r="G5989" s="3">
        <f t="shared" si="710"/>
        <v>-850.97249999999997</v>
      </c>
      <c r="H5989" s="3">
        <f t="shared" si="711"/>
        <v>850.97249999999997</v>
      </c>
      <c r="I5989" s="5" t="str">
        <f t="shared" si="712"/>
        <v>018</v>
      </c>
      <c r="J5989" s="5" t="str">
        <f t="shared" si="713"/>
        <v>2220</v>
      </c>
      <c r="K5989" s="5" t="str">
        <f t="shared" si="714"/>
        <v>000</v>
      </c>
      <c r="L5989" s="5">
        <f t="shared" si="715"/>
        <v>3</v>
      </c>
      <c r="M5989" s="5">
        <f t="shared" si="716"/>
        <v>2013</v>
      </c>
    </row>
    <row r="5990" spans="1:13" ht="15" x14ac:dyDescent="0.25">
      <c r="A5990" s="1">
        <f>DATE(2013,3,16)</f>
        <v>41349</v>
      </c>
      <c r="B5990" t="s">
        <v>22</v>
      </c>
      <c r="C5990" t="s">
        <v>10</v>
      </c>
      <c r="D5990" s="3">
        <v>71.716999999999999</v>
      </c>
      <c r="E5990" s="3">
        <v>0</v>
      </c>
      <c r="F5990" t="s">
        <v>45</v>
      </c>
      <c r="G5990" s="3">
        <f t="shared" si="710"/>
        <v>-71.716999999999999</v>
      </c>
      <c r="H5990" s="3">
        <f t="shared" si="711"/>
        <v>71.716999999999999</v>
      </c>
      <c r="I5990" s="5" t="str">
        <f t="shared" si="712"/>
        <v>018</v>
      </c>
      <c r="J5990" s="5" t="str">
        <f t="shared" si="713"/>
        <v>2230</v>
      </c>
      <c r="K5990" s="5" t="str">
        <f t="shared" si="714"/>
        <v>000</v>
      </c>
      <c r="L5990" s="5">
        <f t="shared" si="715"/>
        <v>3</v>
      </c>
      <c r="M5990" s="5">
        <f t="shared" si="716"/>
        <v>2013</v>
      </c>
    </row>
    <row r="5991" spans="1:13" ht="15" x14ac:dyDescent="0.25">
      <c r="A5991" s="1">
        <f>DATE(2013,3,17)</f>
        <v>41350</v>
      </c>
      <c r="B5991" t="s">
        <v>19</v>
      </c>
      <c r="C5991" t="s">
        <v>6</v>
      </c>
      <c r="D5991" s="3">
        <v>11937.546</v>
      </c>
      <c r="E5991" s="3">
        <v>0</v>
      </c>
      <c r="F5991" t="s">
        <v>45</v>
      </c>
      <c r="G5991" s="3">
        <f t="shared" si="710"/>
        <v>-11937.546</v>
      </c>
      <c r="H5991" s="3">
        <f t="shared" si="711"/>
        <v>11937.546</v>
      </c>
      <c r="I5991" s="5" t="str">
        <f t="shared" si="712"/>
        <v>018</v>
      </c>
      <c r="J5991" s="5" t="str">
        <f t="shared" si="713"/>
        <v>2100</v>
      </c>
      <c r="K5991" s="5" t="str">
        <f t="shared" si="714"/>
        <v>000</v>
      </c>
      <c r="L5991" s="5">
        <f t="shared" si="715"/>
        <v>3</v>
      </c>
      <c r="M5991" s="5">
        <f t="shared" si="716"/>
        <v>2013</v>
      </c>
    </row>
    <row r="5992" spans="1:13" ht="15" x14ac:dyDescent="0.25">
      <c r="A5992" s="1">
        <f>DATE(2013,3,17)</f>
        <v>41350</v>
      </c>
      <c r="B5992" t="s">
        <v>20</v>
      </c>
      <c r="C5992" t="s">
        <v>8</v>
      </c>
      <c r="D5992" s="3">
        <v>954.09299999999996</v>
      </c>
      <c r="E5992" s="3">
        <v>0</v>
      </c>
      <c r="F5992" t="s">
        <v>45</v>
      </c>
      <c r="G5992" s="3">
        <f t="shared" si="710"/>
        <v>-954.09299999999996</v>
      </c>
      <c r="H5992" s="3">
        <f t="shared" si="711"/>
        <v>954.09299999999996</v>
      </c>
      <c r="I5992" s="5" t="str">
        <f t="shared" si="712"/>
        <v>018</v>
      </c>
      <c r="J5992" s="5" t="str">
        <f t="shared" si="713"/>
        <v>2210</v>
      </c>
      <c r="K5992" s="5" t="str">
        <f t="shared" si="714"/>
        <v>000</v>
      </c>
      <c r="L5992" s="5">
        <f t="shared" si="715"/>
        <v>3</v>
      </c>
      <c r="M5992" s="5">
        <f t="shared" si="716"/>
        <v>2013</v>
      </c>
    </row>
    <row r="5993" spans="1:13" ht="15" x14ac:dyDescent="0.25">
      <c r="A5993" s="1">
        <f>DATE(2013,3,17)</f>
        <v>41350</v>
      </c>
      <c r="B5993" t="s">
        <v>21</v>
      </c>
      <c r="C5993" t="s">
        <v>9</v>
      </c>
      <c r="D5993" s="3">
        <v>256.44540000000001</v>
      </c>
      <c r="E5993" s="3">
        <v>0</v>
      </c>
      <c r="F5993" t="s">
        <v>45</v>
      </c>
      <c r="G5993" s="3">
        <f t="shared" si="710"/>
        <v>-256.44540000000001</v>
      </c>
      <c r="H5993" s="3">
        <f t="shared" si="711"/>
        <v>256.44540000000001</v>
      </c>
      <c r="I5993" s="5" t="str">
        <f t="shared" si="712"/>
        <v>018</v>
      </c>
      <c r="J5993" s="5" t="str">
        <f t="shared" si="713"/>
        <v>2220</v>
      </c>
      <c r="K5993" s="5" t="str">
        <f t="shared" si="714"/>
        <v>000</v>
      </c>
      <c r="L5993" s="5">
        <f t="shared" si="715"/>
        <v>3</v>
      </c>
      <c r="M5993" s="5">
        <f t="shared" si="716"/>
        <v>2013</v>
      </c>
    </row>
    <row r="5994" spans="1:13" ht="15" x14ac:dyDescent="0.25">
      <c r="A5994" s="1">
        <f>DATE(2013,3,17)</f>
        <v>41350</v>
      </c>
      <c r="B5994" t="s">
        <v>22</v>
      </c>
      <c r="C5994" t="s">
        <v>10</v>
      </c>
      <c r="D5994" s="3">
        <v>46.643599999999999</v>
      </c>
      <c r="E5994" s="3">
        <v>0</v>
      </c>
      <c r="F5994" t="s">
        <v>45</v>
      </c>
      <c r="G5994" s="3">
        <f t="shared" si="710"/>
        <v>-46.643599999999999</v>
      </c>
      <c r="H5994" s="3">
        <f t="shared" si="711"/>
        <v>46.643599999999999</v>
      </c>
      <c r="I5994" s="5" t="str">
        <f t="shared" si="712"/>
        <v>018</v>
      </c>
      <c r="J5994" s="5" t="str">
        <f t="shared" si="713"/>
        <v>2230</v>
      </c>
      <c r="K5994" s="5" t="str">
        <f t="shared" si="714"/>
        <v>000</v>
      </c>
      <c r="L5994" s="5">
        <f t="shared" si="715"/>
        <v>3</v>
      </c>
      <c r="M5994" s="5">
        <f t="shared" si="716"/>
        <v>2013</v>
      </c>
    </row>
    <row r="5995" spans="1:13" ht="15" x14ac:dyDescent="0.25">
      <c r="A5995" s="1">
        <f>DATE(2013,3,18)</f>
        <v>41351</v>
      </c>
      <c r="B5995" t="s">
        <v>11</v>
      </c>
      <c r="C5995" t="s">
        <v>6</v>
      </c>
      <c r="D5995" s="3">
        <v>2910.7518</v>
      </c>
      <c r="E5995" s="3">
        <v>0</v>
      </c>
      <c r="F5995" t="s">
        <v>45</v>
      </c>
      <c r="G5995" s="3">
        <f t="shared" si="710"/>
        <v>-2910.7518</v>
      </c>
      <c r="H5995" s="3">
        <f t="shared" si="711"/>
        <v>2910.7518</v>
      </c>
      <c r="I5995" s="5" t="str">
        <f t="shared" si="712"/>
        <v>016</v>
      </c>
      <c r="J5995" s="5" t="str">
        <f t="shared" si="713"/>
        <v>2100</v>
      </c>
      <c r="K5995" s="5" t="str">
        <f t="shared" si="714"/>
        <v>000</v>
      </c>
      <c r="L5995" s="5">
        <f t="shared" si="715"/>
        <v>3</v>
      </c>
      <c r="M5995" s="5">
        <f t="shared" si="716"/>
        <v>2013</v>
      </c>
    </row>
    <row r="5996" spans="1:13" ht="15" x14ac:dyDescent="0.25">
      <c r="A5996" s="1">
        <f>DATE(2013,3,18)</f>
        <v>41351</v>
      </c>
      <c r="B5996" t="s">
        <v>12</v>
      </c>
      <c r="C5996" t="s">
        <v>8</v>
      </c>
      <c r="D5996" s="3">
        <v>676.06909999999993</v>
      </c>
      <c r="E5996" s="3">
        <v>0</v>
      </c>
      <c r="F5996" t="s">
        <v>45</v>
      </c>
      <c r="G5996" s="3">
        <f t="shared" si="710"/>
        <v>-676.06909999999993</v>
      </c>
      <c r="H5996" s="3">
        <f t="shared" si="711"/>
        <v>676.06909999999993</v>
      </c>
      <c r="I5996" s="5" t="str">
        <f t="shared" si="712"/>
        <v>016</v>
      </c>
      <c r="J5996" s="5" t="str">
        <f t="shared" si="713"/>
        <v>2210</v>
      </c>
      <c r="K5996" s="5" t="str">
        <f t="shared" si="714"/>
        <v>000</v>
      </c>
      <c r="L5996" s="5">
        <f t="shared" si="715"/>
        <v>3</v>
      </c>
      <c r="M5996" s="5">
        <f t="shared" si="716"/>
        <v>2013</v>
      </c>
    </row>
    <row r="5997" spans="1:13" ht="15" x14ac:dyDescent="0.25">
      <c r="A5997" s="1">
        <f>DATE(2013,3,18)</f>
        <v>41351</v>
      </c>
      <c r="B5997" t="s">
        <v>13</v>
      </c>
      <c r="C5997" t="s">
        <v>9</v>
      </c>
      <c r="D5997" s="3">
        <v>137.48920000000001</v>
      </c>
      <c r="E5997" s="3">
        <v>0</v>
      </c>
      <c r="F5997" t="s">
        <v>45</v>
      </c>
      <c r="G5997" s="3">
        <f t="shared" si="710"/>
        <v>-137.48920000000001</v>
      </c>
      <c r="H5997" s="3">
        <f t="shared" si="711"/>
        <v>137.48920000000001</v>
      </c>
      <c r="I5997" s="5" t="str">
        <f t="shared" si="712"/>
        <v>016</v>
      </c>
      <c r="J5997" s="5" t="str">
        <f t="shared" si="713"/>
        <v>2220</v>
      </c>
      <c r="K5997" s="5" t="str">
        <f t="shared" si="714"/>
        <v>000</v>
      </c>
      <c r="L5997" s="5">
        <f t="shared" si="715"/>
        <v>3</v>
      </c>
      <c r="M5997" s="5">
        <f t="shared" si="716"/>
        <v>2013</v>
      </c>
    </row>
    <row r="5998" spans="1:13" ht="15" x14ac:dyDescent="0.25">
      <c r="A5998" s="1">
        <f>DATE(2013,3,18)</f>
        <v>41351</v>
      </c>
      <c r="B5998" t="s">
        <v>14</v>
      </c>
      <c r="C5998" t="s">
        <v>10</v>
      </c>
      <c r="D5998" s="3">
        <v>36.932000000000002</v>
      </c>
      <c r="E5998" s="3">
        <v>0</v>
      </c>
      <c r="F5998" t="s">
        <v>45</v>
      </c>
      <c r="G5998" s="3">
        <f t="shared" si="710"/>
        <v>-36.932000000000002</v>
      </c>
      <c r="H5998" s="3">
        <f t="shared" si="711"/>
        <v>36.932000000000002</v>
      </c>
      <c r="I5998" s="5" t="str">
        <f t="shared" si="712"/>
        <v>016</v>
      </c>
      <c r="J5998" s="5" t="str">
        <f t="shared" si="713"/>
        <v>2230</v>
      </c>
      <c r="K5998" s="5" t="str">
        <f t="shared" si="714"/>
        <v>000</v>
      </c>
      <c r="L5998" s="5">
        <f t="shared" si="715"/>
        <v>3</v>
      </c>
      <c r="M5998" s="5">
        <f t="shared" si="716"/>
        <v>2013</v>
      </c>
    </row>
    <row r="5999" spans="1:13" ht="15" x14ac:dyDescent="0.25">
      <c r="A5999" s="1">
        <f>DATE(2013,3,19)</f>
        <v>41352</v>
      </c>
      <c r="B5999" t="s">
        <v>11</v>
      </c>
      <c r="C5999" t="s">
        <v>6</v>
      </c>
      <c r="D5999" s="3">
        <v>7937.7215999999999</v>
      </c>
      <c r="E5999" s="3">
        <v>0</v>
      </c>
      <c r="F5999" t="s">
        <v>45</v>
      </c>
      <c r="G5999" s="3">
        <f t="shared" si="710"/>
        <v>-7937.7215999999999</v>
      </c>
      <c r="H5999" s="3">
        <f t="shared" si="711"/>
        <v>7937.7215999999999</v>
      </c>
      <c r="I5999" s="5" t="str">
        <f t="shared" si="712"/>
        <v>016</v>
      </c>
      <c r="J5999" s="5" t="str">
        <f t="shared" si="713"/>
        <v>2100</v>
      </c>
      <c r="K5999" s="5" t="str">
        <f t="shared" si="714"/>
        <v>000</v>
      </c>
      <c r="L5999" s="5">
        <f t="shared" si="715"/>
        <v>3</v>
      </c>
      <c r="M5999" s="5">
        <f t="shared" si="716"/>
        <v>2013</v>
      </c>
    </row>
    <row r="6000" spans="1:13" ht="15" x14ac:dyDescent="0.25">
      <c r="A6000" s="1">
        <f>DATE(2013,3,19)</f>
        <v>41352</v>
      </c>
      <c r="B6000" t="s">
        <v>12</v>
      </c>
      <c r="C6000" t="s">
        <v>8</v>
      </c>
      <c r="D6000" s="3">
        <v>2120.991</v>
      </c>
      <c r="E6000" s="3">
        <v>0</v>
      </c>
      <c r="F6000" t="s">
        <v>45</v>
      </c>
      <c r="G6000" s="3">
        <f t="shared" si="710"/>
        <v>-2120.991</v>
      </c>
      <c r="H6000" s="3">
        <f t="shared" si="711"/>
        <v>2120.991</v>
      </c>
      <c r="I6000" s="5" t="str">
        <f t="shared" si="712"/>
        <v>016</v>
      </c>
      <c r="J6000" s="5" t="str">
        <f t="shared" si="713"/>
        <v>2210</v>
      </c>
      <c r="K6000" s="5" t="str">
        <f t="shared" si="714"/>
        <v>000</v>
      </c>
      <c r="L6000" s="5">
        <f t="shared" si="715"/>
        <v>3</v>
      </c>
      <c r="M6000" s="5">
        <f t="shared" si="716"/>
        <v>2013</v>
      </c>
    </row>
    <row r="6001" spans="1:13" ht="15" x14ac:dyDescent="0.25">
      <c r="A6001" s="1">
        <f>DATE(2013,3,19)</f>
        <v>41352</v>
      </c>
      <c r="B6001" t="s">
        <v>13</v>
      </c>
      <c r="C6001" t="s">
        <v>9</v>
      </c>
      <c r="D6001" s="3">
        <v>988.50349999999992</v>
      </c>
      <c r="E6001" s="3">
        <v>0</v>
      </c>
      <c r="F6001" t="s">
        <v>45</v>
      </c>
      <c r="G6001" s="3">
        <f t="shared" si="710"/>
        <v>-988.50349999999992</v>
      </c>
      <c r="H6001" s="3">
        <f t="shared" si="711"/>
        <v>988.50349999999992</v>
      </c>
      <c r="I6001" s="5" t="str">
        <f t="shared" si="712"/>
        <v>016</v>
      </c>
      <c r="J6001" s="5" t="str">
        <f t="shared" si="713"/>
        <v>2220</v>
      </c>
      <c r="K6001" s="5" t="str">
        <f t="shared" si="714"/>
        <v>000</v>
      </c>
      <c r="L6001" s="5">
        <f t="shared" si="715"/>
        <v>3</v>
      </c>
      <c r="M6001" s="5">
        <f t="shared" si="716"/>
        <v>2013</v>
      </c>
    </row>
    <row r="6002" spans="1:13" ht="15" x14ac:dyDescent="0.25">
      <c r="A6002" s="1">
        <f>DATE(2013,3,19)</f>
        <v>41352</v>
      </c>
      <c r="B6002" t="s">
        <v>14</v>
      </c>
      <c r="C6002" t="s">
        <v>10</v>
      </c>
      <c r="D6002" s="3">
        <v>157.56</v>
      </c>
      <c r="E6002" s="3">
        <v>0</v>
      </c>
      <c r="F6002" t="s">
        <v>45</v>
      </c>
      <c r="G6002" s="3">
        <f t="shared" si="710"/>
        <v>-157.56</v>
      </c>
      <c r="H6002" s="3">
        <f t="shared" si="711"/>
        <v>157.56</v>
      </c>
      <c r="I6002" s="5" t="str">
        <f t="shared" si="712"/>
        <v>016</v>
      </c>
      <c r="J6002" s="5" t="str">
        <f t="shared" si="713"/>
        <v>2230</v>
      </c>
      <c r="K6002" s="5" t="str">
        <f t="shared" si="714"/>
        <v>000</v>
      </c>
      <c r="L6002" s="5">
        <f t="shared" si="715"/>
        <v>3</v>
      </c>
      <c r="M6002" s="5">
        <f t="shared" si="716"/>
        <v>2013</v>
      </c>
    </row>
    <row r="6003" spans="1:13" ht="15" x14ac:dyDescent="0.25">
      <c r="A6003" s="1">
        <f>DATE(2013,3,20)</f>
        <v>41353</v>
      </c>
      <c r="B6003" t="s">
        <v>11</v>
      </c>
      <c r="C6003" t="s">
        <v>6</v>
      </c>
      <c r="D6003" s="3">
        <v>4367.3027999999995</v>
      </c>
      <c r="E6003" s="3">
        <v>0</v>
      </c>
      <c r="F6003" t="s">
        <v>45</v>
      </c>
      <c r="G6003" s="3">
        <f t="shared" si="710"/>
        <v>-4367.3027999999995</v>
      </c>
      <c r="H6003" s="3">
        <f t="shared" si="711"/>
        <v>4367.3027999999995</v>
      </c>
      <c r="I6003" s="5" t="str">
        <f t="shared" si="712"/>
        <v>016</v>
      </c>
      <c r="J6003" s="5" t="str">
        <f t="shared" si="713"/>
        <v>2100</v>
      </c>
      <c r="K6003" s="5" t="str">
        <f t="shared" si="714"/>
        <v>000</v>
      </c>
      <c r="L6003" s="5">
        <f t="shared" si="715"/>
        <v>3</v>
      </c>
      <c r="M6003" s="5">
        <f t="shared" si="716"/>
        <v>2013</v>
      </c>
    </row>
    <row r="6004" spans="1:13" ht="15" x14ac:dyDescent="0.25">
      <c r="A6004" s="1">
        <f>DATE(2013,3,20)</f>
        <v>41353</v>
      </c>
      <c r="B6004" t="s">
        <v>12</v>
      </c>
      <c r="C6004" t="s">
        <v>8</v>
      </c>
      <c r="D6004" s="3">
        <v>1102.4163000000001</v>
      </c>
      <c r="E6004" s="3">
        <v>0</v>
      </c>
      <c r="F6004" t="s">
        <v>45</v>
      </c>
      <c r="G6004" s="3">
        <f t="shared" si="710"/>
        <v>-1102.4163000000001</v>
      </c>
      <c r="H6004" s="3">
        <f t="shared" si="711"/>
        <v>1102.4163000000001</v>
      </c>
      <c r="I6004" s="5" t="str">
        <f t="shared" si="712"/>
        <v>016</v>
      </c>
      <c r="J6004" s="5" t="str">
        <f t="shared" si="713"/>
        <v>2210</v>
      </c>
      <c r="K6004" s="5" t="str">
        <f t="shared" si="714"/>
        <v>000</v>
      </c>
      <c r="L6004" s="5">
        <f t="shared" si="715"/>
        <v>3</v>
      </c>
      <c r="M6004" s="5">
        <f t="shared" si="716"/>
        <v>2013</v>
      </c>
    </row>
    <row r="6005" spans="1:13" ht="15" x14ac:dyDescent="0.25">
      <c r="A6005" s="1">
        <f>DATE(2013,3,20)</f>
        <v>41353</v>
      </c>
      <c r="B6005" t="s">
        <v>13</v>
      </c>
      <c r="C6005" t="s">
        <v>9</v>
      </c>
      <c r="D6005" s="3">
        <v>188.43440000000001</v>
      </c>
      <c r="E6005" s="3">
        <v>0</v>
      </c>
      <c r="F6005" t="s">
        <v>45</v>
      </c>
      <c r="G6005" s="3">
        <f t="shared" si="710"/>
        <v>-188.43440000000001</v>
      </c>
      <c r="H6005" s="3">
        <f t="shared" si="711"/>
        <v>188.43440000000001</v>
      </c>
      <c r="I6005" s="5" t="str">
        <f t="shared" si="712"/>
        <v>016</v>
      </c>
      <c r="J6005" s="5" t="str">
        <f t="shared" si="713"/>
        <v>2220</v>
      </c>
      <c r="K6005" s="5" t="str">
        <f t="shared" si="714"/>
        <v>000</v>
      </c>
      <c r="L6005" s="5">
        <f t="shared" si="715"/>
        <v>3</v>
      </c>
      <c r="M6005" s="5">
        <f t="shared" si="716"/>
        <v>2013</v>
      </c>
    </row>
    <row r="6006" spans="1:13" ht="15" x14ac:dyDescent="0.25">
      <c r="A6006" s="1">
        <f>DATE(2013,3,20)</f>
        <v>41353</v>
      </c>
      <c r="B6006" t="s">
        <v>14</v>
      </c>
      <c r="C6006" t="s">
        <v>10</v>
      </c>
      <c r="D6006" s="3">
        <v>85.939499999999995</v>
      </c>
      <c r="E6006" s="3">
        <v>0</v>
      </c>
      <c r="F6006" t="s">
        <v>45</v>
      </c>
      <c r="G6006" s="3">
        <f t="shared" si="710"/>
        <v>-85.939499999999995</v>
      </c>
      <c r="H6006" s="3">
        <f t="shared" si="711"/>
        <v>85.939499999999995</v>
      </c>
      <c r="I6006" s="5" t="str">
        <f t="shared" si="712"/>
        <v>016</v>
      </c>
      <c r="J6006" s="5" t="str">
        <f t="shared" si="713"/>
        <v>2230</v>
      </c>
      <c r="K6006" s="5" t="str">
        <f t="shared" si="714"/>
        <v>000</v>
      </c>
      <c r="L6006" s="5">
        <f t="shared" si="715"/>
        <v>3</v>
      </c>
      <c r="M6006" s="5">
        <f t="shared" si="716"/>
        <v>2013</v>
      </c>
    </row>
    <row r="6007" spans="1:13" ht="15" x14ac:dyDescent="0.25">
      <c r="A6007" s="1">
        <f>DATE(2013,3,21)</f>
        <v>41354</v>
      </c>
      <c r="B6007" t="s">
        <v>11</v>
      </c>
      <c r="C6007" t="s">
        <v>6</v>
      </c>
      <c r="D6007" s="3">
        <v>3653.8559999999998</v>
      </c>
      <c r="E6007" s="3">
        <v>0</v>
      </c>
      <c r="F6007" t="s">
        <v>45</v>
      </c>
      <c r="G6007" s="3">
        <f t="shared" si="710"/>
        <v>-3653.8559999999998</v>
      </c>
      <c r="H6007" s="3">
        <f t="shared" si="711"/>
        <v>3653.8559999999998</v>
      </c>
      <c r="I6007" s="5" t="str">
        <f t="shared" si="712"/>
        <v>016</v>
      </c>
      <c r="J6007" s="5" t="str">
        <f t="shared" si="713"/>
        <v>2100</v>
      </c>
      <c r="K6007" s="5" t="str">
        <f t="shared" si="714"/>
        <v>000</v>
      </c>
      <c r="L6007" s="5">
        <f t="shared" si="715"/>
        <v>3</v>
      </c>
      <c r="M6007" s="5">
        <f t="shared" si="716"/>
        <v>2013</v>
      </c>
    </row>
    <row r="6008" spans="1:13" ht="15" x14ac:dyDescent="0.25">
      <c r="A6008" s="1">
        <f>DATE(2013,3,21)</f>
        <v>41354</v>
      </c>
      <c r="B6008" t="s">
        <v>12</v>
      </c>
      <c r="C6008" t="s">
        <v>8</v>
      </c>
      <c r="D6008" s="3">
        <v>1225.4025000000001</v>
      </c>
      <c r="E6008" s="3">
        <v>0</v>
      </c>
      <c r="F6008" t="s">
        <v>45</v>
      </c>
      <c r="G6008" s="3">
        <f t="shared" si="710"/>
        <v>-1225.4025000000001</v>
      </c>
      <c r="H6008" s="3">
        <f t="shared" si="711"/>
        <v>1225.4025000000001</v>
      </c>
      <c r="I6008" s="5" t="str">
        <f t="shared" si="712"/>
        <v>016</v>
      </c>
      <c r="J6008" s="5" t="str">
        <f t="shared" si="713"/>
        <v>2210</v>
      </c>
      <c r="K6008" s="5" t="str">
        <f t="shared" si="714"/>
        <v>000</v>
      </c>
      <c r="L6008" s="5">
        <f t="shared" si="715"/>
        <v>3</v>
      </c>
      <c r="M6008" s="5">
        <f t="shared" si="716"/>
        <v>2013</v>
      </c>
    </row>
    <row r="6009" spans="1:13" ht="15" x14ac:dyDescent="0.25">
      <c r="A6009" s="1">
        <f>DATE(2013,3,21)</f>
        <v>41354</v>
      </c>
      <c r="B6009" t="s">
        <v>13</v>
      </c>
      <c r="C6009" t="s">
        <v>9</v>
      </c>
      <c r="D6009" s="3">
        <v>147.97049999999999</v>
      </c>
      <c r="E6009" s="3">
        <v>0</v>
      </c>
      <c r="F6009" t="s">
        <v>45</v>
      </c>
      <c r="G6009" s="3">
        <f t="shared" si="710"/>
        <v>-147.97049999999999</v>
      </c>
      <c r="H6009" s="3">
        <f t="shared" si="711"/>
        <v>147.97049999999999</v>
      </c>
      <c r="I6009" s="5" t="str">
        <f t="shared" si="712"/>
        <v>016</v>
      </c>
      <c r="J6009" s="5" t="str">
        <f t="shared" si="713"/>
        <v>2220</v>
      </c>
      <c r="K6009" s="5" t="str">
        <f t="shared" si="714"/>
        <v>000</v>
      </c>
      <c r="L6009" s="5">
        <f t="shared" si="715"/>
        <v>3</v>
      </c>
      <c r="M6009" s="5">
        <f t="shared" si="716"/>
        <v>2013</v>
      </c>
    </row>
    <row r="6010" spans="1:13" ht="15" x14ac:dyDescent="0.25">
      <c r="A6010" s="1">
        <f>DATE(2013,3,21)</f>
        <v>41354</v>
      </c>
      <c r="B6010" t="s">
        <v>14</v>
      </c>
      <c r="C6010" t="s">
        <v>10</v>
      </c>
      <c r="D6010" s="3">
        <v>120.205</v>
      </c>
      <c r="E6010" s="3">
        <v>0</v>
      </c>
      <c r="F6010" t="s">
        <v>45</v>
      </c>
      <c r="G6010" s="3">
        <f t="shared" si="710"/>
        <v>-120.205</v>
      </c>
      <c r="H6010" s="3">
        <f t="shared" si="711"/>
        <v>120.205</v>
      </c>
      <c r="I6010" s="5" t="str">
        <f t="shared" si="712"/>
        <v>016</v>
      </c>
      <c r="J6010" s="5" t="str">
        <f t="shared" si="713"/>
        <v>2230</v>
      </c>
      <c r="K6010" s="5" t="str">
        <f t="shared" si="714"/>
        <v>000</v>
      </c>
      <c r="L6010" s="5">
        <f t="shared" si="715"/>
        <v>3</v>
      </c>
      <c r="M6010" s="5">
        <f t="shared" si="716"/>
        <v>2013</v>
      </c>
    </row>
    <row r="6011" spans="1:13" ht="15" x14ac:dyDescent="0.25">
      <c r="A6011" s="1">
        <f>DATE(2013,3,22)</f>
        <v>41355</v>
      </c>
      <c r="B6011" t="s">
        <v>11</v>
      </c>
      <c r="C6011" t="s">
        <v>6</v>
      </c>
      <c r="D6011" s="3">
        <v>6948.0851999999995</v>
      </c>
      <c r="E6011" s="3">
        <v>0</v>
      </c>
      <c r="F6011" t="s">
        <v>45</v>
      </c>
      <c r="G6011" s="3">
        <f t="shared" si="710"/>
        <v>-6948.0851999999995</v>
      </c>
      <c r="H6011" s="3">
        <f t="shared" si="711"/>
        <v>6948.0851999999995</v>
      </c>
      <c r="I6011" s="5" t="str">
        <f t="shared" si="712"/>
        <v>016</v>
      </c>
      <c r="J6011" s="5" t="str">
        <f t="shared" si="713"/>
        <v>2100</v>
      </c>
      <c r="K6011" s="5" t="str">
        <f t="shared" si="714"/>
        <v>000</v>
      </c>
      <c r="L6011" s="5">
        <f t="shared" si="715"/>
        <v>3</v>
      </c>
      <c r="M6011" s="5">
        <f t="shared" si="716"/>
        <v>2013</v>
      </c>
    </row>
    <row r="6012" spans="1:13" ht="15" x14ac:dyDescent="0.25">
      <c r="A6012" s="1">
        <f>DATE(2013,3,22)</f>
        <v>41355</v>
      </c>
      <c r="B6012" t="s">
        <v>12</v>
      </c>
      <c r="C6012" t="s">
        <v>8</v>
      </c>
      <c r="D6012" s="3">
        <v>1564.338</v>
      </c>
      <c r="E6012" s="3">
        <v>0</v>
      </c>
      <c r="F6012" t="s">
        <v>45</v>
      </c>
      <c r="G6012" s="3">
        <f t="shared" si="710"/>
        <v>-1564.338</v>
      </c>
      <c r="H6012" s="3">
        <f t="shared" si="711"/>
        <v>1564.338</v>
      </c>
      <c r="I6012" s="5" t="str">
        <f t="shared" si="712"/>
        <v>016</v>
      </c>
      <c r="J6012" s="5" t="str">
        <f t="shared" si="713"/>
        <v>2210</v>
      </c>
      <c r="K6012" s="5" t="str">
        <f t="shared" si="714"/>
        <v>000</v>
      </c>
      <c r="L6012" s="5">
        <f t="shared" si="715"/>
        <v>3</v>
      </c>
      <c r="M6012" s="5">
        <f t="shared" si="716"/>
        <v>2013</v>
      </c>
    </row>
    <row r="6013" spans="1:13" ht="15" x14ac:dyDescent="0.25">
      <c r="A6013" s="1">
        <f>DATE(2013,3,22)</f>
        <v>41355</v>
      </c>
      <c r="B6013" t="s">
        <v>13</v>
      </c>
      <c r="C6013" t="s">
        <v>9</v>
      </c>
      <c r="D6013" s="3">
        <v>280.053</v>
      </c>
      <c r="E6013" s="3">
        <v>0</v>
      </c>
      <c r="F6013" t="s">
        <v>45</v>
      </c>
      <c r="G6013" s="3">
        <f t="shared" si="710"/>
        <v>-280.053</v>
      </c>
      <c r="H6013" s="3">
        <f t="shared" si="711"/>
        <v>280.053</v>
      </c>
      <c r="I6013" s="5" t="str">
        <f t="shared" si="712"/>
        <v>016</v>
      </c>
      <c r="J6013" s="5" t="str">
        <f t="shared" si="713"/>
        <v>2220</v>
      </c>
      <c r="K6013" s="5" t="str">
        <f t="shared" si="714"/>
        <v>000</v>
      </c>
      <c r="L6013" s="5">
        <f t="shared" si="715"/>
        <v>3</v>
      </c>
      <c r="M6013" s="5">
        <f t="shared" si="716"/>
        <v>2013</v>
      </c>
    </row>
    <row r="6014" spans="1:13" ht="15" x14ac:dyDescent="0.25">
      <c r="A6014" s="1">
        <f>DATE(2013,3,22)</f>
        <v>41355</v>
      </c>
      <c r="B6014" t="s">
        <v>14</v>
      </c>
      <c r="C6014" t="s">
        <v>10</v>
      </c>
      <c r="D6014" s="3">
        <v>195.54820000000001</v>
      </c>
      <c r="E6014" s="3">
        <v>0</v>
      </c>
      <c r="F6014" t="s">
        <v>45</v>
      </c>
      <c r="G6014" s="3">
        <f t="shared" si="710"/>
        <v>-195.54820000000001</v>
      </c>
      <c r="H6014" s="3">
        <f t="shared" si="711"/>
        <v>195.54820000000001</v>
      </c>
      <c r="I6014" s="5" t="str">
        <f t="shared" si="712"/>
        <v>016</v>
      </c>
      <c r="J6014" s="5" t="str">
        <f t="shared" si="713"/>
        <v>2230</v>
      </c>
      <c r="K6014" s="5" t="str">
        <f t="shared" si="714"/>
        <v>000</v>
      </c>
      <c r="L6014" s="5">
        <f t="shared" si="715"/>
        <v>3</v>
      </c>
      <c r="M6014" s="5">
        <f t="shared" si="716"/>
        <v>2013</v>
      </c>
    </row>
    <row r="6015" spans="1:13" ht="15" x14ac:dyDescent="0.25">
      <c r="A6015" s="1">
        <f>DATE(2013,3,23)</f>
        <v>41356</v>
      </c>
      <c r="B6015" t="s">
        <v>11</v>
      </c>
      <c r="C6015" t="s">
        <v>6</v>
      </c>
      <c r="D6015" s="3">
        <v>8805.1779000000006</v>
      </c>
      <c r="E6015" s="3">
        <v>0</v>
      </c>
      <c r="F6015" t="s">
        <v>45</v>
      </c>
      <c r="G6015" s="3">
        <f t="shared" si="710"/>
        <v>-8805.1779000000006</v>
      </c>
      <c r="H6015" s="3">
        <f t="shared" si="711"/>
        <v>8805.1779000000006</v>
      </c>
      <c r="I6015" s="5" t="str">
        <f t="shared" si="712"/>
        <v>016</v>
      </c>
      <c r="J6015" s="5" t="str">
        <f t="shared" si="713"/>
        <v>2100</v>
      </c>
      <c r="K6015" s="5" t="str">
        <f t="shared" si="714"/>
        <v>000</v>
      </c>
      <c r="L6015" s="5">
        <f t="shared" si="715"/>
        <v>3</v>
      </c>
      <c r="M6015" s="5">
        <f t="shared" si="716"/>
        <v>2013</v>
      </c>
    </row>
    <row r="6016" spans="1:13" ht="15" x14ac:dyDescent="0.25">
      <c r="A6016" s="1">
        <f>DATE(2013,3,23)</f>
        <v>41356</v>
      </c>
      <c r="B6016" t="s">
        <v>12</v>
      </c>
      <c r="C6016" t="s">
        <v>8</v>
      </c>
      <c r="D6016" s="3">
        <v>2319.0387000000001</v>
      </c>
      <c r="E6016" s="3">
        <v>0</v>
      </c>
      <c r="F6016" t="s">
        <v>45</v>
      </c>
      <c r="G6016" s="3">
        <f t="shared" si="710"/>
        <v>-2319.0387000000001</v>
      </c>
      <c r="H6016" s="3">
        <f t="shared" si="711"/>
        <v>2319.0387000000001</v>
      </c>
      <c r="I6016" s="5" t="str">
        <f t="shared" si="712"/>
        <v>016</v>
      </c>
      <c r="J6016" s="5" t="str">
        <f t="shared" si="713"/>
        <v>2210</v>
      </c>
      <c r="K6016" s="5" t="str">
        <f t="shared" si="714"/>
        <v>000</v>
      </c>
      <c r="L6016" s="5">
        <f t="shared" si="715"/>
        <v>3</v>
      </c>
      <c r="M6016" s="5">
        <f t="shared" si="716"/>
        <v>2013</v>
      </c>
    </row>
    <row r="6017" spans="1:13" ht="15" x14ac:dyDescent="0.25">
      <c r="A6017" s="1">
        <f>DATE(2013,3,23)</f>
        <v>41356</v>
      </c>
      <c r="B6017" t="s">
        <v>13</v>
      </c>
      <c r="C6017" t="s">
        <v>9</v>
      </c>
      <c r="D6017" s="3">
        <v>381.28499999999997</v>
      </c>
      <c r="E6017" s="3">
        <v>0</v>
      </c>
      <c r="F6017" t="s">
        <v>45</v>
      </c>
      <c r="G6017" s="3">
        <f t="shared" si="710"/>
        <v>-381.28499999999997</v>
      </c>
      <c r="H6017" s="3">
        <f t="shared" si="711"/>
        <v>381.28499999999997</v>
      </c>
      <c r="I6017" s="5" t="str">
        <f t="shared" si="712"/>
        <v>016</v>
      </c>
      <c r="J6017" s="5" t="str">
        <f t="shared" si="713"/>
        <v>2220</v>
      </c>
      <c r="K6017" s="5" t="str">
        <f t="shared" si="714"/>
        <v>000</v>
      </c>
      <c r="L6017" s="5">
        <f t="shared" si="715"/>
        <v>3</v>
      </c>
      <c r="M6017" s="5">
        <f t="shared" si="716"/>
        <v>2013</v>
      </c>
    </row>
    <row r="6018" spans="1:13" ht="15" x14ac:dyDescent="0.25">
      <c r="A6018" s="1">
        <f>DATE(2013,3,23)</f>
        <v>41356</v>
      </c>
      <c r="B6018" t="s">
        <v>14</v>
      </c>
      <c r="C6018" t="s">
        <v>10</v>
      </c>
      <c r="D6018" s="3">
        <v>218.60929999999999</v>
      </c>
      <c r="E6018" s="3">
        <v>0</v>
      </c>
      <c r="F6018" t="s">
        <v>45</v>
      </c>
      <c r="G6018" s="3">
        <f t="shared" ref="G6018:G6081" si="717">E6018-D6018</f>
        <v>-218.60929999999999</v>
      </c>
      <c r="H6018" s="3">
        <f t="shared" ref="H6018:H6081" si="718">ABS(G6018)</f>
        <v>218.60929999999999</v>
      </c>
      <c r="I6018" s="5" t="str">
        <f t="shared" ref="I6018:I6081" si="719">MID(B6018,1,3)</f>
        <v>016</v>
      </c>
      <c r="J6018" s="5" t="str">
        <f t="shared" ref="J6018:J6081" si="720">MID(B6018,5,4)</f>
        <v>2230</v>
      </c>
      <c r="K6018" s="5" t="str">
        <f t="shared" ref="K6018:K6081" si="721">MID(B6018,10,3)</f>
        <v>000</v>
      </c>
      <c r="L6018" s="5">
        <f t="shared" ref="L6018:L6081" si="722">MONTH(A6018)</f>
        <v>3</v>
      </c>
      <c r="M6018" s="5">
        <f t="shared" ref="M6018:M6081" si="723">YEAR(A6018)</f>
        <v>2013</v>
      </c>
    </row>
    <row r="6019" spans="1:13" ht="15" x14ac:dyDescent="0.25">
      <c r="A6019" s="1">
        <f>DATE(2013,3,24)</f>
        <v>41357</v>
      </c>
      <c r="B6019" t="s">
        <v>11</v>
      </c>
      <c r="C6019" t="s">
        <v>6</v>
      </c>
      <c r="D6019" s="3">
        <v>7015.4034000000001</v>
      </c>
      <c r="E6019" s="3">
        <v>0</v>
      </c>
      <c r="F6019" t="s">
        <v>45</v>
      </c>
      <c r="G6019" s="3">
        <f t="shared" si="717"/>
        <v>-7015.4034000000001</v>
      </c>
      <c r="H6019" s="3">
        <f t="shared" si="718"/>
        <v>7015.4034000000001</v>
      </c>
      <c r="I6019" s="5" t="str">
        <f t="shared" si="719"/>
        <v>016</v>
      </c>
      <c r="J6019" s="5" t="str">
        <f t="shared" si="720"/>
        <v>2100</v>
      </c>
      <c r="K6019" s="5" t="str">
        <f t="shared" si="721"/>
        <v>000</v>
      </c>
      <c r="L6019" s="5">
        <f t="shared" si="722"/>
        <v>3</v>
      </c>
      <c r="M6019" s="5">
        <f t="shared" si="723"/>
        <v>2013</v>
      </c>
    </row>
    <row r="6020" spans="1:13" ht="15" x14ac:dyDescent="0.25">
      <c r="A6020" s="1">
        <f>DATE(2013,3,24)</f>
        <v>41357</v>
      </c>
      <c r="B6020" t="s">
        <v>12</v>
      </c>
      <c r="C6020" t="s">
        <v>8</v>
      </c>
      <c r="D6020" s="3">
        <v>1850.5989000000002</v>
      </c>
      <c r="E6020" s="3">
        <v>0</v>
      </c>
      <c r="F6020" t="s">
        <v>45</v>
      </c>
      <c r="G6020" s="3">
        <f t="shared" si="717"/>
        <v>-1850.5989000000002</v>
      </c>
      <c r="H6020" s="3">
        <f t="shared" si="718"/>
        <v>1850.5989000000002</v>
      </c>
      <c r="I6020" s="5" t="str">
        <f t="shared" si="719"/>
        <v>016</v>
      </c>
      <c r="J6020" s="5" t="str">
        <f t="shared" si="720"/>
        <v>2210</v>
      </c>
      <c r="K6020" s="5" t="str">
        <f t="shared" si="721"/>
        <v>000</v>
      </c>
      <c r="L6020" s="5">
        <f t="shared" si="722"/>
        <v>3</v>
      </c>
      <c r="M6020" s="5">
        <f t="shared" si="723"/>
        <v>2013</v>
      </c>
    </row>
    <row r="6021" spans="1:13" ht="15" x14ac:dyDescent="0.25">
      <c r="A6021" s="1">
        <f>DATE(2013,3,24)</f>
        <v>41357</v>
      </c>
      <c r="B6021" t="s">
        <v>13</v>
      </c>
      <c r="C6021" t="s">
        <v>9</v>
      </c>
      <c r="D6021" s="3">
        <v>277.28190000000001</v>
      </c>
      <c r="E6021" s="3">
        <v>0</v>
      </c>
      <c r="F6021" t="s">
        <v>45</v>
      </c>
      <c r="G6021" s="3">
        <f t="shared" si="717"/>
        <v>-277.28190000000001</v>
      </c>
      <c r="H6021" s="3">
        <f t="shared" si="718"/>
        <v>277.28190000000001</v>
      </c>
      <c r="I6021" s="5" t="str">
        <f t="shared" si="719"/>
        <v>016</v>
      </c>
      <c r="J6021" s="5" t="str">
        <f t="shared" si="720"/>
        <v>2220</v>
      </c>
      <c r="K6021" s="5" t="str">
        <f t="shared" si="721"/>
        <v>000</v>
      </c>
      <c r="L6021" s="5">
        <f t="shared" si="722"/>
        <v>3</v>
      </c>
      <c r="M6021" s="5">
        <f t="shared" si="723"/>
        <v>2013</v>
      </c>
    </row>
    <row r="6022" spans="1:13" ht="15" x14ac:dyDescent="0.25">
      <c r="A6022" s="1">
        <f>DATE(2013,3,24)</f>
        <v>41357</v>
      </c>
      <c r="B6022" t="s">
        <v>14</v>
      </c>
      <c r="C6022" t="s">
        <v>10</v>
      </c>
      <c r="D6022" s="3">
        <v>97.495000000000005</v>
      </c>
      <c r="E6022" s="3">
        <v>0</v>
      </c>
      <c r="F6022" t="s">
        <v>45</v>
      </c>
      <c r="G6022" s="3">
        <f t="shared" si="717"/>
        <v>-97.495000000000005</v>
      </c>
      <c r="H6022" s="3">
        <f t="shared" si="718"/>
        <v>97.495000000000005</v>
      </c>
      <c r="I6022" s="5" t="str">
        <f t="shared" si="719"/>
        <v>016</v>
      </c>
      <c r="J6022" s="5" t="str">
        <f t="shared" si="720"/>
        <v>2230</v>
      </c>
      <c r="K6022" s="5" t="str">
        <f t="shared" si="721"/>
        <v>000</v>
      </c>
      <c r="L6022" s="5">
        <f t="shared" si="722"/>
        <v>3</v>
      </c>
      <c r="M6022" s="5">
        <f t="shared" si="723"/>
        <v>2013</v>
      </c>
    </row>
    <row r="6023" spans="1:13" ht="15" x14ac:dyDescent="0.25">
      <c r="A6023" s="1">
        <f>DATE(2013,3,18)</f>
        <v>41351</v>
      </c>
      <c r="B6023" t="s">
        <v>15</v>
      </c>
      <c r="C6023" t="s">
        <v>6</v>
      </c>
      <c r="D6023" s="3">
        <v>3674.8424999999997</v>
      </c>
      <c r="E6023" s="3">
        <v>0</v>
      </c>
      <c r="F6023" t="s">
        <v>45</v>
      </c>
      <c r="G6023" s="3">
        <f t="shared" si="717"/>
        <v>-3674.8424999999997</v>
      </c>
      <c r="H6023" s="3">
        <f t="shared" si="718"/>
        <v>3674.8424999999997</v>
      </c>
      <c r="I6023" s="5" t="str">
        <f t="shared" si="719"/>
        <v>017</v>
      </c>
      <c r="J6023" s="5" t="str">
        <f t="shared" si="720"/>
        <v>2100</v>
      </c>
      <c r="K6023" s="5" t="str">
        <f t="shared" si="721"/>
        <v>000</v>
      </c>
      <c r="L6023" s="5">
        <f t="shared" si="722"/>
        <v>3</v>
      </c>
      <c r="M6023" s="5">
        <f t="shared" si="723"/>
        <v>2013</v>
      </c>
    </row>
    <row r="6024" spans="1:13" ht="15" x14ac:dyDescent="0.25">
      <c r="A6024" s="1">
        <f>DATE(2013,3,18)</f>
        <v>41351</v>
      </c>
      <c r="B6024" t="s">
        <v>16</v>
      </c>
      <c r="C6024" t="s">
        <v>8</v>
      </c>
      <c r="D6024" s="3">
        <v>853.75839999999994</v>
      </c>
      <c r="E6024" s="3">
        <v>0</v>
      </c>
      <c r="F6024" t="s">
        <v>45</v>
      </c>
      <c r="G6024" s="3">
        <f t="shared" si="717"/>
        <v>-853.75839999999994</v>
      </c>
      <c r="H6024" s="3">
        <f t="shared" si="718"/>
        <v>853.75839999999994</v>
      </c>
      <c r="I6024" s="5" t="str">
        <f t="shared" si="719"/>
        <v>017</v>
      </c>
      <c r="J6024" s="5" t="str">
        <f t="shared" si="720"/>
        <v>2210</v>
      </c>
      <c r="K6024" s="5" t="str">
        <f t="shared" si="721"/>
        <v>000</v>
      </c>
      <c r="L6024" s="5">
        <f t="shared" si="722"/>
        <v>3</v>
      </c>
      <c r="M6024" s="5">
        <f t="shared" si="723"/>
        <v>2013</v>
      </c>
    </row>
    <row r="6025" spans="1:13" ht="15" x14ac:dyDescent="0.25">
      <c r="A6025" s="1">
        <f>DATE(2013,3,18)</f>
        <v>41351</v>
      </c>
      <c r="B6025" t="s">
        <v>17</v>
      </c>
      <c r="C6025" t="s">
        <v>9</v>
      </c>
      <c r="D6025" s="3">
        <v>273.45120000000003</v>
      </c>
      <c r="E6025" s="3">
        <v>0</v>
      </c>
      <c r="F6025" t="s">
        <v>45</v>
      </c>
      <c r="G6025" s="3">
        <f t="shared" si="717"/>
        <v>-273.45120000000003</v>
      </c>
      <c r="H6025" s="3">
        <f t="shared" si="718"/>
        <v>273.45120000000003</v>
      </c>
      <c r="I6025" s="5" t="str">
        <f t="shared" si="719"/>
        <v>017</v>
      </c>
      <c r="J6025" s="5" t="str">
        <f t="shared" si="720"/>
        <v>2220</v>
      </c>
      <c r="K6025" s="5" t="str">
        <f t="shared" si="721"/>
        <v>000</v>
      </c>
      <c r="L6025" s="5">
        <f t="shared" si="722"/>
        <v>3</v>
      </c>
      <c r="M6025" s="5">
        <f t="shared" si="723"/>
        <v>2013</v>
      </c>
    </row>
    <row r="6026" spans="1:13" ht="15" x14ac:dyDescent="0.25">
      <c r="A6026" s="1">
        <f>DATE(2013,3,18)</f>
        <v>41351</v>
      </c>
      <c r="B6026" t="s">
        <v>18</v>
      </c>
      <c r="C6026" t="s">
        <v>10</v>
      </c>
      <c r="D6026" s="3">
        <v>56.538300000000007</v>
      </c>
      <c r="E6026" s="3">
        <v>0</v>
      </c>
      <c r="F6026" t="s">
        <v>45</v>
      </c>
      <c r="G6026" s="3">
        <f t="shared" si="717"/>
        <v>-56.538300000000007</v>
      </c>
      <c r="H6026" s="3">
        <f t="shared" si="718"/>
        <v>56.538300000000007</v>
      </c>
      <c r="I6026" s="5" t="str">
        <f t="shared" si="719"/>
        <v>017</v>
      </c>
      <c r="J6026" s="5" t="str">
        <f t="shared" si="720"/>
        <v>2230</v>
      </c>
      <c r="K6026" s="5" t="str">
        <f t="shared" si="721"/>
        <v>000</v>
      </c>
      <c r="L6026" s="5">
        <f t="shared" si="722"/>
        <v>3</v>
      </c>
      <c r="M6026" s="5">
        <f t="shared" si="723"/>
        <v>2013</v>
      </c>
    </row>
    <row r="6027" spans="1:13" ht="15" x14ac:dyDescent="0.25">
      <c r="A6027" s="1">
        <f>DATE(2013,3,19)</f>
        <v>41352</v>
      </c>
      <c r="B6027" t="s">
        <v>15</v>
      </c>
      <c r="C6027" t="s">
        <v>6</v>
      </c>
      <c r="D6027" s="3">
        <v>5150.4592000000002</v>
      </c>
      <c r="E6027" s="3">
        <v>0</v>
      </c>
      <c r="F6027" t="s">
        <v>45</v>
      </c>
      <c r="G6027" s="3">
        <f t="shared" si="717"/>
        <v>-5150.4592000000002</v>
      </c>
      <c r="H6027" s="3">
        <f t="shared" si="718"/>
        <v>5150.4592000000002</v>
      </c>
      <c r="I6027" s="5" t="str">
        <f t="shared" si="719"/>
        <v>017</v>
      </c>
      <c r="J6027" s="5" t="str">
        <f t="shared" si="720"/>
        <v>2100</v>
      </c>
      <c r="K6027" s="5" t="str">
        <f t="shared" si="721"/>
        <v>000</v>
      </c>
      <c r="L6027" s="5">
        <f t="shared" si="722"/>
        <v>3</v>
      </c>
      <c r="M6027" s="5">
        <f t="shared" si="723"/>
        <v>2013</v>
      </c>
    </row>
    <row r="6028" spans="1:13" ht="15" x14ac:dyDescent="0.25">
      <c r="A6028" s="1">
        <f>DATE(2013,3,19)</f>
        <v>41352</v>
      </c>
      <c r="B6028" t="s">
        <v>16</v>
      </c>
      <c r="C6028" t="s">
        <v>8</v>
      </c>
      <c r="D6028" s="3">
        <v>1419.8261</v>
      </c>
      <c r="E6028" s="3">
        <v>0</v>
      </c>
      <c r="F6028" t="s">
        <v>45</v>
      </c>
      <c r="G6028" s="3">
        <f t="shared" si="717"/>
        <v>-1419.8261</v>
      </c>
      <c r="H6028" s="3">
        <f t="shared" si="718"/>
        <v>1419.8261</v>
      </c>
      <c r="I6028" s="5" t="str">
        <f t="shared" si="719"/>
        <v>017</v>
      </c>
      <c r="J6028" s="5" t="str">
        <f t="shared" si="720"/>
        <v>2210</v>
      </c>
      <c r="K6028" s="5" t="str">
        <f t="shared" si="721"/>
        <v>000</v>
      </c>
      <c r="L6028" s="5">
        <f t="shared" si="722"/>
        <v>3</v>
      </c>
      <c r="M6028" s="5">
        <f t="shared" si="723"/>
        <v>2013</v>
      </c>
    </row>
    <row r="6029" spans="1:13" ht="15" x14ac:dyDescent="0.25">
      <c r="A6029" s="1">
        <f>DATE(2013,3,19)</f>
        <v>41352</v>
      </c>
      <c r="B6029" t="s">
        <v>17</v>
      </c>
      <c r="C6029" t="s">
        <v>9</v>
      </c>
      <c r="D6029" s="3">
        <v>493.32929999999999</v>
      </c>
      <c r="E6029" s="3">
        <v>0</v>
      </c>
      <c r="F6029" t="s">
        <v>45</v>
      </c>
      <c r="G6029" s="3">
        <f t="shared" si="717"/>
        <v>-493.32929999999999</v>
      </c>
      <c r="H6029" s="3">
        <f t="shared" si="718"/>
        <v>493.32929999999999</v>
      </c>
      <c r="I6029" s="5" t="str">
        <f t="shared" si="719"/>
        <v>017</v>
      </c>
      <c r="J6029" s="5" t="str">
        <f t="shared" si="720"/>
        <v>2220</v>
      </c>
      <c r="K6029" s="5" t="str">
        <f t="shared" si="721"/>
        <v>000</v>
      </c>
      <c r="L6029" s="5">
        <f t="shared" si="722"/>
        <v>3</v>
      </c>
      <c r="M6029" s="5">
        <f t="shared" si="723"/>
        <v>2013</v>
      </c>
    </row>
    <row r="6030" spans="1:13" ht="15" x14ac:dyDescent="0.25">
      <c r="A6030" s="1">
        <f>DATE(2013,3,19)</f>
        <v>41352</v>
      </c>
      <c r="B6030" t="s">
        <v>18</v>
      </c>
      <c r="C6030" t="s">
        <v>10</v>
      </c>
      <c r="D6030" s="3">
        <v>297.55500000000001</v>
      </c>
      <c r="E6030" s="3">
        <v>0</v>
      </c>
      <c r="F6030" t="s">
        <v>45</v>
      </c>
      <c r="G6030" s="3">
        <f t="shared" si="717"/>
        <v>-297.55500000000001</v>
      </c>
      <c r="H6030" s="3">
        <f t="shared" si="718"/>
        <v>297.55500000000001</v>
      </c>
      <c r="I6030" s="5" t="str">
        <f t="shared" si="719"/>
        <v>017</v>
      </c>
      <c r="J6030" s="5" t="str">
        <f t="shared" si="720"/>
        <v>2230</v>
      </c>
      <c r="K6030" s="5" t="str">
        <f t="shared" si="721"/>
        <v>000</v>
      </c>
      <c r="L6030" s="5">
        <f t="shared" si="722"/>
        <v>3</v>
      </c>
      <c r="M6030" s="5">
        <f t="shared" si="723"/>
        <v>2013</v>
      </c>
    </row>
    <row r="6031" spans="1:13" ht="15" x14ac:dyDescent="0.25">
      <c r="A6031" s="1">
        <f>DATE(2013,3,20)</f>
        <v>41353</v>
      </c>
      <c r="B6031" t="s">
        <v>15</v>
      </c>
      <c r="C6031" t="s">
        <v>6</v>
      </c>
      <c r="D6031" s="3">
        <v>9113.4589000000014</v>
      </c>
      <c r="E6031" s="3">
        <v>0</v>
      </c>
      <c r="F6031" t="s">
        <v>45</v>
      </c>
      <c r="G6031" s="3">
        <f t="shared" si="717"/>
        <v>-9113.4589000000014</v>
      </c>
      <c r="H6031" s="3">
        <f t="shared" si="718"/>
        <v>9113.4589000000014</v>
      </c>
      <c r="I6031" s="5" t="str">
        <f t="shared" si="719"/>
        <v>017</v>
      </c>
      <c r="J6031" s="5" t="str">
        <f t="shared" si="720"/>
        <v>2100</v>
      </c>
      <c r="K6031" s="5" t="str">
        <f t="shared" si="721"/>
        <v>000</v>
      </c>
      <c r="L6031" s="5">
        <f t="shared" si="722"/>
        <v>3</v>
      </c>
      <c r="M6031" s="5">
        <f t="shared" si="723"/>
        <v>2013</v>
      </c>
    </row>
    <row r="6032" spans="1:13" ht="15" x14ac:dyDescent="0.25">
      <c r="A6032" s="1">
        <f>DATE(2013,3,20)</f>
        <v>41353</v>
      </c>
      <c r="B6032" t="s">
        <v>16</v>
      </c>
      <c r="C6032" t="s">
        <v>8</v>
      </c>
      <c r="D6032" s="3">
        <v>2316.4304000000002</v>
      </c>
      <c r="E6032" s="3">
        <v>0</v>
      </c>
      <c r="F6032" t="s">
        <v>45</v>
      </c>
      <c r="G6032" s="3">
        <f t="shared" si="717"/>
        <v>-2316.4304000000002</v>
      </c>
      <c r="H6032" s="3">
        <f t="shared" si="718"/>
        <v>2316.4304000000002</v>
      </c>
      <c r="I6032" s="5" t="str">
        <f t="shared" si="719"/>
        <v>017</v>
      </c>
      <c r="J6032" s="5" t="str">
        <f t="shared" si="720"/>
        <v>2210</v>
      </c>
      <c r="K6032" s="5" t="str">
        <f t="shared" si="721"/>
        <v>000</v>
      </c>
      <c r="L6032" s="5">
        <f t="shared" si="722"/>
        <v>3</v>
      </c>
      <c r="M6032" s="5">
        <f t="shared" si="723"/>
        <v>2013</v>
      </c>
    </row>
    <row r="6033" spans="1:13" ht="15" x14ac:dyDescent="0.25">
      <c r="A6033" s="1">
        <f>DATE(2013,3,20)</f>
        <v>41353</v>
      </c>
      <c r="B6033" t="s">
        <v>17</v>
      </c>
      <c r="C6033" t="s">
        <v>9</v>
      </c>
      <c r="D6033" s="3">
        <v>681.33100000000002</v>
      </c>
      <c r="E6033" s="3">
        <v>0</v>
      </c>
      <c r="F6033" t="s">
        <v>45</v>
      </c>
      <c r="G6033" s="3">
        <f t="shared" si="717"/>
        <v>-681.33100000000002</v>
      </c>
      <c r="H6033" s="3">
        <f t="shared" si="718"/>
        <v>681.33100000000002</v>
      </c>
      <c r="I6033" s="5" t="str">
        <f t="shared" si="719"/>
        <v>017</v>
      </c>
      <c r="J6033" s="5" t="str">
        <f t="shared" si="720"/>
        <v>2220</v>
      </c>
      <c r="K6033" s="5" t="str">
        <f t="shared" si="721"/>
        <v>000</v>
      </c>
      <c r="L6033" s="5">
        <f t="shared" si="722"/>
        <v>3</v>
      </c>
      <c r="M6033" s="5">
        <f t="shared" si="723"/>
        <v>2013</v>
      </c>
    </row>
    <row r="6034" spans="1:13" ht="15" x14ac:dyDescent="0.25">
      <c r="A6034" s="1">
        <f>DATE(2013,3,20)</f>
        <v>41353</v>
      </c>
      <c r="B6034" t="s">
        <v>18</v>
      </c>
      <c r="C6034" t="s">
        <v>10</v>
      </c>
      <c r="D6034" s="3">
        <v>49.029300000000006</v>
      </c>
      <c r="E6034" s="3">
        <v>0</v>
      </c>
      <c r="F6034" t="s">
        <v>45</v>
      </c>
      <c r="G6034" s="3">
        <f t="shared" si="717"/>
        <v>-49.029300000000006</v>
      </c>
      <c r="H6034" s="3">
        <f t="shared" si="718"/>
        <v>49.029300000000006</v>
      </c>
      <c r="I6034" s="5" t="str">
        <f t="shared" si="719"/>
        <v>017</v>
      </c>
      <c r="J6034" s="5" t="str">
        <f t="shared" si="720"/>
        <v>2230</v>
      </c>
      <c r="K6034" s="5" t="str">
        <f t="shared" si="721"/>
        <v>000</v>
      </c>
      <c r="L6034" s="5">
        <f t="shared" si="722"/>
        <v>3</v>
      </c>
      <c r="M6034" s="5">
        <f t="shared" si="723"/>
        <v>2013</v>
      </c>
    </row>
    <row r="6035" spans="1:13" ht="15" x14ac:dyDescent="0.25">
      <c r="A6035" s="1">
        <f>DATE(2013,3,21)</f>
        <v>41354</v>
      </c>
      <c r="B6035" t="s">
        <v>15</v>
      </c>
      <c r="C6035" t="s">
        <v>6</v>
      </c>
      <c r="D6035" s="3">
        <v>6520.5168000000003</v>
      </c>
      <c r="E6035" s="3">
        <v>0</v>
      </c>
      <c r="F6035" t="s">
        <v>45</v>
      </c>
      <c r="G6035" s="3">
        <f t="shared" si="717"/>
        <v>-6520.5168000000003</v>
      </c>
      <c r="H6035" s="3">
        <f t="shared" si="718"/>
        <v>6520.5168000000003</v>
      </c>
      <c r="I6035" s="5" t="str">
        <f t="shared" si="719"/>
        <v>017</v>
      </c>
      <c r="J6035" s="5" t="str">
        <f t="shared" si="720"/>
        <v>2100</v>
      </c>
      <c r="K6035" s="5" t="str">
        <f t="shared" si="721"/>
        <v>000</v>
      </c>
      <c r="L6035" s="5">
        <f t="shared" si="722"/>
        <v>3</v>
      </c>
      <c r="M6035" s="5">
        <f t="shared" si="723"/>
        <v>2013</v>
      </c>
    </row>
    <row r="6036" spans="1:13" ht="15" x14ac:dyDescent="0.25">
      <c r="A6036" s="1">
        <f>DATE(2013,3,21)</f>
        <v>41354</v>
      </c>
      <c r="B6036" t="s">
        <v>16</v>
      </c>
      <c r="C6036" t="s">
        <v>8</v>
      </c>
      <c r="D6036" s="3">
        <v>659.85919999999999</v>
      </c>
      <c r="E6036" s="3">
        <v>0</v>
      </c>
      <c r="F6036" t="s">
        <v>45</v>
      </c>
      <c r="G6036" s="3">
        <f t="shared" si="717"/>
        <v>-659.85919999999999</v>
      </c>
      <c r="H6036" s="3">
        <f t="shared" si="718"/>
        <v>659.85919999999999</v>
      </c>
      <c r="I6036" s="5" t="str">
        <f t="shared" si="719"/>
        <v>017</v>
      </c>
      <c r="J6036" s="5" t="str">
        <f t="shared" si="720"/>
        <v>2210</v>
      </c>
      <c r="K6036" s="5" t="str">
        <f t="shared" si="721"/>
        <v>000</v>
      </c>
      <c r="L6036" s="5">
        <f t="shared" si="722"/>
        <v>3</v>
      </c>
      <c r="M6036" s="5">
        <f t="shared" si="723"/>
        <v>2013</v>
      </c>
    </row>
    <row r="6037" spans="1:13" ht="15" x14ac:dyDescent="0.25">
      <c r="A6037" s="1">
        <f>DATE(2013,3,21)</f>
        <v>41354</v>
      </c>
      <c r="B6037" t="s">
        <v>17</v>
      </c>
      <c r="C6037" t="s">
        <v>9</v>
      </c>
      <c r="D6037" s="3">
        <v>307.226</v>
      </c>
      <c r="E6037" s="3">
        <v>0</v>
      </c>
      <c r="F6037" t="s">
        <v>45</v>
      </c>
      <c r="G6037" s="3">
        <f t="shared" si="717"/>
        <v>-307.226</v>
      </c>
      <c r="H6037" s="3">
        <f t="shared" si="718"/>
        <v>307.226</v>
      </c>
      <c r="I6037" s="5" t="str">
        <f t="shared" si="719"/>
        <v>017</v>
      </c>
      <c r="J6037" s="5" t="str">
        <f t="shared" si="720"/>
        <v>2220</v>
      </c>
      <c r="K6037" s="5" t="str">
        <f t="shared" si="721"/>
        <v>000</v>
      </c>
      <c r="L6037" s="5">
        <f t="shared" si="722"/>
        <v>3</v>
      </c>
      <c r="M6037" s="5">
        <f t="shared" si="723"/>
        <v>2013</v>
      </c>
    </row>
    <row r="6038" spans="1:13" ht="15" x14ac:dyDescent="0.25">
      <c r="A6038" s="1">
        <f>DATE(2013,3,21)</f>
        <v>41354</v>
      </c>
      <c r="B6038" t="s">
        <v>18</v>
      </c>
      <c r="C6038" t="s">
        <v>10</v>
      </c>
      <c r="D6038" s="3">
        <v>136.1283</v>
      </c>
      <c r="E6038" s="3">
        <v>0</v>
      </c>
      <c r="F6038" t="s">
        <v>45</v>
      </c>
      <c r="G6038" s="3">
        <f t="shared" si="717"/>
        <v>-136.1283</v>
      </c>
      <c r="H6038" s="3">
        <f t="shared" si="718"/>
        <v>136.1283</v>
      </c>
      <c r="I6038" s="5" t="str">
        <f t="shared" si="719"/>
        <v>017</v>
      </c>
      <c r="J6038" s="5" t="str">
        <f t="shared" si="720"/>
        <v>2230</v>
      </c>
      <c r="K6038" s="5" t="str">
        <f t="shared" si="721"/>
        <v>000</v>
      </c>
      <c r="L6038" s="5">
        <f t="shared" si="722"/>
        <v>3</v>
      </c>
      <c r="M6038" s="5">
        <f t="shared" si="723"/>
        <v>2013</v>
      </c>
    </row>
    <row r="6039" spans="1:13" ht="15" x14ac:dyDescent="0.25">
      <c r="A6039" s="1">
        <f>DATE(2013,3,22)</f>
        <v>41355</v>
      </c>
      <c r="B6039" t="s">
        <v>15</v>
      </c>
      <c r="C6039" t="s">
        <v>6</v>
      </c>
      <c r="D6039" s="3">
        <v>9258.2291999999998</v>
      </c>
      <c r="E6039" s="3">
        <v>0</v>
      </c>
      <c r="F6039" t="s">
        <v>45</v>
      </c>
      <c r="G6039" s="3">
        <f t="shared" si="717"/>
        <v>-9258.2291999999998</v>
      </c>
      <c r="H6039" s="3">
        <f t="shared" si="718"/>
        <v>9258.2291999999998</v>
      </c>
      <c r="I6039" s="5" t="str">
        <f t="shared" si="719"/>
        <v>017</v>
      </c>
      <c r="J6039" s="5" t="str">
        <f t="shared" si="720"/>
        <v>2100</v>
      </c>
      <c r="K6039" s="5" t="str">
        <f t="shared" si="721"/>
        <v>000</v>
      </c>
      <c r="L6039" s="5">
        <f t="shared" si="722"/>
        <v>3</v>
      </c>
      <c r="M6039" s="5">
        <f t="shared" si="723"/>
        <v>2013</v>
      </c>
    </row>
    <row r="6040" spans="1:13" ht="15" x14ac:dyDescent="0.25">
      <c r="A6040" s="1">
        <f>DATE(2013,3,22)</f>
        <v>41355</v>
      </c>
      <c r="B6040" t="s">
        <v>16</v>
      </c>
      <c r="C6040" t="s">
        <v>8</v>
      </c>
      <c r="D6040" s="3">
        <v>2660.8343999999997</v>
      </c>
      <c r="E6040" s="3">
        <v>0</v>
      </c>
      <c r="F6040" t="s">
        <v>45</v>
      </c>
      <c r="G6040" s="3">
        <f t="shared" si="717"/>
        <v>-2660.8343999999997</v>
      </c>
      <c r="H6040" s="3">
        <f t="shared" si="718"/>
        <v>2660.8343999999997</v>
      </c>
      <c r="I6040" s="5" t="str">
        <f t="shared" si="719"/>
        <v>017</v>
      </c>
      <c r="J6040" s="5" t="str">
        <f t="shared" si="720"/>
        <v>2210</v>
      </c>
      <c r="K6040" s="5" t="str">
        <f t="shared" si="721"/>
        <v>000</v>
      </c>
      <c r="L6040" s="5">
        <f t="shared" si="722"/>
        <v>3</v>
      </c>
      <c r="M6040" s="5">
        <f t="shared" si="723"/>
        <v>2013</v>
      </c>
    </row>
    <row r="6041" spans="1:13" ht="15" x14ac:dyDescent="0.25">
      <c r="A6041" s="1">
        <f>DATE(2013,3,22)</f>
        <v>41355</v>
      </c>
      <c r="B6041" t="s">
        <v>17</v>
      </c>
      <c r="C6041" t="s">
        <v>9</v>
      </c>
      <c r="D6041" s="3">
        <v>349.73899999999998</v>
      </c>
      <c r="E6041" s="3">
        <v>0</v>
      </c>
      <c r="F6041" t="s">
        <v>45</v>
      </c>
      <c r="G6041" s="3">
        <f t="shared" si="717"/>
        <v>-349.73899999999998</v>
      </c>
      <c r="H6041" s="3">
        <f t="shared" si="718"/>
        <v>349.73899999999998</v>
      </c>
      <c r="I6041" s="5" t="str">
        <f t="shared" si="719"/>
        <v>017</v>
      </c>
      <c r="J6041" s="5" t="str">
        <f t="shared" si="720"/>
        <v>2220</v>
      </c>
      <c r="K6041" s="5" t="str">
        <f t="shared" si="721"/>
        <v>000</v>
      </c>
      <c r="L6041" s="5">
        <f t="shared" si="722"/>
        <v>3</v>
      </c>
      <c r="M6041" s="5">
        <f t="shared" si="723"/>
        <v>2013</v>
      </c>
    </row>
    <row r="6042" spans="1:13" ht="15" x14ac:dyDescent="0.25">
      <c r="A6042" s="1">
        <f>DATE(2013,3,22)</f>
        <v>41355</v>
      </c>
      <c r="B6042" t="s">
        <v>18</v>
      </c>
      <c r="C6042" t="s">
        <v>10</v>
      </c>
      <c r="D6042" s="3">
        <v>150.74499999999998</v>
      </c>
      <c r="E6042" s="3">
        <v>0</v>
      </c>
      <c r="F6042" t="s">
        <v>45</v>
      </c>
      <c r="G6042" s="3">
        <f t="shared" si="717"/>
        <v>-150.74499999999998</v>
      </c>
      <c r="H6042" s="3">
        <f t="shared" si="718"/>
        <v>150.74499999999998</v>
      </c>
      <c r="I6042" s="5" t="str">
        <f t="shared" si="719"/>
        <v>017</v>
      </c>
      <c r="J6042" s="5" t="str">
        <f t="shared" si="720"/>
        <v>2230</v>
      </c>
      <c r="K6042" s="5" t="str">
        <f t="shared" si="721"/>
        <v>000</v>
      </c>
      <c r="L6042" s="5">
        <f t="shared" si="722"/>
        <v>3</v>
      </c>
      <c r="M6042" s="5">
        <f t="shared" si="723"/>
        <v>2013</v>
      </c>
    </row>
    <row r="6043" spans="1:13" ht="15" x14ac:dyDescent="0.25">
      <c r="A6043" s="1">
        <f>DATE(2013,3,23)</f>
        <v>41356</v>
      </c>
      <c r="B6043" t="s">
        <v>15</v>
      </c>
      <c r="C6043" t="s">
        <v>6</v>
      </c>
      <c r="D6043" s="3">
        <v>9624.7380999999987</v>
      </c>
      <c r="E6043" s="3">
        <v>0</v>
      </c>
      <c r="F6043" t="s">
        <v>45</v>
      </c>
      <c r="G6043" s="3">
        <f t="shared" si="717"/>
        <v>-9624.7380999999987</v>
      </c>
      <c r="H6043" s="3">
        <f t="shared" si="718"/>
        <v>9624.7380999999987</v>
      </c>
      <c r="I6043" s="5" t="str">
        <f t="shared" si="719"/>
        <v>017</v>
      </c>
      <c r="J6043" s="5" t="str">
        <f t="shared" si="720"/>
        <v>2100</v>
      </c>
      <c r="K6043" s="5" t="str">
        <f t="shared" si="721"/>
        <v>000</v>
      </c>
      <c r="L6043" s="5">
        <f t="shared" si="722"/>
        <v>3</v>
      </c>
      <c r="M6043" s="5">
        <f t="shared" si="723"/>
        <v>2013</v>
      </c>
    </row>
    <row r="6044" spans="1:13" ht="15" x14ac:dyDescent="0.25">
      <c r="A6044" s="1">
        <f>DATE(2013,3,23)</f>
        <v>41356</v>
      </c>
      <c r="B6044" t="s">
        <v>16</v>
      </c>
      <c r="C6044" t="s">
        <v>8</v>
      </c>
      <c r="D6044" s="3">
        <v>2178.8108999999999</v>
      </c>
      <c r="E6044" s="3">
        <v>0</v>
      </c>
      <c r="F6044" t="s">
        <v>45</v>
      </c>
      <c r="G6044" s="3">
        <f t="shared" si="717"/>
        <v>-2178.8108999999999</v>
      </c>
      <c r="H6044" s="3">
        <f t="shared" si="718"/>
        <v>2178.8108999999999</v>
      </c>
      <c r="I6044" s="5" t="str">
        <f t="shared" si="719"/>
        <v>017</v>
      </c>
      <c r="J6044" s="5" t="str">
        <f t="shared" si="720"/>
        <v>2210</v>
      </c>
      <c r="K6044" s="5" t="str">
        <f t="shared" si="721"/>
        <v>000</v>
      </c>
      <c r="L6044" s="5">
        <f t="shared" si="722"/>
        <v>3</v>
      </c>
      <c r="M6044" s="5">
        <f t="shared" si="723"/>
        <v>2013</v>
      </c>
    </row>
    <row r="6045" spans="1:13" ht="15" x14ac:dyDescent="0.25">
      <c r="A6045" s="1">
        <f>DATE(2013,3,23)</f>
        <v>41356</v>
      </c>
      <c r="B6045" t="s">
        <v>17</v>
      </c>
      <c r="C6045" t="s">
        <v>9</v>
      </c>
      <c r="D6045" s="3">
        <v>546.90499999999997</v>
      </c>
      <c r="E6045" s="3">
        <v>0</v>
      </c>
      <c r="F6045" t="s">
        <v>45</v>
      </c>
      <c r="G6045" s="3">
        <f t="shared" si="717"/>
        <v>-546.90499999999997</v>
      </c>
      <c r="H6045" s="3">
        <f t="shared" si="718"/>
        <v>546.90499999999997</v>
      </c>
      <c r="I6045" s="5" t="str">
        <f t="shared" si="719"/>
        <v>017</v>
      </c>
      <c r="J6045" s="5" t="str">
        <f t="shared" si="720"/>
        <v>2220</v>
      </c>
      <c r="K6045" s="5" t="str">
        <f t="shared" si="721"/>
        <v>000</v>
      </c>
      <c r="L6045" s="5">
        <f t="shared" si="722"/>
        <v>3</v>
      </c>
      <c r="M6045" s="5">
        <f t="shared" si="723"/>
        <v>2013</v>
      </c>
    </row>
    <row r="6046" spans="1:13" ht="15" x14ac:dyDescent="0.25">
      <c r="A6046" s="1">
        <f>DATE(2013,3,23)</f>
        <v>41356</v>
      </c>
      <c r="B6046" t="s">
        <v>18</v>
      </c>
      <c r="C6046" t="s">
        <v>10</v>
      </c>
      <c r="D6046" s="3">
        <v>89.923200000000008</v>
      </c>
      <c r="E6046" s="3">
        <v>0</v>
      </c>
      <c r="F6046" t="s">
        <v>45</v>
      </c>
      <c r="G6046" s="3">
        <f t="shared" si="717"/>
        <v>-89.923200000000008</v>
      </c>
      <c r="H6046" s="3">
        <f t="shared" si="718"/>
        <v>89.923200000000008</v>
      </c>
      <c r="I6046" s="5" t="str">
        <f t="shared" si="719"/>
        <v>017</v>
      </c>
      <c r="J6046" s="5" t="str">
        <f t="shared" si="720"/>
        <v>2230</v>
      </c>
      <c r="K6046" s="5" t="str">
        <f t="shared" si="721"/>
        <v>000</v>
      </c>
      <c r="L6046" s="5">
        <f t="shared" si="722"/>
        <v>3</v>
      </c>
      <c r="M6046" s="5">
        <f t="shared" si="723"/>
        <v>2013</v>
      </c>
    </row>
    <row r="6047" spans="1:13" ht="15" x14ac:dyDescent="0.25">
      <c r="A6047" s="1">
        <f>DATE(2013,3,24)</f>
        <v>41357</v>
      </c>
      <c r="B6047" t="s">
        <v>15</v>
      </c>
      <c r="C6047" t="s">
        <v>6</v>
      </c>
      <c r="D6047" s="3">
        <v>3866.1349999999998</v>
      </c>
      <c r="E6047" s="3">
        <v>0</v>
      </c>
      <c r="F6047" t="s">
        <v>45</v>
      </c>
      <c r="G6047" s="3">
        <f t="shared" si="717"/>
        <v>-3866.1349999999998</v>
      </c>
      <c r="H6047" s="3">
        <f t="shared" si="718"/>
        <v>3866.1349999999998</v>
      </c>
      <c r="I6047" s="5" t="str">
        <f t="shared" si="719"/>
        <v>017</v>
      </c>
      <c r="J6047" s="5" t="str">
        <f t="shared" si="720"/>
        <v>2100</v>
      </c>
      <c r="K6047" s="5" t="str">
        <f t="shared" si="721"/>
        <v>000</v>
      </c>
      <c r="L6047" s="5">
        <f t="shared" si="722"/>
        <v>3</v>
      </c>
      <c r="M6047" s="5">
        <f t="shared" si="723"/>
        <v>2013</v>
      </c>
    </row>
    <row r="6048" spans="1:13" ht="15" x14ac:dyDescent="0.25">
      <c r="A6048" s="1">
        <f>DATE(2013,3,24)</f>
        <v>41357</v>
      </c>
      <c r="B6048" t="s">
        <v>16</v>
      </c>
      <c r="C6048" t="s">
        <v>8</v>
      </c>
      <c r="D6048" s="3">
        <v>916.3152</v>
      </c>
      <c r="E6048" s="3">
        <v>0</v>
      </c>
      <c r="F6048" t="s">
        <v>45</v>
      </c>
      <c r="G6048" s="3">
        <f t="shared" si="717"/>
        <v>-916.3152</v>
      </c>
      <c r="H6048" s="3">
        <f t="shared" si="718"/>
        <v>916.3152</v>
      </c>
      <c r="I6048" s="5" t="str">
        <f t="shared" si="719"/>
        <v>017</v>
      </c>
      <c r="J6048" s="5" t="str">
        <f t="shared" si="720"/>
        <v>2210</v>
      </c>
      <c r="K6048" s="5" t="str">
        <f t="shared" si="721"/>
        <v>000</v>
      </c>
      <c r="L6048" s="5">
        <f t="shared" si="722"/>
        <v>3</v>
      </c>
      <c r="M6048" s="5">
        <f t="shared" si="723"/>
        <v>2013</v>
      </c>
    </row>
    <row r="6049" spans="1:13" ht="15" x14ac:dyDescent="0.25">
      <c r="A6049" s="1">
        <f>DATE(2013,3,24)</f>
        <v>41357</v>
      </c>
      <c r="B6049" t="s">
        <v>17</v>
      </c>
      <c r="C6049" t="s">
        <v>9</v>
      </c>
      <c r="D6049" s="3">
        <v>143.82049999999998</v>
      </c>
      <c r="E6049" s="3">
        <v>0</v>
      </c>
      <c r="F6049" t="s">
        <v>45</v>
      </c>
      <c r="G6049" s="3">
        <f t="shared" si="717"/>
        <v>-143.82049999999998</v>
      </c>
      <c r="H6049" s="3">
        <f t="shared" si="718"/>
        <v>143.82049999999998</v>
      </c>
      <c r="I6049" s="5" t="str">
        <f t="shared" si="719"/>
        <v>017</v>
      </c>
      <c r="J6049" s="5" t="str">
        <f t="shared" si="720"/>
        <v>2220</v>
      </c>
      <c r="K6049" s="5" t="str">
        <f t="shared" si="721"/>
        <v>000</v>
      </c>
      <c r="L6049" s="5">
        <f t="shared" si="722"/>
        <v>3</v>
      </c>
      <c r="M6049" s="5">
        <f t="shared" si="723"/>
        <v>2013</v>
      </c>
    </row>
    <row r="6050" spans="1:13" ht="15" x14ac:dyDescent="0.25">
      <c r="A6050" s="1">
        <f>DATE(2013,3,24)</f>
        <v>41357</v>
      </c>
      <c r="B6050" t="s">
        <v>18</v>
      </c>
      <c r="C6050" t="s">
        <v>10</v>
      </c>
      <c r="D6050" s="3">
        <v>14.591399999999998</v>
      </c>
      <c r="E6050" s="3">
        <v>0</v>
      </c>
      <c r="F6050" t="s">
        <v>45</v>
      </c>
      <c r="G6050" s="3">
        <f t="shared" si="717"/>
        <v>-14.591399999999998</v>
      </c>
      <c r="H6050" s="3">
        <f t="shared" si="718"/>
        <v>14.591399999999998</v>
      </c>
      <c r="I6050" s="5" t="str">
        <f t="shared" si="719"/>
        <v>017</v>
      </c>
      <c r="J6050" s="5" t="str">
        <f t="shared" si="720"/>
        <v>2230</v>
      </c>
      <c r="K6050" s="5" t="str">
        <f t="shared" si="721"/>
        <v>000</v>
      </c>
      <c r="L6050" s="5">
        <f t="shared" si="722"/>
        <v>3</v>
      </c>
      <c r="M6050" s="5">
        <f t="shared" si="723"/>
        <v>2013</v>
      </c>
    </row>
    <row r="6051" spans="1:13" ht="15" x14ac:dyDescent="0.25">
      <c r="A6051" s="1">
        <f>DATE(2013,3,18)</f>
        <v>41351</v>
      </c>
      <c r="B6051" t="s">
        <v>19</v>
      </c>
      <c r="C6051" t="s">
        <v>6</v>
      </c>
      <c r="D6051" s="3">
        <v>2456.9423999999999</v>
      </c>
      <c r="E6051" s="3">
        <v>0</v>
      </c>
      <c r="F6051" t="s">
        <v>45</v>
      </c>
      <c r="G6051" s="3">
        <f t="shared" si="717"/>
        <v>-2456.9423999999999</v>
      </c>
      <c r="H6051" s="3">
        <f t="shared" si="718"/>
        <v>2456.9423999999999</v>
      </c>
      <c r="I6051" s="5" t="str">
        <f t="shared" si="719"/>
        <v>018</v>
      </c>
      <c r="J6051" s="5" t="str">
        <f t="shared" si="720"/>
        <v>2100</v>
      </c>
      <c r="K6051" s="5" t="str">
        <f t="shared" si="721"/>
        <v>000</v>
      </c>
      <c r="L6051" s="5">
        <f t="shared" si="722"/>
        <v>3</v>
      </c>
      <c r="M6051" s="5">
        <f t="shared" si="723"/>
        <v>2013</v>
      </c>
    </row>
    <row r="6052" spans="1:13" ht="15" x14ac:dyDescent="0.25">
      <c r="A6052" s="1">
        <f>DATE(2013,3,18)</f>
        <v>41351</v>
      </c>
      <c r="B6052" t="s">
        <v>20</v>
      </c>
      <c r="C6052" t="s">
        <v>8</v>
      </c>
      <c r="D6052" s="3">
        <v>307.59960000000001</v>
      </c>
      <c r="E6052" s="3">
        <v>0</v>
      </c>
      <c r="F6052" t="s">
        <v>45</v>
      </c>
      <c r="G6052" s="3">
        <f t="shared" si="717"/>
        <v>-307.59960000000001</v>
      </c>
      <c r="H6052" s="3">
        <f t="shared" si="718"/>
        <v>307.59960000000001</v>
      </c>
      <c r="I6052" s="5" t="str">
        <f t="shared" si="719"/>
        <v>018</v>
      </c>
      <c r="J6052" s="5" t="str">
        <f t="shared" si="720"/>
        <v>2210</v>
      </c>
      <c r="K6052" s="5" t="str">
        <f t="shared" si="721"/>
        <v>000</v>
      </c>
      <c r="L6052" s="5">
        <f t="shared" si="722"/>
        <v>3</v>
      </c>
      <c r="M6052" s="5">
        <f t="shared" si="723"/>
        <v>2013</v>
      </c>
    </row>
    <row r="6053" spans="1:13" ht="15" x14ac:dyDescent="0.25">
      <c r="A6053" s="1">
        <f>DATE(2013,3,18)</f>
        <v>41351</v>
      </c>
      <c r="B6053" t="s">
        <v>21</v>
      </c>
      <c r="C6053" t="s">
        <v>9</v>
      </c>
      <c r="D6053" s="3">
        <v>85.600799999999992</v>
      </c>
      <c r="E6053" s="3">
        <v>0</v>
      </c>
      <c r="F6053" t="s">
        <v>45</v>
      </c>
      <c r="G6053" s="3">
        <f t="shared" si="717"/>
        <v>-85.600799999999992</v>
      </c>
      <c r="H6053" s="3">
        <f t="shared" si="718"/>
        <v>85.600799999999992</v>
      </c>
      <c r="I6053" s="5" t="str">
        <f t="shared" si="719"/>
        <v>018</v>
      </c>
      <c r="J6053" s="5" t="str">
        <f t="shared" si="720"/>
        <v>2220</v>
      </c>
      <c r="K6053" s="5" t="str">
        <f t="shared" si="721"/>
        <v>000</v>
      </c>
      <c r="L6053" s="5">
        <f t="shared" si="722"/>
        <v>3</v>
      </c>
      <c r="M6053" s="5">
        <f t="shared" si="723"/>
        <v>2013</v>
      </c>
    </row>
    <row r="6054" spans="1:13" ht="15" x14ac:dyDescent="0.25">
      <c r="A6054" s="1">
        <f>DATE(2013,3,18)</f>
        <v>41351</v>
      </c>
      <c r="B6054" t="s">
        <v>22</v>
      </c>
      <c r="C6054" t="s">
        <v>10</v>
      </c>
      <c r="D6054" s="3">
        <v>47.792000000000002</v>
      </c>
      <c r="E6054" s="3">
        <v>0</v>
      </c>
      <c r="F6054" t="s">
        <v>45</v>
      </c>
      <c r="G6054" s="3">
        <f t="shared" si="717"/>
        <v>-47.792000000000002</v>
      </c>
      <c r="H6054" s="3">
        <f t="shared" si="718"/>
        <v>47.792000000000002</v>
      </c>
      <c r="I6054" s="5" t="str">
        <f t="shared" si="719"/>
        <v>018</v>
      </c>
      <c r="J6054" s="5" t="str">
        <f t="shared" si="720"/>
        <v>2230</v>
      </c>
      <c r="K6054" s="5" t="str">
        <f t="shared" si="721"/>
        <v>000</v>
      </c>
      <c r="L6054" s="5">
        <f t="shared" si="722"/>
        <v>3</v>
      </c>
      <c r="M6054" s="5">
        <f t="shared" si="723"/>
        <v>2013</v>
      </c>
    </row>
    <row r="6055" spans="1:13" ht="15" x14ac:dyDescent="0.25">
      <c r="A6055" s="1">
        <f>DATE(2013,3,19)</f>
        <v>41352</v>
      </c>
      <c r="B6055" t="s">
        <v>19</v>
      </c>
      <c r="C6055" t="s">
        <v>6</v>
      </c>
      <c r="D6055" s="3">
        <v>3071.6824999999999</v>
      </c>
      <c r="E6055" s="3">
        <v>0</v>
      </c>
      <c r="F6055" t="s">
        <v>45</v>
      </c>
      <c r="G6055" s="3">
        <f t="shared" si="717"/>
        <v>-3071.6824999999999</v>
      </c>
      <c r="H6055" s="3">
        <f t="shared" si="718"/>
        <v>3071.6824999999999</v>
      </c>
      <c r="I6055" s="5" t="str">
        <f t="shared" si="719"/>
        <v>018</v>
      </c>
      <c r="J6055" s="5" t="str">
        <f t="shared" si="720"/>
        <v>2100</v>
      </c>
      <c r="K6055" s="5" t="str">
        <f t="shared" si="721"/>
        <v>000</v>
      </c>
      <c r="L6055" s="5">
        <f t="shared" si="722"/>
        <v>3</v>
      </c>
      <c r="M6055" s="5">
        <f t="shared" si="723"/>
        <v>2013</v>
      </c>
    </row>
    <row r="6056" spans="1:13" ht="15" x14ac:dyDescent="0.25">
      <c r="A6056" s="1">
        <f>DATE(2013,3,19)</f>
        <v>41352</v>
      </c>
      <c r="B6056" t="s">
        <v>20</v>
      </c>
      <c r="C6056" t="s">
        <v>8</v>
      </c>
      <c r="D6056" s="3">
        <v>257.08139999999997</v>
      </c>
      <c r="E6056" s="3">
        <v>0</v>
      </c>
      <c r="F6056" t="s">
        <v>45</v>
      </c>
      <c r="G6056" s="3">
        <f t="shared" si="717"/>
        <v>-257.08139999999997</v>
      </c>
      <c r="H6056" s="3">
        <f t="shared" si="718"/>
        <v>257.08139999999997</v>
      </c>
      <c r="I6056" s="5" t="str">
        <f t="shared" si="719"/>
        <v>018</v>
      </c>
      <c r="J6056" s="5" t="str">
        <f t="shared" si="720"/>
        <v>2210</v>
      </c>
      <c r="K6056" s="5" t="str">
        <f t="shared" si="721"/>
        <v>000</v>
      </c>
      <c r="L6056" s="5">
        <f t="shared" si="722"/>
        <v>3</v>
      </c>
      <c r="M6056" s="5">
        <f t="shared" si="723"/>
        <v>2013</v>
      </c>
    </row>
    <row r="6057" spans="1:13" ht="15" x14ac:dyDescent="0.25">
      <c r="A6057" s="1">
        <f>DATE(2013,3,19)</f>
        <v>41352</v>
      </c>
      <c r="B6057" t="s">
        <v>21</v>
      </c>
      <c r="C6057" t="s">
        <v>9</v>
      </c>
      <c r="D6057" s="3">
        <v>98.852699999999999</v>
      </c>
      <c r="E6057" s="3">
        <v>0</v>
      </c>
      <c r="F6057" t="s">
        <v>45</v>
      </c>
      <c r="G6057" s="3">
        <f t="shared" si="717"/>
        <v>-98.852699999999999</v>
      </c>
      <c r="H6057" s="3">
        <f t="shared" si="718"/>
        <v>98.852699999999999</v>
      </c>
      <c r="I6057" s="5" t="str">
        <f t="shared" si="719"/>
        <v>018</v>
      </c>
      <c r="J6057" s="5" t="str">
        <f t="shared" si="720"/>
        <v>2220</v>
      </c>
      <c r="K6057" s="5" t="str">
        <f t="shared" si="721"/>
        <v>000</v>
      </c>
      <c r="L6057" s="5">
        <f t="shared" si="722"/>
        <v>3</v>
      </c>
      <c r="M6057" s="5">
        <f t="shared" si="723"/>
        <v>2013</v>
      </c>
    </row>
    <row r="6058" spans="1:13" ht="15" x14ac:dyDescent="0.25">
      <c r="A6058" s="1">
        <f>DATE(2013,3,19)</f>
        <v>41352</v>
      </c>
      <c r="B6058" t="s">
        <v>22</v>
      </c>
      <c r="C6058" t="s">
        <v>10</v>
      </c>
      <c r="D6058" s="3">
        <v>28.775600000000001</v>
      </c>
      <c r="E6058" s="3">
        <v>0</v>
      </c>
      <c r="F6058" t="s">
        <v>45</v>
      </c>
      <c r="G6058" s="3">
        <f t="shared" si="717"/>
        <v>-28.775600000000001</v>
      </c>
      <c r="H6058" s="3">
        <f t="shared" si="718"/>
        <v>28.775600000000001</v>
      </c>
      <c r="I6058" s="5" t="str">
        <f t="shared" si="719"/>
        <v>018</v>
      </c>
      <c r="J6058" s="5" t="str">
        <f t="shared" si="720"/>
        <v>2230</v>
      </c>
      <c r="K6058" s="5" t="str">
        <f t="shared" si="721"/>
        <v>000</v>
      </c>
      <c r="L6058" s="5">
        <f t="shared" si="722"/>
        <v>3</v>
      </c>
      <c r="M6058" s="5">
        <f t="shared" si="723"/>
        <v>2013</v>
      </c>
    </row>
    <row r="6059" spans="1:13" ht="15" x14ac:dyDescent="0.25">
      <c r="A6059" s="1">
        <f>DATE(2013,3,20)</f>
        <v>41353</v>
      </c>
      <c r="B6059" t="s">
        <v>19</v>
      </c>
      <c r="C6059" t="s">
        <v>6</v>
      </c>
      <c r="D6059" s="3">
        <v>2916.924</v>
      </c>
      <c r="E6059" s="3">
        <v>0</v>
      </c>
      <c r="F6059" t="s">
        <v>45</v>
      </c>
      <c r="G6059" s="3">
        <f t="shared" si="717"/>
        <v>-2916.924</v>
      </c>
      <c r="H6059" s="3">
        <f t="shared" si="718"/>
        <v>2916.924</v>
      </c>
      <c r="I6059" s="5" t="str">
        <f t="shared" si="719"/>
        <v>018</v>
      </c>
      <c r="J6059" s="5" t="str">
        <f t="shared" si="720"/>
        <v>2100</v>
      </c>
      <c r="K6059" s="5" t="str">
        <f t="shared" si="721"/>
        <v>000</v>
      </c>
      <c r="L6059" s="5">
        <f t="shared" si="722"/>
        <v>3</v>
      </c>
      <c r="M6059" s="5">
        <f t="shared" si="723"/>
        <v>2013</v>
      </c>
    </row>
    <row r="6060" spans="1:13" ht="15" x14ac:dyDescent="0.25">
      <c r="A6060" s="1">
        <f>DATE(2013,3,20)</f>
        <v>41353</v>
      </c>
      <c r="B6060" t="s">
        <v>20</v>
      </c>
      <c r="C6060" t="s">
        <v>8</v>
      </c>
      <c r="D6060" s="3">
        <v>454.81120000000004</v>
      </c>
      <c r="E6060" s="3">
        <v>0</v>
      </c>
      <c r="F6060" t="s">
        <v>45</v>
      </c>
      <c r="G6060" s="3">
        <f t="shared" si="717"/>
        <v>-454.81120000000004</v>
      </c>
      <c r="H6060" s="3">
        <f t="shared" si="718"/>
        <v>454.81120000000004</v>
      </c>
      <c r="I6060" s="5" t="str">
        <f t="shared" si="719"/>
        <v>018</v>
      </c>
      <c r="J6060" s="5" t="str">
        <f t="shared" si="720"/>
        <v>2210</v>
      </c>
      <c r="K6060" s="5" t="str">
        <f t="shared" si="721"/>
        <v>000</v>
      </c>
      <c r="L6060" s="5">
        <f t="shared" si="722"/>
        <v>3</v>
      </c>
      <c r="M6060" s="5">
        <f t="shared" si="723"/>
        <v>2013</v>
      </c>
    </row>
    <row r="6061" spans="1:13" ht="15" x14ac:dyDescent="0.25">
      <c r="A6061" s="1">
        <f>DATE(2013,3,20)</f>
        <v>41353</v>
      </c>
      <c r="B6061" t="s">
        <v>21</v>
      </c>
      <c r="C6061" t="s">
        <v>9</v>
      </c>
      <c r="D6061" s="3">
        <v>186.06099999999998</v>
      </c>
      <c r="E6061" s="3">
        <v>0</v>
      </c>
      <c r="F6061" t="s">
        <v>45</v>
      </c>
      <c r="G6061" s="3">
        <f t="shared" si="717"/>
        <v>-186.06099999999998</v>
      </c>
      <c r="H6061" s="3">
        <f t="shared" si="718"/>
        <v>186.06099999999998</v>
      </c>
      <c r="I6061" s="5" t="str">
        <f t="shared" si="719"/>
        <v>018</v>
      </c>
      <c r="J6061" s="5" t="str">
        <f t="shared" si="720"/>
        <v>2220</v>
      </c>
      <c r="K6061" s="5" t="str">
        <f t="shared" si="721"/>
        <v>000</v>
      </c>
      <c r="L6061" s="5">
        <f t="shared" si="722"/>
        <v>3</v>
      </c>
      <c r="M6061" s="5">
        <f t="shared" si="723"/>
        <v>2013</v>
      </c>
    </row>
    <row r="6062" spans="1:13" ht="15" x14ac:dyDescent="0.25">
      <c r="A6062" s="1">
        <f>DATE(2013,3,20)</f>
        <v>41353</v>
      </c>
      <c r="B6062" t="s">
        <v>22</v>
      </c>
      <c r="C6062" t="s">
        <v>10</v>
      </c>
      <c r="D6062" s="3">
        <v>25.855199999999996</v>
      </c>
      <c r="E6062" s="3">
        <v>0</v>
      </c>
      <c r="F6062" t="s">
        <v>45</v>
      </c>
      <c r="G6062" s="3">
        <f t="shared" si="717"/>
        <v>-25.855199999999996</v>
      </c>
      <c r="H6062" s="3">
        <f t="shared" si="718"/>
        <v>25.855199999999996</v>
      </c>
      <c r="I6062" s="5" t="str">
        <f t="shared" si="719"/>
        <v>018</v>
      </c>
      <c r="J6062" s="5" t="str">
        <f t="shared" si="720"/>
        <v>2230</v>
      </c>
      <c r="K6062" s="5" t="str">
        <f t="shared" si="721"/>
        <v>000</v>
      </c>
      <c r="L6062" s="5">
        <f t="shared" si="722"/>
        <v>3</v>
      </c>
      <c r="M6062" s="5">
        <f t="shared" si="723"/>
        <v>2013</v>
      </c>
    </row>
    <row r="6063" spans="1:13" ht="15" x14ac:dyDescent="0.25">
      <c r="A6063" s="1">
        <f>DATE(2013,3,21)</f>
        <v>41354</v>
      </c>
      <c r="B6063" t="s">
        <v>19</v>
      </c>
      <c r="C6063" t="s">
        <v>6</v>
      </c>
      <c r="D6063" s="3">
        <v>3661.8316999999997</v>
      </c>
      <c r="E6063" s="3">
        <v>0</v>
      </c>
      <c r="F6063" t="s">
        <v>45</v>
      </c>
      <c r="G6063" s="3">
        <f t="shared" si="717"/>
        <v>-3661.8316999999997</v>
      </c>
      <c r="H6063" s="3">
        <f t="shared" si="718"/>
        <v>3661.8316999999997</v>
      </c>
      <c r="I6063" s="5" t="str">
        <f t="shared" si="719"/>
        <v>018</v>
      </c>
      <c r="J6063" s="5" t="str">
        <f t="shared" si="720"/>
        <v>2100</v>
      </c>
      <c r="K6063" s="5" t="str">
        <f t="shared" si="721"/>
        <v>000</v>
      </c>
      <c r="L6063" s="5">
        <f t="shared" si="722"/>
        <v>3</v>
      </c>
      <c r="M6063" s="5">
        <f t="shared" si="723"/>
        <v>2013</v>
      </c>
    </row>
    <row r="6064" spans="1:13" ht="15" x14ac:dyDescent="0.25">
      <c r="A6064" s="1">
        <f>DATE(2013,3,21)</f>
        <v>41354</v>
      </c>
      <c r="B6064" t="s">
        <v>20</v>
      </c>
      <c r="C6064" t="s">
        <v>8</v>
      </c>
      <c r="D6064" s="3">
        <v>353.09000000000003</v>
      </c>
      <c r="E6064" s="3">
        <v>0</v>
      </c>
      <c r="F6064" t="s">
        <v>45</v>
      </c>
      <c r="G6064" s="3">
        <f t="shared" si="717"/>
        <v>-353.09000000000003</v>
      </c>
      <c r="H6064" s="3">
        <f t="shared" si="718"/>
        <v>353.09000000000003</v>
      </c>
      <c r="I6064" s="5" t="str">
        <f t="shared" si="719"/>
        <v>018</v>
      </c>
      <c r="J6064" s="5" t="str">
        <f t="shared" si="720"/>
        <v>2210</v>
      </c>
      <c r="K6064" s="5" t="str">
        <f t="shared" si="721"/>
        <v>000</v>
      </c>
      <c r="L6064" s="5">
        <f t="shared" si="722"/>
        <v>3</v>
      </c>
      <c r="M6064" s="5">
        <f t="shared" si="723"/>
        <v>2013</v>
      </c>
    </row>
    <row r="6065" spans="1:13" ht="15" x14ac:dyDescent="0.25">
      <c r="A6065" s="1">
        <f>DATE(2013,3,21)</f>
        <v>41354</v>
      </c>
      <c r="B6065" t="s">
        <v>21</v>
      </c>
      <c r="C6065" t="s">
        <v>9</v>
      </c>
      <c r="D6065" s="3">
        <v>159.63480000000001</v>
      </c>
      <c r="E6065" s="3">
        <v>0</v>
      </c>
      <c r="F6065" t="s">
        <v>45</v>
      </c>
      <c r="G6065" s="3">
        <f t="shared" si="717"/>
        <v>-159.63480000000001</v>
      </c>
      <c r="H6065" s="3">
        <f t="shared" si="718"/>
        <v>159.63480000000001</v>
      </c>
      <c r="I6065" s="5" t="str">
        <f t="shared" si="719"/>
        <v>018</v>
      </c>
      <c r="J6065" s="5" t="str">
        <f t="shared" si="720"/>
        <v>2220</v>
      </c>
      <c r="K6065" s="5" t="str">
        <f t="shared" si="721"/>
        <v>000</v>
      </c>
      <c r="L6065" s="5">
        <f t="shared" si="722"/>
        <v>3</v>
      </c>
      <c r="M6065" s="5">
        <f t="shared" si="723"/>
        <v>2013</v>
      </c>
    </row>
    <row r="6066" spans="1:13" ht="15" x14ac:dyDescent="0.25">
      <c r="A6066" s="1">
        <f>DATE(2013,3,21)</f>
        <v>41354</v>
      </c>
      <c r="B6066" t="s">
        <v>22</v>
      </c>
      <c r="C6066" t="s">
        <v>10</v>
      </c>
      <c r="D6066" s="3">
        <v>10.3818</v>
      </c>
      <c r="E6066" s="3">
        <v>0</v>
      </c>
      <c r="F6066" t="s">
        <v>45</v>
      </c>
      <c r="G6066" s="3">
        <f t="shared" si="717"/>
        <v>-10.3818</v>
      </c>
      <c r="H6066" s="3">
        <f t="shared" si="718"/>
        <v>10.3818</v>
      </c>
      <c r="I6066" s="5" t="str">
        <f t="shared" si="719"/>
        <v>018</v>
      </c>
      <c r="J6066" s="5" t="str">
        <f t="shared" si="720"/>
        <v>2230</v>
      </c>
      <c r="K6066" s="5" t="str">
        <f t="shared" si="721"/>
        <v>000</v>
      </c>
      <c r="L6066" s="5">
        <f t="shared" si="722"/>
        <v>3</v>
      </c>
      <c r="M6066" s="5">
        <f t="shared" si="723"/>
        <v>2013</v>
      </c>
    </row>
    <row r="6067" spans="1:13" ht="15" x14ac:dyDescent="0.25">
      <c r="A6067" s="1">
        <f>DATE(2013,3,22)</f>
        <v>41355</v>
      </c>
      <c r="B6067" t="s">
        <v>19</v>
      </c>
      <c r="C6067" t="s">
        <v>6</v>
      </c>
      <c r="D6067" s="3">
        <v>9582.7577999999994</v>
      </c>
      <c r="E6067" s="3">
        <v>0</v>
      </c>
      <c r="F6067" t="s">
        <v>45</v>
      </c>
      <c r="G6067" s="3">
        <f t="shared" si="717"/>
        <v>-9582.7577999999994</v>
      </c>
      <c r="H6067" s="3">
        <f t="shared" si="718"/>
        <v>9582.7577999999994</v>
      </c>
      <c r="I6067" s="5" t="str">
        <f t="shared" si="719"/>
        <v>018</v>
      </c>
      <c r="J6067" s="5" t="str">
        <f t="shared" si="720"/>
        <v>2100</v>
      </c>
      <c r="K6067" s="5" t="str">
        <f t="shared" si="721"/>
        <v>000</v>
      </c>
      <c r="L6067" s="5">
        <f t="shared" si="722"/>
        <v>3</v>
      </c>
      <c r="M6067" s="5">
        <f t="shared" si="723"/>
        <v>2013</v>
      </c>
    </row>
    <row r="6068" spans="1:13" ht="15" x14ac:dyDescent="0.25">
      <c r="A6068" s="1">
        <f>DATE(2013,3,22)</f>
        <v>41355</v>
      </c>
      <c r="B6068" t="s">
        <v>20</v>
      </c>
      <c r="C6068" t="s">
        <v>8</v>
      </c>
      <c r="D6068" s="3">
        <v>2335.2648000000004</v>
      </c>
      <c r="E6068" s="3">
        <v>0</v>
      </c>
      <c r="F6068" t="s">
        <v>45</v>
      </c>
      <c r="G6068" s="3">
        <f t="shared" si="717"/>
        <v>-2335.2648000000004</v>
      </c>
      <c r="H6068" s="3">
        <f t="shared" si="718"/>
        <v>2335.2648000000004</v>
      </c>
      <c r="I6068" s="5" t="str">
        <f t="shared" si="719"/>
        <v>018</v>
      </c>
      <c r="J6068" s="5" t="str">
        <f t="shared" si="720"/>
        <v>2210</v>
      </c>
      <c r="K6068" s="5" t="str">
        <f t="shared" si="721"/>
        <v>000</v>
      </c>
      <c r="L6068" s="5">
        <f t="shared" si="722"/>
        <v>3</v>
      </c>
      <c r="M6068" s="5">
        <f t="shared" si="723"/>
        <v>2013</v>
      </c>
    </row>
    <row r="6069" spans="1:13" ht="15" x14ac:dyDescent="0.25">
      <c r="A6069" s="1">
        <f>DATE(2013,3,22)</f>
        <v>41355</v>
      </c>
      <c r="B6069" t="s">
        <v>21</v>
      </c>
      <c r="C6069" t="s">
        <v>9</v>
      </c>
      <c r="D6069" s="3">
        <v>597.35360000000003</v>
      </c>
      <c r="E6069" s="3">
        <v>0</v>
      </c>
      <c r="F6069" t="s">
        <v>45</v>
      </c>
      <c r="G6069" s="3">
        <f t="shared" si="717"/>
        <v>-597.35360000000003</v>
      </c>
      <c r="H6069" s="3">
        <f t="shared" si="718"/>
        <v>597.35360000000003</v>
      </c>
      <c r="I6069" s="5" t="str">
        <f t="shared" si="719"/>
        <v>018</v>
      </c>
      <c r="J6069" s="5" t="str">
        <f t="shared" si="720"/>
        <v>2220</v>
      </c>
      <c r="K6069" s="5" t="str">
        <f t="shared" si="721"/>
        <v>000</v>
      </c>
      <c r="L6069" s="5">
        <f t="shared" si="722"/>
        <v>3</v>
      </c>
      <c r="M6069" s="5">
        <f t="shared" si="723"/>
        <v>2013</v>
      </c>
    </row>
    <row r="6070" spans="1:13" ht="15" x14ac:dyDescent="0.25">
      <c r="A6070" s="1">
        <f>DATE(2013,3,22)</f>
        <v>41355</v>
      </c>
      <c r="B6070" t="s">
        <v>22</v>
      </c>
      <c r="C6070" t="s">
        <v>10</v>
      </c>
      <c r="D6070" s="3">
        <v>135.62639999999999</v>
      </c>
      <c r="E6070" s="3">
        <v>0</v>
      </c>
      <c r="F6070" t="s">
        <v>45</v>
      </c>
      <c r="G6070" s="3">
        <f t="shared" si="717"/>
        <v>-135.62639999999999</v>
      </c>
      <c r="H6070" s="3">
        <f t="shared" si="718"/>
        <v>135.62639999999999</v>
      </c>
      <c r="I6070" s="5" t="str">
        <f t="shared" si="719"/>
        <v>018</v>
      </c>
      <c r="J6070" s="5" t="str">
        <f t="shared" si="720"/>
        <v>2230</v>
      </c>
      <c r="K6070" s="5" t="str">
        <f t="shared" si="721"/>
        <v>000</v>
      </c>
      <c r="L6070" s="5">
        <f t="shared" si="722"/>
        <v>3</v>
      </c>
      <c r="M6070" s="5">
        <f t="shared" si="723"/>
        <v>2013</v>
      </c>
    </row>
    <row r="6071" spans="1:13" ht="15" x14ac:dyDescent="0.25">
      <c r="A6071" s="1">
        <f>DATE(2013,3,23)</f>
        <v>41356</v>
      </c>
      <c r="B6071" t="s">
        <v>19</v>
      </c>
      <c r="C6071" t="s">
        <v>6</v>
      </c>
      <c r="D6071" s="3">
        <v>15736.6152</v>
      </c>
      <c r="E6071" s="3">
        <v>0</v>
      </c>
      <c r="F6071" t="s">
        <v>45</v>
      </c>
      <c r="G6071" s="3">
        <f t="shared" si="717"/>
        <v>-15736.6152</v>
      </c>
      <c r="H6071" s="3">
        <f t="shared" si="718"/>
        <v>15736.6152</v>
      </c>
      <c r="I6071" s="5" t="str">
        <f t="shared" si="719"/>
        <v>018</v>
      </c>
      <c r="J6071" s="5" t="str">
        <f t="shared" si="720"/>
        <v>2100</v>
      </c>
      <c r="K6071" s="5" t="str">
        <f t="shared" si="721"/>
        <v>000</v>
      </c>
      <c r="L6071" s="5">
        <f t="shared" si="722"/>
        <v>3</v>
      </c>
      <c r="M6071" s="5">
        <f t="shared" si="723"/>
        <v>2013</v>
      </c>
    </row>
    <row r="6072" spans="1:13" ht="15" x14ac:dyDescent="0.25">
      <c r="A6072" s="1">
        <f>DATE(2013,3,23)</f>
        <v>41356</v>
      </c>
      <c r="B6072" t="s">
        <v>20</v>
      </c>
      <c r="C6072" t="s">
        <v>8</v>
      </c>
      <c r="D6072" s="3">
        <v>2501.471</v>
      </c>
      <c r="E6072" s="3">
        <v>0</v>
      </c>
      <c r="F6072" t="s">
        <v>45</v>
      </c>
      <c r="G6072" s="3">
        <f t="shared" si="717"/>
        <v>-2501.471</v>
      </c>
      <c r="H6072" s="3">
        <f t="shared" si="718"/>
        <v>2501.471</v>
      </c>
      <c r="I6072" s="5" t="str">
        <f t="shared" si="719"/>
        <v>018</v>
      </c>
      <c r="J6072" s="5" t="str">
        <f t="shared" si="720"/>
        <v>2210</v>
      </c>
      <c r="K6072" s="5" t="str">
        <f t="shared" si="721"/>
        <v>000</v>
      </c>
      <c r="L6072" s="5">
        <f t="shared" si="722"/>
        <v>3</v>
      </c>
      <c r="M6072" s="5">
        <f t="shared" si="723"/>
        <v>2013</v>
      </c>
    </row>
    <row r="6073" spans="1:13" ht="15" x14ac:dyDescent="0.25">
      <c r="A6073" s="1">
        <f>DATE(2013,3,23)</f>
        <v>41356</v>
      </c>
      <c r="B6073" t="s">
        <v>21</v>
      </c>
      <c r="C6073" t="s">
        <v>9</v>
      </c>
      <c r="D6073" s="3">
        <v>730.08</v>
      </c>
      <c r="E6073" s="3">
        <v>0</v>
      </c>
      <c r="F6073" t="s">
        <v>45</v>
      </c>
      <c r="G6073" s="3">
        <f t="shared" si="717"/>
        <v>-730.08</v>
      </c>
      <c r="H6073" s="3">
        <f t="shared" si="718"/>
        <v>730.08</v>
      </c>
      <c r="I6073" s="5" t="str">
        <f t="shared" si="719"/>
        <v>018</v>
      </c>
      <c r="J6073" s="5" t="str">
        <f t="shared" si="720"/>
        <v>2220</v>
      </c>
      <c r="K6073" s="5" t="str">
        <f t="shared" si="721"/>
        <v>000</v>
      </c>
      <c r="L6073" s="5">
        <f t="shared" si="722"/>
        <v>3</v>
      </c>
      <c r="M6073" s="5">
        <f t="shared" si="723"/>
        <v>2013</v>
      </c>
    </row>
    <row r="6074" spans="1:13" ht="15" x14ac:dyDescent="0.25">
      <c r="A6074" s="1">
        <f>DATE(2013,3,23)</f>
        <v>41356</v>
      </c>
      <c r="B6074" t="s">
        <v>22</v>
      </c>
      <c r="C6074" t="s">
        <v>10</v>
      </c>
      <c r="D6074" s="3">
        <v>126.0232</v>
      </c>
      <c r="E6074" s="3">
        <v>0</v>
      </c>
      <c r="F6074" t="s">
        <v>45</v>
      </c>
      <c r="G6074" s="3">
        <f t="shared" si="717"/>
        <v>-126.0232</v>
      </c>
      <c r="H6074" s="3">
        <f t="shared" si="718"/>
        <v>126.0232</v>
      </c>
      <c r="I6074" s="5" t="str">
        <f t="shared" si="719"/>
        <v>018</v>
      </c>
      <c r="J6074" s="5" t="str">
        <f t="shared" si="720"/>
        <v>2230</v>
      </c>
      <c r="K6074" s="5" t="str">
        <f t="shared" si="721"/>
        <v>000</v>
      </c>
      <c r="L6074" s="5">
        <f t="shared" si="722"/>
        <v>3</v>
      </c>
      <c r="M6074" s="5">
        <f t="shared" si="723"/>
        <v>2013</v>
      </c>
    </row>
    <row r="6075" spans="1:13" ht="15" x14ac:dyDescent="0.25">
      <c r="A6075" s="1">
        <f>DATE(2013,3,24)</f>
        <v>41357</v>
      </c>
      <c r="B6075" t="s">
        <v>19</v>
      </c>
      <c r="C6075" t="s">
        <v>6</v>
      </c>
      <c r="D6075" s="3">
        <v>9322.6980000000003</v>
      </c>
      <c r="E6075" s="3">
        <v>0</v>
      </c>
      <c r="F6075" t="s">
        <v>45</v>
      </c>
      <c r="G6075" s="3">
        <f t="shared" si="717"/>
        <v>-9322.6980000000003</v>
      </c>
      <c r="H6075" s="3">
        <f t="shared" si="718"/>
        <v>9322.6980000000003</v>
      </c>
      <c r="I6075" s="5" t="str">
        <f t="shared" si="719"/>
        <v>018</v>
      </c>
      <c r="J6075" s="5" t="str">
        <f t="shared" si="720"/>
        <v>2100</v>
      </c>
      <c r="K6075" s="5" t="str">
        <f t="shared" si="721"/>
        <v>000</v>
      </c>
      <c r="L6075" s="5">
        <f t="shared" si="722"/>
        <v>3</v>
      </c>
      <c r="M6075" s="5">
        <f t="shared" si="723"/>
        <v>2013</v>
      </c>
    </row>
    <row r="6076" spans="1:13" ht="15" x14ac:dyDescent="0.25">
      <c r="A6076" s="1">
        <f>DATE(2013,3,24)</f>
        <v>41357</v>
      </c>
      <c r="B6076" t="s">
        <v>20</v>
      </c>
      <c r="C6076" t="s">
        <v>8</v>
      </c>
      <c r="D6076" s="3">
        <v>1355.4059999999999</v>
      </c>
      <c r="E6076" s="3">
        <v>0</v>
      </c>
      <c r="F6076" t="s">
        <v>45</v>
      </c>
      <c r="G6076" s="3">
        <f t="shared" si="717"/>
        <v>-1355.4059999999999</v>
      </c>
      <c r="H6076" s="3">
        <f t="shared" si="718"/>
        <v>1355.4059999999999</v>
      </c>
      <c r="I6076" s="5" t="str">
        <f t="shared" si="719"/>
        <v>018</v>
      </c>
      <c r="J6076" s="5" t="str">
        <f t="shared" si="720"/>
        <v>2210</v>
      </c>
      <c r="K6076" s="5" t="str">
        <f t="shared" si="721"/>
        <v>000</v>
      </c>
      <c r="L6076" s="5">
        <f t="shared" si="722"/>
        <v>3</v>
      </c>
      <c r="M6076" s="5">
        <f t="shared" si="723"/>
        <v>2013</v>
      </c>
    </row>
    <row r="6077" spans="1:13" ht="15" x14ac:dyDescent="0.25">
      <c r="A6077" s="1">
        <f>DATE(2013,3,24)</f>
        <v>41357</v>
      </c>
      <c r="B6077" t="s">
        <v>21</v>
      </c>
      <c r="C6077" t="s">
        <v>9</v>
      </c>
      <c r="D6077" s="3">
        <v>267.37279999999998</v>
      </c>
      <c r="E6077" s="3">
        <v>0</v>
      </c>
      <c r="F6077" t="s">
        <v>45</v>
      </c>
      <c r="G6077" s="3">
        <f t="shared" si="717"/>
        <v>-267.37279999999998</v>
      </c>
      <c r="H6077" s="3">
        <f t="shared" si="718"/>
        <v>267.37279999999998</v>
      </c>
      <c r="I6077" s="5" t="str">
        <f t="shared" si="719"/>
        <v>018</v>
      </c>
      <c r="J6077" s="5" t="str">
        <f t="shared" si="720"/>
        <v>2220</v>
      </c>
      <c r="K6077" s="5" t="str">
        <f t="shared" si="721"/>
        <v>000</v>
      </c>
      <c r="L6077" s="5">
        <f t="shared" si="722"/>
        <v>3</v>
      </c>
      <c r="M6077" s="5">
        <f t="shared" si="723"/>
        <v>2013</v>
      </c>
    </row>
    <row r="6078" spans="1:13" ht="15" x14ac:dyDescent="0.25">
      <c r="A6078" s="1">
        <f>DATE(2013,3,24)</f>
        <v>41357</v>
      </c>
      <c r="B6078" t="s">
        <v>22</v>
      </c>
      <c r="C6078" t="s">
        <v>10</v>
      </c>
      <c r="D6078" s="3">
        <v>68.314499999999995</v>
      </c>
      <c r="E6078" s="3">
        <v>0</v>
      </c>
      <c r="F6078" t="s">
        <v>45</v>
      </c>
      <c r="G6078" s="3">
        <f t="shared" si="717"/>
        <v>-68.314499999999995</v>
      </c>
      <c r="H6078" s="3">
        <f t="shared" si="718"/>
        <v>68.314499999999995</v>
      </c>
      <c r="I6078" s="5" t="str">
        <f t="shared" si="719"/>
        <v>018</v>
      </c>
      <c r="J6078" s="5" t="str">
        <f t="shared" si="720"/>
        <v>2230</v>
      </c>
      <c r="K6078" s="5" t="str">
        <f t="shared" si="721"/>
        <v>000</v>
      </c>
      <c r="L6078" s="5">
        <f t="shared" si="722"/>
        <v>3</v>
      </c>
      <c r="M6078" s="5">
        <f t="shared" si="723"/>
        <v>2013</v>
      </c>
    </row>
    <row r="6079" spans="1:13" ht="15" x14ac:dyDescent="0.25">
      <c r="A6079" s="1">
        <f>DATE(2013,3,25)</f>
        <v>41358</v>
      </c>
      <c r="B6079" t="s">
        <v>11</v>
      </c>
      <c r="C6079" t="s">
        <v>6</v>
      </c>
      <c r="D6079" s="3">
        <v>3048.9925999999996</v>
      </c>
      <c r="E6079" s="3">
        <v>0</v>
      </c>
      <c r="F6079" t="s">
        <v>45</v>
      </c>
      <c r="G6079" s="3">
        <f t="shared" si="717"/>
        <v>-3048.9925999999996</v>
      </c>
      <c r="H6079" s="3">
        <f t="shared" si="718"/>
        <v>3048.9925999999996</v>
      </c>
      <c r="I6079" s="5" t="str">
        <f t="shared" si="719"/>
        <v>016</v>
      </c>
      <c r="J6079" s="5" t="str">
        <f t="shared" si="720"/>
        <v>2100</v>
      </c>
      <c r="K6079" s="5" t="str">
        <f t="shared" si="721"/>
        <v>000</v>
      </c>
      <c r="L6079" s="5">
        <f t="shared" si="722"/>
        <v>3</v>
      </c>
      <c r="M6079" s="5">
        <f t="shared" si="723"/>
        <v>2013</v>
      </c>
    </row>
    <row r="6080" spans="1:13" ht="15" x14ac:dyDescent="0.25">
      <c r="A6080" s="1">
        <f>DATE(2013,3,25)</f>
        <v>41358</v>
      </c>
      <c r="B6080" t="s">
        <v>12</v>
      </c>
      <c r="C6080" t="s">
        <v>8</v>
      </c>
      <c r="D6080" s="3">
        <v>642.71339999999998</v>
      </c>
      <c r="E6080" s="3">
        <v>0</v>
      </c>
      <c r="F6080" t="s">
        <v>45</v>
      </c>
      <c r="G6080" s="3">
        <f t="shared" si="717"/>
        <v>-642.71339999999998</v>
      </c>
      <c r="H6080" s="3">
        <f t="shared" si="718"/>
        <v>642.71339999999998</v>
      </c>
      <c r="I6080" s="5" t="str">
        <f t="shared" si="719"/>
        <v>016</v>
      </c>
      <c r="J6080" s="5" t="str">
        <f t="shared" si="720"/>
        <v>2210</v>
      </c>
      <c r="K6080" s="5" t="str">
        <f t="shared" si="721"/>
        <v>000</v>
      </c>
      <c r="L6080" s="5">
        <f t="shared" si="722"/>
        <v>3</v>
      </c>
      <c r="M6080" s="5">
        <f t="shared" si="723"/>
        <v>2013</v>
      </c>
    </row>
    <row r="6081" spans="1:13" ht="15" x14ac:dyDescent="0.25">
      <c r="A6081" s="1">
        <f>DATE(2013,3,25)</f>
        <v>41358</v>
      </c>
      <c r="B6081" t="s">
        <v>13</v>
      </c>
      <c r="C6081" t="s">
        <v>9</v>
      </c>
      <c r="D6081" s="3">
        <v>152.40150000000003</v>
      </c>
      <c r="E6081" s="3">
        <v>0</v>
      </c>
      <c r="F6081" t="s">
        <v>45</v>
      </c>
      <c r="G6081" s="3">
        <f t="shared" si="717"/>
        <v>-152.40150000000003</v>
      </c>
      <c r="H6081" s="3">
        <f t="shared" si="718"/>
        <v>152.40150000000003</v>
      </c>
      <c r="I6081" s="5" t="str">
        <f t="shared" si="719"/>
        <v>016</v>
      </c>
      <c r="J6081" s="5" t="str">
        <f t="shared" si="720"/>
        <v>2220</v>
      </c>
      <c r="K6081" s="5" t="str">
        <f t="shared" si="721"/>
        <v>000</v>
      </c>
      <c r="L6081" s="5">
        <f t="shared" si="722"/>
        <v>3</v>
      </c>
      <c r="M6081" s="5">
        <f t="shared" si="723"/>
        <v>2013</v>
      </c>
    </row>
    <row r="6082" spans="1:13" ht="15" x14ac:dyDescent="0.25">
      <c r="A6082" s="1">
        <f>DATE(2013,3,25)</f>
        <v>41358</v>
      </c>
      <c r="B6082" t="s">
        <v>14</v>
      </c>
      <c r="C6082" t="s">
        <v>10</v>
      </c>
      <c r="D6082" s="3">
        <v>90.670999999999992</v>
      </c>
      <c r="E6082" s="3">
        <v>0</v>
      </c>
      <c r="F6082" t="s">
        <v>45</v>
      </c>
      <c r="G6082" s="3">
        <f t="shared" ref="G6082:G6145" si="724">E6082-D6082</f>
        <v>-90.670999999999992</v>
      </c>
      <c r="H6082" s="3">
        <f t="shared" ref="H6082:H6145" si="725">ABS(G6082)</f>
        <v>90.670999999999992</v>
      </c>
      <c r="I6082" s="5" t="str">
        <f t="shared" ref="I6082:I6145" si="726">MID(B6082,1,3)</f>
        <v>016</v>
      </c>
      <c r="J6082" s="5" t="str">
        <f t="shared" ref="J6082:J6145" si="727">MID(B6082,5,4)</f>
        <v>2230</v>
      </c>
      <c r="K6082" s="5" t="str">
        <f t="shared" ref="K6082:K6145" si="728">MID(B6082,10,3)</f>
        <v>000</v>
      </c>
      <c r="L6082" s="5">
        <f t="shared" ref="L6082:L6145" si="729">MONTH(A6082)</f>
        <v>3</v>
      </c>
      <c r="M6082" s="5">
        <f t="shared" ref="M6082:M6145" si="730">YEAR(A6082)</f>
        <v>2013</v>
      </c>
    </row>
    <row r="6083" spans="1:13" ht="15" x14ac:dyDescent="0.25">
      <c r="A6083" s="1">
        <f>DATE(2013,3,26)</f>
        <v>41359</v>
      </c>
      <c r="B6083" t="s">
        <v>11</v>
      </c>
      <c r="C6083" t="s">
        <v>6</v>
      </c>
      <c r="D6083" s="3">
        <v>6090.1680000000006</v>
      </c>
      <c r="E6083" s="3">
        <v>0</v>
      </c>
      <c r="F6083" t="s">
        <v>45</v>
      </c>
      <c r="G6083" s="3">
        <f t="shared" si="724"/>
        <v>-6090.1680000000006</v>
      </c>
      <c r="H6083" s="3">
        <f t="shared" si="725"/>
        <v>6090.1680000000006</v>
      </c>
      <c r="I6083" s="5" t="str">
        <f t="shared" si="726"/>
        <v>016</v>
      </c>
      <c r="J6083" s="5" t="str">
        <f t="shared" si="727"/>
        <v>2100</v>
      </c>
      <c r="K6083" s="5" t="str">
        <f t="shared" si="728"/>
        <v>000</v>
      </c>
      <c r="L6083" s="5">
        <f t="shared" si="729"/>
        <v>3</v>
      </c>
      <c r="M6083" s="5">
        <f t="shared" si="730"/>
        <v>2013</v>
      </c>
    </row>
    <row r="6084" spans="1:13" ht="15" x14ac:dyDescent="0.25">
      <c r="A6084" s="1">
        <f>DATE(2013,3,26)</f>
        <v>41359</v>
      </c>
      <c r="B6084" t="s">
        <v>12</v>
      </c>
      <c r="C6084" t="s">
        <v>8</v>
      </c>
      <c r="D6084" s="3">
        <v>2277.9535000000001</v>
      </c>
      <c r="E6084" s="3">
        <v>0</v>
      </c>
      <c r="F6084" t="s">
        <v>45</v>
      </c>
      <c r="G6084" s="3">
        <f t="shared" si="724"/>
        <v>-2277.9535000000001</v>
      </c>
      <c r="H6084" s="3">
        <f t="shared" si="725"/>
        <v>2277.9535000000001</v>
      </c>
      <c r="I6084" s="5" t="str">
        <f t="shared" si="726"/>
        <v>016</v>
      </c>
      <c r="J6084" s="5" t="str">
        <f t="shared" si="727"/>
        <v>2210</v>
      </c>
      <c r="K6084" s="5" t="str">
        <f t="shared" si="728"/>
        <v>000</v>
      </c>
      <c r="L6084" s="5">
        <f t="shared" si="729"/>
        <v>3</v>
      </c>
      <c r="M6084" s="5">
        <f t="shared" si="730"/>
        <v>2013</v>
      </c>
    </row>
    <row r="6085" spans="1:13" ht="15" x14ac:dyDescent="0.25">
      <c r="A6085" s="1">
        <f>DATE(2013,3,26)</f>
        <v>41359</v>
      </c>
      <c r="B6085" t="s">
        <v>13</v>
      </c>
      <c r="C6085" t="s">
        <v>9</v>
      </c>
      <c r="D6085" s="3">
        <v>783</v>
      </c>
      <c r="E6085" s="3">
        <v>0</v>
      </c>
      <c r="F6085" t="s">
        <v>45</v>
      </c>
      <c r="G6085" s="3">
        <f t="shared" si="724"/>
        <v>-783</v>
      </c>
      <c r="H6085" s="3">
        <f t="shared" si="725"/>
        <v>783</v>
      </c>
      <c r="I6085" s="5" t="str">
        <f t="shared" si="726"/>
        <v>016</v>
      </c>
      <c r="J6085" s="5" t="str">
        <f t="shared" si="727"/>
        <v>2220</v>
      </c>
      <c r="K6085" s="5" t="str">
        <f t="shared" si="728"/>
        <v>000</v>
      </c>
      <c r="L6085" s="5">
        <f t="shared" si="729"/>
        <v>3</v>
      </c>
      <c r="M6085" s="5">
        <f t="shared" si="730"/>
        <v>2013</v>
      </c>
    </row>
    <row r="6086" spans="1:13" ht="15" x14ac:dyDescent="0.25">
      <c r="A6086" s="1">
        <f>DATE(2013,3,26)</f>
        <v>41359</v>
      </c>
      <c r="B6086" t="s">
        <v>14</v>
      </c>
      <c r="C6086" t="s">
        <v>10</v>
      </c>
      <c r="D6086" s="3">
        <v>303.20940000000002</v>
      </c>
      <c r="E6086" s="3">
        <v>0</v>
      </c>
      <c r="F6086" t="s">
        <v>45</v>
      </c>
      <c r="G6086" s="3">
        <f t="shared" si="724"/>
        <v>-303.20940000000002</v>
      </c>
      <c r="H6086" s="3">
        <f t="shared" si="725"/>
        <v>303.20940000000002</v>
      </c>
      <c r="I6086" s="5" t="str">
        <f t="shared" si="726"/>
        <v>016</v>
      </c>
      <c r="J6086" s="5" t="str">
        <f t="shared" si="727"/>
        <v>2230</v>
      </c>
      <c r="K6086" s="5" t="str">
        <f t="shared" si="728"/>
        <v>000</v>
      </c>
      <c r="L6086" s="5">
        <f t="shared" si="729"/>
        <v>3</v>
      </c>
      <c r="M6086" s="5">
        <f t="shared" si="730"/>
        <v>2013</v>
      </c>
    </row>
    <row r="6087" spans="1:13" ht="15" x14ac:dyDescent="0.25">
      <c r="A6087" s="1">
        <f>DATE(2013,3,27)</f>
        <v>41360</v>
      </c>
      <c r="B6087" t="s">
        <v>11</v>
      </c>
      <c r="C6087" t="s">
        <v>6</v>
      </c>
      <c r="D6087" s="3">
        <v>6116.1522000000004</v>
      </c>
      <c r="E6087" s="3">
        <v>0</v>
      </c>
      <c r="F6087" t="s">
        <v>45</v>
      </c>
      <c r="G6087" s="3">
        <f t="shared" si="724"/>
        <v>-6116.1522000000004</v>
      </c>
      <c r="H6087" s="3">
        <f t="shared" si="725"/>
        <v>6116.1522000000004</v>
      </c>
      <c r="I6087" s="5" t="str">
        <f t="shared" si="726"/>
        <v>016</v>
      </c>
      <c r="J6087" s="5" t="str">
        <f t="shared" si="727"/>
        <v>2100</v>
      </c>
      <c r="K6087" s="5" t="str">
        <f t="shared" si="728"/>
        <v>000</v>
      </c>
      <c r="L6087" s="5">
        <f t="shared" si="729"/>
        <v>3</v>
      </c>
      <c r="M6087" s="5">
        <f t="shared" si="730"/>
        <v>2013</v>
      </c>
    </row>
    <row r="6088" spans="1:13" ht="15" x14ac:dyDescent="0.25">
      <c r="A6088" s="1">
        <f>DATE(2013,3,27)</f>
        <v>41360</v>
      </c>
      <c r="B6088" t="s">
        <v>12</v>
      </c>
      <c r="C6088" t="s">
        <v>8</v>
      </c>
      <c r="D6088" s="3">
        <v>952.53139999999996</v>
      </c>
      <c r="E6088" s="3">
        <v>0</v>
      </c>
      <c r="F6088" t="s">
        <v>45</v>
      </c>
      <c r="G6088" s="3">
        <f t="shared" si="724"/>
        <v>-952.53139999999996</v>
      </c>
      <c r="H6088" s="3">
        <f t="shared" si="725"/>
        <v>952.53139999999996</v>
      </c>
      <c r="I6088" s="5" t="str">
        <f t="shared" si="726"/>
        <v>016</v>
      </c>
      <c r="J6088" s="5" t="str">
        <f t="shared" si="727"/>
        <v>2210</v>
      </c>
      <c r="K6088" s="5" t="str">
        <f t="shared" si="728"/>
        <v>000</v>
      </c>
      <c r="L6088" s="5">
        <f t="shared" si="729"/>
        <v>3</v>
      </c>
      <c r="M6088" s="5">
        <f t="shared" si="730"/>
        <v>2013</v>
      </c>
    </row>
    <row r="6089" spans="1:13" ht="15" x14ac:dyDescent="0.25">
      <c r="A6089" s="1">
        <f>DATE(2013,3,27)</f>
        <v>41360</v>
      </c>
      <c r="B6089" t="s">
        <v>13</v>
      </c>
      <c r="C6089" t="s">
        <v>9</v>
      </c>
      <c r="D6089" s="3">
        <v>239.03100000000003</v>
      </c>
      <c r="E6089" s="3">
        <v>0</v>
      </c>
      <c r="F6089" t="s">
        <v>45</v>
      </c>
      <c r="G6089" s="3">
        <f t="shared" si="724"/>
        <v>-239.03100000000003</v>
      </c>
      <c r="H6089" s="3">
        <f t="shared" si="725"/>
        <v>239.03100000000003</v>
      </c>
      <c r="I6089" s="5" t="str">
        <f t="shared" si="726"/>
        <v>016</v>
      </c>
      <c r="J6089" s="5" t="str">
        <f t="shared" si="727"/>
        <v>2220</v>
      </c>
      <c r="K6089" s="5" t="str">
        <f t="shared" si="728"/>
        <v>000</v>
      </c>
      <c r="L6089" s="5">
        <f t="shared" si="729"/>
        <v>3</v>
      </c>
      <c r="M6089" s="5">
        <f t="shared" si="730"/>
        <v>2013</v>
      </c>
    </row>
    <row r="6090" spans="1:13" ht="15" x14ac:dyDescent="0.25">
      <c r="A6090" s="1">
        <f>DATE(2013,3,27)</f>
        <v>41360</v>
      </c>
      <c r="B6090" t="s">
        <v>14</v>
      </c>
      <c r="C6090" t="s">
        <v>10</v>
      </c>
      <c r="D6090" s="3">
        <v>231.20000000000002</v>
      </c>
      <c r="E6090" s="3">
        <v>0</v>
      </c>
      <c r="F6090" t="s">
        <v>45</v>
      </c>
      <c r="G6090" s="3">
        <f t="shared" si="724"/>
        <v>-231.20000000000002</v>
      </c>
      <c r="H6090" s="3">
        <f t="shared" si="725"/>
        <v>231.20000000000002</v>
      </c>
      <c r="I6090" s="5" t="str">
        <f t="shared" si="726"/>
        <v>016</v>
      </c>
      <c r="J6090" s="5" t="str">
        <f t="shared" si="727"/>
        <v>2230</v>
      </c>
      <c r="K6090" s="5" t="str">
        <f t="shared" si="728"/>
        <v>000</v>
      </c>
      <c r="L6090" s="5">
        <f t="shared" si="729"/>
        <v>3</v>
      </c>
      <c r="M6090" s="5">
        <f t="shared" si="730"/>
        <v>2013</v>
      </c>
    </row>
    <row r="6091" spans="1:13" ht="15" x14ac:dyDescent="0.25">
      <c r="A6091" s="1">
        <f>DATE(2013,3,28)</f>
        <v>41361</v>
      </c>
      <c r="B6091" t="s">
        <v>11</v>
      </c>
      <c r="C6091" t="s">
        <v>6</v>
      </c>
      <c r="D6091" s="3">
        <v>5748.0875999999998</v>
      </c>
      <c r="E6091" s="3">
        <v>0</v>
      </c>
      <c r="F6091" t="s">
        <v>45</v>
      </c>
      <c r="G6091" s="3">
        <f t="shared" si="724"/>
        <v>-5748.0875999999998</v>
      </c>
      <c r="H6091" s="3">
        <f t="shared" si="725"/>
        <v>5748.0875999999998</v>
      </c>
      <c r="I6091" s="5" t="str">
        <f t="shared" si="726"/>
        <v>016</v>
      </c>
      <c r="J6091" s="5" t="str">
        <f t="shared" si="727"/>
        <v>2100</v>
      </c>
      <c r="K6091" s="5" t="str">
        <f t="shared" si="728"/>
        <v>000</v>
      </c>
      <c r="L6091" s="5">
        <f t="shared" si="729"/>
        <v>3</v>
      </c>
      <c r="M6091" s="5">
        <f t="shared" si="730"/>
        <v>2013</v>
      </c>
    </row>
    <row r="6092" spans="1:13" ht="15" x14ac:dyDescent="0.25">
      <c r="A6092" s="1">
        <f>DATE(2013,3,28)</f>
        <v>41361</v>
      </c>
      <c r="B6092" t="s">
        <v>12</v>
      </c>
      <c r="C6092" t="s">
        <v>8</v>
      </c>
      <c r="D6092" s="3">
        <v>1684.9275</v>
      </c>
      <c r="E6092" s="3">
        <v>0</v>
      </c>
      <c r="F6092" t="s">
        <v>45</v>
      </c>
      <c r="G6092" s="3">
        <f t="shared" si="724"/>
        <v>-1684.9275</v>
      </c>
      <c r="H6092" s="3">
        <f t="shared" si="725"/>
        <v>1684.9275</v>
      </c>
      <c r="I6092" s="5" t="str">
        <f t="shared" si="726"/>
        <v>016</v>
      </c>
      <c r="J6092" s="5" t="str">
        <f t="shared" si="727"/>
        <v>2210</v>
      </c>
      <c r="K6092" s="5" t="str">
        <f t="shared" si="728"/>
        <v>000</v>
      </c>
      <c r="L6092" s="5">
        <f t="shared" si="729"/>
        <v>3</v>
      </c>
      <c r="M6092" s="5">
        <f t="shared" si="730"/>
        <v>2013</v>
      </c>
    </row>
    <row r="6093" spans="1:13" ht="15" x14ac:dyDescent="0.25">
      <c r="A6093" s="1">
        <f>DATE(2013,3,28)</f>
        <v>41361</v>
      </c>
      <c r="B6093" t="s">
        <v>13</v>
      </c>
      <c r="C6093" t="s">
        <v>9</v>
      </c>
      <c r="D6093" s="3">
        <v>239.11719999999997</v>
      </c>
      <c r="E6093" s="3">
        <v>0</v>
      </c>
      <c r="F6093" t="s">
        <v>45</v>
      </c>
      <c r="G6093" s="3">
        <f t="shared" si="724"/>
        <v>-239.11719999999997</v>
      </c>
      <c r="H6093" s="3">
        <f t="shared" si="725"/>
        <v>239.11719999999997</v>
      </c>
      <c r="I6093" s="5" t="str">
        <f t="shared" si="726"/>
        <v>016</v>
      </c>
      <c r="J6093" s="5" t="str">
        <f t="shared" si="727"/>
        <v>2220</v>
      </c>
      <c r="K6093" s="5" t="str">
        <f t="shared" si="728"/>
        <v>000</v>
      </c>
      <c r="L6093" s="5">
        <f t="shared" si="729"/>
        <v>3</v>
      </c>
      <c r="M6093" s="5">
        <f t="shared" si="730"/>
        <v>2013</v>
      </c>
    </row>
    <row r="6094" spans="1:13" ht="15" x14ac:dyDescent="0.25">
      <c r="A6094" s="1">
        <f>DATE(2013,3,28)</f>
        <v>41361</v>
      </c>
      <c r="B6094" t="s">
        <v>14</v>
      </c>
      <c r="C6094" t="s">
        <v>10</v>
      </c>
      <c r="D6094" s="3">
        <v>80.471999999999994</v>
      </c>
      <c r="E6094" s="3">
        <v>0</v>
      </c>
      <c r="F6094" t="s">
        <v>45</v>
      </c>
      <c r="G6094" s="3">
        <f t="shared" si="724"/>
        <v>-80.471999999999994</v>
      </c>
      <c r="H6094" s="3">
        <f t="shared" si="725"/>
        <v>80.471999999999994</v>
      </c>
      <c r="I6094" s="5" t="str">
        <f t="shared" si="726"/>
        <v>016</v>
      </c>
      <c r="J6094" s="5" t="str">
        <f t="shared" si="727"/>
        <v>2230</v>
      </c>
      <c r="K6094" s="5" t="str">
        <f t="shared" si="728"/>
        <v>000</v>
      </c>
      <c r="L6094" s="5">
        <f t="shared" si="729"/>
        <v>3</v>
      </c>
      <c r="M6094" s="5">
        <f t="shared" si="730"/>
        <v>2013</v>
      </c>
    </row>
    <row r="6095" spans="1:13" ht="15" x14ac:dyDescent="0.25">
      <c r="A6095" s="1">
        <f>DATE(2013,3,29)</f>
        <v>41362</v>
      </c>
      <c r="B6095" t="s">
        <v>11</v>
      </c>
      <c r="C6095" t="s">
        <v>6</v>
      </c>
      <c r="D6095" s="3">
        <v>5150.7720000000008</v>
      </c>
      <c r="E6095" s="3">
        <v>0</v>
      </c>
      <c r="F6095" t="s">
        <v>45</v>
      </c>
      <c r="G6095" s="3">
        <f t="shared" si="724"/>
        <v>-5150.7720000000008</v>
      </c>
      <c r="H6095" s="3">
        <f t="shared" si="725"/>
        <v>5150.7720000000008</v>
      </c>
      <c r="I6095" s="5" t="str">
        <f t="shared" si="726"/>
        <v>016</v>
      </c>
      <c r="J6095" s="5" t="str">
        <f t="shared" si="727"/>
        <v>2100</v>
      </c>
      <c r="K6095" s="5" t="str">
        <f t="shared" si="728"/>
        <v>000</v>
      </c>
      <c r="L6095" s="5">
        <f t="shared" si="729"/>
        <v>3</v>
      </c>
      <c r="M6095" s="5">
        <f t="shared" si="730"/>
        <v>2013</v>
      </c>
    </row>
    <row r="6096" spans="1:13" ht="15" x14ac:dyDescent="0.25">
      <c r="A6096" s="1">
        <f>DATE(2013,3,29)</f>
        <v>41362</v>
      </c>
      <c r="B6096" t="s">
        <v>12</v>
      </c>
      <c r="C6096" t="s">
        <v>8</v>
      </c>
      <c r="D6096" s="3">
        <v>2885.4935999999998</v>
      </c>
      <c r="E6096" s="3">
        <v>0</v>
      </c>
      <c r="F6096" t="s">
        <v>45</v>
      </c>
      <c r="G6096" s="3">
        <f t="shared" si="724"/>
        <v>-2885.4935999999998</v>
      </c>
      <c r="H6096" s="3">
        <f t="shared" si="725"/>
        <v>2885.4935999999998</v>
      </c>
      <c r="I6096" s="5" t="str">
        <f t="shared" si="726"/>
        <v>016</v>
      </c>
      <c r="J6096" s="5" t="str">
        <f t="shared" si="727"/>
        <v>2210</v>
      </c>
      <c r="K6096" s="5" t="str">
        <f t="shared" si="728"/>
        <v>000</v>
      </c>
      <c r="L6096" s="5">
        <f t="shared" si="729"/>
        <v>3</v>
      </c>
      <c r="M6096" s="5">
        <f t="shared" si="730"/>
        <v>2013</v>
      </c>
    </row>
    <row r="6097" spans="1:13" ht="15" x14ac:dyDescent="0.25">
      <c r="A6097" s="1">
        <f>DATE(2013,3,29)</f>
        <v>41362</v>
      </c>
      <c r="B6097" t="s">
        <v>13</v>
      </c>
      <c r="C6097" t="s">
        <v>9</v>
      </c>
      <c r="D6097" s="3">
        <v>303.2484</v>
      </c>
      <c r="E6097" s="3">
        <v>0</v>
      </c>
      <c r="F6097" t="s">
        <v>45</v>
      </c>
      <c r="G6097" s="3">
        <f t="shared" si="724"/>
        <v>-303.2484</v>
      </c>
      <c r="H6097" s="3">
        <f t="shared" si="725"/>
        <v>303.2484</v>
      </c>
      <c r="I6097" s="5" t="str">
        <f t="shared" si="726"/>
        <v>016</v>
      </c>
      <c r="J6097" s="5" t="str">
        <f t="shared" si="727"/>
        <v>2220</v>
      </c>
      <c r="K6097" s="5" t="str">
        <f t="shared" si="728"/>
        <v>000</v>
      </c>
      <c r="L6097" s="5">
        <f t="shared" si="729"/>
        <v>3</v>
      </c>
      <c r="M6097" s="5">
        <f t="shared" si="730"/>
        <v>2013</v>
      </c>
    </row>
    <row r="6098" spans="1:13" ht="15" x14ac:dyDescent="0.25">
      <c r="A6098" s="1">
        <f>DATE(2013,3,29)</f>
        <v>41362</v>
      </c>
      <c r="B6098" t="s">
        <v>14</v>
      </c>
      <c r="C6098" t="s">
        <v>10</v>
      </c>
      <c r="D6098" s="3">
        <v>201.01350000000002</v>
      </c>
      <c r="E6098" s="3">
        <v>0</v>
      </c>
      <c r="F6098" t="s">
        <v>45</v>
      </c>
      <c r="G6098" s="3">
        <f t="shared" si="724"/>
        <v>-201.01350000000002</v>
      </c>
      <c r="H6098" s="3">
        <f t="shared" si="725"/>
        <v>201.01350000000002</v>
      </c>
      <c r="I6098" s="5" t="str">
        <f t="shared" si="726"/>
        <v>016</v>
      </c>
      <c r="J6098" s="5" t="str">
        <f t="shared" si="727"/>
        <v>2230</v>
      </c>
      <c r="K6098" s="5" t="str">
        <f t="shared" si="728"/>
        <v>000</v>
      </c>
      <c r="L6098" s="5">
        <f t="shared" si="729"/>
        <v>3</v>
      </c>
      <c r="M6098" s="5">
        <f t="shared" si="730"/>
        <v>2013</v>
      </c>
    </row>
    <row r="6099" spans="1:13" ht="15" x14ac:dyDescent="0.25">
      <c r="A6099" s="1">
        <f>DATE(2013,3,30)</f>
        <v>41363</v>
      </c>
      <c r="B6099" t="s">
        <v>11</v>
      </c>
      <c r="C6099" t="s">
        <v>6</v>
      </c>
      <c r="D6099" s="3">
        <v>12173.451999999999</v>
      </c>
      <c r="E6099" s="3">
        <v>0</v>
      </c>
      <c r="F6099" t="s">
        <v>45</v>
      </c>
      <c r="G6099" s="3">
        <f t="shared" si="724"/>
        <v>-12173.451999999999</v>
      </c>
      <c r="H6099" s="3">
        <f t="shared" si="725"/>
        <v>12173.451999999999</v>
      </c>
      <c r="I6099" s="5" t="str">
        <f t="shared" si="726"/>
        <v>016</v>
      </c>
      <c r="J6099" s="5" t="str">
        <f t="shared" si="727"/>
        <v>2100</v>
      </c>
      <c r="K6099" s="5" t="str">
        <f t="shared" si="728"/>
        <v>000</v>
      </c>
      <c r="L6099" s="5">
        <f t="shared" si="729"/>
        <v>3</v>
      </c>
      <c r="M6099" s="5">
        <f t="shared" si="730"/>
        <v>2013</v>
      </c>
    </row>
    <row r="6100" spans="1:13" ht="15" x14ac:dyDescent="0.25">
      <c r="A6100" s="1">
        <f>DATE(2013,3,30)</f>
        <v>41363</v>
      </c>
      <c r="B6100" t="s">
        <v>12</v>
      </c>
      <c r="C6100" t="s">
        <v>8</v>
      </c>
      <c r="D6100" s="3">
        <v>2917.9079999999999</v>
      </c>
      <c r="E6100" s="3">
        <v>0</v>
      </c>
      <c r="F6100" t="s">
        <v>45</v>
      </c>
      <c r="G6100" s="3">
        <f t="shared" si="724"/>
        <v>-2917.9079999999999</v>
      </c>
      <c r="H6100" s="3">
        <f t="shared" si="725"/>
        <v>2917.9079999999999</v>
      </c>
      <c r="I6100" s="5" t="str">
        <f t="shared" si="726"/>
        <v>016</v>
      </c>
      <c r="J6100" s="5" t="str">
        <f t="shared" si="727"/>
        <v>2210</v>
      </c>
      <c r="K6100" s="5" t="str">
        <f t="shared" si="728"/>
        <v>000</v>
      </c>
      <c r="L6100" s="5">
        <f t="shared" si="729"/>
        <v>3</v>
      </c>
      <c r="M6100" s="5">
        <f t="shared" si="730"/>
        <v>2013</v>
      </c>
    </row>
    <row r="6101" spans="1:13" ht="15" x14ac:dyDescent="0.25">
      <c r="A6101" s="1">
        <f>DATE(2013,3,30)</f>
        <v>41363</v>
      </c>
      <c r="B6101" t="s">
        <v>13</v>
      </c>
      <c r="C6101" t="s">
        <v>9</v>
      </c>
      <c r="D6101" s="3">
        <v>673.14600000000007</v>
      </c>
      <c r="E6101" s="3">
        <v>0</v>
      </c>
      <c r="F6101" t="s">
        <v>45</v>
      </c>
      <c r="G6101" s="3">
        <f t="shared" si="724"/>
        <v>-673.14600000000007</v>
      </c>
      <c r="H6101" s="3">
        <f t="shared" si="725"/>
        <v>673.14600000000007</v>
      </c>
      <c r="I6101" s="5" t="str">
        <f t="shared" si="726"/>
        <v>016</v>
      </c>
      <c r="J6101" s="5" t="str">
        <f t="shared" si="727"/>
        <v>2220</v>
      </c>
      <c r="K6101" s="5" t="str">
        <f t="shared" si="728"/>
        <v>000</v>
      </c>
      <c r="L6101" s="5">
        <f t="shared" si="729"/>
        <v>3</v>
      </c>
      <c r="M6101" s="5">
        <f t="shared" si="730"/>
        <v>2013</v>
      </c>
    </row>
    <row r="6102" spans="1:13" ht="15" x14ac:dyDescent="0.25">
      <c r="A6102" s="1">
        <f>DATE(2013,3,30)</f>
        <v>41363</v>
      </c>
      <c r="B6102" t="s">
        <v>14</v>
      </c>
      <c r="C6102" t="s">
        <v>10</v>
      </c>
      <c r="D6102" s="3">
        <v>199.95359999999999</v>
      </c>
      <c r="E6102" s="3">
        <v>0</v>
      </c>
      <c r="F6102" t="s">
        <v>45</v>
      </c>
      <c r="G6102" s="3">
        <f t="shared" si="724"/>
        <v>-199.95359999999999</v>
      </c>
      <c r="H6102" s="3">
        <f t="shared" si="725"/>
        <v>199.95359999999999</v>
      </c>
      <c r="I6102" s="5" t="str">
        <f t="shared" si="726"/>
        <v>016</v>
      </c>
      <c r="J6102" s="5" t="str">
        <f t="shared" si="727"/>
        <v>2230</v>
      </c>
      <c r="K6102" s="5" t="str">
        <f t="shared" si="728"/>
        <v>000</v>
      </c>
      <c r="L6102" s="5">
        <f t="shared" si="729"/>
        <v>3</v>
      </c>
      <c r="M6102" s="5">
        <f t="shared" si="730"/>
        <v>2013</v>
      </c>
    </row>
    <row r="6103" spans="1:13" ht="15" x14ac:dyDescent="0.25">
      <c r="A6103" s="1">
        <f>DATE(2013,3,31)</f>
        <v>41364</v>
      </c>
      <c r="B6103" t="s">
        <v>11</v>
      </c>
      <c r="C6103" t="s">
        <v>6</v>
      </c>
      <c r="D6103" s="3">
        <v>3094.0226999999995</v>
      </c>
      <c r="E6103" s="3">
        <v>0</v>
      </c>
      <c r="F6103" t="s">
        <v>45</v>
      </c>
      <c r="G6103" s="3">
        <f t="shared" si="724"/>
        <v>-3094.0226999999995</v>
      </c>
      <c r="H6103" s="3">
        <f t="shared" si="725"/>
        <v>3094.0226999999995</v>
      </c>
      <c r="I6103" s="5" t="str">
        <f t="shared" si="726"/>
        <v>016</v>
      </c>
      <c r="J6103" s="5" t="str">
        <f t="shared" si="727"/>
        <v>2100</v>
      </c>
      <c r="K6103" s="5" t="str">
        <f t="shared" si="728"/>
        <v>000</v>
      </c>
      <c r="L6103" s="5">
        <f t="shared" si="729"/>
        <v>3</v>
      </c>
      <c r="M6103" s="5">
        <f t="shared" si="730"/>
        <v>2013</v>
      </c>
    </row>
    <row r="6104" spans="1:13" ht="15" x14ac:dyDescent="0.25">
      <c r="A6104" s="1">
        <f>DATE(2013,3,31)</f>
        <v>41364</v>
      </c>
      <c r="B6104" t="s">
        <v>12</v>
      </c>
      <c r="C6104" t="s">
        <v>8</v>
      </c>
      <c r="D6104" s="3">
        <v>681.99879999999996</v>
      </c>
      <c r="E6104" s="3">
        <v>0</v>
      </c>
      <c r="F6104" t="s">
        <v>45</v>
      </c>
      <c r="G6104" s="3">
        <f t="shared" si="724"/>
        <v>-681.99879999999996</v>
      </c>
      <c r="H6104" s="3">
        <f t="shared" si="725"/>
        <v>681.99879999999996</v>
      </c>
      <c r="I6104" s="5" t="str">
        <f t="shared" si="726"/>
        <v>016</v>
      </c>
      <c r="J6104" s="5" t="str">
        <f t="shared" si="727"/>
        <v>2210</v>
      </c>
      <c r="K6104" s="5" t="str">
        <f t="shared" si="728"/>
        <v>000</v>
      </c>
      <c r="L6104" s="5">
        <f t="shared" si="729"/>
        <v>3</v>
      </c>
      <c r="M6104" s="5">
        <f t="shared" si="730"/>
        <v>2013</v>
      </c>
    </row>
    <row r="6105" spans="1:13" ht="15" x14ac:dyDescent="0.25">
      <c r="A6105" s="1">
        <f>DATE(2013,3,31)</f>
        <v>41364</v>
      </c>
      <c r="B6105" t="s">
        <v>13</v>
      </c>
      <c r="C6105" t="s">
        <v>9</v>
      </c>
      <c r="D6105" s="3">
        <v>250.86649999999997</v>
      </c>
      <c r="E6105" s="3">
        <v>0</v>
      </c>
      <c r="F6105" t="s">
        <v>45</v>
      </c>
      <c r="G6105" s="3">
        <f t="shared" si="724"/>
        <v>-250.86649999999997</v>
      </c>
      <c r="H6105" s="3">
        <f t="shared" si="725"/>
        <v>250.86649999999997</v>
      </c>
      <c r="I6105" s="5" t="str">
        <f t="shared" si="726"/>
        <v>016</v>
      </c>
      <c r="J6105" s="5" t="str">
        <f t="shared" si="727"/>
        <v>2220</v>
      </c>
      <c r="K6105" s="5" t="str">
        <f t="shared" si="728"/>
        <v>000</v>
      </c>
      <c r="L6105" s="5">
        <f t="shared" si="729"/>
        <v>3</v>
      </c>
      <c r="M6105" s="5">
        <f t="shared" si="730"/>
        <v>2013</v>
      </c>
    </row>
    <row r="6106" spans="1:13" ht="15" x14ac:dyDescent="0.25">
      <c r="A6106" s="1">
        <f>DATE(2013,3,31)</f>
        <v>41364</v>
      </c>
      <c r="B6106" t="s">
        <v>14</v>
      </c>
      <c r="C6106" t="s">
        <v>10</v>
      </c>
      <c r="D6106" s="3">
        <v>53.026400000000002</v>
      </c>
      <c r="E6106" s="3">
        <v>0</v>
      </c>
      <c r="F6106" t="s">
        <v>45</v>
      </c>
      <c r="G6106" s="3">
        <f t="shared" si="724"/>
        <v>-53.026400000000002</v>
      </c>
      <c r="H6106" s="3">
        <f t="shared" si="725"/>
        <v>53.026400000000002</v>
      </c>
      <c r="I6106" s="5" t="str">
        <f t="shared" si="726"/>
        <v>016</v>
      </c>
      <c r="J6106" s="5" t="str">
        <f t="shared" si="727"/>
        <v>2230</v>
      </c>
      <c r="K6106" s="5" t="str">
        <f t="shared" si="728"/>
        <v>000</v>
      </c>
      <c r="L6106" s="5">
        <f t="shared" si="729"/>
        <v>3</v>
      </c>
      <c r="M6106" s="5">
        <f t="shared" si="730"/>
        <v>2013</v>
      </c>
    </row>
    <row r="6107" spans="1:13" ht="15" x14ac:dyDescent="0.25">
      <c r="A6107" s="1">
        <f>DATE(2013,3,25)</f>
        <v>41358</v>
      </c>
      <c r="B6107" t="s">
        <v>15</v>
      </c>
      <c r="C6107" t="s">
        <v>6</v>
      </c>
      <c r="D6107" s="3">
        <v>2815.8854999999994</v>
      </c>
      <c r="E6107" s="3">
        <v>0</v>
      </c>
      <c r="F6107" t="s">
        <v>45</v>
      </c>
      <c r="G6107" s="3">
        <f t="shared" si="724"/>
        <v>-2815.8854999999994</v>
      </c>
      <c r="H6107" s="3">
        <f t="shared" si="725"/>
        <v>2815.8854999999994</v>
      </c>
      <c r="I6107" s="5" t="str">
        <f t="shared" si="726"/>
        <v>017</v>
      </c>
      <c r="J6107" s="5" t="str">
        <f t="shared" si="727"/>
        <v>2100</v>
      </c>
      <c r="K6107" s="5" t="str">
        <f t="shared" si="728"/>
        <v>000</v>
      </c>
      <c r="L6107" s="5">
        <f t="shared" si="729"/>
        <v>3</v>
      </c>
      <c r="M6107" s="5">
        <f t="shared" si="730"/>
        <v>2013</v>
      </c>
    </row>
    <row r="6108" spans="1:13" ht="15" x14ac:dyDescent="0.25">
      <c r="A6108" s="1">
        <f>DATE(2013,3,25)</f>
        <v>41358</v>
      </c>
      <c r="B6108" t="s">
        <v>16</v>
      </c>
      <c r="C6108" t="s">
        <v>8</v>
      </c>
      <c r="D6108" s="3">
        <v>527.94970000000001</v>
      </c>
      <c r="E6108" s="3">
        <v>0</v>
      </c>
      <c r="F6108" t="s">
        <v>45</v>
      </c>
      <c r="G6108" s="3">
        <f t="shared" si="724"/>
        <v>-527.94970000000001</v>
      </c>
      <c r="H6108" s="3">
        <f t="shared" si="725"/>
        <v>527.94970000000001</v>
      </c>
      <c r="I6108" s="5" t="str">
        <f t="shared" si="726"/>
        <v>017</v>
      </c>
      <c r="J6108" s="5" t="str">
        <f t="shared" si="727"/>
        <v>2210</v>
      </c>
      <c r="K6108" s="5" t="str">
        <f t="shared" si="728"/>
        <v>000</v>
      </c>
      <c r="L6108" s="5">
        <f t="shared" si="729"/>
        <v>3</v>
      </c>
      <c r="M6108" s="5">
        <f t="shared" si="730"/>
        <v>2013</v>
      </c>
    </row>
    <row r="6109" spans="1:13" ht="15" x14ac:dyDescent="0.25">
      <c r="A6109" s="1">
        <f>DATE(2013,3,25)</f>
        <v>41358</v>
      </c>
      <c r="B6109" t="s">
        <v>17</v>
      </c>
      <c r="C6109" t="s">
        <v>9</v>
      </c>
      <c r="D6109" s="3">
        <v>266.10639999999995</v>
      </c>
      <c r="E6109" s="3">
        <v>0</v>
      </c>
      <c r="F6109" t="s">
        <v>45</v>
      </c>
      <c r="G6109" s="3">
        <f t="shared" si="724"/>
        <v>-266.10639999999995</v>
      </c>
      <c r="H6109" s="3">
        <f t="shared" si="725"/>
        <v>266.10639999999995</v>
      </c>
      <c r="I6109" s="5" t="str">
        <f t="shared" si="726"/>
        <v>017</v>
      </c>
      <c r="J6109" s="5" t="str">
        <f t="shared" si="727"/>
        <v>2220</v>
      </c>
      <c r="K6109" s="5" t="str">
        <f t="shared" si="728"/>
        <v>000</v>
      </c>
      <c r="L6109" s="5">
        <f t="shared" si="729"/>
        <v>3</v>
      </c>
      <c r="M6109" s="5">
        <f t="shared" si="730"/>
        <v>2013</v>
      </c>
    </row>
    <row r="6110" spans="1:13" ht="15" x14ac:dyDescent="0.25">
      <c r="A6110" s="1">
        <f>DATE(2013,3,25)</f>
        <v>41358</v>
      </c>
      <c r="B6110" t="s">
        <v>18</v>
      </c>
      <c r="C6110" t="s">
        <v>10</v>
      </c>
      <c r="D6110" s="3">
        <v>35.173400000000001</v>
      </c>
      <c r="E6110" s="3">
        <v>0</v>
      </c>
      <c r="F6110" t="s">
        <v>45</v>
      </c>
      <c r="G6110" s="3">
        <f t="shared" si="724"/>
        <v>-35.173400000000001</v>
      </c>
      <c r="H6110" s="3">
        <f t="shared" si="725"/>
        <v>35.173400000000001</v>
      </c>
      <c r="I6110" s="5" t="str">
        <f t="shared" si="726"/>
        <v>017</v>
      </c>
      <c r="J6110" s="5" t="str">
        <f t="shared" si="727"/>
        <v>2230</v>
      </c>
      <c r="K6110" s="5" t="str">
        <f t="shared" si="728"/>
        <v>000</v>
      </c>
      <c r="L6110" s="5">
        <f t="shared" si="729"/>
        <v>3</v>
      </c>
      <c r="M6110" s="5">
        <f t="shared" si="730"/>
        <v>2013</v>
      </c>
    </row>
    <row r="6111" spans="1:13" ht="15" x14ac:dyDescent="0.25">
      <c r="A6111" s="1">
        <f>DATE(2013,3,26)</f>
        <v>41359</v>
      </c>
      <c r="B6111" t="s">
        <v>15</v>
      </c>
      <c r="C6111" t="s">
        <v>6</v>
      </c>
      <c r="D6111" s="3">
        <v>5559.6815999999999</v>
      </c>
      <c r="E6111" s="3">
        <v>0</v>
      </c>
      <c r="F6111" t="s">
        <v>45</v>
      </c>
      <c r="G6111" s="3">
        <f t="shared" si="724"/>
        <v>-5559.6815999999999</v>
      </c>
      <c r="H6111" s="3">
        <f t="shared" si="725"/>
        <v>5559.6815999999999</v>
      </c>
      <c r="I6111" s="5" t="str">
        <f t="shared" si="726"/>
        <v>017</v>
      </c>
      <c r="J6111" s="5" t="str">
        <f t="shared" si="727"/>
        <v>2100</v>
      </c>
      <c r="K6111" s="5" t="str">
        <f t="shared" si="728"/>
        <v>000</v>
      </c>
      <c r="L6111" s="5">
        <f t="shared" si="729"/>
        <v>3</v>
      </c>
      <c r="M6111" s="5">
        <f t="shared" si="730"/>
        <v>2013</v>
      </c>
    </row>
    <row r="6112" spans="1:13" ht="15" x14ac:dyDescent="0.25">
      <c r="A6112" s="1">
        <f>DATE(2013,3,26)</f>
        <v>41359</v>
      </c>
      <c r="B6112" t="s">
        <v>16</v>
      </c>
      <c r="C6112" t="s">
        <v>8</v>
      </c>
      <c r="D6112" s="3">
        <v>1884.1937999999998</v>
      </c>
      <c r="E6112" s="3">
        <v>0</v>
      </c>
      <c r="F6112" t="s">
        <v>45</v>
      </c>
      <c r="G6112" s="3">
        <f t="shared" si="724"/>
        <v>-1884.1937999999998</v>
      </c>
      <c r="H6112" s="3">
        <f t="shared" si="725"/>
        <v>1884.1937999999998</v>
      </c>
      <c r="I6112" s="5" t="str">
        <f t="shared" si="726"/>
        <v>017</v>
      </c>
      <c r="J6112" s="5" t="str">
        <f t="shared" si="727"/>
        <v>2210</v>
      </c>
      <c r="K6112" s="5" t="str">
        <f t="shared" si="728"/>
        <v>000</v>
      </c>
      <c r="L6112" s="5">
        <f t="shared" si="729"/>
        <v>3</v>
      </c>
      <c r="M6112" s="5">
        <f t="shared" si="730"/>
        <v>2013</v>
      </c>
    </row>
    <row r="6113" spans="1:13" ht="15" x14ac:dyDescent="0.25">
      <c r="A6113" s="1">
        <f>DATE(2013,3,26)</f>
        <v>41359</v>
      </c>
      <c r="B6113" t="s">
        <v>17</v>
      </c>
      <c r="C6113" t="s">
        <v>9</v>
      </c>
      <c r="D6113" s="3">
        <v>608.74289999999996</v>
      </c>
      <c r="E6113" s="3">
        <v>0</v>
      </c>
      <c r="F6113" t="s">
        <v>45</v>
      </c>
      <c r="G6113" s="3">
        <f t="shared" si="724"/>
        <v>-608.74289999999996</v>
      </c>
      <c r="H6113" s="3">
        <f t="shared" si="725"/>
        <v>608.74289999999996</v>
      </c>
      <c r="I6113" s="5" t="str">
        <f t="shared" si="726"/>
        <v>017</v>
      </c>
      <c r="J6113" s="5" t="str">
        <f t="shared" si="727"/>
        <v>2220</v>
      </c>
      <c r="K6113" s="5" t="str">
        <f t="shared" si="728"/>
        <v>000</v>
      </c>
      <c r="L6113" s="5">
        <f t="shared" si="729"/>
        <v>3</v>
      </c>
      <c r="M6113" s="5">
        <f t="shared" si="730"/>
        <v>2013</v>
      </c>
    </row>
    <row r="6114" spans="1:13" ht="15" x14ac:dyDescent="0.25">
      <c r="A6114" s="1">
        <f>DATE(2013,3,26)</f>
        <v>41359</v>
      </c>
      <c r="B6114" t="s">
        <v>18</v>
      </c>
      <c r="C6114" t="s">
        <v>10</v>
      </c>
      <c r="D6114" s="3">
        <v>207.0822</v>
      </c>
      <c r="E6114" s="3">
        <v>0</v>
      </c>
      <c r="F6114" t="s">
        <v>45</v>
      </c>
      <c r="G6114" s="3">
        <f t="shared" si="724"/>
        <v>-207.0822</v>
      </c>
      <c r="H6114" s="3">
        <f t="shared" si="725"/>
        <v>207.0822</v>
      </c>
      <c r="I6114" s="5" t="str">
        <f t="shared" si="726"/>
        <v>017</v>
      </c>
      <c r="J6114" s="5" t="str">
        <f t="shared" si="727"/>
        <v>2230</v>
      </c>
      <c r="K6114" s="5" t="str">
        <f t="shared" si="728"/>
        <v>000</v>
      </c>
      <c r="L6114" s="5">
        <f t="shared" si="729"/>
        <v>3</v>
      </c>
      <c r="M6114" s="5">
        <f t="shared" si="730"/>
        <v>2013</v>
      </c>
    </row>
    <row r="6115" spans="1:13" ht="15" x14ac:dyDescent="0.25">
      <c r="A6115" s="1">
        <f>DATE(2013,3,27)</f>
        <v>41360</v>
      </c>
      <c r="B6115" t="s">
        <v>15</v>
      </c>
      <c r="C6115" t="s">
        <v>6</v>
      </c>
      <c r="D6115" s="3">
        <v>7053.8332</v>
      </c>
      <c r="E6115" s="3">
        <v>0</v>
      </c>
      <c r="F6115" t="s">
        <v>45</v>
      </c>
      <c r="G6115" s="3">
        <f t="shared" si="724"/>
        <v>-7053.8332</v>
      </c>
      <c r="H6115" s="3">
        <f t="shared" si="725"/>
        <v>7053.8332</v>
      </c>
      <c r="I6115" s="5" t="str">
        <f t="shared" si="726"/>
        <v>017</v>
      </c>
      <c r="J6115" s="5" t="str">
        <f t="shared" si="727"/>
        <v>2100</v>
      </c>
      <c r="K6115" s="5" t="str">
        <f t="shared" si="728"/>
        <v>000</v>
      </c>
      <c r="L6115" s="5">
        <f t="shared" si="729"/>
        <v>3</v>
      </c>
      <c r="M6115" s="5">
        <f t="shared" si="730"/>
        <v>2013</v>
      </c>
    </row>
    <row r="6116" spans="1:13" ht="15" x14ac:dyDescent="0.25">
      <c r="A6116" s="1">
        <f>DATE(2013,3,27)</f>
        <v>41360</v>
      </c>
      <c r="B6116" t="s">
        <v>16</v>
      </c>
      <c r="C6116" t="s">
        <v>8</v>
      </c>
      <c r="D6116" s="3">
        <v>1446.1019999999999</v>
      </c>
      <c r="E6116" s="3">
        <v>0</v>
      </c>
      <c r="F6116" t="s">
        <v>45</v>
      </c>
      <c r="G6116" s="3">
        <f t="shared" si="724"/>
        <v>-1446.1019999999999</v>
      </c>
      <c r="H6116" s="3">
        <f t="shared" si="725"/>
        <v>1446.1019999999999</v>
      </c>
      <c r="I6116" s="5" t="str">
        <f t="shared" si="726"/>
        <v>017</v>
      </c>
      <c r="J6116" s="5" t="str">
        <f t="shared" si="727"/>
        <v>2210</v>
      </c>
      <c r="K6116" s="5" t="str">
        <f t="shared" si="728"/>
        <v>000</v>
      </c>
      <c r="L6116" s="5">
        <f t="shared" si="729"/>
        <v>3</v>
      </c>
      <c r="M6116" s="5">
        <f t="shared" si="730"/>
        <v>2013</v>
      </c>
    </row>
    <row r="6117" spans="1:13" ht="15" x14ac:dyDescent="0.25">
      <c r="A6117" s="1">
        <f>DATE(2013,3,27)</f>
        <v>41360</v>
      </c>
      <c r="B6117" t="s">
        <v>17</v>
      </c>
      <c r="C6117" t="s">
        <v>9</v>
      </c>
      <c r="D6117" s="3">
        <v>487.46699999999998</v>
      </c>
      <c r="E6117" s="3">
        <v>0</v>
      </c>
      <c r="F6117" t="s">
        <v>45</v>
      </c>
      <c r="G6117" s="3">
        <f t="shared" si="724"/>
        <v>-487.46699999999998</v>
      </c>
      <c r="H6117" s="3">
        <f t="shared" si="725"/>
        <v>487.46699999999998</v>
      </c>
      <c r="I6117" s="5" t="str">
        <f t="shared" si="726"/>
        <v>017</v>
      </c>
      <c r="J6117" s="5" t="str">
        <f t="shared" si="727"/>
        <v>2220</v>
      </c>
      <c r="K6117" s="5" t="str">
        <f t="shared" si="728"/>
        <v>000</v>
      </c>
      <c r="L6117" s="5">
        <f t="shared" si="729"/>
        <v>3</v>
      </c>
      <c r="M6117" s="5">
        <f t="shared" si="730"/>
        <v>2013</v>
      </c>
    </row>
    <row r="6118" spans="1:13" ht="15" x14ac:dyDescent="0.25">
      <c r="A6118" s="1">
        <f>DATE(2013,3,27)</f>
        <v>41360</v>
      </c>
      <c r="B6118" t="s">
        <v>18</v>
      </c>
      <c r="C6118" t="s">
        <v>10</v>
      </c>
      <c r="D6118" s="3">
        <v>65.883499999999998</v>
      </c>
      <c r="E6118" s="3">
        <v>0</v>
      </c>
      <c r="F6118" t="s">
        <v>45</v>
      </c>
      <c r="G6118" s="3">
        <f t="shared" si="724"/>
        <v>-65.883499999999998</v>
      </c>
      <c r="H6118" s="3">
        <f t="shared" si="725"/>
        <v>65.883499999999998</v>
      </c>
      <c r="I6118" s="5" t="str">
        <f t="shared" si="726"/>
        <v>017</v>
      </c>
      <c r="J6118" s="5" t="str">
        <f t="shared" si="727"/>
        <v>2230</v>
      </c>
      <c r="K6118" s="5" t="str">
        <f t="shared" si="728"/>
        <v>000</v>
      </c>
      <c r="L6118" s="5">
        <f t="shared" si="729"/>
        <v>3</v>
      </c>
      <c r="M6118" s="5">
        <f t="shared" si="730"/>
        <v>2013</v>
      </c>
    </row>
    <row r="6119" spans="1:13" ht="15" x14ac:dyDescent="0.25">
      <c r="A6119" s="1">
        <f>DATE(2013,3,28)</f>
        <v>41361</v>
      </c>
      <c r="B6119" t="s">
        <v>15</v>
      </c>
      <c r="C6119" t="s">
        <v>6</v>
      </c>
      <c r="D6119" s="3">
        <v>8417.8528000000006</v>
      </c>
      <c r="E6119" s="3">
        <v>0</v>
      </c>
      <c r="F6119" t="s">
        <v>45</v>
      </c>
      <c r="G6119" s="3">
        <f t="shared" si="724"/>
        <v>-8417.8528000000006</v>
      </c>
      <c r="H6119" s="3">
        <f t="shared" si="725"/>
        <v>8417.8528000000006</v>
      </c>
      <c r="I6119" s="5" t="str">
        <f t="shared" si="726"/>
        <v>017</v>
      </c>
      <c r="J6119" s="5" t="str">
        <f t="shared" si="727"/>
        <v>2100</v>
      </c>
      <c r="K6119" s="5" t="str">
        <f t="shared" si="728"/>
        <v>000</v>
      </c>
      <c r="L6119" s="5">
        <f t="shared" si="729"/>
        <v>3</v>
      </c>
      <c r="M6119" s="5">
        <f t="shared" si="730"/>
        <v>2013</v>
      </c>
    </row>
    <row r="6120" spans="1:13" ht="15" x14ac:dyDescent="0.25">
      <c r="A6120" s="1">
        <f>DATE(2013,3,28)</f>
        <v>41361</v>
      </c>
      <c r="B6120" t="s">
        <v>16</v>
      </c>
      <c r="C6120" t="s">
        <v>8</v>
      </c>
      <c r="D6120" s="3">
        <v>2643.3712</v>
      </c>
      <c r="E6120" s="3">
        <v>0</v>
      </c>
      <c r="F6120" t="s">
        <v>45</v>
      </c>
      <c r="G6120" s="3">
        <f t="shared" si="724"/>
        <v>-2643.3712</v>
      </c>
      <c r="H6120" s="3">
        <f t="shared" si="725"/>
        <v>2643.3712</v>
      </c>
      <c r="I6120" s="5" t="str">
        <f t="shared" si="726"/>
        <v>017</v>
      </c>
      <c r="J6120" s="5" t="str">
        <f t="shared" si="727"/>
        <v>2210</v>
      </c>
      <c r="K6120" s="5" t="str">
        <f t="shared" si="728"/>
        <v>000</v>
      </c>
      <c r="L6120" s="5">
        <f t="shared" si="729"/>
        <v>3</v>
      </c>
      <c r="M6120" s="5">
        <f t="shared" si="730"/>
        <v>2013</v>
      </c>
    </row>
    <row r="6121" spans="1:13" ht="15" x14ac:dyDescent="0.25">
      <c r="A6121" s="1">
        <f>DATE(2013,3,28)</f>
        <v>41361</v>
      </c>
      <c r="B6121" t="s">
        <v>17</v>
      </c>
      <c r="C6121" t="s">
        <v>9</v>
      </c>
      <c r="D6121" s="3">
        <v>461.51699999999994</v>
      </c>
      <c r="E6121" s="3">
        <v>0</v>
      </c>
      <c r="F6121" t="s">
        <v>45</v>
      </c>
      <c r="G6121" s="3">
        <f t="shared" si="724"/>
        <v>-461.51699999999994</v>
      </c>
      <c r="H6121" s="3">
        <f t="shared" si="725"/>
        <v>461.51699999999994</v>
      </c>
      <c r="I6121" s="5" t="str">
        <f t="shared" si="726"/>
        <v>017</v>
      </c>
      <c r="J6121" s="5" t="str">
        <f t="shared" si="727"/>
        <v>2220</v>
      </c>
      <c r="K6121" s="5" t="str">
        <f t="shared" si="728"/>
        <v>000</v>
      </c>
      <c r="L6121" s="5">
        <f t="shared" si="729"/>
        <v>3</v>
      </c>
      <c r="M6121" s="5">
        <f t="shared" si="730"/>
        <v>2013</v>
      </c>
    </row>
    <row r="6122" spans="1:13" ht="15" x14ac:dyDescent="0.25">
      <c r="A6122" s="1">
        <f>DATE(2013,3,28)</f>
        <v>41361</v>
      </c>
      <c r="B6122" t="s">
        <v>18</v>
      </c>
      <c r="C6122" t="s">
        <v>10</v>
      </c>
      <c r="D6122" s="3">
        <v>133.87400000000002</v>
      </c>
      <c r="E6122" s="3">
        <v>0</v>
      </c>
      <c r="F6122" t="s">
        <v>45</v>
      </c>
      <c r="G6122" s="3">
        <f t="shared" si="724"/>
        <v>-133.87400000000002</v>
      </c>
      <c r="H6122" s="3">
        <f t="shared" si="725"/>
        <v>133.87400000000002</v>
      </c>
      <c r="I6122" s="5" t="str">
        <f t="shared" si="726"/>
        <v>017</v>
      </c>
      <c r="J6122" s="5" t="str">
        <f t="shared" si="727"/>
        <v>2230</v>
      </c>
      <c r="K6122" s="5" t="str">
        <f t="shared" si="728"/>
        <v>000</v>
      </c>
      <c r="L6122" s="5">
        <f t="shared" si="729"/>
        <v>3</v>
      </c>
      <c r="M6122" s="5">
        <f t="shared" si="730"/>
        <v>2013</v>
      </c>
    </row>
    <row r="6123" spans="1:13" ht="15" x14ac:dyDescent="0.25">
      <c r="A6123" s="1">
        <f>DATE(2013,3,29)</f>
        <v>41362</v>
      </c>
      <c r="B6123" t="s">
        <v>15</v>
      </c>
      <c r="C6123" t="s">
        <v>6</v>
      </c>
      <c r="D6123" s="3">
        <v>10641.3532</v>
      </c>
      <c r="E6123" s="3">
        <v>0</v>
      </c>
      <c r="F6123" t="s">
        <v>45</v>
      </c>
      <c r="G6123" s="3">
        <f t="shared" si="724"/>
        <v>-10641.3532</v>
      </c>
      <c r="H6123" s="3">
        <f t="shared" si="725"/>
        <v>10641.3532</v>
      </c>
      <c r="I6123" s="5" t="str">
        <f t="shared" si="726"/>
        <v>017</v>
      </c>
      <c r="J6123" s="5" t="str">
        <f t="shared" si="727"/>
        <v>2100</v>
      </c>
      <c r="K6123" s="5" t="str">
        <f t="shared" si="728"/>
        <v>000</v>
      </c>
      <c r="L6123" s="5">
        <f t="shared" si="729"/>
        <v>3</v>
      </c>
      <c r="M6123" s="5">
        <f t="shared" si="730"/>
        <v>2013</v>
      </c>
    </row>
    <row r="6124" spans="1:13" ht="15" x14ac:dyDescent="0.25">
      <c r="A6124" s="1">
        <f>DATE(2013,3,29)</f>
        <v>41362</v>
      </c>
      <c r="B6124" t="s">
        <v>16</v>
      </c>
      <c r="C6124" t="s">
        <v>8</v>
      </c>
      <c r="D6124" s="3">
        <v>3223.0547999999999</v>
      </c>
      <c r="E6124" s="3">
        <v>0</v>
      </c>
      <c r="F6124" t="s">
        <v>45</v>
      </c>
      <c r="G6124" s="3">
        <f t="shared" si="724"/>
        <v>-3223.0547999999999</v>
      </c>
      <c r="H6124" s="3">
        <f t="shared" si="725"/>
        <v>3223.0547999999999</v>
      </c>
      <c r="I6124" s="5" t="str">
        <f t="shared" si="726"/>
        <v>017</v>
      </c>
      <c r="J6124" s="5" t="str">
        <f t="shared" si="727"/>
        <v>2210</v>
      </c>
      <c r="K6124" s="5" t="str">
        <f t="shared" si="728"/>
        <v>000</v>
      </c>
      <c r="L6124" s="5">
        <f t="shared" si="729"/>
        <v>3</v>
      </c>
      <c r="M6124" s="5">
        <f t="shared" si="730"/>
        <v>2013</v>
      </c>
    </row>
    <row r="6125" spans="1:13" ht="15" x14ac:dyDescent="0.25">
      <c r="A6125" s="1">
        <f>DATE(2013,3,29)</f>
        <v>41362</v>
      </c>
      <c r="B6125" t="s">
        <v>17</v>
      </c>
      <c r="C6125" t="s">
        <v>9</v>
      </c>
      <c r="D6125" s="3">
        <v>460.17180000000002</v>
      </c>
      <c r="E6125" s="3">
        <v>0</v>
      </c>
      <c r="F6125" t="s">
        <v>45</v>
      </c>
      <c r="G6125" s="3">
        <f t="shared" si="724"/>
        <v>-460.17180000000002</v>
      </c>
      <c r="H6125" s="3">
        <f t="shared" si="725"/>
        <v>460.17180000000002</v>
      </c>
      <c r="I6125" s="5" t="str">
        <f t="shared" si="726"/>
        <v>017</v>
      </c>
      <c r="J6125" s="5" t="str">
        <f t="shared" si="727"/>
        <v>2220</v>
      </c>
      <c r="K6125" s="5" t="str">
        <f t="shared" si="728"/>
        <v>000</v>
      </c>
      <c r="L6125" s="5">
        <f t="shared" si="729"/>
        <v>3</v>
      </c>
      <c r="M6125" s="5">
        <f t="shared" si="730"/>
        <v>2013</v>
      </c>
    </row>
    <row r="6126" spans="1:13" ht="15" x14ac:dyDescent="0.25">
      <c r="A6126" s="1">
        <f>DATE(2013,3,29)</f>
        <v>41362</v>
      </c>
      <c r="B6126" t="s">
        <v>18</v>
      </c>
      <c r="C6126" t="s">
        <v>10</v>
      </c>
      <c r="D6126" s="3">
        <v>113.26180000000001</v>
      </c>
      <c r="E6126" s="3">
        <v>0</v>
      </c>
      <c r="F6126" t="s">
        <v>45</v>
      </c>
      <c r="G6126" s="3">
        <f t="shared" si="724"/>
        <v>-113.26180000000001</v>
      </c>
      <c r="H6126" s="3">
        <f t="shared" si="725"/>
        <v>113.26180000000001</v>
      </c>
      <c r="I6126" s="5" t="str">
        <f t="shared" si="726"/>
        <v>017</v>
      </c>
      <c r="J6126" s="5" t="str">
        <f t="shared" si="727"/>
        <v>2230</v>
      </c>
      <c r="K6126" s="5" t="str">
        <f t="shared" si="728"/>
        <v>000</v>
      </c>
      <c r="L6126" s="5">
        <f t="shared" si="729"/>
        <v>3</v>
      </c>
      <c r="M6126" s="5">
        <f t="shared" si="730"/>
        <v>2013</v>
      </c>
    </row>
    <row r="6127" spans="1:13" ht="15" x14ac:dyDescent="0.25">
      <c r="A6127" s="1">
        <f>DATE(2013,3,30)</f>
        <v>41363</v>
      </c>
      <c r="B6127" t="s">
        <v>15</v>
      </c>
      <c r="C6127" t="s">
        <v>6</v>
      </c>
      <c r="D6127" s="3">
        <v>10058.1309</v>
      </c>
      <c r="E6127" s="3">
        <v>0</v>
      </c>
      <c r="F6127" t="s">
        <v>45</v>
      </c>
      <c r="G6127" s="3">
        <f t="shared" si="724"/>
        <v>-10058.1309</v>
      </c>
      <c r="H6127" s="3">
        <f t="shared" si="725"/>
        <v>10058.1309</v>
      </c>
      <c r="I6127" s="5" t="str">
        <f t="shared" si="726"/>
        <v>017</v>
      </c>
      <c r="J6127" s="5" t="str">
        <f t="shared" si="727"/>
        <v>2100</v>
      </c>
      <c r="K6127" s="5" t="str">
        <f t="shared" si="728"/>
        <v>000</v>
      </c>
      <c r="L6127" s="5">
        <f t="shared" si="729"/>
        <v>3</v>
      </c>
      <c r="M6127" s="5">
        <f t="shared" si="730"/>
        <v>2013</v>
      </c>
    </row>
    <row r="6128" spans="1:13" ht="15" x14ac:dyDescent="0.25">
      <c r="A6128" s="1">
        <f>DATE(2013,3,30)</f>
        <v>41363</v>
      </c>
      <c r="B6128" t="s">
        <v>16</v>
      </c>
      <c r="C6128" t="s">
        <v>8</v>
      </c>
      <c r="D6128" s="3">
        <v>1543.674</v>
      </c>
      <c r="E6128" s="3">
        <v>0</v>
      </c>
      <c r="F6128" t="s">
        <v>45</v>
      </c>
      <c r="G6128" s="3">
        <f t="shared" si="724"/>
        <v>-1543.674</v>
      </c>
      <c r="H6128" s="3">
        <f t="shared" si="725"/>
        <v>1543.674</v>
      </c>
      <c r="I6128" s="5" t="str">
        <f t="shared" si="726"/>
        <v>017</v>
      </c>
      <c r="J6128" s="5" t="str">
        <f t="shared" si="727"/>
        <v>2210</v>
      </c>
      <c r="K6128" s="5" t="str">
        <f t="shared" si="728"/>
        <v>000</v>
      </c>
      <c r="L6128" s="5">
        <f t="shared" si="729"/>
        <v>3</v>
      </c>
      <c r="M6128" s="5">
        <f t="shared" si="730"/>
        <v>2013</v>
      </c>
    </row>
    <row r="6129" spans="1:13" ht="15" x14ac:dyDescent="0.25">
      <c r="A6129" s="1">
        <f>DATE(2013,3,30)</f>
        <v>41363</v>
      </c>
      <c r="B6129" t="s">
        <v>17</v>
      </c>
      <c r="C6129" t="s">
        <v>9</v>
      </c>
      <c r="D6129" s="3">
        <v>722.10799999999995</v>
      </c>
      <c r="E6129" s="3">
        <v>0</v>
      </c>
      <c r="F6129" t="s">
        <v>45</v>
      </c>
      <c r="G6129" s="3">
        <f t="shared" si="724"/>
        <v>-722.10799999999995</v>
      </c>
      <c r="H6129" s="3">
        <f t="shared" si="725"/>
        <v>722.10799999999995</v>
      </c>
      <c r="I6129" s="5" t="str">
        <f t="shared" si="726"/>
        <v>017</v>
      </c>
      <c r="J6129" s="5" t="str">
        <f t="shared" si="727"/>
        <v>2220</v>
      </c>
      <c r="K6129" s="5" t="str">
        <f t="shared" si="728"/>
        <v>000</v>
      </c>
      <c r="L6129" s="5">
        <f t="shared" si="729"/>
        <v>3</v>
      </c>
      <c r="M6129" s="5">
        <f t="shared" si="730"/>
        <v>2013</v>
      </c>
    </row>
    <row r="6130" spans="1:13" ht="15" x14ac:dyDescent="0.25">
      <c r="A6130" s="1">
        <f>DATE(2013,3,30)</f>
        <v>41363</v>
      </c>
      <c r="B6130" t="s">
        <v>18</v>
      </c>
      <c r="C6130" t="s">
        <v>10</v>
      </c>
      <c r="D6130" s="3">
        <v>57.657600000000002</v>
      </c>
      <c r="E6130" s="3">
        <v>0</v>
      </c>
      <c r="F6130" t="s">
        <v>45</v>
      </c>
      <c r="G6130" s="3">
        <f t="shared" si="724"/>
        <v>-57.657600000000002</v>
      </c>
      <c r="H6130" s="3">
        <f t="shared" si="725"/>
        <v>57.657600000000002</v>
      </c>
      <c r="I6130" s="5" t="str">
        <f t="shared" si="726"/>
        <v>017</v>
      </c>
      <c r="J6130" s="5" t="str">
        <f t="shared" si="727"/>
        <v>2230</v>
      </c>
      <c r="K6130" s="5" t="str">
        <f t="shared" si="728"/>
        <v>000</v>
      </c>
      <c r="L6130" s="5">
        <f t="shared" si="729"/>
        <v>3</v>
      </c>
      <c r="M6130" s="5">
        <f t="shared" si="730"/>
        <v>2013</v>
      </c>
    </row>
    <row r="6131" spans="1:13" ht="15" x14ac:dyDescent="0.25">
      <c r="A6131" s="1">
        <f>DATE(2013,3,31)</f>
        <v>41364</v>
      </c>
      <c r="B6131" t="s">
        <v>15</v>
      </c>
      <c r="C6131" t="s">
        <v>6</v>
      </c>
      <c r="D6131" s="3">
        <v>4095.2296000000001</v>
      </c>
      <c r="E6131" s="3">
        <v>0</v>
      </c>
      <c r="F6131" t="s">
        <v>45</v>
      </c>
      <c r="G6131" s="3">
        <f t="shared" si="724"/>
        <v>-4095.2296000000001</v>
      </c>
      <c r="H6131" s="3">
        <f t="shared" si="725"/>
        <v>4095.2296000000001</v>
      </c>
      <c r="I6131" s="5" t="str">
        <f t="shared" si="726"/>
        <v>017</v>
      </c>
      <c r="J6131" s="5" t="str">
        <f t="shared" si="727"/>
        <v>2100</v>
      </c>
      <c r="K6131" s="5" t="str">
        <f t="shared" si="728"/>
        <v>000</v>
      </c>
      <c r="L6131" s="5">
        <f t="shared" si="729"/>
        <v>3</v>
      </c>
      <c r="M6131" s="5">
        <f t="shared" si="730"/>
        <v>2013</v>
      </c>
    </row>
    <row r="6132" spans="1:13" ht="15" x14ac:dyDescent="0.25">
      <c r="A6132" s="1">
        <f>DATE(2013,3,31)</f>
        <v>41364</v>
      </c>
      <c r="B6132" t="s">
        <v>16</v>
      </c>
      <c r="C6132" t="s">
        <v>8</v>
      </c>
      <c r="D6132" s="3">
        <v>455.03399999999999</v>
      </c>
      <c r="E6132" s="3">
        <v>0</v>
      </c>
      <c r="F6132" t="s">
        <v>45</v>
      </c>
      <c r="G6132" s="3">
        <f t="shared" si="724"/>
        <v>-455.03399999999999</v>
      </c>
      <c r="H6132" s="3">
        <f t="shared" si="725"/>
        <v>455.03399999999999</v>
      </c>
      <c r="I6132" s="5" t="str">
        <f t="shared" si="726"/>
        <v>017</v>
      </c>
      <c r="J6132" s="5" t="str">
        <f t="shared" si="727"/>
        <v>2210</v>
      </c>
      <c r="K6132" s="5" t="str">
        <f t="shared" si="728"/>
        <v>000</v>
      </c>
      <c r="L6132" s="5">
        <f t="shared" si="729"/>
        <v>3</v>
      </c>
      <c r="M6132" s="5">
        <f t="shared" si="730"/>
        <v>2013</v>
      </c>
    </row>
    <row r="6133" spans="1:13" ht="15" x14ac:dyDescent="0.25">
      <c r="A6133" s="1">
        <f>DATE(2013,3,31)</f>
        <v>41364</v>
      </c>
      <c r="B6133" t="s">
        <v>17</v>
      </c>
      <c r="C6133" t="s">
        <v>9</v>
      </c>
      <c r="D6133" s="3">
        <v>83.405999999999992</v>
      </c>
      <c r="E6133" s="3">
        <v>0</v>
      </c>
      <c r="F6133" t="s">
        <v>45</v>
      </c>
      <c r="G6133" s="3">
        <f t="shared" si="724"/>
        <v>-83.405999999999992</v>
      </c>
      <c r="H6133" s="3">
        <f t="shared" si="725"/>
        <v>83.405999999999992</v>
      </c>
      <c r="I6133" s="5" t="str">
        <f t="shared" si="726"/>
        <v>017</v>
      </c>
      <c r="J6133" s="5" t="str">
        <f t="shared" si="727"/>
        <v>2220</v>
      </c>
      <c r="K6133" s="5" t="str">
        <f t="shared" si="728"/>
        <v>000</v>
      </c>
      <c r="L6133" s="5">
        <f t="shared" si="729"/>
        <v>3</v>
      </c>
      <c r="M6133" s="5">
        <f t="shared" si="730"/>
        <v>2013</v>
      </c>
    </row>
    <row r="6134" spans="1:13" ht="15" x14ac:dyDescent="0.25">
      <c r="A6134" s="1">
        <f>DATE(2013,3,31)</f>
        <v>41364</v>
      </c>
      <c r="B6134" t="s">
        <v>18</v>
      </c>
      <c r="C6134" t="s">
        <v>10</v>
      </c>
      <c r="D6134" s="3">
        <v>46.404600000000002</v>
      </c>
      <c r="E6134" s="3">
        <v>0</v>
      </c>
      <c r="F6134" t="s">
        <v>45</v>
      </c>
      <c r="G6134" s="3">
        <f t="shared" si="724"/>
        <v>-46.404600000000002</v>
      </c>
      <c r="H6134" s="3">
        <f t="shared" si="725"/>
        <v>46.404600000000002</v>
      </c>
      <c r="I6134" s="5" t="str">
        <f t="shared" si="726"/>
        <v>017</v>
      </c>
      <c r="J6134" s="5" t="str">
        <f t="shared" si="727"/>
        <v>2230</v>
      </c>
      <c r="K6134" s="5" t="str">
        <f t="shared" si="728"/>
        <v>000</v>
      </c>
      <c r="L6134" s="5">
        <f t="shared" si="729"/>
        <v>3</v>
      </c>
      <c r="M6134" s="5">
        <f t="shared" si="730"/>
        <v>2013</v>
      </c>
    </row>
    <row r="6135" spans="1:13" ht="15" x14ac:dyDescent="0.25">
      <c r="A6135" s="1">
        <f>DATE(2013,3,25)</f>
        <v>41358</v>
      </c>
      <c r="B6135" t="s">
        <v>19</v>
      </c>
      <c r="C6135" t="s">
        <v>6</v>
      </c>
      <c r="D6135" s="3">
        <v>3020.7096000000001</v>
      </c>
      <c r="E6135" s="3">
        <v>0</v>
      </c>
      <c r="F6135" t="s">
        <v>45</v>
      </c>
      <c r="G6135" s="3">
        <f t="shared" si="724"/>
        <v>-3020.7096000000001</v>
      </c>
      <c r="H6135" s="3">
        <f t="shared" si="725"/>
        <v>3020.7096000000001</v>
      </c>
      <c r="I6135" s="5" t="str">
        <f t="shared" si="726"/>
        <v>018</v>
      </c>
      <c r="J6135" s="5" t="str">
        <f t="shared" si="727"/>
        <v>2100</v>
      </c>
      <c r="K6135" s="5" t="str">
        <f t="shared" si="728"/>
        <v>000</v>
      </c>
      <c r="L6135" s="5">
        <f t="shared" si="729"/>
        <v>3</v>
      </c>
      <c r="M6135" s="5">
        <f t="shared" si="730"/>
        <v>2013</v>
      </c>
    </row>
    <row r="6136" spans="1:13" ht="15" x14ac:dyDescent="0.25">
      <c r="A6136" s="1">
        <f>DATE(2013,3,25)</f>
        <v>41358</v>
      </c>
      <c r="B6136" t="s">
        <v>20</v>
      </c>
      <c r="C6136" t="s">
        <v>8</v>
      </c>
      <c r="D6136" s="3">
        <v>659.15560000000005</v>
      </c>
      <c r="E6136" s="3">
        <v>0</v>
      </c>
      <c r="F6136" t="s">
        <v>45</v>
      </c>
      <c r="G6136" s="3">
        <f t="shared" si="724"/>
        <v>-659.15560000000005</v>
      </c>
      <c r="H6136" s="3">
        <f t="shared" si="725"/>
        <v>659.15560000000005</v>
      </c>
      <c r="I6136" s="5" t="str">
        <f t="shared" si="726"/>
        <v>018</v>
      </c>
      <c r="J6136" s="5" t="str">
        <f t="shared" si="727"/>
        <v>2210</v>
      </c>
      <c r="K6136" s="5" t="str">
        <f t="shared" si="728"/>
        <v>000</v>
      </c>
      <c r="L6136" s="5">
        <f t="shared" si="729"/>
        <v>3</v>
      </c>
      <c r="M6136" s="5">
        <f t="shared" si="730"/>
        <v>2013</v>
      </c>
    </row>
    <row r="6137" spans="1:13" ht="15" x14ac:dyDescent="0.25">
      <c r="A6137" s="1">
        <f>DATE(2013,3,25)</f>
        <v>41358</v>
      </c>
      <c r="B6137" t="s">
        <v>21</v>
      </c>
      <c r="C6137" t="s">
        <v>9</v>
      </c>
      <c r="D6137" s="3">
        <v>135.32849999999999</v>
      </c>
      <c r="E6137" s="3">
        <v>0</v>
      </c>
      <c r="F6137" t="s">
        <v>45</v>
      </c>
      <c r="G6137" s="3">
        <f t="shared" si="724"/>
        <v>-135.32849999999999</v>
      </c>
      <c r="H6137" s="3">
        <f t="shared" si="725"/>
        <v>135.32849999999999</v>
      </c>
      <c r="I6137" s="5" t="str">
        <f t="shared" si="726"/>
        <v>018</v>
      </c>
      <c r="J6137" s="5" t="str">
        <f t="shared" si="727"/>
        <v>2220</v>
      </c>
      <c r="K6137" s="5" t="str">
        <f t="shared" si="728"/>
        <v>000</v>
      </c>
      <c r="L6137" s="5">
        <f t="shared" si="729"/>
        <v>3</v>
      </c>
      <c r="M6137" s="5">
        <f t="shared" si="730"/>
        <v>2013</v>
      </c>
    </row>
    <row r="6138" spans="1:13" ht="15" x14ac:dyDescent="0.25">
      <c r="A6138" s="1">
        <f>DATE(2013,3,25)</f>
        <v>41358</v>
      </c>
      <c r="B6138" t="s">
        <v>22</v>
      </c>
      <c r="C6138" t="s">
        <v>10</v>
      </c>
      <c r="D6138" s="3">
        <v>11.984999999999999</v>
      </c>
      <c r="E6138" s="3">
        <v>0</v>
      </c>
      <c r="F6138" t="s">
        <v>45</v>
      </c>
      <c r="G6138" s="3">
        <f t="shared" si="724"/>
        <v>-11.984999999999999</v>
      </c>
      <c r="H6138" s="3">
        <f t="shared" si="725"/>
        <v>11.984999999999999</v>
      </c>
      <c r="I6138" s="5" t="str">
        <f t="shared" si="726"/>
        <v>018</v>
      </c>
      <c r="J6138" s="5" t="str">
        <f t="shared" si="727"/>
        <v>2230</v>
      </c>
      <c r="K6138" s="5" t="str">
        <f t="shared" si="728"/>
        <v>000</v>
      </c>
      <c r="L6138" s="5">
        <f t="shared" si="729"/>
        <v>3</v>
      </c>
      <c r="M6138" s="5">
        <f t="shared" si="730"/>
        <v>2013</v>
      </c>
    </row>
    <row r="6139" spans="1:13" ht="15" x14ac:dyDescent="0.25">
      <c r="A6139" s="1">
        <f>DATE(2013,3,26)</f>
        <v>41359</v>
      </c>
      <c r="B6139" t="s">
        <v>19</v>
      </c>
      <c r="C6139" t="s">
        <v>6</v>
      </c>
      <c r="D6139" s="3">
        <v>5279.5604000000003</v>
      </c>
      <c r="E6139" s="3">
        <v>0</v>
      </c>
      <c r="F6139" t="s">
        <v>45</v>
      </c>
      <c r="G6139" s="3">
        <f t="shared" si="724"/>
        <v>-5279.5604000000003</v>
      </c>
      <c r="H6139" s="3">
        <f t="shared" si="725"/>
        <v>5279.5604000000003</v>
      </c>
      <c r="I6139" s="5" t="str">
        <f t="shared" si="726"/>
        <v>018</v>
      </c>
      <c r="J6139" s="5" t="str">
        <f t="shared" si="727"/>
        <v>2100</v>
      </c>
      <c r="K6139" s="5" t="str">
        <f t="shared" si="728"/>
        <v>000</v>
      </c>
      <c r="L6139" s="5">
        <f t="shared" si="729"/>
        <v>3</v>
      </c>
      <c r="M6139" s="5">
        <f t="shared" si="730"/>
        <v>2013</v>
      </c>
    </row>
    <row r="6140" spans="1:13" ht="15" x14ac:dyDescent="0.25">
      <c r="A6140" s="1">
        <f>DATE(2013,3,26)</f>
        <v>41359</v>
      </c>
      <c r="B6140" t="s">
        <v>20</v>
      </c>
      <c r="C6140" t="s">
        <v>8</v>
      </c>
      <c r="D6140" s="3">
        <v>754.24719999999991</v>
      </c>
      <c r="E6140" s="3">
        <v>0</v>
      </c>
      <c r="F6140" t="s">
        <v>45</v>
      </c>
      <c r="G6140" s="3">
        <f t="shared" si="724"/>
        <v>-754.24719999999991</v>
      </c>
      <c r="H6140" s="3">
        <f t="shared" si="725"/>
        <v>754.24719999999991</v>
      </c>
      <c r="I6140" s="5" t="str">
        <f t="shared" si="726"/>
        <v>018</v>
      </c>
      <c r="J6140" s="5" t="str">
        <f t="shared" si="727"/>
        <v>2210</v>
      </c>
      <c r="K6140" s="5" t="str">
        <f t="shared" si="728"/>
        <v>000</v>
      </c>
      <c r="L6140" s="5">
        <f t="shared" si="729"/>
        <v>3</v>
      </c>
      <c r="M6140" s="5">
        <f t="shared" si="730"/>
        <v>2013</v>
      </c>
    </row>
    <row r="6141" spans="1:13" ht="15" x14ac:dyDescent="0.25">
      <c r="A6141" s="1">
        <f>DATE(2013,3,26)</f>
        <v>41359</v>
      </c>
      <c r="B6141" t="s">
        <v>21</v>
      </c>
      <c r="C6141" t="s">
        <v>9</v>
      </c>
      <c r="D6141" s="3">
        <v>281.54699999999997</v>
      </c>
      <c r="E6141" s="3">
        <v>0</v>
      </c>
      <c r="F6141" t="s">
        <v>45</v>
      </c>
      <c r="G6141" s="3">
        <f t="shared" si="724"/>
        <v>-281.54699999999997</v>
      </c>
      <c r="H6141" s="3">
        <f t="shared" si="725"/>
        <v>281.54699999999997</v>
      </c>
      <c r="I6141" s="5" t="str">
        <f t="shared" si="726"/>
        <v>018</v>
      </c>
      <c r="J6141" s="5" t="str">
        <f t="shared" si="727"/>
        <v>2220</v>
      </c>
      <c r="K6141" s="5" t="str">
        <f t="shared" si="728"/>
        <v>000</v>
      </c>
      <c r="L6141" s="5">
        <f t="shared" si="729"/>
        <v>3</v>
      </c>
      <c r="M6141" s="5">
        <f t="shared" si="730"/>
        <v>2013</v>
      </c>
    </row>
    <row r="6142" spans="1:13" ht="15" x14ac:dyDescent="0.25">
      <c r="A6142" s="1">
        <f>DATE(2013,3,26)</f>
        <v>41359</v>
      </c>
      <c r="B6142" t="s">
        <v>22</v>
      </c>
      <c r="C6142" t="s">
        <v>10</v>
      </c>
      <c r="D6142" s="3">
        <v>25.258800000000001</v>
      </c>
      <c r="E6142" s="3">
        <v>0</v>
      </c>
      <c r="F6142" t="s">
        <v>45</v>
      </c>
      <c r="G6142" s="3">
        <f t="shared" si="724"/>
        <v>-25.258800000000001</v>
      </c>
      <c r="H6142" s="3">
        <f t="shared" si="725"/>
        <v>25.258800000000001</v>
      </c>
      <c r="I6142" s="5" t="str">
        <f t="shared" si="726"/>
        <v>018</v>
      </c>
      <c r="J6142" s="5" t="str">
        <f t="shared" si="727"/>
        <v>2230</v>
      </c>
      <c r="K6142" s="5" t="str">
        <f t="shared" si="728"/>
        <v>000</v>
      </c>
      <c r="L6142" s="5">
        <f t="shared" si="729"/>
        <v>3</v>
      </c>
      <c r="M6142" s="5">
        <f t="shared" si="730"/>
        <v>2013</v>
      </c>
    </row>
    <row r="6143" spans="1:13" ht="15" x14ac:dyDescent="0.25">
      <c r="A6143" s="1">
        <f>DATE(2013,3,27)</f>
        <v>41360</v>
      </c>
      <c r="B6143" t="s">
        <v>19</v>
      </c>
      <c r="C6143" t="s">
        <v>6</v>
      </c>
      <c r="D6143" s="3">
        <v>4382.5205999999998</v>
      </c>
      <c r="E6143" s="3">
        <v>0</v>
      </c>
      <c r="F6143" t="s">
        <v>45</v>
      </c>
      <c r="G6143" s="3">
        <f t="shared" si="724"/>
        <v>-4382.5205999999998</v>
      </c>
      <c r="H6143" s="3">
        <f t="shared" si="725"/>
        <v>4382.5205999999998</v>
      </c>
      <c r="I6143" s="5" t="str">
        <f t="shared" si="726"/>
        <v>018</v>
      </c>
      <c r="J6143" s="5" t="str">
        <f t="shared" si="727"/>
        <v>2100</v>
      </c>
      <c r="K6143" s="5" t="str">
        <f t="shared" si="728"/>
        <v>000</v>
      </c>
      <c r="L6143" s="5">
        <f t="shared" si="729"/>
        <v>3</v>
      </c>
      <c r="M6143" s="5">
        <f t="shared" si="730"/>
        <v>2013</v>
      </c>
    </row>
    <row r="6144" spans="1:13" ht="15" x14ac:dyDescent="0.25">
      <c r="A6144" s="1">
        <f>DATE(2013,3,27)</f>
        <v>41360</v>
      </c>
      <c r="B6144" t="s">
        <v>20</v>
      </c>
      <c r="C6144" t="s">
        <v>8</v>
      </c>
      <c r="D6144" s="3">
        <v>863.41679999999985</v>
      </c>
      <c r="E6144" s="3">
        <v>0</v>
      </c>
      <c r="F6144" t="s">
        <v>45</v>
      </c>
      <c r="G6144" s="3">
        <f t="shared" si="724"/>
        <v>-863.41679999999985</v>
      </c>
      <c r="H6144" s="3">
        <f t="shared" si="725"/>
        <v>863.41679999999985</v>
      </c>
      <c r="I6144" s="5" t="str">
        <f t="shared" si="726"/>
        <v>018</v>
      </c>
      <c r="J6144" s="5" t="str">
        <f t="shared" si="727"/>
        <v>2210</v>
      </c>
      <c r="K6144" s="5" t="str">
        <f t="shared" si="728"/>
        <v>000</v>
      </c>
      <c r="L6144" s="5">
        <f t="shared" si="729"/>
        <v>3</v>
      </c>
      <c r="M6144" s="5">
        <f t="shared" si="730"/>
        <v>2013</v>
      </c>
    </row>
    <row r="6145" spans="1:13" ht="15" x14ac:dyDescent="0.25">
      <c r="A6145" s="1">
        <f>DATE(2013,3,27)</f>
        <v>41360</v>
      </c>
      <c r="B6145" t="s">
        <v>21</v>
      </c>
      <c r="C6145" t="s">
        <v>9</v>
      </c>
      <c r="D6145" s="3">
        <v>381.7122</v>
      </c>
      <c r="E6145" s="3">
        <v>0</v>
      </c>
      <c r="F6145" t="s">
        <v>45</v>
      </c>
      <c r="G6145" s="3">
        <f t="shared" si="724"/>
        <v>-381.7122</v>
      </c>
      <c r="H6145" s="3">
        <f t="shared" si="725"/>
        <v>381.7122</v>
      </c>
      <c r="I6145" s="5" t="str">
        <f t="shared" si="726"/>
        <v>018</v>
      </c>
      <c r="J6145" s="5" t="str">
        <f t="shared" si="727"/>
        <v>2220</v>
      </c>
      <c r="K6145" s="5" t="str">
        <f t="shared" si="728"/>
        <v>000</v>
      </c>
      <c r="L6145" s="5">
        <f t="shared" si="729"/>
        <v>3</v>
      </c>
      <c r="M6145" s="5">
        <f t="shared" si="730"/>
        <v>2013</v>
      </c>
    </row>
    <row r="6146" spans="1:13" ht="15" x14ac:dyDescent="0.25">
      <c r="A6146" s="1">
        <f>DATE(2013,3,27)</f>
        <v>41360</v>
      </c>
      <c r="B6146" t="s">
        <v>22</v>
      </c>
      <c r="C6146" t="s">
        <v>10</v>
      </c>
      <c r="D6146" s="3">
        <v>83.748000000000005</v>
      </c>
      <c r="E6146" s="3">
        <v>0</v>
      </c>
      <c r="F6146" t="s">
        <v>45</v>
      </c>
      <c r="G6146" s="3">
        <f t="shared" ref="G6146:G6209" si="731">E6146-D6146</f>
        <v>-83.748000000000005</v>
      </c>
      <c r="H6146" s="3">
        <f t="shared" ref="H6146:H6209" si="732">ABS(G6146)</f>
        <v>83.748000000000005</v>
      </c>
      <c r="I6146" s="5" t="str">
        <f t="shared" ref="I6146:I6209" si="733">MID(B6146,1,3)</f>
        <v>018</v>
      </c>
      <c r="J6146" s="5" t="str">
        <f t="shared" ref="J6146:J6209" si="734">MID(B6146,5,4)</f>
        <v>2230</v>
      </c>
      <c r="K6146" s="5" t="str">
        <f t="shared" ref="K6146:K6209" si="735">MID(B6146,10,3)</f>
        <v>000</v>
      </c>
      <c r="L6146" s="5">
        <f t="shared" ref="L6146:L6209" si="736">MONTH(A6146)</f>
        <v>3</v>
      </c>
      <c r="M6146" s="5">
        <f t="shared" ref="M6146:M6209" si="737">YEAR(A6146)</f>
        <v>2013</v>
      </c>
    </row>
    <row r="6147" spans="1:13" ht="15" x14ac:dyDescent="0.25">
      <c r="A6147" s="1">
        <f>DATE(2013,3,28)</f>
        <v>41361</v>
      </c>
      <c r="B6147" t="s">
        <v>19</v>
      </c>
      <c r="C6147" t="s">
        <v>6</v>
      </c>
      <c r="D6147" s="3">
        <v>5140.8449999999993</v>
      </c>
      <c r="E6147" s="3">
        <v>0</v>
      </c>
      <c r="F6147" t="s">
        <v>45</v>
      </c>
      <c r="G6147" s="3">
        <f t="shared" si="731"/>
        <v>-5140.8449999999993</v>
      </c>
      <c r="H6147" s="3">
        <f t="shared" si="732"/>
        <v>5140.8449999999993</v>
      </c>
      <c r="I6147" s="5" t="str">
        <f t="shared" si="733"/>
        <v>018</v>
      </c>
      <c r="J6147" s="5" t="str">
        <f t="shared" si="734"/>
        <v>2100</v>
      </c>
      <c r="K6147" s="5" t="str">
        <f t="shared" si="735"/>
        <v>000</v>
      </c>
      <c r="L6147" s="5">
        <f t="shared" si="736"/>
        <v>3</v>
      </c>
      <c r="M6147" s="5">
        <f t="shared" si="737"/>
        <v>2013</v>
      </c>
    </row>
    <row r="6148" spans="1:13" ht="15" x14ac:dyDescent="0.25">
      <c r="A6148" s="1">
        <f>DATE(2013,3,28)</f>
        <v>41361</v>
      </c>
      <c r="B6148" t="s">
        <v>20</v>
      </c>
      <c r="C6148" t="s">
        <v>8</v>
      </c>
      <c r="D6148" s="3">
        <v>1399.0716</v>
      </c>
      <c r="E6148" s="3">
        <v>0</v>
      </c>
      <c r="F6148" t="s">
        <v>45</v>
      </c>
      <c r="G6148" s="3">
        <f t="shared" si="731"/>
        <v>-1399.0716</v>
      </c>
      <c r="H6148" s="3">
        <f t="shared" si="732"/>
        <v>1399.0716</v>
      </c>
      <c r="I6148" s="5" t="str">
        <f t="shared" si="733"/>
        <v>018</v>
      </c>
      <c r="J6148" s="5" t="str">
        <f t="shared" si="734"/>
        <v>2210</v>
      </c>
      <c r="K6148" s="5" t="str">
        <f t="shared" si="735"/>
        <v>000</v>
      </c>
      <c r="L6148" s="5">
        <f t="shared" si="736"/>
        <v>3</v>
      </c>
      <c r="M6148" s="5">
        <f t="shared" si="737"/>
        <v>2013</v>
      </c>
    </row>
    <row r="6149" spans="1:13" ht="15" x14ac:dyDescent="0.25">
      <c r="A6149" s="1">
        <f>DATE(2013,3,28)</f>
        <v>41361</v>
      </c>
      <c r="B6149" t="s">
        <v>21</v>
      </c>
      <c r="C6149" t="s">
        <v>9</v>
      </c>
      <c r="D6149" s="3">
        <v>273.548</v>
      </c>
      <c r="E6149" s="3">
        <v>0</v>
      </c>
      <c r="F6149" t="s">
        <v>45</v>
      </c>
      <c r="G6149" s="3">
        <f t="shared" si="731"/>
        <v>-273.548</v>
      </c>
      <c r="H6149" s="3">
        <f t="shared" si="732"/>
        <v>273.548</v>
      </c>
      <c r="I6149" s="5" t="str">
        <f t="shared" si="733"/>
        <v>018</v>
      </c>
      <c r="J6149" s="5" t="str">
        <f t="shared" si="734"/>
        <v>2220</v>
      </c>
      <c r="K6149" s="5" t="str">
        <f t="shared" si="735"/>
        <v>000</v>
      </c>
      <c r="L6149" s="5">
        <f t="shared" si="736"/>
        <v>3</v>
      </c>
      <c r="M6149" s="5">
        <f t="shared" si="737"/>
        <v>2013</v>
      </c>
    </row>
    <row r="6150" spans="1:13" ht="15" x14ac:dyDescent="0.25">
      <c r="A6150" s="1">
        <f>DATE(2013,3,28)</f>
        <v>41361</v>
      </c>
      <c r="B6150" t="s">
        <v>22</v>
      </c>
      <c r="C6150" t="s">
        <v>10</v>
      </c>
      <c r="D6150" s="3">
        <v>51.006999999999998</v>
      </c>
      <c r="E6150" s="3">
        <v>0</v>
      </c>
      <c r="F6150" t="s">
        <v>45</v>
      </c>
      <c r="G6150" s="3">
        <f t="shared" si="731"/>
        <v>-51.006999999999998</v>
      </c>
      <c r="H6150" s="3">
        <f t="shared" si="732"/>
        <v>51.006999999999998</v>
      </c>
      <c r="I6150" s="5" t="str">
        <f t="shared" si="733"/>
        <v>018</v>
      </c>
      <c r="J6150" s="5" t="str">
        <f t="shared" si="734"/>
        <v>2230</v>
      </c>
      <c r="K6150" s="5" t="str">
        <f t="shared" si="735"/>
        <v>000</v>
      </c>
      <c r="L6150" s="5">
        <f t="shared" si="736"/>
        <v>3</v>
      </c>
      <c r="M6150" s="5">
        <f t="shared" si="737"/>
        <v>2013</v>
      </c>
    </row>
    <row r="6151" spans="1:13" ht="15" x14ac:dyDescent="0.25">
      <c r="A6151" s="1">
        <f>DATE(2013,3,29)</f>
        <v>41362</v>
      </c>
      <c r="B6151" t="s">
        <v>19</v>
      </c>
      <c r="C6151" t="s">
        <v>6</v>
      </c>
      <c r="D6151" s="3">
        <v>8749.2553000000007</v>
      </c>
      <c r="E6151" s="3">
        <v>0</v>
      </c>
      <c r="F6151" t="s">
        <v>45</v>
      </c>
      <c r="G6151" s="3">
        <f t="shared" si="731"/>
        <v>-8749.2553000000007</v>
      </c>
      <c r="H6151" s="3">
        <f t="shared" si="732"/>
        <v>8749.2553000000007</v>
      </c>
      <c r="I6151" s="5" t="str">
        <f t="shared" si="733"/>
        <v>018</v>
      </c>
      <c r="J6151" s="5" t="str">
        <f t="shared" si="734"/>
        <v>2100</v>
      </c>
      <c r="K6151" s="5" t="str">
        <f t="shared" si="735"/>
        <v>000</v>
      </c>
      <c r="L6151" s="5">
        <f t="shared" si="736"/>
        <v>3</v>
      </c>
      <c r="M6151" s="5">
        <f t="shared" si="737"/>
        <v>2013</v>
      </c>
    </row>
    <row r="6152" spans="1:13" ht="15" x14ac:dyDescent="0.25">
      <c r="A6152" s="1">
        <f>DATE(2013,3,29)</f>
        <v>41362</v>
      </c>
      <c r="B6152" t="s">
        <v>20</v>
      </c>
      <c r="C6152" t="s">
        <v>8</v>
      </c>
      <c r="D6152" s="3">
        <v>3238.8202000000001</v>
      </c>
      <c r="E6152" s="3">
        <v>0</v>
      </c>
      <c r="F6152" t="s">
        <v>45</v>
      </c>
      <c r="G6152" s="3">
        <f t="shared" si="731"/>
        <v>-3238.8202000000001</v>
      </c>
      <c r="H6152" s="3">
        <f t="shared" si="732"/>
        <v>3238.8202000000001</v>
      </c>
      <c r="I6152" s="5" t="str">
        <f t="shared" si="733"/>
        <v>018</v>
      </c>
      <c r="J6152" s="5" t="str">
        <f t="shared" si="734"/>
        <v>2210</v>
      </c>
      <c r="K6152" s="5" t="str">
        <f t="shared" si="735"/>
        <v>000</v>
      </c>
      <c r="L6152" s="5">
        <f t="shared" si="736"/>
        <v>3</v>
      </c>
      <c r="M6152" s="5">
        <f t="shared" si="737"/>
        <v>2013</v>
      </c>
    </row>
    <row r="6153" spans="1:13" ht="15" x14ac:dyDescent="0.25">
      <c r="A6153" s="1">
        <f>DATE(2013,3,29)</f>
        <v>41362</v>
      </c>
      <c r="B6153" t="s">
        <v>21</v>
      </c>
      <c r="C6153" t="s">
        <v>9</v>
      </c>
      <c r="D6153" s="3">
        <v>644.48720000000003</v>
      </c>
      <c r="E6153" s="3">
        <v>0</v>
      </c>
      <c r="F6153" t="s">
        <v>45</v>
      </c>
      <c r="G6153" s="3">
        <f t="shared" si="731"/>
        <v>-644.48720000000003</v>
      </c>
      <c r="H6153" s="3">
        <f t="shared" si="732"/>
        <v>644.48720000000003</v>
      </c>
      <c r="I6153" s="5" t="str">
        <f t="shared" si="733"/>
        <v>018</v>
      </c>
      <c r="J6153" s="5" t="str">
        <f t="shared" si="734"/>
        <v>2220</v>
      </c>
      <c r="K6153" s="5" t="str">
        <f t="shared" si="735"/>
        <v>000</v>
      </c>
      <c r="L6153" s="5">
        <f t="shared" si="736"/>
        <v>3</v>
      </c>
      <c r="M6153" s="5">
        <f t="shared" si="737"/>
        <v>2013</v>
      </c>
    </row>
    <row r="6154" spans="1:13" ht="15" x14ac:dyDescent="0.25">
      <c r="A6154" s="1">
        <f>DATE(2013,3,29)</f>
        <v>41362</v>
      </c>
      <c r="B6154" t="s">
        <v>22</v>
      </c>
      <c r="C6154" t="s">
        <v>10</v>
      </c>
      <c r="D6154" s="3">
        <v>145.5608</v>
      </c>
      <c r="E6154" s="3">
        <v>0</v>
      </c>
      <c r="F6154" t="s">
        <v>45</v>
      </c>
      <c r="G6154" s="3">
        <f t="shared" si="731"/>
        <v>-145.5608</v>
      </c>
      <c r="H6154" s="3">
        <f t="shared" si="732"/>
        <v>145.5608</v>
      </c>
      <c r="I6154" s="5" t="str">
        <f t="shared" si="733"/>
        <v>018</v>
      </c>
      <c r="J6154" s="5" t="str">
        <f t="shared" si="734"/>
        <v>2230</v>
      </c>
      <c r="K6154" s="5" t="str">
        <f t="shared" si="735"/>
        <v>000</v>
      </c>
      <c r="L6154" s="5">
        <f t="shared" si="736"/>
        <v>3</v>
      </c>
      <c r="M6154" s="5">
        <f t="shared" si="737"/>
        <v>2013</v>
      </c>
    </row>
    <row r="6155" spans="1:13" ht="15" x14ac:dyDescent="0.25">
      <c r="A6155" s="1">
        <f>DATE(2013,3,30)</f>
        <v>41363</v>
      </c>
      <c r="B6155" t="s">
        <v>19</v>
      </c>
      <c r="C6155" t="s">
        <v>6</v>
      </c>
      <c r="D6155" s="3">
        <v>12778.3539</v>
      </c>
      <c r="E6155" s="3">
        <v>0</v>
      </c>
      <c r="F6155" t="s">
        <v>45</v>
      </c>
      <c r="G6155" s="3">
        <f t="shared" si="731"/>
        <v>-12778.3539</v>
      </c>
      <c r="H6155" s="3">
        <f t="shared" si="732"/>
        <v>12778.3539</v>
      </c>
      <c r="I6155" s="5" t="str">
        <f t="shared" si="733"/>
        <v>018</v>
      </c>
      <c r="J6155" s="5" t="str">
        <f t="shared" si="734"/>
        <v>2100</v>
      </c>
      <c r="K6155" s="5" t="str">
        <f t="shared" si="735"/>
        <v>000</v>
      </c>
      <c r="L6155" s="5">
        <f t="shared" si="736"/>
        <v>3</v>
      </c>
      <c r="M6155" s="5">
        <f t="shared" si="737"/>
        <v>2013</v>
      </c>
    </row>
    <row r="6156" spans="1:13" ht="15" x14ac:dyDescent="0.25">
      <c r="A6156" s="1">
        <f>DATE(2013,3,30)</f>
        <v>41363</v>
      </c>
      <c r="B6156" t="s">
        <v>20</v>
      </c>
      <c r="C6156" t="s">
        <v>8</v>
      </c>
      <c r="D6156" s="3">
        <v>3887.3813999999998</v>
      </c>
      <c r="E6156" s="3">
        <v>0</v>
      </c>
      <c r="F6156" t="s">
        <v>45</v>
      </c>
      <c r="G6156" s="3">
        <f t="shared" si="731"/>
        <v>-3887.3813999999998</v>
      </c>
      <c r="H6156" s="3">
        <f t="shared" si="732"/>
        <v>3887.3813999999998</v>
      </c>
      <c r="I6156" s="5" t="str">
        <f t="shared" si="733"/>
        <v>018</v>
      </c>
      <c r="J6156" s="5" t="str">
        <f t="shared" si="734"/>
        <v>2210</v>
      </c>
      <c r="K6156" s="5" t="str">
        <f t="shared" si="735"/>
        <v>000</v>
      </c>
      <c r="L6156" s="5">
        <f t="shared" si="736"/>
        <v>3</v>
      </c>
      <c r="M6156" s="5">
        <f t="shared" si="737"/>
        <v>2013</v>
      </c>
    </row>
    <row r="6157" spans="1:13" ht="15" x14ac:dyDescent="0.25">
      <c r="A6157" s="1">
        <f>DATE(2013,3,30)</f>
        <v>41363</v>
      </c>
      <c r="B6157" t="s">
        <v>21</v>
      </c>
      <c r="C6157" t="s">
        <v>9</v>
      </c>
      <c r="D6157" s="3">
        <v>737.59</v>
      </c>
      <c r="E6157" s="3">
        <v>0</v>
      </c>
      <c r="F6157" t="s">
        <v>45</v>
      </c>
      <c r="G6157" s="3">
        <f t="shared" si="731"/>
        <v>-737.59</v>
      </c>
      <c r="H6157" s="3">
        <f t="shared" si="732"/>
        <v>737.59</v>
      </c>
      <c r="I6157" s="5" t="str">
        <f t="shared" si="733"/>
        <v>018</v>
      </c>
      <c r="J6157" s="5" t="str">
        <f t="shared" si="734"/>
        <v>2220</v>
      </c>
      <c r="K6157" s="5" t="str">
        <f t="shared" si="735"/>
        <v>000</v>
      </c>
      <c r="L6157" s="5">
        <f t="shared" si="736"/>
        <v>3</v>
      </c>
      <c r="M6157" s="5">
        <f t="shared" si="737"/>
        <v>2013</v>
      </c>
    </row>
    <row r="6158" spans="1:13" ht="15" x14ac:dyDescent="0.25">
      <c r="A6158" s="1">
        <f>DATE(2013,3,30)</f>
        <v>41363</v>
      </c>
      <c r="B6158" t="s">
        <v>22</v>
      </c>
      <c r="C6158" t="s">
        <v>10</v>
      </c>
      <c r="D6158" s="3">
        <v>130.34700000000001</v>
      </c>
      <c r="E6158" s="3">
        <v>0</v>
      </c>
      <c r="F6158" t="s">
        <v>45</v>
      </c>
      <c r="G6158" s="3">
        <f t="shared" si="731"/>
        <v>-130.34700000000001</v>
      </c>
      <c r="H6158" s="3">
        <f t="shared" si="732"/>
        <v>130.34700000000001</v>
      </c>
      <c r="I6158" s="5" t="str">
        <f t="shared" si="733"/>
        <v>018</v>
      </c>
      <c r="J6158" s="5" t="str">
        <f t="shared" si="734"/>
        <v>2230</v>
      </c>
      <c r="K6158" s="5" t="str">
        <f t="shared" si="735"/>
        <v>000</v>
      </c>
      <c r="L6158" s="5">
        <f t="shared" si="736"/>
        <v>3</v>
      </c>
      <c r="M6158" s="5">
        <f t="shared" si="737"/>
        <v>2013</v>
      </c>
    </row>
    <row r="6159" spans="1:13" ht="15" x14ac:dyDescent="0.25">
      <c r="A6159" s="1">
        <f>DATE(2013,3,31)</f>
        <v>41364</v>
      </c>
      <c r="B6159" t="s">
        <v>19</v>
      </c>
      <c r="C6159" t="s">
        <v>6</v>
      </c>
      <c r="D6159" s="3">
        <v>7767.585</v>
      </c>
      <c r="E6159" s="3">
        <v>0</v>
      </c>
      <c r="F6159" t="s">
        <v>45</v>
      </c>
      <c r="G6159" s="3">
        <f t="shared" si="731"/>
        <v>-7767.585</v>
      </c>
      <c r="H6159" s="3">
        <f t="shared" si="732"/>
        <v>7767.585</v>
      </c>
      <c r="I6159" s="5" t="str">
        <f t="shared" si="733"/>
        <v>018</v>
      </c>
      <c r="J6159" s="5" t="str">
        <f t="shared" si="734"/>
        <v>2100</v>
      </c>
      <c r="K6159" s="5" t="str">
        <f t="shared" si="735"/>
        <v>000</v>
      </c>
      <c r="L6159" s="5">
        <f t="shared" si="736"/>
        <v>3</v>
      </c>
      <c r="M6159" s="5">
        <f t="shared" si="737"/>
        <v>2013</v>
      </c>
    </row>
    <row r="6160" spans="1:13" ht="15" x14ac:dyDescent="0.25">
      <c r="A6160" s="1">
        <f>DATE(2013,3,31)</f>
        <v>41364</v>
      </c>
      <c r="B6160" t="s">
        <v>20</v>
      </c>
      <c r="C6160" t="s">
        <v>8</v>
      </c>
      <c r="D6160" s="3">
        <v>849.36880000000008</v>
      </c>
      <c r="E6160" s="3">
        <v>0</v>
      </c>
      <c r="F6160" t="s">
        <v>45</v>
      </c>
      <c r="G6160" s="3">
        <f t="shared" si="731"/>
        <v>-849.36880000000008</v>
      </c>
      <c r="H6160" s="3">
        <f t="shared" si="732"/>
        <v>849.36880000000008</v>
      </c>
      <c r="I6160" s="5" t="str">
        <f t="shared" si="733"/>
        <v>018</v>
      </c>
      <c r="J6160" s="5" t="str">
        <f t="shared" si="734"/>
        <v>2210</v>
      </c>
      <c r="K6160" s="5" t="str">
        <f t="shared" si="735"/>
        <v>000</v>
      </c>
      <c r="L6160" s="5">
        <f t="shared" si="736"/>
        <v>3</v>
      </c>
      <c r="M6160" s="5">
        <f t="shared" si="737"/>
        <v>2013</v>
      </c>
    </row>
    <row r="6161" spans="1:13" ht="15" x14ac:dyDescent="0.25">
      <c r="A6161" s="1">
        <f>DATE(2013,3,31)</f>
        <v>41364</v>
      </c>
      <c r="B6161" t="s">
        <v>21</v>
      </c>
      <c r="C6161" t="s">
        <v>9</v>
      </c>
      <c r="D6161" s="3">
        <v>226.85039999999998</v>
      </c>
      <c r="E6161" s="3">
        <v>0</v>
      </c>
      <c r="F6161" t="s">
        <v>45</v>
      </c>
      <c r="G6161" s="3">
        <f t="shared" si="731"/>
        <v>-226.85039999999998</v>
      </c>
      <c r="H6161" s="3">
        <f t="shared" si="732"/>
        <v>226.85039999999998</v>
      </c>
      <c r="I6161" s="5" t="str">
        <f t="shared" si="733"/>
        <v>018</v>
      </c>
      <c r="J6161" s="5" t="str">
        <f t="shared" si="734"/>
        <v>2220</v>
      </c>
      <c r="K6161" s="5" t="str">
        <f t="shared" si="735"/>
        <v>000</v>
      </c>
      <c r="L6161" s="5">
        <f t="shared" si="736"/>
        <v>3</v>
      </c>
      <c r="M6161" s="5">
        <f t="shared" si="737"/>
        <v>2013</v>
      </c>
    </row>
    <row r="6162" spans="1:13" ht="15" x14ac:dyDescent="0.25">
      <c r="A6162" s="1">
        <f>DATE(2013,3,31)</f>
        <v>41364</v>
      </c>
      <c r="B6162" t="s">
        <v>22</v>
      </c>
      <c r="C6162" t="s">
        <v>10</v>
      </c>
      <c r="D6162" s="3">
        <v>140.43780000000001</v>
      </c>
      <c r="E6162" s="3">
        <v>0</v>
      </c>
      <c r="F6162" t="s">
        <v>45</v>
      </c>
      <c r="G6162" s="3">
        <f t="shared" si="731"/>
        <v>-140.43780000000001</v>
      </c>
      <c r="H6162" s="3">
        <f t="shared" si="732"/>
        <v>140.43780000000001</v>
      </c>
      <c r="I6162" s="5" t="str">
        <f t="shared" si="733"/>
        <v>018</v>
      </c>
      <c r="J6162" s="5" t="str">
        <f t="shared" si="734"/>
        <v>2230</v>
      </c>
      <c r="K6162" s="5" t="str">
        <f t="shared" si="735"/>
        <v>000</v>
      </c>
      <c r="L6162" s="5">
        <f t="shared" si="736"/>
        <v>3</v>
      </c>
      <c r="M6162" s="5">
        <f t="shared" si="737"/>
        <v>2013</v>
      </c>
    </row>
    <row r="6163" spans="1:13" ht="15" x14ac:dyDescent="0.25">
      <c r="A6163" s="1">
        <f>DATE(2013,4,1)</f>
        <v>41365</v>
      </c>
      <c r="B6163" t="s">
        <v>11</v>
      </c>
      <c r="C6163" t="s">
        <v>6</v>
      </c>
      <c r="D6163" s="3">
        <v>4554.0054</v>
      </c>
      <c r="E6163" s="3">
        <v>0</v>
      </c>
      <c r="F6163" t="s">
        <v>45</v>
      </c>
      <c r="G6163" s="3">
        <f t="shared" si="731"/>
        <v>-4554.0054</v>
      </c>
      <c r="H6163" s="3">
        <f t="shared" si="732"/>
        <v>4554.0054</v>
      </c>
      <c r="I6163" s="5" t="str">
        <f t="shared" si="733"/>
        <v>016</v>
      </c>
      <c r="J6163" s="5" t="str">
        <f t="shared" si="734"/>
        <v>2100</v>
      </c>
      <c r="K6163" s="5" t="str">
        <f t="shared" si="735"/>
        <v>000</v>
      </c>
      <c r="L6163" s="5">
        <f t="shared" si="736"/>
        <v>4</v>
      </c>
      <c r="M6163" s="5">
        <f t="shared" si="737"/>
        <v>2013</v>
      </c>
    </row>
    <row r="6164" spans="1:13" ht="15" x14ac:dyDescent="0.25">
      <c r="A6164" s="1">
        <f>DATE(2013,4,1)</f>
        <v>41365</v>
      </c>
      <c r="B6164" t="s">
        <v>12</v>
      </c>
      <c r="C6164" t="s">
        <v>8</v>
      </c>
      <c r="D6164" s="3">
        <v>855.22050000000002</v>
      </c>
      <c r="E6164" s="3">
        <v>0</v>
      </c>
      <c r="F6164" t="s">
        <v>45</v>
      </c>
      <c r="G6164" s="3">
        <f t="shared" si="731"/>
        <v>-855.22050000000002</v>
      </c>
      <c r="H6164" s="3">
        <f t="shared" si="732"/>
        <v>855.22050000000002</v>
      </c>
      <c r="I6164" s="5" t="str">
        <f t="shared" si="733"/>
        <v>016</v>
      </c>
      <c r="J6164" s="5" t="str">
        <f t="shared" si="734"/>
        <v>2210</v>
      </c>
      <c r="K6164" s="5" t="str">
        <f t="shared" si="735"/>
        <v>000</v>
      </c>
      <c r="L6164" s="5">
        <f t="shared" si="736"/>
        <v>4</v>
      </c>
      <c r="M6164" s="5">
        <f t="shared" si="737"/>
        <v>2013</v>
      </c>
    </row>
    <row r="6165" spans="1:13" ht="15" x14ac:dyDescent="0.25">
      <c r="A6165" s="1">
        <f>DATE(2013,4,1)</f>
        <v>41365</v>
      </c>
      <c r="B6165" t="s">
        <v>13</v>
      </c>
      <c r="C6165" t="s">
        <v>9</v>
      </c>
      <c r="D6165" s="3">
        <v>134.5017</v>
      </c>
      <c r="E6165" s="3">
        <v>0</v>
      </c>
      <c r="F6165" t="s">
        <v>45</v>
      </c>
      <c r="G6165" s="3">
        <f t="shared" si="731"/>
        <v>-134.5017</v>
      </c>
      <c r="H6165" s="3">
        <f t="shared" si="732"/>
        <v>134.5017</v>
      </c>
      <c r="I6165" s="5" t="str">
        <f t="shared" si="733"/>
        <v>016</v>
      </c>
      <c r="J6165" s="5" t="str">
        <f t="shared" si="734"/>
        <v>2220</v>
      </c>
      <c r="K6165" s="5" t="str">
        <f t="shared" si="735"/>
        <v>000</v>
      </c>
      <c r="L6165" s="5">
        <f t="shared" si="736"/>
        <v>4</v>
      </c>
      <c r="M6165" s="5">
        <f t="shared" si="737"/>
        <v>2013</v>
      </c>
    </row>
    <row r="6166" spans="1:13" ht="15" x14ac:dyDescent="0.25">
      <c r="A6166" s="1">
        <f>DATE(2013,4,1)</f>
        <v>41365</v>
      </c>
      <c r="B6166" t="s">
        <v>14</v>
      </c>
      <c r="C6166" t="s">
        <v>10</v>
      </c>
      <c r="D6166" s="3">
        <v>67.807599999999994</v>
      </c>
      <c r="E6166" s="3">
        <v>0</v>
      </c>
      <c r="F6166" t="s">
        <v>45</v>
      </c>
      <c r="G6166" s="3">
        <f t="shared" si="731"/>
        <v>-67.807599999999994</v>
      </c>
      <c r="H6166" s="3">
        <f t="shared" si="732"/>
        <v>67.807599999999994</v>
      </c>
      <c r="I6166" s="5" t="str">
        <f t="shared" si="733"/>
        <v>016</v>
      </c>
      <c r="J6166" s="5" t="str">
        <f t="shared" si="734"/>
        <v>2230</v>
      </c>
      <c r="K6166" s="5" t="str">
        <f t="shared" si="735"/>
        <v>000</v>
      </c>
      <c r="L6166" s="5">
        <f t="shared" si="736"/>
        <v>4</v>
      </c>
      <c r="M6166" s="5">
        <f t="shared" si="737"/>
        <v>2013</v>
      </c>
    </row>
    <row r="6167" spans="1:13" ht="15" x14ac:dyDescent="0.25">
      <c r="A6167" s="1">
        <f>DATE(2013,4,2)</f>
        <v>41366</v>
      </c>
      <c r="B6167" t="s">
        <v>11</v>
      </c>
      <c r="C6167" t="s">
        <v>6</v>
      </c>
      <c r="D6167" s="3">
        <v>5282.1720000000005</v>
      </c>
      <c r="E6167" s="3">
        <v>0</v>
      </c>
      <c r="F6167" t="s">
        <v>45</v>
      </c>
      <c r="G6167" s="3">
        <f t="shared" si="731"/>
        <v>-5282.1720000000005</v>
      </c>
      <c r="H6167" s="3">
        <f t="shared" si="732"/>
        <v>5282.1720000000005</v>
      </c>
      <c r="I6167" s="5" t="str">
        <f t="shared" si="733"/>
        <v>016</v>
      </c>
      <c r="J6167" s="5" t="str">
        <f t="shared" si="734"/>
        <v>2100</v>
      </c>
      <c r="K6167" s="5" t="str">
        <f t="shared" si="735"/>
        <v>000</v>
      </c>
      <c r="L6167" s="5">
        <f t="shared" si="736"/>
        <v>4</v>
      </c>
      <c r="M6167" s="5">
        <f t="shared" si="737"/>
        <v>2013</v>
      </c>
    </row>
    <row r="6168" spans="1:13" ht="15" x14ac:dyDescent="0.25">
      <c r="A6168" s="1">
        <f>DATE(2013,4,2)</f>
        <v>41366</v>
      </c>
      <c r="B6168" t="s">
        <v>12</v>
      </c>
      <c r="C6168" t="s">
        <v>8</v>
      </c>
      <c r="D6168" s="3">
        <v>2251.386</v>
      </c>
      <c r="E6168" s="3">
        <v>0</v>
      </c>
      <c r="F6168" t="s">
        <v>45</v>
      </c>
      <c r="G6168" s="3">
        <f t="shared" si="731"/>
        <v>-2251.386</v>
      </c>
      <c r="H6168" s="3">
        <f t="shared" si="732"/>
        <v>2251.386</v>
      </c>
      <c r="I6168" s="5" t="str">
        <f t="shared" si="733"/>
        <v>016</v>
      </c>
      <c r="J6168" s="5" t="str">
        <f t="shared" si="734"/>
        <v>2210</v>
      </c>
      <c r="K6168" s="5" t="str">
        <f t="shared" si="735"/>
        <v>000</v>
      </c>
      <c r="L6168" s="5">
        <f t="shared" si="736"/>
        <v>4</v>
      </c>
      <c r="M6168" s="5">
        <f t="shared" si="737"/>
        <v>2013</v>
      </c>
    </row>
    <row r="6169" spans="1:13" ht="15" x14ac:dyDescent="0.25">
      <c r="A6169" s="1">
        <f>DATE(2013,4,2)</f>
        <v>41366</v>
      </c>
      <c r="B6169" t="s">
        <v>13</v>
      </c>
      <c r="C6169" t="s">
        <v>9</v>
      </c>
      <c r="D6169" s="3">
        <v>1047.6316000000002</v>
      </c>
      <c r="E6169" s="3">
        <v>0</v>
      </c>
      <c r="F6169" t="s">
        <v>45</v>
      </c>
      <c r="G6169" s="3">
        <f t="shared" si="731"/>
        <v>-1047.6316000000002</v>
      </c>
      <c r="H6169" s="3">
        <f t="shared" si="732"/>
        <v>1047.6316000000002</v>
      </c>
      <c r="I6169" s="5" t="str">
        <f t="shared" si="733"/>
        <v>016</v>
      </c>
      <c r="J6169" s="5" t="str">
        <f t="shared" si="734"/>
        <v>2220</v>
      </c>
      <c r="K6169" s="5" t="str">
        <f t="shared" si="735"/>
        <v>000</v>
      </c>
      <c r="L6169" s="5">
        <f t="shared" si="736"/>
        <v>4</v>
      </c>
      <c r="M6169" s="5">
        <f t="shared" si="737"/>
        <v>2013</v>
      </c>
    </row>
    <row r="6170" spans="1:13" ht="15" x14ac:dyDescent="0.25">
      <c r="A6170" s="1">
        <f>DATE(2013,4,2)</f>
        <v>41366</v>
      </c>
      <c r="B6170" t="s">
        <v>14</v>
      </c>
      <c r="C6170" t="s">
        <v>10</v>
      </c>
      <c r="D6170" s="3">
        <v>189.7484</v>
      </c>
      <c r="E6170" s="3">
        <v>0</v>
      </c>
      <c r="F6170" t="s">
        <v>45</v>
      </c>
      <c r="G6170" s="3">
        <f t="shared" si="731"/>
        <v>-189.7484</v>
      </c>
      <c r="H6170" s="3">
        <f t="shared" si="732"/>
        <v>189.7484</v>
      </c>
      <c r="I6170" s="5" t="str">
        <f t="shared" si="733"/>
        <v>016</v>
      </c>
      <c r="J6170" s="5" t="str">
        <f t="shared" si="734"/>
        <v>2230</v>
      </c>
      <c r="K6170" s="5" t="str">
        <f t="shared" si="735"/>
        <v>000</v>
      </c>
      <c r="L6170" s="5">
        <f t="shared" si="736"/>
        <v>4</v>
      </c>
      <c r="M6170" s="5">
        <f t="shared" si="737"/>
        <v>2013</v>
      </c>
    </row>
    <row r="6171" spans="1:13" ht="15" x14ac:dyDescent="0.25">
      <c r="A6171" s="1">
        <f>DATE(2013,4,3)</f>
        <v>41367</v>
      </c>
      <c r="B6171" t="s">
        <v>11</v>
      </c>
      <c r="C6171" t="s">
        <v>6</v>
      </c>
      <c r="D6171" s="3">
        <v>4191.4719000000005</v>
      </c>
      <c r="E6171" s="3">
        <v>0</v>
      </c>
      <c r="F6171" t="s">
        <v>45</v>
      </c>
      <c r="G6171" s="3">
        <f t="shared" si="731"/>
        <v>-4191.4719000000005</v>
      </c>
      <c r="H6171" s="3">
        <f t="shared" si="732"/>
        <v>4191.4719000000005</v>
      </c>
      <c r="I6171" s="5" t="str">
        <f t="shared" si="733"/>
        <v>016</v>
      </c>
      <c r="J6171" s="5" t="str">
        <f t="shared" si="734"/>
        <v>2100</v>
      </c>
      <c r="K6171" s="5" t="str">
        <f t="shared" si="735"/>
        <v>000</v>
      </c>
      <c r="L6171" s="5">
        <f t="shared" si="736"/>
        <v>4</v>
      </c>
      <c r="M6171" s="5">
        <f t="shared" si="737"/>
        <v>2013</v>
      </c>
    </row>
    <row r="6172" spans="1:13" ht="15" x14ac:dyDescent="0.25">
      <c r="A6172" s="1">
        <f>DATE(2013,4,3)</f>
        <v>41367</v>
      </c>
      <c r="B6172" t="s">
        <v>12</v>
      </c>
      <c r="C6172" t="s">
        <v>8</v>
      </c>
      <c r="D6172" s="3">
        <v>1190.2080000000001</v>
      </c>
      <c r="E6172" s="3">
        <v>0</v>
      </c>
      <c r="F6172" t="s">
        <v>45</v>
      </c>
      <c r="G6172" s="3">
        <f t="shared" si="731"/>
        <v>-1190.2080000000001</v>
      </c>
      <c r="H6172" s="3">
        <f t="shared" si="732"/>
        <v>1190.2080000000001</v>
      </c>
      <c r="I6172" s="5" t="str">
        <f t="shared" si="733"/>
        <v>016</v>
      </c>
      <c r="J6172" s="5" t="str">
        <f t="shared" si="734"/>
        <v>2210</v>
      </c>
      <c r="K6172" s="5" t="str">
        <f t="shared" si="735"/>
        <v>000</v>
      </c>
      <c r="L6172" s="5">
        <f t="shared" si="736"/>
        <v>4</v>
      </c>
      <c r="M6172" s="5">
        <f t="shared" si="737"/>
        <v>2013</v>
      </c>
    </row>
    <row r="6173" spans="1:13" ht="15" x14ac:dyDescent="0.25">
      <c r="A6173" s="1">
        <f>DATE(2013,4,3)</f>
        <v>41367</v>
      </c>
      <c r="B6173" t="s">
        <v>13</v>
      </c>
      <c r="C6173" t="s">
        <v>9</v>
      </c>
      <c r="D6173" s="3">
        <v>193.18799999999999</v>
      </c>
      <c r="E6173" s="3">
        <v>0</v>
      </c>
      <c r="F6173" t="s">
        <v>45</v>
      </c>
      <c r="G6173" s="3">
        <f t="shared" si="731"/>
        <v>-193.18799999999999</v>
      </c>
      <c r="H6173" s="3">
        <f t="shared" si="732"/>
        <v>193.18799999999999</v>
      </c>
      <c r="I6173" s="5" t="str">
        <f t="shared" si="733"/>
        <v>016</v>
      </c>
      <c r="J6173" s="5" t="str">
        <f t="shared" si="734"/>
        <v>2220</v>
      </c>
      <c r="K6173" s="5" t="str">
        <f t="shared" si="735"/>
        <v>000</v>
      </c>
      <c r="L6173" s="5">
        <f t="shared" si="736"/>
        <v>4</v>
      </c>
      <c r="M6173" s="5">
        <f t="shared" si="737"/>
        <v>2013</v>
      </c>
    </row>
    <row r="6174" spans="1:13" ht="15" x14ac:dyDescent="0.25">
      <c r="A6174" s="1">
        <f>DATE(2013,4,3)</f>
        <v>41367</v>
      </c>
      <c r="B6174" t="s">
        <v>14</v>
      </c>
      <c r="C6174" t="s">
        <v>10</v>
      </c>
      <c r="D6174" s="3">
        <v>79.128</v>
      </c>
      <c r="E6174" s="3">
        <v>0</v>
      </c>
      <c r="F6174" t="s">
        <v>45</v>
      </c>
      <c r="G6174" s="3">
        <f t="shared" si="731"/>
        <v>-79.128</v>
      </c>
      <c r="H6174" s="3">
        <f t="shared" si="732"/>
        <v>79.128</v>
      </c>
      <c r="I6174" s="5" t="str">
        <f t="shared" si="733"/>
        <v>016</v>
      </c>
      <c r="J6174" s="5" t="str">
        <f t="shared" si="734"/>
        <v>2230</v>
      </c>
      <c r="K6174" s="5" t="str">
        <f t="shared" si="735"/>
        <v>000</v>
      </c>
      <c r="L6174" s="5">
        <f t="shared" si="736"/>
        <v>4</v>
      </c>
      <c r="M6174" s="5">
        <f t="shared" si="737"/>
        <v>2013</v>
      </c>
    </row>
    <row r="6175" spans="1:13" ht="15" x14ac:dyDescent="0.25">
      <c r="A6175" s="1">
        <f>DATE(2013,4,4)</f>
        <v>41368</v>
      </c>
      <c r="B6175" t="s">
        <v>11</v>
      </c>
      <c r="C6175" t="s">
        <v>6</v>
      </c>
      <c r="D6175" s="3">
        <v>3120.105</v>
      </c>
      <c r="E6175" s="3">
        <v>0</v>
      </c>
      <c r="F6175" t="s">
        <v>45</v>
      </c>
      <c r="G6175" s="3">
        <f t="shared" si="731"/>
        <v>-3120.105</v>
      </c>
      <c r="H6175" s="3">
        <f t="shared" si="732"/>
        <v>3120.105</v>
      </c>
      <c r="I6175" s="5" t="str">
        <f t="shared" si="733"/>
        <v>016</v>
      </c>
      <c r="J6175" s="5" t="str">
        <f t="shared" si="734"/>
        <v>2100</v>
      </c>
      <c r="K6175" s="5" t="str">
        <f t="shared" si="735"/>
        <v>000</v>
      </c>
      <c r="L6175" s="5">
        <f t="shared" si="736"/>
        <v>4</v>
      </c>
      <c r="M6175" s="5">
        <f t="shared" si="737"/>
        <v>2013</v>
      </c>
    </row>
    <row r="6176" spans="1:13" ht="15" x14ac:dyDescent="0.25">
      <c r="A6176" s="1">
        <f>DATE(2013,4,4)</f>
        <v>41368</v>
      </c>
      <c r="B6176" t="s">
        <v>12</v>
      </c>
      <c r="C6176" t="s">
        <v>8</v>
      </c>
      <c r="D6176" s="3">
        <v>612.90440000000012</v>
      </c>
      <c r="E6176" s="3">
        <v>0</v>
      </c>
      <c r="F6176" t="s">
        <v>45</v>
      </c>
      <c r="G6176" s="3">
        <f t="shared" si="731"/>
        <v>-612.90440000000012</v>
      </c>
      <c r="H6176" s="3">
        <f t="shared" si="732"/>
        <v>612.90440000000012</v>
      </c>
      <c r="I6176" s="5" t="str">
        <f t="shared" si="733"/>
        <v>016</v>
      </c>
      <c r="J6176" s="5" t="str">
        <f t="shared" si="734"/>
        <v>2210</v>
      </c>
      <c r="K6176" s="5" t="str">
        <f t="shared" si="735"/>
        <v>000</v>
      </c>
      <c r="L6176" s="5">
        <f t="shared" si="736"/>
        <v>4</v>
      </c>
      <c r="M6176" s="5">
        <f t="shared" si="737"/>
        <v>2013</v>
      </c>
    </row>
    <row r="6177" spans="1:13" ht="15" x14ac:dyDescent="0.25">
      <c r="A6177" s="1">
        <f>DATE(2013,4,4)</f>
        <v>41368</v>
      </c>
      <c r="B6177" t="s">
        <v>13</v>
      </c>
      <c r="C6177" t="s">
        <v>9</v>
      </c>
      <c r="D6177" s="3">
        <v>143.46400000000003</v>
      </c>
      <c r="E6177" s="3">
        <v>0</v>
      </c>
      <c r="F6177" t="s">
        <v>45</v>
      </c>
      <c r="G6177" s="3">
        <f t="shared" si="731"/>
        <v>-143.46400000000003</v>
      </c>
      <c r="H6177" s="3">
        <f t="shared" si="732"/>
        <v>143.46400000000003</v>
      </c>
      <c r="I6177" s="5" t="str">
        <f t="shared" si="733"/>
        <v>016</v>
      </c>
      <c r="J6177" s="5" t="str">
        <f t="shared" si="734"/>
        <v>2220</v>
      </c>
      <c r="K6177" s="5" t="str">
        <f t="shared" si="735"/>
        <v>000</v>
      </c>
      <c r="L6177" s="5">
        <f t="shared" si="736"/>
        <v>4</v>
      </c>
      <c r="M6177" s="5">
        <f t="shared" si="737"/>
        <v>2013</v>
      </c>
    </row>
    <row r="6178" spans="1:13" ht="15" x14ac:dyDescent="0.25">
      <c r="A6178" s="1">
        <f>DATE(2013,4,4)</f>
        <v>41368</v>
      </c>
      <c r="B6178" t="s">
        <v>14</v>
      </c>
      <c r="C6178" t="s">
        <v>10</v>
      </c>
      <c r="D6178" s="3">
        <v>119.624</v>
      </c>
      <c r="E6178" s="3">
        <v>0</v>
      </c>
      <c r="F6178" t="s">
        <v>45</v>
      </c>
      <c r="G6178" s="3">
        <f t="shared" si="731"/>
        <v>-119.624</v>
      </c>
      <c r="H6178" s="3">
        <f t="shared" si="732"/>
        <v>119.624</v>
      </c>
      <c r="I6178" s="5" t="str">
        <f t="shared" si="733"/>
        <v>016</v>
      </c>
      <c r="J6178" s="5" t="str">
        <f t="shared" si="734"/>
        <v>2230</v>
      </c>
      <c r="K6178" s="5" t="str">
        <f t="shared" si="735"/>
        <v>000</v>
      </c>
      <c r="L6178" s="5">
        <f t="shared" si="736"/>
        <v>4</v>
      </c>
      <c r="M6178" s="5">
        <f t="shared" si="737"/>
        <v>2013</v>
      </c>
    </row>
    <row r="6179" spans="1:13" ht="15" x14ac:dyDescent="0.25">
      <c r="A6179" s="1">
        <f>DATE(2013,4,5)</f>
        <v>41369</v>
      </c>
      <c r="B6179" t="s">
        <v>11</v>
      </c>
      <c r="C6179" t="s">
        <v>6</v>
      </c>
      <c r="D6179" s="3">
        <v>7257.9433000000008</v>
      </c>
      <c r="E6179" s="3">
        <v>0</v>
      </c>
      <c r="F6179" t="s">
        <v>45</v>
      </c>
      <c r="G6179" s="3">
        <f t="shared" si="731"/>
        <v>-7257.9433000000008</v>
      </c>
      <c r="H6179" s="3">
        <f t="shared" si="732"/>
        <v>7257.9433000000008</v>
      </c>
      <c r="I6179" s="5" t="str">
        <f t="shared" si="733"/>
        <v>016</v>
      </c>
      <c r="J6179" s="5" t="str">
        <f t="shared" si="734"/>
        <v>2100</v>
      </c>
      <c r="K6179" s="5" t="str">
        <f t="shared" si="735"/>
        <v>000</v>
      </c>
      <c r="L6179" s="5">
        <f t="shared" si="736"/>
        <v>4</v>
      </c>
      <c r="M6179" s="5">
        <f t="shared" si="737"/>
        <v>2013</v>
      </c>
    </row>
    <row r="6180" spans="1:13" ht="15" x14ac:dyDescent="0.25">
      <c r="A6180" s="1">
        <f>DATE(2013,4,5)</f>
        <v>41369</v>
      </c>
      <c r="B6180" t="s">
        <v>12</v>
      </c>
      <c r="C6180" t="s">
        <v>8</v>
      </c>
      <c r="D6180" s="3">
        <v>2666.5650000000001</v>
      </c>
      <c r="E6180" s="3">
        <v>0</v>
      </c>
      <c r="F6180" t="s">
        <v>45</v>
      </c>
      <c r="G6180" s="3">
        <f t="shared" si="731"/>
        <v>-2666.5650000000001</v>
      </c>
      <c r="H6180" s="3">
        <f t="shared" si="732"/>
        <v>2666.5650000000001</v>
      </c>
      <c r="I6180" s="5" t="str">
        <f t="shared" si="733"/>
        <v>016</v>
      </c>
      <c r="J6180" s="5" t="str">
        <f t="shared" si="734"/>
        <v>2210</v>
      </c>
      <c r="K6180" s="5" t="str">
        <f t="shared" si="735"/>
        <v>000</v>
      </c>
      <c r="L6180" s="5">
        <f t="shared" si="736"/>
        <v>4</v>
      </c>
      <c r="M6180" s="5">
        <f t="shared" si="737"/>
        <v>2013</v>
      </c>
    </row>
    <row r="6181" spans="1:13" ht="15" x14ac:dyDescent="0.25">
      <c r="A6181" s="1">
        <f>DATE(2013,4,5)</f>
        <v>41369</v>
      </c>
      <c r="B6181" t="s">
        <v>13</v>
      </c>
      <c r="C6181" t="s">
        <v>9</v>
      </c>
      <c r="D6181" s="3">
        <v>299.60450000000003</v>
      </c>
      <c r="E6181" s="3">
        <v>0</v>
      </c>
      <c r="F6181" t="s">
        <v>45</v>
      </c>
      <c r="G6181" s="3">
        <f t="shared" si="731"/>
        <v>-299.60450000000003</v>
      </c>
      <c r="H6181" s="3">
        <f t="shared" si="732"/>
        <v>299.60450000000003</v>
      </c>
      <c r="I6181" s="5" t="str">
        <f t="shared" si="733"/>
        <v>016</v>
      </c>
      <c r="J6181" s="5" t="str">
        <f t="shared" si="734"/>
        <v>2220</v>
      </c>
      <c r="K6181" s="5" t="str">
        <f t="shared" si="735"/>
        <v>000</v>
      </c>
      <c r="L6181" s="5">
        <f t="shared" si="736"/>
        <v>4</v>
      </c>
      <c r="M6181" s="5">
        <f t="shared" si="737"/>
        <v>2013</v>
      </c>
    </row>
    <row r="6182" spans="1:13" ht="15" x14ac:dyDescent="0.25">
      <c r="A6182" s="1">
        <f>DATE(2013,4,5)</f>
        <v>41369</v>
      </c>
      <c r="B6182" t="s">
        <v>14</v>
      </c>
      <c r="C6182" t="s">
        <v>10</v>
      </c>
      <c r="D6182" s="3">
        <v>99.815100000000001</v>
      </c>
      <c r="E6182" s="3">
        <v>0</v>
      </c>
      <c r="F6182" t="s">
        <v>45</v>
      </c>
      <c r="G6182" s="3">
        <f t="shared" si="731"/>
        <v>-99.815100000000001</v>
      </c>
      <c r="H6182" s="3">
        <f t="shared" si="732"/>
        <v>99.815100000000001</v>
      </c>
      <c r="I6182" s="5" t="str">
        <f t="shared" si="733"/>
        <v>016</v>
      </c>
      <c r="J6182" s="5" t="str">
        <f t="shared" si="734"/>
        <v>2230</v>
      </c>
      <c r="K6182" s="5" t="str">
        <f t="shared" si="735"/>
        <v>000</v>
      </c>
      <c r="L6182" s="5">
        <f t="shared" si="736"/>
        <v>4</v>
      </c>
      <c r="M6182" s="5">
        <f t="shared" si="737"/>
        <v>2013</v>
      </c>
    </row>
    <row r="6183" spans="1:13" ht="15" x14ac:dyDescent="0.25">
      <c r="A6183" s="1">
        <f>DATE(2013,4,6)</f>
        <v>41370</v>
      </c>
      <c r="B6183" t="s">
        <v>11</v>
      </c>
      <c r="C6183" t="s">
        <v>6</v>
      </c>
      <c r="D6183" s="3">
        <v>7991.0469000000003</v>
      </c>
      <c r="E6183" s="3">
        <v>0</v>
      </c>
      <c r="F6183" t="s">
        <v>45</v>
      </c>
      <c r="G6183" s="3">
        <f t="shared" si="731"/>
        <v>-7991.0469000000003</v>
      </c>
      <c r="H6183" s="3">
        <f t="shared" si="732"/>
        <v>7991.0469000000003</v>
      </c>
      <c r="I6183" s="5" t="str">
        <f t="shared" si="733"/>
        <v>016</v>
      </c>
      <c r="J6183" s="5" t="str">
        <f t="shared" si="734"/>
        <v>2100</v>
      </c>
      <c r="K6183" s="5" t="str">
        <f t="shared" si="735"/>
        <v>000</v>
      </c>
      <c r="L6183" s="5">
        <f t="shared" si="736"/>
        <v>4</v>
      </c>
      <c r="M6183" s="5">
        <f t="shared" si="737"/>
        <v>2013</v>
      </c>
    </row>
    <row r="6184" spans="1:13" ht="15" x14ac:dyDescent="0.25">
      <c r="A6184" s="1">
        <f>DATE(2013,4,6)</f>
        <v>41370</v>
      </c>
      <c r="B6184" t="s">
        <v>12</v>
      </c>
      <c r="C6184" t="s">
        <v>8</v>
      </c>
      <c r="D6184" s="3">
        <v>2096.8793999999998</v>
      </c>
      <c r="E6184" s="3">
        <v>0</v>
      </c>
      <c r="F6184" t="s">
        <v>45</v>
      </c>
      <c r="G6184" s="3">
        <f t="shared" si="731"/>
        <v>-2096.8793999999998</v>
      </c>
      <c r="H6184" s="3">
        <f t="shared" si="732"/>
        <v>2096.8793999999998</v>
      </c>
      <c r="I6184" s="5" t="str">
        <f t="shared" si="733"/>
        <v>016</v>
      </c>
      <c r="J6184" s="5" t="str">
        <f t="shared" si="734"/>
        <v>2210</v>
      </c>
      <c r="K6184" s="5" t="str">
        <f t="shared" si="735"/>
        <v>000</v>
      </c>
      <c r="L6184" s="5">
        <f t="shared" si="736"/>
        <v>4</v>
      </c>
      <c r="M6184" s="5">
        <f t="shared" si="737"/>
        <v>2013</v>
      </c>
    </row>
    <row r="6185" spans="1:13" ht="15" x14ac:dyDescent="0.25">
      <c r="A6185" s="1">
        <f>DATE(2013,4,6)</f>
        <v>41370</v>
      </c>
      <c r="B6185" t="s">
        <v>13</v>
      </c>
      <c r="C6185" t="s">
        <v>9</v>
      </c>
      <c r="D6185" s="3">
        <v>309.2672</v>
      </c>
      <c r="E6185" s="3">
        <v>0</v>
      </c>
      <c r="F6185" t="s">
        <v>45</v>
      </c>
      <c r="G6185" s="3">
        <f t="shared" si="731"/>
        <v>-309.2672</v>
      </c>
      <c r="H6185" s="3">
        <f t="shared" si="732"/>
        <v>309.2672</v>
      </c>
      <c r="I6185" s="5" t="str">
        <f t="shared" si="733"/>
        <v>016</v>
      </c>
      <c r="J6185" s="5" t="str">
        <f t="shared" si="734"/>
        <v>2220</v>
      </c>
      <c r="K6185" s="5" t="str">
        <f t="shared" si="735"/>
        <v>000</v>
      </c>
      <c r="L6185" s="5">
        <f t="shared" si="736"/>
        <v>4</v>
      </c>
      <c r="M6185" s="5">
        <f t="shared" si="737"/>
        <v>2013</v>
      </c>
    </row>
    <row r="6186" spans="1:13" ht="15" x14ac:dyDescent="0.25">
      <c r="A6186" s="1">
        <f>DATE(2013,4,6)</f>
        <v>41370</v>
      </c>
      <c r="B6186" t="s">
        <v>14</v>
      </c>
      <c r="C6186" t="s">
        <v>10</v>
      </c>
      <c r="D6186" s="3">
        <v>239.2842</v>
      </c>
      <c r="E6186" s="3">
        <v>0</v>
      </c>
      <c r="F6186" t="s">
        <v>45</v>
      </c>
      <c r="G6186" s="3">
        <f t="shared" si="731"/>
        <v>-239.2842</v>
      </c>
      <c r="H6186" s="3">
        <f t="shared" si="732"/>
        <v>239.2842</v>
      </c>
      <c r="I6186" s="5" t="str">
        <f t="shared" si="733"/>
        <v>016</v>
      </c>
      <c r="J6186" s="5" t="str">
        <f t="shared" si="734"/>
        <v>2230</v>
      </c>
      <c r="K6186" s="5" t="str">
        <f t="shared" si="735"/>
        <v>000</v>
      </c>
      <c r="L6186" s="5">
        <f t="shared" si="736"/>
        <v>4</v>
      </c>
      <c r="M6186" s="5">
        <f t="shared" si="737"/>
        <v>2013</v>
      </c>
    </row>
    <row r="6187" spans="1:13" ht="15" x14ac:dyDescent="0.25">
      <c r="A6187" s="1">
        <f>DATE(2013,4,7)</f>
        <v>41371</v>
      </c>
      <c r="B6187" t="s">
        <v>11</v>
      </c>
      <c r="C6187" t="s">
        <v>6</v>
      </c>
      <c r="D6187" s="3">
        <v>4996.6601999999993</v>
      </c>
      <c r="E6187" s="3">
        <v>0</v>
      </c>
      <c r="F6187" t="s">
        <v>45</v>
      </c>
      <c r="G6187" s="3">
        <f t="shared" si="731"/>
        <v>-4996.6601999999993</v>
      </c>
      <c r="H6187" s="3">
        <f t="shared" si="732"/>
        <v>4996.6601999999993</v>
      </c>
      <c r="I6187" s="5" t="str">
        <f t="shared" si="733"/>
        <v>016</v>
      </c>
      <c r="J6187" s="5" t="str">
        <f t="shared" si="734"/>
        <v>2100</v>
      </c>
      <c r="K6187" s="5" t="str">
        <f t="shared" si="735"/>
        <v>000</v>
      </c>
      <c r="L6187" s="5">
        <f t="shared" si="736"/>
        <v>4</v>
      </c>
      <c r="M6187" s="5">
        <f t="shared" si="737"/>
        <v>2013</v>
      </c>
    </row>
    <row r="6188" spans="1:13" ht="15" x14ac:dyDescent="0.25">
      <c r="A6188" s="1">
        <f>DATE(2013,4,7)</f>
        <v>41371</v>
      </c>
      <c r="B6188" t="s">
        <v>12</v>
      </c>
      <c r="C6188" t="s">
        <v>8</v>
      </c>
      <c r="D6188" s="3">
        <v>1231.4440999999999</v>
      </c>
      <c r="E6188" s="3">
        <v>0</v>
      </c>
      <c r="F6188" t="s">
        <v>45</v>
      </c>
      <c r="G6188" s="3">
        <f t="shared" si="731"/>
        <v>-1231.4440999999999</v>
      </c>
      <c r="H6188" s="3">
        <f t="shared" si="732"/>
        <v>1231.4440999999999</v>
      </c>
      <c r="I6188" s="5" t="str">
        <f t="shared" si="733"/>
        <v>016</v>
      </c>
      <c r="J6188" s="5" t="str">
        <f t="shared" si="734"/>
        <v>2210</v>
      </c>
      <c r="K6188" s="5" t="str">
        <f t="shared" si="735"/>
        <v>000</v>
      </c>
      <c r="L6188" s="5">
        <f t="shared" si="736"/>
        <v>4</v>
      </c>
      <c r="M6188" s="5">
        <f t="shared" si="737"/>
        <v>2013</v>
      </c>
    </row>
    <row r="6189" spans="1:13" ht="15" x14ac:dyDescent="0.25">
      <c r="A6189" s="1">
        <f>DATE(2013,4,7)</f>
        <v>41371</v>
      </c>
      <c r="B6189" t="s">
        <v>13</v>
      </c>
      <c r="C6189" t="s">
        <v>9</v>
      </c>
      <c r="D6189" s="3">
        <v>251.5975</v>
      </c>
      <c r="E6189" s="3">
        <v>0</v>
      </c>
      <c r="F6189" t="s">
        <v>45</v>
      </c>
      <c r="G6189" s="3">
        <f t="shared" si="731"/>
        <v>-251.5975</v>
      </c>
      <c r="H6189" s="3">
        <f t="shared" si="732"/>
        <v>251.5975</v>
      </c>
      <c r="I6189" s="5" t="str">
        <f t="shared" si="733"/>
        <v>016</v>
      </c>
      <c r="J6189" s="5" t="str">
        <f t="shared" si="734"/>
        <v>2220</v>
      </c>
      <c r="K6189" s="5" t="str">
        <f t="shared" si="735"/>
        <v>000</v>
      </c>
      <c r="L6189" s="5">
        <f t="shared" si="736"/>
        <v>4</v>
      </c>
      <c r="M6189" s="5">
        <f t="shared" si="737"/>
        <v>2013</v>
      </c>
    </row>
    <row r="6190" spans="1:13" ht="15" x14ac:dyDescent="0.25">
      <c r="A6190" s="1">
        <f>DATE(2013,4,7)</f>
        <v>41371</v>
      </c>
      <c r="B6190" t="s">
        <v>14</v>
      </c>
      <c r="C6190" t="s">
        <v>10</v>
      </c>
      <c r="D6190" s="3">
        <v>227.64420000000001</v>
      </c>
      <c r="E6190" s="3">
        <v>0</v>
      </c>
      <c r="F6190" t="s">
        <v>45</v>
      </c>
      <c r="G6190" s="3">
        <f t="shared" si="731"/>
        <v>-227.64420000000001</v>
      </c>
      <c r="H6190" s="3">
        <f t="shared" si="732"/>
        <v>227.64420000000001</v>
      </c>
      <c r="I6190" s="5" t="str">
        <f t="shared" si="733"/>
        <v>016</v>
      </c>
      <c r="J6190" s="5" t="str">
        <f t="shared" si="734"/>
        <v>2230</v>
      </c>
      <c r="K6190" s="5" t="str">
        <f t="shared" si="735"/>
        <v>000</v>
      </c>
      <c r="L6190" s="5">
        <f t="shared" si="736"/>
        <v>4</v>
      </c>
      <c r="M6190" s="5">
        <f t="shared" si="737"/>
        <v>2013</v>
      </c>
    </row>
    <row r="6191" spans="1:13" ht="15" x14ac:dyDescent="0.25">
      <c r="A6191" s="1">
        <f>DATE(2013,4,1)</f>
        <v>41365</v>
      </c>
      <c r="B6191" t="s">
        <v>15</v>
      </c>
      <c r="C6191" t="s">
        <v>6</v>
      </c>
      <c r="D6191" s="3">
        <v>5006.4560000000001</v>
      </c>
      <c r="E6191" s="3">
        <v>0</v>
      </c>
      <c r="F6191" t="s">
        <v>45</v>
      </c>
      <c r="G6191" s="3">
        <f t="shared" si="731"/>
        <v>-5006.4560000000001</v>
      </c>
      <c r="H6191" s="3">
        <f t="shared" si="732"/>
        <v>5006.4560000000001</v>
      </c>
      <c r="I6191" s="5" t="str">
        <f t="shared" si="733"/>
        <v>017</v>
      </c>
      <c r="J6191" s="5" t="str">
        <f t="shared" si="734"/>
        <v>2100</v>
      </c>
      <c r="K6191" s="5" t="str">
        <f t="shared" si="735"/>
        <v>000</v>
      </c>
      <c r="L6191" s="5">
        <f t="shared" si="736"/>
        <v>4</v>
      </c>
      <c r="M6191" s="5">
        <f t="shared" si="737"/>
        <v>2013</v>
      </c>
    </row>
    <row r="6192" spans="1:13" ht="15" x14ac:dyDescent="0.25">
      <c r="A6192" s="1">
        <f>DATE(2013,4,1)</f>
        <v>41365</v>
      </c>
      <c r="B6192" t="s">
        <v>16</v>
      </c>
      <c r="C6192" t="s">
        <v>8</v>
      </c>
      <c r="D6192" s="3">
        <v>1221.57</v>
      </c>
      <c r="E6192" s="3">
        <v>0</v>
      </c>
      <c r="F6192" t="s">
        <v>45</v>
      </c>
      <c r="G6192" s="3">
        <f t="shared" si="731"/>
        <v>-1221.57</v>
      </c>
      <c r="H6192" s="3">
        <f t="shared" si="732"/>
        <v>1221.57</v>
      </c>
      <c r="I6192" s="5" t="str">
        <f t="shared" si="733"/>
        <v>017</v>
      </c>
      <c r="J6192" s="5" t="str">
        <f t="shared" si="734"/>
        <v>2210</v>
      </c>
      <c r="K6192" s="5" t="str">
        <f t="shared" si="735"/>
        <v>000</v>
      </c>
      <c r="L6192" s="5">
        <f t="shared" si="736"/>
        <v>4</v>
      </c>
      <c r="M6192" s="5">
        <f t="shared" si="737"/>
        <v>2013</v>
      </c>
    </row>
    <row r="6193" spans="1:13" ht="15" x14ac:dyDescent="0.25">
      <c r="A6193" s="1">
        <f>DATE(2013,4,1)</f>
        <v>41365</v>
      </c>
      <c r="B6193" t="s">
        <v>17</v>
      </c>
      <c r="C6193" t="s">
        <v>9</v>
      </c>
      <c r="D6193" s="3">
        <v>250.768</v>
      </c>
      <c r="E6193" s="3">
        <v>0</v>
      </c>
      <c r="F6193" t="s">
        <v>45</v>
      </c>
      <c r="G6193" s="3">
        <f t="shared" si="731"/>
        <v>-250.768</v>
      </c>
      <c r="H6193" s="3">
        <f t="shared" si="732"/>
        <v>250.768</v>
      </c>
      <c r="I6193" s="5" t="str">
        <f t="shared" si="733"/>
        <v>017</v>
      </c>
      <c r="J6193" s="5" t="str">
        <f t="shared" si="734"/>
        <v>2220</v>
      </c>
      <c r="K6193" s="5" t="str">
        <f t="shared" si="735"/>
        <v>000</v>
      </c>
      <c r="L6193" s="5">
        <f t="shared" si="736"/>
        <v>4</v>
      </c>
      <c r="M6193" s="5">
        <f t="shared" si="737"/>
        <v>2013</v>
      </c>
    </row>
    <row r="6194" spans="1:13" ht="15" x14ac:dyDescent="0.25">
      <c r="A6194" s="1">
        <f>DATE(2013,4,1)</f>
        <v>41365</v>
      </c>
      <c r="B6194" t="s">
        <v>18</v>
      </c>
      <c r="C6194" t="s">
        <v>10</v>
      </c>
      <c r="D6194" s="3">
        <v>92.822400000000002</v>
      </c>
      <c r="E6194" s="3">
        <v>0</v>
      </c>
      <c r="F6194" t="s">
        <v>45</v>
      </c>
      <c r="G6194" s="3">
        <f t="shared" si="731"/>
        <v>-92.822400000000002</v>
      </c>
      <c r="H6194" s="3">
        <f t="shared" si="732"/>
        <v>92.822400000000002</v>
      </c>
      <c r="I6194" s="5" t="str">
        <f t="shared" si="733"/>
        <v>017</v>
      </c>
      <c r="J6194" s="5" t="str">
        <f t="shared" si="734"/>
        <v>2230</v>
      </c>
      <c r="K6194" s="5" t="str">
        <f t="shared" si="735"/>
        <v>000</v>
      </c>
      <c r="L6194" s="5">
        <f t="shared" si="736"/>
        <v>4</v>
      </c>
      <c r="M6194" s="5">
        <f t="shared" si="737"/>
        <v>2013</v>
      </c>
    </row>
    <row r="6195" spans="1:13" ht="15" x14ac:dyDescent="0.25">
      <c r="A6195" s="1">
        <f>DATE(2013,4,2)</f>
        <v>41366</v>
      </c>
      <c r="B6195" t="s">
        <v>15</v>
      </c>
      <c r="C6195" t="s">
        <v>6</v>
      </c>
      <c r="D6195" s="3">
        <v>5029.4552000000003</v>
      </c>
      <c r="E6195" s="3">
        <v>0</v>
      </c>
      <c r="F6195" t="s">
        <v>45</v>
      </c>
      <c r="G6195" s="3">
        <f t="shared" si="731"/>
        <v>-5029.4552000000003</v>
      </c>
      <c r="H6195" s="3">
        <f t="shared" si="732"/>
        <v>5029.4552000000003</v>
      </c>
      <c r="I6195" s="5" t="str">
        <f t="shared" si="733"/>
        <v>017</v>
      </c>
      <c r="J6195" s="5" t="str">
        <f t="shared" si="734"/>
        <v>2100</v>
      </c>
      <c r="K6195" s="5" t="str">
        <f t="shared" si="735"/>
        <v>000</v>
      </c>
      <c r="L6195" s="5">
        <f t="shared" si="736"/>
        <v>4</v>
      </c>
      <c r="M6195" s="5">
        <f t="shared" si="737"/>
        <v>2013</v>
      </c>
    </row>
    <row r="6196" spans="1:13" ht="15" x14ac:dyDescent="0.25">
      <c r="A6196" s="1">
        <f>DATE(2013,4,2)</f>
        <v>41366</v>
      </c>
      <c r="B6196" t="s">
        <v>16</v>
      </c>
      <c r="C6196" t="s">
        <v>8</v>
      </c>
      <c r="D6196" s="3">
        <v>1243.539</v>
      </c>
      <c r="E6196" s="3">
        <v>0</v>
      </c>
      <c r="F6196" t="s">
        <v>45</v>
      </c>
      <c r="G6196" s="3">
        <f t="shared" si="731"/>
        <v>-1243.539</v>
      </c>
      <c r="H6196" s="3">
        <f t="shared" si="732"/>
        <v>1243.539</v>
      </c>
      <c r="I6196" s="5" t="str">
        <f t="shared" si="733"/>
        <v>017</v>
      </c>
      <c r="J6196" s="5" t="str">
        <f t="shared" si="734"/>
        <v>2210</v>
      </c>
      <c r="K6196" s="5" t="str">
        <f t="shared" si="735"/>
        <v>000</v>
      </c>
      <c r="L6196" s="5">
        <f t="shared" si="736"/>
        <v>4</v>
      </c>
      <c r="M6196" s="5">
        <f t="shared" si="737"/>
        <v>2013</v>
      </c>
    </row>
    <row r="6197" spans="1:13" ht="15" x14ac:dyDescent="0.25">
      <c r="A6197" s="1">
        <f>DATE(2013,4,2)</f>
        <v>41366</v>
      </c>
      <c r="B6197" t="s">
        <v>17</v>
      </c>
      <c r="C6197" t="s">
        <v>9</v>
      </c>
      <c r="D6197" s="3">
        <v>322.96420000000001</v>
      </c>
      <c r="E6197" s="3">
        <v>0</v>
      </c>
      <c r="F6197" t="s">
        <v>45</v>
      </c>
      <c r="G6197" s="3">
        <f t="shared" si="731"/>
        <v>-322.96420000000001</v>
      </c>
      <c r="H6197" s="3">
        <f t="shared" si="732"/>
        <v>322.96420000000001</v>
      </c>
      <c r="I6197" s="5" t="str">
        <f t="shared" si="733"/>
        <v>017</v>
      </c>
      <c r="J6197" s="5" t="str">
        <f t="shared" si="734"/>
        <v>2220</v>
      </c>
      <c r="K6197" s="5" t="str">
        <f t="shared" si="735"/>
        <v>000</v>
      </c>
      <c r="L6197" s="5">
        <f t="shared" si="736"/>
        <v>4</v>
      </c>
      <c r="M6197" s="5">
        <f t="shared" si="737"/>
        <v>2013</v>
      </c>
    </row>
    <row r="6198" spans="1:13" ht="15" x14ac:dyDescent="0.25">
      <c r="A6198" s="1">
        <f>DATE(2013,4,2)</f>
        <v>41366</v>
      </c>
      <c r="B6198" t="s">
        <v>18</v>
      </c>
      <c r="C6198" t="s">
        <v>10</v>
      </c>
      <c r="D6198" s="3">
        <v>74.733000000000004</v>
      </c>
      <c r="E6198" s="3">
        <v>0</v>
      </c>
      <c r="F6198" t="s">
        <v>45</v>
      </c>
      <c r="G6198" s="3">
        <f t="shared" si="731"/>
        <v>-74.733000000000004</v>
      </c>
      <c r="H6198" s="3">
        <f t="shared" si="732"/>
        <v>74.733000000000004</v>
      </c>
      <c r="I6198" s="5" t="str">
        <f t="shared" si="733"/>
        <v>017</v>
      </c>
      <c r="J6198" s="5" t="str">
        <f t="shared" si="734"/>
        <v>2230</v>
      </c>
      <c r="K6198" s="5" t="str">
        <f t="shared" si="735"/>
        <v>000</v>
      </c>
      <c r="L6198" s="5">
        <f t="shared" si="736"/>
        <v>4</v>
      </c>
      <c r="M6198" s="5">
        <f t="shared" si="737"/>
        <v>2013</v>
      </c>
    </row>
    <row r="6199" spans="1:13" ht="15" x14ac:dyDescent="0.25">
      <c r="A6199" s="1">
        <f>DATE(2013,4,3)</f>
        <v>41367</v>
      </c>
      <c r="B6199" t="s">
        <v>15</v>
      </c>
      <c r="C6199" t="s">
        <v>6</v>
      </c>
      <c r="D6199" s="3">
        <v>6446.3040000000001</v>
      </c>
      <c r="E6199" s="3">
        <v>0</v>
      </c>
      <c r="F6199" t="s">
        <v>45</v>
      </c>
      <c r="G6199" s="3">
        <f t="shared" si="731"/>
        <v>-6446.3040000000001</v>
      </c>
      <c r="H6199" s="3">
        <f t="shared" si="732"/>
        <v>6446.3040000000001</v>
      </c>
      <c r="I6199" s="5" t="str">
        <f t="shared" si="733"/>
        <v>017</v>
      </c>
      <c r="J6199" s="5" t="str">
        <f t="shared" si="734"/>
        <v>2100</v>
      </c>
      <c r="K6199" s="5" t="str">
        <f t="shared" si="735"/>
        <v>000</v>
      </c>
      <c r="L6199" s="5">
        <f t="shared" si="736"/>
        <v>4</v>
      </c>
      <c r="M6199" s="5">
        <f t="shared" si="737"/>
        <v>2013</v>
      </c>
    </row>
    <row r="6200" spans="1:13" ht="15" x14ac:dyDescent="0.25">
      <c r="A6200" s="1">
        <f>DATE(2013,4,3)</f>
        <v>41367</v>
      </c>
      <c r="B6200" t="s">
        <v>16</v>
      </c>
      <c r="C6200" t="s">
        <v>8</v>
      </c>
      <c r="D6200" s="3">
        <v>862.17200000000014</v>
      </c>
      <c r="E6200" s="3">
        <v>0</v>
      </c>
      <c r="F6200" t="s">
        <v>45</v>
      </c>
      <c r="G6200" s="3">
        <f t="shared" si="731"/>
        <v>-862.17200000000014</v>
      </c>
      <c r="H6200" s="3">
        <f t="shared" si="732"/>
        <v>862.17200000000014</v>
      </c>
      <c r="I6200" s="5" t="str">
        <f t="shared" si="733"/>
        <v>017</v>
      </c>
      <c r="J6200" s="5" t="str">
        <f t="shared" si="734"/>
        <v>2210</v>
      </c>
      <c r="K6200" s="5" t="str">
        <f t="shared" si="735"/>
        <v>000</v>
      </c>
      <c r="L6200" s="5">
        <f t="shared" si="736"/>
        <v>4</v>
      </c>
      <c r="M6200" s="5">
        <f t="shared" si="737"/>
        <v>2013</v>
      </c>
    </row>
    <row r="6201" spans="1:13" ht="15" x14ac:dyDescent="0.25">
      <c r="A6201" s="1">
        <f>DATE(2013,4,3)</f>
        <v>41367</v>
      </c>
      <c r="B6201" t="s">
        <v>17</v>
      </c>
      <c r="C6201" t="s">
        <v>9</v>
      </c>
      <c r="D6201" s="3">
        <v>300.53520000000003</v>
      </c>
      <c r="E6201" s="3">
        <v>0</v>
      </c>
      <c r="F6201" t="s">
        <v>45</v>
      </c>
      <c r="G6201" s="3">
        <f t="shared" si="731"/>
        <v>-300.53520000000003</v>
      </c>
      <c r="H6201" s="3">
        <f t="shared" si="732"/>
        <v>300.53520000000003</v>
      </c>
      <c r="I6201" s="5" t="str">
        <f t="shared" si="733"/>
        <v>017</v>
      </c>
      <c r="J6201" s="5" t="str">
        <f t="shared" si="734"/>
        <v>2220</v>
      </c>
      <c r="K6201" s="5" t="str">
        <f t="shared" si="735"/>
        <v>000</v>
      </c>
      <c r="L6201" s="5">
        <f t="shared" si="736"/>
        <v>4</v>
      </c>
      <c r="M6201" s="5">
        <f t="shared" si="737"/>
        <v>2013</v>
      </c>
    </row>
    <row r="6202" spans="1:13" ht="15" x14ac:dyDescent="0.25">
      <c r="A6202" s="1">
        <f>DATE(2013,4,3)</f>
        <v>41367</v>
      </c>
      <c r="B6202" t="s">
        <v>18</v>
      </c>
      <c r="C6202" t="s">
        <v>10</v>
      </c>
      <c r="D6202" s="3">
        <v>56.617400000000004</v>
      </c>
      <c r="E6202" s="3">
        <v>0</v>
      </c>
      <c r="F6202" t="s">
        <v>45</v>
      </c>
      <c r="G6202" s="3">
        <f t="shared" si="731"/>
        <v>-56.617400000000004</v>
      </c>
      <c r="H6202" s="3">
        <f t="shared" si="732"/>
        <v>56.617400000000004</v>
      </c>
      <c r="I6202" s="5" t="str">
        <f t="shared" si="733"/>
        <v>017</v>
      </c>
      <c r="J6202" s="5" t="str">
        <f t="shared" si="734"/>
        <v>2230</v>
      </c>
      <c r="K6202" s="5" t="str">
        <f t="shared" si="735"/>
        <v>000</v>
      </c>
      <c r="L6202" s="5">
        <f t="shared" si="736"/>
        <v>4</v>
      </c>
      <c r="M6202" s="5">
        <f t="shared" si="737"/>
        <v>2013</v>
      </c>
    </row>
    <row r="6203" spans="1:13" ht="15" x14ac:dyDescent="0.25">
      <c r="A6203" s="1">
        <f>DATE(2013,4,4)</f>
        <v>41368</v>
      </c>
      <c r="B6203" t="s">
        <v>15</v>
      </c>
      <c r="C6203" t="s">
        <v>6</v>
      </c>
      <c r="D6203" s="3">
        <v>5256.5349999999999</v>
      </c>
      <c r="E6203" s="3">
        <v>0</v>
      </c>
      <c r="F6203" t="s">
        <v>45</v>
      </c>
      <c r="G6203" s="3">
        <f t="shared" si="731"/>
        <v>-5256.5349999999999</v>
      </c>
      <c r="H6203" s="3">
        <f t="shared" si="732"/>
        <v>5256.5349999999999</v>
      </c>
      <c r="I6203" s="5" t="str">
        <f t="shared" si="733"/>
        <v>017</v>
      </c>
      <c r="J6203" s="5" t="str">
        <f t="shared" si="734"/>
        <v>2100</v>
      </c>
      <c r="K6203" s="5" t="str">
        <f t="shared" si="735"/>
        <v>000</v>
      </c>
      <c r="L6203" s="5">
        <f t="shared" si="736"/>
        <v>4</v>
      </c>
      <c r="M6203" s="5">
        <f t="shared" si="737"/>
        <v>2013</v>
      </c>
    </row>
    <row r="6204" spans="1:13" ht="15" x14ac:dyDescent="0.25">
      <c r="A6204" s="1">
        <f>DATE(2013,4,4)</f>
        <v>41368</v>
      </c>
      <c r="B6204" t="s">
        <v>16</v>
      </c>
      <c r="C6204" t="s">
        <v>8</v>
      </c>
      <c r="D6204" s="3">
        <v>1439.1454000000001</v>
      </c>
      <c r="E6204" s="3">
        <v>0</v>
      </c>
      <c r="F6204" t="s">
        <v>45</v>
      </c>
      <c r="G6204" s="3">
        <f t="shared" si="731"/>
        <v>-1439.1454000000001</v>
      </c>
      <c r="H6204" s="3">
        <f t="shared" si="732"/>
        <v>1439.1454000000001</v>
      </c>
      <c r="I6204" s="5" t="str">
        <f t="shared" si="733"/>
        <v>017</v>
      </c>
      <c r="J6204" s="5" t="str">
        <f t="shared" si="734"/>
        <v>2210</v>
      </c>
      <c r="K6204" s="5" t="str">
        <f t="shared" si="735"/>
        <v>000</v>
      </c>
      <c r="L6204" s="5">
        <f t="shared" si="736"/>
        <v>4</v>
      </c>
      <c r="M6204" s="5">
        <f t="shared" si="737"/>
        <v>2013</v>
      </c>
    </row>
    <row r="6205" spans="1:13" ht="15" x14ac:dyDescent="0.25">
      <c r="A6205" s="1">
        <f>DATE(2013,4,4)</f>
        <v>41368</v>
      </c>
      <c r="B6205" t="s">
        <v>17</v>
      </c>
      <c r="C6205" t="s">
        <v>9</v>
      </c>
      <c r="D6205" s="3">
        <v>340.51800000000003</v>
      </c>
      <c r="E6205" s="3">
        <v>0</v>
      </c>
      <c r="F6205" t="s">
        <v>45</v>
      </c>
      <c r="G6205" s="3">
        <f t="shared" si="731"/>
        <v>-340.51800000000003</v>
      </c>
      <c r="H6205" s="3">
        <f t="shared" si="732"/>
        <v>340.51800000000003</v>
      </c>
      <c r="I6205" s="5" t="str">
        <f t="shared" si="733"/>
        <v>017</v>
      </c>
      <c r="J6205" s="5" t="str">
        <f t="shared" si="734"/>
        <v>2220</v>
      </c>
      <c r="K6205" s="5" t="str">
        <f t="shared" si="735"/>
        <v>000</v>
      </c>
      <c r="L6205" s="5">
        <f t="shared" si="736"/>
        <v>4</v>
      </c>
      <c r="M6205" s="5">
        <f t="shared" si="737"/>
        <v>2013</v>
      </c>
    </row>
    <row r="6206" spans="1:13" ht="15" x14ac:dyDescent="0.25">
      <c r="A6206" s="1">
        <f>DATE(2013,4,4)</f>
        <v>41368</v>
      </c>
      <c r="B6206" t="s">
        <v>18</v>
      </c>
      <c r="C6206" t="s">
        <v>10</v>
      </c>
      <c r="D6206" s="3">
        <v>172.126</v>
      </c>
      <c r="E6206" s="3">
        <v>0</v>
      </c>
      <c r="F6206" t="s">
        <v>45</v>
      </c>
      <c r="G6206" s="3">
        <f t="shared" si="731"/>
        <v>-172.126</v>
      </c>
      <c r="H6206" s="3">
        <f t="shared" si="732"/>
        <v>172.126</v>
      </c>
      <c r="I6206" s="5" t="str">
        <f t="shared" si="733"/>
        <v>017</v>
      </c>
      <c r="J6206" s="5" t="str">
        <f t="shared" si="734"/>
        <v>2230</v>
      </c>
      <c r="K6206" s="5" t="str">
        <f t="shared" si="735"/>
        <v>000</v>
      </c>
      <c r="L6206" s="5">
        <f t="shared" si="736"/>
        <v>4</v>
      </c>
      <c r="M6206" s="5">
        <f t="shared" si="737"/>
        <v>2013</v>
      </c>
    </row>
    <row r="6207" spans="1:13" ht="15" x14ac:dyDescent="0.25">
      <c r="A6207" s="1">
        <f t="shared" ref="A6207:A6210" si="738">DATE(2013,4,5)</f>
        <v>41369</v>
      </c>
      <c r="B6207" t="s">
        <v>15</v>
      </c>
      <c r="C6207" t="s">
        <v>6</v>
      </c>
      <c r="D6207" s="3">
        <v>8693.3375999999989</v>
      </c>
      <c r="E6207" s="3">
        <v>0</v>
      </c>
      <c r="F6207" t="s">
        <v>45</v>
      </c>
      <c r="G6207" s="3">
        <f t="shared" si="731"/>
        <v>-8693.3375999999989</v>
      </c>
      <c r="H6207" s="3">
        <f t="shared" si="732"/>
        <v>8693.3375999999989</v>
      </c>
      <c r="I6207" s="5" t="str">
        <f t="shared" si="733"/>
        <v>017</v>
      </c>
      <c r="J6207" s="5" t="str">
        <f t="shared" si="734"/>
        <v>2100</v>
      </c>
      <c r="K6207" s="5" t="str">
        <f t="shared" si="735"/>
        <v>000</v>
      </c>
      <c r="L6207" s="5">
        <f t="shared" si="736"/>
        <v>4</v>
      </c>
      <c r="M6207" s="5">
        <f t="shared" si="737"/>
        <v>2013</v>
      </c>
    </row>
    <row r="6208" spans="1:13" ht="15" x14ac:dyDescent="0.25">
      <c r="A6208" s="1">
        <f t="shared" si="738"/>
        <v>41369</v>
      </c>
      <c r="B6208" t="s">
        <v>16</v>
      </c>
      <c r="C6208" t="s">
        <v>8</v>
      </c>
      <c r="D6208" s="3">
        <v>2794.0311000000002</v>
      </c>
      <c r="E6208" s="3">
        <v>0</v>
      </c>
      <c r="F6208" t="s">
        <v>45</v>
      </c>
      <c r="G6208" s="3">
        <f t="shared" si="731"/>
        <v>-2794.0311000000002</v>
      </c>
      <c r="H6208" s="3">
        <f t="shared" si="732"/>
        <v>2794.0311000000002</v>
      </c>
      <c r="I6208" s="5" t="str">
        <f t="shared" si="733"/>
        <v>017</v>
      </c>
      <c r="J6208" s="5" t="str">
        <f t="shared" si="734"/>
        <v>2210</v>
      </c>
      <c r="K6208" s="5" t="str">
        <f t="shared" si="735"/>
        <v>000</v>
      </c>
      <c r="L6208" s="5">
        <f t="shared" si="736"/>
        <v>4</v>
      </c>
      <c r="M6208" s="5">
        <f t="shared" si="737"/>
        <v>2013</v>
      </c>
    </row>
    <row r="6209" spans="1:13" ht="15" x14ac:dyDescent="0.25">
      <c r="A6209" s="1">
        <f t="shared" si="738"/>
        <v>41369</v>
      </c>
      <c r="B6209" t="s">
        <v>17</v>
      </c>
      <c r="C6209" t="s">
        <v>9</v>
      </c>
      <c r="D6209" s="3">
        <v>871.00799999999992</v>
      </c>
      <c r="E6209" s="3">
        <v>0</v>
      </c>
      <c r="F6209" t="s">
        <v>45</v>
      </c>
      <c r="G6209" s="3">
        <f t="shared" si="731"/>
        <v>-871.00799999999992</v>
      </c>
      <c r="H6209" s="3">
        <f t="shared" si="732"/>
        <v>871.00799999999992</v>
      </c>
      <c r="I6209" s="5" t="str">
        <f t="shared" si="733"/>
        <v>017</v>
      </c>
      <c r="J6209" s="5" t="str">
        <f t="shared" si="734"/>
        <v>2220</v>
      </c>
      <c r="K6209" s="5" t="str">
        <f t="shared" si="735"/>
        <v>000</v>
      </c>
      <c r="L6209" s="5">
        <f t="shared" si="736"/>
        <v>4</v>
      </c>
      <c r="M6209" s="5">
        <f t="shared" si="737"/>
        <v>2013</v>
      </c>
    </row>
    <row r="6210" spans="1:13" ht="15" x14ac:dyDescent="0.25">
      <c r="A6210" s="1">
        <f t="shared" si="738"/>
        <v>41369</v>
      </c>
      <c r="B6210" t="s">
        <v>18</v>
      </c>
      <c r="C6210" t="s">
        <v>10</v>
      </c>
      <c r="D6210" s="3">
        <v>65.951899999999995</v>
      </c>
      <c r="E6210" s="3">
        <v>0</v>
      </c>
      <c r="F6210" t="s">
        <v>45</v>
      </c>
      <c r="G6210" s="3">
        <f t="shared" ref="G6210:G6273" si="739">E6210-D6210</f>
        <v>-65.951899999999995</v>
      </c>
      <c r="H6210" s="3">
        <f t="shared" ref="H6210:H6273" si="740">ABS(G6210)</f>
        <v>65.951899999999995</v>
      </c>
      <c r="I6210" s="5" t="str">
        <f t="shared" ref="I6210:I6273" si="741">MID(B6210,1,3)</f>
        <v>017</v>
      </c>
      <c r="J6210" s="5" t="str">
        <f t="shared" ref="J6210:J6273" si="742">MID(B6210,5,4)</f>
        <v>2230</v>
      </c>
      <c r="K6210" s="5" t="str">
        <f t="shared" ref="K6210:K6273" si="743">MID(B6210,10,3)</f>
        <v>000</v>
      </c>
      <c r="L6210" s="5">
        <f t="shared" ref="L6210:L6273" si="744">MONTH(A6210)</f>
        <v>4</v>
      </c>
      <c r="M6210" s="5">
        <f t="shared" ref="M6210:M6273" si="745">YEAR(A6210)</f>
        <v>2013</v>
      </c>
    </row>
    <row r="6211" spans="1:13" ht="15" x14ac:dyDescent="0.25">
      <c r="A6211" s="1">
        <f>DATE(2013,4,6)</f>
        <v>41370</v>
      </c>
      <c r="B6211" t="s">
        <v>15</v>
      </c>
      <c r="C6211" t="s">
        <v>6</v>
      </c>
      <c r="D6211" s="3">
        <v>9799.362000000001</v>
      </c>
      <c r="E6211" s="3">
        <v>0</v>
      </c>
      <c r="F6211" t="s">
        <v>45</v>
      </c>
      <c r="G6211" s="3">
        <f t="shared" si="739"/>
        <v>-9799.362000000001</v>
      </c>
      <c r="H6211" s="3">
        <f t="shared" si="740"/>
        <v>9799.362000000001</v>
      </c>
      <c r="I6211" s="5" t="str">
        <f t="shared" si="741"/>
        <v>017</v>
      </c>
      <c r="J6211" s="5" t="str">
        <f t="shared" si="742"/>
        <v>2100</v>
      </c>
      <c r="K6211" s="5" t="str">
        <f t="shared" si="743"/>
        <v>000</v>
      </c>
      <c r="L6211" s="5">
        <f t="shared" si="744"/>
        <v>4</v>
      </c>
      <c r="M6211" s="5">
        <f t="shared" si="745"/>
        <v>2013</v>
      </c>
    </row>
    <row r="6212" spans="1:13" ht="15" x14ac:dyDescent="0.25">
      <c r="A6212" s="1">
        <f>DATE(2013,4,6)</f>
        <v>41370</v>
      </c>
      <c r="B6212" t="s">
        <v>16</v>
      </c>
      <c r="C6212" t="s">
        <v>8</v>
      </c>
      <c r="D6212" s="3">
        <v>2079.337</v>
      </c>
      <c r="E6212" s="3">
        <v>0</v>
      </c>
      <c r="F6212" t="s">
        <v>45</v>
      </c>
      <c r="G6212" s="3">
        <f t="shared" si="739"/>
        <v>-2079.337</v>
      </c>
      <c r="H6212" s="3">
        <f t="shared" si="740"/>
        <v>2079.337</v>
      </c>
      <c r="I6212" s="5" t="str">
        <f t="shared" si="741"/>
        <v>017</v>
      </c>
      <c r="J6212" s="5" t="str">
        <f t="shared" si="742"/>
        <v>2210</v>
      </c>
      <c r="K6212" s="5" t="str">
        <f t="shared" si="743"/>
        <v>000</v>
      </c>
      <c r="L6212" s="5">
        <f t="shared" si="744"/>
        <v>4</v>
      </c>
      <c r="M6212" s="5">
        <f t="shared" si="745"/>
        <v>2013</v>
      </c>
    </row>
    <row r="6213" spans="1:13" ht="15" x14ac:dyDescent="0.25">
      <c r="A6213" s="1">
        <f>DATE(2013,4,6)</f>
        <v>41370</v>
      </c>
      <c r="B6213" t="s">
        <v>17</v>
      </c>
      <c r="C6213" t="s">
        <v>9</v>
      </c>
      <c r="D6213" s="3">
        <v>408.61579999999998</v>
      </c>
      <c r="E6213" s="3">
        <v>0</v>
      </c>
      <c r="F6213" t="s">
        <v>45</v>
      </c>
      <c r="G6213" s="3">
        <f t="shared" si="739"/>
        <v>-408.61579999999998</v>
      </c>
      <c r="H6213" s="3">
        <f t="shared" si="740"/>
        <v>408.61579999999998</v>
      </c>
      <c r="I6213" s="5" t="str">
        <f t="shared" si="741"/>
        <v>017</v>
      </c>
      <c r="J6213" s="5" t="str">
        <f t="shared" si="742"/>
        <v>2220</v>
      </c>
      <c r="K6213" s="5" t="str">
        <f t="shared" si="743"/>
        <v>000</v>
      </c>
      <c r="L6213" s="5">
        <f t="shared" si="744"/>
        <v>4</v>
      </c>
      <c r="M6213" s="5">
        <f t="shared" si="745"/>
        <v>2013</v>
      </c>
    </row>
    <row r="6214" spans="1:13" ht="15" x14ac:dyDescent="0.25">
      <c r="A6214" s="1">
        <f>DATE(2013,4,6)</f>
        <v>41370</v>
      </c>
      <c r="B6214" t="s">
        <v>18</v>
      </c>
      <c r="C6214" t="s">
        <v>10</v>
      </c>
      <c r="D6214" s="3">
        <v>93.045399999999987</v>
      </c>
      <c r="E6214" s="3">
        <v>0</v>
      </c>
      <c r="F6214" t="s">
        <v>45</v>
      </c>
      <c r="G6214" s="3">
        <f t="shared" si="739"/>
        <v>-93.045399999999987</v>
      </c>
      <c r="H6214" s="3">
        <f t="shared" si="740"/>
        <v>93.045399999999987</v>
      </c>
      <c r="I6214" s="5" t="str">
        <f t="shared" si="741"/>
        <v>017</v>
      </c>
      <c r="J6214" s="5" t="str">
        <f t="shared" si="742"/>
        <v>2230</v>
      </c>
      <c r="K6214" s="5" t="str">
        <f t="shared" si="743"/>
        <v>000</v>
      </c>
      <c r="L6214" s="5">
        <f t="shared" si="744"/>
        <v>4</v>
      </c>
      <c r="M6214" s="5">
        <f t="shared" si="745"/>
        <v>2013</v>
      </c>
    </row>
    <row r="6215" spans="1:13" ht="15" x14ac:dyDescent="0.25">
      <c r="A6215" s="1">
        <f>DATE(2013,4,7)</f>
        <v>41371</v>
      </c>
      <c r="B6215" t="s">
        <v>15</v>
      </c>
      <c r="C6215" t="s">
        <v>6</v>
      </c>
      <c r="D6215" s="3">
        <v>5542.9084000000003</v>
      </c>
      <c r="E6215" s="3">
        <v>0</v>
      </c>
      <c r="F6215" t="s">
        <v>45</v>
      </c>
      <c r="G6215" s="3">
        <f t="shared" si="739"/>
        <v>-5542.9084000000003</v>
      </c>
      <c r="H6215" s="3">
        <f t="shared" si="740"/>
        <v>5542.9084000000003</v>
      </c>
      <c r="I6215" s="5" t="str">
        <f t="shared" si="741"/>
        <v>017</v>
      </c>
      <c r="J6215" s="5" t="str">
        <f t="shared" si="742"/>
        <v>2100</v>
      </c>
      <c r="K6215" s="5" t="str">
        <f t="shared" si="743"/>
        <v>000</v>
      </c>
      <c r="L6215" s="5">
        <f t="shared" si="744"/>
        <v>4</v>
      </c>
      <c r="M6215" s="5">
        <f t="shared" si="745"/>
        <v>2013</v>
      </c>
    </row>
    <row r="6216" spans="1:13" ht="15" x14ac:dyDescent="0.25">
      <c r="A6216" s="1">
        <f>DATE(2013,4,7)</f>
        <v>41371</v>
      </c>
      <c r="B6216" t="s">
        <v>16</v>
      </c>
      <c r="C6216" t="s">
        <v>8</v>
      </c>
      <c r="D6216" s="3">
        <v>1429.2549999999999</v>
      </c>
      <c r="E6216" s="3">
        <v>0</v>
      </c>
      <c r="F6216" t="s">
        <v>45</v>
      </c>
      <c r="G6216" s="3">
        <f t="shared" si="739"/>
        <v>-1429.2549999999999</v>
      </c>
      <c r="H6216" s="3">
        <f t="shared" si="740"/>
        <v>1429.2549999999999</v>
      </c>
      <c r="I6216" s="5" t="str">
        <f t="shared" si="741"/>
        <v>017</v>
      </c>
      <c r="J6216" s="5" t="str">
        <f t="shared" si="742"/>
        <v>2210</v>
      </c>
      <c r="K6216" s="5" t="str">
        <f t="shared" si="743"/>
        <v>000</v>
      </c>
      <c r="L6216" s="5">
        <f t="shared" si="744"/>
        <v>4</v>
      </c>
      <c r="M6216" s="5">
        <f t="shared" si="745"/>
        <v>2013</v>
      </c>
    </row>
    <row r="6217" spans="1:13" ht="15" x14ac:dyDescent="0.25">
      <c r="A6217" s="1">
        <f>DATE(2013,4,7)</f>
        <v>41371</v>
      </c>
      <c r="B6217" t="s">
        <v>17</v>
      </c>
      <c r="C6217" t="s">
        <v>9</v>
      </c>
      <c r="D6217" s="3">
        <v>361.62700000000001</v>
      </c>
      <c r="E6217" s="3">
        <v>0</v>
      </c>
      <c r="F6217" t="s">
        <v>45</v>
      </c>
      <c r="G6217" s="3">
        <f t="shared" si="739"/>
        <v>-361.62700000000001</v>
      </c>
      <c r="H6217" s="3">
        <f t="shared" si="740"/>
        <v>361.62700000000001</v>
      </c>
      <c r="I6217" s="5" t="str">
        <f t="shared" si="741"/>
        <v>017</v>
      </c>
      <c r="J6217" s="5" t="str">
        <f t="shared" si="742"/>
        <v>2220</v>
      </c>
      <c r="K6217" s="5" t="str">
        <f t="shared" si="743"/>
        <v>000</v>
      </c>
      <c r="L6217" s="5">
        <f t="shared" si="744"/>
        <v>4</v>
      </c>
      <c r="M6217" s="5">
        <f t="shared" si="745"/>
        <v>2013</v>
      </c>
    </row>
    <row r="6218" spans="1:13" ht="15" x14ac:dyDescent="0.25">
      <c r="A6218" s="1">
        <f>DATE(2013,4,7)</f>
        <v>41371</v>
      </c>
      <c r="B6218" t="s">
        <v>18</v>
      </c>
      <c r="C6218" t="s">
        <v>10</v>
      </c>
      <c r="D6218" s="3">
        <v>131.69919999999999</v>
      </c>
      <c r="E6218" s="3">
        <v>0</v>
      </c>
      <c r="F6218" t="s">
        <v>45</v>
      </c>
      <c r="G6218" s="3">
        <f t="shared" si="739"/>
        <v>-131.69919999999999</v>
      </c>
      <c r="H6218" s="3">
        <f t="shared" si="740"/>
        <v>131.69919999999999</v>
      </c>
      <c r="I6218" s="5" t="str">
        <f t="shared" si="741"/>
        <v>017</v>
      </c>
      <c r="J6218" s="5" t="str">
        <f t="shared" si="742"/>
        <v>2230</v>
      </c>
      <c r="K6218" s="5" t="str">
        <f t="shared" si="743"/>
        <v>000</v>
      </c>
      <c r="L6218" s="5">
        <f t="shared" si="744"/>
        <v>4</v>
      </c>
      <c r="M6218" s="5">
        <f t="shared" si="745"/>
        <v>2013</v>
      </c>
    </row>
    <row r="6219" spans="1:13" ht="15" x14ac:dyDescent="0.25">
      <c r="A6219" s="1">
        <f>DATE(2013,4,1)</f>
        <v>41365</v>
      </c>
      <c r="B6219" t="s">
        <v>19</v>
      </c>
      <c r="C6219" t="s">
        <v>6</v>
      </c>
      <c r="D6219" s="3">
        <v>3499.0889999999999</v>
      </c>
      <c r="E6219" s="3">
        <v>0</v>
      </c>
      <c r="F6219" t="s">
        <v>45</v>
      </c>
      <c r="G6219" s="3">
        <f t="shared" si="739"/>
        <v>-3499.0889999999999</v>
      </c>
      <c r="H6219" s="3">
        <f t="shared" si="740"/>
        <v>3499.0889999999999</v>
      </c>
      <c r="I6219" s="5" t="str">
        <f t="shared" si="741"/>
        <v>018</v>
      </c>
      <c r="J6219" s="5" t="str">
        <f t="shared" si="742"/>
        <v>2100</v>
      </c>
      <c r="K6219" s="5" t="str">
        <f t="shared" si="743"/>
        <v>000</v>
      </c>
      <c r="L6219" s="5">
        <f t="shared" si="744"/>
        <v>4</v>
      </c>
      <c r="M6219" s="5">
        <f t="shared" si="745"/>
        <v>2013</v>
      </c>
    </row>
    <row r="6220" spans="1:13" ht="15" x14ac:dyDescent="0.25">
      <c r="A6220" s="1">
        <f>DATE(2013,4,1)</f>
        <v>41365</v>
      </c>
      <c r="B6220" t="s">
        <v>20</v>
      </c>
      <c r="C6220" t="s">
        <v>8</v>
      </c>
      <c r="D6220" s="3">
        <v>798.35850000000005</v>
      </c>
      <c r="E6220" s="3">
        <v>0</v>
      </c>
      <c r="F6220" t="s">
        <v>45</v>
      </c>
      <c r="G6220" s="3">
        <f t="shared" si="739"/>
        <v>-798.35850000000005</v>
      </c>
      <c r="H6220" s="3">
        <f t="shared" si="740"/>
        <v>798.35850000000005</v>
      </c>
      <c r="I6220" s="5" t="str">
        <f t="shared" si="741"/>
        <v>018</v>
      </c>
      <c r="J6220" s="5" t="str">
        <f t="shared" si="742"/>
        <v>2210</v>
      </c>
      <c r="K6220" s="5" t="str">
        <f t="shared" si="743"/>
        <v>000</v>
      </c>
      <c r="L6220" s="5">
        <f t="shared" si="744"/>
        <v>4</v>
      </c>
      <c r="M6220" s="5">
        <f t="shared" si="745"/>
        <v>2013</v>
      </c>
    </row>
    <row r="6221" spans="1:13" ht="15" x14ac:dyDescent="0.25">
      <c r="A6221" s="1">
        <f>DATE(2013,4,1)</f>
        <v>41365</v>
      </c>
      <c r="B6221" t="s">
        <v>21</v>
      </c>
      <c r="C6221" t="s">
        <v>9</v>
      </c>
      <c r="D6221" s="3">
        <v>138.8835</v>
      </c>
      <c r="E6221" s="3">
        <v>0</v>
      </c>
      <c r="F6221" t="s">
        <v>45</v>
      </c>
      <c r="G6221" s="3">
        <f t="shared" si="739"/>
        <v>-138.8835</v>
      </c>
      <c r="H6221" s="3">
        <f t="shared" si="740"/>
        <v>138.8835</v>
      </c>
      <c r="I6221" s="5" t="str">
        <f t="shared" si="741"/>
        <v>018</v>
      </c>
      <c r="J6221" s="5" t="str">
        <f t="shared" si="742"/>
        <v>2220</v>
      </c>
      <c r="K6221" s="5" t="str">
        <f t="shared" si="743"/>
        <v>000</v>
      </c>
      <c r="L6221" s="5">
        <f t="shared" si="744"/>
        <v>4</v>
      </c>
      <c r="M6221" s="5">
        <f t="shared" si="745"/>
        <v>2013</v>
      </c>
    </row>
    <row r="6222" spans="1:13" ht="15" x14ac:dyDescent="0.25">
      <c r="A6222" s="1">
        <f>DATE(2013,4,1)</f>
        <v>41365</v>
      </c>
      <c r="B6222" t="s">
        <v>22</v>
      </c>
      <c r="C6222" t="s">
        <v>10</v>
      </c>
      <c r="D6222" s="3">
        <v>17.232400000000002</v>
      </c>
      <c r="E6222" s="3">
        <v>0</v>
      </c>
      <c r="F6222" t="s">
        <v>45</v>
      </c>
      <c r="G6222" s="3">
        <f t="shared" si="739"/>
        <v>-17.232400000000002</v>
      </c>
      <c r="H6222" s="3">
        <f t="shared" si="740"/>
        <v>17.232400000000002</v>
      </c>
      <c r="I6222" s="5" t="str">
        <f t="shared" si="741"/>
        <v>018</v>
      </c>
      <c r="J6222" s="5" t="str">
        <f t="shared" si="742"/>
        <v>2230</v>
      </c>
      <c r="K6222" s="5" t="str">
        <f t="shared" si="743"/>
        <v>000</v>
      </c>
      <c r="L6222" s="5">
        <f t="shared" si="744"/>
        <v>4</v>
      </c>
      <c r="M6222" s="5">
        <f t="shared" si="745"/>
        <v>2013</v>
      </c>
    </row>
    <row r="6223" spans="1:13" ht="15" x14ac:dyDescent="0.25">
      <c r="A6223" s="1">
        <f>DATE(2013,4,2)</f>
        <v>41366</v>
      </c>
      <c r="B6223" t="s">
        <v>19</v>
      </c>
      <c r="C6223" t="s">
        <v>6</v>
      </c>
      <c r="D6223" s="3">
        <v>3711.3047999999999</v>
      </c>
      <c r="E6223" s="3">
        <v>0</v>
      </c>
      <c r="F6223" t="s">
        <v>45</v>
      </c>
      <c r="G6223" s="3">
        <f t="shared" si="739"/>
        <v>-3711.3047999999999</v>
      </c>
      <c r="H6223" s="3">
        <f t="shared" si="740"/>
        <v>3711.3047999999999</v>
      </c>
      <c r="I6223" s="5" t="str">
        <f t="shared" si="741"/>
        <v>018</v>
      </c>
      <c r="J6223" s="5" t="str">
        <f t="shared" si="742"/>
        <v>2100</v>
      </c>
      <c r="K6223" s="5" t="str">
        <f t="shared" si="743"/>
        <v>000</v>
      </c>
      <c r="L6223" s="5">
        <f t="shared" si="744"/>
        <v>4</v>
      </c>
      <c r="M6223" s="5">
        <f t="shared" si="745"/>
        <v>2013</v>
      </c>
    </row>
    <row r="6224" spans="1:13" ht="15" x14ac:dyDescent="0.25">
      <c r="A6224" s="1">
        <f>DATE(2013,4,2)</f>
        <v>41366</v>
      </c>
      <c r="B6224" t="s">
        <v>20</v>
      </c>
      <c r="C6224" t="s">
        <v>8</v>
      </c>
      <c r="D6224" s="3">
        <v>570.61699999999996</v>
      </c>
      <c r="E6224" s="3">
        <v>0</v>
      </c>
      <c r="F6224" t="s">
        <v>45</v>
      </c>
      <c r="G6224" s="3">
        <f t="shared" si="739"/>
        <v>-570.61699999999996</v>
      </c>
      <c r="H6224" s="3">
        <f t="shared" si="740"/>
        <v>570.61699999999996</v>
      </c>
      <c r="I6224" s="5" t="str">
        <f t="shared" si="741"/>
        <v>018</v>
      </c>
      <c r="J6224" s="5" t="str">
        <f t="shared" si="742"/>
        <v>2210</v>
      </c>
      <c r="K6224" s="5" t="str">
        <f t="shared" si="743"/>
        <v>000</v>
      </c>
      <c r="L6224" s="5">
        <f t="shared" si="744"/>
        <v>4</v>
      </c>
      <c r="M6224" s="5">
        <f t="shared" si="745"/>
        <v>2013</v>
      </c>
    </row>
    <row r="6225" spans="1:13" ht="15" x14ac:dyDescent="0.25">
      <c r="A6225" s="1">
        <f>DATE(2013,4,2)</f>
        <v>41366</v>
      </c>
      <c r="B6225" t="s">
        <v>21</v>
      </c>
      <c r="C6225" t="s">
        <v>9</v>
      </c>
      <c r="D6225" s="3">
        <v>61.342799999999997</v>
      </c>
      <c r="E6225" s="3">
        <v>0</v>
      </c>
      <c r="F6225" t="s">
        <v>45</v>
      </c>
      <c r="G6225" s="3">
        <f t="shared" si="739"/>
        <v>-61.342799999999997</v>
      </c>
      <c r="H6225" s="3">
        <f t="shared" si="740"/>
        <v>61.342799999999997</v>
      </c>
      <c r="I6225" s="5" t="str">
        <f t="shared" si="741"/>
        <v>018</v>
      </c>
      <c r="J6225" s="5" t="str">
        <f t="shared" si="742"/>
        <v>2220</v>
      </c>
      <c r="K6225" s="5" t="str">
        <f t="shared" si="743"/>
        <v>000</v>
      </c>
      <c r="L6225" s="5">
        <f t="shared" si="744"/>
        <v>4</v>
      </c>
      <c r="M6225" s="5">
        <f t="shared" si="745"/>
        <v>2013</v>
      </c>
    </row>
    <row r="6226" spans="1:13" ht="15" x14ac:dyDescent="0.25">
      <c r="A6226" s="1">
        <f>DATE(2013,4,2)</f>
        <v>41366</v>
      </c>
      <c r="B6226" t="s">
        <v>22</v>
      </c>
      <c r="C6226" t="s">
        <v>10</v>
      </c>
      <c r="D6226" s="3">
        <v>56.334199999999996</v>
      </c>
      <c r="E6226" s="3">
        <v>0</v>
      </c>
      <c r="F6226" t="s">
        <v>45</v>
      </c>
      <c r="G6226" s="3">
        <f t="shared" si="739"/>
        <v>-56.334199999999996</v>
      </c>
      <c r="H6226" s="3">
        <f t="shared" si="740"/>
        <v>56.334199999999996</v>
      </c>
      <c r="I6226" s="5" t="str">
        <f t="shared" si="741"/>
        <v>018</v>
      </c>
      <c r="J6226" s="5" t="str">
        <f t="shared" si="742"/>
        <v>2230</v>
      </c>
      <c r="K6226" s="5" t="str">
        <f t="shared" si="743"/>
        <v>000</v>
      </c>
      <c r="L6226" s="5">
        <f t="shared" si="744"/>
        <v>4</v>
      </c>
      <c r="M6226" s="5">
        <f t="shared" si="745"/>
        <v>2013</v>
      </c>
    </row>
    <row r="6227" spans="1:13" ht="15" x14ac:dyDescent="0.25">
      <c r="A6227" s="1">
        <f>DATE(2013,4,3)</f>
        <v>41367</v>
      </c>
      <c r="B6227" t="s">
        <v>19</v>
      </c>
      <c r="C6227" t="s">
        <v>6</v>
      </c>
      <c r="D6227" s="3">
        <v>3324.3925000000004</v>
      </c>
      <c r="E6227" s="3">
        <v>0</v>
      </c>
      <c r="F6227" t="s">
        <v>45</v>
      </c>
      <c r="G6227" s="3">
        <f t="shared" si="739"/>
        <v>-3324.3925000000004</v>
      </c>
      <c r="H6227" s="3">
        <f t="shared" si="740"/>
        <v>3324.3925000000004</v>
      </c>
      <c r="I6227" s="5" t="str">
        <f t="shared" si="741"/>
        <v>018</v>
      </c>
      <c r="J6227" s="5" t="str">
        <f t="shared" si="742"/>
        <v>2100</v>
      </c>
      <c r="K6227" s="5" t="str">
        <f t="shared" si="743"/>
        <v>000</v>
      </c>
      <c r="L6227" s="5">
        <f t="shared" si="744"/>
        <v>4</v>
      </c>
      <c r="M6227" s="5">
        <f t="shared" si="745"/>
        <v>2013</v>
      </c>
    </row>
    <row r="6228" spans="1:13" ht="15" x14ac:dyDescent="0.25">
      <c r="A6228" s="1">
        <f>DATE(2013,4,3)</f>
        <v>41367</v>
      </c>
      <c r="B6228" t="s">
        <v>20</v>
      </c>
      <c r="C6228" t="s">
        <v>8</v>
      </c>
      <c r="D6228" s="3">
        <v>952.82150000000001</v>
      </c>
      <c r="E6228" s="3">
        <v>0</v>
      </c>
      <c r="F6228" t="s">
        <v>45</v>
      </c>
      <c r="G6228" s="3">
        <f t="shared" si="739"/>
        <v>-952.82150000000001</v>
      </c>
      <c r="H6228" s="3">
        <f t="shared" si="740"/>
        <v>952.82150000000001</v>
      </c>
      <c r="I6228" s="5" t="str">
        <f t="shared" si="741"/>
        <v>018</v>
      </c>
      <c r="J6228" s="5" t="str">
        <f t="shared" si="742"/>
        <v>2210</v>
      </c>
      <c r="K6228" s="5" t="str">
        <f t="shared" si="743"/>
        <v>000</v>
      </c>
      <c r="L6228" s="5">
        <f t="shared" si="744"/>
        <v>4</v>
      </c>
      <c r="M6228" s="5">
        <f t="shared" si="745"/>
        <v>2013</v>
      </c>
    </row>
    <row r="6229" spans="1:13" ht="15" x14ac:dyDescent="0.25">
      <c r="A6229" s="1">
        <f>DATE(2013,4,3)</f>
        <v>41367</v>
      </c>
      <c r="B6229" t="s">
        <v>21</v>
      </c>
      <c r="C6229" t="s">
        <v>9</v>
      </c>
      <c r="D6229" s="3">
        <v>263.15519999999998</v>
      </c>
      <c r="E6229" s="3">
        <v>0</v>
      </c>
      <c r="F6229" t="s">
        <v>45</v>
      </c>
      <c r="G6229" s="3">
        <f t="shared" si="739"/>
        <v>-263.15519999999998</v>
      </c>
      <c r="H6229" s="3">
        <f t="shared" si="740"/>
        <v>263.15519999999998</v>
      </c>
      <c r="I6229" s="5" t="str">
        <f t="shared" si="741"/>
        <v>018</v>
      </c>
      <c r="J6229" s="5" t="str">
        <f t="shared" si="742"/>
        <v>2220</v>
      </c>
      <c r="K6229" s="5" t="str">
        <f t="shared" si="743"/>
        <v>000</v>
      </c>
      <c r="L6229" s="5">
        <f t="shared" si="744"/>
        <v>4</v>
      </c>
      <c r="M6229" s="5">
        <f t="shared" si="745"/>
        <v>2013</v>
      </c>
    </row>
    <row r="6230" spans="1:13" ht="15" x14ac:dyDescent="0.25">
      <c r="A6230" s="1">
        <f>DATE(2013,4,3)</f>
        <v>41367</v>
      </c>
      <c r="B6230" t="s">
        <v>22</v>
      </c>
      <c r="C6230" t="s">
        <v>10</v>
      </c>
      <c r="D6230" s="3">
        <v>7.8183999999999996</v>
      </c>
      <c r="E6230" s="3">
        <v>0</v>
      </c>
      <c r="F6230" t="s">
        <v>45</v>
      </c>
      <c r="G6230" s="3">
        <f t="shared" si="739"/>
        <v>-7.8183999999999996</v>
      </c>
      <c r="H6230" s="3">
        <f t="shared" si="740"/>
        <v>7.8183999999999996</v>
      </c>
      <c r="I6230" s="5" t="str">
        <f t="shared" si="741"/>
        <v>018</v>
      </c>
      <c r="J6230" s="5" t="str">
        <f t="shared" si="742"/>
        <v>2230</v>
      </c>
      <c r="K6230" s="5" t="str">
        <f t="shared" si="743"/>
        <v>000</v>
      </c>
      <c r="L6230" s="5">
        <f t="shared" si="744"/>
        <v>4</v>
      </c>
      <c r="M6230" s="5">
        <f t="shared" si="745"/>
        <v>2013</v>
      </c>
    </row>
    <row r="6231" spans="1:13" ht="15" x14ac:dyDescent="0.25">
      <c r="A6231" s="1">
        <f>DATE(2013,4,4)</f>
        <v>41368</v>
      </c>
      <c r="B6231" t="s">
        <v>19</v>
      </c>
      <c r="C6231" t="s">
        <v>6</v>
      </c>
      <c r="D6231" s="3">
        <v>4034.3098000000005</v>
      </c>
      <c r="E6231" s="3">
        <v>0</v>
      </c>
      <c r="F6231" t="s">
        <v>45</v>
      </c>
      <c r="G6231" s="3">
        <f t="shared" si="739"/>
        <v>-4034.3098000000005</v>
      </c>
      <c r="H6231" s="3">
        <f t="shared" si="740"/>
        <v>4034.3098000000005</v>
      </c>
      <c r="I6231" s="5" t="str">
        <f t="shared" si="741"/>
        <v>018</v>
      </c>
      <c r="J6231" s="5" t="str">
        <f t="shared" si="742"/>
        <v>2100</v>
      </c>
      <c r="K6231" s="5" t="str">
        <f t="shared" si="743"/>
        <v>000</v>
      </c>
      <c r="L6231" s="5">
        <f t="shared" si="744"/>
        <v>4</v>
      </c>
      <c r="M6231" s="5">
        <f t="shared" si="745"/>
        <v>2013</v>
      </c>
    </row>
    <row r="6232" spans="1:13" ht="15" x14ac:dyDescent="0.25">
      <c r="A6232" s="1">
        <f>DATE(2013,4,4)</f>
        <v>41368</v>
      </c>
      <c r="B6232" t="s">
        <v>20</v>
      </c>
      <c r="C6232" t="s">
        <v>8</v>
      </c>
      <c r="D6232" s="3">
        <v>637.60400000000004</v>
      </c>
      <c r="E6232" s="3">
        <v>0</v>
      </c>
      <c r="F6232" t="s">
        <v>45</v>
      </c>
      <c r="G6232" s="3">
        <f t="shared" si="739"/>
        <v>-637.60400000000004</v>
      </c>
      <c r="H6232" s="3">
        <f t="shared" si="740"/>
        <v>637.60400000000004</v>
      </c>
      <c r="I6232" s="5" t="str">
        <f t="shared" si="741"/>
        <v>018</v>
      </c>
      <c r="J6232" s="5" t="str">
        <f t="shared" si="742"/>
        <v>2210</v>
      </c>
      <c r="K6232" s="5" t="str">
        <f t="shared" si="743"/>
        <v>000</v>
      </c>
      <c r="L6232" s="5">
        <f t="shared" si="744"/>
        <v>4</v>
      </c>
      <c r="M6232" s="5">
        <f t="shared" si="745"/>
        <v>2013</v>
      </c>
    </row>
    <row r="6233" spans="1:13" ht="15" x14ac:dyDescent="0.25">
      <c r="A6233" s="1">
        <f>DATE(2013,4,4)</f>
        <v>41368</v>
      </c>
      <c r="B6233" t="s">
        <v>21</v>
      </c>
      <c r="C6233" t="s">
        <v>9</v>
      </c>
      <c r="D6233" s="3">
        <v>281.74960000000004</v>
      </c>
      <c r="E6233" s="3">
        <v>0</v>
      </c>
      <c r="F6233" t="s">
        <v>45</v>
      </c>
      <c r="G6233" s="3">
        <f t="shared" si="739"/>
        <v>-281.74960000000004</v>
      </c>
      <c r="H6233" s="3">
        <f t="shared" si="740"/>
        <v>281.74960000000004</v>
      </c>
      <c r="I6233" s="5" t="str">
        <f t="shared" si="741"/>
        <v>018</v>
      </c>
      <c r="J6233" s="5" t="str">
        <f t="shared" si="742"/>
        <v>2220</v>
      </c>
      <c r="K6233" s="5" t="str">
        <f t="shared" si="743"/>
        <v>000</v>
      </c>
      <c r="L6233" s="5">
        <f t="shared" si="744"/>
        <v>4</v>
      </c>
      <c r="M6233" s="5">
        <f t="shared" si="745"/>
        <v>2013</v>
      </c>
    </row>
    <row r="6234" spans="1:13" ht="15" x14ac:dyDescent="0.25">
      <c r="A6234" s="1">
        <f>DATE(2013,4,4)</f>
        <v>41368</v>
      </c>
      <c r="B6234" t="s">
        <v>22</v>
      </c>
      <c r="C6234" t="s">
        <v>10</v>
      </c>
      <c r="D6234" s="3">
        <v>97.430999999999997</v>
      </c>
      <c r="E6234" s="3">
        <v>0</v>
      </c>
      <c r="F6234" t="s">
        <v>45</v>
      </c>
      <c r="G6234" s="3">
        <f t="shared" si="739"/>
        <v>-97.430999999999997</v>
      </c>
      <c r="H6234" s="3">
        <f t="shared" si="740"/>
        <v>97.430999999999997</v>
      </c>
      <c r="I6234" s="5" t="str">
        <f t="shared" si="741"/>
        <v>018</v>
      </c>
      <c r="J6234" s="5" t="str">
        <f t="shared" si="742"/>
        <v>2230</v>
      </c>
      <c r="K6234" s="5" t="str">
        <f t="shared" si="743"/>
        <v>000</v>
      </c>
      <c r="L6234" s="5">
        <f t="shared" si="744"/>
        <v>4</v>
      </c>
      <c r="M6234" s="5">
        <f t="shared" si="745"/>
        <v>2013</v>
      </c>
    </row>
    <row r="6235" spans="1:13" ht="15" x14ac:dyDescent="0.25">
      <c r="A6235" s="1">
        <f>DATE(2013,4,5)</f>
        <v>41369</v>
      </c>
      <c r="B6235" t="s">
        <v>19</v>
      </c>
      <c r="C6235" t="s">
        <v>6</v>
      </c>
      <c r="D6235" s="3">
        <v>12929.571399999999</v>
      </c>
      <c r="E6235" s="3">
        <v>0</v>
      </c>
      <c r="F6235" t="s">
        <v>45</v>
      </c>
      <c r="G6235" s="3">
        <f t="shared" si="739"/>
        <v>-12929.571399999999</v>
      </c>
      <c r="H6235" s="3">
        <f t="shared" si="740"/>
        <v>12929.571399999999</v>
      </c>
      <c r="I6235" s="5" t="str">
        <f t="shared" si="741"/>
        <v>018</v>
      </c>
      <c r="J6235" s="5" t="str">
        <f t="shared" si="742"/>
        <v>2100</v>
      </c>
      <c r="K6235" s="5" t="str">
        <f t="shared" si="743"/>
        <v>000</v>
      </c>
      <c r="L6235" s="5">
        <f t="shared" si="744"/>
        <v>4</v>
      </c>
      <c r="M6235" s="5">
        <f t="shared" si="745"/>
        <v>2013</v>
      </c>
    </row>
    <row r="6236" spans="1:13" ht="15" x14ac:dyDescent="0.25">
      <c r="A6236" s="1">
        <f>DATE(2013,4,5)</f>
        <v>41369</v>
      </c>
      <c r="B6236" t="s">
        <v>20</v>
      </c>
      <c r="C6236" t="s">
        <v>8</v>
      </c>
      <c r="D6236" s="3">
        <v>2539.3472000000002</v>
      </c>
      <c r="E6236" s="3">
        <v>0</v>
      </c>
      <c r="F6236" t="s">
        <v>45</v>
      </c>
      <c r="G6236" s="3">
        <f t="shared" si="739"/>
        <v>-2539.3472000000002</v>
      </c>
      <c r="H6236" s="3">
        <f t="shared" si="740"/>
        <v>2539.3472000000002</v>
      </c>
      <c r="I6236" s="5" t="str">
        <f t="shared" si="741"/>
        <v>018</v>
      </c>
      <c r="J6236" s="5" t="str">
        <f t="shared" si="742"/>
        <v>2210</v>
      </c>
      <c r="K6236" s="5" t="str">
        <f t="shared" si="743"/>
        <v>000</v>
      </c>
      <c r="L6236" s="5">
        <f t="shared" si="744"/>
        <v>4</v>
      </c>
      <c r="M6236" s="5">
        <f t="shared" si="745"/>
        <v>2013</v>
      </c>
    </row>
    <row r="6237" spans="1:13" ht="15" x14ac:dyDescent="0.25">
      <c r="A6237" s="1">
        <f>DATE(2013,4,5)</f>
        <v>41369</v>
      </c>
      <c r="B6237" t="s">
        <v>21</v>
      </c>
      <c r="C6237" t="s">
        <v>9</v>
      </c>
      <c r="D6237" s="3">
        <v>981.90899999999999</v>
      </c>
      <c r="E6237" s="3">
        <v>0</v>
      </c>
      <c r="F6237" t="s">
        <v>45</v>
      </c>
      <c r="G6237" s="3">
        <f t="shared" si="739"/>
        <v>-981.90899999999999</v>
      </c>
      <c r="H6237" s="3">
        <f t="shared" si="740"/>
        <v>981.90899999999999</v>
      </c>
      <c r="I6237" s="5" t="str">
        <f t="shared" si="741"/>
        <v>018</v>
      </c>
      <c r="J6237" s="5" t="str">
        <f t="shared" si="742"/>
        <v>2220</v>
      </c>
      <c r="K6237" s="5" t="str">
        <f t="shared" si="743"/>
        <v>000</v>
      </c>
      <c r="L6237" s="5">
        <f t="shared" si="744"/>
        <v>4</v>
      </c>
      <c r="M6237" s="5">
        <f t="shared" si="745"/>
        <v>2013</v>
      </c>
    </row>
    <row r="6238" spans="1:13" ht="15" x14ac:dyDescent="0.25">
      <c r="A6238" s="1">
        <f>DATE(2013,4,5)</f>
        <v>41369</v>
      </c>
      <c r="B6238" t="s">
        <v>22</v>
      </c>
      <c r="C6238" t="s">
        <v>10</v>
      </c>
      <c r="D6238" s="3">
        <v>198.9134</v>
      </c>
      <c r="E6238" s="3">
        <v>0</v>
      </c>
      <c r="F6238" t="s">
        <v>45</v>
      </c>
      <c r="G6238" s="3">
        <f t="shared" si="739"/>
        <v>-198.9134</v>
      </c>
      <c r="H6238" s="3">
        <f t="shared" si="740"/>
        <v>198.9134</v>
      </c>
      <c r="I6238" s="5" t="str">
        <f t="shared" si="741"/>
        <v>018</v>
      </c>
      <c r="J6238" s="5" t="str">
        <f t="shared" si="742"/>
        <v>2230</v>
      </c>
      <c r="K6238" s="5" t="str">
        <f t="shared" si="743"/>
        <v>000</v>
      </c>
      <c r="L6238" s="5">
        <f t="shared" si="744"/>
        <v>4</v>
      </c>
      <c r="M6238" s="5">
        <f t="shared" si="745"/>
        <v>2013</v>
      </c>
    </row>
    <row r="6239" spans="1:13" ht="15" x14ac:dyDescent="0.25">
      <c r="A6239" s="1">
        <f>DATE(2013,4,6)</f>
        <v>41370</v>
      </c>
      <c r="B6239" t="s">
        <v>19</v>
      </c>
      <c r="C6239" t="s">
        <v>6</v>
      </c>
      <c r="D6239" s="3">
        <v>17717.850000000002</v>
      </c>
      <c r="E6239" s="3">
        <v>0</v>
      </c>
      <c r="F6239" t="s">
        <v>45</v>
      </c>
      <c r="G6239" s="3">
        <f t="shared" si="739"/>
        <v>-17717.850000000002</v>
      </c>
      <c r="H6239" s="3">
        <f t="shared" si="740"/>
        <v>17717.850000000002</v>
      </c>
      <c r="I6239" s="5" t="str">
        <f t="shared" si="741"/>
        <v>018</v>
      </c>
      <c r="J6239" s="5" t="str">
        <f t="shared" si="742"/>
        <v>2100</v>
      </c>
      <c r="K6239" s="5" t="str">
        <f t="shared" si="743"/>
        <v>000</v>
      </c>
      <c r="L6239" s="5">
        <f t="shared" si="744"/>
        <v>4</v>
      </c>
      <c r="M6239" s="5">
        <f t="shared" si="745"/>
        <v>2013</v>
      </c>
    </row>
    <row r="6240" spans="1:13" ht="15" x14ac:dyDescent="0.25">
      <c r="A6240" s="1">
        <f>DATE(2013,4,6)</f>
        <v>41370</v>
      </c>
      <c r="B6240" t="s">
        <v>20</v>
      </c>
      <c r="C6240" t="s">
        <v>8</v>
      </c>
      <c r="D6240" s="3">
        <v>3304.2359999999999</v>
      </c>
      <c r="E6240" s="3">
        <v>0</v>
      </c>
      <c r="F6240" t="s">
        <v>45</v>
      </c>
      <c r="G6240" s="3">
        <f t="shared" si="739"/>
        <v>-3304.2359999999999</v>
      </c>
      <c r="H6240" s="3">
        <f t="shared" si="740"/>
        <v>3304.2359999999999</v>
      </c>
      <c r="I6240" s="5" t="str">
        <f t="shared" si="741"/>
        <v>018</v>
      </c>
      <c r="J6240" s="5" t="str">
        <f t="shared" si="742"/>
        <v>2210</v>
      </c>
      <c r="K6240" s="5" t="str">
        <f t="shared" si="743"/>
        <v>000</v>
      </c>
      <c r="L6240" s="5">
        <f t="shared" si="744"/>
        <v>4</v>
      </c>
      <c r="M6240" s="5">
        <f t="shared" si="745"/>
        <v>2013</v>
      </c>
    </row>
    <row r="6241" spans="1:13" ht="15" x14ac:dyDescent="0.25">
      <c r="A6241" s="1">
        <f>DATE(2013,4,6)</f>
        <v>41370</v>
      </c>
      <c r="B6241" t="s">
        <v>21</v>
      </c>
      <c r="C6241" t="s">
        <v>9</v>
      </c>
      <c r="D6241" s="3">
        <v>878.94159999999999</v>
      </c>
      <c r="E6241" s="3">
        <v>0</v>
      </c>
      <c r="F6241" t="s">
        <v>45</v>
      </c>
      <c r="G6241" s="3">
        <f t="shared" si="739"/>
        <v>-878.94159999999999</v>
      </c>
      <c r="H6241" s="3">
        <f t="shared" si="740"/>
        <v>878.94159999999999</v>
      </c>
      <c r="I6241" s="5" t="str">
        <f t="shared" si="741"/>
        <v>018</v>
      </c>
      <c r="J6241" s="5" t="str">
        <f t="shared" si="742"/>
        <v>2220</v>
      </c>
      <c r="K6241" s="5" t="str">
        <f t="shared" si="743"/>
        <v>000</v>
      </c>
      <c r="L6241" s="5">
        <f t="shared" si="744"/>
        <v>4</v>
      </c>
      <c r="M6241" s="5">
        <f t="shared" si="745"/>
        <v>2013</v>
      </c>
    </row>
    <row r="6242" spans="1:13" ht="15" x14ac:dyDescent="0.25">
      <c r="A6242" s="1">
        <f>DATE(2013,4,6)</f>
        <v>41370</v>
      </c>
      <c r="B6242" t="s">
        <v>22</v>
      </c>
      <c r="C6242" t="s">
        <v>10</v>
      </c>
      <c r="D6242" s="3">
        <v>309.72720000000004</v>
      </c>
      <c r="E6242" s="3">
        <v>0</v>
      </c>
      <c r="F6242" t="s">
        <v>45</v>
      </c>
      <c r="G6242" s="3">
        <f t="shared" si="739"/>
        <v>-309.72720000000004</v>
      </c>
      <c r="H6242" s="3">
        <f t="shared" si="740"/>
        <v>309.72720000000004</v>
      </c>
      <c r="I6242" s="5" t="str">
        <f t="shared" si="741"/>
        <v>018</v>
      </c>
      <c r="J6242" s="5" t="str">
        <f t="shared" si="742"/>
        <v>2230</v>
      </c>
      <c r="K6242" s="5" t="str">
        <f t="shared" si="743"/>
        <v>000</v>
      </c>
      <c r="L6242" s="5">
        <f t="shared" si="744"/>
        <v>4</v>
      </c>
      <c r="M6242" s="5">
        <f t="shared" si="745"/>
        <v>2013</v>
      </c>
    </row>
    <row r="6243" spans="1:13" ht="15" x14ac:dyDescent="0.25">
      <c r="A6243" s="1">
        <f>DATE(2013,4,7)</f>
        <v>41371</v>
      </c>
      <c r="B6243" t="s">
        <v>19</v>
      </c>
      <c r="C6243" t="s">
        <v>6</v>
      </c>
      <c r="D6243" s="3">
        <v>10976.856599999999</v>
      </c>
      <c r="E6243" s="3">
        <v>0</v>
      </c>
      <c r="F6243" t="s">
        <v>45</v>
      </c>
      <c r="G6243" s="3">
        <f t="shared" si="739"/>
        <v>-10976.856599999999</v>
      </c>
      <c r="H6243" s="3">
        <f t="shared" si="740"/>
        <v>10976.856599999999</v>
      </c>
      <c r="I6243" s="5" t="str">
        <f t="shared" si="741"/>
        <v>018</v>
      </c>
      <c r="J6243" s="5" t="str">
        <f t="shared" si="742"/>
        <v>2100</v>
      </c>
      <c r="K6243" s="5" t="str">
        <f t="shared" si="743"/>
        <v>000</v>
      </c>
      <c r="L6243" s="5">
        <f t="shared" si="744"/>
        <v>4</v>
      </c>
      <c r="M6243" s="5">
        <f t="shared" si="745"/>
        <v>2013</v>
      </c>
    </row>
    <row r="6244" spans="1:13" ht="15" x14ac:dyDescent="0.25">
      <c r="A6244" s="1">
        <f>DATE(2013,4,7)</f>
        <v>41371</v>
      </c>
      <c r="B6244" t="s">
        <v>20</v>
      </c>
      <c r="C6244" t="s">
        <v>8</v>
      </c>
      <c r="D6244" s="3">
        <v>1290.4512</v>
      </c>
      <c r="E6244" s="3">
        <v>0</v>
      </c>
      <c r="F6244" t="s">
        <v>45</v>
      </c>
      <c r="G6244" s="3">
        <f t="shared" si="739"/>
        <v>-1290.4512</v>
      </c>
      <c r="H6244" s="3">
        <f t="shared" si="740"/>
        <v>1290.4512</v>
      </c>
      <c r="I6244" s="5" t="str">
        <f t="shared" si="741"/>
        <v>018</v>
      </c>
      <c r="J6244" s="5" t="str">
        <f t="shared" si="742"/>
        <v>2210</v>
      </c>
      <c r="K6244" s="5" t="str">
        <f t="shared" si="743"/>
        <v>000</v>
      </c>
      <c r="L6244" s="5">
        <f t="shared" si="744"/>
        <v>4</v>
      </c>
      <c r="M6244" s="5">
        <f t="shared" si="745"/>
        <v>2013</v>
      </c>
    </row>
    <row r="6245" spans="1:13" ht="15" x14ac:dyDescent="0.25">
      <c r="A6245" s="1">
        <f>DATE(2013,4,7)</f>
        <v>41371</v>
      </c>
      <c r="B6245" t="s">
        <v>21</v>
      </c>
      <c r="C6245" t="s">
        <v>9</v>
      </c>
      <c r="D6245" s="3">
        <v>545.93649999999991</v>
      </c>
      <c r="E6245" s="3">
        <v>0</v>
      </c>
      <c r="F6245" t="s">
        <v>45</v>
      </c>
      <c r="G6245" s="3">
        <f t="shared" si="739"/>
        <v>-545.93649999999991</v>
      </c>
      <c r="H6245" s="3">
        <f t="shared" si="740"/>
        <v>545.93649999999991</v>
      </c>
      <c r="I6245" s="5" t="str">
        <f t="shared" si="741"/>
        <v>018</v>
      </c>
      <c r="J6245" s="5" t="str">
        <f t="shared" si="742"/>
        <v>2220</v>
      </c>
      <c r="K6245" s="5" t="str">
        <f t="shared" si="743"/>
        <v>000</v>
      </c>
      <c r="L6245" s="5">
        <f t="shared" si="744"/>
        <v>4</v>
      </c>
      <c r="M6245" s="5">
        <f t="shared" si="745"/>
        <v>2013</v>
      </c>
    </row>
    <row r="6246" spans="1:13" ht="15" x14ac:dyDescent="0.25">
      <c r="A6246" s="1">
        <f>DATE(2013,4,7)</f>
        <v>41371</v>
      </c>
      <c r="B6246" t="s">
        <v>22</v>
      </c>
      <c r="C6246" t="s">
        <v>10</v>
      </c>
      <c r="D6246" s="3">
        <v>53.888000000000005</v>
      </c>
      <c r="E6246" s="3">
        <v>0</v>
      </c>
      <c r="F6246" t="s">
        <v>45</v>
      </c>
      <c r="G6246" s="3">
        <f t="shared" si="739"/>
        <v>-53.888000000000005</v>
      </c>
      <c r="H6246" s="3">
        <f t="shared" si="740"/>
        <v>53.888000000000005</v>
      </c>
      <c r="I6246" s="5" t="str">
        <f t="shared" si="741"/>
        <v>018</v>
      </c>
      <c r="J6246" s="5" t="str">
        <f t="shared" si="742"/>
        <v>2230</v>
      </c>
      <c r="K6246" s="5" t="str">
        <f t="shared" si="743"/>
        <v>000</v>
      </c>
      <c r="L6246" s="5">
        <f t="shared" si="744"/>
        <v>4</v>
      </c>
      <c r="M6246" s="5">
        <f t="shared" si="745"/>
        <v>2013</v>
      </c>
    </row>
    <row r="6247" spans="1:13" ht="15" x14ac:dyDescent="0.25">
      <c r="A6247" s="1">
        <f>DATE(2013,4,8)</f>
        <v>41372</v>
      </c>
      <c r="B6247" t="s">
        <v>11</v>
      </c>
      <c r="C6247" t="s">
        <v>6</v>
      </c>
      <c r="D6247" s="3">
        <v>2363.3714</v>
      </c>
      <c r="E6247" s="3">
        <v>0</v>
      </c>
      <c r="F6247" t="s">
        <v>45</v>
      </c>
      <c r="G6247" s="3">
        <f t="shared" si="739"/>
        <v>-2363.3714</v>
      </c>
      <c r="H6247" s="3">
        <f t="shared" si="740"/>
        <v>2363.3714</v>
      </c>
      <c r="I6247" s="5" t="str">
        <f t="shared" si="741"/>
        <v>016</v>
      </c>
      <c r="J6247" s="5" t="str">
        <f t="shared" si="742"/>
        <v>2100</v>
      </c>
      <c r="K6247" s="5" t="str">
        <f t="shared" si="743"/>
        <v>000</v>
      </c>
      <c r="L6247" s="5">
        <f t="shared" si="744"/>
        <v>4</v>
      </c>
      <c r="M6247" s="5">
        <f t="shared" si="745"/>
        <v>2013</v>
      </c>
    </row>
    <row r="6248" spans="1:13" ht="15" x14ac:dyDescent="0.25">
      <c r="A6248" s="1">
        <f>DATE(2013,4,8)</f>
        <v>41372</v>
      </c>
      <c r="B6248" t="s">
        <v>12</v>
      </c>
      <c r="C6248" t="s">
        <v>8</v>
      </c>
      <c r="D6248" s="3">
        <v>751.0752</v>
      </c>
      <c r="E6248" s="3">
        <v>0</v>
      </c>
      <c r="F6248" t="s">
        <v>45</v>
      </c>
      <c r="G6248" s="3">
        <f t="shared" si="739"/>
        <v>-751.0752</v>
      </c>
      <c r="H6248" s="3">
        <f t="shared" si="740"/>
        <v>751.0752</v>
      </c>
      <c r="I6248" s="5" t="str">
        <f t="shared" si="741"/>
        <v>016</v>
      </c>
      <c r="J6248" s="5" t="str">
        <f t="shared" si="742"/>
        <v>2210</v>
      </c>
      <c r="K6248" s="5" t="str">
        <f t="shared" si="743"/>
        <v>000</v>
      </c>
      <c r="L6248" s="5">
        <f t="shared" si="744"/>
        <v>4</v>
      </c>
      <c r="M6248" s="5">
        <f t="shared" si="745"/>
        <v>2013</v>
      </c>
    </row>
    <row r="6249" spans="1:13" ht="15" x14ac:dyDescent="0.25">
      <c r="A6249" s="1">
        <f>DATE(2013,4,8)</f>
        <v>41372</v>
      </c>
      <c r="B6249" t="s">
        <v>13</v>
      </c>
      <c r="C6249" t="s">
        <v>9</v>
      </c>
      <c r="D6249" s="3">
        <v>157.86750000000001</v>
      </c>
      <c r="E6249" s="3">
        <v>0</v>
      </c>
      <c r="F6249" t="s">
        <v>45</v>
      </c>
      <c r="G6249" s="3">
        <f t="shared" si="739"/>
        <v>-157.86750000000001</v>
      </c>
      <c r="H6249" s="3">
        <f t="shared" si="740"/>
        <v>157.86750000000001</v>
      </c>
      <c r="I6249" s="5" t="str">
        <f t="shared" si="741"/>
        <v>016</v>
      </c>
      <c r="J6249" s="5" t="str">
        <f t="shared" si="742"/>
        <v>2220</v>
      </c>
      <c r="K6249" s="5" t="str">
        <f t="shared" si="743"/>
        <v>000</v>
      </c>
      <c r="L6249" s="5">
        <f t="shared" si="744"/>
        <v>4</v>
      </c>
      <c r="M6249" s="5">
        <f t="shared" si="745"/>
        <v>2013</v>
      </c>
    </row>
    <row r="6250" spans="1:13" ht="15" x14ac:dyDescent="0.25">
      <c r="A6250" s="1">
        <f>DATE(2013,4,8)</f>
        <v>41372</v>
      </c>
      <c r="B6250" t="s">
        <v>14</v>
      </c>
      <c r="C6250" t="s">
        <v>10</v>
      </c>
      <c r="D6250" s="3">
        <v>7.5341999999999993</v>
      </c>
      <c r="E6250" s="3">
        <v>0</v>
      </c>
      <c r="F6250" t="s">
        <v>45</v>
      </c>
      <c r="G6250" s="3">
        <f t="shared" si="739"/>
        <v>-7.5341999999999993</v>
      </c>
      <c r="H6250" s="3">
        <f t="shared" si="740"/>
        <v>7.5341999999999993</v>
      </c>
      <c r="I6250" s="5" t="str">
        <f t="shared" si="741"/>
        <v>016</v>
      </c>
      <c r="J6250" s="5" t="str">
        <f t="shared" si="742"/>
        <v>2230</v>
      </c>
      <c r="K6250" s="5" t="str">
        <f t="shared" si="743"/>
        <v>000</v>
      </c>
      <c r="L6250" s="5">
        <f t="shared" si="744"/>
        <v>4</v>
      </c>
      <c r="M6250" s="5">
        <f t="shared" si="745"/>
        <v>2013</v>
      </c>
    </row>
    <row r="6251" spans="1:13" ht="15" x14ac:dyDescent="0.25">
      <c r="A6251" s="1">
        <f>DATE(2013,4,9)</f>
        <v>41373</v>
      </c>
      <c r="B6251" t="s">
        <v>11</v>
      </c>
      <c r="C6251" t="s">
        <v>6</v>
      </c>
      <c r="D6251" s="3">
        <v>5469.7306999999992</v>
      </c>
      <c r="E6251" s="3">
        <v>0</v>
      </c>
      <c r="F6251" t="s">
        <v>45</v>
      </c>
      <c r="G6251" s="3">
        <f t="shared" si="739"/>
        <v>-5469.7306999999992</v>
      </c>
      <c r="H6251" s="3">
        <f t="shared" si="740"/>
        <v>5469.7306999999992</v>
      </c>
      <c r="I6251" s="5" t="str">
        <f t="shared" si="741"/>
        <v>016</v>
      </c>
      <c r="J6251" s="5" t="str">
        <f t="shared" si="742"/>
        <v>2100</v>
      </c>
      <c r="K6251" s="5" t="str">
        <f t="shared" si="743"/>
        <v>000</v>
      </c>
      <c r="L6251" s="5">
        <f t="shared" si="744"/>
        <v>4</v>
      </c>
      <c r="M6251" s="5">
        <f t="shared" si="745"/>
        <v>2013</v>
      </c>
    </row>
    <row r="6252" spans="1:13" ht="15" x14ac:dyDescent="0.25">
      <c r="A6252" s="1">
        <f>DATE(2013,4,9)</f>
        <v>41373</v>
      </c>
      <c r="B6252" t="s">
        <v>12</v>
      </c>
      <c r="C6252" t="s">
        <v>8</v>
      </c>
      <c r="D6252" s="3">
        <v>2933.88</v>
      </c>
      <c r="E6252" s="3">
        <v>0</v>
      </c>
      <c r="F6252" t="s">
        <v>45</v>
      </c>
      <c r="G6252" s="3">
        <f t="shared" si="739"/>
        <v>-2933.88</v>
      </c>
      <c r="H6252" s="3">
        <f t="shared" si="740"/>
        <v>2933.88</v>
      </c>
      <c r="I6252" s="5" t="str">
        <f t="shared" si="741"/>
        <v>016</v>
      </c>
      <c r="J6252" s="5" t="str">
        <f t="shared" si="742"/>
        <v>2210</v>
      </c>
      <c r="K6252" s="5" t="str">
        <f t="shared" si="743"/>
        <v>000</v>
      </c>
      <c r="L6252" s="5">
        <f t="shared" si="744"/>
        <v>4</v>
      </c>
      <c r="M6252" s="5">
        <f t="shared" si="745"/>
        <v>2013</v>
      </c>
    </row>
    <row r="6253" spans="1:13" ht="15" x14ac:dyDescent="0.25">
      <c r="A6253" s="1">
        <f>DATE(2013,4,9)</f>
        <v>41373</v>
      </c>
      <c r="B6253" t="s">
        <v>13</v>
      </c>
      <c r="C6253" t="s">
        <v>9</v>
      </c>
      <c r="D6253" s="3">
        <v>855.57229999999993</v>
      </c>
      <c r="E6253" s="3">
        <v>0</v>
      </c>
      <c r="F6253" t="s">
        <v>45</v>
      </c>
      <c r="G6253" s="3">
        <f t="shared" si="739"/>
        <v>-855.57229999999993</v>
      </c>
      <c r="H6253" s="3">
        <f t="shared" si="740"/>
        <v>855.57229999999993</v>
      </c>
      <c r="I6253" s="5" t="str">
        <f t="shared" si="741"/>
        <v>016</v>
      </c>
      <c r="J6253" s="5" t="str">
        <f t="shared" si="742"/>
        <v>2220</v>
      </c>
      <c r="K6253" s="5" t="str">
        <f t="shared" si="743"/>
        <v>000</v>
      </c>
      <c r="L6253" s="5">
        <f t="shared" si="744"/>
        <v>4</v>
      </c>
      <c r="M6253" s="5">
        <f t="shared" si="745"/>
        <v>2013</v>
      </c>
    </row>
    <row r="6254" spans="1:13" ht="15" x14ac:dyDescent="0.25">
      <c r="A6254" s="1">
        <f>DATE(2013,4,9)</f>
        <v>41373</v>
      </c>
      <c r="B6254" t="s">
        <v>14</v>
      </c>
      <c r="C6254" t="s">
        <v>10</v>
      </c>
      <c r="D6254" s="3">
        <v>173.8064</v>
      </c>
      <c r="E6254" s="3">
        <v>0</v>
      </c>
      <c r="F6254" t="s">
        <v>45</v>
      </c>
      <c r="G6254" s="3">
        <f t="shared" si="739"/>
        <v>-173.8064</v>
      </c>
      <c r="H6254" s="3">
        <f t="shared" si="740"/>
        <v>173.8064</v>
      </c>
      <c r="I6254" s="5" t="str">
        <f t="shared" si="741"/>
        <v>016</v>
      </c>
      <c r="J6254" s="5" t="str">
        <f t="shared" si="742"/>
        <v>2230</v>
      </c>
      <c r="K6254" s="5" t="str">
        <f t="shared" si="743"/>
        <v>000</v>
      </c>
      <c r="L6254" s="5">
        <f t="shared" si="744"/>
        <v>4</v>
      </c>
      <c r="M6254" s="5">
        <f t="shared" si="745"/>
        <v>2013</v>
      </c>
    </row>
    <row r="6255" spans="1:13" ht="15" x14ac:dyDescent="0.25">
      <c r="A6255" s="1">
        <f>DATE(2013,4,10)</f>
        <v>41374</v>
      </c>
      <c r="B6255" t="s">
        <v>11</v>
      </c>
      <c r="C6255" t="s">
        <v>6</v>
      </c>
      <c r="D6255" s="3">
        <v>3371.25</v>
      </c>
      <c r="E6255" s="3">
        <v>0</v>
      </c>
      <c r="F6255" t="s">
        <v>45</v>
      </c>
      <c r="G6255" s="3">
        <f t="shared" si="739"/>
        <v>-3371.25</v>
      </c>
      <c r="H6255" s="3">
        <f t="shared" si="740"/>
        <v>3371.25</v>
      </c>
      <c r="I6255" s="5" t="str">
        <f t="shared" si="741"/>
        <v>016</v>
      </c>
      <c r="J6255" s="5" t="str">
        <f t="shared" si="742"/>
        <v>2100</v>
      </c>
      <c r="K6255" s="5" t="str">
        <f t="shared" si="743"/>
        <v>000</v>
      </c>
      <c r="L6255" s="5">
        <f t="shared" si="744"/>
        <v>4</v>
      </c>
      <c r="M6255" s="5">
        <f t="shared" si="745"/>
        <v>2013</v>
      </c>
    </row>
    <row r="6256" spans="1:13" ht="15" x14ac:dyDescent="0.25">
      <c r="A6256" s="1">
        <f>DATE(2013,4,10)</f>
        <v>41374</v>
      </c>
      <c r="B6256" t="s">
        <v>12</v>
      </c>
      <c r="C6256" t="s">
        <v>8</v>
      </c>
      <c r="D6256" s="3">
        <v>781.83</v>
      </c>
      <c r="E6256" s="3">
        <v>0</v>
      </c>
      <c r="F6256" t="s">
        <v>45</v>
      </c>
      <c r="G6256" s="3">
        <f t="shared" si="739"/>
        <v>-781.83</v>
      </c>
      <c r="H6256" s="3">
        <f t="shared" si="740"/>
        <v>781.83</v>
      </c>
      <c r="I6256" s="5" t="str">
        <f t="shared" si="741"/>
        <v>016</v>
      </c>
      <c r="J6256" s="5" t="str">
        <f t="shared" si="742"/>
        <v>2210</v>
      </c>
      <c r="K6256" s="5" t="str">
        <f t="shared" si="743"/>
        <v>000</v>
      </c>
      <c r="L6256" s="5">
        <f t="shared" si="744"/>
        <v>4</v>
      </c>
      <c r="M6256" s="5">
        <f t="shared" si="745"/>
        <v>2013</v>
      </c>
    </row>
    <row r="6257" spans="1:13" ht="15" x14ac:dyDescent="0.25">
      <c r="A6257" s="1">
        <f>DATE(2013,4,10)</f>
        <v>41374</v>
      </c>
      <c r="B6257" t="s">
        <v>13</v>
      </c>
      <c r="C6257" t="s">
        <v>9</v>
      </c>
      <c r="D6257" s="3">
        <v>130.416</v>
      </c>
      <c r="E6257" s="3">
        <v>0</v>
      </c>
      <c r="F6257" t="s">
        <v>45</v>
      </c>
      <c r="G6257" s="3">
        <f t="shared" si="739"/>
        <v>-130.416</v>
      </c>
      <c r="H6257" s="3">
        <f t="shared" si="740"/>
        <v>130.416</v>
      </c>
      <c r="I6257" s="5" t="str">
        <f t="shared" si="741"/>
        <v>016</v>
      </c>
      <c r="J6257" s="5" t="str">
        <f t="shared" si="742"/>
        <v>2220</v>
      </c>
      <c r="K6257" s="5" t="str">
        <f t="shared" si="743"/>
        <v>000</v>
      </c>
      <c r="L6257" s="5">
        <f t="shared" si="744"/>
        <v>4</v>
      </c>
      <c r="M6257" s="5">
        <f t="shared" si="745"/>
        <v>2013</v>
      </c>
    </row>
    <row r="6258" spans="1:13" ht="15" x14ac:dyDescent="0.25">
      <c r="A6258" s="1">
        <f>DATE(2013,4,10)</f>
        <v>41374</v>
      </c>
      <c r="B6258" t="s">
        <v>14</v>
      </c>
      <c r="C6258" t="s">
        <v>10</v>
      </c>
      <c r="D6258" s="3">
        <v>75.463800000000006</v>
      </c>
      <c r="E6258" s="3">
        <v>0</v>
      </c>
      <c r="F6258" t="s">
        <v>45</v>
      </c>
      <c r="G6258" s="3">
        <f t="shared" si="739"/>
        <v>-75.463800000000006</v>
      </c>
      <c r="H6258" s="3">
        <f t="shared" si="740"/>
        <v>75.463800000000006</v>
      </c>
      <c r="I6258" s="5" t="str">
        <f t="shared" si="741"/>
        <v>016</v>
      </c>
      <c r="J6258" s="5" t="str">
        <f t="shared" si="742"/>
        <v>2230</v>
      </c>
      <c r="K6258" s="5" t="str">
        <f t="shared" si="743"/>
        <v>000</v>
      </c>
      <c r="L6258" s="5">
        <f t="shared" si="744"/>
        <v>4</v>
      </c>
      <c r="M6258" s="5">
        <f t="shared" si="745"/>
        <v>2013</v>
      </c>
    </row>
    <row r="6259" spans="1:13" ht="15" x14ac:dyDescent="0.25">
      <c r="A6259" s="1">
        <f>DATE(2013,4,11)</f>
        <v>41375</v>
      </c>
      <c r="B6259" t="s">
        <v>11</v>
      </c>
      <c r="C6259" t="s">
        <v>6</v>
      </c>
      <c r="D6259" s="3">
        <v>3130.1759999999999</v>
      </c>
      <c r="E6259" s="3">
        <v>0</v>
      </c>
      <c r="F6259" t="s">
        <v>45</v>
      </c>
      <c r="G6259" s="3">
        <f t="shared" si="739"/>
        <v>-3130.1759999999999</v>
      </c>
      <c r="H6259" s="3">
        <f t="shared" si="740"/>
        <v>3130.1759999999999</v>
      </c>
      <c r="I6259" s="5" t="str">
        <f t="shared" si="741"/>
        <v>016</v>
      </c>
      <c r="J6259" s="5" t="str">
        <f t="shared" si="742"/>
        <v>2100</v>
      </c>
      <c r="K6259" s="5" t="str">
        <f t="shared" si="743"/>
        <v>000</v>
      </c>
      <c r="L6259" s="5">
        <f t="shared" si="744"/>
        <v>4</v>
      </c>
      <c r="M6259" s="5">
        <f t="shared" si="745"/>
        <v>2013</v>
      </c>
    </row>
    <row r="6260" spans="1:13" ht="15" x14ac:dyDescent="0.25">
      <c r="A6260" s="1">
        <f>DATE(2013,4,11)</f>
        <v>41375</v>
      </c>
      <c r="B6260" t="s">
        <v>12</v>
      </c>
      <c r="C6260" t="s">
        <v>8</v>
      </c>
      <c r="D6260" s="3">
        <v>780.87710000000004</v>
      </c>
      <c r="E6260" s="3">
        <v>0</v>
      </c>
      <c r="F6260" t="s">
        <v>45</v>
      </c>
      <c r="G6260" s="3">
        <f t="shared" si="739"/>
        <v>-780.87710000000004</v>
      </c>
      <c r="H6260" s="3">
        <f t="shared" si="740"/>
        <v>780.87710000000004</v>
      </c>
      <c r="I6260" s="5" t="str">
        <f t="shared" si="741"/>
        <v>016</v>
      </c>
      <c r="J6260" s="5" t="str">
        <f t="shared" si="742"/>
        <v>2210</v>
      </c>
      <c r="K6260" s="5" t="str">
        <f t="shared" si="743"/>
        <v>000</v>
      </c>
      <c r="L6260" s="5">
        <f t="shared" si="744"/>
        <v>4</v>
      </c>
      <c r="M6260" s="5">
        <f t="shared" si="745"/>
        <v>2013</v>
      </c>
    </row>
    <row r="6261" spans="1:13" ht="15" x14ac:dyDescent="0.25">
      <c r="A6261" s="1">
        <f>DATE(2013,4,11)</f>
        <v>41375</v>
      </c>
      <c r="B6261" t="s">
        <v>13</v>
      </c>
      <c r="C6261" t="s">
        <v>9</v>
      </c>
      <c r="D6261" s="3">
        <v>97.662000000000006</v>
      </c>
      <c r="E6261" s="3">
        <v>0</v>
      </c>
      <c r="F6261" t="s">
        <v>45</v>
      </c>
      <c r="G6261" s="3">
        <f t="shared" si="739"/>
        <v>-97.662000000000006</v>
      </c>
      <c r="H6261" s="3">
        <f t="shared" si="740"/>
        <v>97.662000000000006</v>
      </c>
      <c r="I6261" s="5" t="str">
        <f t="shared" si="741"/>
        <v>016</v>
      </c>
      <c r="J6261" s="5" t="str">
        <f t="shared" si="742"/>
        <v>2220</v>
      </c>
      <c r="K6261" s="5" t="str">
        <f t="shared" si="743"/>
        <v>000</v>
      </c>
      <c r="L6261" s="5">
        <f t="shared" si="744"/>
        <v>4</v>
      </c>
      <c r="M6261" s="5">
        <f t="shared" si="745"/>
        <v>2013</v>
      </c>
    </row>
    <row r="6262" spans="1:13" ht="15" x14ac:dyDescent="0.25">
      <c r="A6262" s="1">
        <f>DATE(2013,4,11)</f>
        <v>41375</v>
      </c>
      <c r="B6262" t="s">
        <v>14</v>
      </c>
      <c r="C6262" t="s">
        <v>10</v>
      </c>
      <c r="D6262" s="3">
        <v>48.803000000000004</v>
      </c>
      <c r="E6262" s="3">
        <v>0</v>
      </c>
      <c r="F6262" t="s">
        <v>45</v>
      </c>
      <c r="G6262" s="3">
        <f t="shared" si="739"/>
        <v>-48.803000000000004</v>
      </c>
      <c r="H6262" s="3">
        <f t="shared" si="740"/>
        <v>48.803000000000004</v>
      </c>
      <c r="I6262" s="5" t="str">
        <f t="shared" si="741"/>
        <v>016</v>
      </c>
      <c r="J6262" s="5" t="str">
        <f t="shared" si="742"/>
        <v>2230</v>
      </c>
      <c r="K6262" s="5" t="str">
        <f t="shared" si="743"/>
        <v>000</v>
      </c>
      <c r="L6262" s="5">
        <f t="shared" si="744"/>
        <v>4</v>
      </c>
      <c r="M6262" s="5">
        <f t="shared" si="745"/>
        <v>2013</v>
      </c>
    </row>
    <row r="6263" spans="1:13" ht="15" x14ac:dyDescent="0.25">
      <c r="A6263" s="1">
        <f>DATE(2013,4,12)</f>
        <v>41376</v>
      </c>
      <c r="B6263" t="s">
        <v>11</v>
      </c>
      <c r="C6263" t="s">
        <v>6</v>
      </c>
      <c r="D6263" s="3">
        <v>5016.4290000000001</v>
      </c>
      <c r="E6263" s="3">
        <v>0</v>
      </c>
      <c r="F6263" t="s">
        <v>45</v>
      </c>
      <c r="G6263" s="3">
        <f t="shared" si="739"/>
        <v>-5016.4290000000001</v>
      </c>
      <c r="H6263" s="3">
        <f t="shared" si="740"/>
        <v>5016.4290000000001</v>
      </c>
      <c r="I6263" s="5" t="str">
        <f t="shared" si="741"/>
        <v>016</v>
      </c>
      <c r="J6263" s="5" t="str">
        <f t="shared" si="742"/>
        <v>2100</v>
      </c>
      <c r="K6263" s="5" t="str">
        <f t="shared" si="743"/>
        <v>000</v>
      </c>
      <c r="L6263" s="5">
        <f t="shared" si="744"/>
        <v>4</v>
      </c>
      <c r="M6263" s="5">
        <f t="shared" si="745"/>
        <v>2013</v>
      </c>
    </row>
    <row r="6264" spans="1:13" ht="15" x14ac:dyDescent="0.25">
      <c r="A6264" s="1">
        <f>DATE(2013,4,12)</f>
        <v>41376</v>
      </c>
      <c r="B6264" t="s">
        <v>12</v>
      </c>
      <c r="C6264" t="s">
        <v>8</v>
      </c>
      <c r="D6264" s="3">
        <v>1648.0853999999999</v>
      </c>
      <c r="E6264" s="3">
        <v>0</v>
      </c>
      <c r="F6264" t="s">
        <v>45</v>
      </c>
      <c r="G6264" s="3">
        <f t="shared" si="739"/>
        <v>-1648.0853999999999</v>
      </c>
      <c r="H6264" s="3">
        <f t="shared" si="740"/>
        <v>1648.0853999999999</v>
      </c>
      <c r="I6264" s="5" t="str">
        <f t="shared" si="741"/>
        <v>016</v>
      </c>
      <c r="J6264" s="5" t="str">
        <f t="shared" si="742"/>
        <v>2210</v>
      </c>
      <c r="K6264" s="5" t="str">
        <f t="shared" si="743"/>
        <v>000</v>
      </c>
      <c r="L6264" s="5">
        <f t="shared" si="744"/>
        <v>4</v>
      </c>
      <c r="M6264" s="5">
        <f t="shared" si="745"/>
        <v>2013</v>
      </c>
    </row>
    <row r="6265" spans="1:13" ht="15" x14ac:dyDescent="0.25">
      <c r="A6265" s="1">
        <f>DATE(2013,4,12)</f>
        <v>41376</v>
      </c>
      <c r="B6265" t="s">
        <v>13</v>
      </c>
      <c r="C6265" t="s">
        <v>9</v>
      </c>
      <c r="D6265" s="3">
        <v>339.38080000000002</v>
      </c>
      <c r="E6265" s="3">
        <v>0</v>
      </c>
      <c r="F6265" t="s">
        <v>45</v>
      </c>
      <c r="G6265" s="3">
        <f t="shared" si="739"/>
        <v>-339.38080000000002</v>
      </c>
      <c r="H6265" s="3">
        <f t="shared" si="740"/>
        <v>339.38080000000002</v>
      </c>
      <c r="I6265" s="5" t="str">
        <f t="shared" si="741"/>
        <v>016</v>
      </c>
      <c r="J6265" s="5" t="str">
        <f t="shared" si="742"/>
        <v>2220</v>
      </c>
      <c r="K6265" s="5" t="str">
        <f t="shared" si="743"/>
        <v>000</v>
      </c>
      <c r="L6265" s="5">
        <f t="shared" si="744"/>
        <v>4</v>
      </c>
      <c r="M6265" s="5">
        <f t="shared" si="745"/>
        <v>2013</v>
      </c>
    </row>
    <row r="6266" spans="1:13" ht="15" x14ac:dyDescent="0.25">
      <c r="A6266" s="1">
        <f>DATE(2013,4,12)</f>
        <v>41376</v>
      </c>
      <c r="B6266" t="s">
        <v>14</v>
      </c>
      <c r="C6266" t="s">
        <v>10</v>
      </c>
      <c r="D6266" s="3">
        <v>169.0872</v>
      </c>
      <c r="E6266" s="3">
        <v>0</v>
      </c>
      <c r="F6266" t="s">
        <v>45</v>
      </c>
      <c r="G6266" s="3">
        <f t="shared" si="739"/>
        <v>-169.0872</v>
      </c>
      <c r="H6266" s="3">
        <f t="shared" si="740"/>
        <v>169.0872</v>
      </c>
      <c r="I6266" s="5" t="str">
        <f t="shared" si="741"/>
        <v>016</v>
      </c>
      <c r="J6266" s="5" t="str">
        <f t="shared" si="742"/>
        <v>2230</v>
      </c>
      <c r="K6266" s="5" t="str">
        <f t="shared" si="743"/>
        <v>000</v>
      </c>
      <c r="L6266" s="5">
        <f t="shared" si="744"/>
        <v>4</v>
      </c>
      <c r="M6266" s="5">
        <f t="shared" si="745"/>
        <v>2013</v>
      </c>
    </row>
    <row r="6267" spans="1:13" ht="15" x14ac:dyDescent="0.25">
      <c r="A6267" s="1">
        <f>DATE(2013,4,13)</f>
        <v>41377</v>
      </c>
      <c r="B6267" t="s">
        <v>11</v>
      </c>
      <c r="C6267" t="s">
        <v>6</v>
      </c>
      <c r="D6267" s="3">
        <v>7002.3625000000002</v>
      </c>
      <c r="E6267" s="3">
        <v>0</v>
      </c>
      <c r="F6267" t="s">
        <v>45</v>
      </c>
      <c r="G6267" s="3">
        <f t="shared" si="739"/>
        <v>-7002.3625000000002</v>
      </c>
      <c r="H6267" s="3">
        <f t="shared" si="740"/>
        <v>7002.3625000000002</v>
      </c>
      <c r="I6267" s="5" t="str">
        <f t="shared" si="741"/>
        <v>016</v>
      </c>
      <c r="J6267" s="5" t="str">
        <f t="shared" si="742"/>
        <v>2100</v>
      </c>
      <c r="K6267" s="5" t="str">
        <f t="shared" si="743"/>
        <v>000</v>
      </c>
      <c r="L6267" s="5">
        <f t="shared" si="744"/>
        <v>4</v>
      </c>
      <c r="M6267" s="5">
        <f t="shared" si="745"/>
        <v>2013</v>
      </c>
    </row>
    <row r="6268" spans="1:13" ht="15" x14ac:dyDescent="0.25">
      <c r="A6268" s="1">
        <f>DATE(2013,4,13)</f>
        <v>41377</v>
      </c>
      <c r="B6268" t="s">
        <v>12</v>
      </c>
      <c r="C6268" t="s">
        <v>8</v>
      </c>
      <c r="D6268" s="3">
        <v>1884.7728000000002</v>
      </c>
      <c r="E6268" s="3">
        <v>0</v>
      </c>
      <c r="F6268" t="s">
        <v>45</v>
      </c>
      <c r="G6268" s="3">
        <f t="shared" si="739"/>
        <v>-1884.7728000000002</v>
      </c>
      <c r="H6268" s="3">
        <f t="shared" si="740"/>
        <v>1884.7728000000002</v>
      </c>
      <c r="I6268" s="5" t="str">
        <f t="shared" si="741"/>
        <v>016</v>
      </c>
      <c r="J6268" s="5" t="str">
        <f t="shared" si="742"/>
        <v>2210</v>
      </c>
      <c r="K6268" s="5" t="str">
        <f t="shared" si="743"/>
        <v>000</v>
      </c>
      <c r="L6268" s="5">
        <f t="shared" si="744"/>
        <v>4</v>
      </c>
      <c r="M6268" s="5">
        <f t="shared" si="745"/>
        <v>2013</v>
      </c>
    </row>
    <row r="6269" spans="1:13" ht="15" x14ac:dyDescent="0.25">
      <c r="A6269" s="1">
        <f>DATE(2013,4,13)</f>
        <v>41377</v>
      </c>
      <c r="B6269" t="s">
        <v>13</v>
      </c>
      <c r="C6269" t="s">
        <v>9</v>
      </c>
      <c r="D6269" s="3">
        <v>328.28399999999999</v>
      </c>
      <c r="E6269" s="3">
        <v>0</v>
      </c>
      <c r="F6269" t="s">
        <v>45</v>
      </c>
      <c r="G6269" s="3">
        <f t="shared" si="739"/>
        <v>-328.28399999999999</v>
      </c>
      <c r="H6269" s="3">
        <f t="shared" si="740"/>
        <v>328.28399999999999</v>
      </c>
      <c r="I6269" s="5" t="str">
        <f t="shared" si="741"/>
        <v>016</v>
      </c>
      <c r="J6269" s="5" t="str">
        <f t="shared" si="742"/>
        <v>2220</v>
      </c>
      <c r="K6269" s="5" t="str">
        <f t="shared" si="743"/>
        <v>000</v>
      </c>
      <c r="L6269" s="5">
        <f t="shared" si="744"/>
        <v>4</v>
      </c>
      <c r="M6269" s="5">
        <f t="shared" si="745"/>
        <v>2013</v>
      </c>
    </row>
    <row r="6270" spans="1:13" ht="15" x14ac:dyDescent="0.25">
      <c r="A6270" s="1">
        <f>DATE(2013,4,13)</f>
        <v>41377</v>
      </c>
      <c r="B6270" t="s">
        <v>14</v>
      </c>
      <c r="C6270" t="s">
        <v>10</v>
      </c>
      <c r="D6270" s="3">
        <v>220.17199999999997</v>
      </c>
      <c r="E6270" s="3">
        <v>0</v>
      </c>
      <c r="F6270" t="s">
        <v>45</v>
      </c>
      <c r="G6270" s="3">
        <f t="shared" si="739"/>
        <v>-220.17199999999997</v>
      </c>
      <c r="H6270" s="3">
        <f t="shared" si="740"/>
        <v>220.17199999999997</v>
      </c>
      <c r="I6270" s="5" t="str">
        <f t="shared" si="741"/>
        <v>016</v>
      </c>
      <c r="J6270" s="5" t="str">
        <f t="shared" si="742"/>
        <v>2230</v>
      </c>
      <c r="K6270" s="5" t="str">
        <f t="shared" si="743"/>
        <v>000</v>
      </c>
      <c r="L6270" s="5">
        <f t="shared" si="744"/>
        <v>4</v>
      </c>
      <c r="M6270" s="5">
        <f t="shared" si="745"/>
        <v>2013</v>
      </c>
    </row>
    <row r="6271" spans="1:13" ht="15" x14ac:dyDescent="0.25">
      <c r="A6271" s="1">
        <f>DATE(2013,4,14)</f>
        <v>41378</v>
      </c>
      <c r="B6271" t="s">
        <v>11</v>
      </c>
      <c r="C6271" t="s">
        <v>6</v>
      </c>
      <c r="D6271" s="3">
        <v>6185.9349000000002</v>
      </c>
      <c r="E6271" s="3">
        <v>0</v>
      </c>
      <c r="F6271" t="s">
        <v>45</v>
      </c>
      <c r="G6271" s="3">
        <f t="shared" si="739"/>
        <v>-6185.9349000000002</v>
      </c>
      <c r="H6271" s="3">
        <f t="shared" si="740"/>
        <v>6185.9349000000002</v>
      </c>
      <c r="I6271" s="5" t="str">
        <f t="shared" si="741"/>
        <v>016</v>
      </c>
      <c r="J6271" s="5" t="str">
        <f t="shared" si="742"/>
        <v>2100</v>
      </c>
      <c r="K6271" s="5" t="str">
        <f t="shared" si="743"/>
        <v>000</v>
      </c>
      <c r="L6271" s="5">
        <f t="shared" si="744"/>
        <v>4</v>
      </c>
      <c r="M6271" s="5">
        <f t="shared" si="745"/>
        <v>2013</v>
      </c>
    </row>
    <row r="6272" spans="1:13" ht="15" x14ac:dyDescent="0.25">
      <c r="A6272" s="1">
        <f>DATE(2013,4,14)</f>
        <v>41378</v>
      </c>
      <c r="B6272" t="s">
        <v>12</v>
      </c>
      <c r="C6272" t="s">
        <v>8</v>
      </c>
      <c r="D6272" s="3">
        <v>980.84700000000009</v>
      </c>
      <c r="E6272" s="3">
        <v>0</v>
      </c>
      <c r="F6272" t="s">
        <v>45</v>
      </c>
      <c r="G6272" s="3">
        <f t="shared" si="739"/>
        <v>-980.84700000000009</v>
      </c>
      <c r="H6272" s="3">
        <f t="shared" si="740"/>
        <v>980.84700000000009</v>
      </c>
      <c r="I6272" s="5" t="str">
        <f t="shared" si="741"/>
        <v>016</v>
      </c>
      <c r="J6272" s="5" t="str">
        <f t="shared" si="742"/>
        <v>2210</v>
      </c>
      <c r="K6272" s="5" t="str">
        <f t="shared" si="743"/>
        <v>000</v>
      </c>
      <c r="L6272" s="5">
        <f t="shared" si="744"/>
        <v>4</v>
      </c>
      <c r="M6272" s="5">
        <f t="shared" si="745"/>
        <v>2013</v>
      </c>
    </row>
    <row r="6273" spans="1:13" ht="15" x14ac:dyDescent="0.25">
      <c r="A6273" s="1">
        <f>DATE(2013,4,14)</f>
        <v>41378</v>
      </c>
      <c r="B6273" t="s">
        <v>13</v>
      </c>
      <c r="C6273" t="s">
        <v>9</v>
      </c>
      <c r="D6273" s="3">
        <v>243.73759999999999</v>
      </c>
      <c r="E6273" s="3">
        <v>0</v>
      </c>
      <c r="F6273" t="s">
        <v>45</v>
      </c>
      <c r="G6273" s="3">
        <f t="shared" si="739"/>
        <v>-243.73759999999999</v>
      </c>
      <c r="H6273" s="3">
        <f t="shared" si="740"/>
        <v>243.73759999999999</v>
      </c>
      <c r="I6273" s="5" t="str">
        <f t="shared" si="741"/>
        <v>016</v>
      </c>
      <c r="J6273" s="5" t="str">
        <f t="shared" si="742"/>
        <v>2220</v>
      </c>
      <c r="K6273" s="5" t="str">
        <f t="shared" si="743"/>
        <v>000</v>
      </c>
      <c r="L6273" s="5">
        <f t="shared" si="744"/>
        <v>4</v>
      </c>
      <c r="M6273" s="5">
        <f t="shared" si="745"/>
        <v>2013</v>
      </c>
    </row>
    <row r="6274" spans="1:13" ht="15" x14ac:dyDescent="0.25">
      <c r="A6274" s="1">
        <f>DATE(2013,4,14)</f>
        <v>41378</v>
      </c>
      <c r="B6274" t="s">
        <v>14</v>
      </c>
      <c r="C6274" t="s">
        <v>10</v>
      </c>
      <c r="D6274" s="3">
        <v>99.4422</v>
      </c>
      <c r="E6274" s="3">
        <v>0</v>
      </c>
      <c r="F6274" t="s">
        <v>45</v>
      </c>
      <c r="G6274" s="3">
        <f t="shared" ref="G6274:G6337" si="746">E6274-D6274</f>
        <v>-99.4422</v>
      </c>
      <c r="H6274" s="3">
        <f t="shared" ref="H6274:H6337" si="747">ABS(G6274)</f>
        <v>99.4422</v>
      </c>
      <c r="I6274" s="5" t="str">
        <f t="shared" ref="I6274:I6337" si="748">MID(B6274,1,3)</f>
        <v>016</v>
      </c>
      <c r="J6274" s="5" t="str">
        <f t="shared" ref="J6274:J6337" si="749">MID(B6274,5,4)</f>
        <v>2230</v>
      </c>
      <c r="K6274" s="5" t="str">
        <f t="shared" ref="K6274:K6337" si="750">MID(B6274,10,3)</f>
        <v>000</v>
      </c>
      <c r="L6274" s="5">
        <f t="shared" ref="L6274:L6337" si="751">MONTH(A6274)</f>
        <v>4</v>
      </c>
      <c r="M6274" s="5">
        <f t="shared" ref="M6274:M6337" si="752">YEAR(A6274)</f>
        <v>2013</v>
      </c>
    </row>
    <row r="6275" spans="1:13" ht="15" x14ac:dyDescent="0.25">
      <c r="A6275" s="1">
        <f>DATE(2013,4,8)</f>
        <v>41372</v>
      </c>
      <c r="B6275" t="s">
        <v>15</v>
      </c>
      <c r="C6275" t="s">
        <v>6</v>
      </c>
      <c r="D6275" s="3">
        <v>5990.2012999999997</v>
      </c>
      <c r="E6275" s="3">
        <v>0</v>
      </c>
      <c r="F6275" t="s">
        <v>45</v>
      </c>
      <c r="G6275" s="3">
        <f t="shared" si="746"/>
        <v>-5990.2012999999997</v>
      </c>
      <c r="H6275" s="3">
        <f t="shared" si="747"/>
        <v>5990.2012999999997</v>
      </c>
      <c r="I6275" s="5" t="str">
        <f t="shared" si="748"/>
        <v>017</v>
      </c>
      <c r="J6275" s="5" t="str">
        <f t="shared" si="749"/>
        <v>2100</v>
      </c>
      <c r="K6275" s="5" t="str">
        <f t="shared" si="750"/>
        <v>000</v>
      </c>
      <c r="L6275" s="5">
        <f t="shared" si="751"/>
        <v>4</v>
      </c>
      <c r="M6275" s="5">
        <f t="shared" si="752"/>
        <v>2013</v>
      </c>
    </row>
    <row r="6276" spans="1:13" ht="15" x14ac:dyDescent="0.25">
      <c r="A6276" s="1">
        <f>DATE(2013,4,8)</f>
        <v>41372</v>
      </c>
      <c r="B6276" t="s">
        <v>16</v>
      </c>
      <c r="C6276" t="s">
        <v>8</v>
      </c>
      <c r="D6276" s="3">
        <v>1013.4735999999999</v>
      </c>
      <c r="E6276" s="3">
        <v>0</v>
      </c>
      <c r="F6276" t="s">
        <v>45</v>
      </c>
      <c r="G6276" s="3">
        <f t="shared" si="746"/>
        <v>-1013.4735999999999</v>
      </c>
      <c r="H6276" s="3">
        <f t="shared" si="747"/>
        <v>1013.4735999999999</v>
      </c>
      <c r="I6276" s="5" t="str">
        <f t="shared" si="748"/>
        <v>017</v>
      </c>
      <c r="J6276" s="5" t="str">
        <f t="shared" si="749"/>
        <v>2210</v>
      </c>
      <c r="K6276" s="5" t="str">
        <f t="shared" si="750"/>
        <v>000</v>
      </c>
      <c r="L6276" s="5">
        <f t="shared" si="751"/>
        <v>4</v>
      </c>
      <c r="M6276" s="5">
        <f t="shared" si="752"/>
        <v>2013</v>
      </c>
    </row>
    <row r="6277" spans="1:13" ht="15" x14ac:dyDescent="0.25">
      <c r="A6277" s="1">
        <f>DATE(2013,4,8)</f>
        <v>41372</v>
      </c>
      <c r="B6277" t="s">
        <v>17</v>
      </c>
      <c r="C6277" t="s">
        <v>9</v>
      </c>
      <c r="D6277" s="3">
        <v>439.4196</v>
      </c>
      <c r="E6277" s="3">
        <v>0</v>
      </c>
      <c r="F6277" t="s">
        <v>45</v>
      </c>
      <c r="G6277" s="3">
        <f t="shared" si="746"/>
        <v>-439.4196</v>
      </c>
      <c r="H6277" s="3">
        <f t="shared" si="747"/>
        <v>439.4196</v>
      </c>
      <c r="I6277" s="5" t="str">
        <f t="shared" si="748"/>
        <v>017</v>
      </c>
      <c r="J6277" s="5" t="str">
        <f t="shared" si="749"/>
        <v>2220</v>
      </c>
      <c r="K6277" s="5" t="str">
        <f t="shared" si="750"/>
        <v>000</v>
      </c>
      <c r="L6277" s="5">
        <f t="shared" si="751"/>
        <v>4</v>
      </c>
      <c r="M6277" s="5">
        <f t="shared" si="752"/>
        <v>2013</v>
      </c>
    </row>
    <row r="6278" spans="1:13" ht="15" x14ac:dyDescent="0.25">
      <c r="A6278" s="1">
        <f>DATE(2013,4,8)</f>
        <v>41372</v>
      </c>
      <c r="B6278" t="s">
        <v>18</v>
      </c>
      <c r="C6278" t="s">
        <v>10</v>
      </c>
      <c r="D6278" s="3">
        <v>43.551200000000001</v>
      </c>
      <c r="E6278" s="3">
        <v>0</v>
      </c>
      <c r="F6278" t="s">
        <v>45</v>
      </c>
      <c r="G6278" s="3">
        <f t="shared" si="746"/>
        <v>-43.551200000000001</v>
      </c>
      <c r="H6278" s="3">
        <f t="shared" si="747"/>
        <v>43.551200000000001</v>
      </c>
      <c r="I6278" s="5" t="str">
        <f t="shared" si="748"/>
        <v>017</v>
      </c>
      <c r="J6278" s="5" t="str">
        <f t="shared" si="749"/>
        <v>2230</v>
      </c>
      <c r="K6278" s="5" t="str">
        <f t="shared" si="750"/>
        <v>000</v>
      </c>
      <c r="L6278" s="5">
        <f t="shared" si="751"/>
        <v>4</v>
      </c>
      <c r="M6278" s="5">
        <f t="shared" si="752"/>
        <v>2013</v>
      </c>
    </row>
    <row r="6279" spans="1:13" ht="15" x14ac:dyDescent="0.25">
      <c r="A6279" s="1">
        <f>DATE(2013,4,9)</f>
        <v>41373</v>
      </c>
      <c r="B6279" t="s">
        <v>15</v>
      </c>
      <c r="C6279" t="s">
        <v>6</v>
      </c>
      <c r="D6279" s="3">
        <v>6996.8430000000008</v>
      </c>
      <c r="E6279" s="3">
        <v>0</v>
      </c>
      <c r="F6279" t="s">
        <v>45</v>
      </c>
      <c r="G6279" s="3">
        <f t="shared" si="746"/>
        <v>-6996.8430000000008</v>
      </c>
      <c r="H6279" s="3">
        <f t="shared" si="747"/>
        <v>6996.8430000000008</v>
      </c>
      <c r="I6279" s="5" t="str">
        <f t="shared" si="748"/>
        <v>017</v>
      </c>
      <c r="J6279" s="5" t="str">
        <f t="shared" si="749"/>
        <v>2100</v>
      </c>
      <c r="K6279" s="5" t="str">
        <f t="shared" si="750"/>
        <v>000</v>
      </c>
      <c r="L6279" s="5">
        <f t="shared" si="751"/>
        <v>4</v>
      </c>
      <c r="M6279" s="5">
        <f t="shared" si="752"/>
        <v>2013</v>
      </c>
    </row>
    <row r="6280" spans="1:13" ht="15" x14ac:dyDescent="0.25">
      <c r="A6280" s="1">
        <f>DATE(2013,4,9)</f>
        <v>41373</v>
      </c>
      <c r="B6280" t="s">
        <v>16</v>
      </c>
      <c r="C6280" t="s">
        <v>8</v>
      </c>
      <c r="D6280" s="3">
        <v>1358.0364</v>
      </c>
      <c r="E6280" s="3">
        <v>0</v>
      </c>
      <c r="F6280" t="s">
        <v>45</v>
      </c>
      <c r="G6280" s="3">
        <f t="shared" si="746"/>
        <v>-1358.0364</v>
      </c>
      <c r="H6280" s="3">
        <f t="shared" si="747"/>
        <v>1358.0364</v>
      </c>
      <c r="I6280" s="5" t="str">
        <f t="shared" si="748"/>
        <v>017</v>
      </c>
      <c r="J6280" s="5" t="str">
        <f t="shared" si="749"/>
        <v>2210</v>
      </c>
      <c r="K6280" s="5" t="str">
        <f t="shared" si="750"/>
        <v>000</v>
      </c>
      <c r="L6280" s="5">
        <f t="shared" si="751"/>
        <v>4</v>
      </c>
      <c r="M6280" s="5">
        <f t="shared" si="752"/>
        <v>2013</v>
      </c>
    </row>
    <row r="6281" spans="1:13" ht="15" x14ac:dyDescent="0.25">
      <c r="A6281" s="1">
        <f>DATE(2013,4,9)</f>
        <v>41373</v>
      </c>
      <c r="B6281" t="s">
        <v>17</v>
      </c>
      <c r="C6281" t="s">
        <v>9</v>
      </c>
      <c r="D6281" s="3">
        <v>446.22</v>
      </c>
      <c r="E6281" s="3">
        <v>0</v>
      </c>
      <c r="F6281" t="s">
        <v>45</v>
      </c>
      <c r="G6281" s="3">
        <f t="shared" si="746"/>
        <v>-446.22</v>
      </c>
      <c r="H6281" s="3">
        <f t="shared" si="747"/>
        <v>446.22</v>
      </c>
      <c r="I6281" s="5" t="str">
        <f t="shared" si="748"/>
        <v>017</v>
      </c>
      <c r="J6281" s="5" t="str">
        <f t="shared" si="749"/>
        <v>2220</v>
      </c>
      <c r="K6281" s="5" t="str">
        <f t="shared" si="750"/>
        <v>000</v>
      </c>
      <c r="L6281" s="5">
        <f t="shared" si="751"/>
        <v>4</v>
      </c>
      <c r="M6281" s="5">
        <f t="shared" si="752"/>
        <v>2013</v>
      </c>
    </row>
    <row r="6282" spans="1:13" ht="15" x14ac:dyDescent="0.25">
      <c r="A6282" s="1">
        <f>DATE(2013,4,9)</f>
        <v>41373</v>
      </c>
      <c r="B6282" t="s">
        <v>18</v>
      </c>
      <c r="C6282" t="s">
        <v>10</v>
      </c>
      <c r="D6282" s="3">
        <v>99.209000000000003</v>
      </c>
      <c r="E6282" s="3">
        <v>0</v>
      </c>
      <c r="F6282" t="s">
        <v>45</v>
      </c>
      <c r="G6282" s="3">
        <f t="shared" si="746"/>
        <v>-99.209000000000003</v>
      </c>
      <c r="H6282" s="3">
        <f t="shared" si="747"/>
        <v>99.209000000000003</v>
      </c>
      <c r="I6282" s="5" t="str">
        <f t="shared" si="748"/>
        <v>017</v>
      </c>
      <c r="J6282" s="5" t="str">
        <f t="shared" si="749"/>
        <v>2230</v>
      </c>
      <c r="K6282" s="5" t="str">
        <f t="shared" si="750"/>
        <v>000</v>
      </c>
      <c r="L6282" s="5">
        <f t="shared" si="751"/>
        <v>4</v>
      </c>
      <c r="M6282" s="5">
        <f t="shared" si="752"/>
        <v>2013</v>
      </c>
    </row>
    <row r="6283" spans="1:13" ht="15" x14ac:dyDescent="0.25">
      <c r="A6283" s="1">
        <f>DATE(2013,4,10)</f>
        <v>41374</v>
      </c>
      <c r="B6283" t="s">
        <v>15</v>
      </c>
      <c r="C6283" t="s">
        <v>6</v>
      </c>
      <c r="D6283" s="3">
        <v>6196.1056000000008</v>
      </c>
      <c r="E6283" s="3">
        <v>0</v>
      </c>
      <c r="F6283" t="s">
        <v>45</v>
      </c>
      <c r="G6283" s="3">
        <f t="shared" si="746"/>
        <v>-6196.1056000000008</v>
      </c>
      <c r="H6283" s="3">
        <f t="shared" si="747"/>
        <v>6196.1056000000008</v>
      </c>
      <c r="I6283" s="5" t="str">
        <f t="shared" si="748"/>
        <v>017</v>
      </c>
      <c r="J6283" s="5" t="str">
        <f t="shared" si="749"/>
        <v>2100</v>
      </c>
      <c r="K6283" s="5" t="str">
        <f t="shared" si="750"/>
        <v>000</v>
      </c>
      <c r="L6283" s="5">
        <f t="shared" si="751"/>
        <v>4</v>
      </c>
      <c r="M6283" s="5">
        <f t="shared" si="752"/>
        <v>2013</v>
      </c>
    </row>
    <row r="6284" spans="1:13" ht="15" x14ac:dyDescent="0.25">
      <c r="A6284" s="1">
        <f>DATE(2013,4,10)</f>
        <v>41374</v>
      </c>
      <c r="B6284" t="s">
        <v>16</v>
      </c>
      <c r="C6284" t="s">
        <v>8</v>
      </c>
      <c r="D6284" s="3">
        <v>1605.6578999999999</v>
      </c>
      <c r="E6284" s="3">
        <v>0</v>
      </c>
      <c r="F6284" t="s">
        <v>45</v>
      </c>
      <c r="G6284" s="3">
        <f t="shared" si="746"/>
        <v>-1605.6578999999999</v>
      </c>
      <c r="H6284" s="3">
        <f t="shared" si="747"/>
        <v>1605.6578999999999</v>
      </c>
      <c r="I6284" s="5" t="str">
        <f t="shared" si="748"/>
        <v>017</v>
      </c>
      <c r="J6284" s="5" t="str">
        <f t="shared" si="749"/>
        <v>2210</v>
      </c>
      <c r="K6284" s="5" t="str">
        <f t="shared" si="750"/>
        <v>000</v>
      </c>
      <c r="L6284" s="5">
        <f t="shared" si="751"/>
        <v>4</v>
      </c>
      <c r="M6284" s="5">
        <f t="shared" si="752"/>
        <v>2013</v>
      </c>
    </row>
    <row r="6285" spans="1:13" ht="15" x14ac:dyDescent="0.25">
      <c r="A6285" s="1">
        <f>DATE(2013,4,10)</f>
        <v>41374</v>
      </c>
      <c r="B6285" t="s">
        <v>17</v>
      </c>
      <c r="C6285" t="s">
        <v>9</v>
      </c>
      <c r="D6285" s="3">
        <v>493.12230000000005</v>
      </c>
      <c r="E6285" s="3">
        <v>0</v>
      </c>
      <c r="F6285" t="s">
        <v>45</v>
      </c>
      <c r="G6285" s="3">
        <f t="shared" si="746"/>
        <v>-493.12230000000005</v>
      </c>
      <c r="H6285" s="3">
        <f t="shared" si="747"/>
        <v>493.12230000000005</v>
      </c>
      <c r="I6285" s="5" t="str">
        <f t="shared" si="748"/>
        <v>017</v>
      </c>
      <c r="J6285" s="5" t="str">
        <f t="shared" si="749"/>
        <v>2220</v>
      </c>
      <c r="K6285" s="5" t="str">
        <f t="shared" si="750"/>
        <v>000</v>
      </c>
      <c r="L6285" s="5">
        <f t="shared" si="751"/>
        <v>4</v>
      </c>
      <c r="M6285" s="5">
        <f t="shared" si="752"/>
        <v>2013</v>
      </c>
    </row>
    <row r="6286" spans="1:13" ht="15" x14ac:dyDescent="0.25">
      <c r="A6286" s="1">
        <f>DATE(2013,4,10)</f>
        <v>41374</v>
      </c>
      <c r="B6286" t="s">
        <v>18</v>
      </c>
      <c r="C6286" t="s">
        <v>10</v>
      </c>
      <c r="D6286" s="3">
        <v>78.966200000000001</v>
      </c>
      <c r="E6286" s="3">
        <v>0</v>
      </c>
      <c r="F6286" t="s">
        <v>45</v>
      </c>
      <c r="G6286" s="3">
        <f t="shared" si="746"/>
        <v>-78.966200000000001</v>
      </c>
      <c r="H6286" s="3">
        <f t="shared" si="747"/>
        <v>78.966200000000001</v>
      </c>
      <c r="I6286" s="5" t="str">
        <f t="shared" si="748"/>
        <v>017</v>
      </c>
      <c r="J6286" s="5" t="str">
        <f t="shared" si="749"/>
        <v>2230</v>
      </c>
      <c r="K6286" s="5" t="str">
        <f t="shared" si="750"/>
        <v>000</v>
      </c>
      <c r="L6286" s="5">
        <f t="shared" si="751"/>
        <v>4</v>
      </c>
      <c r="M6286" s="5">
        <f t="shared" si="752"/>
        <v>2013</v>
      </c>
    </row>
    <row r="6287" spans="1:13" ht="15" x14ac:dyDescent="0.25">
      <c r="A6287" s="1">
        <f t="shared" ref="A6287:A6290" si="753">DATE(2013,4,11)</f>
        <v>41375</v>
      </c>
      <c r="B6287" t="s">
        <v>15</v>
      </c>
      <c r="C6287" t="s">
        <v>6</v>
      </c>
      <c r="D6287" s="3">
        <v>5707.2673999999997</v>
      </c>
      <c r="E6287" s="3">
        <v>0</v>
      </c>
      <c r="F6287" t="s">
        <v>45</v>
      </c>
      <c r="G6287" s="3">
        <f t="shared" si="746"/>
        <v>-5707.2673999999997</v>
      </c>
      <c r="H6287" s="3">
        <f t="shared" si="747"/>
        <v>5707.2673999999997</v>
      </c>
      <c r="I6287" s="5" t="str">
        <f t="shared" si="748"/>
        <v>017</v>
      </c>
      <c r="J6287" s="5" t="str">
        <f t="shared" si="749"/>
        <v>2100</v>
      </c>
      <c r="K6287" s="5" t="str">
        <f t="shared" si="750"/>
        <v>000</v>
      </c>
      <c r="L6287" s="5">
        <f t="shared" si="751"/>
        <v>4</v>
      </c>
      <c r="M6287" s="5">
        <f t="shared" si="752"/>
        <v>2013</v>
      </c>
    </row>
    <row r="6288" spans="1:13" ht="15" x14ac:dyDescent="0.25">
      <c r="A6288" s="1">
        <f t="shared" si="753"/>
        <v>41375</v>
      </c>
      <c r="B6288" t="s">
        <v>16</v>
      </c>
      <c r="C6288" t="s">
        <v>8</v>
      </c>
      <c r="D6288" s="3">
        <v>1329.2628</v>
      </c>
      <c r="E6288" s="3">
        <v>0</v>
      </c>
      <c r="F6288" t="s">
        <v>45</v>
      </c>
      <c r="G6288" s="3">
        <f t="shared" si="746"/>
        <v>-1329.2628</v>
      </c>
      <c r="H6288" s="3">
        <f t="shared" si="747"/>
        <v>1329.2628</v>
      </c>
      <c r="I6288" s="5" t="str">
        <f t="shared" si="748"/>
        <v>017</v>
      </c>
      <c r="J6288" s="5" t="str">
        <f t="shared" si="749"/>
        <v>2210</v>
      </c>
      <c r="K6288" s="5" t="str">
        <f t="shared" si="750"/>
        <v>000</v>
      </c>
      <c r="L6288" s="5">
        <f t="shared" si="751"/>
        <v>4</v>
      </c>
      <c r="M6288" s="5">
        <f t="shared" si="752"/>
        <v>2013</v>
      </c>
    </row>
    <row r="6289" spans="1:13" ht="15" x14ac:dyDescent="0.25">
      <c r="A6289" s="1">
        <f t="shared" si="753"/>
        <v>41375</v>
      </c>
      <c r="B6289" t="s">
        <v>17</v>
      </c>
      <c r="C6289" t="s">
        <v>9</v>
      </c>
      <c r="D6289" s="3">
        <v>481.73070000000001</v>
      </c>
      <c r="E6289" s="3">
        <v>0</v>
      </c>
      <c r="F6289" t="s">
        <v>45</v>
      </c>
      <c r="G6289" s="3">
        <f t="shared" si="746"/>
        <v>-481.73070000000001</v>
      </c>
      <c r="H6289" s="3">
        <f t="shared" si="747"/>
        <v>481.73070000000001</v>
      </c>
      <c r="I6289" s="5" t="str">
        <f t="shared" si="748"/>
        <v>017</v>
      </c>
      <c r="J6289" s="5" t="str">
        <f t="shared" si="749"/>
        <v>2220</v>
      </c>
      <c r="K6289" s="5" t="str">
        <f t="shared" si="750"/>
        <v>000</v>
      </c>
      <c r="L6289" s="5">
        <f t="shared" si="751"/>
        <v>4</v>
      </c>
      <c r="M6289" s="5">
        <f t="shared" si="752"/>
        <v>2013</v>
      </c>
    </row>
    <row r="6290" spans="1:13" ht="15" x14ac:dyDescent="0.25">
      <c r="A6290" s="1">
        <f t="shared" si="753"/>
        <v>41375</v>
      </c>
      <c r="B6290" t="s">
        <v>18</v>
      </c>
      <c r="C6290" t="s">
        <v>10</v>
      </c>
      <c r="D6290" s="3">
        <v>108.7086</v>
      </c>
      <c r="E6290" s="3">
        <v>0</v>
      </c>
      <c r="F6290" t="s">
        <v>45</v>
      </c>
      <c r="G6290" s="3">
        <f t="shared" si="746"/>
        <v>-108.7086</v>
      </c>
      <c r="H6290" s="3">
        <f t="shared" si="747"/>
        <v>108.7086</v>
      </c>
      <c r="I6290" s="5" t="str">
        <f t="shared" si="748"/>
        <v>017</v>
      </c>
      <c r="J6290" s="5" t="str">
        <f t="shared" si="749"/>
        <v>2230</v>
      </c>
      <c r="K6290" s="5" t="str">
        <f t="shared" si="750"/>
        <v>000</v>
      </c>
      <c r="L6290" s="5">
        <f t="shared" si="751"/>
        <v>4</v>
      </c>
      <c r="M6290" s="5">
        <f t="shared" si="752"/>
        <v>2013</v>
      </c>
    </row>
    <row r="6291" spans="1:13" ht="15" x14ac:dyDescent="0.25">
      <c r="A6291" s="1">
        <f>DATE(2013,4,12)</f>
        <v>41376</v>
      </c>
      <c r="B6291" t="s">
        <v>15</v>
      </c>
      <c r="C6291" t="s">
        <v>6</v>
      </c>
      <c r="D6291" s="3">
        <v>6774.6156000000001</v>
      </c>
      <c r="E6291" s="3">
        <v>0</v>
      </c>
      <c r="F6291" t="s">
        <v>45</v>
      </c>
      <c r="G6291" s="3">
        <f t="shared" si="746"/>
        <v>-6774.6156000000001</v>
      </c>
      <c r="H6291" s="3">
        <f t="shared" si="747"/>
        <v>6774.6156000000001</v>
      </c>
      <c r="I6291" s="5" t="str">
        <f t="shared" si="748"/>
        <v>017</v>
      </c>
      <c r="J6291" s="5" t="str">
        <f t="shared" si="749"/>
        <v>2100</v>
      </c>
      <c r="K6291" s="5" t="str">
        <f t="shared" si="750"/>
        <v>000</v>
      </c>
      <c r="L6291" s="5">
        <f t="shared" si="751"/>
        <v>4</v>
      </c>
      <c r="M6291" s="5">
        <f t="shared" si="752"/>
        <v>2013</v>
      </c>
    </row>
    <row r="6292" spans="1:13" ht="15" x14ac:dyDescent="0.25">
      <c r="A6292" s="1">
        <f>DATE(2013,4,12)</f>
        <v>41376</v>
      </c>
      <c r="B6292" t="s">
        <v>16</v>
      </c>
      <c r="C6292" t="s">
        <v>8</v>
      </c>
      <c r="D6292" s="3">
        <v>1718.5225999999998</v>
      </c>
      <c r="E6292" s="3">
        <v>0</v>
      </c>
      <c r="F6292" t="s">
        <v>45</v>
      </c>
      <c r="G6292" s="3">
        <f t="shared" si="746"/>
        <v>-1718.5225999999998</v>
      </c>
      <c r="H6292" s="3">
        <f t="shared" si="747"/>
        <v>1718.5225999999998</v>
      </c>
      <c r="I6292" s="5" t="str">
        <f t="shared" si="748"/>
        <v>017</v>
      </c>
      <c r="J6292" s="5" t="str">
        <f t="shared" si="749"/>
        <v>2210</v>
      </c>
      <c r="K6292" s="5" t="str">
        <f t="shared" si="750"/>
        <v>000</v>
      </c>
      <c r="L6292" s="5">
        <f t="shared" si="751"/>
        <v>4</v>
      </c>
      <c r="M6292" s="5">
        <f t="shared" si="752"/>
        <v>2013</v>
      </c>
    </row>
    <row r="6293" spans="1:13" ht="15" x14ac:dyDescent="0.25">
      <c r="A6293" s="1">
        <f>DATE(2013,4,12)</f>
        <v>41376</v>
      </c>
      <c r="B6293" t="s">
        <v>17</v>
      </c>
      <c r="C6293" t="s">
        <v>9</v>
      </c>
      <c r="D6293" s="3">
        <v>481.59980000000002</v>
      </c>
      <c r="E6293" s="3">
        <v>0</v>
      </c>
      <c r="F6293" t="s">
        <v>45</v>
      </c>
      <c r="G6293" s="3">
        <f t="shared" si="746"/>
        <v>-481.59980000000002</v>
      </c>
      <c r="H6293" s="3">
        <f t="shared" si="747"/>
        <v>481.59980000000002</v>
      </c>
      <c r="I6293" s="5" t="str">
        <f t="shared" si="748"/>
        <v>017</v>
      </c>
      <c r="J6293" s="5" t="str">
        <f t="shared" si="749"/>
        <v>2220</v>
      </c>
      <c r="K6293" s="5" t="str">
        <f t="shared" si="750"/>
        <v>000</v>
      </c>
      <c r="L6293" s="5">
        <f t="shared" si="751"/>
        <v>4</v>
      </c>
      <c r="M6293" s="5">
        <f t="shared" si="752"/>
        <v>2013</v>
      </c>
    </row>
    <row r="6294" spans="1:13" ht="15" x14ac:dyDescent="0.25">
      <c r="A6294" s="1">
        <f>DATE(2013,4,12)</f>
        <v>41376</v>
      </c>
      <c r="B6294" t="s">
        <v>18</v>
      </c>
      <c r="C6294" t="s">
        <v>10</v>
      </c>
      <c r="D6294" s="3">
        <v>132.52330000000001</v>
      </c>
      <c r="E6294" s="3">
        <v>0</v>
      </c>
      <c r="F6294" t="s">
        <v>45</v>
      </c>
      <c r="G6294" s="3">
        <f t="shared" si="746"/>
        <v>-132.52330000000001</v>
      </c>
      <c r="H6294" s="3">
        <f t="shared" si="747"/>
        <v>132.52330000000001</v>
      </c>
      <c r="I6294" s="5" t="str">
        <f t="shared" si="748"/>
        <v>017</v>
      </c>
      <c r="J6294" s="5" t="str">
        <f t="shared" si="749"/>
        <v>2230</v>
      </c>
      <c r="K6294" s="5" t="str">
        <f t="shared" si="750"/>
        <v>000</v>
      </c>
      <c r="L6294" s="5">
        <f t="shared" si="751"/>
        <v>4</v>
      </c>
      <c r="M6294" s="5">
        <f t="shared" si="752"/>
        <v>2013</v>
      </c>
    </row>
    <row r="6295" spans="1:13" ht="15" x14ac:dyDescent="0.25">
      <c r="A6295" s="1">
        <f>DATE(2013,4,13)</f>
        <v>41377</v>
      </c>
      <c r="B6295" t="s">
        <v>15</v>
      </c>
      <c r="C6295" t="s">
        <v>6</v>
      </c>
      <c r="D6295" s="3">
        <v>6546.4895999999999</v>
      </c>
      <c r="E6295" s="3">
        <v>0</v>
      </c>
      <c r="F6295" t="s">
        <v>45</v>
      </c>
      <c r="G6295" s="3">
        <f t="shared" si="746"/>
        <v>-6546.4895999999999</v>
      </c>
      <c r="H6295" s="3">
        <f t="shared" si="747"/>
        <v>6546.4895999999999</v>
      </c>
      <c r="I6295" s="5" t="str">
        <f t="shared" si="748"/>
        <v>017</v>
      </c>
      <c r="J6295" s="5" t="str">
        <f t="shared" si="749"/>
        <v>2100</v>
      </c>
      <c r="K6295" s="5" t="str">
        <f t="shared" si="750"/>
        <v>000</v>
      </c>
      <c r="L6295" s="5">
        <f t="shared" si="751"/>
        <v>4</v>
      </c>
      <c r="M6295" s="5">
        <f t="shared" si="752"/>
        <v>2013</v>
      </c>
    </row>
    <row r="6296" spans="1:13" ht="15" x14ac:dyDescent="0.25">
      <c r="A6296" s="1">
        <f>DATE(2013,4,13)</f>
        <v>41377</v>
      </c>
      <c r="B6296" t="s">
        <v>16</v>
      </c>
      <c r="C6296" t="s">
        <v>8</v>
      </c>
      <c r="D6296" s="3">
        <v>2531.0911999999998</v>
      </c>
      <c r="E6296" s="3">
        <v>0</v>
      </c>
      <c r="F6296" t="s">
        <v>45</v>
      </c>
      <c r="G6296" s="3">
        <f t="shared" si="746"/>
        <v>-2531.0911999999998</v>
      </c>
      <c r="H6296" s="3">
        <f t="shared" si="747"/>
        <v>2531.0911999999998</v>
      </c>
      <c r="I6296" s="5" t="str">
        <f t="shared" si="748"/>
        <v>017</v>
      </c>
      <c r="J6296" s="5" t="str">
        <f t="shared" si="749"/>
        <v>2210</v>
      </c>
      <c r="K6296" s="5" t="str">
        <f t="shared" si="750"/>
        <v>000</v>
      </c>
      <c r="L6296" s="5">
        <f t="shared" si="751"/>
        <v>4</v>
      </c>
      <c r="M6296" s="5">
        <f t="shared" si="752"/>
        <v>2013</v>
      </c>
    </row>
    <row r="6297" spans="1:13" ht="15" x14ac:dyDescent="0.25">
      <c r="A6297" s="1">
        <f>DATE(2013,4,13)</f>
        <v>41377</v>
      </c>
      <c r="B6297" t="s">
        <v>17</v>
      </c>
      <c r="C6297" t="s">
        <v>9</v>
      </c>
      <c r="D6297" s="3">
        <v>486.43740000000003</v>
      </c>
      <c r="E6297" s="3">
        <v>0</v>
      </c>
      <c r="F6297" t="s">
        <v>45</v>
      </c>
      <c r="G6297" s="3">
        <f t="shared" si="746"/>
        <v>-486.43740000000003</v>
      </c>
      <c r="H6297" s="3">
        <f t="shared" si="747"/>
        <v>486.43740000000003</v>
      </c>
      <c r="I6297" s="5" t="str">
        <f t="shared" si="748"/>
        <v>017</v>
      </c>
      <c r="J6297" s="5" t="str">
        <f t="shared" si="749"/>
        <v>2220</v>
      </c>
      <c r="K6297" s="5" t="str">
        <f t="shared" si="750"/>
        <v>000</v>
      </c>
      <c r="L6297" s="5">
        <f t="shared" si="751"/>
        <v>4</v>
      </c>
      <c r="M6297" s="5">
        <f t="shared" si="752"/>
        <v>2013</v>
      </c>
    </row>
    <row r="6298" spans="1:13" ht="15" x14ac:dyDescent="0.25">
      <c r="A6298" s="1">
        <f>DATE(2013,4,13)</f>
        <v>41377</v>
      </c>
      <c r="B6298" t="s">
        <v>18</v>
      </c>
      <c r="C6298" t="s">
        <v>10</v>
      </c>
      <c r="D6298" s="3">
        <v>64.38</v>
      </c>
      <c r="E6298" s="3">
        <v>0</v>
      </c>
      <c r="F6298" t="s">
        <v>45</v>
      </c>
      <c r="G6298" s="3">
        <f t="shared" si="746"/>
        <v>-64.38</v>
      </c>
      <c r="H6298" s="3">
        <f t="shared" si="747"/>
        <v>64.38</v>
      </c>
      <c r="I6298" s="5" t="str">
        <f t="shared" si="748"/>
        <v>017</v>
      </c>
      <c r="J6298" s="5" t="str">
        <f t="shared" si="749"/>
        <v>2230</v>
      </c>
      <c r="K6298" s="5" t="str">
        <f t="shared" si="750"/>
        <v>000</v>
      </c>
      <c r="L6298" s="5">
        <f t="shared" si="751"/>
        <v>4</v>
      </c>
      <c r="M6298" s="5">
        <f t="shared" si="752"/>
        <v>2013</v>
      </c>
    </row>
    <row r="6299" spans="1:13" ht="15" x14ac:dyDescent="0.25">
      <c r="A6299" s="1">
        <f>DATE(2013,4,14)</f>
        <v>41378</v>
      </c>
      <c r="B6299" t="s">
        <v>15</v>
      </c>
      <c r="C6299" t="s">
        <v>6</v>
      </c>
      <c r="D6299" s="3">
        <v>4209.0574999999999</v>
      </c>
      <c r="E6299" s="3">
        <v>0</v>
      </c>
      <c r="F6299" t="s">
        <v>45</v>
      </c>
      <c r="G6299" s="3">
        <f t="shared" si="746"/>
        <v>-4209.0574999999999</v>
      </c>
      <c r="H6299" s="3">
        <f t="shared" si="747"/>
        <v>4209.0574999999999</v>
      </c>
      <c r="I6299" s="5" t="str">
        <f t="shared" si="748"/>
        <v>017</v>
      </c>
      <c r="J6299" s="5" t="str">
        <f t="shared" si="749"/>
        <v>2100</v>
      </c>
      <c r="K6299" s="5" t="str">
        <f t="shared" si="750"/>
        <v>000</v>
      </c>
      <c r="L6299" s="5">
        <f t="shared" si="751"/>
        <v>4</v>
      </c>
      <c r="M6299" s="5">
        <f t="shared" si="752"/>
        <v>2013</v>
      </c>
    </row>
    <row r="6300" spans="1:13" ht="15" x14ac:dyDescent="0.25">
      <c r="A6300" s="1">
        <f>DATE(2013,4,14)</f>
        <v>41378</v>
      </c>
      <c r="B6300" t="s">
        <v>16</v>
      </c>
      <c r="C6300" t="s">
        <v>8</v>
      </c>
      <c r="D6300" s="3">
        <v>796.33439999999996</v>
      </c>
      <c r="E6300" s="3">
        <v>0</v>
      </c>
      <c r="F6300" t="s">
        <v>45</v>
      </c>
      <c r="G6300" s="3">
        <f t="shared" si="746"/>
        <v>-796.33439999999996</v>
      </c>
      <c r="H6300" s="3">
        <f t="shared" si="747"/>
        <v>796.33439999999996</v>
      </c>
      <c r="I6300" s="5" t="str">
        <f t="shared" si="748"/>
        <v>017</v>
      </c>
      <c r="J6300" s="5" t="str">
        <f t="shared" si="749"/>
        <v>2210</v>
      </c>
      <c r="K6300" s="5" t="str">
        <f t="shared" si="750"/>
        <v>000</v>
      </c>
      <c r="L6300" s="5">
        <f t="shared" si="751"/>
        <v>4</v>
      </c>
      <c r="M6300" s="5">
        <f t="shared" si="752"/>
        <v>2013</v>
      </c>
    </row>
    <row r="6301" spans="1:13" ht="15" x14ac:dyDescent="0.25">
      <c r="A6301" s="1">
        <f>DATE(2013,4,14)</f>
        <v>41378</v>
      </c>
      <c r="B6301" t="s">
        <v>17</v>
      </c>
      <c r="C6301" t="s">
        <v>9</v>
      </c>
      <c r="D6301" s="3">
        <v>110.94880000000001</v>
      </c>
      <c r="E6301" s="3">
        <v>0</v>
      </c>
      <c r="F6301" t="s">
        <v>45</v>
      </c>
      <c r="G6301" s="3">
        <f t="shared" si="746"/>
        <v>-110.94880000000001</v>
      </c>
      <c r="H6301" s="3">
        <f t="shared" si="747"/>
        <v>110.94880000000001</v>
      </c>
      <c r="I6301" s="5" t="str">
        <f t="shared" si="748"/>
        <v>017</v>
      </c>
      <c r="J6301" s="5" t="str">
        <f t="shared" si="749"/>
        <v>2220</v>
      </c>
      <c r="K6301" s="5" t="str">
        <f t="shared" si="750"/>
        <v>000</v>
      </c>
      <c r="L6301" s="5">
        <f t="shared" si="751"/>
        <v>4</v>
      </c>
      <c r="M6301" s="5">
        <f t="shared" si="752"/>
        <v>2013</v>
      </c>
    </row>
    <row r="6302" spans="1:13" ht="15" x14ac:dyDescent="0.25">
      <c r="A6302" s="1">
        <f>DATE(2013,4,14)</f>
        <v>41378</v>
      </c>
      <c r="B6302" t="s">
        <v>18</v>
      </c>
      <c r="C6302" t="s">
        <v>10</v>
      </c>
      <c r="D6302" s="3">
        <v>62.6432</v>
      </c>
      <c r="E6302" s="3">
        <v>0</v>
      </c>
      <c r="F6302" t="s">
        <v>45</v>
      </c>
      <c r="G6302" s="3">
        <f t="shared" si="746"/>
        <v>-62.6432</v>
      </c>
      <c r="H6302" s="3">
        <f t="shared" si="747"/>
        <v>62.6432</v>
      </c>
      <c r="I6302" s="5" t="str">
        <f t="shared" si="748"/>
        <v>017</v>
      </c>
      <c r="J6302" s="5" t="str">
        <f t="shared" si="749"/>
        <v>2230</v>
      </c>
      <c r="K6302" s="5" t="str">
        <f t="shared" si="750"/>
        <v>000</v>
      </c>
      <c r="L6302" s="5">
        <f t="shared" si="751"/>
        <v>4</v>
      </c>
      <c r="M6302" s="5">
        <f t="shared" si="752"/>
        <v>2013</v>
      </c>
    </row>
    <row r="6303" spans="1:13" ht="15" x14ac:dyDescent="0.25">
      <c r="A6303" s="1">
        <f>DATE(2013,4,8)</f>
        <v>41372</v>
      </c>
      <c r="B6303" t="s">
        <v>19</v>
      </c>
      <c r="C6303" t="s">
        <v>6</v>
      </c>
      <c r="D6303" s="3">
        <v>2694.1475</v>
      </c>
      <c r="E6303" s="3">
        <v>0</v>
      </c>
      <c r="F6303" t="s">
        <v>45</v>
      </c>
      <c r="G6303" s="3">
        <f t="shared" si="746"/>
        <v>-2694.1475</v>
      </c>
      <c r="H6303" s="3">
        <f t="shared" si="747"/>
        <v>2694.1475</v>
      </c>
      <c r="I6303" s="5" t="str">
        <f t="shared" si="748"/>
        <v>018</v>
      </c>
      <c r="J6303" s="5" t="str">
        <f t="shared" si="749"/>
        <v>2100</v>
      </c>
      <c r="K6303" s="5" t="str">
        <f t="shared" si="750"/>
        <v>000</v>
      </c>
      <c r="L6303" s="5">
        <f t="shared" si="751"/>
        <v>4</v>
      </c>
      <c r="M6303" s="5">
        <f t="shared" si="752"/>
        <v>2013</v>
      </c>
    </row>
    <row r="6304" spans="1:13" ht="15" x14ac:dyDescent="0.25">
      <c r="A6304" s="1">
        <f>DATE(2013,4,8)</f>
        <v>41372</v>
      </c>
      <c r="B6304" t="s">
        <v>20</v>
      </c>
      <c r="C6304" t="s">
        <v>8</v>
      </c>
      <c r="D6304" s="3">
        <v>845.39909999999998</v>
      </c>
      <c r="E6304" s="3">
        <v>0</v>
      </c>
      <c r="F6304" t="s">
        <v>45</v>
      </c>
      <c r="G6304" s="3">
        <f t="shared" si="746"/>
        <v>-845.39909999999998</v>
      </c>
      <c r="H6304" s="3">
        <f t="shared" si="747"/>
        <v>845.39909999999998</v>
      </c>
      <c r="I6304" s="5" t="str">
        <f t="shared" si="748"/>
        <v>018</v>
      </c>
      <c r="J6304" s="5" t="str">
        <f t="shared" si="749"/>
        <v>2210</v>
      </c>
      <c r="K6304" s="5" t="str">
        <f t="shared" si="750"/>
        <v>000</v>
      </c>
      <c r="L6304" s="5">
        <f t="shared" si="751"/>
        <v>4</v>
      </c>
      <c r="M6304" s="5">
        <f t="shared" si="752"/>
        <v>2013</v>
      </c>
    </row>
    <row r="6305" spans="1:13" ht="15" x14ac:dyDescent="0.25">
      <c r="A6305" s="1">
        <f>DATE(2013,4,8)</f>
        <v>41372</v>
      </c>
      <c r="B6305" t="s">
        <v>21</v>
      </c>
      <c r="C6305" t="s">
        <v>9</v>
      </c>
      <c r="D6305" s="3">
        <v>207.44200000000001</v>
      </c>
      <c r="E6305" s="3">
        <v>0</v>
      </c>
      <c r="F6305" t="s">
        <v>45</v>
      </c>
      <c r="G6305" s="3">
        <f t="shared" si="746"/>
        <v>-207.44200000000001</v>
      </c>
      <c r="H6305" s="3">
        <f t="shared" si="747"/>
        <v>207.44200000000001</v>
      </c>
      <c r="I6305" s="5" t="str">
        <f t="shared" si="748"/>
        <v>018</v>
      </c>
      <c r="J6305" s="5" t="str">
        <f t="shared" si="749"/>
        <v>2220</v>
      </c>
      <c r="K6305" s="5" t="str">
        <f t="shared" si="750"/>
        <v>000</v>
      </c>
      <c r="L6305" s="5">
        <f t="shared" si="751"/>
        <v>4</v>
      </c>
      <c r="M6305" s="5">
        <f t="shared" si="752"/>
        <v>2013</v>
      </c>
    </row>
    <row r="6306" spans="1:13" ht="15" x14ac:dyDescent="0.25">
      <c r="A6306" s="1">
        <f>DATE(2013,4,8)</f>
        <v>41372</v>
      </c>
      <c r="B6306" t="s">
        <v>22</v>
      </c>
      <c r="C6306" t="s">
        <v>10</v>
      </c>
      <c r="D6306" s="3">
        <v>53.808300000000003</v>
      </c>
      <c r="E6306" s="3">
        <v>0</v>
      </c>
      <c r="F6306" t="s">
        <v>45</v>
      </c>
      <c r="G6306" s="3">
        <f t="shared" si="746"/>
        <v>-53.808300000000003</v>
      </c>
      <c r="H6306" s="3">
        <f t="shared" si="747"/>
        <v>53.808300000000003</v>
      </c>
      <c r="I6306" s="5" t="str">
        <f t="shared" si="748"/>
        <v>018</v>
      </c>
      <c r="J6306" s="5" t="str">
        <f t="shared" si="749"/>
        <v>2230</v>
      </c>
      <c r="K6306" s="5" t="str">
        <f t="shared" si="750"/>
        <v>000</v>
      </c>
      <c r="L6306" s="5">
        <f t="shared" si="751"/>
        <v>4</v>
      </c>
      <c r="M6306" s="5">
        <f t="shared" si="752"/>
        <v>2013</v>
      </c>
    </row>
    <row r="6307" spans="1:13" ht="15" x14ac:dyDescent="0.25">
      <c r="A6307" s="1">
        <f>DATE(2013,4,9)</f>
        <v>41373</v>
      </c>
      <c r="B6307" t="s">
        <v>19</v>
      </c>
      <c r="C6307" t="s">
        <v>6</v>
      </c>
      <c r="D6307" s="3">
        <v>4049.0447999999997</v>
      </c>
      <c r="E6307" s="3">
        <v>0</v>
      </c>
      <c r="F6307" t="s">
        <v>45</v>
      </c>
      <c r="G6307" s="3">
        <f t="shared" si="746"/>
        <v>-4049.0447999999997</v>
      </c>
      <c r="H6307" s="3">
        <f t="shared" si="747"/>
        <v>4049.0447999999997</v>
      </c>
      <c r="I6307" s="5" t="str">
        <f t="shared" si="748"/>
        <v>018</v>
      </c>
      <c r="J6307" s="5" t="str">
        <f t="shared" si="749"/>
        <v>2100</v>
      </c>
      <c r="K6307" s="5" t="str">
        <f t="shared" si="750"/>
        <v>000</v>
      </c>
      <c r="L6307" s="5">
        <f t="shared" si="751"/>
        <v>4</v>
      </c>
      <c r="M6307" s="5">
        <f t="shared" si="752"/>
        <v>2013</v>
      </c>
    </row>
    <row r="6308" spans="1:13" ht="15" x14ac:dyDescent="0.25">
      <c r="A6308" s="1">
        <f>DATE(2013,4,9)</f>
        <v>41373</v>
      </c>
      <c r="B6308" t="s">
        <v>20</v>
      </c>
      <c r="C6308" t="s">
        <v>8</v>
      </c>
      <c r="D6308" s="3">
        <v>905.79000000000008</v>
      </c>
      <c r="E6308" s="3">
        <v>0</v>
      </c>
      <c r="F6308" t="s">
        <v>45</v>
      </c>
      <c r="G6308" s="3">
        <f t="shared" si="746"/>
        <v>-905.79000000000008</v>
      </c>
      <c r="H6308" s="3">
        <f t="shared" si="747"/>
        <v>905.79000000000008</v>
      </c>
      <c r="I6308" s="5" t="str">
        <f t="shared" si="748"/>
        <v>018</v>
      </c>
      <c r="J6308" s="5" t="str">
        <f t="shared" si="749"/>
        <v>2210</v>
      </c>
      <c r="K6308" s="5" t="str">
        <f t="shared" si="750"/>
        <v>000</v>
      </c>
      <c r="L6308" s="5">
        <f t="shared" si="751"/>
        <v>4</v>
      </c>
      <c r="M6308" s="5">
        <f t="shared" si="752"/>
        <v>2013</v>
      </c>
    </row>
    <row r="6309" spans="1:13" ht="15" x14ac:dyDescent="0.25">
      <c r="A6309" s="1">
        <f>DATE(2013,4,9)</f>
        <v>41373</v>
      </c>
      <c r="B6309" t="s">
        <v>21</v>
      </c>
      <c r="C6309" t="s">
        <v>9</v>
      </c>
      <c r="D6309" s="3">
        <v>255.3973</v>
      </c>
      <c r="E6309" s="3">
        <v>0</v>
      </c>
      <c r="F6309" t="s">
        <v>45</v>
      </c>
      <c r="G6309" s="3">
        <f t="shared" si="746"/>
        <v>-255.3973</v>
      </c>
      <c r="H6309" s="3">
        <f t="shared" si="747"/>
        <v>255.3973</v>
      </c>
      <c r="I6309" s="5" t="str">
        <f t="shared" si="748"/>
        <v>018</v>
      </c>
      <c r="J6309" s="5" t="str">
        <f t="shared" si="749"/>
        <v>2220</v>
      </c>
      <c r="K6309" s="5" t="str">
        <f t="shared" si="750"/>
        <v>000</v>
      </c>
      <c r="L6309" s="5">
        <f t="shared" si="751"/>
        <v>4</v>
      </c>
      <c r="M6309" s="5">
        <f t="shared" si="752"/>
        <v>2013</v>
      </c>
    </row>
    <row r="6310" spans="1:13" ht="15" x14ac:dyDescent="0.25">
      <c r="A6310" s="1">
        <f>DATE(2013,4,9)</f>
        <v>41373</v>
      </c>
      <c r="B6310" t="s">
        <v>22</v>
      </c>
      <c r="C6310" t="s">
        <v>10</v>
      </c>
      <c r="D6310" s="3">
        <v>67.23899999999999</v>
      </c>
      <c r="E6310" s="3">
        <v>0</v>
      </c>
      <c r="F6310" t="s">
        <v>45</v>
      </c>
      <c r="G6310" s="3">
        <f t="shared" si="746"/>
        <v>-67.23899999999999</v>
      </c>
      <c r="H6310" s="3">
        <f t="shared" si="747"/>
        <v>67.23899999999999</v>
      </c>
      <c r="I6310" s="5" t="str">
        <f t="shared" si="748"/>
        <v>018</v>
      </c>
      <c r="J6310" s="5" t="str">
        <f t="shared" si="749"/>
        <v>2230</v>
      </c>
      <c r="K6310" s="5" t="str">
        <f t="shared" si="750"/>
        <v>000</v>
      </c>
      <c r="L6310" s="5">
        <f t="shared" si="751"/>
        <v>4</v>
      </c>
      <c r="M6310" s="5">
        <f t="shared" si="752"/>
        <v>2013</v>
      </c>
    </row>
    <row r="6311" spans="1:13" ht="15" x14ac:dyDescent="0.25">
      <c r="A6311" s="1">
        <f>DATE(2013,4,10)</f>
        <v>41374</v>
      </c>
      <c r="B6311" t="s">
        <v>19</v>
      </c>
      <c r="C6311" t="s">
        <v>6</v>
      </c>
      <c r="D6311" s="3">
        <v>5114.2783000000009</v>
      </c>
      <c r="E6311" s="3">
        <v>0</v>
      </c>
      <c r="F6311" t="s">
        <v>45</v>
      </c>
      <c r="G6311" s="3">
        <f t="shared" si="746"/>
        <v>-5114.2783000000009</v>
      </c>
      <c r="H6311" s="3">
        <f t="shared" si="747"/>
        <v>5114.2783000000009</v>
      </c>
      <c r="I6311" s="5" t="str">
        <f t="shared" si="748"/>
        <v>018</v>
      </c>
      <c r="J6311" s="5" t="str">
        <f t="shared" si="749"/>
        <v>2100</v>
      </c>
      <c r="K6311" s="5" t="str">
        <f t="shared" si="750"/>
        <v>000</v>
      </c>
      <c r="L6311" s="5">
        <f t="shared" si="751"/>
        <v>4</v>
      </c>
      <c r="M6311" s="5">
        <f t="shared" si="752"/>
        <v>2013</v>
      </c>
    </row>
    <row r="6312" spans="1:13" ht="15" x14ac:dyDescent="0.25">
      <c r="A6312" s="1">
        <f>DATE(2013,4,10)</f>
        <v>41374</v>
      </c>
      <c r="B6312" t="s">
        <v>20</v>
      </c>
      <c r="C6312" t="s">
        <v>8</v>
      </c>
      <c r="D6312" s="3">
        <v>702.06640000000004</v>
      </c>
      <c r="E6312" s="3">
        <v>0</v>
      </c>
      <c r="F6312" t="s">
        <v>45</v>
      </c>
      <c r="G6312" s="3">
        <f t="shared" si="746"/>
        <v>-702.06640000000004</v>
      </c>
      <c r="H6312" s="3">
        <f t="shared" si="747"/>
        <v>702.06640000000004</v>
      </c>
      <c r="I6312" s="5" t="str">
        <f t="shared" si="748"/>
        <v>018</v>
      </c>
      <c r="J6312" s="5" t="str">
        <f t="shared" si="749"/>
        <v>2210</v>
      </c>
      <c r="K6312" s="5" t="str">
        <f t="shared" si="750"/>
        <v>000</v>
      </c>
      <c r="L6312" s="5">
        <f t="shared" si="751"/>
        <v>4</v>
      </c>
      <c r="M6312" s="5">
        <f t="shared" si="752"/>
        <v>2013</v>
      </c>
    </row>
    <row r="6313" spans="1:13" ht="15" x14ac:dyDescent="0.25">
      <c r="A6313" s="1">
        <f>DATE(2013,4,10)</f>
        <v>41374</v>
      </c>
      <c r="B6313" t="s">
        <v>21</v>
      </c>
      <c r="C6313" t="s">
        <v>9</v>
      </c>
      <c r="D6313" s="3">
        <v>271.32300000000004</v>
      </c>
      <c r="E6313" s="3">
        <v>0</v>
      </c>
      <c r="F6313" t="s">
        <v>45</v>
      </c>
      <c r="G6313" s="3">
        <f t="shared" si="746"/>
        <v>-271.32300000000004</v>
      </c>
      <c r="H6313" s="3">
        <f t="shared" si="747"/>
        <v>271.32300000000004</v>
      </c>
      <c r="I6313" s="5" t="str">
        <f t="shared" si="748"/>
        <v>018</v>
      </c>
      <c r="J6313" s="5" t="str">
        <f t="shared" si="749"/>
        <v>2220</v>
      </c>
      <c r="K6313" s="5" t="str">
        <f t="shared" si="750"/>
        <v>000</v>
      </c>
      <c r="L6313" s="5">
        <f t="shared" si="751"/>
        <v>4</v>
      </c>
      <c r="M6313" s="5">
        <f t="shared" si="752"/>
        <v>2013</v>
      </c>
    </row>
    <row r="6314" spans="1:13" ht="15" x14ac:dyDescent="0.25">
      <c r="A6314" s="1">
        <f>DATE(2013,4,10)</f>
        <v>41374</v>
      </c>
      <c r="B6314" t="s">
        <v>22</v>
      </c>
      <c r="C6314" t="s">
        <v>10</v>
      </c>
      <c r="D6314" s="3">
        <v>19.2989</v>
      </c>
      <c r="E6314" s="3">
        <v>0</v>
      </c>
      <c r="F6314" t="s">
        <v>45</v>
      </c>
      <c r="G6314" s="3">
        <f t="shared" si="746"/>
        <v>-19.2989</v>
      </c>
      <c r="H6314" s="3">
        <f t="shared" si="747"/>
        <v>19.2989</v>
      </c>
      <c r="I6314" s="5" t="str">
        <f t="shared" si="748"/>
        <v>018</v>
      </c>
      <c r="J6314" s="5" t="str">
        <f t="shared" si="749"/>
        <v>2230</v>
      </c>
      <c r="K6314" s="5" t="str">
        <f t="shared" si="750"/>
        <v>000</v>
      </c>
      <c r="L6314" s="5">
        <f t="shared" si="751"/>
        <v>4</v>
      </c>
      <c r="M6314" s="5">
        <f t="shared" si="752"/>
        <v>2013</v>
      </c>
    </row>
    <row r="6315" spans="1:13" ht="15" x14ac:dyDescent="0.25">
      <c r="A6315" s="1">
        <f>DATE(2013,4,11)</f>
        <v>41375</v>
      </c>
      <c r="B6315" t="s">
        <v>19</v>
      </c>
      <c r="C6315" t="s">
        <v>6</v>
      </c>
      <c r="D6315" s="3">
        <v>6447.4454999999998</v>
      </c>
      <c r="E6315" s="3">
        <v>0</v>
      </c>
      <c r="F6315" t="s">
        <v>45</v>
      </c>
      <c r="G6315" s="3">
        <f t="shared" si="746"/>
        <v>-6447.4454999999998</v>
      </c>
      <c r="H6315" s="3">
        <f t="shared" si="747"/>
        <v>6447.4454999999998</v>
      </c>
      <c r="I6315" s="5" t="str">
        <f t="shared" si="748"/>
        <v>018</v>
      </c>
      <c r="J6315" s="5" t="str">
        <f t="shared" si="749"/>
        <v>2100</v>
      </c>
      <c r="K6315" s="5" t="str">
        <f t="shared" si="750"/>
        <v>000</v>
      </c>
      <c r="L6315" s="5">
        <f t="shared" si="751"/>
        <v>4</v>
      </c>
      <c r="M6315" s="5">
        <f t="shared" si="752"/>
        <v>2013</v>
      </c>
    </row>
    <row r="6316" spans="1:13" ht="15" x14ac:dyDescent="0.25">
      <c r="A6316" s="1">
        <f>DATE(2013,4,11)</f>
        <v>41375</v>
      </c>
      <c r="B6316" t="s">
        <v>20</v>
      </c>
      <c r="C6316" t="s">
        <v>8</v>
      </c>
      <c r="D6316" s="3">
        <v>979.38539999999989</v>
      </c>
      <c r="E6316" s="3">
        <v>0</v>
      </c>
      <c r="F6316" t="s">
        <v>45</v>
      </c>
      <c r="G6316" s="3">
        <f t="shared" si="746"/>
        <v>-979.38539999999989</v>
      </c>
      <c r="H6316" s="3">
        <f t="shared" si="747"/>
        <v>979.38539999999989</v>
      </c>
      <c r="I6316" s="5" t="str">
        <f t="shared" si="748"/>
        <v>018</v>
      </c>
      <c r="J6316" s="5" t="str">
        <f t="shared" si="749"/>
        <v>2210</v>
      </c>
      <c r="K6316" s="5" t="str">
        <f t="shared" si="750"/>
        <v>000</v>
      </c>
      <c r="L6316" s="5">
        <f t="shared" si="751"/>
        <v>4</v>
      </c>
      <c r="M6316" s="5">
        <f t="shared" si="752"/>
        <v>2013</v>
      </c>
    </row>
    <row r="6317" spans="1:13" ht="15" x14ac:dyDescent="0.25">
      <c r="A6317" s="1">
        <f>DATE(2013,4,11)</f>
        <v>41375</v>
      </c>
      <c r="B6317" t="s">
        <v>21</v>
      </c>
      <c r="C6317" t="s">
        <v>9</v>
      </c>
      <c r="D6317" s="3">
        <v>343.8861</v>
      </c>
      <c r="E6317" s="3">
        <v>0</v>
      </c>
      <c r="F6317" t="s">
        <v>45</v>
      </c>
      <c r="G6317" s="3">
        <f t="shared" si="746"/>
        <v>-343.8861</v>
      </c>
      <c r="H6317" s="3">
        <f t="shared" si="747"/>
        <v>343.8861</v>
      </c>
      <c r="I6317" s="5" t="str">
        <f t="shared" si="748"/>
        <v>018</v>
      </c>
      <c r="J6317" s="5" t="str">
        <f t="shared" si="749"/>
        <v>2220</v>
      </c>
      <c r="K6317" s="5" t="str">
        <f t="shared" si="750"/>
        <v>000</v>
      </c>
      <c r="L6317" s="5">
        <f t="shared" si="751"/>
        <v>4</v>
      </c>
      <c r="M6317" s="5">
        <f t="shared" si="752"/>
        <v>2013</v>
      </c>
    </row>
    <row r="6318" spans="1:13" ht="15" x14ac:dyDescent="0.25">
      <c r="A6318" s="1">
        <f>DATE(2013,4,11)</f>
        <v>41375</v>
      </c>
      <c r="B6318" t="s">
        <v>22</v>
      </c>
      <c r="C6318" t="s">
        <v>10</v>
      </c>
      <c r="D6318" s="3">
        <v>12.4062</v>
      </c>
      <c r="E6318" s="3">
        <v>0</v>
      </c>
      <c r="F6318" t="s">
        <v>45</v>
      </c>
      <c r="G6318" s="3">
        <f t="shared" si="746"/>
        <v>-12.4062</v>
      </c>
      <c r="H6318" s="3">
        <f t="shared" si="747"/>
        <v>12.4062</v>
      </c>
      <c r="I6318" s="5" t="str">
        <f t="shared" si="748"/>
        <v>018</v>
      </c>
      <c r="J6318" s="5" t="str">
        <f t="shared" si="749"/>
        <v>2230</v>
      </c>
      <c r="K6318" s="5" t="str">
        <f t="shared" si="750"/>
        <v>000</v>
      </c>
      <c r="L6318" s="5">
        <f t="shared" si="751"/>
        <v>4</v>
      </c>
      <c r="M6318" s="5">
        <f t="shared" si="752"/>
        <v>2013</v>
      </c>
    </row>
    <row r="6319" spans="1:13" ht="15" x14ac:dyDescent="0.25">
      <c r="A6319" s="1">
        <f>DATE(2013,4,12)</f>
        <v>41376</v>
      </c>
      <c r="B6319" t="s">
        <v>19</v>
      </c>
      <c r="C6319" t="s">
        <v>6</v>
      </c>
      <c r="D6319" s="3">
        <v>9803.8796000000002</v>
      </c>
      <c r="E6319" s="3">
        <v>0</v>
      </c>
      <c r="F6319" t="s">
        <v>45</v>
      </c>
      <c r="G6319" s="3">
        <f t="shared" si="746"/>
        <v>-9803.8796000000002</v>
      </c>
      <c r="H6319" s="3">
        <f t="shared" si="747"/>
        <v>9803.8796000000002</v>
      </c>
      <c r="I6319" s="5" t="str">
        <f t="shared" si="748"/>
        <v>018</v>
      </c>
      <c r="J6319" s="5" t="str">
        <f t="shared" si="749"/>
        <v>2100</v>
      </c>
      <c r="K6319" s="5" t="str">
        <f t="shared" si="750"/>
        <v>000</v>
      </c>
      <c r="L6319" s="5">
        <f t="shared" si="751"/>
        <v>4</v>
      </c>
      <c r="M6319" s="5">
        <f t="shared" si="752"/>
        <v>2013</v>
      </c>
    </row>
    <row r="6320" spans="1:13" ht="15" x14ac:dyDescent="0.25">
      <c r="A6320" s="1">
        <f>DATE(2013,4,12)</f>
        <v>41376</v>
      </c>
      <c r="B6320" t="s">
        <v>20</v>
      </c>
      <c r="C6320" t="s">
        <v>8</v>
      </c>
      <c r="D6320" s="3">
        <v>3865.1592000000005</v>
      </c>
      <c r="E6320" s="3">
        <v>0</v>
      </c>
      <c r="F6320" t="s">
        <v>45</v>
      </c>
      <c r="G6320" s="3">
        <f t="shared" si="746"/>
        <v>-3865.1592000000005</v>
      </c>
      <c r="H6320" s="3">
        <f t="shared" si="747"/>
        <v>3865.1592000000005</v>
      </c>
      <c r="I6320" s="5" t="str">
        <f t="shared" si="748"/>
        <v>018</v>
      </c>
      <c r="J6320" s="5" t="str">
        <f t="shared" si="749"/>
        <v>2210</v>
      </c>
      <c r="K6320" s="5" t="str">
        <f t="shared" si="750"/>
        <v>000</v>
      </c>
      <c r="L6320" s="5">
        <f t="shared" si="751"/>
        <v>4</v>
      </c>
      <c r="M6320" s="5">
        <f t="shared" si="752"/>
        <v>2013</v>
      </c>
    </row>
    <row r="6321" spans="1:13" ht="15" x14ac:dyDescent="0.25">
      <c r="A6321" s="1">
        <f>DATE(2013,4,12)</f>
        <v>41376</v>
      </c>
      <c r="B6321" t="s">
        <v>21</v>
      </c>
      <c r="C6321" t="s">
        <v>9</v>
      </c>
      <c r="D6321" s="3">
        <v>722.46240000000012</v>
      </c>
      <c r="E6321" s="3">
        <v>0</v>
      </c>
      <c r="F6321" t="s">
        <v>45</v>
      </c>
      <c r="G6321" s="3">
        <f t="shared" si="746"/>
        <v>-722.46240000000012</v>
      </c>
      <c r="H6321" s="3">
        <f t="shared" si="747"/>
        <v>722.46240000000012</v>
      </c>
      <c r="I6321" s="5" t="str">
        <f t="shared" si="748"/>
        <v>018</v>
      </c>
      <c r="J6321" s="5" t="str">
        <f t="shared" si="749"/>
        <v>2220</v>
      </c>
      <c r="K6321" s="5" t="str">
        <f t="shared" si="750"/>
        <v>000</v>
      </c>
      <c r="L6321" s="5">
        <f t="shared" si="751"/>
        <v>4</v>
      </c>
      <c r="M6321" s="5">
        <f t="shared" si="752"/>
        <v>2013</v>
      </c>
    </row>
    <row r="6322" spans="1:13" ht="15" x14ac:dyDescent="0.25">
      <c r="A6322" s="1">
        <f>DATE(2013,4,12)</f>
        <v>41376</v>
      </c>
      <c r="B6322" t="s">
        <v>22</v>
      </c>
      <c r="C6322" t="s">
        <v>10</v>
      </c>
      <c r="D6322" s="3">
        <v>177.6652</v>
      </c>
      <c r="E6322" s="3">
        <v>0</v>
      </c>
      <c r="F6322" t="s">
        <v>45</v>
      </c>
      <c r="G6322" s="3">
        <f t="shared" si="746"/>
        <v>-177.6652</v>
      </c>
      <c r="H6322" s="3">
        <f t="shared" si="747"/>
        <v>177.6652</v>
      </c>
      <c r="I6322" s="5" t="str">
        <f t="shared" si="748"/>
        <v>018</v>
      </c>
      <c r="J6322" s="5" t="str">
        <f t="shared" si="749"/>
        <v>2230</v>
      </c>
      <c r="K6322" s="5" t="str">
        <f t="shared" si="750"/>
        <v>000</v>
      </c>
      <c r="L6322" s="5">
        <f t="shared" si="751"/>
        <v>4</v>
      </c>
      <c r="M6322" s="5">
        <f t="shared" si="752"/>
        <v>2013</v>
      </c>
    </row>
    <row r="6323" spans="1:13" ht="15" x14ac:dyDescent="0.25">
      <c r="A6323" s="1">
        <f>DATE(2013,4,13)</f>
        <v>41377</v>
      </c>
      <c r="B6323" t="s">
        <v>19</v>
      </c>
      <c r="C6323" t="s">
        <v>6</v>
      </c>
      <c r="D6323" s="3">
        <v>20734.861499999999</v>
      </c>
      <c r="E6323" s="3">
        <v>0</v>
      </c>
      <c r="F6323" t="s">
        <v>45</v>
      </c>
      <c r="G6323" s="3">
        <f t="shared" si="746"/>
        <v>-20734.861499999999</v>
      </c>
      <c r="H6323" s="3">
        <f t="shared" si="747"/>
        <v>20734.861499999999</v>
      </c>
      <c r="I6323" s="5" t="str">
        <f t="shared" si="748"/>
        <v>018</v>
      </c>
      <c r="J6323" s="5" t="str">
        <f t="shared" si="749"/>
        <v>2100</v>
      </c>
      <c r="K6323" s="5" t="str">
        <f t="shared" si="750"/>
        <v>000</v>
      </c>
      <c r="L6323" s="5">
        <f t="shared" si="751"/>
        <v>4</v>
      </c>
      <c r="M6323" s="5">
        <f t="shared" si="752"/>
        <v>2013</v>
      </c>
    </row>
    <row r="6324" spans="1:13" ht="15" x14ac:dyDescent="0.25">
      <c r="A6324" s="1">
        <f>DATE(2013,4,13)</f>
        <v>41377</v>
      </c>
      <c r="B6324" t="s">
        <v>20</v>
      </c>
      <c r="C6324" t="s">
        <v>8</v>
      </c>
      <c r="D6324" s="3">
        <v>3388.8817999999997</v>
      </c>
      <c r="E6324" s="3">
        <v>0</v>
      </c>
      <c r="F6324" t="s">
        <v>45</v>
      </c>
      <c r="G6324" s="3">
        <f t="shared" si="746"/>
        <v>-3388.8817999999997</v>
      </c>
      <c r="H6324" s="3">
        <f t="shared" si="747"/>
        <v>3388.8817999999997</v>
      </c>
      <c r="I6324" s="5" t="str">
        <f t="shared" si="748"/>
        <v>018</v>
      </c>
      <c r="J6324" s="5" t="str">
        <f t="shared" si="749"/>
        <v>2210</v>
      </c>
      <c r="K6324" s="5" t="str">
        <f t="shared" si="750"/>
        <v>000</v>
      </c>
      <c r="L6324" s="5">
        <f t="shared" si="751"/>
        <v>4</v>
      </c>
      <c r="M6324" s="5">
        <f t="shared" si="752"/>
        <v>2013</v>
      </c>
    </row>
    <row r="6325" spans="1:13" ht="15" x14ac:dyDescent="0.25">
      <c r="A6325" s="1">
        <f>DATE(2013,4,13)</f>
        <v>41377</v>
      </c>
      <c r="B6325" t="s">
        <v>21</v>
      </c>
      <c r="C6325" t="s">
        <v>9</v>
      </c>
      <c r="D6325" s="3">
        <v>941.01600000000008</v>
      </c>
      <c r="E6325" s="3">
        <v>0</v>
      </c>
      <c r="F6325" t="s">
        <v>45</v>
      </c>
      <c r="G6325" s="3">
        <f t="shared" si="746"/>
        <v>-941.01600000000008</v>
      </c>
      <c r="H6325" s="3">
        <f t="shared" si="747"/>
        <v>941.01600000000008</v>
      </c>
      <c r="I6325" s="5" t="str">
        <f t="shared" si="748"/>
        <v>018</v>
      </c>
      <c r="J6325" s="5" t="str">
        <f t="shared" si="749"/>
        <v>2220</v>
      </c>
      <c r="K6325" s="5" t="str">
        <f t="shared" si="750"/>
        <v>000</v>
      </c>
      <c r="L6325" s="5">
        <f t="shared" si="751"/>
        <v>4</v>
      </c>
      <c r="M6325" s="5">
        <f t="shared" si="752"/>
        <v>2013</v>
      </c>
    </row>
    <row r="6326" spans="1:13" ht="15" x14ac:dyDescent="0.25">
      <c r="A6326" s="1">
        <f>DATE(2013,4,13)</f>
        <v>41377</v>
      </c>
      <c r="B6326" t="s">
        <v>22</v>
      </c>
      <c r="C6326" t="s">
        <v>10</v>
      </c>
      <c r="D6326" s="3">
        <v>120.60400000000001</v>
      </c>
      <c r="E6326" s="3">
        <v>0</v>
      </c>
      <c r="F6326" t="s">
        <v>45</v>
      </c>
      <c r="G6326" s="3">
        <f t="shared" si="746"/>
        <v>-120.60400000000001</v>
      </c>
      <c r="H6326" s="3">
        <f t="shared" si="747"/>
        <v>120.60400000000001</v>
      </c>
      <c r="I6326" s="5" t="str">
        <f t="shared" si="748"/>
        <v>018</v>
      </c>
      <c r="J6326" s="5" t="str">
        <f t="shared" si="749"/>
        <v>2230</v>
      </c>
      <c r="K6326" s="5" t="str">
        <f t="shared" si="750"/>
        <v>000</v>
      </c>
      <c r="L6326" s="5">
        <f t="shared" si="751"/>
        <v>4</v>
      </c>
      <c r="M6326" s="5">
        <f t="shared" si="752"/>
        <v>2013</v>
      </c>
    </row>
    <row r="6327" spans="1:13" ht="15" x14ac:dyDescent="0.25">
      <c r="A6327" s="1">
        <f>DATE(2013,4,14)</f>
        <v>41378</v>
      </c>
      <c r="B6327" t="s">
        <v>19</v>
      </c>
      <c r="C6327" t="s">
        <v>6</v>
      </c>
      <c r="D6327" s="3">
        <v>9498.3119999999999</v>
      </c>
      <c r="E6327" s="3">
        <v>0</v>
      </c>
      <c r="F6327" t="s">
        <v>45</v>
      </c>
      <c r="G6327" s="3">
        <f t="shared" si="746"/>
        <v>-9498.3119999999999</v>
      </c>
      <c r="H6327" s="3">
        <f t="shared" si="747"/>
        <v>9498.3119999999999</v>
      </c>
      <c r="I6327" s="5" t="str">
        <f t="shared" si="748"/>
        <v>018</v>
      </c>
      <c r="J6327" s="5" t="str">
        <f t="shared" si="749"/>
        <v>2100</v>
      </c>
      <c r="K6327" s="5" t="str">
        <f t="shared" si="750"/>
        <v>000</v>
      </c>
      <c r="L6327" s="5">
        <f t="shared" si="751"/>
        <v>4</v>
      </c>
      <c r="M6327" s="5">
        <f t="shared" si="752"/>
        <v>2013</v>
      </c>
    </row>
    <row r="6328" spans="1:13" ht="15" x14ac:dyDescent="0.25">
      <c r="A6328" s="1">
        <f>DATE(2013,4,14)</f>
        <v>41378</v>
      </c>
      <c r="B6328" t="s">
        <v>20</v>
      </c>
      <c r="C6328" t="s">
        <v>8</v>
      </c>
      <c r="D6328" s="3">
        <v>2140.0886</v>
      </c>
      <c r="E6328" s="3">
        <v>0</v>
      </c>
      <c r="F6328" t="s">
        <v>45</v>
      </c>
      <c r="G6328" s="3">
        <f t="shared" si="746"/>
        <v>-2140.0886</v>
      </c>
      <c r="H6328" s="3">
        <f t="shared" si="747"/>
        <v>2140.0886</v>
      </c>
      <c r="I6328" s="5" t="str">
        <f t="shared" si="748"/>
        <v>018</v>
      </c>
      <c r="J6328" s="5" t="str">
        <f t="shared" si="749"/>
        <v>2210</v>
      </c>
      <c r="K6328" s="5" t="str">
        <f t="shared" si="750"/>
        <v>000</v>
      </c>
      <c r="L6328" s="5">
        <f t="shared" si="751"/>
        <v>4</v>
      </c>
      <c r="M6328" s="5">
        <f t="shared" si="752"/>
        <v>2013</v>
      </c>
    </row>
    <row r="6329" spans="1:13" ht="15" x14ac:dyDescent="0.25">
      <c r="A6329" s="1">
        <f>DATE(2013,4,14)</f>
        <v>41378</v>
      </c>
      <c r="B6329" t="s">
        <v>21</v>
      </c>
      <c r="C6329" t="s">
        <v>9</v>
      </c>
      <c r="D6329" s="3">
        <v>319.33960000000002</v>
      </c>
      <c r="E6329" s="3">
        <v>0</v>
      </c>
      <c r="F6329" t="s">
        <v>45</v>
      </c>
      <c r="G6329" s="3">
        <f t="shared" si="746"/>
        <v>-319.33960000000002</v>
      </c>
      <c r="H6329" s="3">
        <f t="shared" si="747"/>
        <v>319.33960000000002</v>
      </c>
      <c r="I6329" s="5" t="str">
        <f t="shared" si="748"/>
        <v>018</v>
      </c>
      <c r="J6329" s="5" t="str">
        <f t="shared" si="749"/>
        <v>2220</v>
      </c>
      <c r="K6329" s="5" t="str">
        <f t="shared" si="750"/>
        <v>000</v>
      </c>
      <c r="L6329" s="5">
        <f t="shared" si="751"/>
        <v>4</v>
      </c>
      <c r="M6329" s="5">
        <f t="shared" si="752"/>
        <v>2013</v>
      </c>
    </row>
    <row r="6330" spans="1:13" ht="15" x14ac:dyDescent="0.25">
      <c r="A6330" s="1">
        <f>DATE(2013,4,14)</f>
        <v>41378</v>
      </c>
      <c r="B6330" t="s">
        <v>22</v>
      </c>
      <c r="C6330" t="s">
        <v>10</v>
      </c>
      <c r="D6330" s="3">
        <v>134.51939999999999</v>
      </c>
      <c r="E6330" s="3">
        <v>0</v>
      </c>
      <c r="F6330" t="s">
        <v>45</v>
      </c>
      <c r="G6330" s="3">
        <f t="shared" si="746"/>
        <v>-134.51939999999999</v>
      </c>
      <c r="H6330" s="3">
        <f t="shared" si="747"/>
        <v>134.51939999999999</v>
      </c>
      <c r="I6330" s="5" t="str">
        <f t="shared" si="748"/>
        <v>018</v>
      </c>
      <c r="J6330" s="5" t="str">
        <f t="shared" si="749"/>
        <v>2230</v>
      </c>
      <c r="K6330" s="5" t="str">
        <f t="shared" si="750"/>
        <v>000</v>
      </c>
      <c r="L6330" s="5">
        <f t="shared" si="751"/>
        <v>4</v>
      </c>
      <c r="M6330" s="5">
        <f t="shared" si="752"/>
        <v>2013</v>
      </c>
    </row>
    <row r="6331" spans="1:13" ht="15" x14ac:dyDescent="0.25">
      <c r="A6331" s="1">
        <f>DATE(2013,4,15)</f>
        <v>41379</v>
      </c>
      <c r="B6331" t="s">
        <v>11</v>
      </c>
      <c r="C6331" t="s">
        <v>6</v>
      </c>
      <c r="D6331" s="3">
        <v>2547.0936000000002</v>
      </c>
      <c r="E6331" s="3">
        <v>0</v>
      </c>
      <c r="F6331" t="s">
        <v>45</v>
      </c>
      <c r="G6331" s="3">
        <f t="shared" si="746"/>
        <v>-2547.0936000000002</v>
      </c>
      <c r="H6331" s="3">
        <f t="shared" si="747"/>
        <v>2547.0936000000002</v>
      </c>
      <c r="I6331" s="5" t="str">
        <f t="shared" si="748"/>
        <v>016</v>
      </c>
      <c r="J6331" s="5" t="str">
        <f t="shared" si="749"/>
        <v>2100</v>
      </c>
      <c r="K6331" s="5" t="str">
        <f t="shared" si="750"/>
        <v>000</v>
      </c>
      <c r="L6331" s="5">
        <f t="shared" si="751"/>
        <v>4</v>
      </c>
      <c r="M6331" s="5">
        <f t="shared" si="752"/>
        <v>2013</v>
      </c>
    </row>
    <row r="6332" spans="1:13" ht="15" x14ac:dyDescent="0.25">
      <c r="A6332" s="1">
        <f>DATE(2013,4,15)</f>
        <v>41379</v>
      </c>
      <c r="B6332" t="s">
        <v>12</v>
      </c>
      <c r="C6332" t="s">
        <v>8</v>
      </c>
      <c r="D6332" s="3">
        <v>600.77710000000002</v>
      </c>
      <c r="E6332" s="3">
        <v>0</v>
      </c>
      <c r="F6332" t="s">
        <v>45</v>
      </c>
      <c r="G6332" s="3">
        <f t="shared" si="746"/>
        <v>-600.77710000000002</v>
      </c>
      <c r="H6332" s="3">
        <f t="shared" si="747"/>
        <v>600.77710000000002</v>
      </c>
      <c r="I6332" s="5" t="str">
        <f t="shared" si="748"/>
        <v>016</v>
      </c>
      <c r="J6332" s="5" t="str">
        <f t="shared" si="749"/>
        <v>2210</v>
      </c>
      <c r="K6332" s="5" t="str">
        <f t="shared" si="750"/>
        <v>000</v>
      </c>
      <c r="L6332" s="5">
        <f t="shared" si="751"/>
        <v>4</v>
      </c>
      <c r="M6332" s="5">
        <f t="shared" si="752"/>
        <v>2013</v>
      </c>
    </row>
    <row r="6333" spans="1:13" ht="15" x14ac:dyDescent="0.25">
      <c r="A6333" s="1">
        <f>DATE(2013,4,15)</f>
        <v>41379</v>
      </c>
      <c r="B6333" t="s">
        <v>13</v>
      </c>
      <c r="C6333" t="s">
        <v>9</v>
      </c>
      <c r="D6333" s="3">
        <v>143.1585</v>
      </c>
      <c r="E6333" s="3">
        <v>0</v>
      </c>
      <c r="F6333" t="s">
        <v>45</v>
      </c>
      <c r="G6333" s="3">
        <f t="shared" si="746"/>
        <v>-143.1585</v>
      </c>
      <c r="H6333" s="3">
        <f t="shared" si="747"/>
        <v>143.1585</v>
      </c>
      <c r="I6333" s="5" t="str">
        <f t="shared" si="748"/>
        <v>016</v>
      </c>
      <c r="J6333" s="5" t="str">
        <f t="shared" si="749"/>
        <v>2220</v>
      </c>
      <c r="K6333" s="5" t="str">
        <f t="shared" si="750"/>
        <v>000</v>
      </c>
      <c r="L6333" s="5">
        <f t="shared" si="751"/>
        <v>4</v>
      </c>
      <c r="M6333" s="5">
        <f t="shared" si="752"/>
        <v>2013</v>
      </c>
    </row>
    <row r="6334" spans="1:13" ht="15" x14ac:dyDescent="0.25">
      <c r="A6334" s="1">
        <f>DATE(2013,4,15)</f>
        <v>41379</v>
      </c>
      <c r="B6334" t="s">
        <v>14</v>
      </c>
      <c r="C6334" t="s">
        <v>10</v>
      </c>
      <c r="D6334" s="3">
        <v>18.304300000000001</v>
      </c>
      <c r="E6334" s="3">
        <v>0</v>
      </c>
      <c r="F6334" t="s">
        <v>45</v>
      </c>
      <c r="G6334" s="3">
        <f t="shared" si="746"/>
        <v>-18.304300000000001</v>
      </c>
      <c r="H6334" s="3">
        <f t="shared" si="747"/>
        <v>18.304300000000001</v>
      </c>
      <c r="I6334" s="5" t="str">
        <f t="shared" si="748"/>
        <v>016</v>
      </c>
      <c r="J6334" s="5" t="str">
        <f t="shared" si="749"/>
        <v>2230</v>
      </c>
      <c r="K6334" s="5" t="str">
        <f t="shared" si="750"/>
        <v>000</v>
      </c>
      <c r="L6334" s="5">
        <f t="shared" si="751"/>
        <v>4</v>
      </c>
      <c r="M6334" s="5">
        <f t="shared" si="752"/>
        <v>2013</v>
      </c>
    </row>
    <row r="6335" spans="1:13" ht="15" x14ac:dyDescent="0.25">
      <c r="A6335" s="1">
        <f>DATE(2013,4,16)</f>
        <v>41380</v>
      </c>
      <c r="B6335" t="s">
        <v>11</v>
      </c>
      <c r="C6335" t="s">
        <v>6</v>
      </c>
      <c r="D6335" s="3">
        <v>6119.6668000000009</v>
      </c>
      <c r="E6335" s="3">
        <v>0</v>
      </c>
      <c r="F6335" t="s">
        <v>45</v>
      </c>
      <c r="G6335" s="3">
        <f t="shared" si="746"/>
        <v>-6119.6668000000009</v>
      </c>
      <c r="H6335" s="3">
        <f t="shared" si="747"/>
        <v>6119.6668000000009</v>
      </c>
      <c r="I6335" s="5" t="str">
        <f t="shared" si="748"/>
        <v>016</v>
      </c>
      <c r="J6335" s="5" t="str">
        <f t="shared" si="749"/>
        <v>2100</v>
      </c>
      <c r="K6335" s="5" t="str">
        <f t="shared" si="750"/>
        <v>000</v>
      </c>
      <c r="L6335" s="5">
        <f t="shared" si="751"/>
        <v>4</v>
      </c>
      <c r="M6335" s="5">
        <f t="shared" si="752"/>
        <v>2013</v>
      </c>
    </row>
    <row r="6336" spans="1:13" ht="15" x14ac:dyDescent="0.25">
      <c r="A6336" s="1">
        <f>DATE(2013,4,16)</f>
        <v>41380</v>
      </c>
      <c r="B6336" t="s">
        <v>12</v>
      </c>
      <c r="C6336" t="s">
        <v>8</v>
      </c>
      <c r="D6336" s="3">
        <v>2113.2403000000004</v>
      </c>
      <c r="E6336" s="3">
        <v>0</v>
      </c>
      <c r="F6336" t="s">
        <v>45</v>
      </c>
      <c r="G6336" s="3">
        <f t="shared" si="746"/>
        <v>-2113.2403000000004</v>
      </c>
      <c r="H6336" s="3">
        <f t="shared" si="747"/>
        <v>2113.2403000000004</v>
      </c>
      <c r="I6336" s="5" t="str">
        <f t="shared" si="748"/>
        <v>016</v>
      </c>
      <c r="J6336" s="5" t="str">
        <f t="shared" si="749"/>
        <v>2210</v>
      </c>
      <c r="K6336" s="5" t="str">
        <f t="shared" si="750"/>
        <v>000</v>
      </c>
      <c r="L6336" s="5">
        <f t="shared" si="751"/>
        <v>4</v>
      </c>
      <c r="M6336" s="5">
        <f t="shared" si="752"/>
        <v>2013</v>
      </c>
    </row>
    <row r="6337" spans="1:13" ht="15" x14ac:dyDescent="0.25">
      <c r="A6337" s="1">
        <f>DATE(2013,4,16)</f>
        <v>41380</v>
      </c>
      <c r="B6337" t="s">
        <v>13</v>
      </c>
      <c r="C6337" t="s">
        <v>9</v>
      </c>
      <c r="D6337" s="3">
        <v>923.1339999999999</v>
      </c>
      <c r="E6337" s="3">
        <v>0</v>
      </c>
      <c r="F6337" t="s">
        <v>45</v>
      </c>
      <c r="G6337" s="3">
        <f t="shared" si="746"/>
        <v>-923.1339999999999</v>
      </c>
      <c r="H6337" s="3">
        <f t="shared" si="747"/>
        <v>923.1339999999999</v>
      </c>
      <c r="I6337" s="5" t="str">
        <f t="shared" si="748"/>
        <v>016</v>
      </c>
      <c r="J6337" s="5" t="str">
        <f t="shared" si="749"/>
        <v>2220</v>
      </c>
      <c r="K6337" s="5" t="str">
        <f t="shared" si="750"/>
        <v>000</v>
      </c>
      <c r="L6337" s="5">
        <f t="shared" si="751"/>
        <v>4</v>
      </c>
      <c r="M6337" s="5">
        <f t="shared" si="752"/>
        <v>2013</v>
      </c>
    </row>
    <row r="6338" spans="1:13" ht="15" x14ac:dyDescent="0.25">
      <c r="A6338" s="1">
        <f>DATE(2013,4,16)</f>
        <v>41380</v>
      </c>
      <c r="B6338" t="s">
        <v>14</v>
      </c>
      <c r="C6338" t="s">
        <v>10</v>
      </c>
      <c r="D6338" s="3">
        <v>105.78399999999999</v>
      </c>
      <c r="E6338" s="3">
        <v>0</v>
      </c>
      <c r="F6338" t="s">
        <v>45</v>
      </c>
      <c r="G6338" s="3">
        <f t="shared" ref="G6338:G6401" si="754">E6338-D6338</f>
        <v>-105.78399999999999</v>
      </c>
      <c r="H6338" s="3">
        <f t="shared" ref="H6338:H6401" si="755">ABS(G6338)</f>
        <v>105.78399999999999</v>
      </c>
      <c r="I6338" s="5" t="str">
        <f t="shared" ref="I6338:I6401" si="756">MID(B6338,1,3)</f>
        <v>016</v>
      </c>
      <c r="J6338" s="5" t="str">
        <f t="shared" ref="J6338:J6401" si="757">MID(B6338,5,4)</f>
        <v>2230</v>
      </c>
      <c r="K6338" s="5" t="str">
        <f t="shared" ref="K6338:K6401" si="758">MID(B6338,10,3)</f>
        <v>000</v>
      </c>
      <c r="L6338" s="5">
        <f t="shared" ref="L6338:L6401" si="759">MONTH(A6338)</f>
        <v>4</v>
      </c>
      <c r="M6338" s="5">
        <f t="shared" ref="M6338:M6401" si="760">YEAR(A6338)</f>
        <v>2013</v>
      </c>
    </row>
    <row r="6339" spans="1:13" ht="15" x14ac:dyDescent="0.25">
      <c r="A6339" s="1">
        <f t="shared" ref="A6339:A6342" si="761">DATE(2013,4,17)</f>
        <v>41381</v>
      </c>
      <c r="B6339" t="s">
        <v>11</v>
      </c>
      <c r="C6339" t="s">
        <v>6</v>
      </c>
      <c r="D6339" s="3">
        <v>3290.7420000000002</v>
      </c>
      <c r="E6339" s="3">
        <v>0</v>
      </c>
      <c r="F6339" t="s">
        <v>45</v>
      </c>
      <c r="G6339" s="3">
        <f t="shared" si="754"/>
        <v>-3290.7420000000002</v>
      </c>
      <c r="H6339" s="3">
        <f t="shared" si="755"/>
        <v>3290.7420000000002</v>
      </c>
      <c r="I6339" s="5" t="str">
        <f t="shared" si="756"/>
        <v>016</v>
      </c>
      <c r="J6339" s="5" t="str">
        <f t="shared" si="757"/>
        <v>2100</v>
      </c>
      <c r="K6339" s="5" t="str">
        <f t="shared" si="758"/>
        <v>000</v>
      </c>
      <c r="L6339" s="5">
        <f t="shared" si="759"/>
        <v>4</v>
      </c>
      <c r="M6339" s="5">
        <f t="shared" si="760"/>
        <v>2013</v>
      </c>
    </row>
    <row r="6340" spans="1:13" ht="15" x14ac:dyDescent="0.25">
      <c r="A6340" s="1">
        <f t="shared" si="761"/>
        <v>41381</v>
      </c>
      <c r="B6340" t="s">
        <v>12</v>
      </c>
      <c r="C6340" t="s">
        <v>8</v>
      </c>
      <c r="D6340" s="3">
        <v>1260.2392</v>
      </c>
      <c r="E6340" s="3">
        <v>0</v>
      </c>
      <c r="F6340" t="s">
        <v>45</v>
      </c>
      <c r="G6340" s="3">
        <f t="shared" si="754"/>
        <v>-1260.2392</v>
      </c>
      <c r="H6340" s="3">
        <f t="shared" si="755"/>
        <v>1260.2392</v>
      </c>
      <c r="I6340" s="5" t="str">
        <f t="shared" si="756"/>
        <v>016</v>
      </c>
      <c r="J6340" s="5" t="str">
        <f t="shared" si="757"/>
        <v>2210</v>
      </c>
      <c r="K6340" s="5" t="str">
        <f t="shared" si="758"/>
        <v>000</v>
      </c>
      <c r="L6340" s="5">
        <f t="shared" si="759"/>
        <v>4</v>
      </c>
      <c r="M6340" s="5">
        <f t="shared" si="760"/>
        <v>2013</v>
      </c>
    </row>
    <row r="6341" spans="1:13" ht="15" x14ac:dyDescent="0.25">
      <c r="A6341" s="1">
        <f t="shared" si="761"/>
        <v>41381</v>
      </c>
      <c r="B6341" t="s">
        <v>13</v>
      </c>
      <c r="C6341" t="s">
        <v>9</v>
      </c>
      <c r="D6341" s="3">
        <v>134.84800000000001</v>
      </c>
      <c r="E6341" s="3">
        <v>0</v>
      </c>
      <c r="F6341" t="s">
        <v>45</v>
      </c>
      <c r="G6341" s="3">
        <f t="shared" si="754"/>
        <v>-134.84800000000001</v>
      </c>
      <c r="H6341" s="3">
        <f t="shared" si="755"/>
        <v>134.84800000000001</v>
      </c>
      <c r="I6341" s="5" t="str">
        <f t="shared" si="756"/>
        <v>016</v>
      </c>
      <c r="J6341" s="5" t="str">
        <f t="shared" si="757"/>
        <v>2220</v>
      </c>
      <c r="K6341" s="5" t="str">
        <f t="shared" si="758"/>
        <v>000</v>
      </c>
      <c r="L6341" s="5">
        <f t="shared" si="759"/>
        <v>4</v>
      </c>
      <c r="M6341" s="5">
        <f t="shared" si="760"/>
        <v>2013</v>
      </c>
    </row>
    <row r="6342" spans="1:13" ht="15" x14ac:dyDescent="0.25">
      <c r="A6342" s="1">
        <f t="shared" si="761"/>
        <v>41381</v>
      </c>
      <c r="B6342" t="s">
        <v>14</v>
      </c>
      <c r="C6342" t="s">
        <v>10</v>
      </c>
      <c r="D6342" s="3">
        <v>76.385400000000004</v>
      </c>
      <c r="E6342" s="3">
        <v>0</v>
      </c>
      <c r="F6342" t="s">
        <v>45</v>
      </c>
      <c r="G6342" s="3">
        <f t="shared" si="754"/>
        <v>-76.385400000000004</v>
      </c>
      <c r="H6342" s="3">
        <f t="shared" si="755"/>
        <v>76.385400000000004</v>
      </c>
      <c r="I6342" s="5" t="str">
        <f t="shared" si="756"/>
        <v>016</v>
      </c>
      <c r="J6342" s="5" t="str">
        <f t="shared" si="757"/>
        <v>2230</v>
      </c>
      <c r="K6342" s="5" t="str">
        <f t="shared" si="758"/>
        <v>000</v>
      </c>
      <c r="L6342" s="5">
        <f t="shared" si="759"/>
        <v>4</v>
      </c>
      <c r="M6342" s="5">
        <f t="shared" si="760"/>
        <v>2013</v>
      </c>
    </row>
    <row r="6343" spans="1:13" ht="15" x14ac:dyDescent="0.25">
      <c r="A6343" s="1">
        <f>DATE(2013,4,18)</f>
        <v>41382</v>
      </c>
      <c r="B6343" t="s">
        <v>11</v>
      </c>
      <c r="C6343" t="s">
        <v>6</v>
      </c>
      <c r="D6343" s="3">
        <v>3381.6992</v>
      </c>
      <c r="E6343" s="3">
        <v>0</v>
      </c>
      <c r="F6343" t="s">
        <v>45</v>
      </c>
      <c r="G6343" s="3">
        <f t="shared" si="754"/>
        <v>-3381.6992</v>
      </c>
      <c r="H6343" s="3">
        <f t="shared" si="755"/>
        <v>3381.6992</v>
      </c>
      <c r="I6343" s="5" t="str">
        <f t="shared" si="756"/>
        <v>016</v>
      </c>
      <c r="J6343" s="5" t="str">
        <f t="shared" si="757"/>
        <v>2100</v>
      </c>
      <c r="K6343" s="5" t="str">
        <f t="shared" si="758"/>
        <v>000</v>
      </c>
      <c r="L6343" s="5">
        <f t="shared" si="759"/>
        <v>4</v>
      </c>
      <c r="M6343" s="5">
        <f t="shared" si="760"/>
        <v>2013</v>
      </c>
    </row>
    <row r="6344" spans="1:13" ht="15" x14ac:dyDescent="0.25">
      <c r="A6344" s="1">
        <f>DATE(2013,4,18)</f>
        <v>41382</v>
      </c>
      <c r="B6344" t="s">
        <v>12</v>
      </c>
      <c r="C6344" t="s">
        <v>8</v>
      </c>
      <c r="D6344" s="3">
        <v>1004.01</v>
      </c>
      <c r="E6344" s="3">
        <v>0</v>
      </c>
      <c r="F6344" t="s">
        <v>45</v>
      </c>
      <c r="G6344" s="3">
        <f t="shared" si="754"/>
        <v>-1004.01</v>
      </c>
      <c r="H6344" s="3">
        <f t="shared" si="755"/>
        <v>1004.01</v>
      </c>
      <c r="I6344" s="5" t="str">
        <f t="shared" si="756"/>
        <v>016</v>
      </c>
      <c r="J6344" s="5" t="str">
        <f t="shared" si="757"/>
        <v>2210</v>
      </c>
      <c r="K6344" s="5" t="str">
        <f t="shared" si="758"/>
        <v>000</v>
      </c>
      <c r="L6344" s="5">
        <f t="shared" si="759"/>
        <v>4</v>
      </c>
      <c r="M6344" s="5">
        <f t="shared" si="760"/>
        <v>2013</v>
      </c>
    </row>
    <row r="6345" spans="1:13" ht="15" x14ac:dyDescent="0.25">
      <c r="A6345" s="1">
        <f>DATE(2013,4,18)</f>
        <v>41382</v>
      </c>
      <c r="B6345" t="s">
        <v>13</v>
      </c>
      <c r="C6345" t="s">
        <v>9</v>
      </c>
      <c r="D6345" s="3">
        <v>182.60850000000002</v>
      </c>
      <c r="E6345" s="3">
        <v>0</v>
      </c>
      <c r="F6345" t="s">
        <v>45</v>
      </c>
      <c r="G6345" s="3">
        <f t="shared" si="754"/>
        <v>-182.60850000000002</v>
      </c>
      <c r="H6345" s="3">
        <f t="shared" si="755"/>
        <v>182.60850000000002</v>
      </c>
      <c r="I6345" s="5" t="str">
        <f t="shared" si="756"/>
        <v>016</v>
      </c>
      <c r="J6345" s="5" t="str">
        <f t="shared" si="757"/>
        <v>2220</v>
      </c>
      <c r="K6345" s="5" t="str">
        <f t="shared" si="758"/>
        <v>000</v>
      </c>
      <c r="L6345" s="5">
        <f t="shared" si="759"/>
        <v>4</v>
      </c>
      <c r="M6345" s="5">
        <f t="shared" si="760"/>
        <v>2013</v>
      </c>
    </row>
    <row r="6346" spans="1:13" ht="15" x14ac:dyDescent="0.25">
      <c r="A6346" s="1">
        <f>DATE(2013,4,18)</f>
        <v>41382</v>
      </c>
      <c r="B6346" t="s">
        <v>14</v>
      </c>
      <c r="C6346" t="s">
        <v>10</v>
      </c>
      <c r="D6346" s="3">
        <v>33.267199999999995</v>
      </c>
      <c r="E6346" s="3">
        <v>0</v>
      </c>
      <c r="F6346" t="s">
        <v>45</v>
      </c>
      <c r="G6346" s="3">
        <f t="shared" si="754"/>
        <v>-33.267199999999995</v>
      </c>
      <c r="H6346" s="3">
        <f t="shared" si="755"/>
        <v>33.267199999999995</v>
      </c>
      <c r="I6346" s="5" t="str">
        <f t="shared" si="756"/>
        <v>016</v>
      </c>
      <c r="J6346" s="5" t="str">
        <f t="shared" si="757"/>
        <v>2230</v>
      </c>
      <c r="K6346" s="5" t="str">
        <f t="shared" si="758"/>
        <v>000</v>
      </c>
      <c r="L6346" s="5">
        <f t="shared" si="759"/>
        <v>4</v>
      </c>
      <c r="M6346" s="5">
        <f t="shared" si="760"/>
        <v>2013</v>
      </c>
    </row>
    <row r="6347" spans="1:13" ht="15" x14ac:dyDescent="0.25">
      <c r="A6347" s="1">
        <f>DATE(2013,4,19)</f>
        <v>41383</v>
      </c>
      <c r="B6347" t="s">
        <v>11</v>
      </c>
      <c r="C6347" t="s">
        <v>6</v>
      </c>
      <c r="D6347" s="3">
        <v>5537.0573999999997</v>
      </c>
      <c r="E6347" s="3">
        <v>0</v>
      </c>
      <c r="F6347" t="s">
        <v>45</v>
      </c>
      <c r="G6347" s="3">
        <f t="shared" si="754"/>
        <v>-5537.0573999999997</v>
      </c>
      <c r="H6347" s="3">
        <f t="shared" si="755"/>
        <v>5537.0573999999997</v>
      </c>
      <c r="I6347" s="5" t="str">
        <f t="shared" si="756"/>
        <v>016</v>
      </c>
      <c r="J6347" s="5" t="str">
        <f t="shared" si="757"/>
        <v>2100</v>
      </c>
      <c r="K6347" s="5" t="str">
        <f t="shared" si="758"/>
        <v>000</v>
      </c>
      <c r="L6347" s="5">
        <f t="shared" si="759"/>
        <v>4</v>
      </c>
      <c r="M6347" s="5">
        <f t="shared" si="760"/>
        <v>2013</v>
      </c>
    </row>
    <row r="6348" spans="1:13" ht="15" x14ac:dyDescent="0.25">
      <c r="A6348" s="1">
        <f>DATE(2013,4,19)</f>
        <v>41383</v>
      </c>
      <c r="B6348" t="s">
        <v>12</v>
      </c>
      <c r="C6348" t="s">
        <v>8</v>
      </c>
      <c r="D6348" s="3">
        <v>2306.7352000000001</v>
      </c>
      <c r="E6348" s="3">
        <v>0</v>
      </c>
      <c r="F6348" t="s">
        <v>45</v>
      </c>
      <c r="G6348" s="3">
        <f t="shared" si="754"/>
        <v>-2306.7352000000001</v>
      </c>
      <c r="H6348" s="3">
        <f t="shared" si="755"/>
        <v>2306.7352000000001</v>
      </c>
      <c r="I6348" s="5" t="str">
        <f t="shared" si="756"/>
        <v>016</v>
      </c>
      <c r="J6348" s="5" t="str">
        <f t="shared" si="757"/>
        <v>2210</v>
      </c>
      <c r="K6348" s="5" t="str">
        <f t="shared" si="758"/>
        <v>000</v>
      </c>
      <c r="L6348" s="5">
        <f t="shared" si="759"/>
        <v>4</v>
      </c>
      <c r="M6348" s="5">
        <f t="shared" si="760"/>
        <v>2013</v>
      </c>
    </row>
    <row r="6349" spans="1:13" ht="15" x14ac:dyDescent="0.25">
      <c r="A6349" s="1">
        <f>DATE(2013,4,19)</f>
        <v>41383</v>
      </c>
      <c r="B6349" t="s">
        <v>13</v>
      </c>
      <c r="C6349" t="s">
        <v>9</v>
      </c>
      <c r="D6349" s="3">
        <v>481.02649999999994</v>
      </c>
      <c r="E6349" s="3">
        <v>0</v>
      </c>
      <c r="F6349" t="s">
        <v>45</v>
      </c>
      <c r="G6349" s="3">
        <f t="shared" si="754"/>
        <v>-481.02649999999994</v>
      </c>
      <c r="H6349" s="3">
        <f t="shared" si="755"/>
        <v>481.02649999999994</v>
      </c>
      <c r="I6349" s="5" t="str">
        <f t="shared" si="756"/>
        <v>016</v>
      </c>
      <c r="J6349" s="5" t="str">
        <f t="shared" si="757"/>
        <v>2220</v>
      </c>
      <c r="K6349" s="5" t="str">
        <f t="shared" si="758"/>
        <v>000</v>
      </c>
      <c r="L6349" s="5">
        <f t="shared" si="759"/>
        <v>4</v>
      </c>
      <c r="M6349" s="5">
        <f t="shared" si="760"/>
        <v>2013</v>
      </c>
    </row>
    <row r="6350" spans="1:13" ht="15" x14ac:dyDescent="0.25">
      <c r="A6350" s="1">
        <f>DATE(2013,4,19)</f>
        <v>41383</v>
      </c>
      <c r="B6350" t="s">
        <v>14</v>
      </c>
      <c r="C6350" t="s">
        <v>10</v>
      </c>
      <c r="D6350" s="3">
        <v>111.711</v>
      </c>
      <c r="E6350" s="3">
        <v>0</v>
      </c>
      <c r="F6350" t="s">
        <v>45</v>
      </c>
      <c r="G6350" s="3">
        <f t="shared" si="754"/>
        <v>-111.711</v>
      </c>
      <c r="H6350" s="3">
        <f t="shared" si="755"/>
        <v>111.711</v>
      </c>
      <c r="I6350" s="5" t="str">
        <f t="shared" si="756"/>
        <v>016</v>
      </c>
      <c r="J6350" s="5" t="str">
        <f t="shared" si="757"/>
        <v>2230</v>
      </c>
      <c r="K6350" s="5" t="str">
        <f t="shared" si="758"/>
        <v>000</v>
      </c>
      <c r="L6350" s="5">
        <f t="shared" si="759"/>
        <v>4</v>
      </c>
      <c r="M6350" s="5">
        <f t="shared" si="760"/>
        <v>2013</v>
      </c>
    </row>
    <row r="6351" spans="1:13" ht="15" x14ac:dyDescent="0.25">
      <c r="A6351" s="1">
        <f>DATE(2013,4,20)</f>
        <v>41384</v>
      </c>
      <c r="B6351" t="s">
        <v>11</v>
      </c>
      <c r="C6351" t="s">
        <v>6</v>
      </c>
      <c r="D6351" s="3">
        <v>6309.1979999999994</v>
      </c>
      <c r="E6351" s="3">
        <v>0</v>
      </c>
      <c r="F6351" t="s">
        <v>45</v>
      </c>
      <c r="G6351" s="3">
        <f t="shared" si="754"/>
        <v>-6309.1979999999994</v>
      </c>
      <c r="H6351" s="3">
        <f t="shared" si="755"/>
        <v>6309.1979999999994</v>
      </c>
      <c r="I6351" s="5" t="str">
        <f t="shared" si="756"/>
        <v>016</v>
      </c>
      <c r="J6351" s="5" t="str">
        <f t="shared" si="757"/>
        <v>2100</v>
      </c>
      <c r="K6351" s="5" t="str">
        <f t="shared" si="758"/>
        <v>000</v>
      </c>
      <c r="L6351" s="5">
        <f t="shared" si="759"/>
        <v>4</v>
      </c>
      <c r="M6351" s="5">
        <f t="shared" si="760"/>
        <v>2013</v>
      </c>
    </row>
    <row r="6352" spans="1:13" ht="15" x14ac:dyDescent="0.25">
      <c r="A6352" s="1">
        <f>DATE(2013,4,20)</f>
        <v>41384</v>
      </c>
      <c r="B6352" t="s">
        <v>12</v>
      </c>
      <c r="C6352" t="s">
        <v>8</v>
      </c>
      <c r="D6352" s="3">
        <v>1504.3210000000001</v>
      </c>
      <c r="E6352" s="3">
        <v>0</v>
      </c>
      <c r="F6352" t="s">
        <v>45</v>
      </c>
      <c r="G6352" s="3">
        <f t="shared" si="754"/>
        <v>-1504.3210000000001</v>
      </c>
      <c r="H6352" s="3">
        <f t="shared" si="755"/>
        <v>1504.3210000000001</v>
      </c>
      <c r="I6352" s="5" t="str">
        <f t="shared" si="756"/>
        <v>016</v>
      </c>
      <c r="J6352" s="5" t="str">
        <f t="shared" si="757"/>
        <v>2210</v>
      </c>
      <c r="K6352" s="5" t="str">
        <f t="shared" si="758"/>
        <v>000</v>
      </c>
      <c r="L6352" s="5">
        <f t="shared" si="759"/>
        <v>4</v>
      </c>
      <c r="M6352" s="5">
        <f t="shared" si="760"/>
        <v>2013</v>
      </c>
    </row>
    <row r="6353" spans="1:13" ht="15" x14ac:dyDescent="0.25">
      <c r="A6353" s="1">
        <f>DATE(2013,4,20)</f>
        <v>41384</v>
      </c>
      <c r="B6353" t="s">
        <v>13</v>
      </c>
      <c r="C6353" t="s">
        <v>9</v>
      </c>
      <c r="D6353" s="3">
        <v>274.13749999999999</v>
      </c>
      <c r="E6353" s="3">
        <v>0</v>
      </c>
      <c r="F6353" t="s">
        <v>45</v>
      </c>
      <c r="G6353" s="3">
        <f t="shared" si="754"/>
        <v>-274.13749999999999</v>
      </c>
      <c r="H6353" s="3">
        <f t="shared" si="755"/>
        <v>274.13749999999999</v>
      </c>
      <c r="I6353" s="5" t="str">
        <f t="shared" si="756"/>
        <v>016</v>
      </c>
      <c r="J6353" s="5" t="str">
        <f t="shared" si="757"/>
        <v>2220</v>
      </c>
      <c r="K6353" s="5" t="str">
        <f t="shared" si="758"/>
        <v>000</v>
      </c>
      <c r="L6353" s="5">
        <f t="shared" si="759"/>
        <v>4</v>
      </c>
      <c r="M6353" s="5">
        <f t="shared" si="760"/>
        <v>2013</v>
      </c>
    </row>
    <row r="6354" spans="1:13" ht="15" x14ac:dyDescent="0.25">
      <c r="A6354" s="1">
        <f>DATE(2013,4,20)</f>
        <v>41384</v>
      </c>
      <c r="B6354" t="s">
        <v>14</v>
      </c>
      <c r="C6354" t="s">
        <v>10</v>
      </c>
      <c r="D6354" s="3">
        <v>140.7338</v>
      </c>
      <c r="E6354" s="3">
        <v>0</v>
      </c>
      <c r="F6354" t="s">
        <v>45</v>
      </c>
      <c r="G6354" s="3">
        <f t="shared" si="754"/>
        <v>-140.7338</v>
      </c>
      <c r="H6354" s="3">
        <f t="shared" si="755"/>
        <v>140.7338</v>
      </c>
      <c r="I6354" s="5" t="str">
        <f t="shared" si="756"/>
        <v>016</v>
      </c>
      <c r="J6354" s="5" t="str">
        <f t="shared" si="757"/>
        <v>2230</v>
      </c>
      <c r="K6354" s="5" t="str">
        <f t="shared" si="758"/>
        <v>000</v>
      </c>
      <c r="L6354" s="5">
        <f t="shared" si="759"/>
        <v>4</v>
      </c>
      <c r="M6354" s="5">
        <f t="shared" si="760"/>
        <v>2013</v>
      </c>
    </row>
    <row r="6355" spans="1:13" ht="15" x14ac:dyDescent="0.25">
      <c r="A6355" s="1">
        <f>DATE(2013,4,21)</f>
        <v>41385</v>
      </c>
      <c r="B6355" t="s">
        <v>11</v>
      </c>
      <c r="C6355" t="s">
        <v>6</v>
      </c>
      <c r="D6355" s="3">
        <v>3607.2245000000003</v>
      </c>
      <c r="E6355" s="3">
        <v>0</v>
      </c>
      <c r="F6355" t="s">
        <v>45</v>
      </c>
      <c r="G6355" s="3">
        <f t="shared" si="754"/>
        <v>-3607.2245000000003</v>
      </c>
      <c r="H6355" s="3">
        <f t="shared" si="755"/>
        <v>3607.2245000000003</v>
      </c>
      <c r="I6355" s="5" t="str">
        <f t="shared" si="756"/>
        <v>016</v>
      </c>
      <c r="J6355" s="5" t="str">
        <f t="shared" si="757"/>
        <v>2100</v>
      </c>
      <c r="K6355" s="5" t="str">
        <f t="shared" si="758"/>
        <v>000</v>
      </c>
      <c r="L6355" s="5">
        <f t="shared" si="759"/>
        <v>4</v>
      </c>
      <c r="M6355" s="5">
        <f t="shared" si="760"/>
        <v>2013</v>
      </c>
    </row>
    <row r="6356" spans="1:13" ht="15" x14ac:dyDescent="0.25">
      <c r="A6356" s="1">
        <f>DATE(2013,4,21)</f>
        <v>41385</v>
      </c>
      <c r="B6356" t="s">
        <v>12</v>
      </c>
      <c r="C6356" t="s">
        <v>8</v>
      </c>
      <c r="D6356" s="3">
        <v>1527.0068000000001</v>
      </c>
      <c r="E6356" s="3">
        <v>0</v>
      </c>
      <c r="F6356" t="s">
        <v>45</v>
      </c>
      <c r="G6356" s="3">
        <f t="shared" si="754"/>
        <v>-1527.0068000000001</v>
      </c>
      <c r="H6356" s="3">
        <f t="shared" si="755"/>
        <v>1527.0068000000001</v>
      </c>
      <c r="I6356" s="5" t="str">
        <f t="shared" si="756"/>
        <v>016</v>
      </c>
      <c r="J6356" s="5" t="str">
        <f t="shared" si="757"/>
        <v>2210</v>
      </c>
      <c r="K6356" s="5" t="str">
        <f t="shared" si="758"/>
        <v>000</v>
      </c>
      <c r="L6356" s="5">
        <f t="shared" si="759"/>
        <v>4</v>
      </c>
      <c r="M6356" s="5">
        <f t="shared" si="760"/>
        <v>2013</v>
      </c>
    </row>
    <row r="6357" spans="1:13" ht="15" x14ac:dyDescent="0.25">
      <c r="A6357" s="1">
        <f>DATE(2013,4,21)</f>
        <v>41385</v>
      </c>
      <c r="B6357" t="s">
        <v>13</v>
      </c>
      <c r="C6357" t="s">
        <v>9</v>
      </c>
      <c r="D6357" s="3">
        <v>243.00000000000003</v>
      </c>
      <c r="E6357" s="3">
        <v>0</v>
      </c>
      <c r="F6357" t="s">
        <v>45</v>
      </c>
      <c r="G6357" s="3">
        <f t="shared" si="754"/>
        <v>-243.00000000000003</v>
      </c>
      <c r="H6357" s="3">
        <f t="shared" si="755"/>
        <v>243.00000000000003</v>
      </c>
      <c r="I6357" s="5" t="str">
        <f t="shared" si="756"/>
        <v>016</v>
      </c>
      <c r="J6357" s="5" t="str">
        <f t="shared" si="757"/>
        <v>2220</v>
      </c>
      <c r="K6357" s="5" t="str">
        <f t="shared" si="758"/>
        <v>000</v>
      </c>
      <c r="L6357" s="5">
        <f t="shared" si="759"/>
        <v>4</v>
      </c>
      <c r="M6357" s="5">
        <f t="shared" si="760"/>
        <v>2013</v>
      </c>
    </row>
    <row r="6358" spans="1:13" ht="15" x14ac:dyDescent="0.25">
      <c r="A6358" s="1">
        <f>DATE(2013,4,21)</f>
        <v>41385</v>
      </c>
      <c r="B6358" t="s">
        <v>14</v>
      </c>
      <c r="C6358" t="s">
        <v>10</v>
      </c>
      <c r="D6358" s="3">
        <v>101.0343</v>
      </c>
      <c r="E6358" s="3">
        <v>0</v>
      </c>
      <c r="F6358" t="s">
        <v>45</v>
      </c>
      <c r="G6358" s="3">
        <f t="shared" si="754"/>
        <v>-101.0343</v>
      </c>
      <c r="H6358" s="3">
        <f t="shared" si="755"/>
        <v>101.0343</v>
      </c>
      <c r="I6358" s="5" t="str">
        <f t="shared" si="756"/>
        <v>016</v>
      </c>
      <c r="J6358" s="5" t="str">
        <f t="shared" si="757"/>
        <v>2230</v>
      </c>
      <c r="K6358" s="5" t="str">
        <f t="shared" si="758"/>
        <v>000</v>
      </c>
      <c r="L6358" s="5">
        <f t="shared" si="759"/>
        <v>4</v>
      </c>
      <c r="M6358" s="5">
        <f t="shared" si="760"/>
        <v>2013</v>
      </c>
    </row>
    <row r="6359" spans="1:13" ht="15" x14ac:dyDescent="0.25">
      <c r="A6359" s="1">
        <f>DATE(2013,4,15)</f>
        <v>41379</v>
      </c>
      <c r="B6359" t="s">
        <v>15</v>
      </c>
      <c r="C6359" t="s">
        <v>6</v>
      </c>
      <c r="D6359" s="3">
        <v>5375.7528000000002</v>
      </c>
      <c r="E6359" s="3">
        <v>0</v>
      </c>
      <c r="F6359" t="s">
        <v>45</v>
      </c>
      <c r="G6359" s="3">
        <f t="shared" si="754"/>
        <v>-5375.7528000000002</v>
      </c>
      <c r="H6359" s="3">
        <f t="shared" si="755"/>
        <v>5375.7528000000002</v>
      </c>
      <c r="I6359" s="5" t="str">
        <f t="shared" si="756"/>
        <v>017</v>
      </c>
      <c r="J6359" s="5" t="str">
        <f t="shared" si="757"/>
        <v>2100</v>
      </c>
      <c r="K6359" s="5" t="str">
        <f t="shared" si="758"/>
        <v>000</v>
      </c>
      <c r="L6359" s="5">
        <f t="shared" si="759"/>
        <v>4</v>
      </c>
      <c r="M6359" s="5">
        <f t="shared" si="760"/>
        <v>2013</v>
      </c>
    </row>
    <row r="6360" spans="1:13" ht="15" x14ac:dyDescent="0.25">
      <c r="A6360" s="1">
        <f>DATE(2013,4,15)</f>
        <v>41379</v>
      </c>
      <c r="B6360" t="s">
        <v>16</v>
      </c>
      <c r="C6360" t="s">
        <v>8</v>
      </c>
      <c r="D6360" s="3">
        <v>1104.9168</v>
      </c>
      <c r="E6360" s="3">
        <v>0</v>
      </c>
      <c r="F6360" t="s">
        <v>45</v>
      </c>
      <c r="G6360" s="3">
        <f t="shared" si="754"/>
        <v>-1104.9168</v>
      </c>
      <c r="H6360" s="3">
        <f t="shared" si="755"/>
        <v>1104.9168</v>
      </c>
      <c r="I6360" s="5" t="str">
        <f t="shared" si="756"/>
        <v>017</v>
      </c>
      <c r="J6360" s="5" t="str">
        <f t="shared" si="757"/>
        <v>2210</v>
      </c>
      <c r="K6360" s="5" t="str">
        <f t="shared" si="758"/>
        <v>000</v>
      </c>
      <c r="L6360" s="5">
        <f t="shared" si="759"/>
        <v>4</v>
      </c>
      <c r="M6360" s="5">
        <f t="shared" si="760"/>
        <v>2013</v>
      </c>
    </row>
    <row r="6361" spans="1:13" ht="15" x14ac:dyDescent="0.25">
      <c r="A6361" s="1">
        <f>DATE(2013,4,15)</f>
        <v>41379</v>
      </c>
      <c r="B6361" t="s">
        <v>17</v>
      </c>
      <c r="C6361" t="s">
        <v>9</v>
      </c>
      <c r="D6361" s="3">
        <v>566.6626</v>
      </c>
      <c r="E6361" s="3">
        <v>0</v>
      </c>
      <c r="F6361" t="s">
        <v>45</v>
      </c>
      <c r="G6361" s="3">
        <f t="shared" si="754"/>
        <v>-566.6626</v>
      </c>
      <c r="H6361" s="3">
        <f t="shared" si="755"/>
        <v>566.6626</v>
      </c>
      <c r="I6361" s="5" t="str">
        <f t="shared" si="756"/>
        <v>017</v>
      </c>
      <c r="J6361" s="5" t="str">
        <f t="shared" si="757"/>
        <v>2220</v>
      </c>
      <c r="K6361" s="5" t="str">
        <f t="shared" si="758"/>
        <v>000</v>
      </c>
      <c r="L6361" s="5">
        <f t="shared" si="759"/>
        <v>4</v>
      </c>
      <c r="M6361" s="5">
        <f t="shared" si="760"/>
        <v>2013</v>
      </c>
    </row>
    <row r="6362" spans="1:13" ht="15" x14ac:dyDescent="0.25">
      <c r="A6362" s="1">
        <f>DATE(2013,4,15)</f>
        <v>41379</v>
      </c>
      <c r="B6362" t="s">
        <v>18</v>
      </c>
      <c r="C6362" t="s">
        <v>10</v>
      </c>
      <c r="D6362" s="3">
        <v>22.372</v>
      </c>
      <c r="E6362" s="3">
        <v>0</v>
      </c>
      <c r="F6362" t="s">
        <v>45</v>
      </c>
      <c r="G6362" s="3">
        <f t="shared" si="754"/>
        <v>-22.372</v>
      </c>
      <c r="H6362" s="3">
        <f t="shared" si="755"/>
        <v>22.372</v>
      </c>
      <c r="I6362" s="5" t="str">
        <f t="shared" si="756"/>
        <v>017</v>
      </c>
      <c r="J6362" s="5" t="str">
        <f t="shared" si="757"/>
        <v>2230</v>
      </c>
      <c r="K6362" s="5" t="str">
        <f t="shared" si="758"/>
        <v>000</v>
      </c>
      <c r="L6362" s="5">
        <f t="shared" si="759"/>
        <v>4</v>
      </c>
      <c r="M6362" s="5">
        <f t="shared" si="760"/>
        <v>2013</v>
      </c>
    </row>
    <row r="6363" spans="1:13" ht="15" x14ac:dyDescent="0.25">
      <c r="A6363" s="1">
        <f>DATE(2013,4,16)</f>
        <v>41380</v>
      </c>
      <c r="B6363" t="s">
        <v>15</v>
      </c>
      <c r="C6363" t="s">
        <v>6</v>
      </c>
      <c r="D6363" s="3">
        <v>7846.2358000000004</v>
      </c>
      <c r="E6363" s="3">
        <v>0</v>
      </c>
      <c r="F6363" t="s">
        <v>45</v>
      </c>
      <c r="G6363" s="3">
        <f t="shared" si="754"/>
        <v>-7846.2358000000004</v>
      </c>
      <c r="H6363" s="3">
        <f t="shared" si="755"/>
        <v>7846.2358000000004</v>
      </c>
      <c r="I6363" s="5" t="str">
        <f t="shared" si="756"/>
        <v>017</v>
      </c>
      <c r="J6363" s="5" t="str">
        <f t="shared" si="757"/>
        <v>2100</v>
      </c>
      <c r="K6363" s="5" t="str">
        <f t="shared" si="758"/>
        <v>000</v>
      </c>
      <c r="L6363" s="5">
        <f t="shared" si="759"/>
        <v>4</v>
      </c>
      <c r="M6363" s="5">
        <f t="shared" si="760"/>
        <v>2013</v>
      </c>
    </row>
    <row r="6364" spans="1:13" ht="15" x14ac:dyDescent="0.25">
      <c r="A6364" s="1">
        <f>DATE(2013,4,16)</f>
        <v>41380</v>
      </c>
      <c r="B6364" t="s">
        <v>16</v>
      </c>
      <c r="C6364" t="s">
        <v>8</v>
      </c>
      <c r="D6364" s="3">
        <v>1848.9032999999999</v>
      </c>
      <c r="E6364" s="3">
        <v>0</v>
      </c>
      <c r="F6364" t="s">
        <v>45</v>
      </c>
      <c r="G6364" s="3">
        <f t="shared" si="754"/>
        <v>-1848.9032999999999</v>
      </c>
      <c r="H6364" s="3">
        <f t="shared" si="755"/>
        <v>1848.9032999999999</v>
      </c>
      <c r="I6364" s="5" t="str">
        <f t="shared" si="756"/>
        <v>017</v>
      </c>
      <c r="J6364" s="5" t="str">
        <f t="shared" si="757"/>
        <v>2210</v>
      </c>
      <c r="K6364" s="5" t="str">
        <f t="shared" si="758"/>
        <v>000</v>
      </c>
      <c r="L6364" s="5">
        <f t="shared" si="759"/>
        <v>4</v>
      </c>
      <c r="M6364" s="5">
        <f t="shared" si="760"/>
        <v>2013</v>
      </c>
    </row>
    <row r="6365" spans="1:13" ht="15" x14ac:dyDescent="0.25">
      <c r="A6365" s="1">
        <f>DATE(2013,4,16)</f>
        <v>41380</v>
      </c>
      <c r="B6365" t="s">
        <v>17</v>
      </c>
      <c r="C6365" t="s">
        <v>9</v>
      </c>
      <c r="D6365" s="3">
        <v>965.55390000000011</v>
      </c>
      <c r="E6365" s="3">
        <v>0</v>
      </c>
      <c r="F6365" t="s">
        <v>45</v>
      </c>
      <c r="G6365" s="3">
        <f t="shared" si="754"/>
        <v>-965.55390000000011</v>
      </c>
      <c r="H6365" s="3">
        <f t="shared" si="755"/>
        <v>965.55390000000011</v>
      </c>
      <c r="I6365" s="5" t="str">
        <f t="shared" si="756"/>
        <v>017</v>
      </c>
      <c r="J6365" s="5" t="str">
        <f t="shared" si="757"/>
        <v>2220</v>
      </c>
      <c r="K6365" s="5" t="str">
        <f t="shared" si="758"/>
        <v>000</v>
      </c>
      <c r="L6365" s="5">
        <f t="shared" si="759"/>
        <v>4</v>
      </c>
      <c r="M6365" s="5">
        <f t="shared" si="760"/>
        <v>2013</v>
      </c>
    </row>
    <row r="6366" spans="1:13" ht="15" x14ac:dyDescent="0.25">
      <c r="A6366" s="1">
        <f>DATE(2013,4,16)</f>
        <v>41380</v>
      </c>
      <c r="B6366" t="s">
        <v>18</v>
      </c>
      <c r="C6366" t="s">
        <v>10</v>
      </c>
      <c r="D6366" s="3">
        <v>166.95239999999998</v>
      </c>
      <c r="E6366" s="3">
        <v>0</v>
      </c>
      <c r="F6366" t="s">
        <v>45</v>
      </c>
      <c r="G6366" s="3">
        <f t="shared" si="754"/>
        <v>-166.95239999999998</v>
      </c>
      <c r="H6366" s="3">
        <f t="shared" si="755"/>
        <v>166.95239999999998</v>
      </c>
      <c r="I6366" s="5" t="str">
        <f t="shared" si="756"/>
        <v>017</v>
      </c>
      <c r="J6366" s="5" t="str">
        <f t="shared" si="757"/>
        <v>2230</v>
      </c>
      <c r="K6366" s="5" t="str">
        <f t="shared" si="758"/>
        <v>000</v>
      </c>
      <c r="L6366" s="5">
        <f t="shared" si="759"/>
        <v>4</v>
      </c>
      <c r="M6366" s="5">
        <f t="shared" si="760"/>
        <v>2013</v>
      </c>
    </row>
    <row r="6367" spans="1:13" ht="15" x14ac:dyDescent="0.25">
      <c r="A6367" s="1">
        <f>DATE(2013,4,17)</f>
        <v>41381</v>
      </c>
      <c r="B6367" t="s">
        <v>15</v>
      </c>
      <c r="C6367" t="s">
        <v>6</v>
      </c>
      <c r="D6367" s="3">
        <v>5976.3798999999999</v>
      </c>
      <c r="E6367" s="3">
        <v>0</v>
      </c>
      <c r="F6367" t="s">
        <v>45</v>
      </c>
      <c r="G6367" s="3">
        <f t="shared" si="754"/>
        <v>-5976.3798999999999</v>
      </c>
      <c r="H6367" s="3">
        <f t="shared" si="755"/>
        <v>5976.3798999999999</v>
      </c>
      <c r="I6367" s="5" t="str">
        <f t="shared" si="756"/>
        <v>017</v>
      </c>
      <c r="J6367" s="5" t="str">
        <f t="shared" si="757"/>
        <v>2100</v>
      </c>
      <c r="K6367" s="5" t="str">
        <f t="shared" si="758"/>
        <v>000</v>
      </c>
      <c r="L6367" s="5">
        <f t="shared" si="759"/>
        <v>4</v>
      </c>
      <c r="M6367" s="5">
        <f t="shared" si="760"/>
        <v>2013</v>
      </c>
    </row>
    <row r="6368" spans="1:13" ht="15" x14ac:dyDescent="0.25">
      <c r="A6368" s="1">
        <f>DATE(2013,4,17)</f>
        <v>41381</v>
      </c>
      <c r="B6368" t="s">
        <v>16</v>
      </c>
      <c r="C6368" t="s">
        <v>8</v>
      </c>
      <c r="D6368" s="3">
        <v>1540.9381999999998</v>
      </c>
      <c r="E6368" s="3">
        <v>0</v>
      </c>
      <c r="F6368" t="s">
        <v>45</v>
      </c>
      <c r="G6368" s="3">
        <f t="shared" si="754"/>
        <v>-1540.9381999999998</v>
      </c>
      <c r="H6368" s="3">
        <f t="shared" si="755"/>
        <v>1540.9381999999998</v>
      </c>
      <c r="I6368" s="5" t="str">
        <f t="shared" si="756"/>
        <v>017</v>
      </c>
      <c r="J6368" s="5" t="str">
        <f t="shared" si="757"/>
        <v>2210</v>
      </c>
      <c r="K6368" s="5" t="str">
        <f t="shared" si="758"/>
        <v>000</v>
      </c>
      <c r="L6368" s="5">
        <f t="shared" si="759"/>
        <v>4</v>
      </c>
      <c r="M6368" s="5">
        <f t="shared" si="760"/>
        <v>2013</v>
      </c>
    </row>
    <row r="6369" spans="1:13" ht="15" x14ac:dyDescent="0.25">
      <c r="A6369" s="1">
        <f>DATE(2013,4,17)</f>
        <v>41381</v>
      </c>
      <c r="B6369" t="s">
        <v>17</v>
      </c>
      <c r="C6369" t="s">
        <v>9</v>
      </c>
      <c r="D6369" s="3">
        <v>650.87100000000009</v>
      </c>
      <c r="E6369" s="3">
        <v>0</v>
      </c>
      <c r="F6369" t="s">
        <v>45</v>
      </c>
      <c r="G6369" s="3">
        <f t="shared" si="754"/>
        <v>-650.87100000000009</v>
      </c>
      <c r="H6369" s="3">
        <f t="shared" si="755"/>
        <v>650.87100000000009</v>
      </c>
      <c r="I6369" s="5" t="str">
        <f t="shared" si="756"/>
        <v>017</v>
      </c>
      <c r="J6369" s="5" t="str">
        <f t="shared" si="757"/>
        <v>2220</v>
      </c>
      <c r="K6369" s="5" t="str">
        <f t="shared" si="758"/>
        <v>000</v>
      </c>
      <c r="L6369" s="5">
        <f t="shared" si="759"/>
        <v>4</v>
      </c>
      <c r="M6369" s="5">
        <f t="shared" si="760"/>
        <v>2013</v>
      </c>
    </row>
    <row r="6370" spans="1:13" ht="15" x14ac:dyDescent="0.25">
      <c r="A6370" s="1">
        <f>DATE(2013,4,17)</f>
        <v>41381</v>
      </c>
      <c r="B6370" t="s">
        <v>18</v>
      </c>
      <c r="C6370" t="s">
        <v>10</v>
      </c>
      <c r="D6370" s="3">
        <v>186.08250000000001</v>
      </c>
      <c r="E6370" s="3">
        <v>0</v>
      </c>
      <c r="F6370" t="s">
        <v>45</v>
      </c>
      <c r="G6370" s="3">
        <f t="shared" si="754"/>
        <v>-186.08250000000001</v>
      </c>
      <c r="H6370" s="3">
        <f t="shared" si="755"/>
        <v>186.08250000000001</v>
      </c>
      <c r="I6370" s="5" t="str">
        <f t="shared" si="756"/>
        <v>017</v>
      </c>
      <c r="J6370" s="5" t="str">
        <f t="shared" si="757"/>
        <v>2230</v>
      </c>
      <c r="K6370" s="5" t="str">
        <f t="shared" si="758"/>
        <v>000</v>
      </c>
      <c r="L6370" s="5">
        <f t="shared" si="759"/>
        <v>4</v>
      </c>
      <c r="M6370" s="5">
        <f t="shared" si="760"/>
        <v>2013</v>
      </c>
    </row>
    <row r="6371" spans="1:13" ht="15" x14ac:dyDescent="0.25">
      <c r="A6371" s="1">
        <f>DATE(2013,4,18)</f>
        <v>41382</v>
      </c>
      <c r="B6371" t="s">
        <v>15</v>
      </c>
      <c r="C6371" t="s">
        <v>6</v>
      </c>
      <c r="D6371" s="3">
        <v>4767.4274999999998</v>
      </c>
      <c r="E6371" s="3">
        <v>0</v>
      </c>
      <c r="F6371" t="s">
        <v>45</v>
      </c>
      <c r="G6371" s="3">
        <f t="shared" si="754"/>
        <v>-4767.4274999999998</v>
      </c>
      <c r="H6371" s="3">
        <f t="shared" si="755"/>
        <v>4767.4274999999998</v>
      </c>
      <c r="I6371" s="5" t="str">
        <f t="shared" si="756"/>
        <v>017</v>
      </c>
      <c r="J6371" s="5" t="str">
        <f t="shared" si="757"/>
        <v>2100</v>
      </c>
      <c r="K6371" s="5" t="str">
        <f t="shared" si="758"/>
        <v>000</v>
      </c>
      <c r="L6371" s="5">
        <f t="shared" si="759"/>
        <v>4</v>
      </c>
      <c r="M6371" s="5">
        <f t="shared" si="760"/>
        <v>2013</v>
      </c>
    </row>
    <row r="6372" spans="1:13" ht="15" x14ac:dyDescent="0.25">
      <c r="A6372" s="1">
        <f>DATE(2013,4,18)</f>
        <v>41382</v>
      </c>
      <c r="B6372" t="s">
        <v>16</v>
      </c>
      <c r="C6372" t="s">
        <v>8</v>
      </c>
      <c r="D6372" s="3">
        <v>2643.8962999999999</v>
      </c>
      <c r="E6372" s="3">
        <v>0</v>
      </c>
      <c r="F6372" t="s">
        <v>45</v>
      </c>
      <c r="G6372" s="3">
        <f t="shared" si="754"/>
        <v>-2643.8962999999999</v>
      </c>
      <c r="H6372" s="3">
        <f t="shared" si="755"/>
        <v>2643.8962999999999</v>
      </c>
      <c r="I6372" s="5" t="str">
        <f t="shared" si="756"/>
        <v>017</v>
      </c>
      <c r="J6372" s="5" t="str">
        <f t="shared" si="757"/>
        <v>2210</v>
      </c>
      <c r="K6372" s="5" t="str">
        <f t="shared" si="758"/>
        <v>000</v>
      </c>
      <c r="L6372" s="5">
        <f t="shared" si="759"/>
        <v>4</v>
      </c>
      <c r="M6372" s="5">
        <f t="shared" si="760"/>
        <v>2013</v>
      </c>
    </row>
    <row r="6373" spans="1:13" ht="15" x14ac:dyDescent="0.25">
      <c r="A6373" s="1">
        <f>DATE(2013,4,18)</f>
        <v>41382</v>
      </c>
      <c r="B6373" t="s">
        <v>17</v>
      </c>
      <c r="C6373" t="s">
        <v>9</v>
      </c>
      <c r="D6373" s="3">
        <v>924.81989999999996</v>
      </c>
      <c r="E6373" s="3">
        <v>0</v>
      </c>
      <c r="F6373" t="s">
        <v>45</v>
      </c>
      <c r="G6373" s="3">
        <f t="shared" si="754"/>
        <v>-924.81989999999996</v>
      </c>
      <c r="H6373" s="3">
        <f t="shared" si="755"/>
        <v>924.81989999999996</v>
      </c>
      <c r="I6373" s="5" t="str">
        <f t="shared" si="756"/>
        <v>017</v>
      </c>
      <c r="J6373" s="5" t="str">
        <f t="shared" si="757"/>
        <v>2220</v>
      </c>
      <c r="K6373" s="5" t="str">
        <f t="shared" si="758"/>
        <v>000</v>
      </c>
      <c r="L6373" s="5">
        <f t="shared" si="759"/>
        <v>4</v>
      </c>
      <c r="M6373" s="5">
        <f t="shared" si="760"/>
        <v>2013</v>
      </c>
    </row>
    <row r="6374" spans="1:13" ht="15" x14ac:dyDescent="0.25">
      <c r="A6374" s="1">
        <f>DATE(2013,4,18)</f>
        <v>41382</v>
      </c>
      <c r="B6374" t="s">
        <v>18</v>
      </c>
      <c r="C6374" t="s">
        <v>10</v>
      </c>
      <c r="D6374" s="3">
        <v>169.31879999999998</v>
      </c>
      <c r="E6374" s="3">
        <v>0</v>
      </c>
      <c r="F6374" t="s">
        <v>45</v>
      </c>
      <c r="G6374" s="3">
        <f t="shared" si="754"/>
        <v>-169.31879999999998</v>
      </c>
      <c r="H6374" s="3">
        <f t="shared" si="755"/>
        <v>169.31879999999998</v>
      </c>
      <c r="I6374" s="5" t="str">
        <f t="shared" si="756"/>
        <v>017</v>
      </c>
      <c r="J6374" s="5" t="str">
        <f t="shared" si="757"/>
        <v>2230</v>
      </c>
      <c r="K6374" s="5" t="str">
        <f t="shared" si="758"/>
        <v>000</v>
      </c>
      <c r="L6374" s="5">
        <f t="shared" si="759"/>
        <v>4</v>
      </c>
      <c r="M6374" s="5">
        <f t="shared" si="760"/>
        <v>2013</v>
      </c>
    </row>
    <row r="6375" spans="1:13" ht="15" x14ac:dyDescent="0.25">
      <c r="A6375" s="1">
        <f>DATE(2013,4,19)</f>
        <v>41383</v>
      </c>
      <c r="B6375" t="s">
        <v>15</v>
      </c>
      <c r="C6375" t="s">
        <v>6</v>
      </c>
      <c r="D6375" s="3">
        <v>7939.9369999999999</v>
      </c>
      <c r="E6375" s="3">
        <v>0</v>
      </c>
      <c r="F6375" t="s">
        <v>45</v>
      </c>
      <c r="G6375" s="3">
        <f t="shared" si="754"/>
        <v>-7939.9369999999999</v>
      </c>
      <c r="H6375" s="3">
        <f t="shared" si="755"/>
        <v>7939.9369999999999</v>
      </c>
      <c r="I6375" s="5" t="str">
        <f t="shared" si="756"/>
        <v>017</v>
      </c>
      <c r="J6375" s="5" t="str">
        <f t="shared" si="757"/>
        <v>2100</v>
      </c>
      <c r="K6375" s="5" t="str">
        <f t="shared" si="758"/>
        <v>000</v>
      </c>
      <c r="L6375" s="5">
        <f t="shared" si="759"/>
        <v>4</v>
      </c>
      <c r="M6375" s="5">
        <f t="shared" si="760"/>
        <v>2013</v>
      </c>
    </row>
    <row r="6376" spans="1:13" ht="15" x14ac:dyDescent="0.25">
      <c r="A6376" s="1">
        <f>DATE(2013,4,19)</f>
        <v>41383</v>
      </c>
      <c r="B6376" t="s">
        <v>16</v>
      </c>
      <c r="C6376" t="s">
        <v>8</v>
      </c>
      <c r="D6376" s="3">
        <v>1736.778</v>
      </c>
      <c r="E6376" s="3">
        <v>0</v>
      </c>
      <c r="F6376" t="s">
        <v>45</v>
      </c>
      <c r="G6376" s="3">
        <f t="shared" si="754"/>
        <v>-1736.778</v>
      </c>
      <c r="H6376" s="3">
        <f t="shared" si="755"/>
        <v>1736.778</v>
      </c>
      <c r="I6376" s="5" t="str">
        <f t="shared" si="756"/>
        <v>017</v>
      </c>
      <c r="J6376" s="5" t="str">
        <f t="shared" si="757"/>
        <v>2210</v>
      </c>
      <c r="K6376" s="5" t="str">
        <f t="shared" si="758"/>
        <v>000</v>
      </c>
      <c r="L6376" s="5">
        <f t="shared" si="759"/>
        <v>4</v>
      </c>
      <c r="M6376" s="5">
        <f t="shared" si="760"/>
        <v>2013</v>
      </c>
    </row>
    <row r="6377" spans="1:13" ht="15" x14ac:dyDescent="0.25">
      <c r="A6377" s="1">
        <f>DATE(2013,4,19)</f>
        <v>41383</v>
      </c>
      <c r="B6377" t="s">
        <v>17</v>
      </c>
      <c r="C6377" t="s">
        <v>9</v>
      </c>
      <c r="D6377" s="3">
        <v>488.13639999999992</v>
      </c>
      <c r="E6377" s="3">
        <v>0</v>
      </c>
      <c r="F6377" t="s">
        <v>45</v>
      </c>
      <c r="G6377" s="3">
        <f t="shared" si="754"/>
        <v>-488.13639999999992</v>
      </c>
      <c r="H6377" s="3">
        <f t="shared" si="755"/>
        <v>488.13639999999992</v>
      </c>
      <c r="I6377" s="5" t="str">
        <f t="shared" si="756"/>
        <v>017</v>
      </c>
      <c r="J6377" s="5" t="str">
        <f t="shared" si="757"/>
        <v>2220</v>
      </c>
      <c r="K6377" s="5" t="str">
        <f t="shared" si="758"/>
        <v>000</v>
      </c>
      <c r="L6377" s="5">
        <f t="shared" si="759"/>
        <v>4</v>
      </c>
      <c r="M6377" s="5">
        <f t="shared" si="760"/>
        <v>2013</v>
      </c>
    </row>
    <row r="6378" spans="1:13" ht="15" x14ac:dyDescent="0.25">
      <c r="A6378" s="1">
        <f>DATE(2013,4,19)</f>
        <v>41383</v>
      </c>
      <c r="B6378" t="s">
        <v>18</v>
      </c>
      <c r="C6378" t="s">
        <v>10</v>
      </c>
      <c r="D6378" s="3">
        <v>208.03440000000001</v>
      </c>
      <c r="E6378" s="3">
        <v>0</v>
      </c>
      <c r="F6378" t="s">
        <v>45</v>
      </c>
      <c r="G6378" s="3">
        <f t="shared" si="754"/>
        <v>-208.03440000000001</v>
      </c>
      <c r="H6378" s="3">
        <f t="shared" si="755"/>
        <v>208.03440000000001</v>
      </c>
      <c r="I6378" s="5" t="str">
        <f t="shared" si="756"/>
        <v>017</v>
      </c>
      <c r="J6378" s="5" t="str">
        <f t="shared" si="757"/>
        <v>2230</v>
      </c>
      <c r="K6378" s="5" t="str">
        <f t="shared" si="758"/>
        <v>000</v>
      </c>
      <c r="L6378" s="5">
        <f t="shared" si="759"/>
        <v>4</v>
      </c>
      <c r="M6378" s="5">
        <f t="shared" si="760"/>
        <v>2013</v>
      </c>
    </row>
    <row r="6379" spans="1:13" ht="15" x14ac:dyDescent="0.25">
      <c r="A6379" s="1">
        <f>DATE(2013,4,20)</f>
        <v>41384</v>
      </c>
      <c r="B6379" t="s">
        <v>15</v>
      </c>
      <c r="C6379" t="s">
        <v>6</v>
      </c>
      <c r="D6379" s="3">
        <v>7925.0941000000003</v>
      </c>
      <c r="E6379" s="3">
        <v>0</v>
      </c>
      <c r="F6379" t="s">
        <v>45</v>
      </c>
      <c r="G6379" s="3">
        <f t="shared" si="754"/>
        <v>-7925.0941000000003</v>
      </c>
      <c r="H6379" s="3">
        <f t="shared" si="755"/>
        <v>7925.0941000000003</v>
      </c>
      <c r="I6379" s="5" t="str">
        <f t="shared" si="756"/>
        <v>017</v>
      </c>
      <c r="J6379" s="5" t="str">
        <f t="shared" si="757"/>
        <v>2100</v>
      </c>
      <c r="K6379" s="5" t="str">
        <f t="shared" si="758"/>
        <v>000</v>
      </c>
      <c r="L6379" s="5">
        <f t="shared" si="759"/>
        <v>4</v>
      </c>
      <c r="M6379" s="5">
        <f t="shared" si="760"/>
        <v>2013</v>
      </c>
    </row>
    <row r="6380" spans="1:13" ht="15" x14ac:dyDescent="0.25">
      <c r="A6380" s="1">
        <f>DATE(2013,4,20)</f>
        <v>41384</v>
      </c>
      <c r="B6380" t="s">
        <v>16</v>
      </c>
      <c r="C6380" t="s">
        <v>8</v>
      </c>
      <c r="D6380" s="3">
        <v>1834.1939999999997</v>
      </c>
      <c r="E6380" s="3">
        <v>0</v>
      </c>
      <c r="F6380" t="s">
        <v>45</v>
      </c>
      <c r="G6380" s="3">
        <f t="shared" si="754"/>
        <v>-1834.1939999999997</v>
      </c>
      <c r="H6380" s="3">
        <f t="shared" si="755"/>
        <v>1834.1939999999997</v>
      </c>
      <c r="I6380" s="5" t="str">
        <f t="shared" si="756"/>
        <v>017</v>
      </c>
      <c r="J6380" s="5" t="str">
        <f t="shared" si="757"/>
        <v>2210</v>
      </c>
      <c r="K6380" s="5" t="str">
        <f t="shared" si="758"/>
        <v>000</v>
      </c>
      <c r="L6380" s="5">
        <f t="shared" si="759"/>
        <v>4</v>
      </c>
      <c r="M6380" s="5">
        <f t="shared" si="760"/>
        <v>2013</v>
      </c>
    </row>
    <row r="6381" spans="1:13" ht="15" x14ac:dyDescent="0.25">
      <c r="A6381" s="1">
        <f>DATE(2013,4,20)</f>
        <v>41384</v>
      </c>
      <c r="B6381" t="s">
        <v>17</v>
      </c>
      <c r="C6381" t="s">
        <v>9</v>
      </c>
      <c r="D6381" s="3">
        <v>492.71510000000006</v>
      </c>
      <c r="E6381" s="3">
        <v>0</v>
      </c>
      <c r="F6381" t="s">
        <v>45</v>
      </c>
      <c r="G6381" s="3">
        <f t="shared" si="754"/>
        <v>-492.71510000000006</v>
      </c>
      <c r="H6381" s="3">
        <f t="shared" si="755"/>
        <v>492.71510000000006</v>
      </c>
      <c r="I6381" s="5" t="str">
        <f t="shared" si="756"/>
        <v>017</v>
      </c>
      <c r="J6381" s="5" t="str">
        <f t="shared" si="757"/>
        <v>2220</v>
      </c>
      <c r="K6381" s="5" t="str">
        <f t="shared" si="758"/>
        <v>000</v>
      </c>
      <c r="L6381" s="5">
        <f t="shared" si="759"/>
        <v>4</v>
      </c>
      <c r="M6381" s="5">
        <f t="shared" si="760"/>
        <v>2013</v>
      </c>
    </row>
    <row r="6382" spans="1:13" ht="15" x14ac:dyDescent="0.25">
      <c r="A6382" s="1">
        <f>DATE(2013,4,20)</f>
        <v>41384</v>
      </c>
      <c r="B6382" t="s">
        <v>18</v>
      </c>
      <c r="C6382" t="s">
        <v>10</v>
      </c>
      <c r="D6382" s="3">
        <v>112.74120000000001</v>
      </c>
      <c r="E6382" s="3">
        <v>0</v>
      </c>
      <c r="F6382" t="s">
        <v>45</v>
      </c>
      <c r="G6382" s="3">
        <f t="shared" si="754"/>
        <v>-112.74120000000001</v>
      </c>
      <c r="H6382" s="3">
        <f t="shared" si="755"/>
        <v>112.74120000000001</v>
      </c>
      <c r="I6382" s="5" t="str">
        <f t="shared" si="756"/>
        <v>017</v>
      </c>
      <c r="J6382" s="5" t="str">
        <f t="shared" si="757"/>
        <v>2230</v>
      </c>
      <c r="K6382" s="5" t="str">
        <f t="shared" si="758"/>
        <v>000</v>
      </c>
      <c r="L6382" s="5">
        <f t="shared" si="759"/>
        <v>4</v>
      </c>
      <c r="M6382" s="5">
        <f t="shared" si="760"/>
        <v>2013</v>
      </c>
    </row>
    <row r="6383" spans="1:13" ht="15" x14ac:dyDescent="0.25">
      <c r="A6383" s="1">
        <f>DATE(2013,4,21)</f>
        <v>41385</v>
      </c>
      <c r="B6383" t="s">
        <v>15</v>
      </c>
      <c r="C6383" t="s">
        <v>6</v>
      </c>
      <c r="D6383" s="3">
        <v>5134.4004999999997</v>
      </c>
      <c r="E6383" s="3">
        <v>0</v>
      </c>
      <c r="F6383" t="s">
        <v>45</v>
      </c>
      <c r="G6383" s="3">
        <f t="shared" si="754"/>
        <v>-5134.4004999999997</v>
      </c>
      <c r="H6383" s="3">
        <f t="shared" si="755"/>
        <v>5134.4004999999997</v>
      </c>
      <c r="I6383" s="5" t="str">
        <f t="shared" si="756"/>
        <v>017</v>
      </c>
      <c r="J6383" s="5" t="str">
        <f t="shared" si="757"/>
        <v>2100</v>
      </c>
      <c r="K6383" s="5" t="str">
        <f t="shared" si="758"/>
        <v>000</v>
      </c>
      <c r="L6383" s="5">
        <f t="shared" si="759"/>
        <v>4</v>
      </c>
      <c r="M6383" s="5">
        <f t="shared" si="760"/>
        <v>2013</v>
      </c>
    </row>
    <row r="6384" spans="1:13" ht="15" x14ac:dyDescent="0.25">
      <c r="A6384" s="1">
        <f>DATE(2013,4,21)</f>
        <v>41385</v>
      </c>
      <c r="B6384" t="s">
        <v>16</v>
      </c>
      <c r="C6384" t="s">
        <v>8</v>
      </c>
      <c r="D6384" s="3">
        <v>1399.6312</v>
      </c>
      <c r="E6384" s="3">
        <v>0</v>
      </c>
      <c r="F6384" t="s">
        <v>45</v>
      </c>
      <c r="G6384" s="3">
        <f t="shared" si="754"/>
        <v>-1399.6312</v>
      </c>
      <c r="H6384" s="3">
        <f t="shared" si="755"/>
        <v>1399.6312</v>
      </c>
      <c r="I6384" s="5" t="str">
        <f t="shared" si="756"/>
        <v>017</v>
      </c>
      <c r="J6384" s="5" t="str">
        <f t="shared" si="757"/>
        <v>2210</v>
      </c>
      <c r="K6384" s="5" t="str">
        <f t="shared" si="758"/>
        <v>000</v>
      </c>
      <c r="L6384" s="5">
        <f t="shared" si="759"/>
        <v>4</v>
      </c>
      <c r="M6384" s="5">
        <f t="shared" si="760"/>
        <v>2013</v>
      </c>
    </row>
    <row r="6385" spans="1:13" ht="15" x14ac:dyDescent="0.25">
      <c r="A6385" s="1">
        <f>DATE(2013,4,21)</f>
        <v>41385</v>
      </c>
      <c r="B6385" t="s">
        <v>17</v>
      </c>
      <c r="C6385" t="s">
        <v>9</v>
      </c>
      <c r="D6385" s="3">
        <v>166.75200000000001</v>
      </c>
      <c r="E6385" s="3">
        <v>0</v>
      </c>
      <c r="F6385" t="s">
        <v>45</v>
      </c>
      <c r="G6385" s="3">
        <f t="shared" si="754"/>
        <v>-166.75200000000001</v>
      </c>
      <c r="H6385" s="3">
        <f t="shared" si="755"/>
        <v>166.75200000000001</v>
      </c>
      <c r="I6385" s="5" t="str">
        <f t="shared" si="756"/>
        <v>017</v>
      </c>
      <c r="J6385" s="5" t="str">
        <f t="shared" si="757"/>
        <v>2220</v>
      </c>
      <c r="K6385" s="5" t="str">
        <f t="shared" si="758"/>
        <v>000</v>
      </c>
      <c r="L6385" s="5">
        <f t="shared" si="759"/>
        <v>4</v>
      </c>
      <c r="M6385" s="5">
        <f t="shared" si="760"/>
        <v>2013</v>
      </c>
    </row>
    <row r="6386" spans="1:13" ht="15" x14ac:dyDescent="0.25">
      <c r="A6386" s="1">
        <f>DATE(2013,4,21)</f>
        <v>41385</v>
      </c>
      <c r="B6386" t="s">
        <v>18</v>
      </c>
      <c r="C6386" t="s">
        <v>10</v>
      </c>
      <c r="D6386" s="3">
        <v>132.77879999999999</v>
      </c>
      <c r="E6386" s="3">
        <v>0</v>
      </c>
      <c r="F6386" t="s">
        <v>45</v>
      </c>
      <c r="G6386" s="3">
        <f t="shared" si="754"/>
        <v>-132.77879999999999</v>
      </c>
      <c r="H6386" s="3">
        <f t="shared" si="755"/>
        <v>132.77879999999999</v>
      </c>
      <c r="I6386" s="5" t="str">
        <f t="shared" si="756"/>
        <v>017</v>
      </c>
      <c r="J6386" s="5" t="str">
        <f t="shared" si="757"/>
        <v>2230</v>
      </c>
      <c r="K6386" s="5" t="str">
        <f t="shared" si="758"/>
        <v>000</v>
      </c>
      <c r="L6386" s="5">
        <f t="shared" si="759"/>
        <v>4</v>
      </c>
      <c r="M6386" s="5">
        <f t="shared" si="760"/>
        <v>2013</v>
      </c>
    </row>
    <row r="6387" spans="1:13" ht="15" x14ac:dyDescent="0.25">
      <c r="A6387" s="1">
        <f>DATE(2013,4,15)</f>
        <v>41379</v>
      </c>
      <c r="B6387" t="s">
        <v>19</v>
      </c>
      <c r="C6387" t="s">
        <v>6</v>
      </c>
      <c r="D6387" s="3">
        <v>4373.1688000000004</v>
      </c>
      <c r="E6387" s="3">
        <v>0</v>
      </c>
      <c r="F6387" t="s">
        <v>45</v>
      </c>
      <c r="G6387" s="3">
        <f t="shared" si="754"/>
        <v>-4373.1688000000004</v>
      </c>
      <c r="H6387" s="3">
        <f t="shared" si="755"/>
        <v>4373.1688000000004</v>
      </c>
      <c r="I6387" s="5" t="str">
        <f t="shared" si="756"/>
        <v>018</v>
      </c>
      <c r="J6387" s="5" t="str">
        <f t="shared" si="757"/>
        <v>2100</v>
      </c>
      <c r="K6387" s="5" t="str">
        <f t="shared" si="758"/>
        <v>000</v>
      </c>
      <c r="L6387" s="5">
        <f t="shared" si="759"/>
        <v>4</v>
      </c>
      <c r="M6387" s="5">
        <f t="shared" si="760"/>
        <v>2013</v>
      </c>
    </row>
    <row r="6388" spans="1:13" ht="15" x14ac:dyDescent="0.25">
      <c r="A6388" s="1">
        <f>DATE(2013,4,15)</f>
        <v>41379</v>
      </c>
      <c r="B6388" t="s">
        <v>20</v>
      </c>
      <c r="C6388" t="s">
        <v>8</v>
      </c>
      <c r="D6388" s="3">
        <v>316.53159999999997</v>
      </c>
      <c r="E6388" s="3">
        <v>0</v>
      </c>
      <c r="F6388" t="s">
        <v>45</v>
      </c>
      <c r="G6388" s="3">
        <f t="shared" si="754"/>
        <v>-316.53159999999997</v>
      </c>
      <c r="H6388" s="3">
        <f t="shared" si="755"/>
        <v>316.53159999999997</v>
      </c>
      <c r="I6388" s="5" t="str">
        <f t="shared" si="756"/>
        <v>018</v>
      </c>
      <c r="J6388" s="5" t="str">
        <f t="shared" si="757"/>
        <v>2210</v>
      </c>
      <c r="K6388" s="5" t="str">
        <f t="shared" si="758"/>
        <v>000</v>
      </c>
      <c r="L6388" s="5">
        <f t="shared" si="759"/>
        <v>4</v>
      </c>
      <c r="M6388" s="5">
        <f t="shared" si="760"/>
        <v>2013</v>
      </c>
    </row>
    <row r="6389" spans="1:13" ht="15" x14ac:dyDescent="0.25">
      <c r="A6389" s="1">
        <f>DATE(2013,4,15)</f>
        <v>41379</v>
      </c>
      <c r="B6389" t="s">
        <v>21</v>
      </c>
      <c r="C6389" t="s">
        <v>9</v>
      </c>
      <c r="D6389" s="3">
        <v>163.86400000000003</v>
      </c>
      <c r="E6389" s="3">
        <v>0</v>
      </c>
      <c r="F6389" t="s">
        <v>45</v>
      </c>
      <c r="G6389" s="3">
        <f t="shared" si="754"/>
        <v>-163.86400000000003</v>
      </c>
      <c r="H6389" s="3">
        <f t="shared" si="755"/>
        <v>163.86400000000003</v>
      </c>
      <c r="I6389" s="5" t="str">
        <f t="shared" si="756"/>
        <v>018</v>
      </c>
      <c r="J6389" s="5" t="str">
        <f t="shared" si="757"/>
        <v>2220</v>
      </c>
      <c r="K6389" s="5" t="str">
        <f t="shared" si="758"/>
        <v>000</v>
      </c>
      <c r="L6389" s="5">
        <f t="shared" si="759"/>
        <v>4</v>
      </c>
      <c r="M6389" s="5">
        <f t="shared" si="760"/>
        <v>2013</v>
      </c>
    </row>
    <row r="6390" spans="1:13" ht="15" x14ac:dyDescent="0.25">
      <c r="A6390" s="1">
        <f>DATE(2013,4,15)</f>
        <v>41379</v>
      </c>
      <c r="B6390" t="s">
        <v>22</v>
      </c>
      <c r="C6390" t="s">
        <v>10</v>
      </c>
      <c r="D6390" s="3">
        <v>30.042400000000001</v>
      </c>
      <c r="E6390" s="3">
        <v>0</v>
      </c>
      <c r="F6390" t="s">
        <v>45</v>
      </c>
      <c r="G6390" s="3">
        <f t="shared" si="754"/>
        <v>-30.042400000000001</v>
      </c>
      <c r="H6390" s="3">
        <f t="shared" si="755"/>
        <v>30.042400000000001</v>
      </c>
      <c r="I6390" s="5" t="str">
        <f t="shared" si="756"/>
        <v>018</v>
      </c>
      <c r="J6390" s="5" t="str">
        <f t="shared" si="757"/>
        <v>2230</v>
      </c>
      <c r="K6390" s="5" t="str">
        <f t="shared" si="758"/>
        <v>000</v>
      </c>
      <c r="L6390" s="5">
        <f t="shared" si="759"/>
        <v>4</v>
      </c>
      <c r="M6390" s="5">
        <f t="shared" si="760"/>
        <v>2013</v>
      </c>
    </row>
    <row r="6391" spans="1:13" ht="15" x14ac:dyDescent="0.25">
      <c r="A6391" s="1">
        <f>DATE(2013,4,16)</f>
        <v>41380</v>
      </c>
      <c r="B6391" t="s">
        <v>19</v>
      </c>
      <c r="C6391" t="s">
        <v>6</v>
      </c>
      <c r="D6391" s="3">
        <v>4016.5038</v>
      </c>
      <c r="E6391" s="3">
        <v>0</v>
      </c>
      <c r="F6391" t="s">
        <v>45</v>
      </c>
      <c r="G6391" s="3">
        <f t="shared" si="754"/>
        <v>-4016.5038</v>
      </c>
      <c r="H6391" s="3">
        <f t="shared" si="755"/>
        <v>4016.5038</v>
      </c>
      <c r="I6391" s="5" t="str">
        <f t="shared" si="756"/>
        <v>018</v>
      </c>
      <c r="J6391" s="5" t="str">
        <f t="shared" si="757"/>
        <v>2100</v>
      </c>
      <c r="K6391" s="5" t="str">
        <f t="shared" si="758"/>
        <v>000</v>
      </c>
      <c r="L6391" s="5">
        <f t="shared" si="759"/>
        <v>4</v>
      </c>
      <c r="M6391" s="5">
        <f t="shared" si="760"/>
        <v>2013</v>
      </c>
    </row>
    <row r="6392" spans="1:13" ht="15" x14ac:dyDescent="0.25">
      <c r="A6392" s="1">
        <f>DATE(2013,4,16)</f>
        <v>41380</v>
      </c>
      <c r="B6392" t="s">
        <v>20</v>
      </c>
      <c r="C6392" t="s">
        <v>8</v>
      </c>
      <c r="D6392" s="3">
        <v>1148.3532</v>
      </c>
      <c r="E6392" s="3">
        <v>0</v>
      </c>
      <c r="F6392" t="s">
        <v>45</v>
      </c>
      <c r="G6392" s="3">
        <f t="shared" si="754"/>
        <v>-1148.3532</v>
      </c>
      <c r="H6392" s="3">
        <f t="shared" si="755"/>
        <v>1148.3532</v>
      </c>
      <c r="I6392" s="5" t="str">
        <f t="shared" si="756"/>
        <v>018</v>
      </c>
      <c r="J6392" s="5" t="str">
        <f t="shared" si="757"/>
        <v>2210</v>
      </c>
      <c r="K6392" s="5" t="str">
        <f t="shared" si="758"/>
        <v>000</v>
      </c>
      <c r="L6392" s="5">
        <f t="shared" si="759"/>
        <v>4</v>
      </c>
      <c r="M6392" s="5">
        <f t="shared" si="760"/>
        <v>2013</v>
      </c>
    </row>
    <row r="6393" spans="1:13" ht="15" x14ac:dyDescent="0.25">
      <c r="A6393" s="1">
        <f>DATE(2013,4,16)</f>
        <v>41380</v>
      </c>
      <c r="B6393" t="s">
        <v>21</v>
      </c>
      <c r="C6393" t="s">
        <v>9</v>
      </c>
      <c r="D6393" s="3">
        <v>291.745</v>
      </c>
      <c r="E6393" s="3">
        <v>0</v>
      </c>
      <c r="F6393" t="s">
        <v>45</v>
      </c>
      <c r="G6393" s="3">
        <f t="shared" si="754"/>
        <v>-291.745</v>
      </c>
      <c r="H6393" s="3">
        <f t="shared" si="755"/>
        <v>291.745</v>
      </c>
      <c r="I6393" s="5" t="str">
        <f t="shared" si="756"/>
        <v>018</v>
      </c>
      <c r="J6393" s="5" t="str">
        <f t="shared" si="757"/>
        <v>2220</v>
      </c>
      <c r="K6393" s="5" t="str">
        <f t="shared" si="758"/>
        <v>000</v>
      </c>
      <c r="L6393" s="5">
        <f t="shared" si="759"/>
        <v>4</v>
      </c>
      <c r="M6393" s="5">
        <f t="shared" si="760"/>
        <v>2013</v>
      </c>
    </row>
    <row r="6394" spans="1:13" ht="15" x14ac:dyDescent="0.25">
      <c r="A6394" s="1">
        <f>DATE(2013,4,16)</f>
        <v>41380</v>
      </c>
      <c r="B6394" t="s">
        <v>22</v>
      </c>
      <c r="C6394" t="s">
        <v>10</v>
      </c>
      <c r="D6394" s="3">
        <v>60.846699999999991</v>
      </c>
      <c r="E6394" s="3">
        <v>0</v>
      </c>
      <c r="F6394" t="s">
        <v>45</v>
      </c>
      <c r="G6394" s="3">
        <f t="shared" si="754"/>
        <v>-60.846699999999991</v>
      </c>
      <c r="H6394" s="3">
        <f t="shared" si="755"/>
        <v>60.846699999999991</v>
      </c>
      <c r="I6394" s="5" t="str">
        <f t="shared" si="756"/>
        <v>018</v>
      </c>
      <c r="J6394" s="5" t="str">
        <f t="shared" si="757"/>
        <v>2230</v>
      </c>
      <c r="K6394" s="5" t="str">
        <f t="shared" si="758"/>
        <v>000</v>
      </c>
      <c r="L6394" s="5">
        <f t="shared" si="759"/>
        <v>4</v>
      </c>
      <c r="M6394" s="5">
        <f t="shared" si="760"/>
        <v>2013</v>
      </c>
    </row>
    <row r="6395" spans="1:13" ht="15" x14ac:dyDescent="0.25">
      <c r="A6395" s="1">
        <f>DATE(2013,4,17)</f>
        <v>41381</v>
      </c>
      <c r="B6395" t="s">
        <v>19</v>
      </c>
      <c r="C6395" t="s">
        <v>6</v>
      </c>
      <c r="D6395" s="3">
        <v>4620.8850000000002</v>
      </c>
      <c r="E6395" s="3">
        <v>0</v>
      </c>
      <c r="F6395" t="s">
        <v>45</v>
      </c>
      <c r="G6395" s="3">
        <f t="shared" si="754"/>
        <v>-4620.8850000000002</v>
      </c>
      <c r="H6395" s="3">
        <f t="shared" si="755"/>
        <v>4620.8850000000002</v>
      </c>
      <c r="I6395" s="5" t="str">
        <f t="shared" si="756"/>
        <v>018</v>
      </c>
      <c r="J6395" s="5" t="str">
        <f t="shared" si="757"/>
        <v>2100</v>
      </c>
      <c r="K6395" s="5" t="str">
        <f t="shared" si="758"/>
        <v>000</v>
      </c>
      <c r="L6395" s="5">
        <f t="shared" si="759"/>
        <v>4</v>
      </c>
      <c r="M6395" s="5">
        <f t="shared" si="760"/>
        <v>2013</v>
      </c>
    </row>
    <row r="6396" spans="1:13" ht="15" x14ac:dyDescent="0.25">
      <c r="A6396" s="1">
        <f>DATE(2013,4,17)</f>
        <v>41381</v>
      </c>
      <c r="B6396" t="s">
        <v>20</v>
      </c>
      <c r="C6396" t="s">
        <v>8</v>
      </c>
      <c r="D6396" s="3">
        <v>995.21780000000001</v>
      </c>
      <c r="E6396" s="3">
        <v>0</v>
      </c>
      <c r="F6396" t="s">
        <v>45</v>
      </c>
      <c r="G6396" s="3">
        <f t="shared" si="754"/>
        <v>-995.21780000000001</v>
      </c>
      <c r="H6396" s="3">
        <f t="shared" si="755"/>
        <v>995.21780000000001</v>
      </c>
      <c r="I6396" s="5" t="str">
        <f t="shared" si="756"/>
        <v>018</v>
      </c>
      <c r="J6396" s="5" t="str">
        <f t="shared" si="757"/>
        <v>2210</v>
      </c>
      <c r="K6396" s="5" t="str">
        <f t="shared" si="758"/>
        <v>000</v>
      </c>
      <c r="L6396" s="5">
        <f t="shared" si="759"/>
        <v>4</v>
      </c>
      <c r="M6396" s="5">
        <f t="shared" si="760"/>
        <v>2013</v>
      </c>
    </row>
    <row r="6397" spans="1:13" ht="15" x14ac:dyDescent="0.25">
      <c r="A6397" s="1">
        <f>DATE(2013,4,17)</f>
        <v>41381</v>
      </c>
      <c r="B6397" t="s">
        <v>21</v>
      </c>
      <c r="C6397" t="s">
        <v>9</v>
      </c>
      <c r="D6397" s="3">
        <v>219.26999999999998</v>
      </c>
      <c r="E6397" s="3">
        <v>0</v>
      </c>
      <c r="F6397" t="s">
        <v>45</v>
      </c>
      <c r="G6397" s="3">
        <f t="shared" si="754"/>
        <v>-219.26999999999998</v>
      </c>
      <c r="H6397" s="3">
        <f t="shared" si="755"/>
        <v>219.26999999999998</v>
      </c>
      <c r="I6397" s="5" t="str">
        <f t="shared" si="756"/>
        <v>018</v>
      </c>
      <c r="J6397" s="5" t="str">
        <f t="shared" si="757"/>
        <v>2220</v>
      </c>
      <c r="K6397" s="5" t="str">
        <f t="shared" si="758"/>
        <v>000</v>
      </c>
      <c r="L6397" s="5">
        <f t="shared" si="759"/>
        <v>4</v>
      </c>
      <c r="M6397" s="5">
        <f t="shared" si="760"/>
        <v>2013</v>
      </c>
    </row>
    <row r="6398" spans="1:13" ht="15" x14ac:dyDescent="0.25">
      <c r="A6398" s="1">
        <f>DATE(2013,4,17)</f>
        <v>41381</v>
      </c>
      <c r="B6398" t="s">
        <v>22</v>
      </c>
      <c r="C6398" t="s">
        <v>10</v>
      </c>
      <c r="D6398" s="3">
        <v>42.753599999999999</v>
      </c>
      <c r="E6398" s="3">
        <v>0</v>
      </c>
      <c r="F6398" t="s">
        <v>45</v>
      </c>
      <c r="G6398" s="3">
        <f t="shared" si="754"/>
        <v>-42.753599999999999</v>
      </c>
      <c r="H6398" s="3">
        <f t="shared" si="755"/>
        <v>42.753599999999999</v>
      </c>
      <c r="I6398" s="5" t="str">
        <f t="shared" si="756"/>
        <v>018</v>
      </c>
      <c r="J6398" s="5" t="str">
        <f t="shared" si="757"/>
        <v>2230</v>
      </c>
      <c r="K6398" s="5" t="str">
        <f t="shared" si="758"/>
        <v>000</v>
      </c>
      <c r="L6398" s="5">
        <f t="shared" si="759"/>
        <v>4</v>
      </c>
      <c r="M6398" s="5">
        <f t="shared" si="760"/>
        <v>2013</v>
      </c>
    </row>
    <row r="6399" spans="1:13" ht="15" x14ac:dyDescent="0.25">
      <c r="A6399" s="1">
        <f>DATE(2013,4,18)</f>
        <v>41382</v>
      </c>
      <c r="B6399" t="s">
        <v>19</v>
      </c>
      <c r="C6399" t="s">
        <v>6</v>
      </c>
      <c r="D6399" s="3">
        <v>5127.29</v>
      </c>
      <c r="E6399" s="3">
        <v>0</v>
      </c>
      <c r="F6399" t="s">
        <v>45</v>
      </c>
      <c r="G6399" s="3">
        <f t="shared" si="754"/>
        <v>-5127.29</v>
      </c>
      <c r="H6399" s="3">
        <f t="shared" si="755"/>
        <v>5127.29</v>
      </c>
      <c r="I6399" s="5" t="str">
        <f t="shared" si="756"/>
        <v>018</v>
      </c>
      <c r="J6399" s="5" t="str">
        <f t="shared" si="757"/>
        <v>2100</v>
      </c>
      <c r="K6399" s="5" t="str">
        <f t="shared" si="758"/>
        <v>000</v>
      </c>
      <c r="L6399" s="5">
        <f t="shared" si="759"/>
        <v>4</v>
      </c>
      <c r="M6399" s="5">
        <f t="shared" si="760"/>
        <v>2013</v>
      </c>
    </row>
    <row r="6400" spans="1:13" ht="15" x14ac:dyDescent="0.25">
      <c r="A6400" s="1">
        <f>DATE(2013,4,18)</f>
        <v>41382</v>
      </c>
      <c r="B6400" t="s">
        <v>20</v>
      </c>
      <c r="C6400" t="s">
        <v>8</v>
      </c>
      <c r="D6400" s="3">
        <v>1030.5440000000001</v>
      </c>
      <c r="E6400" s="3">
        <v>0</v>
      </c>
      <c r="F6400" t="s">
        <v>45</v>
      </c>
      <c r="G6400" s="3">
        <f t="shared" si="754"/>
        <v>-1030.5440000000001</v>
      </c>
      <c r="H6400" s="3">
        <f t="shared" si="755"/>
        <v>1030.5440000000001</v>
      </c>
      <c r="I6400" s="5" t="str">
        <f t="shared" si="756"/>
        <v>018</v>
      </c>
      <c r="J6400" s="5" t="str">
        <f t="shared" si="757"/>
        <v>2210</v>
      </c>
      <c r="K6400" s="5" t="str">
        <f t="shared" si="758"/>
        <v>000</v>
      </c>
      <c r="L6400" s="5">
        <f t="shared" si="759"/>
        <v>4</v>
      </c>
      <c r="M6400" s="5">
        <f t="shared" si="760"/>
        <v>2013</v>
      </c>
    </row>
    <row r="6401" spans="1:13" ht="15" x14ac:dyDescent="0.25">
      <c r="A6401" s="1">
        <f>DATE(2013,4,18)</f>
        <v>41382</v>
      </c>
      <c r="B6401" t="s">
        <v>21</v>
      </c>
      <c r="C6401" t="s">
        <v>9</v>
      </c>
      <c r="D6401" s="3">
        <v>452.40289999999999</v>
      </c>
      <c r="E6401" s="3">
        <v>0</v>
      </c>
      <c r="F6401" t="s">
        <v>45</v>
      </c>
      <c r="G6401" s="3">
        <f t="shared" si="754"/>
        <v>-452.40289999999999</v>
      </c>
      <c r="H6401" s="3">
        <f t="shared" si="755"/>
        <v>452.40289999999999</v>
      </c>
      <c r="I6401" s="5" t="str">
        <f t="shared" si="756"/>
        <v>018</v>
      </c>
      <c r="J6401" s="5" t="str">
        <f t="shared" si="757"/>
        <v>2220</v>
      </c>
      <c r="K6401" s="5" t="str">
        <f t="shared" si="758"/>
        <v>000</v>
      </c>
      <c r="L6401" s="5">
        <f t="shared" si="759"/>
        <v>4</v>
      </c>
      <c r="M6401" s="5">
        <f t="shared" si="760"/>
        <v>2013</v>
      </c>
    </row>
    <row r="6402" spans="1:13" ht="15" x14ac:dyDescent="0.25">
      <c r="A6402" s="1">
        <f>DATE(2013,4,18)</f>
        <v>41382</v>
      </c>
      <c r="B6402" t="s">
        <v>22</v>
      </c>
      <c r="C6402" t="s">
        <v>10</v>
      </c>
      <c r="D6402" s="3">
        <v>46.9161</v>
      </c>
      <c r="E6402" s="3">
        <v>0</v>
      </c>
      <c r="F6402" t="s">
        <v>45</v>
      </c>
      <c r="G6402" s="3">
        <f t="shared" ref="G6402:G6465" si="762">E6402-D6402</f>
        <v>-46.9161</v>
      </c>
      <c r="H6402" s="3">
        <f t="shared" ref="H6402:H6465" si="763">ABS(G6402)</f>
        <v>46.9161</v>
      </c>
      <c r="I6402" s="5" t="str">
        <f t="shared" ref="I6402:I6465" si="764">MID(B6402,1,3)</f>
        <v>018</v>
      </c>
      <c r="J6402" s="5" t="str">
        <f t="shared" ref="J6402:J6465" si="765">MID(B6402,5,4)</f>
        <v>2230</v>
      </c>
      <c r="K6402" s="5" t="str">
        <f t="shared" ref="K6402:K6465" si="766">MID(B6402,10,3)</f>
        <v>000</v>
      </c>
      <c r="L6402" s="5">
        <f t="shared" ref="L6402:L6465" si="767">MONTH(A6402)</f>
        <v>4</v>
      </c>
      <c r="M6402" s="5">
        <f t="shared" ref="M6402:M6465" si="768">YEAR(A6402)</f>
        <v>2013</v>
      </c>
    </row>
    <row r="6403" spans="1:13" ht="15" x14ac:dyDescent="0.25">
      <c r="A6403" s="1">
        <f>DATE(2013,4,19)</f>
        <v>41383</v>
      </c>
      <c r="B6403" t="s">
        <v>19</v>
      </c>
      <c r="C6403" t="s">
        <v>6</v>
      </c>
      <c r="D6403" s="3">
        <v>9009.0231000000003</v>
      </c>
      <c r="E6403" s="3">
        <v>0</v>
      </c>
      <c r="F6403" t="s">
        <v>45</v>
      </c>
      <c r="G6403" s="3">
        <f t="shared" si="762"/>
        <v>-9009.0231000000003</v>
      </c>
      <c r="H6403" s="3">
        <f t="shared" si="763"/>
        <v>9009.0231000000003</v>
      </c>
      <c r="I6403" s="5" t="str">
        <f t="shared" si="764"/>
        <v>018</v>
      </c>
      <c r="J6403" s="5" t="str">
        <f t="shared" si="765"/>
        <v>2100</v>
      </c>
      <c r="K6403" s="5" t="str">
        <f t="shared" si="766"/>
        <v>000</v>
      </c>
      <c r="L6403" s="5">
        <f t="shared" si="767"/>
        <v>4</v>
      </c>
      <c r="M6403" s="5">
        <f t="shared" si="768"/>
        <v>2013</v>
      </c>
    </row>
    <row r="6404" spans="1:13" ht="15" x14ac:dyDescent="0.25">
      <c r="A6404" s="1">
        <f>DATE(2013,4,19)</f>
        <v>41383</v>
      </c>
      <c r="B6404" t="s">
        <v>20</v>
      </c>
      <c r="C6404" t="s">
        <v>8</v>
      </c>
      <c r="D6404" s="3">
        <v>2484.9245000000001</v>
      </c>
      <c r="E6404" s="3">
        <v>0</v>
      </c>
      <c r="F6404" t="s">
        <v>45</v>
      </c>
      <c r="G6404" s="3">
        <f t="shared" si="762"/>
        <v>-2484.9245000000001</v>
      </c>
      <c r="H6404" s="3">
        <f t="shared" si="763"/>
        <v>2484.9245000000001</v>
      </c>
      <c r="I6404" s="5" t="str">
        <f t="shared" si="764"/>
        <v>018</v>
      </c>
      <c r="J6404" s="5" t="str">
        <f t="shared" si="765"/>
        <v>2210</v>
      </c>
      <c r="K6404" s="5" t="str">
        <f t="shared" si="766"/>
        <v>000</v>
      </c>
      <c r="L6404" s="5">
        <f t="shared" si="767"/>
        <v>4</v>
      </c>
      <c r="M6404" s="5">
        <f t="shared" si="768"/>
        <v>2013</v>
      </c>
    </row>
    <row r="6405" spans="1:13" ht="15" x14ac:dyDescent="0.25">
      <c r="A6405" s="1">
        <f>DATE(2013,4,19)</f>
        <v>41383</v>
      </c>
      <c r="B6405" t="s">
        <v>21</v>
      </c>
      <c r="C6405" t="s">
        <v>9</v>
      </c>
      <c r="D6405" s="3">
        <v>469.13279999999997</v>
      </c>
      <c r="E6405" s="3">
        <v>0</v>
      </c>
      <c r="F6405" t="s">
        <v>45</v>
      </c>
      <c r="G6405" s="3">
        <f t="shared" si="762"/>
        <v>-469.13279999999997</v>
      </c>
      <c r="H6405" s="3">
        <f t="shared" si="763"/>
        <v>469.13279999999997</v>
      </c>
      <c r="I6405" s="5" t="str">
        <f t="shared" si="764"/>
        <v>018</v>
      </c>
      <c r="J6405" s="5" t="str">
        <f t="shared" si="765"/>
        <v>2220</v>
      </c>
      <c r="K6405" s="5" t="str">
        <f t="shared" si="766"/>
        <v>000</v>
      </c>
      <c r="L6405" s="5">
        <f t="shared" si="767"/>
        <v>4</v>
      </c>
      <c r="M6405" s="5">
        <f t="shared" si="768"/>
        <v>2013</v>
      </c>
    </row>
    <row r="6406" spans="1:13" ht="15" x14ac:dyDescent="0.25">
      <c r="A6406" s="1">
        <f>DATE(2013,4,19)</f>
        <v>41383</v>
      </c>
      <c r="B6406" t="s">
        <v>22</v>
      </c>
      <c r="C6406" t="s">
        <v>10</v>
      </c>
      <c r="D6406" s="3">
        <v>112.59990000000001</v>
      </c>
      <c r="E6406" s="3">
        <v>0</v>
      </c>
      <c r="F6406" t="s">
        <v>45</v>
      </c>
      <c r="G6406" s="3">
        <f t="shared" si="762"/>
        <v>-112.59990000000001</v>
      </c>
      <c r="H6406" s="3">
        <f t="shared" si="763"/>
        <v>112.59990000000001</v>
      </c>
      <c r="I6406" s="5" t="str">
        <f t="shared" si="764"/>
        <v>018</v>
      </c>
      <c r="J6406" s="5" t="str">
        <f t="shared" si="765"/>
        <v>2230</v>
      </c>
      <c r="K6406" s="5" t="str">
        <f t="shared" si="766"/>
        <v>000</v>
      </c>
      <c r="L6406" s="5">
        <f t="shared" si="767"/>
        <v>4</v>
      </c>
      <c r="M6406" s="5">
        <f t="shared" si="768"/>
        <v>2013</v>
      </c>
    </row>
    <row r="6407" spans="1:13" ht="15" x14ac:dyDescent="0.25">
      <c r="A6407" s="1">
        <f>DATE(2013,4,20)</f>
        <v>41384</v>
      </c>
      <c r="B6407" t="s">
        <v>19</v>
      </c>
      <c r="C6407" t="s">
        <v>6</v>
      </c>
      <c r="D6407" s="3">
        <v>15650.432000000001</v>
      </c>
      <c r="E6407" s="3">
        <v>0</v>
      </c>
      <c r="F6407" t="s">
        <v>45</v>
      </c>
      <c r="G6407" s="3">
        <f t="shared" si="762"/>
        <v>-15650.432000000001</v>
      </c>
      <c r="H6407" s="3">
        <f t="shared" si="763"/>
        <v>15650.432000000001</v>
      </c>
      <c r="I6407" s="5" t="str">
        <f t="shared" si="764"/>
        <v>018</v>
      </c>
      <c r="J6407" s="5" t="str">
        <f t="shared" si="765"/>
        <v>2100</v>
      </c>
      <c r="K6407" s="5" t="str">
        <f t="shared" si="766"/>
        <v>000</v>
      </c>
      <c r="L6407" s="5">
        <f t="shared" si="767"/>
        <v>4</v>
      </c>
      <c r="M6407" s="5">
        <f t="shared" si="768"/>
        <v>2013</v>
      </c>
    </row>
    <row r="6408" spans="1:13" ht="15" x14ac:dyDescent="0.25">
      <c r="A6408" s="1">
        <f>DATE(2013,4,20)</f>
        <v>41384</v>
      </c>
      <c r="B6408" t="s">
        <v>20</v>
      </c>
      <c r="C6408" t="s">
        <v>8</v>
      </c>
      <c r="D6408" s="3">
        <v>4296.2705000000005</v>
      </c>
      <c r="E6408" s="3">
        <v>0</v>
      </c>
      <c r="F6408" t="s">
        <v>45</v>
      </c>
      <c r="G6408" s="3">
        <f t="shared" si="762"/>
        <v>-4296.2705000000005</v>
      </c>
      <c r="H6408" s="3">
        <f t="shared" si="763"/>
        <v>4296.2705000000005</v>
      </c>
      <c r="I6408" s="5" t="str">
        <f t="shared" si="764"/>
        <v>018</v>
      </c>
      <c r="J6408" s="5" t="str">
        <f t="shared" si="765"/>
        <v>2210</v>
      </c>
      <c r="K6408" s="5" t="str">
        <f t="shared" si="766"/>
        <v>000</v>
      </c>
      <c r="L6408" s="5">
        <f t="shared" si="767"/>
        <v>4</v>
      </c>
      <c r="M6408" s="5">
        <f t="shared" si="768"/>
        <v>2013</v>
      </c>
    </row>
    <row r="6409" spans="1:13" ht="15" x14ac:dyDescent="0.25">
      <c r="A6409" s="1">
        <f>DATE(2013,4,20)</f>
        <v>41384</v>
      </c>
      <c r="B6409" t="s">
        <v>21</v>
      </c>
      <c r="C6409" t="s">
        <v>9</v>
      </c>
      <c r="D6409" s="3">
        <v>899.94430000000011</v>
      </c>
      <c r="E6409" s="3">
        <v>0</v>
      </c>
      <c r="F6409" t="s">
        <v>45</v>
      </c>
      <c r="G6409" s="3">
        <f t="shared" si="762"/>
        <v>-899.94430000000011</v>
      </c>
      <c r="H6409" s="3">
        <f t="shared" si="763"/>
        <v>899.94430000000011</v>
      </c>
      <c r="I6409" s="5" t="str">
        <f t="shared" si="764"/>
        <v>018</v>
      </c>
      <c r="J6409" s="5" t="str">
        <f t="shared" si="765"/>
        <v>2220</v>
      </c>
      <c r="K6409" s="5" t="str">
        <f t="shared" si="766"/>
        <v>000</v>
      </c>
      <c r="L6409" s="5">
        <f t="shared" si="767"/>
        <v>4</v>
      </c>
      <c r="M6409" s="5">
        <f t="shared" si="768"/>
        <v>2013</v>
      </c>
    </row>
    <row r="6410" spans="1:13" ht="15" x14ac:dyDescent="0.25">
      <c r="A6410" s="1">
        <f>DATE(2013,4,20)</f>
        <v>41384</v>
      </c>
      <c r="B6410" t="s">
        <v>22</v>
      </c>
      <c r="C6410" t="s">
        <v>10</v>
      </c>
      <c r="D6410" s="3">
        <v>74.18549999999999</v>
      </c>
      <c r="E6410" s="3">
        <v>0</v>
      </c>
      <c r="F6410" t="s">
        <v>45</v>
      </c>
      <c r="G6410" s="3">
        <f t="shared" si="762"/>
        <v>-74.18549999999999</v>
      </c>
      <c r="H6410" s="3">
        <f t="shared" si="763"/>
        <v>74.18549999999999</v>
      </c>
      <c r="I6410" s="5" t="str">
        <f t="shared" si="764"/>
        <v>018</v>
      </c>
      <c r="J6410" s="5" t="str">
        <f t="shared" si="765"/>
        <v>2230</v>
      </c>
      <c r="K6410" s="5" t="str">
        <f t="shared" si="766"/>
        <v>000</v>
      </c>
      <c r="L6410" s="5">
        <f t="shared" si="767"/>
        <v>4</v>
      </c>
      <c r="M6410" s="5">
        <f t="shared" si="768"/>
        <v>2013</v>
      </c>
    </row>
    <row r="6411" spans="1:13" ht="15" x14ac:dyDescent="0.25">
      <c r="A6411" s="1">
        <f>DATE(2013,4,21)</f>
        <v>41385</v>
      </c>
      <c r="B6411" t="s">
        <v>19</v>
      </c>
      <c r="C6411" t="s">
        <v>6</v>
      </c>
      <c r="D6411" s="3">
        <v>8727.5105999999996</v>
      </c>
      <c r="E6411" s="3">
        <v>0</v>
      </c>
      <c r="F6411" t="s">
        <v>45</v>
      </c>
      <c r="G6411" s="3">
        <f t="shared" si="762"/>
        <v>-8727.5105999999996</v>
      </c>
      <c r="H6411" s="3">
        <f t="shared" si="763"/>
        <v>8727.5105999999996</v>
      </c>
      <c r="I6411" s="5" t="str">
        <f t="shared" si="764"/>
        <v>018</v>
      </c>
      <c r="J6411" s="5" t="str">
        <f t="shared" si="765"/>
        <v>2100</v>
      </c>
      <c r="K6411" s="5" t="str">
        <f t="shared" si="766"/>
        <v>000</v>
      </c>
      <c r="L6411" s="5">
        <f t="shared" si="767"/>
        <v>4</v>
      </c>
      <c r="M6411" s="5">
        <f t="shared" si="768"/>
        <v>2013</v>
      </c>
    </row>
    <row r="6412" spans="1:13" ht="15" x14ac:dyDescent="0.25">
      <c r="A6412" s="1">
        <f>DATE(2013,4,21)</f>
        <v>41385</v>
      </c>
      <c r="B6412" t="s">
        <v>20</v>
      </c>
      <c r="C6412" t="s">
        <v>8</v>
      </c>
      <c r="D6412" s="3">
        <v>1241.8535999999999</v>
      </c>
      <c r="E6412" s="3">
        <v>0</v>
      </c>
      <c r="F6412" t="s">
        <v>45</v>
      </c>
      <c r="G6412" s="3">
        <f t="shared" si="762"/>
        <v>-1241.8535999999999</v>
      </c>
      <c r="H6412" s="3">
        <f t="shared" si="763"/>
        <v>1241.8535999999999</v>
      </c>
      <c r="I6412" s="5" t="str">
        <f t="shared" si="764"/>
        <v>018</v>
      </c>
      <c r="J6412" s="5" t="str">
        <f t="shared" si="765"/>
        <v>2210</v>
      </c>
      <c r="K6412" s="5" t="str">
        <f t="shared" si="766"/>
        <v>000</v>
      </c>
      <c r="L6412" s="5">
        <f t="shared" si="767"/>
        <v>4</v>
      </c>
      <c r="M6412" s="5">
        <f t="shared" si="768"/>
        <v>2013</v>
      </c>
    </row>
    <row r="6413" spans="1:13" ht="15" x14ac:dyDescent="0.25">
      <c r="A6413" s="1">
        <f>DATE(2013,4,21)</f>
        <v>41385</v>
      </c>
      <c r="B6413" t="s">
        <v>21</v>
      </c>
      <c r="C6413" t="s">
        <v>9</v>
      </c>
      <c r="D6413" s="3">
        <v>510.4008</v>
      </c>
      <c r="E6413" s="3">
        <v>0</v>
      </c>
      <c r="F6413" t="s">
        <v>45</v>
      </c>
      <c r="G6413" s="3">
        <f t="shared" si="762"/>
        <v>-510.4008</v>
      </c>
      <c r="H6413" s="3">
        <f t="shared" si="763"/>
        <v>510.4008</v>
      </c>
      <c r="I6413" s="5" t="str">
        <f t="shared" si="764"/>
        <v>018</v>
      </c>
      <c r="J6413" s="5" t="str">
        <f t="shared" si="765"/>
        <v>2220</v>
      </c>
      <c r="K6413" s="5" t="str">
        <f t="shared" si="766"/>
        <v>000</v>
      </c>
      <c r="L6413" s="5">
        <f t="shared" si="767"/>
        <v>4</v>
      </c>
      <c r="M6413" s="5">
        <f t="shared" si="768"/>
        <v>2013</v>
      </c>
    </row>
    <row r="6414" spans="1:13" ht="15" x14ac:dyDescent="0.25">
      <c r="A6414" s="1">
        <f>DATE(2013,4,21)</f>
        <v>41385</v>
      </c>
      <c r="B6414" t="s">
        <v>22</v>
      </c>
      <c r="C6414" t="s">
        <v>10</v>
      </c>
      <c r="D6414" s="3">
        <v>39.741599999999998</v>
      </c>
      <c r="E6414" s="3">
        <v>0</v>
      </c>
      <c r="F6414" t="s">
        <v>45</v>
      </c>
      <c r="G6414" s="3">
        <f t="shared" si="762"/>
        <v>-39.741599999999998</v>
      </c>
      <c r="H6414" s="3">
        <f t="shared" si="763"/>
        <v>39.741599999999998</v>
      </c>
      <c r="I6414" s="5" t="str">
        <f t="shared" si="764"/>
        <v>018</v>
      </c>
      <c r="J6414" s="5" t="str">
        <f t="shared" si="765"/>
        <v>2230</v>
      </c>
      <c r="K6414" s="5" t="str">
        <f t="shared" si="766"/>
        <v>000</v>
      </c>
      <c r="L6414" s="5">
        <f t="shared" si="767"/>
        <v>4</v>
      </c>
      <c r="M6414" s="5">
        <f t="shared" si="768"/>
        <v>2013</v>
      </c>
    </row>
    <row r="6415" spans="1:13" ht="15" x14ac:dyDescent="0.25">
      <c r="A6415" s="1">
        <f>DATE(2013,4,22)</f>
        <v>41386</v>
      </c>
      <c r="B6415" t="s">
        <v>11</v>
      </c>
      <c r="C6415" t="s">
        <v>6</v>
      </c>
      <c r="D6415" s="3">
        <v>2101.5084999999999</v>
      </c>
      <c r="E6415" s="3">
        <v>0</v>
      </c>
      <c r="F6415" t="s">
        <v>45</v>
      </c>
      <c r="G6415" s="3">
        <f t="shared" si="762"/>
        <v>-2101.5084999999999</v>
      </c>
      <c r="H6415" s="3">
        <f t="shared" si="763"/>
        <v>2101.5084999999999</v>
      </c>
      <c r="I6415" s="5" t="str">
        <f t="shared" si="764"/>
        <v>016</v>
      </c>
      <c r="J6415" s="5" t="str">
        <f t="shared" si="765"/>
        <v>2100</v>
      </c>
      <c r="K6415" s="5" t="str">
        <f t="shared" si="766"/>
        <v>000</v>
      </c>
      <c r="L6415" s="5">
        <f t="shared" si="767"/>
        <v>4</v>
      </c>
      <c r="M6415" s="5">
        <f t="shared" si="768"/>
        <v>2013</v>
      </c>
    </row>
    <row r="6416" spans="1:13" ht="15" x14ac:dyDescent="0.25">
      <c r="A6416" s="1">
        <f>DATE(2013,4,22)</f>
        <v>41386</v>
      </c>
      <c r="B6416" t="s">
        <v>12</v>
      </c>
      <c r="C6416" t="s">
        <v>8</v>
      </c>
      <c r="D6416" s="3">
        <v>240.68999999999997</v>
      </c>
      <c r="E6416" s="3">
        <v>0</v>
      </c>
      <c r="F6416" t="s">
        <v>45</v>
      </c>
      <c r="G6416" s="3">
        <f t="shared" si="762"/>
        <v>-240.68999999999997</v>
      </c>
      <c r="H6416" s="3">
        <f t="shared" si="763"/>
        <v>240.68999999999997</v>
      </c>
      <c r="I6416" s="5" t="str">
        <f t="shared" si="764"/>
        <v>016</v>
      </c>
      <c r="J6416" s="5" t="str">
        <f t="shared" si="765"/>
        <v>2210</v>
      </c>
      <c r="K6416" s="5" t="str">
        <f t="shared" si="766"/>
        <v>000</v>
      </c>
      <c r="L6416" s="5">
        <f t="shared" si="767"/>
        <v>4</v>
      </c>
      <c r="M6416" s="5">
        <f t="shared" si="768"/>
        <v>2013</v>
      </c>
    </row>
    <row r="6417" spans="1:13" ht="15" x14ac:dyDescent="0.25">
      <c r="A6417" s="1">
        <f>DATE(2013,4,22)</f>
        <v>41386</v>
      </c>
      <c r="B6417" t="s">
        <v>13</v>
      </c>
      <c r="C6417" t="s">
        <v>9</v>
      </c>
      <c r="D6417" s="3">
        <v>67.515000000000001</v>
      </c>
      <c r="E6417" s="3">
        <v>0</v>
      </c>
      <c r="F6417" t="s">
        <v>45</v>
      </c>
      <c r="G6417" s="3">
        <f t="shared" si="762"/>
        <v>-67.515000000000001</v>
      </c>
      <c r="H6417" s="3">
        <f t="shared" si="763"/>
        <v>67.515000000000001</v>
      </c>
      <c r="I6417" s="5" t="str">
        <f t="shared" si="764"/>
        <v>016</v>
      </c>
      <c r="J6417" s="5" t="str">
        <f t="shared" si="765"/>
        <v>2220</v>
      </c>
      <c r="K6417" s="5" t="str">
        <f t="shared" si="766"/>
        <v>000</v>
      </c>
      <c r="L6417" s="5">
        <f t="shared" si="767"/>
        <v>4</v>
      </c>
      <c r="M6417" s="5">
        <f t="shared" si="768"/>
        <v>2013</v>
      </c>
    </row>
    <row r="6418" spans="1:13" ht="15" x14ac:dyDescent="0.25">
      <c r="A6418" s="1">
        <f>DATE(2013,4,22)</f>
        <v>41386</v>
      </c>
      <c r="B6418" t="s">
        <v>14</v>
      </c>
      <c r="C6418" t="s">
        <v>10</v>
      </c>
      <c r="D6418" s="3">
        <v>21.8139</v>
      </c>
      <c r="E6418" s="3">
        <v>0</v>
      </c>
      <c r="F6418" t="s">
        <v>45</v>
      </c>
      <c r="G6418" s="3">
        <f t="shared" si="762"/>
        <v>-21.8139</v>
      </c>
      <c r="H6418" s="3">
        <f t="shared" si="763"/>
        <v>21.8139</v>
      </c>
      <c r="I6418" s="5" t="str">
        <f t="shared" si="764"/>
        <v>016</v>
      </c>
      <c r="J6418" s="5" t="str">
        <f t="shared" si="765"/>
        <v>2230</v>
      </c>
      <c r="K6418" s="5" t="str">
        <f t="shared" si="766"/>
        <v>000</v>
      </c>
      <c r="L6418" s="5">
        <f t="shared" si="767"/>
        <v>4</v>
      </c>
      <c r="M6418" s="5">
        <f t="shared" si="768"/>
        <v>2013</v>
      </c>
    </row>
    <row r="6419" spans="1:13" ht="15" x14ac:dyDescent="0.25">
      <c r="A6419" s="1">
        <f>DATE(2013,4,23)</f>
        <v>41387</v>
      </c>
      <c r="B6419" t="s">
        <v>11</v>
      </c>
      <c r="C6419" t="s">
        <v>6</v>
      </c>
      <c r="D6419" s="3">
        <v>9025.7795999999998</v>
      </c>
      <c r="E6419" s="3">
        <v>0</v>
      </c>
      <c r="F6419" t="s">
        <v>45</v>
      </c>
      <c r="G6419" s="3">
        <f t="shared" si="762"/>
        <v>-9025.7795999999998</v>
      </c>
      <c r="H6419" s="3">
        <f t="shared" si="763"/>
        <v>9025.7795999999998</v>
      </c>
      <c r="I6419" s="5" t="str">
        <f t="shared" si="764"/>
        <v>016</v>
      </c>
      <c r="J6419" s="5" t="str">
        <f t="shared" si="765"/>
        <v>2100</v>
      </c>
      <c r="K6419" s="5" t="str">
        <f t="shared" si="766"/>
        <v>000</v>
      </c>
      <c r="L6419" s="5">
        <f t="shared" si="767"/>
        <v>4</v>
      </c>
      <c r="M6419" s="5">
        <f t="shared" si="768"/>
        <v>2013</v>
      </c>
    </row>
    <row r="6420" spans="1:13" ht="15" x14ac:dyDescent="0.25">
      <c r="A6420" s="1">
        <f>DATE(2013,4,23)</f>
        <v>41387</v>
      </c>
      <c r="B6420" t="s">
        <v>12</v>
      </c>
      <c r="C6420" t="s">
        <v>8</v>
      </c>
      <c r="D6420" s="3">
        <v>2581.5605</v>
      </c>
      <c r="E6420" s="3">
        <v>0</v>
      </c>
      <c r="F6420" t="s">
        <v>45</v>
      </c>
      <c r="G6420" s="3">
        <f t="shared" si="762"/>
        <v>-2581.5605</v>
      </c>
      <c r="H6420" s="3">
        <f t="shared" si="763"/>
        <v>2581.5605</v>
      </c>
      <c r="I6420" s="5" t="str">
        <f t="shared" si="764"/>
        <v>016</v>
      </c>
      <c r="J6420" s="5" t="str">
        <f t="shared" si="765"/>
        <v>2210</v>
      </c>
      <c r="K6420" s="5" t="str">
        <f t="shared" si="766"/>
        <v>000</v>
      </c>
      <c r="L6420" s="5">
        <f t="shared" si="767"/>
        <v>4</v>
      </c>
      <c r="M6420" s="5">
        <f t="shared" si="768"/>
        <v>2013</v>
      </c>
    </row>
    <row r="6421" spans="1:13" ht="15" x14ac:dyDescent="0.25">
      <c r="A6421" s="1">
        <f>DATE(2013,4,23)</f>
        <v>41387</v>
      </c>
      <c r="B6421" t="s">
        <v>13</v>
      </c>
      <c r="C6421" t="s">
        <v>9</v>
      </c>
      <c r="D6421" s="3">
        <v>1015.0577</v>
      </c>
      <c r="E6421" s="3">
        <v>0</v>
      </c>
      <c r="F6421" t="s">
        <v>45</v>
      </c>
      <c r="G6421" s="3">
        <f t="shared" si="762"/>
        <v>-1015.0577</v>
      </c>
      <c r="H6421" s="3">
        <f t="shared" si="763"/>
        <v>1015.0577</v>
      </c>
      <c r="I6421" s="5" t="str">
        <f t="shared" si="764"/>
        <v>016</v>
      </c>
      <c r="J6421" s="5" t="str">
        <f t="shared" si="765"/>
        <v>2220</v>
      </c>
      <c r="K6421" s="5" t="str">
        <f t="shared" si="766"/>
        <v>000</v>
      </c>
      <c r="L6421" s="5">
        <f t="shared" si="767"/>
        <v>4</v>
      </c>
      <c r="M6421" s="5">
        <f t="shared" si="768"/>
        <v>2013</v>
      </c>
    </row>
    <row r="6422" spans="1:13" ht="15" x14ac:dyDescent="0.25">
      <c r="A6422" s="1">
        <f>DATE(2013,4,23)</f>
        <v>41387</v>
      </c>
      <c r="B6422" t="s">
        <v>14</v>
      </c>
      <c r="C6422" t="s">
        <v>10</v>
      </c>
      <c r="D6422" s="3">
        <v>338.14299999999997</v>
      </c>
      <c r="E6422" s="3">
        <v>0</v>
      </c>
      <c r="F6422" t="s">
        <v>45</v>
      </c>
      <c r="G6422" s="3">
        <f t="shared" si="762"/>
        <v>-338.14299999999997</v>
      </c>
      <c r="H6422" s="3">
        <f t="shared" si="763"/>
        <v>338.14299999999997</v>
      </c>
      <c r="I6422" s="5" t="str">
        <f t="shared" si="764"/>
        <v>016</v>
      </c>
      <c r="J6422" s="5" t="str">
        <f t="shared" si="765"/>
        <v>2230</v>
      </c>
      <c r="K6422" s="5" t="str">
        <f t="shared" si="766"/>
        <v>000</v>
      </c>
      <c r="L6422" s="5">
        <f t="shared" si="767"/>
        <v>4</v>
      </c>
      <c r="M6422" s="5">
        <f t="shared" si="768"/>
        <v>2013</v>
      </c>
    </row>
    <row r="6423" spans="1:13" ht="15" x14ac:dyDescent="0.25">
      <c r="A6423" s="1">
        <f>DATE(2013,4,24)</f>
        <v>41388</v>
      </c>
      <c r="B6423" t="s">
        <v>11</v>
      </c>
      <c r="C6423" t="s">
        <v>6</v>
      </c>
      <c r="D6423" s="3">
        <v>3390.9011999999998</v>
      </c>
      <c r="E6423" s="3">
        <v>0</v>
      </c>
      <c r="F6423" t="s">
        <v>45</v>
      </c>
      <c r="G6423" s="3">
        <f t="shared" si="762"/>
        <v>-3390.9011999999998</v>
      </c>
      <c r="H6423" s="3">
        <f t="shared" si="763"/>
        <v>3390.9011999999998</v>
      </c>
      <c r="I6423" s="5" t="str">
        <f t="shared" si="764"/>
        <v>016</v>
      </c>
      <c r="J6423" s="5" t="str">
        <f t="shared" si="765"/>
        <v>2100</v>
      </c>
      <c r="K6423" s="5" t="str">
        <f t="shared" si="766"/>
        <v>000</v>
      </c>
      <c r="L6423" s="5">
        <f t="shared" si="767"/>
        <v>4</v>
      </c>
      <c r="M6423" s="5">
        <f t="shared" si="768"/>
        <v>2013</v>
      </c>
    </row>
    <row r="6424" spans="1:13" ht="15" x14ac:dyDescent="0.25">
      <c r="A6424" s="1">
        <f>DATE(2013,4,24)</f>
        <v>41388</v>
      </c>
      <c r="B6424" t="s">
        <v>12</v>
      </c>
      <c r="C6424" t="s">
        <v>8</v>
      </c>
      <c r="D6424" s="3">
        <v>1146.9272000000001</v>
      </c>
      <c r="E6424" s="3">
        <v>0</v>
      </c>
      <c r="F6424" t="s">
        <v>45</v>
      </c>
      <c r="G6424" s="3">
        <f t="shared" si="762"/>
        <v>-1146.9272000000001</v>
      </c>
      <c r="H6424" s="3">
        <f t="shared" si="763"/>
        <v>1146.9272000000001</v>
      </c>
      <c r="I6424" s="5" t="str">
        <f t="shared" si="764"/>
        <v>016</v>
      </c>
      <c r="J6424" s="5" t="str">
        <f t="shared" si="765"/>
        <v>2210</v>
      </c>
      <c r="K6424" s="5" t="str">
        <f t="shared" si="766"/>
        <v>000</v>
      </c>
      <c r="L6424" s="5">
        <f t="shared" si="767"/>
        <v>4</v>
      </c>
      <c r="M6424" s="5">
        <f t="shared" si="768"/>
        <v>2013</v>
      </c>
    </row>
    <row r="6425" spans="1:13" ht="15" x14ac:dyDescent="0.25">
      <c r="A6425" s="1">
        <f>DATE(2013,4,24)</f>
        <v>41388</v>
      </c>
      <c r="B6425" t="s">
        <v>13</v>
      </c>
      <c r="C6425" t="s">
        <v>9</v>
      </c>
      <c r="D6425" s="3">
        <v>130.92240000000001</v>
      </c>
      <c r="E6425" s="3">
        <v>0</v>
      </c>
      <c r="F6425" t="s">
        <v>45</v>
      </c>
      <c r="G6425" s="3">
        <f t="shared" si="762"/>
        <v>-130.92240000000001</v>
      </c>
      <c r="H6425" s="3">
        <f t="shared" si="763"/>
        <v>130.92240000000001</v>
      </c>
      <c r="I6425" s="5" t="str">
        <f t="shared" si="764"/>
        <v>016</v>
      </c>
      <c r="J6425" s="5" t="str">
        <f t="shared" si="765"/>
        <v>2220</v>
      </c>
      <c r="K6425" s="5" t="str">
        <f t="shared" si="766"/>
        <v>000</v>
      </c>
      <c r="L6425" s="5">
        <f t="shared" si="767"/>
        <v>4</v>
      </c>
      <c r="M6425" s="5">
        <f t="shared" si="768"/>
        <v>2013</v>
      </c>
    </row>
    <row r="6426" spans="1:13" ht="15" x14ac:dyDescent="0.25">
      <c r="A6426" s="1">
        <f>DATE(2013,4,24)</f>
        <v>41388</v>
      </c>
      <c r="B6426" t="s">
        <v>14</v>
      </c>
      <c r="C6426" t="s">
        <v>10</v>
      </c>
      <c r="D6426" s="3">
        <v>61.342400000000012</v>
      </c>
      <c r="E6426" s="3">
        <v>0</v>
      </c>
      <c r="F6426" t="s">
        <v>45</v>
      </c>
      <c r="G6426" s="3">
        <f t="shared" si="762"/>
        <v>-61.342400000000012</v>
      </c>
      <c r="H6426" s="3">
        <f t="shared" si="763"/>
        <v>61.342400000000012</v>
      </c>
      <c r="I6426" s="5" t="str">
        <f t="shared" si="764"/>
        <v>016</v>
      </c>
      <c r="J6426" s="5" t="str">
        <f t="shared" si="765"/>
        <v>2230</v>
      </c>
      <c r="K6426" s="5" t="str">
        <f t="shared" si="766"/>
        <v>000</v>
      </c>
      <c r="L6426" s="5">
        <f t="shared" si="767"/>
        <v>4</v>
      </c>
      <c r="M6426" s="5">
        <f t="shared" si="768"/>
        <v>2013</v>
      </c>
    </row>
    <row r="6427" spans="1:13" ht="15" x14ac:dyDescent="0.25">
      <c r="A6427" s="1">
        <f>DATE(2013,4,25)</f>
        <v>41389</v>
      </c>
      <c r="B6427" t="s">
        <v>11</v>
      </c>
      <c r="C6427" t="s">
        <v>6</v>
      </c>
      <c r="D6427" s="3">
        <v>2425.866</v>
      </c>
      <c r="E6427" s="3">
        <v>0</v>
      </c>
      <c r="F6427" t="s">
        <v>45</v>
      </c>
      <c r="G6427" s="3">
        <f t="shared" si="762"/>
        <v>-2425.866</v>
      </c>
      <c r="H6427" s="3">
        <f t="shared" si="763"/>
        <v>2425.866</v>
      </c>
      <c r="I6427" s="5" t="str">
        <f t="shared" si="764"/>
        <v>016</v>
      </c>
      <c r="J6427" s="5" t="str">
        <f t="shared" si="765"/>
        <v>2100</v>
      </c>
      <c r="K6427" s="5" t="str">
        <f t="shared" si="766"/>
        <v>000</v>
      </c>
      <c r="L6427" s="5">
        <f t="shared" si="767"/>
        <v>4</v>
      </c>
      <c r="M6427" s="5">
        <f t="shared" si="768"/>
        <v>2013</v>
      </c>
    </row>
    <row r="6428" spans="1:13" ht="15" x14ac:dyDescent="0.25">
      <c r="A6428" s="1">
        <f>DATE(2013,4,25)</f>
        <v>41389</v>
      </c>
      <c r="B6428" t="s">
        <v>12</v>
      </c>
      <c r="C6428" t="s">
        <v>8</v>
      </c>
      <c r="D6428" s="3">
        <v>874.10210000000018</v>
      </c>
      <c r="E6428" s="3">
        <v>0</v>
      </c>
      <c r="F6428" t="s">
        <v>45</v>
      </c>
      <c r="G6428" s="3">
        <f t="shared" si="762"/>
        <v>-874.10210000000018</v>
      </c>
      <c r="H6428" s="3">
        <f t="shared" si="763"/>
        <v>874.10210000000018</v>
      </c>
      <c r="I6428" s="5" t="str">
        <f t="shared" si="764"/>
        <v>016</v>
      </c>
      <c r="J6428" s="5" t="str">
        <f t="shared" si="765"/>
        <v>2210</v>
      </c>
      <c r="K6428" s="5" t="str">
        <f t="shared" si="766"/>
        <v>000</v>
      </c>
      <c r="L6428" s="5">
        <f t="shared" si="767"/>
        <v>4</v>
      </c>
      <c r="M6428" s="5">
        <f t="shared" si="768"/>
        <v>2013</v>
      </c>
    </row>
    <row r="6429" spans="1:13" ht="15" x14ac:dyDescent="0.25">
      <c r="A6429" s="1">
        <f>DATE(2013,4,25)</f>
        <v>41389</v>
      </c>
      <c r="B6429" t="s">
        <v>13</v>
      </c>
      <c r="C6429" t="s">
        <v>9</v>
      </c>
      <c r="D6429" s="3">
        <v>195.5772</v>
      </c>
      <c r="E6429" s="3">
        <v>0</v>
      </c>
      <c r="F6429" t="s">
        <v>45</v>
      </c>
      <c r="G6429" s="3">
        <f t="shared" si="762"/>
        <v>-195.5772</v>
      </c>
      <c r="H6429" s="3">
        <f t="shared" si="763"/>
        <v>195.5772</v>
      </c>
      <c r="I6429" s="5" t="str">
        <f t="shared" si="764"/>
        <v>016</v>
      </c>
      <c r="J6429" s="5" t="str">
        <f t="shared" si="765"/>
        <v>2220</v>
      </c>
      <c r="K6429" s="5" t="str">
        <f t="shared" si="766"/>
        <v>000</v>
      </c>
      <c r="L6429" s="5">
        <f t="shared" si="767"/>
        <v>4</v>
      </c>
      <c r="M6429" s="5">
        <f t="shared" si="768"/>
        <v>2013</v>
      </c>
    </row>
    <row r="6430" spans="1:13" ht="15" x14ac:dyDescent="0.25">
      <c r="A6430" s="1">
        <f>DATE(2013,4,25)</f>
        <v>41389</v>
      </c>
      <c r="B6430" t="s">
        <v>14</v>
      </c>
      <c r="C6430" t="s">
        <v>10</v>
      </c>
      <c r="D6430" s="3">
        <v>84.112000000000009</v>
      </c>
      <c r="E6430" s="3">
        <v>0</v>
      </c>
      <c r="F6430" t="s">
        <v>45</v>
      </c>
      <c r="G6430" s="3">
        <f t="shared" si="762"/>
        <v>-84.112000000000009</v>
      </c>
      <c r="H6430" s="3">
        <f t="shared" si="763"/>
        <v>84.112000000000009</v>
      </c>
      <c r="I6430" s="5" t="str">
        <f t="shared" si="764"/>
        <v>016</v>
      </c>
      <c r="J6430" s="5" t="str">
        <f t="shared" si="765"/>
        <v>2230</v>
      </c>
      <c r="K6430" s="5" t="str">
        <f t="shared" si="766"/>
        <v>000</v>
      </c>
      <c r="L6430" s="5">
        <f t="shared" si="767"/>
        <v>4</v>
      </c>
      <c r="M6430" s="5">
        <f t="shared" si="768"/>
        <v>2013</v>
      </c>
    </row>
    <row r="6431" spans="1:13" ht="15" x14ac:dyDescent="0.25">
      <c r="A6431" s="1">
        <f>DATE(2013,4,26)</f>
        <v>41390</v>
      </c>
      <c r="B6431" t="s">
        <v>11</v>
      </c>
      <c r="C6431" t="s">
        <v>6</v>
      </c>
      <c r="D6431" s="3">
        <v>7174.6660000000002</v>
      </c>
      <c r="E6431" s="3">
        <v>0</v>
      </c>
      <c r="F6431" t="s">
        <v>45</v>
      </c>
      <c r="G6431" s="3">
        <f t="shared" si="762"/>
        <v>-7174.6660000000002</v>
      </c>
      <c r="H6431" s="3">
        <f t="shared" si="763"/>
        <v>7174.6660000000002</v>
      </c>
      <c r="I6431" s="5" t="str">
        <f t="shared" si="764"/>
        <v>016</v>
      </c>
      <c r="J6431" s="5" t="str">
        <f t="shared" si="765"/>
        <v>2100</v>
      </c>
      <c r="K6431" s="5" t="str">
        <f t="shared" si="766"/>
        <v>000</v>
      </c>
      <c r="L6431" s="5">
        <f t="shared" si="767"/>
        <v>4</v>
      </c>
      <c r="M6431" s="5">
        <f t="shared" si="768"/>
        <v>2013</v>
      </c>
    </row>
    <row r="6432" spans="1:13" ht="15" x14ac:dyDescent="0.25">
      <c r="A6432" s="1">
        <f>DATE(2013,4,26)</f>
        <v>41390</v>
      </c>
      <c r="B6432" t="s">
        <v>12</v>
      </c>
      <c r="C6432" t="s">
        <v>8</v>
      </c>
      <c r="D6432" s="3">
        <v>2468.0320000000002</v>
      </c>
      <c r="E6432" s="3">
        <v>0</v>
      </c>
      <c r="F6432" t="s">
        <v>45</v>
      </c>
      <c r="G6432" s="3">
        <f t="shared" si="762"/>
        <v>-2468.0320000000002</v>
      </c>
      <c r="H6432" s="3">
        <f t="shared" si="763"/>
        <v>2468.0320000000002</v>
      </c>
      <c r="I6432" s="5" t="str">
        <f t="shared" si="764"/>
        <v>016</v>
      </c>
      <c r="J6432" s="5" t="str">
        <f t="shared" si="765"/>
        <v>2210</v>
      </c>
      <c r="K6432" s="5" t="str">
        <f t="shared" si="766"/>
        <v>000</v>
      </c>
      <c r="L6432" s="5">
        <f t="shared" si="767"/>
        <v>4</v>
      </c>
      <c r="M6432" s="5">
        <f t="shared" si="768"/>
        <v>2013</v>
      </c>
    </row>
    <row r="6433" spans="1:13" ht="15" x14ac:dyDescent="0.25">
      <c r="A6433" s="1">
        <f>DATE(2013,4,26)</f>
        <v>41390</v>
      </c>
      <c r="B6433" t="s">
        <v>13</v>
      </c>
      <c r="C6433" t="s">
        <v>9</v>
      </c>
      <c r="D6433" s="3">
        <v>404.88300000000004</v>
      </c>
      <c r="E6433" s="3">
        <v>0</v>
      </c>
      <c r="F6433" t="s">
        <v>45</v>
      </c>
      <c r="G6433" s="3">
        <f t="shared" si="762"/>
        <v>-404.88300000000004</v>
      </c>
      <c r="H6433" s="3">
        <f t="shared" si="763"/>
        <v>404.88300000000004</v>
      </c>
      <c r="I6433" s="5" t="str">
        <f t="shared" si="764"/>
        <v>016</v>
      </c>
      <c r="J6433" s="5" t="str">
        <f t="shared" si="765"/>
        <v>2220</v>
      </c>
      <c r="K6433" s="5" t="str">
        <f t="shared" si="766"/>
        <v>000</v>
      </c>
      <c r="L6433" s="5">
        <f t="shared" si="767"/>
        <v>4</v>
      </c>
      <c r="M6433" s="5">
        <f t="shared" si="768"/>
        <v>2013</v>
      </c>
    </row>
    <row r="6434" spans="1:13" ht="15" x14ac:dyDescent="0.25">
      <c r="A6434" s="1">
        <f>DATE(2013,4,26)</f>
        <v>41390</v>
      </c>
      <c r="B6434" t="s">
        <v>14</v>
      </c>
      <c r="C6434" t="s">
        <v>10</v>
      </c>
      <c r="D6434" s="3">
        <v>74.51039999999999</v>
      </c>
      <c r="E6434" s="3">
        <v>0</v>
      </c>
      <c r="F6434" t="s">
        <v>45</v>
      </c>
      <c r="G6434" s="3">
        <f t="shared" si="762"/>
        <v>-74.51039999999999</v>
      </c>
      <c r="H6434" s="3">
        <f t="shared" si="763"/>
        <v>74.51039999999999</v>
      </c>
      <c r="I6434" s="5" t="str">
        <f t="shared" si="764"/>
        <v>016</v>
      </c>
      <c r="J6434" s="5" t="str">
        <f t="shared" si="765"/>
        <v>2230</v>
      </c>
      <c r="K6434" s="5" t="str">
        <f t="shared" si="766"/>
        <v>000</v>
      </c>
      <c r="L6434" s="5">
        <f t="shared" si="767"/>
        <v>4</v>
      </c>
      <c r="M6434" s="5">
        <f t="shared" si="768"/>
        <v>2013</v>
      </c>
    </row>
    <row r="6435" spans="1:13" ht="15" x14ac:dyDescent="0.25">
      <c r="A6435" s="1">
        <f>DATE(2013,4,27)</f>
        <v>41391</v>
      </c>
      <c r="B6435" t="s">
        <v>11</v>
      </c>
      <c r="C6435" t="s">
        <v>6</v>
      </c>
      <c r="D6435" s="3">
        <v>8861.1849000000002</v>
      </c>
      <c r="E6435" s="3">
        <v>0</v>
      </c>
      <c r="F6435" t="s">
        <v>45</v>
      </c>
      <c r="G6435" s="3">
        <f t="shared" si="762"/>
        <v>-8861.1849000000002</v>
      </c>
      <c r="H6435" s="3">
        <f t="shared" si="763"/>
        <v>8861.1849000000002</v>
      </c>
      <c r="I6435" s="5" t="str">
        <f t="shared" si="764"/>
        <v>016</v>
      </c>
      <c r="J6435" s="5" t="str">
        <f t="shared" si="765"/>
        <v>2100</v>
      </c>
      <c r="K6435" s="5" t="str">
        <f t="shared" si="766"/>
        <v>000</v>
      </c>
      <c r="L6435" s="5">
        <f t="shared" si="767"/>
        <v>4</v>
      </c>
      <c r="M6435" s="5">
        <f t="shared" si="768"/>
        <v>2013</v>
      </c>
    </row>
    <row r="6436" spans="1:13" ht="15" x14ac:dyDescent="0.25">
      <c r="A6436" s="1">
        <f>DATE(2013,4,27)</f>
        <v>41391</v>
      </c>
      <c r="B6436" t="s">
        <v>12</v>
      </c>
      <c r="C6436" t="s">
        <v>8</v>
      </c>
      <c r="D6436" s="3">
        <v>1932.5736000000002</v>
      </c>
      <c r="E6436" s="3">
        <v>0</v>
      </c>
      <c r="F6436" t="s">
        <v>45</v>
      </c>
      <c r="G6436" s="3">
        <f t="shared" si="762"/>
        <v>-1932.5736000000002</v>
      </c>
      <c r="H6436" s="3">
        <f t="shared" si="763"/>
        <v>1932.5736000000002</v>
      </c>
      <c r="I6436" s="5" t="str">
        <f t="shared" si="764"/>
        <v>016</v>
      </c>
      <c r="J6436" s="5" t="str">
        <f t="shared" si="765"/>
        <v>2210</v>
      </c>
      <c r="K6436" s="5" t="str">
        <f t="shared" si="766"/>
        <v>000</v>
      </c>
      <c r="L6436" s="5">
        <f t="shared" si="767"/>
        <v>4</v>
      </c>
      <c r="M6436" s="5">
        <f t="shared" si="768"/>
        <v>2013</v>
      </c>
    </row>
    <row r="6437" spans="1:13" ht="15" x14ac:dyDescent="0.25">
      <c r="A6437" s="1">
        <f>DATE(2013,4,27)</f>
        <v>41391</v>
      </c>
      <c r="B6437" t="s">
        <v>13</v>
      </c>
      <c r="C6437" t="s">
        <v>9</v>
      </c>
      <c r="D6437" s="3">
        <v>501.79559999999998</v>
      </c>
      <c r="E6437" s="3">
        <v>0</v>
      </c>
      <c r="F6437" t="s">
        <v>45</v>
      </c>
      <c r="G6437" s="3">
        <f t="shared" si="762"/>
        <v>-501.79559999999998</v>
      </c>
      <c r="H6437" s="3">
        <f t="shared" si="763"/>
        <v>501.79559999999998</v>
      </c>
      <c r="I6437" s="5" t="str">
        <f t="shared" si="764"/>
        <v>016</v>
      </c>
      <c r="J6437" s="5" t="str">
        <f t="shared" si="765"/>
        <v>2220</v>
      </c>
      <c r="K6437" s="5" t="str">
        <f t="shared" si="766"/>
        <v>000</v>
      </c>
      <c r="L6437" s="5">
        <f t="shared" si="767"/>
        <v>4</v>
      </c>
      <c r="M6437" s="5">
        <f t="shared" si="768"/>
        <v>2013</v>
      </c>
    </row>
    <row r="6438" spans="1:13" ht="15" x14ac:dyDescent="0.25">
      <c r="A6438" s="1">
        <f>DATE(2013,4,27)</f>
        <v>41391</v>
      </c>
      <c r="B6438" t="s">
        <v>14</v>
      </c>
      <c r="C6438" t="s">
        <v>10</v>
      </c>
      <c r="D6438" s="3">
        <v>109.2234</v>
      </c>
      <c r="E6438" s="3">
        <v>0</v>
      </c>
      <c r="F6438" t="s">
        <v>45</v>
      </c>
      <c r="G6438" s="3">
        <f t="shared" si="762"/>
        <v>-109.2234</v>
      </c>
      <c r="H6438" s="3">
        <f t="shared" si="763"/>
        <v>109.2234</v>
      </c>
      <c r="I6438" s="5" t="str">
        <f t="shared" si="764"/>
        <v>016</v>
      </c>
      <c r="J6438" s="5" t="str">
        <f t="shared" si="765"/>
        <v>2230</v>
      </c>
      <c r="K6438" s="5" t="str">
        <f t="shared" si="766"/>
        <v>000</v>
      </c>
      <c r="L6438" s="5">
        <f t="shared" si="767"/>
        <v>4</v>
      </c>
      <c r="M6438" s="5">
        <f t="shared" si="768"/>
        <v>2013</v>
      </c>
    </row>
    <row r="6439" spans="1:13" ht="15" x14ac:dyDescent="0.25">
      <c r="A6439" s="1">
        <f>DATE(2013,4,28)</f>
        <v>41392</v>
      </c>
      <c r="B6439" t="s">
        <v>11</v>
      </c>
      <c r="C6439" t="s">
        <v>6</v>
      </c>
      <c r="D6439" s="3">
        <v>6797.7995999999994</v>
      </c>
      <c r="E6439" s="3">
        <v>0</v>
      </c>
      <c r="F6439" t="s">
        <v>45</v>
      </c>
      <c r="G6439" s="3">
        <f t="shared" si="762"/>
        <v>-6797.7995999999994</v>
      </c>
      <c r="H6439" s="3">
        <f t="shared" si="763"/>
        <v>6797.7995999999994</v>
      </c>
      <c r="I6439" s="5" t="str">
        <f t="shared" si="764"/>
        <v>016</v>
      </c>
      <c r="J6439" s="5" t="str">
        <f t="shared" si="765"/>
        <v>2100</v>
      </c>
      <c r="K6439" s="5" t="str">
        <f t="shared" si="766"/>
        <v>000</v>
      </c>
      <c r="L6439" s="5">
        <f t="shared" si="767"/>
        <v>4</v>
      </c>
      <c r="M6439" s="5">
        <f t="shared" si="768"/>
        <v>2013</v>
      </c>
    </row>
    <row r="6440" spans="1:13" ht="15" x14ac:dyDescent="0.25">
      <c r="A6440" s="1">
        <f>DATE(2013,4,28)</f>
        <v>41392</v>
      </c>
      <c r="B6440" t="s">
        <v>12</v>
      </c>
      <c r="C6440" t="s">
        <v>8</v>
      </c>
      <c r="D6440" s="3">
        <v>1535.5388</v>
      </c>
      <c r="E6440" s="3">
        <v>0</v>
      </c>
      <c r="F6440" t="s">
        <v>45</v>
      </c>
      <c r="G6440" s="3">
        <f t="shared" si="762"/>
        <v>-1535.5388</v>
      </c>
      <c r="H6440" s="3">
        <f t="shared" si="763"/>
        <v>1535.5388</v>
      </c>
      <c r="I6440" s="5" t="str">
        <f t="shared" si="764"/>
        <v>016</v>
      </c>
      <c r="J6440" s="5" t="str">
        <f t="shared" si="765"/>
        <v>2210</v>
      </c>
      <c r="K6440" s="5" t="str">
        <f t="shared" si="766"/>
        <v>000</v>
      </c>
      <c r="L6440" s="5">
        <f t="shared" si="767"/>
        <v>4</v>
      </c>
      <c r="M6440" s="5">
        <f t="shared" si="768"/>
        <v>2013</v>
      </c>
    </row>
    <row r="6441" spans="1:13" ht="15" x14ac:dyDescent="0.25">
      <c r="A6441" s="1">
        <f>DATE(2013,4,28)</f>
        <v>41392</v>
      </c>
      <c r="B6441" t="s">
        <v>13</v>
      </c>
      <c r="C6441" t="s">
        <v>9</v>
      </c>
      <c r="D6441" s="3">
        <v>306.70949999999999</v>
      </c>
      <c r="E6441" s="3">
        <v>0</v>
      </c>
      <c r="F6441" t="s">
        <v>45</v>
      </c>
      <c r="G6441" s="3">
        <f t="shared" si="762"/>
        <v>-306.70949999999999</v>
      </c>
      <c r="H6441" s="3">
        <f t="shared" si="763"/>
        <v>306.70949999999999</v>
      </c>
      <c r="I6441" s="5" t="str">
        <f t="shared" si="764"/>
        <v>016</v>
      </c>
      <c r="J6441" s="5" t="str">
        <f t="shared" si="765"/>
        <v>2220</v>
      </c>
      <c r="K6441" s="5" t="str">
        <f t="shared" si="766"/>
        <v>000</v>
      </c>
      <c r="L6441" s="5">
        <f t="shared" si="767"/>
        <v>4</v>
      </c>
      <c r="M6441" s="5">
        <f t="shared" si="768"/>
        <v>2013</v>
      </c>
    </row>
    <row r="6442" spans="1:13" ht="15" x14ac:dyDescent="0.25">
      <c r="A6442" s="1">
        <f>DATE(2013,4,28)</f>
        <v>41392</v>
      </c>
      <c r="B6442" t="s">
        <v>14</v>
      </c>
      <c r="C6442" t="s">
        <v>10</v>
      </c>
      <c r="D6442" s="3">
        <v>64.752600000000001</v>
      </c>
      <c r="E6442" s="3">
        <v>0</v>
      </c>
      <c r="F6442" t="s">
        <v>45</v>
      </c>
      <c r="G6442" s="3">
        <f t="shared" si="762"/>
        <v>-64.752600000000001</v>
      </c>
      <c r="H6442" s="3">
        <f t="shared" si="763"/>
        <v>64.752600000000001</v>
      </c>
      <c r="I6442" s="5" t="str">
        <f t="shared" si="764"/>
        <v>016</v>
      </c>
      <c r="J6442" s="5" t="str">
        <f t="shared" si="765"/>
        <v>2230</v>
      </c>
      <c r="K6442" s="5" t="str">
        <f t="shared" si="766"/>
        <v>000</v>
      </c>
      <c r="L6442" s="5">
        <f t="shared" si="767"/>
        <v>4</v>
      </c>
      <c r="M6442" s="5">
        <f t="shared" si="768"/>
        <v>2013</v>
      </c>
    </row>
    <row r="6443" spans="1:13" ht="15" x14ac:dyDescent="0.25">
      <c r="A6443" s="1">
        <f>DATE(2013,4,22)</f>
        <v>41386</v>
      </c>
      <c r="B6443" t="s">
        <v>15</v>
      </c>
      <c r="C6443" t="s">
        <v>6</v>
      </c>
      <c r="D6443" s="3">
        <v>5057.1863999999996</v>
      </c>
      <c r="E6443" s="3">
        <v>0</v>
      </c>
      <c r="F6443" t="s">
        <v>45</v>
      </c>
      <c r="G6443" s="3">
        <f t="shared" si="762"/>
        <v>-5057.1863999999996</v>
      </c>
      <c r="H6443" s="3">
        <f t="shared" si="763"/>
        <v>5057.1863999999996</v>
      </c>
      <c r="I6443" s="5" t="str">
        <f t="shared" si="764"/>
        <v>017</v>
      </c>
      <c r="J6443" s="5" t="str">
        <f t="shared" si="765"/>
        <v>2100</v>
      </c>
      <c r="K6443" s="5" t="str">
        <f t="shared" si="766"/>
        <v>000</v>
      </c>
      <c r="L6443" s="5">
        <f t="shared" si="767"/>
        <v>4</v>
      </c>
      <c r="M6443" s="5">
        <f t="shared" si="768"/>
        <v>2013</v>
      </c>
    </row>
    <row r="6444" spans="1:13" ht="15" x14ac:dyDescent="0.25">
      <c r="A6444" s="1">
        <f>DATE(2013,4,22)</f>
        <v>41386</v>
      </c>
      <c r="B6444" t="s">
        <v>16</v>
      </c>
      <c r="C6444" t="s">
        <v>8</v>
      </c>
      <c r="D6444" s="3">
        <v>805.7885</v>
      </c>
      <c r="E6444" s="3">
        <v>0</v>
      </c>
      <c r="F6444" t="s">
        <v>45</v>
      </c>
      <c r="G6444" s="3">
        <f t="shared" si="762"/>
        <v>-805.7885</v>
      </c>
      <c r="H6444" s="3">
        <f t="shared" si="763"/>
        <v>805.7885</v>
      </c>
      <c r="I6444" s="5" t="str">
        <f t="shared" si="764"/>
        <v>017</v>
      </c>
      <c r="J6444" s="5" t="str">
        <f t="shared" si="765"/>
        <v>2210</v>
      </c>
      <c r="K6444" s="5" t="str">
        <f t="shared" si="766"/>
        <v>000</v>
      </c>
      <c r="L6444" s="5">
        <f t="shared" si="767"/>
        <v>4</v>
      </c>
      <c r="M6444" s="5">
        <f t="shared" si="768"/>
        <v>2013</v>
      </c>
    </row>
    <row r="6445" spans="1:13" ht="15" x14ac:dyDescent="0.25">
      <c r="A6445" s="1">
        <f>DATE(2013,4,22)</f>
        <v>41386</v>
      </c>
      <c r="B6445" t="s">
        <v>17</v>
      </c>
      <c r="C6445" t="s">
        <v>9</v>
      </c>
      <c r="D6445" s="3">
        <v>352.95599999999996</v>
      </c>
      <c r="E6445" s="3">
        <v>0</v>
      </c>
      <c r="F6445" t="s">
        <v>45</v>
      </c>
      <c r="G6445" s="3">
        <f t="shared" si="762"/>
        <v>-352.95599999999996</v>
      </c>
      <c r="H6445" s="3">
        <f t="shared" si="763"/>
        <v>352.95599999999996</v>
      </c>
      <c r="I6445" s="5" t="str">
        <f t="shared" si="764"/>
        <v>017</v>
      </c>
      <c r="J6445" s="5" t="str">
        <f t="shared" si="765"/>
        <v>2220</v>
      </c>
      <c r="K6445" s="5" t="str">
        <f t="shared" si="766"/>
        <v>000</v>
      </c>
      <c r="L6445" s="5">
        <f t="shared" si="767"/>
        <v>4</v>
      </c>
      <c r="M6445" s="5">
        <f t="shared" si="768"/>
        <v>2013</v>
      </c>
    </row>
    <row r="6446" spans="1:13" ht="15" x14ac:dyDescent="0.25">
      <c r="A6446" s="1">
        <f>DATE(2013,4,22)</f>
        <v>41386</v>
      </c>
      <c r="B6446" t="s">
        <v>18</v>
      </c>
      <c r="C6446" t="s">
        <v>10</v>
      </c>
      <c r="D6446" s="3">
        <v>50.0032</v>
      </c>
      <c r="E6446" s="3">
        <v>0</v>
      </c>
      <c r="F6446" t="s">
        <v>45</v>
      </c>
      <c r="G6446" s="3">
        <f t="shared" si="762"/>
        <v>-50.0032</v>
      </c>
      <c r="H6446" s="3">
        <f t="shared" si="763"/>
        <v>50.0032</v>
      </c>
      <c r="I6446" s="5" t="str">
        <f t="shared" si="764"/>
        <v>017</v>
      </c>
      <c r="J6446" s="5" t="str">
        <f t="shared" si="765"/>
        <v>2230</v>
      </c>
      <c r="K6446" s="5" t="str">
        <f t="shared" si="766"/>
        <v>000</v>
      </c>
      <c r="L6446" s="5">
        <f t="shared" si="767"/>
        <v>4</v>
      </c>
      <c r="M6446" s="5">
        <f t="shared" si="768"/>
        <v>2013</v>
      </c>
    </row>
    <row r="6447" spans="1:13" ht="15" x14ac:dyDescent="0.25">
      <c r="A6447" s="1">
        <f>DATE(2013,4,23)</f>
        <v>41387</v>
      </c>
      <c r="B6447" t="s">
        <v>15</v>
      </c>
      <c r="C6447" t="s">
        <v>6</v>
      </c>
      <c r="D6447" s="3">
        <v>9662.0148000000008</v>
      </c>
      <c r="E6447" s="3">
        <v>0</v>
      </c>
      <c r="F6447" t="s">
        <v>45</v>
      </c>
      <c r="G6447" s="3">
        <f t="shared" si="762"/>
        <v>-9662.0148000000008</v>
      </c>
      <c r="H6447" s="3">
        <f t="shared" si="763"/>
        <v>9662.0148000000008</v>
      </c>
      <c r="I6447" s="5" t="str">
        <f t="shared" si="764"/>
        <v>017</v>
      </c>
      <c r="J6447" s="5" t="str">
        <f t="shared" si="765"/>
        <v>2100</v>
      </c>
      <c r="K6447" s="5" t="str">
        <f t="shared" si="766"/>
        <v>000</v>
      </c>
      <c r="L6447" s="5">
        <f t="shared" si="767"/>
        <v>4</v>
      </c>
      <c r="M6447" s="5">
        <f t="shared" si="768"/>
        <v>2013</v>
      </c>
    </row>
    <row r="6448" spans="1:13" ht="15" x14ac:dyDescent="0.25">
      <c r="A6448" s="1">
        <f>DATE(2013,4,23)</f>
        <v>41387</v>
      </c>
      <c r="B6448" t="s">
        <v>16</v>
      </c>
      <c r="C6448" t="s">
        <v>8</v>
      </c>
      <c r="D6448" s="3">
        <v>3219.7087999999999</v>
      </c>
      <c r="E6448" s="3">
        <v>0</v>
      </c>
      <c r="F6448" t="s">
        <v>45</v>
      </c>
      <c r="G6448" s="3">
        <f t="shared" si="762"/>
        <v>-3219.7087999999999</v>
      </c>
      <c r="H6448" s="3">
        <f t="shared" si="763"/>
        <v>3219.7087999999999</v>
      </c>
      <c r="I6448" s="5" t="str">
        <f t="shared" si="764"/>
        <v>017</v>
      </c>
      <c r="J6448" s="5" t="str">
        <f t="shared" si="765"/>
        <v>2210</v>
      </c>
      <c r="K6448" s="5" t="str">
        <f t="shared" si="766"/>
        <v>000</v>
      </c>
      <c r="L6448" s="5">
        <f t="shared" si="767"/>
        <v>4</v>
      </c>
      <c r="M6448" s="5">
        <f t="shared" si="768"/>
        <v>2013</v>
      </c>
    </row>
    <row r="6449" spans="1:13" ht="15" x14ac:dyDescent="0.25">
      <c r="A6449" s="1">
        <f>DATE(2013,4,23)</f>
        <v>41387</v>
      </c>
      <c r="B6449" t="s">
        <v>17</v>
      </c>
      <c r="C6449" t="s">
        <v>9</v>
      </c>
      <c r="D6449" s="3">
        <v>797.11450000000002</v>
      </c>
      <c r="E6449" s="3">
        <v>0</v>
      </c>
      <c r="F6449" t="s">
        <v>45</v>
      </c>
      <c r="G6449" s="3">
        <f t="shared" si="762"/>
        <v>-797.11450000000002</v>
      </c>
      <c r="H6449" s="3">
        <f t="shared" si="763"/>
        <v>797.11450000000002</v>
      </c>
      <c r="I6449" s="5" t="str">
        <f t="shared" si="764"/>
        <v>017</v>
      </c>
      <c r="J6449" s="5" t="str">
        <f t="shared" si="765"/>
        <v>2220</v>
      </c>
      <c r="K6449" s="5" t="str">
        <f t="shared" si="766"/>
        <v>000</v>
      </c>
      <c r="L6449" s="5">
        <f t="shared" si="767"/>
        <v>4</v>
      </c>
      <c r="M6449" s="5">
        <f t="shared" si="768"/>
        <v>2013</v>
      </c>
    </row>
    <row r="6450" spans="1:13" ht="15" x14ac:dyDescent="0.25">
      <c r="A6450" s="1">
        <f>DATE(2013,4,23)</f>
        <v>41387</v>
      </c>
      <c r="B6450" t="s">
        <v>18</v>
      </c>
      <c r="C6450" t="s">
        <v>10</v>
      </c>
      <c r="D6450" s="3">
        <v>293.71239999999995</v>
      </c>
      <c r="E6450" s="3">
        <v>0</v>
      </c>
      <c r="F6450" t="s">
        <v>45</v>
      </c>
      <c r="G6450" s="3">
        <f t="shared" si="762"/>
        <v>-293.71239999999995</v>
      </c>
      <c r="H6450" s="3">
        <f t="shared" si="763"/>
        <v>293.71239999999995</v>
      </c>
      <c r="I6450" s="5" t="str">
        <f t="shared" si="764"/>
        <v>017</v>
      </c>
      <c r="J6450" s="5" t="str">
        <f t="shared" si="765"/>
        <v>2230</v>
      </c>
      <c r="K6450" s="5" t="str">
        <f t="shared" si="766"/>
        <v>000</v>
      </c>
      <c r="L6450" s="5">
        <f t="shared" si="767"/>
        <v>4</v>
      </c>
      <c r="M6450" s="5">
        <f t="shared" si="768"/>
        <v>2013</v>
      </c>
    </row>
    <row r="6451" spans="1:13" ht="15" x14ac:dyDescent="0.25">
      <c r="A6451" s="1">
        <f>DATE(2013,4,24)</f>
        <v>41388</v>
      </c>
      <c r="B6451" t="s">
        <v>15</v>
      </c>
      <c r="C6451" t="s">
        <v>6</v>
      </c>
      <c r="D6451" s="3">
        <v>4705.0991999999997</v>
      </c>
      <c r="E6451" s="3">
        <v>0</v>
      </c>
      <c r="F6451" t="s">
        <v>45</v>
      </c>
      <c r="G6451" s="3">
        <f t="shared" si="762"/>
        <v>-4705.0991999999997</v>
      </c>
      <c r="H6451" s="3">
        <f t="shared" si="763"/>
        <v>4705.0991999999997</v>
      </c>
      <c r="I6451" s="5" t="str">
        <f t="shared" si="764"/>
        <v>017</v>
      </c>
      <c r="J6451" s="5" t="str">
        <f t="shared" si="765"/>
        <v>2100</v>
      </c>
      <c r="K6451" s="5" t="str">
        <f t="shared" si="766"/>
        <v>000</v>
      </c>
      <c r="L6451" s="5">
        <f t="shared" si="767"/>
        <v>4</v>
      </c>
      <c r="M6451" s="5">
        <f t="shared" si="768"/>
        <v>2013</v>
      </c>
    </row>
    <row r="6452" spans="1:13" ht="15" x14ac:dyDescent="0.25">
      <c r="A6452" s="1">
        <f>DATE(2013,4,24)</f>
        <v>41388</v>
      </c>
      <c r="B6452" t="s">
        <v>16</v>
      </c>
      <c r="C6452" t="s">
        <v>8</v>
      </c>
      <c r="D6452" s="3">
        <v>1457.1216000000002</v>
      </c>
      <c r="E6452" s="3">
        <v>0</v>
      </c>
      <c r="F6452" t="s">
        <v>45</v>
      </c>
      <c r="G6452" s="3">
        <f t="shared" si="762"/>
        <v>-1457.1216000000002</v>
      </c>
      <c r="H6452" s="3">
        <f t="shared" si="763"/>
        <v>1457.1216000000002</v>
      </c>
      <c r="I6452" s="5" t="str">
        <f t="shared" si="764"/>
        <v>017</v>
      </c>
      <c r="J6452" s="5" t="str">
        <f t="shared" si="765"/>
        <v>2210</v>
      </c>
      <c r="K6452" s="5" t="str">
        <f t="shared" si="766"/>
        <v>000</v>
      </c>
      <c r="L6452" s="5">
        <f t="shared" si="767"/>
        <v>4</v>
      </c>
      <c r="M6452" s="5">
        <f t="shared" si="768"/>
        <v>2013</v>
      </c>
    </row>
    <row r="6453" spans="1:13" ht="15" x14ac:dyDescent="0.25">
      <c r="A6453" s="1">
        <f>DATE(2013,4,24)</f>
        <v>41388</v>
      </c>
      <c r="B6453" t="s">
        <v>17</v>
      </c>
      <c r="C6453" t="s">
        <v>9</v>
      </c>
      <c r="D6453" s="3">
        <v>591.51959999999997</v>
      </c>
      <c r="E6453" s="3">
        <v>0</v>
      </c>
      <c r="F6453" t="s">
        <v>45</v>
      </c>
      <c r="G6453" s="3">
        <f t="shared" si="762"/>
        <v>-591.51959999999997</v>
      </c>
      <c r="H6453" s="3">
        <f t="shared" si="763"/>
        <v>591.51959999999997</v>
      </c>
      <c r="I6453" s="5" t="str">
        <f t="shared" si="764"/>
        <v>017</v>
      </c>
      <c r="J6453" s="5" t="str">
        <f t="shared" si="765"/>
        <v>2220</v>
      </c>
      <c r="K6453" s="5" t="str">
        <f t="shared" si="766"/>
        <v>000</v>
      </c>
      <c r="L6453" s="5">
        <f t="shared" si="767"/>
        <v>4</v>
      </c>
      <c r="M6453" s="5">
        <f t="shared" si="768"/>
        <v>2013</v>
      </c>
    </row>
    <row r="6454" spans="1:13" ht="15" x14ac:dyDescent="0.25">
      <c r="A6454" s="1">
        <f>DATE(2013,4,24)</f>
        <v>41388</v>
      </c>
      <c r="B6454" t="s">
        <v>18</v>
      </c>
      <c r="C6454" t="s">
        <v>10</v>
      </c>
      <c r="D6454" s="3">
        <v>83.020499999999998</v>
      </c>
      <c r="E6454" s="3">
        <v>0</v>
      </c>
      <c r="F6454" t="s">
        <v>45</v>
      </c>
      <c r="G6454" s="3">
        <f t="shared" si="762"/>
        <v>-83.020499999999998</v>
      </c>
      <c r="H6454" s="3">
        <f t="shared" si="763"/>
        <v>83.020499999999998</v>
      </c>
      <c r="I6454" s="5" t="str">
        <f t="shared" si="764"/>
        <v>017</v>
      </c>
      <c r="J6454" s="5" t="str">
        <f t="shared" si="765"/>
        <v>2230</v>
      </c>
      <c r="K6454" s="5" t="str">
        <f t="shared" si="766"/>
        <v>000</v>
      </c>
      <c r="L6454" s="5">
        <f t="shared" si="767"/>
        <v>4</v>
      </c>
      <c r="M6454" s="5">
        <f t="shared" si="768"/>
        <v>2013</v>
      </c>
    </row>
    <row r="6455" spans="1:13" ht="15" x14ac:dyDescent="0.25">
      <c r="A6455" s="1">
        <f>DATE(2013,4,25)</f>
        <v>41389</v>
      </c>
      <c r="B6455" t="s">
        <v>15</v>
      </c>
      <c r="C6455" t="s">
        <v>6</v>
      </c>
      <c r="D6455" s="3">
        <v>7219.2222000000011</v>
      </c>
      <c r="E6455" s="3">
        <v>0</v>
      </c>
      <c r="F6455" t="s">
        <v>45</v>
      </c>
      <c r="G6455" s="3">
        <f t="shared" si="762"/>
        <v>-7219.2222000000011</v>
      </c>
      <c r="H6455" s="3">
        <f t="shared" si="763"/>
        <v>7219.2222000000011</v>
      </c>
      <c r="I6455" s="5" t="str">
        <f t="shared" si="764"/>
        <v>017</v>
      </c>
      <c r="J6455" s="5" t="str">
        <f t="shared" si="765"/>
        <v>2100</v>
      </c>
      <c r="K6455" s="5" t="str">
        <f t="shared" si="766"/>
        <v>000</v>
      </c>
      <c r="L6455" s="5">
        <f t="shared" si="767"/>
        <v>4</v>
      </c>
      <c r="M6455" s="5">
        <f t="shared" si="768"/>
        <v>2013</v>
      </c>
    </row>
    <row r="6456" spans="1:13" ht="15" x14ac:dyDescent="0.25">
      <c r="A6456" s="1">
        <f>DATE(2013,4,25)</f>
        <v>41389</v>
      </c>
      <c r="B6456" t="s">
        <v>16</v>
      </c>
      <c r="C6456" t="s">
        <v>8</v>
      </c>
      <c r="D6456" s="3">
        <v>1609.9649999999997</v>
      </c>
      <c r="E6456" s="3">
        <v>0</v>
      </c>
      <c r="F6456" t="s">
        <v>45</v>
      </c>
      <c r="G6456" s="3">
        <f t="shared" si="762"/>
        <v>-1609.9649999999997</v>
      </c>
      <c r="H6456" s="3">
        <f t="shared" si="763"/>
        <v>1609.9649999999997</v>
      </c>
      <c r="I6456" s="5" t="str">
        <f t="shared" si="764"/>
        <v>017</v>
      </c>
      <c r="J6456" s="5" t="str">
        <f t="shared" si="765"/>
        <v>2210</v>
      </c>
      <c r="K6456" s="5" t="str">
        <f t="shared" si="766"/>
        <v>000</v>
      </c>
      <c r="L6456" s="5">
        <f t="shared" si="767"/>
        <v>4</v>
      </c>
      <c r="M6456" s="5">
        <f t="shared" si="768"/>
        <v>2013</v>
      </c>
    </row>
    <row r="6457" spans="1:13" ht="15" x14ac:dyDescent="0.25">
      <c r="A6457" s="1">
        <f>DATE(2013,4,25)</f>
        <v>41389</v>
      </c>
      <c r="B6457" t="s">
        <v>17</v>
      </c>
      <c r="C6457" t="s">
        <v>9</v>
      </c>
      <c r="D6457" s="3">
        <v>610.4319999999999</v>
      </c>
      <c r="E6457" s="3">
        <v>0</v>
      </c>
      <c r="F6457" t="s">
        <v>45</v>
      </c>
      <c r="G6457" s="3">
        <f t="shared" si="762"/>
        <v>-610.4319999999999</v>
      </c>
      <c r="H6457" s="3">
        <f t="shared" si="763"/>
        <v>610.4319999999999</v>
      </c>
      <c r="I6457" s="5" t="str">
        <f t="shared" si="764"/>
        <v>017</v>
      </c>
      <c r="J6457" s="5" t="str">
        <f t="shared" si="765"/>
        <v>2220</v>
      </c>
      <c r="K6457" s="5" t="str">
        <f t="shared" si="766"/>
        <v>000</v>
      </c>
      <c r="L6457" s="5">
        <f t="shared" si="767"/>
        <v>4</v>
      </c>
      <c r="M6457" s="5">
        <f t="shared" si="768"/>
        <v>2013</v>
      </c>
    </row>
    <row r="6458" spans="1:13" ht="15" x14ac:dyDescent="0.25">
      <c r="A6458" s="1">
        <f>DATE(2013,4,25)</f>
        <v>41389</v>
      </c>
      <c r="B6458" t="s">
        <v>18</v>
      </c>
      <c r="C6458" t="s">
        <v>10</v>
      </c>
      <c r="D6458" s="3">
        <v>114.70800000000001</v>
      </c>
      <c r="E6458" s="3">
        <v>0</v>
      </c>
      <c r="F6458" t="s">
        <v>45</v>
      </c>
      <c r="G6458" s="3">
        <f t="shared" si="762"/>
        <v>-114.70800000000001</v>
      </c>
      <c r="H6458" s="3">
        <f t="shared" si="763"/>
        <v>114.70800000000001</v>
      </c>
      <c r="I6458" s="5" t="str">
        <f t="shared" si="764"/>
        <v>017</v>
      </c>
      <c r="J6458" s="5" t="str">
        <f t="shared" si="765"/>
        <v>2230</v>
      </c>
      <c r="K6458" s="5" t="str">
        <f t="shared" si="766"/>
        <v>000</v>
      </c>
      <c r="L6458" s="5">
        <f t="shared" si="767"/>
        <v>4</v>
      </c>
      <c r="M6458" s="5">
        <f t="shared" si="768"/>
        <v>2013</v>
      </c>
    </row>
    <row r="6459" spans="1:13" ht="15" x14ac:dyDescent="0.25">
      <c r="A6459" s="1">
        <f>DATE(2013,4,26)</f>
        <v>41390</v>
      </c>
      <c r="B6459" t="s">
        <v>15</v>
      </c>
      <c r="C6459" t="s">
        <v>6</v>
      </c>
      <c r="D6459" s="3">
        <v>8025.9840000000004</v>
      </c>
      <c r="E6459" s="3">
        <v>0</v>
      </c>
      <c r="F6459" t="s">
        <v>45</v>
      </c>
      <c r="G6459" s="3">
        <f t="shared" si="762"/>
        <v>-8025.9840000000004</v>
      </c>
      <c r="H6459" s="3">
        <f t="shared" si="763"/>
        <v>8025.9840000000004</v>
      </c>
      <c r="I6459" s="5" t="str">
        <f t="shared" si="764"/>
        <v>017</v>
      </c>
      <c r="J6459" s="5" t="str">
        <f t="shared" si="765"/>
        <v>2100</v>
      </c>
      <c r="K6459" s="5" t="str">
        <f t="shared" si="766"/>
        <v>000</v>
      </c>
      <c r="L6459" s="5">
        <f t="shared" si="767"/>
        <v>4</v>
      </c>
      <c r="M6459" s="5">
        <f t="shared" si="768"/>
        <v>2013</v>
      </c>
    </row>
    <row r="6460" spans="1:13" ht="15" x14ac:dyDescent="0.25">
      <c r="A6460" s="1">
        <f>DATE(2013,4,26)</f>
        <v>41390</v>
      </c>
      <c r="B6460" t="s">
        <v>16</v>
      </c>
      <c r="C6460" t="s">
        <v>8</v>
      </c>
      <c r="D6460" s="3">
        <v>3251.0324000000005</v>
      </c>
      <c r="E6460" s="3">
        <v>0</v>
      </c>
      <c r="F6460" t="s">
        <v>45</v>
      </c>
      <c r="G6460" s="3">
        <f t="shared" si="762"/>
        <v>-3251.0324000000005</v>
      </c>
      <c r="H6460" s="3">
        <f t="shared" si="763"/>
        <v>3251.0324000000005</v>
      </c>
      <c r="I6460" s="5" t="str">
        <f t="shared" si="764"/>
        <v>017</v>
      </c>
      <c r="J6460" s="5" t="str">
        <f t="shared" si="765"/>
        <v>2210</v>
      </c>
      <c r="K6460" s="5" t="str">
        <f t="shared" si="766"/>
        <v>000</v>
      </c>
      <c r="L6460" s="5">
        <f t="shared" si="767"/>
        <v>4</v>
      </c>
      <c r="M6460" s="5">
        <f t="shared" si="768"/>
        <v>2013</v>
      </c>
    </row>
    <row r="6461" spans="1:13" ht="15" x14ac:dyDescent="0.25">
      <c r="A6461" s="1">
        <f>DATE(2013,4,26)</f>
        <v>41390</v>
      </c>
      <c r="B6461" t="s">
        <v>17</v>
      </c>
      <c r="C6461" t="s">
        <v>9</v>
      </c>
      <c r="D6461" s="3">
        <v>600.45140000000004</v>
      </c>
      <c r="E6461" s="3">
        <v>0</v>
      </c>
      <c r="F6461" t="s">
        <v>45</v>
      </c>
      <c r="G6461" s="3">
        <f t="shared" si="762"/>
        <v>-600.45140000000004</v>
      </c>
      <c r="H6461" s="3">
        <f t="shared" si="763"/>
        <v>600.45140000000004</v>
      </c>
      <c r="I6461" s="5" t="str">
        <f t="shared" si="764"/>
        <v>017</v>
      </c>
      <c r="J6461" s="5" t="str">
        <f t="shared" si="765"/>
        <v>2220</v>
      </c>
      <c r="K6461" s="5" t="str">
        <f t="shared" si="766"/>
        <v>000</v>
      </c>
      <c r="L6461" s="5">
        <f t="shared" si="767"/>
        <v>4</v>
      </c>
      <c r="M6461" s="5">
        <f t="shared" si="768"/>
        <v>2013</v>
      </c>
    </row>
    <row r="6462" spans="1:13" ht="15" x14ac:dyDescent="0.25">
      <c r="A6462" s="1">
        <f>DATE(2013,4,26)</f>
        <v>41390</v>
      </c>
      <c r="B6462" t="s">
        <v>18</v>
      </c>
      <c r="C6462" t="s">
        <v>10</v>
      </c>
      <c r="D6462" s="3">
        <v>169.3956</v>
      </c>
      <c r="E6462" s="3">
        <v>0</v>
      </c>
      <c r="F6462" t="s">
        <v>45</v>
      </c>
      <c r="G6462" s="3">
        <f t="shared" si="762"/>
        <v>-169.3956</v>
      </c>
      <c r="H6462" s="3">
        <f t="shared" si="763"/>
        <v>169.3956</v>
      </c>
      <c r="I6462" s="5" t="str">
        <f t="shared" si="764"/>
        <v>017</v>
      </c>
      <c r="J6462" s="5" t="str">
        <f t="shared" si="765"/>
        <v>2230</v>
      </c>
      <c r="K6462" s="5" t="str">
        <f t="shared" si="766"/>
        <v>000</v>
      </c>
      <c r="L6462" s="5">
        <f t="shared" si="767"/>
        <v>4</v>
      </c>
      <c r="M6462" s="5">
        <f t="shared" si="768"/>
        <v>2013</v>
      </c>
    </row>
    <row r="6463" spans="1:13" ht="15" x14ac:dyDescent="0.25">
      <c r="A6463" s="1">
        <f>DATE(2013,4,27)</f>
        <v>41391</v>
      </c>
      <c r="B6463" t="s">
        <v>15</v>
      </c>
      <c r="C6463" t="s">
        <v>6</v>
      </c>
      <c r="D6463" s="3">
        <v>8615.259</v>
      </c>
      <c r="E6463" s="3">
        <v>0</v>
      </c>
      <c r="F6463" t="s">
        <v>45</v>
      </c>
      <c r="G6463" s="3">
        <f t="shared" si="762"/>
        <v>-8615.259</v>
      </c>
      <c r="H6463" s="3">
        <f t="shared" si="763"/>
        <v>8615.259</v>
      </c>
      <c r="I6463" s="5" t="str">
        <f t="shared" si="764"/>
        <v>017</v>
      </c>
      <c r="J6463" s="5" t="str">
        <f t="shared" si="765"/>
        <v>2100</v>
      </c>
      <c r="K6463" s="5" t="str">
        <f t="shared" si="766"/>
        <v>000</v>
      </c>
      <c r="L6463" s="5">
        <f t="shared" si="767"/>
        <v>4</v>
      </c>
      <c r="M6463" s="5">
        <f t="shared" si="768"/>
        <v>2013</v>
      </c>
    </row>
    <row r="6464" spans="1:13" ht="15" x14ac:dyDescent="0.25">
      <c r="A6464" s="1">
        <f>DATE(2013,4,27)</f>
        <v>41391</v>
      </c>
      <c r="B6464" t="s">
        <v>16</v>
      </c>
      <c r="C6464" t="s">
        <v>8</v>
      </c>
      <c r="D6464" s="3">
        <v>1759.4090000000001</v>
      </c>
      <c r="E6464" s="3">
        <v>0</v>
      </c>
      <c r="F6464" t="s">
        <v>45</v>
      </c>
      <c r="G6464" s="3">
        <f t="shared" si="762"/>
        <v>-1759.4090000000001</v>
      </c>
      <c r="H6464" s="3">
        <f t="shared" si="763"/>
        <v>1759.4090000000001</v>
      </c>
      <c r="I6464" s="5" t="str">
        <f t="shared" si="764"/>
        <v>017</v>
      </c>
      <c r="J6464" s="5" t="str">
        <f t="shared" si="765"/>
        <v>2210</v>
      </c>
      <c r="K6464" s="5" t="str">
        <f t="shared" si="766"/>
        <v>000</v>
      </c>
      <c r="L6464" s="5">
        <f t="shared" si="767"/>
        <v>4</v>
      </c>
      <c r="M6464" s="5">
        <f t="shared" si="768"/>
        <v>2013</v>
      </c>
    </row>
    <row r="6465" spans="1:13" ht="15" x14ac:dyDescent="0.25">
      <c r="A6465" s="1">
        <f>DATE(2013,4,27)</f>
        <v>41391</v>
      </c>
      <c r="B6465" t="s">
        <v>17</v>
      </c>
      <c r="C6465" t="s">
        <v>9</v>
      </c>
      <c r="D6465" s="3">
        <v>505.87749999999994</v>
      </c>
      <c r="E6465" s="3">
        <v>0</v>
      </c>
      <c r="F6465" t="s">
        <v>45</v>
      </c>
      <c r="G6465" s="3">
        <f t="shared" si="762"/>
        <v>-505.87749999999994</v>
      </c>
      <c r="H6465" s="3">
        <f t="shared" si="763"/>
        <v>505.87749999999994</v>
      </c>
      <c r="I6465" s="5" t="str">
        <f t="shared" si="764"/>
        <v>017</v>
      </c>
      <c r="J6465" s="5" t="str">
        <f t="shared" si="765"/>
        <v>2220</v>
      </c>
      <c r="K6465" s="5" t="str">
        <f t="shared" si="766"/>
        <v>000</v>
      </c>
      <c r="L6465" s="5">
        <f t="shared" si="767"/>
        <v>4</v>
      </c>
      <c r="M6465" s="5">
        <f t="shared" si="768"/>
        <v>2013</v>
      </c>
    </row>
    <row r="6466" spans="1:13" ht="15" x14ac:dyDescent="0.25">
      <c r="A6466" s="1">
        <f>DATE(2013,4,27)</f>
        <v>41391</v>
      </c>
      <c r="B6466" t="s">
        <v>18</v>
      </c>
      <c r="C6466" t="s">
        <v>10</v>
      </c>
      <c r="D6466" s="3">
        <v>141.37199999999999</v>
      </c>
      <c r="E6466" s="3">
        <v>0</v>
      </c>
      <c r="F6466" t="s">
        <v>45</v>
      </c>
      <c r="G6466" s="3">
        <f t="shared" ref="G6466:G6529" si="769">E6466-D6466</f>
        <v>-141.37199999999999</v>
      </c>
      <c r="H6466" s="3">
        <f t="shared" ref="H6466:H6529" si="770">ABS(G6466)</f>
        <v>141.37199999999999</v>
      </c>
      <c r="I6466" s="5" t="str">
        <f t="shared" ref="I6466:I6529" si="771">MID(B6466,1,3)</f>
        <v>017</v>
      </c>
      <c r="J6466" s="5" t="str">
        <f t="shared" ref="J6466:J6529" si="772">MID(B6466,5,4)</f>
        <v>2230</v>
      </c>
      <c r="K6466" s="5" t="str">
        <f t="shared" ref="K6466:K6529" si="773">MID(B6466,10,3)</f>
        <v>000</v>
      </c>
      <c r="L6466" s="5">
        <f t="shared" ref="L6466:L6529" si="774">MONTH(A6466)</f>
        <v>4</v>
      </c>
      <c r="M6466" s="5">
        <f t="shared" ref="M6466:M6529" si="775">YEAR(A6466)</f>
        <v>2013</v>
      </c>
    </row>
    <row r="6467" spans="1:13" ht="15" x14ac:dyDescent="0.25">
      <c r="A6467" s="1">
        <f>DATE(2013,4,28)</f>
        <v>41392</v>
      </c>
      <c r="B6467" t="s">
        <v>15</v>
      </c>
      <c r="C6467" t="s">
        <v>6</v>
      </c>
      <c r="D6467" s="3">
        <v>4183.9021999999995</v>
      </c>
      <c r="E6467" s="3">
        <v>0</v>
      </c>
      <c r="F6467" t="s">
        <v>45</v>
      </c>
      <c r="G6467" s="3">
        <f t="shared" si="769"/>
        <v>-4183.9021999999995</v>
      </c>
      <c r="H6467" s="3">
        <f t="shared" si="770"/>
        <v>4183.9021999999995</v>
      </c>
      <c r="I6467" s="5" t="str">
        <f t="shared" si="771"/>
        <v>017</v>
      </c>
      <c r="J6467" s="5" t="str">
        <f t="shared" si="772"/>
        <v>2100</v>
      </c>
      <c r="K6467" s="5" t="str">
        <f t="shared" si="773"/>
        <v>000</v>
      </c>
      <c r="L6467" s="5">
        <f t="shared" si="774"/>
        <v>4</v>
      </c>
      <c r="M6467" s="5">
        <f t="shared" si="775"/>
        <v>2013</v>
      </c>
    </row>
    <row r="6468" spans="1:13" ht="15" x14ac:dyDescent="0.25">
      <c r="A6468" s="1">
        <f>DATE(2013,4,28)</f>
        <v>41392</v>
      </c>
      <c r="B6468" t="s">
        <v>16</v>
      </c>
      <c r="C6468" t="s">
        <v>8</v>
      </c>
      <c r="D6468" s="3">
        <v>599.31760000000008</v>
      </c>
      <c r="E6468" s="3">
        <v>0</v>
      </c>
      <c r="F6468" t="s">
        <v>45</v>
      </c>
      <c r="G6468" s="3">
        <f t="shared" si="769"/>
        <v>-599.31760000000008</v>
      </c>
      <c r="H6468" s="3">
        <f t="shared" si="770"/>
        <v>599.31760000000008</v>
      </c>
      <c r="I6468" s="5" t="str">
        <f t="shared" si="771"/>
        <v>017</v>
      </c>
      <c r="J6468" s="5" t="str">
        <f t="shared" si="772"/>
        <v>2210</v>
      </c>
      <c r="K6468" s="5" t="str">
        <f t="shared" si="773"/>
        <v>000</v>
      </c>
      <c r="L6468" s="5">
        <f t="shared" si="774"/>
        <v>4</v>
      </c>
      <c r="M6468" s="5">
        <f t="shared" si="775"/>
        <v>2013</v>
      </c>
    </row>
    <row r="6469" spans="1:13" ht="15" x14ac:dyDescent="0.25">
      <c r="A6469" s="1">
        <f>DATE(2013,4,28)</f>
        <v>41392</v>
      </c>
      <c r="B6469" t="s">
        <v>17</v>
      </c>
      <c r="C6469" t="s">
        <v>9</v>
      </c>
      <c r="D6469" s="3">
        <v>84.884800000000013</v>
      </c>
      <c r="E6469" s="3">
        <v>0</v>
      </c>
      <c r="F6469" t="s">
        <v>45</v>
      </c>
      <c r="G6469" s="3">
        <f t="shared" si="769"/>
        <v>-84.884800000000013</v>
      </c>
      <c r="H6469" s="3">
        <f t="shared" si="770"/>
        <v>84.884800000000013</v>
      </c>
      <c r="I6469" s="5" t="str">
        <f t="shared" si="771"/>
        <v>017</v>
      </c>
      <c r="J6469" s="5" t="str">
        <f t="shared" si="772"/>
        <v>2220</v>
      </c>
      <c r="K6469" s="5" t="str">
        <f t="shared" si="773"/>
        <v>000</v>
      </c>
      <c r="L6469" s="5">
        <f t="shared" si="774"/>
        <v>4</v>
      </c>
      <c r="M6469" s="5">
        <f t="shared" si="775"/>
        <v>2013</v>
      </c>
    </row>
    <row r="6470" spans="1:13" ht="15" x14ac:dyDescent="0.25">
      <c r="A6470" s="1">
        <f>DATE(2013,4,28)</f>
        <v>41392</v>
      </c>
      <c r="B6470" t="s">
        <v>18</v>
      </c>
      <c r="C6470" t="s">
        <v>10</v>
      </c>
      <c r="D6470" s="3">
        <v>65.832000000000008</v>
      </c>
      <c r="E6470" s="3">
        <v>0</v>
      </c>
      <c r="F6470" t="s">
        <v>45</v>
      </c>
      <c r="G6470" s="3">
        <f t="shared" si="769"/>
        <v>-65.832000000000008</v>
      </c>
      <c r="H6470" s="3">
        <f t="shared" si="770"/>
        <v>65.832000000000008</v>
      </c>
      <c r="I6470" s="5" t="str">
        <f t="shared" si="771"/>
        <v>017</v>
      </c>
      <c r="J6470" s="5" t="str">
        <f t="shared" si="772"/>
        <v>2230</v>
      </c>
      <c r="K6470" s="5" t="str">
        <f t="shared" si="773"/>
        <v>000</v>
      </c>
      <c r="L6470" s="5">
        <f t="shared" si="774"/>
        <v>4</v>
      </c>
      <c r="M6470" s="5">
        <f t="shared" si="775"/>
        <v>2013</v>
      </c>
    </row>
    <row r="6471" spans="1:13" ht="15" x14ac:dyDescent="0.25">
      <c r="A6471" s="1">
        <f>DATE(2013,4,22)</f>
        <v>41386</v>
      </c>
      <c r="B6471" t="s">
        <v>19</v>
      </c>
      <c r="C6471" t="s">
        <v>6</v>
      </c>
      <c r="D6471" s="3">
        <v>2209.8944999999999</v>
      </c>
      <c r="E6471" s="3">
        <v>0</v>
      </c>
      <c r="F6471" t="s">
        <v>45</v>
      </c>
      <c r="G6471" s="3">
        <f t="shared" si="769"/>
        <v>-2209.8944999999999</v>
      </c>
      <c r="H6471" s="3">
        <f t="shared" si="770"/>
        <v>2209.8944999999999</v>
      </c>
      <c r="I6471" s="5" t="str">
        <f t="shared" si="771"/>
        <v>018</v>
      </c>
      <c r="J6471" s="5" t="str">
        <f t="shared" si="772"/>
        <v>2100</v>
      </c>
      <c r="K6471" s="5" t="str">
        <f t="shared" si="773"/>
        <v>000</v>
      </c>
      <c r="L6471" s="5">
        <f t="shared" si="774"/>
        <v>4</v>
      </c>
      <c r="M6471" s="5">
        <f t="shared" si="775"/>
        <v>2013</v>
      </c>
    </row>
    <row r="6472" spans="1:13" ht="15" x14ac:dyDescent="0.25">
      <c r="A6472" s="1">
        <f>DATE(2013,4,22)</f>
        <v>41386</v>
      </c>
      <c r="B6472" t="s">
        <v>20</v>
      </c>
      <c r="C6472" t="s">
        <v>8</v>
      </c>
      <c r="D6472" s="3">
        <v>390.1474</v>
      </c>
      <c r="E6472" s="3">
        <v>0</v>
      </c>
      <c r="F6472" t="s">
        <v>45</v>
      </c>
      <c r="G6472" s="3">
        <f t="shared" si="769"/>
        <v>-390.1474</v>
      </c>
      <c r="H6472" s="3">
        <f t="shared" si="770"/>
        <v>390.1474</v>
      </c>
      <c r="I6472" s="5" t="str">
        <f t="shared" si="771"/>
        <v>018</v>
      </c>
      <c r="J6472" s="5" t="str">
        <f t="shared" si="772"/>
        <v>2210</v>
      </c>
      <c r="K6472" s="5" t="str">
        <f t="shared" si="773"/>
        <v>000</v>
      </c>
      <c r="L6472" s="5">
        <f t="shared" si="774"/>
        <v>4</v>
      </c>
      <c r="M6472" s="5">
        <f t="shared" si="775"/>
        <v>2013</v>
      </c>
    </row>
    <row r="6473" spans="1:13" ht="15" x14ac:dyDescent="0.25">
      <c r="A6473" s="1">
        <f>DATE(2013,4,22)</f>
        <v>41386</v>
      </c>
      <c r="B6473" t="s">
        <v>21</v>
      </c>
      <c r="C6473" t="s">
        <v>9</v>
      </c>
      <c r="D6473" s="3">
        <v>108.7385</v>
      </c>
      <c r="E6473" s="3">
        <v>0</v>
      </c>
      <c r="F6473" t="s">
        <v>45</v>
      </c>
      <c r="G6473" s="3">
        <f t="shared" si="769"/>
        <v>-108.7385</v>
      </c>
      <c r="H6473" s="3">
        <f t="shared" si="770"/>
        <v>108.7385</v>
      </c>
      <c r="I6473" s="5" t="str">
        <f t="shared" si="771"/>
        <v>018</v>
      </c>
      <c r="J6473" s="5" t="str">
        <f t="shared" si="772"/>
        <v>2220</v>
      </c>
      <c r="K6473" s="5" t="str">
        <f t="shared" si="773"/>
        <v>000</v>
      </c>
      <c r="L6473" s="5">
        <f t="shared" si="774"/>
        <v>4</v>
      </c>
      <c r="M6473" s="5">
        <f t="shared" si="775"/>
        <v>2013</v>
      </c>
    </row>
    <row r="6474" spans="1:13" ht="15" x14ac:dyDescent="0.25">
      <c r="A6474" s="1">
        <f>DATE(2013,4,22)</f>
        <v>41386</v>
      </c>
      <c r="B6474" t="s">
        <v>22</v>
      </c>
      <c r="C6474" t="s">
        <v>10</v>
      </c>
      <c r="D6474" s="3">
        <v>36.507000000000005</v>
      </c>
      <c r="E6474" s="3">
        <v>0</v>
      </c>
      <c r="F6474" t="s">
        <v>45</v>
      </c>
      <c r="G6474" s="3">
        <f t="shared" si="769"/>
        <v>-36.507000000000005</v>
      </c>
      <c r="H6474" s="3">
        <f t="shared" si="770"/>
        <v>36.507000000000005</v>
      </c>
      <c r="I6474" s="5" t="str">
        <f t="shared" si="771"/>
        <v>018</v>
      </c>
      <c r="J6474" s="5" t="str">
        <f t="shared" si="772"/>
        <v>2230</v>
      </c>
      <c r="K6474" s="5" t="str">
        <f t="shared" si="773"/>
        <v>000</v>
      </c>
      <c r="L6474" s="5">
        <f t="shared" si="774"/>
        <v>4</v>
      </c>
      <c r="M6474" s="5">
        <f t="shared" si="775"/>
        <v>2013</v>
      </c>
    </row>
    <row r="6475" spans="1:13" ht="15" x14ac:dyDescent="0.25">
      <c r="A6475" s="1">
        <f>DATE(2013,4,23)</f>
        <v>41387</v>
      </c>
      <c r="B6475" t="s">
        <v>19</v>
      </c>
      <c r="C6475" t="s">
        <v>6</v>
      </c>
      <c r="D6475" s="3">
        <v>3804.9689999999996</v>
      </c>
      <c r="E6475" s="3">
        <v>0</v>
      </c>
      <c r="F6475" t="s">
        <v>45</v>
      </c>
      <c r="G6475" s="3">
        <f t="shared" si="769"/>
        <v>-3804.9689999999996</v>
      </c>
      <c r="H6475" s="3">
        <f t="shared" si="770"/>
        <v>3804.9689999999996</v>
      </c>
      <c r="I6475" s="5" t="str">
        <f t="shared" si="771"/>
        <v>018</v>
      </c>
      <c r="J6475" s="5" t="str">
        <f t="shared" si="772"/>
        <v>2100</v>
      </c>
      <c r="K6475" s="5" t="str">
        <f t="shared" si="773"/>
        <v>000</v>
      </c>
      <c r="L6475" s="5">
        <f t="shared" si="774"/>
        <v>4</v>
      </c>
      <c r="M6475" s="5">
        <f t="shared" si="775"/>
        <v>2013</v>
      </c>
    </row>
    <row r="6476" spans="1:13" ht="15" x14ac:dyDescent="0.25">
      <c r="A6476" s="1">
        <f>DATE(2013,4,23)</f>
        <v>41387</v>
      </c>
      <c r="B6476" t="s">
        <v>20</v>
      </c>
      <c r="C6476" t="s">
        <v>8</v>
      </c>
      <c r="D6476" s="3">
        <v>687.69539999999995</v>
      </c>
      <c r="E6476" s="3">
        <v>0</v>
      </c>
      <c r="F6476" t="s">
        <v>45</v>
      </c>
      <c r="G6476" s="3">
        <f t="shared" si="769"/>
        <v>-687.69539999999995</v>
      </c>
      <c r="H6476" s="3">
        <f t="shared" si="770"/>
        <v>687.69539999999995</v>
      </c>
      <c r="I6476" s="5" t="str">
        <f t="shared" si="771"/>
        <v>018</v>
      </c>
      <c r="J6476" s="5" t="str">
        <f t="shared" si="772"/>
        <v>2210</v>
      </c>
      <c r="K6476" s="5" t="str">
        <f t="shared" si="773"/>
        <v>000</v>
      </c>
      <c r="L6476" s="5">
        <f t="shared" si="774"/>
        <v>4</v>
      </c>
      <c r="M6476" s="5">
        <f t="shared" si="775"/>
        <v>2013</v>
      </c>
    </row>
    <row r="6477" spans="1:13" ht="15" x14ac:dyDescent="0.25">
      <c r="A6477" s="1">
        <f>DATE(2013,4,23)</f>
        <v>41387</v>
      </c>
      <c r="B6477" t="s">
        <v>21</v>
      </c>
      <c r="C6477" t="s">
        <v>9</v>
      </c>
      <c r="D6477" s="3">
        <v>108.6751</v>
      </c>
      <c r="E6477" s="3">
        <v>0</v>
      </c>
      <c r="F6477" t="s">
        <v>45</v>
      </c>
      <c r="G6477" s="3">
        <f t="shared" si="769"/>
        <v>-108.6751</v>
      </c>
      <c r="H6477" s="3">
        <f t="shared" si="770"/>
        <v>108.6751</v>
      </c>
      <c r="I6477" s="5" t="str">
        <f t="shared" si="771"/>
        <v>018</v>
      </c>
      <c r="J6477" s="5" t="str">
        <f t="shared" si="772"/>
        <v>2220</v>
      </c>
      <c r="K6477" s="5" t="str">
        <f t="shared" si="773"/>
        <v>000</v>
      </c>
      <c r="L6477" s="5">
        <f t="shared" si="774"/>
        <v>4</v>
      </c>
      <c r="M6477" s="5">
        <f t="shared" si="775"/>
        <v>2013</v>
      </c>
    </row>
    <row r="6478" spans="1:13" ht="15" x14ac:dyDescent="0.25">
      <c r="A6478" s="1">
        <f>DATE(2013,4,23)</f>
        <v>41387</v>
      </c>
      <c r="B6478" t="s">
        <v>22</v>
      </c>
      <c r="C6478" t="s">
        <v>10</v>
      </c>
      <c r="D6478" s="3">
        <v>23.095400000000001</v>
      </c>
      <c r="E6478" s="3">
        <v>0</v>
      </c>
      <c r="F6478" t="s">
        <v>45</v>
      </c>
      <c r="G6478" s="3">
        <f t="shared" si="769"/>
        <v>-23.095400000000001</v>
      </c>
      <c r="H6478" s="3">
        <f t="shared" si="770"/>
        <v>23.095400000000001</v>
      </c>
      <c r="I6478" s="5" t="str">
        <f t="shared" si="771"/>
        <v>018</v>
      </c>
      <c r="J6478" s="5" t="str">
        <f t="shared" si="772"/>
        <v>2230</v>
      </c>
      <c r="K6478" s="5" t="str">
        <f t="shared" si="773"/>
        <v>000</v>
      </c>
      <c r="L6478" s="5">
        <f t="shared" si="774"/>
        <v>4</v>
      </c>
      <c r="M6478" s="5">
        <f t="shared" si="775"/>
        <v>2013</v>
      </c>
    </row>
    <row r="6479" spans="1:13" ht="15" x14ac:dyDescent="0.25">
      <c r="A6479" s="1">
        <f>DATE(2013,4,24)</f>
        <v>41388</v>
      </c>
      <c r="B6479" t="s">
        <v>19</v>
      </c>
      <c r="C6479" t="s">
        <v>6</v>
      </c>
      <c r="D6479" s="3">
        <v>4935.8945999999996</v>
      </c>
      <c r="E6479" s="3">
        <v>0</v>
      </c>
      <c r="F6479" t="s">
        <v>45</v>
      </c>
      <c r="G6479" s="3">
        <f t="shared" si="769"/>
        <v>-4935.8945999999996</v>
      </c>
      <c r="H6479" s="3">
        <f t="shared" si="770"/>
        <v>4935.8945999999996</v>
      </c>
      <c r="I6479" s="5" t="str">
        <f t="shared" si="771"/>
        <v>018</v>
      </c>
      <c r="J6479" s="5" t="str">
        <f t="shared" si="772"/>
        <v>2100</v>
      </c>
      <c r="K6479" s="5" t="str">
        <f t="shared" si="773"/>
        <v>000</v>
      </c>
      <c r="L6479" s="5">
        <f t="shared" si="774"/>
        <v>4</v>
      </c>
      <c r="M6479" s="5">
        <f t="shared" si="775"/>
        <v>2013</v>
      </c>
    </row>
    <row r="6480" spans="1:13" ht="15" x14ac:dyDescent="0.25">
      <c r="A6480" s="1">
        <f>DATE(2013,4,24)</f>
        <v>41388</v>
      </c>
      <c r="B6480" t="s">
        <v>20</v>
      </c>
      <c r="C6480" t="s">
        <v>8</v>
      </c>
      <c r="D6480" s="3">
        <v>932.27039999999988</v>
      </c>
      <c r="E6480" s="3">
        <v>0</v>
      </c>
      <c r="F6480" t="s">
        <v>45</v>
      </c>
      <c r="G6480" s="3">
        <f t="shared" si="769"/>
        <v>-932.27039999999988</v>
      </c>
      <c r="H6480" s="3">
        <f t="shared" si="770"/>
        <v>932.27039999999988</v>
      </c>
      <c r="I6480" s="5" t="str">
        <f t="shared" si="771"/>
        <v>018</v>
      </c>
      <c r="J6480" s="5" t="str">
        <f t="shared" si="772"/>
        <v>2210</v>
      </c>
      <c r="K6480" s="5" t="str">
        <f t="shared" si="773"/>
        <v>000</v>
      </c>
      <c r="L6480" s="5">
        <f t="shared" si="774"/>
        <v>4</v>
      </c>
      <c r="M6480" s="5">
        <f t="shared" si="775"/>
        <v>2013</v>
      </c>
    </row>
    <row r="6481" spans="1:13" ht="15" x14ac:dyDescent="0.25">
      <c r="A6481" s="1">
        <f>DATE(2013,4,24)</f>
        <v>41388</v>
      </c>
      <c r="B6481" t="s">
        <v>21</v>
      </c>
      <c r="C6481" t="s">
        <v>9</v>
      </c>
      <c r="D6481" s="3">
        <v>180.57</v>
      </c>
      <c r="E6481" s="3">
        <v>0</v>
      </c>
      <c r="F6481" t="s">
        <v>45</v>
      </c>
      <c r="G6481" s="3">
        <f t="shared" si="769"/>
        <v>-180.57</v>
      </c>
      <c r="H6481" s="3">
        <f t="shared" si="770"/>
        <v>180.57</v>
      </c>
      <c r="I6481" s="5" t="str">
        <f t="shared" si="771"/>
        <v>018</v>
      </c>
      <c r="J6481" s="5" t="str">
        <f t="shared" si="772"/>
        <v>2220</v>
      </c>
      <c r="K6481" s="5" t="str">
        <f t="shared" si="773"/>
        <v>000</v>
      </c>
      <c r="L6481" s="5">
        <f t="shared" si="774"/>
        <v>4</v>
      </c>
      <c r="M6481" s="5">
        <f t="shared" si="775"/>
        <v>2013</v>
      </c>
    </row>
    <row r="6482" spans="1:13" ht="15" x14ac:dyDescent="0.25">
      <c r="A6482" s="1">
        <f>DATE(2013,4,24)</f>
        <v>41388</v>
      </c>
      <c r="B6482" t="s">
        <v>22</v>
      </c>
      <c r="C6482" t="s">
        <v>10</v>
      </c>
      <c r="D6482" s="3">
        <v>45.233600000000003</v>
      </c>
      <c r="E6482" s="3">
        <v>0</v>
      </c>
      <c r="F6482" t="s">
        <v>45</v>
      </c>
      <c r="G6482" s="3">
        <f t="shared" si="769"/>
        <v>-45.233600000000003</v>
      </c>
      <c r="H6482" s="3">
        <f t="shared" si="770"/>
        <v>45.233600000000003</v>
      </c>
      <c r="I6482" s="5" t="str">
        <f t="shared" si="771"/>
        <v>018</v>
      </c>
      <c r="J6482" s="5" t="str">
        <f t="shared" si="772"/>
        <v>2230</v>
      </c>
      <c r="K6482" s="5" t="str">
        <f t="shared" si="773"/>
        <v>000</v>
      </c>
      <c r="L6482" s="5">
        <f t="shared" si="774"/>
        <v>4</v>
      </c>
      <c r="M6482" s="5">
        <f t="shared" si="775"/>
        <v>2013</v>
      </c>
    </row>
    <row r="6483" spans="1:13" ht="15" x14ac:dyDescent="0.25">
      <c r="A6483" s="1">
        <f>DATE(2013,4,25)</f>
        <v>41389</v>
      </c>
      <c r="B6483" t="s">
        <v>19</v>
      </c>
      <c r="C6483" t="s">
        <v>6</v>
      </c>
      <c r="D6483" s="3">
        <v>6008.9507000000003</v>
      </c>
      <c r="E6483" s="3">
        <v>0</v>
      </c>
      <c r="F6483" t="s">
        <v>45</v>
      </c>
      <c r="G6483" s="3">
        <f t="shared" si="769"/>
        <v>-6008.9507000000003</v>
      </c>
      <c r="H6483" s="3">
        <f t="shared" si="770"/>
        <v>6008.9507000000003</v>
      </c>
      <c r="I6483" s="5" t="str">
        <f t="shared" si="771"/>
        <v>018</v>
      </c>
      <c r="J6483" s="5" t="str">
        <f t="shared" si="772"/>
        <v>2100</v>
      </c>
      <c r="K6483" s="5" t="str">
        <f t="shared" si="773"/>
        <v>000</v>
      </c>
      <c r="L6483" s="5">
        <f t="shared" si="774"/>
        <v>4</v>
      </c>
      <c r="M6483" s="5">
        <f t="shared" si="775"/>
        <v>2013</v>
      </c>
    </row>
    <row r="6484" spans="1:13" ht="15" x14ac:dyDescent="0.25">
      <c r="A6484" s="1">
        <f>DATE(2013,4,25)</f>
        <v>41389</v>
      </c>
      <c r="B6484" t="s">
        <v>20</v>
      </c>
      <c r="C6484" t="s">
        <v>8</v>
      </c>
      <c r="D6484" s="3">
        <v>1024.5983999999999</v>
      </c>
      <c r="E6484" s="3">
        <v>0</v>
      </c>
      <c r="F6484" t="s">
        <v>45</v>
      </c>
      <c r="G6484" s="3">
        <f t="shared" si="769"/>
        <v>-1024.5983999999999</v>
      </c>
      <c r="H6484" s="3">
        <f t="shared" si="770"/>
        <v>1024.5983999999999</v>
      </c>
      <c r="I6484" s="5" t="str">
        <f t="shared" si="771"/>
        <v>018</v>
      </c>
      <c r="J6484" s="5" t="str">
        <f t="shared" si="772"/>
        <v>2210</v>
      </c>
      <c r="K6484" s="5" t="str">
        <f t="shared" si="773"/>
        <v>000</v>
      </c>
      <c r="L6484" s="5">
        <f t="shared" si="774"/>
        <v>4</v>
      </c>
      <c r="M6484" s="5">
        <f t="shared" si="775"/>
        <v>2013</v>
      </c>
    </row>
    <row r="6485" spans="1:13" ht="15" x14ac:dyDescent="0.25">
      <c r="A6485" s="1">
        <f>DATE(2013,4,25)</f>
        <v>41389</v>
      </c>
      <c r="B6485" t="s">
        <v>21</v>
      </c>
      <c r="C6485" t="s">
        <v>9</v>
      </c>
      <c r="D6485" s="3">
        <v>228.64760000000001</v>
      </c>
      <c r="E6485" s="3">
        <v>0</v>
      </c>
      <c r="F6485" t="s">
        <v>45</v>
      </c>
      <c r="G6485" s="3">
        <f t="shared" si="769"/>
        <v>-228.64760000000001</v>
      </c>
      <c r="H6485" s="3">
        <f t="shared" si="770"/>
        <v>228.64760000000001</v>
      </c>
      <c r="I6485" s="5" t="str">
        <f t="shared" si="771"/>
        <v>018</v>
      </c>
      <c r="J6485" s="5" t="str">
        <f t="shared" si="772"/>
        <v>2220</v>
      </c>
      <c r="K6485" s="5" t="str">
        <f t="shared" si="773"/>
        <v>000</v>
      </c>
      <c r="L6485" s="5">
        <f t="shared" si="774"/>
        <v>4</v>
      </c>
      <c r="M6485" s="5">
        <f t="shared" si="775"/>
        <v>2013</v>
      </c>
    </row>
    <row r="6486" spans="1:13" ht="15" x14ac:dyDescent="0.25">
      <c r="A6486" s="1">
        <f>DATE(2013,4,25)</f>
        <v>41389</v>
      </c>
      <c r="B6486" t="s">
        <v>22</v>
      </c>
      <c r="C6486" t="s">
        <v>10</v>
      </c>
      <c r="D6486" s="3">
        <v>16.6205</v>
      </c>
      <c r="E6486" s="3">
        <v>0</v>
      </c>
      <c r="F6486" t="s">
        <v>45</v>
      </c>
      <c r="G6486" s="3">
        <f t="shared" si="769"/>
        <v>-16.6205</v>
      </c>
      <c r="H6486" s="3">
        <f t="shared" si="770"/>
        <v>16.6205</v>
      </c>
      <c r="I6486" s="5" t="str">
        <f t="shared" si="771"/>
        <v>018</v>
      </c>
      <c r="J6486" s="5" t="str">
        <f t="shared" si="772"/>
        <v>2230</v>
      </c>
      <c r="K6486" s="5" t="str">
        <f t="shared" si="773"/>
        <v>000</v>
      </c>
      <c r="L6486" s="5">
        <f t="shared" si="774"/>
        <v>4</v>
      </c>
      <c r="M6486" s="5">
        <f t="shared" si="775"/>
        <v>2013</v>
      </c>
    </row>
    <row r="6487" spans="1:13" ht="15" x14ac:dyDescent="0.25">
      <c r="A6487" s="1">
        <f>DATE(2013,4,26)</f>
        <v>41390</v>
      </c>
      <c r="B6487" t="s">
        <v>19</v>
      </c>
      <c r="C6487" t="s">
        <v>6</v>
      </c>
      <c r="D6487" s="3">
        <v>7879.4464000000007</v>
      </c>
      <c r="E6487" s="3">
        <v>0</v>
      </c>
      <c r="F6487" t="s">
        <v>45</v>
      </c>
      <c r="G6487" s="3">
        <f t="shared" si="769"/>
        <v>-7879.4464000000007</v>
      </c>
      <c r="H6487" s="3">
        <f t="shared" si="770"/>
        <v>7879.4464000000007</v>
      </c>
      <c r="I6487" s="5" t="str">
        <f t="shared" si="771"/>
        <v>018</v>
      </c>
      <c r="J6487" s="5" t="str">
        <f t="shared" si="772"/>
        <v>2100</v>
      </c>
      <c r="K6487" s="5" t="str">
        <f t="shared" si="773"/>
        <v>000</v>
      </c>
      <c r="L6487" s="5">
        <f t="shared" si="774"/>
        <v>4</v>
      </c>
      <c r="M6487" s="5">
        <f t="shared" si="775"/>
        <v>2013</v>
      </c>
    </row>
    <row r="6488" spans="1:13" ht="15" x14ac:dyDescent="0.25">
      <c r="A6488" s="1">
        <f>DATE(2013,4,26)</f>
        <v>41390</v>
      </c>
      <c r="B6488" t="s">
        <v>20</v>
      </c>
      <c r="C6488" t="s">
        <v>8</v>
      </c>
      <c r="D6488" s="3">
        <v>1937.9684999999999</v>
      </c>
      <c r="E6488" s="3">
        <v>0</v>
      </c>
      <c r="F6488" t="s">
        <v>45</v>
      </c>
      <c r="G6488" s="3">
        <f t="shared" si="769"/>
        <v>-1937.9684999999999</v>
      </c>
      <c r="H6488" s="3">
        <f t="shared" si="770"/>
        <v>1937.9684999999999</v>
      </c>
      <c r="I6488" s="5" t="str">
        <f t="shared" si="771"/>
        <v>018</v>
      </c>
      <c r="J6488" s="5" t="str">
        <f t="shared" si="772"/>
        <v>2210</v>
      </c>
      <c r="K6488" s="5" t="str">
        <f t="shared" si="773"/>
        <v>000</v>
      </c>
      <c r="L6488" s="5">
        <f t="shared" si="774"/>
        <v>4</v>
      </c>
      <c r="M6488" s="5">
        <f t="shared" si="775"/>
        <v>2013</v>
      </c>
    </row>
    <row r="6489" spans="1:13" ht="15" x14ac:dyDescent="0.25">
      <c r="A6489" s="1">
        <f>DATE(2013,4,26)</f>
        <v>41390</v>
      </c>
      <c r="B6489" t="s">
        <v>21</v>
      </c>
      <c r="C6489" t="s">
        <v>9</v>
      </c>
      <c r="D6489" s="3">
        <v>576.58260000000007</v>
      </c>
      <c r="E6489" s="3">
        <v>0</v>
      </c>
      <c r="F6489" t="s">
        <v>45</v>
      </c>
      <c r="G6489" s="3">
        <f t="shared" si="769"/>
        <v>-576.58260000000007</v>
      </c>
      <c r="H6489" s="3">
        <f t="shared" si="770"/>
        <v>576.58260000000007</v>
      </c>
      <c r="I6489" s="5" t="str">
        <f t="shared" si="771"/>
        <v>018</v>
      </c>
      <c r="J6489" s="5" t="str">
        <f t="shared" si="772"/>
        <v>2220</v>
      </c>
      <c r="K6489" s="5" t="str">
        <f t="shared" si="773"/>
        <v>000</v>
      </c>
      <c r="L6489" s="5">
        <f t="shared" si="774"/>
        <v>4</v>
      </c>
      <c r="M6489" s="5">
        <f t="shared" si="775"/>
        <v>2013</v>
      </c>
    </row>
    <row r="6490" spans="1:13" ht="15" x14ac:dyDescent="0.25">
      <c r="A6490" s="1">
        <f>DATE(2013,4,26)</f>
        <v>41390</v>
      </c>
      <c r="B6490" t="s">
        <v>22</v>
      </c>
      <c r="C6490" t="s">
        <v>10</v>
      </c>
      <c r="D6490" s="3">
        <v>120.5568</v>
      </c>
      <c r="E6490" s="3">
        <v>0</v>
      </c>
      <c r="F6490" t="s">
        <v>45</v>
      </c>
      <c r="G6490" s="3">
        <f t="shared" si="769"/>
        <v>-120.5568</v>
      </c>
      <c r="H6490" s="3">
        <f t="shared" si="770"/>
        <v>120.5568</v>
      </c>
      <c r="I6490" s="5" t="str">
        <f t="shared" si="771"/>
        <v>018</v>
      </c>
      <c r="J6490" s="5" t="str">
        <f t="shared" si="772"/>
        <v>2230</v>
      </c>
      <c r="K6490" s="5" t="str">
        <f t="shared" si="773"/>
        <v>000</v>
      </c>
      <c r="L6490" s="5">
        <f t="shared" si="774"/>
        <v>4</v>
      </c>
      <c r="M6490" s="5">
        <f t="shared" si="775"/>
        <v>2013</v>
      </c>
    </row>
    <row r="6491" spans="1:13" ht="15" x14ac:dyDescent="0.25">
      <c r="A6491" s="1">
        <f>DATE(2013,4,27)</f>
        <v>41391</v>
      </c>
      <c r="B6491" t="s">
        <v>19</v>
      </c>
      <c r="C6491" t="s">
        <v>6</v>
      </c>
      <c r="D6491" s="3">
        <v>17266.016899999999</v>
      </c>
      <c r="E6491" s="3">
        <v>0</v>
      </c>
      <c r="F6491" t="s">
        <v>45</v>
      </c>
      <c r="G6491" s="3">
        <f t="shared" si="769"/>
        <v>-17266.016899999999</v>
      </c>
      <c r="H6491" s="3">
        <f t="shared" si="770"/>
        <v>17266.016899999999</v>
      </c>
      <c r="I6491" s="5" t="str">
        <f t="shared" si="771"/>
        <v>018</v>
      </c>
      <c r="J6491" s="5" t="str">
        <f t="shared" si="772"/>
        <v>2100</v>
      </c>
      <c r="K6491" s="5" t="str">
        <f t="shared" si="773"/>
        <v>000</v>
      </c>
      <c r="L6491" s="5">
        <f t="shared" si="774"/>
        <v>4</v>
      </c>
      <c r="M6491" s="5">
        <f t="shared" si="775"/>
        <v>2013</v>
      </c>
    </row>
    <row r="6492" spans="1:13" ht="15" x14ac:dyDescent="0.25">
      <c r="A6492" s="1">
        <f>DATE(2013,4,27)</f>
        <v>41391</v>
      </c>
      <c r="B6492" t="s">
        <v>20</v>
      </c>
      <c r="C6492" t="s">
        <v>8</v>
      </c>
      <c r="D6492" s="3">
        <v>4843.5933000000005</v>
      </c>
      <c r="E6492" s="3">
        <v>0</v>
      </c>
      <c r="F6492" t="s">
        <v>45</v>
      </c>
      <c r="G6492" s="3">
        <f t="shared" si="769"/>
        <v>-4843.5933000000005</v>
      </c>
      <c r="H6492" s="3">
        <f t="shared" si="770"/>
        <v>4843.5933000000005</v>
      </c>
      <c r="I6492" s="5" t="str">
        <f t="shared" si="771"/>
        <v>018</v>
      </c>
      <c r="J6492" s="5" t="str">
        <f t="shared" si="772"/>
        <v>2210</v>
      </c>
      <c r="K6492" s="5" t="str">
        <f t="shared" si="773"/>
        <v>000</v>
      </c>
      <c r="L6492" s="5">
        <f t="shared" si="774"/>
        <v>4</v>
      </c>
      <c r="M6492" s="5">
        <f t="shared" si="775"/>
        <v>2013</v>
      </c>
    </row>
    <row r="6493" spans="1:13" ht="15" x14ac:dyDescent="0.25">
      <c r="A6493" s="1">
        <f>DATE(2013,4,27)</f>
        <v>41391</v>
      </c>
      <c r="B6493" t="s">
        <v>21</v>
      </c>
      <c r="C6493" t="s">
        <v>9</v>
      </c>
      <c r="D6493" s="3">
        <v>765.14250000000004</v>
      </c>
      <c r="E6493" s="3">
        <v>0</v>
      </c>
      <c r="F6493" t="s">
        <v>45</v>
      </c>
      <c r="G6493" s="3">
        <f t="shared" si="769"/>
        <v>-765.14250000000004</v>
      </c>
      <c r="H6493" s="3">
        <f t="shared" si="770"/>
        <v>765.14250000000004</v>
      </c>
      <c r="I6493" s="5" t="str">
        <f t="shared" si="771"/>
        <v>018</v>
      </c>
      <c r="J6493" s="5" t="str">
        <f t="shared" si="772"/>
        <v>2220</v>
      </c>
      <c r="K6493" s="5" t="str">
        <f t="shared" si="773"/>
        <v>000</v>
      </c>
      <c r="L6493" s="5">
        <f t="shared" si="774"/>
        <v>4</v>
      </c>
      <c r="M6493" s="5">
        <f t="shared" si="775"/>
        <v>2013</v>
      </c>
    </row>
    <row r="6494" spans="1:13" ht="15" x14ac:dyDescent="0.25">
      <c r="A6494" s="1">
        <f>DATE(2013,4,27)</f>
        <v>41391</v>
      </c>
      <c r="B6494" t="s">
        <v>22</v>
      </c>
      <c r="C6494" t="s">
        <v>10</v>
      </c>
      <c r="D6494" s="3">
        <v>119.6874</v>
      </c>
      <c r="E6494" s="3">
        <v>0</v>
      </c>
      <c r="F6494" t="s">
        <v>45</v>
      </c>
      <c r="G6494" s="3">
        <f t="shared" si="769"/>
        <v>-119.6874</v>
      </c>
      <c r="H6494" s="3">
        <f t="shared" si="770"/>
        <v>119.6874</v>
      </c>
      <c r="I6494" s="5" t="str">
        <f t="shared" si="771"/>
        <v>018</v>
      </c>
      <c r="J6494" s="5" t="str">
        <f t="shared" si="772"/>
        <v>2230</v>
      </c>
      <c r="K6494" s="5" t="str">
        <f t="shared" si="773"/>
        <v>000</v>
      </c>
      <c r="L6494" s="5">
        <f t="shared" si="774"/>
        <v>4</v>
      </c>
      <c r="M6494" s="5">
        <f t="shared" si="775"/>
        <v>2013</v>
      </c>
    </row>
    <row r="6495" spans="1:13" ht="15" x14ac:dyDescent="0.25">
      <c r="A6495" s="1">
        <f>DATE(2013,4,28)</f>
        <v>41392</v>
      </c>
      <c r="B6495" t="s">
        <v>19</v>
      </c>
      <c r="C6495" t="s">
        <v>6</v>
      </c>
      <c r="D6495" s="3">
        <v>12064.3614</v>
      </c>
      <c r="E6495" s="3">
        <v>0</v>
      </c>
      <c r="F6495" t="s">
        <v>45</v>
      </c>
      <c r="G6495" s="3">
        <f t="shared" si="769"/>
        <v>-12064.3614</v>
      </c>
      <c r="H6495" s="3">
        <f t="shared" si="770"/>
        <v>12064.3614</v>
      </c>
      <c r="I6495" s="5" t="str">
        <f t="shared" si="771"/>
        <v>018</v>
      </c>
      <c r="J6495" s="5" t="str">
        <f t="shared" si="772"/>
        <v>2100</v>
      </c>
      <c r="K6495" s="5" t="str">
        <f t="shared" si="773"/>
        <v>000</v>
      </c>
      <c r="L6495" s="5">
        <f t="shared" si="774"/>
        <v>4</v>
      </c>
      <c r="M6495" s="5">
        <f t="shared" si="775"/>
        <v>2013</v>
      </c>
    </row>
    <row r="6496" spans="1:13" ht="15" x14ac:dyDescent="0.25">
      <c r="A6496" s="1">
        <f>DATE(2013,4,28)</f>
        <v>41392</v>
      </c>
      <c r="B6496" t="s">
        <v>20</v>
      </c>
      <c r="C6496" t="s">
        <v>8</v>
      </c>
      <c r="D6496" s="3">
        <v>1835.8481999999999</v>
      </c>
      <c r="E6496" s="3">
        <v>0</v>
      </c>
      <c r="F6496" t="s">
        <v>45</v>
      </c>
      <c r="G6496" s="3">
        <f t="shared" si="769"/>
        <v>-1835.8481999999999</v>
      </c>
      <c r="H6496" s="3">
        <f t="shared" si="770"/>
        <v>1835.8481999999999</v>
      </c>
      <c r="I6496" s="5" t="str">
        <f t="shared" si="771"/>
        <v>018</v>
      </c>
      <c r="J6496" s="5" t="str">
        <f t="shared" si="772"/>
        <v>2210</v>
      </c>
      <c r="K6496" s="5" t="str">
        <f t="shared" si="773"/>
        <v>000</v>
      </c>
      <c r="L6496" s="5">
        <f t="shared" si="774"/>
        <v>4</v>
      </c>
      <c r="M6496" s="5">
        <f t="shared" si="775"/>
        <v>2013</v>
      </c>
    </row>
    <row r="6497" spans="1:13" ht="15" x14ac:dyDescent="0.25">
      <c r="A6497" s="1">
        <f>DATE(2013,4,28)</f>
        <v>41392</v>
      </c>
      <c r="B6497" t="s">
        <v>21</v>
      </c>
      <c r="C6497" t="s">
        <v>9</v>
      </c>
      <c r="D6497" s="3">
        <v>413.12419999999997</v>
      </c>
      <c r="E6497" s="3">
        <v>0</v>
      </c>
      <c r="F6497" t="s">
        <v>45</v>
      </c>
      <c r="G6497" s="3">
        <f t="shared" si="769"/>
        <v>-413.12419999999997</v>
      </c>
      <c r="H6497" s="3">
        <f t="shared" si="770"/>
        <v>413.12419999999997</v>
      </c>
      <c r="I6497" s="5" t="str">
        <f t="shared" si="771"/>
        <v>018</v>
      </c>
      <c r="J6497" s="5" t="str">
        <f t="shared" si="772"/>
        <v>2220</v>
      </c>
      <c r="K6497" s="5" t="str">
        <f t="shared" si="773"/>
        <v>000</v>
      </c>
      <c r="L6497" s="5">
        <f t="shared" si="774"/>
        <v>4</v>
      </c>
      <c r="M6497" s="5">
        <f t="shared" si="775"/>
        <v>2013</v>
      </c>
    </row>
    <row r="6498" spans="1:13" ht="15" x14ac:dyDescent="0.25">
      <c r="A6498" s="1">
        <f>DATE(2013,4,28)</f>
        <v>41392</v>
      </c>
      <c r="B6498" t="s">
        <v>22</v>
      </c>
      <c r="C6498" t="s">
        <v>10</v>
      </c>
      <c r="D6498" s="3">
        <v>177.65290000000002</v>
      </c>
      <c r="E6498" s="3">
        <v>0</v>
      </c>
      <c r="F6498" t="s">
        <v>45</v>
      </c>
      <c r="G6498" s="3">
        <f t="shared" si="769"/>
        <v>-177.65290000000002</v>
      </c>
      <c r="H6498" s="3">
        <f t="shared" si="770"/>
        <v>177.65290000000002</v>
      </c>
      <c r="I6498" s="5" t="str">
        <f t="shared" si="771"/>
        <v>018</v>
      </c>
      <c r="J6498" s="5" t="str">
        <f t="shared" si="772"/>
        <v>2230</v>
      </c>
      <c r="K6498" s="5" t="str">
        <f t="shared" si="773"/>
        <v>000</v>
      </c>
      <c r="L6498" s="5">
        <f t="shared" si="774"/>
        <v>4</v>
      </c>
      <c r="M6498" s="5">
        <f t="shared" si="775"/>
        <v>2013</v>
      </c>
    </row>
    <row r="6499" spans="1:13" ht="15" x14ac:dyDescent="0.25">
      <c r="A6499" s="1">
        <f t="shared" ref="A6499:A6502" si="776">DATE(2013,4,29)</f>
        <v>41393</v>
      </c>
      <c r="B6499" t="s">
        <v>11</v>
      </c>
      <c r="C6499" t="s">
        <v>6</v>
      </c>
      <c r="D6499" s="3">
        <v>3068.163</v>
      </c>
      <c r="E6499" s="3">
        <v>0</v>
      </c>
      <c r="F6499" t="s">
        <v>45</v>
      </c>
      <c r="G6499" s="3">
        <f t="shared" si="769"/>
        <v>-3068.163</v>
      </c>
      <c r="H6499" s="3">
        <f t="shared" si="770"/>
        <v>3068.163</v>
      </c>
      <c r="I6499" s="5" t="str">
        <f t="shared" si="771"/>
        <v>016</v>
      </c>
      <c r="J6499" s="5" t="str">
        <f t="shared" si="772"/>
        <v>2100</v>
      </c>
      <c r="K6499" s="5" t="str">
        <f t="shared" si="773"/>
        <v>000</v>
      </c>
      <c r="L6499" s="5">
        <f t="shared" si="774"/>
        <v>4</v>
      </c>
      <c r="M6499" s="5">
        <f t="shared" si="775"/>
        <v>2013</v>
      </c>
    </row>
    <row r="6500" spans="1:13" ht="15" x14ac:dyDescent="0.25">
      <c r="A6500" s="1">
        <f t="shared" si="776"/>
        <v>41393</v>
      </c>
      <c r="B6500" t="s">
        <v>12</v>
      </c>
      <c r="C6500" t="s">
        <v>8</v>
      </c>
      <c r="D6500" s="3">
        <v>418.16400000000004</v>
      </c>
      <c r="E6500" s="3">
        <v>0</v>
      </c>
      <c r="F6500" t="s">
        <v>45</v>
      </c>
      <c r="G6500" s="3">
        <f t="shared" si="769"/>
        <v>-418.16400000000004</v>
      </c>
      <c r="H6500" s="3">
        <f t="shared" si="770"/>
        <v>418.16400000000004</v>
      </c>
      <c r="I6500" s="5" t="str">
        <f t="shared" si="771"/>
        <v>016</v>
      </c>
      <c r="J6500" s="5" t="str">
        <f t="shared" si="772"/>
        <v>2210</v>
      </c>
      <c r="K6500" s="5" t="str">
        <f t="shared" si="773"/>
        <v>000</v>
      </c>
      <c r="L6500" s="5">
        <f t="shared" si="774"/>
        <v>4</v>
      </c>
      <c r="M6500" s="5">
        <f t="shared" si="775"/>
        <v>2013</v>
      </c>
    </row>
    <row r="6501" spans="1:13" ht="15" x14ac:dyDescent="0.25">
      <c r="A6501" s="1">
        <f t="shared" si="776"/>
        <v>41393</v>
      </c>
      <c r="B6501" t="s">
        <v>13</v>
      </c>
      <c r="C6501" t="s">
        <v>9</v>
      </c>
      <c r="D6501" s="3">
        <v>125.96849999999999</v>
      </c>
      <c r="E6501" s="3">
        <v>0</v>
      </c>
      <c r="F6501" t="s">
        <v>45</v>
      </c>
      <c r="G6501" s="3">
        <f t="shared" si="769"/>
        <v>-125.96849999999999</v>
      </c>
      <c r="H6501" s="3">
        <f t="shared" si="770"/>
        <v>125.96849999999999</v>
      </c>
      <c r="I6501" s="5" t="str">
        <f t="shared" si="771"/>
        <v>016</v>
      </c>
      <c r="J6501" s="5" t="str">
        <f t="shared" si="772"/>
        <v>2220</v>
      </c>
      <c r="K6501" s="5" t="str">
        <f t="shared" si="773"/>
        <v>000</v>
      </c>
      <c r="L6501" s="5">
        <f t="shared" si="774"/>
        <v>4</v>
      </c>
      <c r="M6501" s="5">
        <f t="shared" si="775"/>
        <v>2013</v>
      </c>
    </row>
    <row r="6502" spans="1:13" ht="15" x14ac:dyDescent="0.25">
      <c r="A6502" s="1">
        <f t="shared" si="776"/>
        <v>41393</v>
      </c>
      <c r="B6502" t="s">
        <v>14</v>
      </c>
      <c r="C6502" t="s">
        <v>10</v>
      </c>
      <c r="D6502" s="3">
        <v>51.534400000000005</v>
      </c>
      <c r="E6502" s="3">
        <v>0</v>
      </c>
      <c r="F6502" t="s">
        <v>45</v>
      </c>
      <c r="G6502" s="3">
        <f t="shared" si="769"/>
        <v>-51.534400000000005</v>
      </c>
      <c r="H6502" s="3">
        <f t="shared" si="770"/>
        <v>51.534400000000005</v>
      </c>
      <c r="I6502" s="5" t="str">
        <f t="shared" si="771"/>
        <v>016</v>
      </c>
      <c r="J6502" s="5" t="str">
        <f t="shared" si="772"/>
        <v>2230</v>
      </c>
      <c r="K6502" s="5" t="str">
        <f t="shared" si="773"/>
        <v>000</v>
      </c>
      <c r="L6502" s="5">
        <f t="shared" si="774"/>
        <v>4</v>
      </c>
      <c r="M6502" s="5">
        <f t="shared" si="775"/>
        <v>2013</v>
      </c>
    </row>
    <row r="6503" spans="1:13" ht="15" x14ac:dyDescent="0.25">
      <c r="A6503" s="1">
        <f>DATE(2013,4,30)</f>
        <v>41394</v>
      </c>
      <c r="B6503" t="s">
        <v>11</v>
      </c>
      <c r="C6503" t="s">
        <v>6</v>
      </c>
      <c r="D6503" s="3">
        <v>7625.1419999999998</v>
      </c>
      <c r="E6503" s="3">
        <v>0</v>
      </c>
      <c r="F6503" t="s">
        <v>45</v>
      </c>
      <c r="G6503" s="3">
        <f t="shared" si="769"/>
        <v>-7625.1419999999998</v>
      </c>
      <c r="H6503" s="3">
        <f t="shared" si="770"/>
        <v>7625.1419999999998</v>
      </c>
      <c r="I6503" s="5" t="str">
        <f t="shared" si="771"/>
        <v>016</v>
      </c>
      <c r="J6503" s="5" t="str">
        <f t="shared" si="772"/>
        <v>2100</v>
      </c>
      <c r="K6503" s="5" t="str">
        <f t="shared" si="773"/>
        <v>000</v>
      </c>
      <c r="L6503" s="5">
        <f t="shared" si="774"/>
        <v>4</v>
      </c>
      <c r="M6503" s="5">
        <f t="shared" si="775"/>
        <v>2013</v>
      </c>
    </row>
    <row r="6504" spans="1:13" ht="15" x14ac:dyDescent="0.25">
      <c r="A6504" s="1">
        <f>DATE(2013,4,30)</f>
        <v>41394</v>
      </c>
      <c r="B6504" t="s">
        <v>12</v>
      </c>
      <c r="C6504" t="s">
        <v>8</v>
      </c>
      <c r="D6504" s="3">
        <v>2562.5628000000002</v>
      </c>
      <c r="E6504" s="3">
        <v>0</v>
      </c>
      <c r="F6504" t="s">
        <v>45</v>
      </c>
      <c r="G6504" s="3">
        <f t="shared" si="769"/>
        <v>-2562.5628000000002</v>
      </c>
      <c r="H6504" s="3">
        <f t="shared" si="770"/>
        <v>2562.5628000000002</v>
      </c>
      <c r="I6504" s="5" t="str">
        <f t="shared" si="771"/>
        <v>016</v>
      </c>
      <c r="J6504" s="5" t="str">
        <f t="shared" si="772"/>
        <v>2210</v>
      </c>
      <c r="K6504" s="5" t="str">
        <f t="shared" si="773"/>
        <v>000</v>
      </c>
      <c r="L6504" s="5">
        <f t="shared" si="774"/>
        <v>4</v>
      </c>
      <c r="M6504" s="5">
        <f t="shared" si="775"/>
        <v>2013</v>
      </c>
    </row>
    <row r="6505" spans="1:13" ht="15" x14ac:dyDescent="0.25">
      <c r="A6505" s="1">
        <f>DATE(2013,4,30)</f>
        <v>41394</v>
      </c>
      <c r="B6505" t="s">
        <v>13</v>
      </c>
      <c r="C6505" t="s">
        <v>9</v>
      </c>
      <c r="D6505" s="3">
        <v>709.88749999999993</v>
      </c>
      <c r="E6505" s="3">
        <v>0</v>
      </c>
      <c r="F6505" t="s">
        <v>45</v>
      </c>
      <c r="G6505" s="3">
        <f t="shared" si="769"/>
        <v>-709.88749999999993</v>
      </c>
      <c r="H6505" s="3">
        <f t="shared" si="770"/>
        <v>709.88749999999993</v>
      </c>
      <c r="I6505" s="5" t="str">
        <f t="shared" si="771"/>
        <v>016</v>
      </c>
      <c r="J6505" s="5" t="str">
        <f t="shared" si="772"/>
        <v>2220</v>
      </c>
      <c r="K6505" s="5" t="str">
        <f t="shared" si="773"/>
        <v>000</v>
      </c>
      <c r="L6505" s="5">
        <f t="shared" si="774"/>
        <v>4</v>
      </c>
      <c r="M6505" s="5">
        <f t="shared" si="775"/>
        <v>2013</v>
      </c>
    </row>
    <row r="6506" spans="1:13" ht="15" x14ac:dyDescent="0.25">
      <c r="A6506" s="1">
        <f>DATE(2013,4,30)</f>
        <v>41394</v>
      </c>
      <c r="B6506" t="s">
        <v>14</v>
      </c>
      <c r="C6506" t="s">
        <v>10</v>
      </c>
      <c r="D6506" s="3">
        <v>151.33420000000001</v>
      </c>
      <c r="E6506" s="3">
        <v>0</v>
      </c>
      <c r="F6506" t="s">
        <v>45</v>
      </c>
      <c r="G6506" s="3">
        <f t="shared" si="769"/>
        <v>-151.33420000000001</v>
      </c>
      <c r="H6506" s="3">
        <f t="shared" si="770"/>
        <v>151.33420000000001</v>
      </c>
      <c r="I6506" s="5" t="str">
        <f t="shared" si="771"/>
        <v>016</v>
      </c>
      <c r="J6506" s="5" t="str">
        <f t="shared" si="772"/>
        <v>2230</v>
      </c>
      <c r="K6506" s="5" t="str">
        <f t="shared" si="773"/>
        <v>000</v>
      </c>
      <c r="L6506" s="5">
        <f t="shared" si="774"/>
        <v>4</v>
      </c>
      <c r="M6506" s="5">
        <f t="shared" si="775"/>
        <v>2013</v>
      </c>
    </row>
    <row r="6507" spans="1:13" ht="15" x14ac:dyDescent="0.25">
      <c r="A6507" s="1">
        <f>DATE(2013,5,1)</f>
        <v>41395</v>
      </c>
      <c r="B6507" t="s">
        <v>11</v>
      </c>
      <c r="C6507" t="s">
        <v>6</v>
      </c>
      <c r="D6507" s="3">
        <v>2785.9962</v>
      </c>
      <c r="E6507" s="3">
        <v>0</v>
      </c>
      <c r="F6507" t="s">
        <v>45</v>
      </c>
      <c r="G6507" s="3">
        <f t="shared" si="769"/>
        <v>-2785.9962</v>
      </c>
      <c r="H6507" s="3">
        <f t="shared" si="770"/>
        <v>2785.9962</v>
      </c>
      <c r="I6507" s="5" t="str">
        <f t="shared" si="771"/>
        <v>016</v>
      </c>
      <c r="J6507" s="5" t="str">
        <f t="shared" si="772"/>
        <v>2100</v>
      </c>
      <c r="K6507" s="5" t="str">
        <f t="shared" si="773"/>
        <v>000</v>
      </c>
      <c r="L6507" s="5">
        <f t="shared" si="774"/>
        <v>5</v>
      </c>
      <c r="M6507" s="5">
        <f t="shared" si="775"/>
        <v>2013</v>
      </c>
    </row>
    <row r="6508" spans="1:13" ht="15" x14ac:dyDescent="0.25">
      <c r="A6508" s="1">
        <f>DATE(2013,5,1)</f>
        <v>41395</v>
      </c>
      <c r="B6508" t="s">
        <v>12</v>
      </c>
      <c r="C6508" t="s">
        <v>8</v>
      </c>
      <c r="D6508" s="3">
        <v>559.52819999999997</v>
      </c>
      <c r="E6508" s="3">
        <v>0</v>
      </c>
      <c r="F6508" t="s">
        <v>45</v>
      </c>
      <c r="G6508" s="3">
        <f t="shared" si="769"/>
        <v>-559.52819999999997</v>
      </c>
      <c r="H6508" s="3">
        <f t="shared" si="770"/>
        <v>559.52819999999997</v>
      </c>
      <c r="I6508" s="5" t="str">
        <f t="shared" si="771"/>
        <v>016</v>
      </c>
      <c r="J6508" s="5" t="str">
        <f t="shared" si="772"/>
        <v>2210</v>
      </c>
      <c r="K6508" s="5" t="str">
        <f t="shared" si="773"/>
        <v>000</v>
      </c>
      <c r="L6508" s="5">
        <f t="shared" si="774"/>
        <v>5</v>
      </c>
      <c r="M6508" s="5">
        <f t="shared" si="775"/>
        <v>2013</v>
      </c>
    </row>
    <row r="6509" spans="1:13" ht="15" x14ac:dyDescent="0.25">
      <c r="A6509" s="1">
        <f>DATE(2013,5,1)</f>
        <v>41395</v>
      </c>
      <c r="B6509" t="s">
        <v>13</v>
      </c>
      <c r="C6509" t="s">
        <v>9</v>
      </c>
      <c r="D6509" s="3">
        <v>141.12</v>
      </c>
      <c r="E6509" s="3">
        <v>0</v>
      </c>
      <c r="F6509" t="s">
        <v>45</v>
      </c>
      <c r="G6509" s="3">
        <f t="shared" si="769"/>
        <v>-141.12</v>
      </c>
      <c r="H6509" s="3">
        <f t="shared" si="770"/>
        <v>141.12</v>
      </c>
      <c r="I6509" s="5" t="str">
        <f t="shared" si="771"/>
        <v>016</v>
      </c>
      <c r="J6509" s="5" t="str">
        <f t="shared" si="772"/>
        <v>2220</v>
      </c>
      <c r="K6509" s="5" t="str">
        <f t="shared" si="773"/>
        <v>000</v>
      </c>
      <c r="L6509" s="5">
        <f t="shared" si="774"/>
        <v>5</v>
      </c>
      <c r="M6509" s="5">
        <f t="shared" si="775"/>
        <v>2013</v>
      </c>
    </row>
    <row r="6510" spans="1:13" ht="15" x14ac:dyDescent="0.25">
      <c r="A6510" s="1">
        <f>DATE(2013,5,1)</f>
        <v>41395</v>
      </c>
      <c r="B6510" t="s">
        <v>14</v>
      </c>
      <c r="C6510" t="s">
        <v>10</v>
      </c>
      <c r="D6510" s="3">
        <v>82.355000000000004</v>
      </c>
      <c r="E6510" s="3">
        <v>0</v>
      </c>
      <c r="F6510" t="s">
        <v>45</v>
      </c>
      <c r="G6510" s="3">
        <f t="shared" si="769"/>
        <v>-82.355000000000004</v>
      </c>
      <c r="H6510" s="3">
        <f t="shared" si="770"/>
        <v>82.355000000000004</v>
      </c>
      <c r="I6510" s="5" t="str">
        <f t="shared" si="771"/>
        <v>016</v>
      </c>
      <c r="J6510" s="5" t="str">
        <f t="shared" si="772"/>
        <v>2230</v>
      </c>
      <c r="K6510" s="5" t="str">
        <f t="shared" si="773"/>
        <v>000</v>
      </c>
      <c r="L6510" s="5">
        <f t="shared" si="774"/>
        <v>5</v>
      </c>
      <c r="M6510" s="5">
        <f t="shared" si="775"/>
        <v>2013</v>
      </c>
    </row>
    <row r="6511" spans="1:13" ht="15" x14ac:dyDescent="0.25">
      <c r="A6511" s="1">
        <f>DATE(2013,5,2)</f>
        <v>41396</v>
      </c>
      <c r="B6511" t="s">
        <v>11</v>
      </c>
      <c r="C6511" t="s">
        <v>6</v>
      </c>
      <c r="D6511" s="3">
        <v>2214.6104000000005</v>
      </c>
      <c r="E6511" s="3">
        <v>0</v>
      </c>
      <c r="F6511" t="s">
        <v>45</v>
      </c>
      <c r="G6511" s="3">
        <f t="shared" si="769"/>
        <v>-2214.6104000000005</v>
      </c>
      <c r="H6511" s="3">
        <f t="shared" si="770"/>
        <v>2214.6104000000005</v>
      </c>
      <c r="I6511" s="5" t="str">
        <f t="shared" si="771"/>
        <v>016</v>
      </c>
      <c r="J6511" s="5" t="str">
        <f t="shared" si="772"/>
        <v>2100</v>
      </c>
      <c r="K6511" s="5" t="str">
        <f t="shared" si="773"/>
        <v>000</v>
      </c>
      <c r="L6511" s="5">
        <f t="shared" si="774"/>
        <v>5</v>
      </c>
      <c r="M6511" s="5">
        <f t="shared" si="775"/>
        <v>2013</v>
      </c>
    </row>
    <row r="6512" spans="1:13" ht="15" x14ac:dyDescent="0.25">
      <c r="A6512" s="1">
        <f>DATE(2013,5,2)</f>
        <v>41396</v>
      </c>
      <c r="B6512" t="s">
        <v>12</v>
      </c>
      <c r="C6512" t="s">
        <v>8</v>
      </c>
      <c r="D6512" s="3">
        <v>515.1898000000001</v>
      </c>
      <c r="E6512" s="3">
        <v>0</v>
      </c>
      <c r="F6512" t="s">
        <v>45</v>
      </c>
      <c r="G6512" s="3">
        <f t="shared" si="769"/>
        <v>-515.1898000000001</v>
      </c>
      <c r="H6512" s="3">
        <f t="shared" si="770"/>
        <v>515.1898000000001</v>
      </c>
      <c r="I6512" s="5" t="str">
        <f t="shared" si="771"/>
        <v>016</v>
      </c>
      <c r="J6512" s="5" t="str">
        <f t="shared" si="772"/>
        <v>2210</v>
      </c>
      <c r="K6512" s="5" t="str">
        <f t="shared" si="773"/>
        <v>000</v>
      </c>
      <c r="L6512" s="5">
        <f t="shared" si="774"/>
        <v>5</v>
      </c>
      <c r="M6512" s="5">
        <f t="shared" si="775"/>
        <v>2013</v>
      </c>
    </row>
    <row r="6513" spans="1:13" ht="15" x14ac:dyDescent="0.25">
      <c r="A6513" s="1">
        <f>DATE(2013,5,2)</f>
        <v>41396</v>
      </c>
      <c r="B6513" t="s">
        <v>13</v>
      </c>
      <c r="C6513" t="s">
        <v>9</v>
      </c>
      <c r="D6513" s="3">
        <v>133.61670000000001</v>
      </c>
      <c r="E6513" s="3">
        <v>0</v>
      </c>
      <c r="F6513" t="s">
        <v>45</v>
      </c>
      <c r="G6513" s="3">
        <f t="shared" si="769"/>
        <v>-133.61670000000001</v>
      </c>
      <c r="H6513" s="3">
        <f t="shared" si="770"/>
        <v>133.61670000000001</v>
      </c>
      <c r="I6513" s="5" t="str">
        <f t="shared" si="771"/>
        <v>016</v>
      </c>
      <c r="J6513" s="5" t="str">
        <f t="shared" si="772"/>
        <v>2220</v>
      </c>
      <c r="K6513" s="5" t="str">
        <f t="shared" si="773"/>
        <v>000</v>
      </c>
      <c r="L6513" s="5">
        <f t="shared" si="774"/>
        <v>5</v>
      </c>
      <c r="M6513" s="5">
        <f t="shared" si="775"/>
        <v>2013</v>
      </c>
    </row>
    <row r="6514" spans="1:13" ht="15" x14ac:dyDescent="0.25">
      <c r="A6514" s="1">
        <f>DATE(2013,5,2)</f>
        <v>41396</v>
      </c>
      <c r="B6514" t="s">
        <v>14</v>
      </c>
      <c r="C6514" t="s">
        <v>10</v>
      </c>
      <c r="D6514" s="3">
        <v>109.8134</v>
      </c>
      <c r="E6514" s="3">
        <v>0</v>
      </c>
      <c r="F6514" t="s">
        <v>45</v>
      </c>
      <c r="G6514" s="3">
        <f t="shared" si="769"/>
        <v>-109.8134</v>
      </c>
      <c r="H6514" s="3">
        <f t="shared" si="770"/>
        <v>109.8134</v>
      </c>
      <c r="I6514" s="5" t="str">
        <f t="shared" si="771"/>
        <v>016</v>
      </c>
      <c r="J6514" s="5" t="str">
        <f t="shared" si="772"/>
        <v>2230</v>
      </c>
      <c r="K6514" s="5" t="str">
        <f t="shared" si="773"/>
        <v>000</v>
      </c>
      <c r="L6514" s="5">
        <f t="shared" si="774"/>
        <v>5</v>
      </c>
      <c r="M6514" s="5">
        <f t="shared" si="775"/>
        <v>2013</v>
      </c>
    </row>
    <row r="6515" spans="1:13" ht="15" x14ac:dyDescent="0.25">
      <c r="A6515" s="1">
        <f>DATE(2013,5,3)</f>
        <v>41397</v>
      </c>
      <c r="B6515" t="s">
        <v>11</v>
      </c>
      <c r="C6515" t="s">
        <v>6</v>
      </c>
      <c r="D6515" s="3">
        <v>6502.0173999999997</v>
      </c>
      <c r="E6515" s="3">
        <v>0</v>
      </c>
      <c r="F6515" t="s">
        <v>45</v>
      </c>
      <c r="G6515" s="3">
        <f t="shared" si="769"/>
        <v>-6502.0173999999997</v>
      </c>
      <c r="H6515" s="3">
        <f t="shared" si="770"/>
        <v>6502.0173999999997</v>
      </c>
      <c r="I6515" s="5" t="str">
        <f t="shared" si="771"/>
        <v>016</v>
      </c>
      <c r="J6515" s="5" t="str">
        <f t="shared" si="772"/>
        <v>2100</v>
      </c>
      <c r="K6515" s="5" t="str">
        <f t="shared" si="773"/>
        <v>000</v>
      </c>
      <c r="L6515" s="5">
        <f t="shared" si="774"/>
        <v>5</v>
      </c>
      <c r="M6515" s="5">
        <f t="shared" si="775"/>
        <v>2013</v>
      </c>
    </row>
    <row r="6516" spans="1:13" ht="15" x14ac:dyDescent="0.25">
      <c r="A6516" s="1">
        <f>DATE(2013,5,3)</f>
        <v>41397</v>
      </c>
      <c r="B6516" t="s">
        <v>12</v>
      </c>
      <c r="C6516" t="s">
        <v>8</v>
      </c>
      <c r="D6516" s="3">
        <v>1971.1527999999998</v>
      </c>
      <c r="E6516" s="3">
        <v>0</v>
      </c>
      <c r="F6516" t="s">
        <v>45</v>
      </c>
      <c r="G6516" s="3">
        <f t="shared" si="769"/>
        <v>-1971.1527999999998</v>
      </c>
      <c r="H6516" s="3">
        <f t="shared" si="770"/>
        <v>1971.1527999999998</v>
      </c>
      <c r="I6516" s="5" t="str">
        <f t="shared" si="771"/>
        <v>016</v>
      </c>
      <c r="J6516" s="5" t="str">
        <f t="shared" si="772"/>
        <v>2210</v>
      </c>
      <c r="K6516" s="5" t="str">
        <f t="shared" si="773"/>
        <v>000</v>
      </c>
      <c r="L6516" s="5">
        <f t="shared" si="774"/>
        <v>5</v>
      </c>
      <c r="M6516" s="5">
        <f t="shared" si="775"/>
        <v>2013</v>
      </c>
    </row>
    <row r="6517" spans="1:13" ht="15" x14ac:dyDescent="0.25">
      <c r="A6517" s="1">
        <f>DATE(2013,5,3)</f>
        <v>41397</v>
      </c>
      <c r="B6517" t="s">
        <v>13</v>
      </c>
      <c r="C6517" t="s">
        <v>9</v>
      </c>
      <c r="D6517" s="3">
        <v>610.70100000000002</v>
      </c>
      <c r="E6517" s="3">
        <v>0</v>
      </c>
      <c r="F6517" t="s">
        <v>45</v>
      </c>
      <c r="G6517" s="3">
        <f t="shared" si="769"/>
        <v>-610.70100000000002</v>
      </c>
      <c r="H6517" s="3">
        <f t="shared" si="770"/>
        <v>610.70100000000002</v>
      </c>
      <c r="I6517" s="5" t="str">
        <f t="shared" si="771"/>
        <v>016</v>
      </c>
      <c r="J6517" s="5" t="str">
        <f t="shared" si="772"/>
        <v>2220</v>
      </c>
      <c r="K6517" s="5" t="str">
        <f t="shared" si="773"/>
        <v>000</v>
      </c>
      <c r="L6517" s="5">
        <f t="shared" si="774"/>
        <v>5</v>
      </c>
      <c r="M6517" s="5">
        <f t="shared" si="775"/>
        <v>2013</v>
      </c>
    </row>
    <row r="6518" spans="1:13" ht="15" x14ac:dyDescent="0.25">
      <c r="A6518" s="1">
        <f>DATE(2013,5,3)</f>
        <v>41397</v>
      </c>
      <c r="B6518" t="s">
        <v>14</v>
      </c>
      <c r="C6518" t="s">
        <v>10</v>
      </c>
      <c r="D6518" s="3">
        <v>118.31599999999999</v>
      </c>
      <c r="E6518" s="3">
        <v>0</v>
      </c>
      <c r="F6518" t="s">
        <v>45</v>
      </c>
      <c r="G6518" s="3">
        <f t="shared" si="769"/>
        <v>-118.31599999999999</v>
      </c>
      <c r="H6518" s="3">
        <f t="shared" si="770"/>
        <v>118.31599999999999</v>
      </c>
      <c r="I6518" s="5" t="str">
        <f t="shared" si="771"/>
        <v>016</v>
      </c>
      <c r="J6518" s="5" t="str">
        <f t="shared" si="772"/>
        <v>2230</v>
      </c>
      <c r="K6518" s="5" t="str">
        <f t="shared" si="773"/>
        <v>000</v>
      </c>
      <c r="L6518" s="5">
        <f t="shared" si="774"/>
        <v>5</v>
      </c>
      <c r="M6518" s="5">
        <f t="shared" si="775"/>
        <v>2013</v>
      </c>
    </row>
    <row r="6519" spans="1:13" ht="15" x14ac:dyDescent="0.25">
      <c r="A6519" s="1">
        <f>DATE(2013,5,4)</f>
        <v>41398</v>
      </c>
      <c r="B6519" t="s">
        <v>11</v>
      </c>
      <c r="C6519" t="s">
        <v>6</v>
      </c>
      <c r="D6519" s="3">
        <v>8445.2999999999993</v>
      </c>
      <c r="E6519" s="3">
        <v>0</v>
      </c>
      <c r="F6519" t="s">
        <v>45</v>
      </c>
      <c r="G6519" s="3">
        <f t="shared" si="769"/>
        <v>-8445.2999999999993</v>
      </c>
      <c r="H6519" s="3">
        <f t="shared" si="770"/>
        <v>8445.2999999999993</v>
      </c>
      <c r="I6519" s="5" t="str">
        <f t="shared" si="771"/>
        <v>016</v>
      </c>
      <c r="J6519" s="5" t="str">
        <f t="shared" si="772"/>
        <v>2100</v>
      </c>
      <c r="K6519" s="5" t="str">
        <f t="shared" si="773"/>
        <v>000</v>
      </c>
      <c r="L6519" s="5">
        <f t="shared" si="774"/>
        <v>5</v>
      </c>
      <c r="M6519" s="5">
        <f t="shared" si="775"/>
        <v>2013</v>
      </c>
    </row>
    <row r="6520" spans="1:13" ht="15" x14ac:dyDescent="0.25">
      <c r="A6520" s="1">
        <f>DATE(2013,5,4)</f>
        <v>41398</v>
      </c>
      <c r="B6520" t="s">
        <v>12</v>
      </c>
      <c r="C6520" t="s">
        <v>8</v>
      </c>
      <c r="D6520" s="3">
        <v>2295.7559999999999</v>
      </c>
      <c r="E6520" s="3">
        <v>0</v>
      </c>
      <c r="F6520" t="s">
        <v>45</v>
      </c>
      <c r="G6520" s="3">
        <f t="shared" si="769"/>
        <v>-2295.7559999999999</v>
      </c>
      <c r="H6520" s="3">
        <f t="shared" si="770"/>
        <v>2295.7559999999999</v>
      </c>
      <c r="I6520" s="5" t="str">
        <f t="shared" si="771"/>
        <v>016</v>
      </c>
      <c r="J6520" s="5" t="str">
        <f t="shared" si="772"/>
        <v>2210</v>
      </c>
      <c r="K6520" s="5" t="str">
        <f t="shared" si="773"/>
        <v>000</v>
      </c>
      <c r="L6520" s="5">
        <f t="shared" si="774"/>
        <v>5</v>
      </c>
      <c r="M6520" s="5">
        <f t="shared" si="775"/>
        <v>2013</v>
      </c>
    </row>
    <row r="6521" spans="1:13" ht="15" x14ac:dyDescent="0.25">
      <c r="A6521" s="1">
        <f>DATE(2013,5,4)</f>
        <v>41398</v>
      </c>
      <c r="B6521" t="s">
        <v>13</v>
      </c>
      <c r="C6521" t="s">
        <v>9</v>
      </c>
      <c r="D6521" s="3">
        <v>442.92959999999994</v>
      </c>
      <c r="E6521" s="3">
        <v>0</v>
      </c>
      <c r="F6521" t="s">
        <v>45</v>
      </c>
      <c r="G6521" s="3">
        <f t="shared" si="769"/>
        <v>-442.92959999999994</v>
      </c>
      <c r="H6521" s="3">
        <f t="shared" si="770"/>
        <v>442.92959999999994</v>
      </c>
      <c r="I6521" s="5" t="str">
        <f t="shared" si="771"/>
        <v>016</v>
      </c>
      <c r="J6521" s="5" t="str">
        <f t="shared" si="772"/>
        <v>2220</v>
      </c>
      <c r="K6521" s="5" t="str">
        <f t="shared" si="773"/>
        <v>000</v>
      </c>
      <c r="L6521" s="5">
        <f t="shared" si="774"/>
        <v>5</v>
      </c>
      <c r="M6521" s="5">
        <f t="shared" si="775"/>
        <v>2013</v>
      </c>
    </row>
    <row r="6522" spans="1:13" ht="15" x14ac:dyDescent="0.25">
      <c r="A6522" s="1">
        <f>DATE(2013,5,4)</f>
        <v>41398</v>
      </c>
      <c r="B6522" t="s">
        <v>14</v>
      </c>
      <c r="C6522" t="s">
        <v>10</v>
      </c>
      <c r="D6522" s="3">
        <v>90.801000000000002</v>
      </c>
      <c r="E6522" s="3">
        <v>0</v>
      </c>
      <c r="F6522" t="s">
        <v>45</v>
      </c>
      <c r="G6522" s="3">
        <f t="shared" si="769"/>
        <v>-90.801000000000002</v>
      </c>
      <c r="H6522" s="3">
        <f t="shared" si="770"/>
        <v>90.801000000000002</v>
      </c>
      <c r="I6522" s="5" t="str">
        <f t="shared" si="771"/>
        <v>016</v>
      </c>
      <c r="J6522" s="5" t="str">
        <f t="shared" si="772"/>
        <v>2230</v>
      </c>
      <c r="K6522" s="5" t="str">
        <f t="shared" si="773"/>
        <v>000</v>
      </c>
      <c r="L6522" s="5">
        <f t="shared" si="774"/>
        <v>5</v>
      </c>
      <c r="M6522" s="5">
        <f t="shared" si="775"/>
        <v>2013</v>
      </c>
    </row>
    <row r="6523" spans="1:13" ht="15" x14ac:dyDescent="0.25">
      <c r="A6523" s="1">
        <f>DATE(2013,5,5)</f>
        <v>41399</v>
      </c>
      <c r="B6523" t="s">
        <v>11</v>
      </c>
      <c r="C6523" t="s">
        <v>6</v>
      </c>
      <c r="D6523" s="3">
        <v>20109.777600000001</v>
      </c>
      <c r="E6523" s="3">
        <v>0</v>
      </c>
      <c r="F6523" t="s">
        <v>45</v>
      </c>
      <c r="G6523" s="3">
        <f t="shared" si="769"/>
        <v>-20109.777600000001</v>
      </c>
      <c r="H6523" s="3">
        <f t="shared" si="770"/>
        <v>20109.777600000001</v>
      </c>
      <c r="I6523" s="5" t="str">
        <f t="shared" si="771"/>
        <v>016</v>
      </c>
      <c r="J6523" s="5" t="str">
        <f t="shared" si="772"/>
        <v>2100</v>
      </c>
      <c r="K6523" s="5" t="str">
        <f t="shared" si="773"/>
        <v>000</v>
      </c>
      <c r="L6523" s="5">
        <f t="shared" si="774"/>
        <v>5</v>
      </c>
      <c r="M6523" s="5">
        <f t="shared" si="775"/>
        <v>2013</v>
      </c>
    </row>
    <row r="6524" spans="1:13" ht="15" x14ac:dyDescent="0.25">
      <c r="A6524" s="1">
        <f>DATE(2013,5,5)</f>
        <v>41399</v>
      </c>
      <c r="B6524" t="s">
        <v>12</v>
      </c>
      <c r="C6524" t="s">
        <v>8</v>
      </c>
      <c r="D6524" s="3">
        <v>15414.539200000001</v>
      </c>
      <c r="E6524" s="3">
        <v>0</v>
      </c>
      <c r="F6524" t="s">
        <v>45</v>
      </c>
      <c r="G6524" s="3">
        <f t="shared" si="769"/>
        <v>-15414.539200000001</v>
      </c>
      <c r="H6524" s="3">
        <f t="shared" si="770"/>
        <v>15414.539200000001</v>
      </c>
      <c r="I6524" s="5" t="str">
        <f t="shared" si="771"/>
        <v>016</v>
      </c>
      <c r="J6524" s="5" t="str">
        <f t="shared" si="772"/>
        <v>2210</v>
      </c>
      <c r="K6524" s="5" t="str">
        <f t="shared" si="773"/>
        <v>000</v>
      </c>
      <c r="L6524" s="5">
        <f t="shared" si="774"/>
        <v>5</v>
      </c>
      <c r="M6524" s="5">
        <f t="shared" si="775"/>
        <v>2013</v>
      </c>
    </row>
    <row r="6525" spans="1:13" ht="15" x14ac:dyDescent="0.25">
      <c r="A6525" s="1">
        <f>DATE(2013,5,5)</f>
        <v>41399</v>
      </c>
      <c r="B6525" t="s">
        <v>13</v>
      </c>
      <c r="C6525" t="s">
        <v>9</v>
      </c>
      <c r="D6525" s="3">
        <v>7719.9168</v>
      </c>
      <c r="E6525" s="3">
        <v>0</v>
      </c>
      <c r="F6525" t="s">
        <v>45</v>
      </c>
      <c r="G6525" s="3">
        <f t="shared" si="769"/>
        <v>-7719.9168</v>
      </c>
      <c r="H6525" s="3">
        <f t="shared" si="770"/>
        <v>7719.9168</v>
      </c>
      <c r="I6525" s="5" t="str">
        <f t="shared" si="771"/>
        <v>016</v>
      </c>
      <c r="J6525" s="5" t="str">
        <f t="shared" si="772"/>
        <v>2220</v>
      </c>
      <c r="K6525" s="5" t="str">
        <f t="shared" si="773"/>
        <v>000</v>
      </c>
      <c r="L6525" s="5">
        <f t="shared" si="774"/>
        <v>5</v>
      </c>
      <c r="M6525" s="5">
        <f t="shared" si="775"/>
        <v>2013</v>
      </c>
    </row>
    <row r="6526" spans="1:13" ht="15" x14ac:dyDescent="0.25">
      <c r="A6526" s="1">
        <f>DATE(2013,5,5)</f>
        <v>41399</v>
      </c>
      <c r="B6526" t="s">
        <v>14</v>
      </c>
      <c r="C6526" t="s">
        <v>10</v>
      </c>
      <c r="D6526" s="3">
        <v>186.05439999999999</v>
      </c>
      <c r="E6526" s="3">
        <v>0</v>
      </c>
      <c r="F6526" t="s">
        <v>45</v>
      </c>
      <c r="G6526" s="3">
        <f t="shared" si="769"/>
        <v>-186.05439999999999</v>
      </c>
      <c r="H6526" s="3">
        <f t="shared" si="770"/>
        <v>186.05439999999999</v>
      </c>
      <c r="I6526" s="5" t="str">
        <f t="shared" si="771"/>
        <v>016</v>
      </c>
      <c r="J6526" s="5" t="str">
        <f t="shared" si="772"/>
        <v>2230</v>
      </c>
      <c r="K6526" s="5" t="str">
        <f t="shared" si="773"/>
        <v>000</v>
      </c>
      <c r="L6526" s="5">
        <f t="shared" si="774"/>
        <v>5</v>
      </c>
      <c r="M6526" s="5">
        <f t="shared" si="775"/>
        <v>2013</v>
      </c>
    </row>
    <row r="6527" spans="1:13" ht="15" x14ac:dyDescent="0.25">
      <c r="A6527" s="1">
        <f>DATE(2013,4,29)</f>
        <v>41393</v>
      </c>
      <c r="B6527" t="s">
        <v>15</v>
      </c>
      <c r="C6527" t="s">
        <v>6</v>
      </c>
      <c r="D6527" s="3">
        <v>3565.5232000000001</v>
      </c>
      <c r="E6527" s="3">
        <v>0</v>
      </c>
      <c r="F6527" t="s">
        <v>45</v>
      </c>
      <c r="G6527" s="3">
        <f t="shared" si="769"/>
        <v>-3565.5232000000001</v>
      </c>
      <c r="H6527" s="3">
        <f t="shared" si="770"/>
        <v>3565.5232000000001</v>
      </c>
      <c r="I6527" s="5" t="str">
        <f t="shared" si="771"/>
        <v>017</v>
      </c>
      <c r="J6527" s="5" t="str">
        <f t="shared" si="772"/>
        <v>2100</v>
      </c>
      <c r="K6527" s="5" t="str">
        <f t="shared" si="773"/>
        <v>000</v>
      </c>
      <c r="L6527" s="5">
        <f t="shared" si="774"/>
        <v>4</v>
      </c>
      <c r="M6527" s="5">
        <f t="shared" si="775"/>
        <v>2013</v>
      </c>
    </row>
    <row r="6528" spans="1:13" ht="15" x14ac:dyDescent="0.25">
      <c r="A6528" s="1">
        <f>DATE(2013,4,29)</f>
        <v>41393</v>
      </c>
      <c r="B6528" t="s">
        <v>16</v>
      </c>
      <c r="C6528" t="s">
        <v>8</v>
      </c>
      <c r="D6528" s="3">
        <v>839.17439999999999</v>
      </c>
      <c r="E6528" s="3">
        <v>0</v>
      </c>
      <c r="F6528" t="s">
        <v>45</v>
      </c>
      <c r="G6528" s="3">
        <f t="shared" si="769"/>
        <v>-839.17439999999999</v>
      </c>
      <c r="H6528" s="3">
        <f t="shared" si="770"/>
        <v>839.17439999999999</v>
      </c>
      <c r="I6528" s="5" t="str">
        <f t="shared" si="771"/>
        <v>017</v>
      </c>
      <c r="J6528" s="5" t="str">
        <f t="shared" si="772"/>
        <v>2210</v>
      </c>
      <c r="K6528" s="5" t="str">
        <f t="shared" si="773"/>
        <v>000</v>
      </c>
      <c r="L6528" s="5">
        <f t="shared" si="774"/>
        <v>4</v>
      </c>
      <c r="M6528" s="5">
        <f t="shared" si="775"/>
        <v>2013</v>
      </c>
    </row>
    <row r="6529" spans="1:13" ht="15" x14ac:dyDescent="0.25">
      <c r="A6529" s="1">
        <f>DATE(2013,4,29)</f>
        <v>41393</v>
      </c>
      <c r="B6529" t="s">
        <v>17</v>
      </c>
      <c r="C6529" t="s">
        <v>9</v>
      </c>
      <c r="D6529" s="3">
        <v>378.09150000000005</v>
      </c>
      <c r="E6529" s="3">
        <v>0</v>
      </c>
      <c r="F6529" t="s">
        <v>45</v>
      </c>
      <c r="G6529" s="3">
        <f t="shared" si="769"/>
        <v>-378.09150000000005</v>
      </c>
      <c r="H6529" s="3">
        <f t="shared" si="770"/>
        <v>378.09150000000005</v>
      </c>
      <c r="I6529" s="5" t="str">
        <f t="shared" si="771"/>
        <v>017</v>
      </c>
      <c r="J6529" s="5" t="str">
        <f t="shared" si="772"/>
        <v>2220</v>
      </c>
      <c r="K6529" s="5" t="str">
        <f t="shared" si="773"/>
        <v>000</v>
      </c>
      <c r="L6529" s="5">
        <f t="shared" si="774"/>
        <v>4</v>
      </c>
      <c r="M6529" s="5">
        <f t="shared" si="775"/>
        <v>2013</v>
      </c>
    </row>
    <row r="6530" spans="1:13" ht="15" x14ac:dyDescent="0.25">
      <c r="A6530" s="1">
        <f>DATE(2013,4,29)</f>
        <v>41393</v>
      </c>
      <c r="B6530" t="s">
        <v>18</v>
      </c>
      <c r="C6530" t="s">
        <v>10</v>
      </c>
      <c r="D6530" s="3">
        <v>69.667500000000004</v>
      </c>
      <c r="E6530" s="3">
        <v>0</v>
      </c>
      <c r="F6530" t="s">
        <v>45</v>
      </c>
      <c r="G6530" s="3">
        <f t="shared" ref="G6530:G6593" si="777">E6530-D6530</f>
        <v>-69.667500000000004</v>
      </c>
      <c r="H6530" s="3">
        <f t="shared" ref="H6530:H6593" si="778">ABS(G6530)</f>
        <v>69.667500000000004</v>
      </c>
      <c r="I6530" s="5" t="str">
        <f t="shared" ref="I6530:I6593" si="779">MID(B6530,1,3)</f>
        <v>017</v>
      </c>
      <c r="J6530" s="5" t="str">
        <f t="shared" ref="J6530:J6593" si="780">MID(B6530,5,4)</f>
        <v>2230</v>
      </c>
      <c r="K6530" s="5" t="str">
        <f t="shared" ref="K6530:K6593" si="781">MID(B6530,10,3)</f>
        <v>000</v>
      </c>
      <c r="L6530" s="5">
        <f t="shared" ref="L6530:L6593" si="782">MONTH(A6530)</f>
        <v>4</v>
      </c>
      <c r="M6530" s="5">
        <f t="shared" ref="M6530:M6593" si="783">YEAR(A6530)</f>
        <v>2013</v>
      </c>
    </row>
    <row r="6531" spans="1:13" ht="15" x14ac:dyDescent="0.25">
      <c r="A6531" s="1">
        <f>DATE(2013,4,30)</f>
        <v>41394</v>
      </c>
      <c r="B6531" t="s">
        <v>15</v>
      </c>
      <c r="C6531" t="s">
        <v>6</v>
      </c>
      <c r="D6531" s="3">
        <v>7077.9385999999995</v>
      </c>
      <c r="E6531" s="3">
        <v>0</v>
      </c>
      <c r="F6531" t="s">
        <v>45</v>
      </c>
      <c r="G6531" s="3">
        <f t="shared" si="777"/>
        <v>-7077.9385999999995</v>
      </c>
      <c r="H6531" s="3">
        <f t="shared" si="778"/>
        <v>7077.9385999999995</v>
      </c>
      <c r="I6531" s="5" t="str">
        <f t="shared" si="779"/>
        <v>017</v>
      </c>
      <c r="J6531" s="5" t="str">
        <f t="shared" si="780"/>
        <v>2100</v>
      </c>
      <c r="K6531" s="5" t="str">
        <f t="shared" si="781"/>
        <v>000</v>
      </c>
      <c r="L6531" s="5">
        <f t="shared" si="782"/>
        <v>4</v>
      </c>
      <c r="M6531" s="5">
        <f t="shared" si="783"/>
        <v>2013</v>
      </c>
    </row>
    <row r="6532" spans="1:13" ht="15" x14ac:dyDescent="0.25">
      <c r="A6532" s="1">
        <f>DATE(2013,4,30)</f>
        <v>41394</v>
      </c>
      <c r="B6532" t="s">
        <v>16</v>
      </c>
      <c r="C6532" t="s">
        <v>8</v>
      </c>
      <c r="D6532" s="3">
        <v>1889.9024999999999</v>
      </c>
      <c r="E6532" s="3">
        <v>0</v>
      </c>
      <c r="F6532" t="s">
        <v>45</v>
      </c>
      <c r="G6532" s="3">
        <f t="shared" si="777"/>
        <v>-1889.9024999999999</v>
      </c>
      <c r="H6532" s="3">
        <f t="shared" si="778"/>
        <v>1889.9024999999999</v>
      </c>
      <c r="I6532" s="5" t="str">
        <f t="shared" si="779"/>
        <v>017</v>
      </c>
      <c r="J6532" s="5" t="str">
        <f t="shared" si="780"/>
        <v>2210</v>
      </c>
      <c r="K6532" s="5" t="str">
        <f t="shared" si="781"/>
        <v>000</v>
      </c>
      <c r="L6532" s="5">
        <f t="shared" si="782"/>
        <v>4</v>
      </c>
      <c r="M6532" s="5">
        <f t="shared" si="783"/>
        <v>2013</v>
      </c>
    </row>
    <row r="6533" spans="1:13" ht="15" x14ac:dyDescent="0.25">
      <c r="A6533" s="1">
        <f>DATE(2013,4,30)</f>
        <v>41394</v>
      </c>
      <c r="B6533" t="s">
        <v>17</v>
      </c>
      <c r="C6533" t="s">
        <v>9</v>
      </c>
      <c r="D6533" s="3">
        <v>584.31579999999997</v>
      </c>
      <c r="E6533" s="3">
        <v>0</v>
      </c>
      <c r="F6533" t="s">
        <v>45</v>
      </c>
      <c r="G6533" s="3">
        <f t="shared" si="777"/>
        <v>-584.31579999999997</v>
      </c>
      <c r="H6533" s="3">
        <f t="shared" si="778"/>
        <v>584.31579999999997</v>
      </c>
      <c r="I6533" s="5" t="str">
        <f t="shared" si="779"/>
        <v>017</v>
      </c>
      <c r="J6533" s="5" t="str">
        <f t="shared" si="780"/>
        <v>2220</v>
      </c>
      <c r="K6533" s="5" t="str">
        <f t="shared" si="781"/>
        <v>000</v>
      </c>
      <c r="L6533" s="5">
        <f t="shared" si="782"/>
        <v>4</v>
      </c>
      <c r="M6533" s="5">
        <f t="shared" si="783"/>
        <v>2013</v>
      </c>
    </row>
    <row r="6534" spans="1:13" ht="15" x14ac:dyDescent="0.25">
      <c r="A6534" s="1">
        <f>DATE(2013,4,30)</f>
        <v>41394</v>
      </c>
      <c r="B6534" t="s">
        <v>18</v>
      </c>
      <c r="C6534" t="s">
        <v>10</v>
      </c>
      <c r="D6534" s="3">
        <v>157.7962</v>
      </c>
      <c r="E6534" s="3">
        <v>0</v>
      </c>
      <c r="F6534" t="s">
        <v>45</v>
      </c>
      <c r="G6534" s="3">
        <f t="shared" si="777"/>
        <v>-157.7962</v>
      </c>
      <c r="H6534" s="3">
        <f t="shared" si="778"/>
        <v>157.7962</v>
      </c>
      <c r="I6534" s="5" t="str">
        <f t="shared" si="779"/>
        <v>017</v>
      </c>
      <c r="J6534" s="5" t="str">
        <f t="shared" si="780"/>
        <v>2230</v>
      </c>
      <c r="K6534" s="5" t="str">
        <f t="shared" si="781"/>
        <v>000</v>
      </c>
      <c r="L6534" s="5">
        <f t="shared" si="782"/>
        <v>4</v>
      </c>
      <c r="M6534" s="5">
        <f t="shared" si="783"/>
        <v>2013</v>
      </c>
    </row>
    <row r="6535" spans="1:13" ht="15" x14ac:dyDescent="0.25">
      <c r="A6535" s="1">
        <f>DATE(2013,5,1)</f>
        <v>41395</v>
      </c>
      <c r="B6535" t="s">
        <v>15</v>
      </c>
      <c r="C6535" t="s">
        <v>6</v>
      </c>
      <c r="D6535" s="3">
        <v>5375.4297999999999</v>
      </c>
      <c r="E6535" s="3">
        <v>0</v>
      </c>
      <c r="F6535" t="s">
        <v>45</v>
      </c>
      <c r="G6535" s="3">
        <f t="shared" si="777"/>
        <v>-5375.4297999999999</v>
      </c>
      <c r="H6535" s="3">
        <f t="shared" si="778"/>
        <v>5375.4297999999999</v>
      </c>
      <c r="I6535" s="5" t="str">
        <f t="shared" si="779"/>
        <v>017</v>
      </c>
      <c r="J6535" s="5" t="str">
        <f t="shared" si="780"/>
        <v>2100</v>
      </c>
      <c r="K6535" s="5" t="str">
        <f t="shared" si="781"/>
        <v>000</v>
      </c>
      <c r="L6535" s="5">
        <f t="shared" si="782"/>
        <v>5</v>
      </c>
      <c r="M6535" s="5">
        <f t="shared" si="783"/>
        <v>2013</v>
      </c>
    </row>
    <row r="6536" spans="1:13" ht="15" x14ac:dyDescent="0.25">
      <c r="A6536" s="1">
        <f>DATE(2013,5,1)</f>
        <v>41395</v>
      </c>
      <c r="B6536" t="s">
        <v>16</v>
      </c>
      <c r="C6536" t="s">
        <v>8</v>
      </c>
      <c r="D6536" s="3">
        <v>2120.0682000000002</v>
      </c>
      <c r="E6536" s="3">
        <v>0</v>
      </c>
      <c r="F6536" t="s">
        <v>45</v>
      </c>
      <c r="G6536" s="3">
        <f t="shared" si="777"/>
        <v>-2120.0682000000002</v>
      </c>
      <c r="H6536" s="3">
        <f t="shared" si="778"/>
        <v>2120.0682000000002</v>
      </c>
      <c r="I6536" s="5" t="str">
        <f t="shared" si="779"/>
        <v>017</v>
      </c>
      <c r="J6536" s="5" t="str">
        <f t="shared" si="780"/>
        <v>2210</v>
      </c>
      <c r="K6536" s="5" t="str">
        <f t="shared" si="781"/>
        <v>000</v>
      </c>
      <c r="L6536" s="5">
        <f t="shared" si="782"/>
        <v>5</v>
      </c>
      <c r="M6536" s="5">
        <f t="shared" si="783"/>
        <v>2013</v>
      </c>
    </row>
    <row r="6537" spans="1:13" ht="15" x14ac:dyDescent="0.25">
      <c r="A6537" s="1">
        <f>DATE(2013,5,1)</f>
        <v>41395</v>
      </c>
      <c r="B6537" t="s">
        <v>17</v>
      </c>
      <c r="C6537" t="s">
        <v>9</v>
      </c>
      <c r="D6537" s="3">
        <v>694.23559999999998</v>
      </c>
      <c r="E6537" s="3">
        <v>0</v>
      </c>
      <c r="F6537" t="s">
        <v>45</v>
      </c>
      <c r="G6537" s="3">
        <f t="shared" si="777"/>
        <v>-694.23559999999998</v>
      </c>
      <c r="H6537" s="3">
        <f t="shared" si="778"/>
        <v>694.23559999999998</v>
      </c>
      <c r="I6537" s="5" t="str">
        <f t="shared" si="779"/>
        <v>017</v>
      </c>
      <c r="J6537" s="5" t="str">
        <f t="shared" si="780"/>
        <v>2220</v>
      </c>
      <c r="K6537" s="5" t="str">
        <f t="shared" si="781"/>
        <v>000</v>
      </c>
      <c r="L6537" s="5">
        <f t="shared" si="782"/>
        <v>5</v>
      </c>
      <c r="M6537" s="5">
        <f t="shared" si="783"/>
        <v>2013</v>
      </c>
    </row>
    <row r="6538" spans="1:13" ht="15" x14ac:dyDescent="0.25">
      <c r="A6538" s="1">
        <f>DATE(2013,5,1)</f>
        <v>41395</v>
      </c>
      <c r="B6538" t="s">
        <v>18</v>
      </c>
      <c r="C6538" t="s">
        <v>10</v>
      </c>
      <c r="D6538" s="3">
        <v>102.0224</v>
      </c>
      <c r="E6538" s="3">
        <v>0</v>
      </c>
      <c r="F6538" t="s">
        <v>45</v>
      </c>
      <c r="G6538" s="3">
        <f t="shared" si="777"/>
        <v>-102.0224</v>
      </c>
      <c r="H6538" s="3">
        <f t="shared" si="778"/>
        <v>102.0224</v>
      </c>
      <c r="I6538" s="5" t="str">
        <f t="shared" si="779"/>
        <v>017</v>
      </c>
      <c r="J6538" s="5" t="str">
        <f t="shared" si="780"/>
        <v>2230</v>
      </c>
      <c r="K6538" s="5" t="str">
        <f t="shared" si="781"/>
        <v>000</v>
      </c>
      <c r="L6538" s="5">
        <f t="shared" si="782"/>
        <v>5</v>
      </c>
      <c r="M6538" s="5">
        <f t="shared" si="783"/>
        <v>2013</v>
      </c>
    </row>
    <row r="6539" spans="1:13" ht="15" x14ac:dyDescent="0.25">
      <c r="A6539" s="1">
        <f>DATE(2013,5,2)</f>
        <v>41396</v>
      </c>
      <c r="B6539" t="s">
        <v>15</v>
      </c>
      <c r="C6539" t="s">
        <v>6</v>
      </c>
      <c r="D6539" s="3">
        <v>5941.3949999999995</v>
      </c>
      <c r="E6539" s="3">
        <v>0</v>
      </c>
      <c r="F6539" t="s">
        <v>45</v>
      </c>
      <c r="G6539" s="3">
        <f t="shared" si="777"/>
        <v>-5941.3949999999995</v>
      </c>
      <c r="H6539" s="3">
        <f t="shared" si="778"/>
        <v>5941.3949999999995</v>
      </c>
      <c r="I6539" s="5" t="str">
        <f t="shared" si="779"/>
        <v>017</v>
      </c>
      <c r="J6539" s="5" t="str">
        <f t="shared" si="780"/>
        <v>2100</v>
      </c>
      <c r="K6539" s="5" t="str">
        <f t="shared" si="781"/>
        <v>000</v>
      </c>
      <c r="L6539" s="5">
        <f t="shared" si="782"/>
        <v>5</v>
      </c>
      <c r="M6539" s="5">
        <f t="shared" si="783"/>
        <v>2013</v>
      </c>
    </row>
    <row r="6540" spans="1:13" ht="15" x14ac:dyDescent="0.25">
      <c r="A6540" s="1">
        <f>DATE(2013,5,2)</f>
        <v>41396</v>
      </c>
      <c r="B6540" t="s">
        <v>16</v>
      </c>
      <c r="C6540" t="s">
        <v>8</v>
      </c>
      <c r="D6540" s="3">
        <v>2177.7231000000002</v>
      </c>
      <c r="E6540" s="3">
        <v>0</v>
      </c>
      <c r="F6540" t="s">
        <v>45</v>
      </c>
      <c r="G6540" s="3">
        <f t="shared" si="777"/>
        <v>-2177.7231000000002</v>
      </c>
      <c r="H6540" s="3">
        <f t="shared" si="778"/>
        <v>2177.7231000000002</v>
      </c>
      <c r="I6540" s="5" t="str">
        <f t="shared" si="779"/>
        <v>017</v>
      </c>
      <c r="J6540" s="5" t="str">
        <f t="shared" si="780"/>
        <v>2210</v>
      </c>
      <c r="K6540" s="5" t="str">
        <f t="shared" si="781"/>
        <v>000</v>
      </c>
      <c r="L6540" s="5">
        <f t="shared" si="782"/>
        <v>5</v>
      </c>
      <c r="M6540" s="5">
        <f t="shared" si="783"/>
        <v>2013</v>
      </c>
    </row>
    <row r="6541" spans="1:13" ht="15" x14ac:dyDescent="0.25">
      <c r="A6541" s="1">
        <f>DATE(2013,5,2)</f>
        <v>41396</v>
      </c>
      <c r="B6541" t="s">
        <v>17</v>
      </c>
      <c r="C6541" t="s">
        <v>9</v>
      </c>
      <c r="D6541" s="3">
        <v>739.83780000000002</v>
      </c>
      <c r="E6541" s="3">
        <v>0</v>
      </c>
      <c r="F6541" t="s">
        <v>45</v>
      </c>
      <c r="G6541" s="3">
        <f t="shared" si="777"/>
        <v>-739.83780000000002</v>
      </c>
      <c r="H6541" s="3">
        <f t="shared" si="778"/>
        <v>739.83780000000002</v>
      </c>
      <c r="I6541" s="5" t="str">
        <f t="shared" si="779"/>
        <v>017</v>
      </c>
      <c r="J6541" s="5" t="str">
        <f t="shared" si="780"/>
        <v>2220</v>
      </c>
      <c r="K6541" s="5" t="str">
        <f t="shared" si="781"/>
        <v>000</v>
      </c>
      <c r="L6541" s="5">
        <f t="shared" si="782"/>
        <v>5</v>
      </c>
      <c r="M6541" s="5">
        <f t="shared" si="783"/>
        <v>2013</v>
      </c>
    </row>
    <row r="6542" spans="1:13" ht="15" x14ac:dyDescent="0.25">
      <c r="A6542" s="1">
        <f>DATE(2013,5,2)</f>
        <v>41396</v>
      </c>
      <c r="B6542" t="s">
        <v>18</v>
      </c>
      <c r="C6542" t="s">
        <v>10</v>
      </c>
      <c r="D6542" s="3">
        <v>85.161999999999992</v>
      </c>
      <c r="E6542" s="3">
        <v>0</v>
      </c>
      <c r="F6542" t="s">
        <v>45</v>
      </c>
      <c r="G6542" s="3">
        <f t="shared" si="777"/>
        <v>-85.161999999999992</v>
      </c>
      <c r="H6542" s="3">
        <f t="shared" si="778"/>
        <v>85.161999999999992</v>
      </c>
      <c r="I6542" s="5" t="str">
        <f t="shared" si="779"/>
        <v>017</v>
      </c>
      <c r="J6542" s="5" t="str">
        <f t="shared" si="780"/>
        <v>2230</v>
      </c>
      <c r="K6542" s="5" t="str">
        <f t="shared" si="781"/>
        <v>000</v>
      </c>
      <c r="L6542" s="5">
        <f t="shared" si="782"/>
        <v>5</v>
      </c>
      <c r="M6542" s="5">
        <f t="shared" si="783"/>
        <v>2013</v>
      </c>
    </row>
    <row r="6543" spans="1:13" ht="15" x14ac:dyDescent="0.25">
      <c r="A6543" s="1">
        <f>DATE(2013,5,3)</f>
        <v>41397</v>
      </c>
      <c r="B6543" t="s">
        <v>15</v>
      </c>
      <c r="C6543" t="s">
        <v>6</v>
      </c>
      <c r="D6543" s="3">
        <v>8936.7408000000014</v>
      </c>
      <c r="E6543" s="3">
        <v>0</v>
      </c>
      <c r="F6543" t="s">
        <v>45</v>
      </c>
      <c r="G6543" s="3">
        <f t="shared" si="777"/>
        <v>-8936.7408000000014</v>
      </c>
      <c r="H6543" s="3">
        <f t="shared" si="778"/>
        <v>8936.7408000000014</v>
      </c>
      <c r="I6543" s="5" t="str">
        <f t="shared" si="779"/>
        <v>017</v>
      </c>
      <c r="J6543" s="5" t="str">
        <f t="shared" si="780"/>
        <v>2100</v>
      </c>
      <c r="K6543" s="5" t="str">
        <f t="shared" si="781"/>
        <v>000</v>
      </c>
      <c r="L6543" s="5">
        <f t="shared" si="782"/>
        <v>5</v>
      </c>
      <c r="M6543" s="5">
        <f t="shared" si="783"/>
        <v>2013</v>
      </c>
    </row>
    <row r="6544" spans="1:13" ht="15" x14ac:dyDescent="0.25">
      <c r="A6544" s="1">
        <f>DATE(2013,5,3)</f>
        <v>41397</v>
      </c>
      <c r="B6544" t="s">
        <v>16</v>
      </c>
      <c r="C6544" t="s">
        <v>8</v>
      </c>
      <c r="D6544" s="3">
        <v>3058.748</v>
      </c>
      <c r="E6544" s="3">
        <v>0</v>
      </c>
      <c r="F6544" t="s">
        <v>45</v>
      </c>
      <c r="G6544" s="3">
        <f t="shared" si="777"/>
        <v>-3058.748</v>
      </c>
      <c r="H6544" s="3">
        <f t="shared" si="778"/>
        <v>3058.748</v>
      </c>
      <c r="I6544" s="5" t="str">
        <f t="shared" si="779"/>
        <v>017</v>
      </c>
      <c r="J6544" s="5" t="str">
        <f t="shared" si="780"/>
        <v>2210</v>
      </c>
      <c r="K6544" s="5" t="str">
        <f t="shared" si="781"/>
        <v>000</v>
      </c>
      <c r="L6544" s="5">
        <f t="shared" si="782"/>
        <v>5</v>
      </c>
      <c r="M6544" s="5">
        <f t="shared" si="783"/>
        <v>2013</v>
      </c>
    </row>
    <row r="6545" spans="1:13" ht="15" x14ac:dyDescent="0.25">
      <c r="A6545" s="1">
        <f>DATE(2013,5,3)</f>
        <v>41397</v>
      </c>
      <c r="B6545" t="s">
        <v>17</v>
      </c>
      <c r="C6545" t="s">
        <v>9</v>
      </c>
      <c r="D6545" s="3">
        <v>736.35540000000003</v>
      </c>
      <c r="E6545" s="3">
        <v>0</v>
      </c>
      <c r="F6545" t="s">
        <v>45</v>
      </c>
      <c r="G6545" s="3">
        <f t="shared" si="777"/>
        <v>-736.35540000000003</v>
      </c>
      <c r="H6545" s="3">
        <f t="shared" si="778"/>
        <v>736.35540000000003</v>
      </c>
      <c r="I6545" s="5" t="str">
        <f t="shared" si="779"/>
        <v>017</v>
      </c>
      <c r="J6545" s="5" t="str">
        <f t="shared" si="780"/>
        <v>2220</v>
      </c>
      <c r="K6545" s="5" t="str">
        <f t="shared" si="781"/>
        <v>000</v>
      </c>
      <c r="L6545" s="5">
        <f t="shared" si="782"/>
        <v>5</v>
      </c>
      <c r="M6545" s="5">
        <f t="shared" si="783"/>
        <v>2013</v>
      </c>
    </row>
    <row r="6546" spans="1:13" ht="15" x14ac:dyDescent="0.25">
      <c r="A6546" s="1">
        <f>DATE(2013,5,3)</f>
        <v>41397</v>
      </c>
      <c r="B6546" t="s">
        <v>18</v>
      </c>
      <c r="C6546" t="s">
        <v>10</v>
      </c>
      <c r="D6546" s="3">
        <v>84.977999999999994</v>
      </c>
      <c r="E6546" s="3">
        <v>0</v>
      </c>
      <c r="F6546" t="s">
        <v>45</v>
      </c>
      <c r="G6546" s="3">
        <f t="shared" si="777"/>
        <v>-84.977999999999994</v>
      </c>
      <c r="H6546" s="3">
        <f t="shared" si="778"/>
        <v>84.977999999999994</v>
      </c>
      <c r="I6546" s="5" t="str">
        <f t="shared" si="779"/>
        <v>017</v>
      </c>
      <c r="J6546" s="5" t="str">
        <f t="shared" si="780"/>
        <v>2230</v>
      </c>
      <c r="K6546" s="5" t="str">
        <f t="shared" si="781"/>
        <v>000</v>
      </c>
      <c r="L6546" s="5">
        <f t="shared" si="782"/>
        <v>5</v>
      </c>
      <c r="M6546" s="5">
        <f t="shared" si="783"/>
        <v>2013</v>
      </c>
    </row>
    <row r="6547" spans="1:13" ht="15" x14ac:dyDescent="0.25">
      <c r="A6547" s="1">
        <f>DATE(2013,5,4)</f>
        <v>41398</v>
      </c>
      <c r="B6547" t="s">
        <v>15</v>
      </c>
      <c r="C6547" t="s">
        <v>6</v>
      </c>
      <c r="D6547" s="3">
        <v>7504.7440000000006</v>
      </c>
      <c r="E6547" s="3">
        <v>0</v>
      </c>
      <c r="F6547" t="s">
        <v>45</v>
      </c>
      <c r="G6547" s="3">
        <f t="shared" si="777"/>
        <v>-7504.7440000000006</v>
      </c>
      <c r="H6547" s="3">
        <f t="shared" si="778"/>
        <v>7504.7440000000006</v>
      </c>
      <c r="I6547" s="5" t="str">
        <f t="shared" si="779"/>
        <v>017</v>
      </c>
      <c r="J6547" s="5" t="str">
        <f t="shared" si="780"/>
        <v>2100</v>
      </c>
      <c r="K6547" s="5" t="str">
        <f t="shared" si="781"/>
        <v>000</v>
      </c>
      <c r="L6547" s="5">
        <f t="shared" si="782"/>
        <v>5</v>
      </c>
      <c r="M6547" s="5">
        <f t="shared" si="783"/>
        <v>2013</v>
      </c>
    </row>
    <row r="6548" spans="1:13" ht="15" x14ac:dyDescent="0.25">
      <c r="A6548" s="1">
        <f>DATE(2013,5,4)</f>
        <v>41398</v>
      </c>
      <c r="B6548" t="s">
        <v>16</v>
      </c>
      <c r="C6548" t="s">
        <v>8</v>
      </c>
      <c r="D6548" s="3">
        <v>2177.7272000000003</v>
      </c>
      <c r="E6548" s="3">
        <v>0</v>
      </c>
      <c r="F6548" t="s">
        <v>45</v>
      </c>
      <c r="G6548" s="3">
        <f t="shared" si="777"/>
        <v>-2177.7272000000003</v>
      </c>
      <c r="H6548" s="3">
        <f t="shared" si="778"/>
        <v>2177.7272000000003</v>
      </c>
      <c r="I6548" s="5" t="str">
        <f t="shared" si="779"/>
        <v>017</v>
      </c>
      <c r="J6548" s="5" t="str">
        <f t="shared" si="780"/>
        <v>2210</v>
      </c>
      <c r="K6548" s="5" t="str">
        <f t="shared" si="781"/>
        <v>000</v>
      </c>
      <c r="L6548" s="5">
        <f t="shared" si="782"/>
        <v>5</v>
      </c>
      <c r="M6548" s="5">
        <f t="shared" si="783"/>
        <v>2013</v>
      </c>
    </row>
    <row r="6549" spans="1:13" ht="15" x14ac:dyDescent="0.25">
      <c r="A6549" s="1">
        <f>DATE(2013,5,4)</f>
        <v>41398</v>
      </c>
      <c r="B6549" t="s">
        <v>17</v>
      </c>
      <c r="C6549" t="s">
        <v>9</v>
      </c>
      <c r="D6549" s="3">
        <v>476.56440000000003</v>
      </c>
      <c r="E6549" s="3">
        <v>0</v>
      </c>
      <c r="F6549" t="s">
        <v>45</v>
      </c>
      <c r="G6549" s="3">
        <f t="shared" si="777"/>
        <v>-476.56440000000003</v>
      </c>
      <c r="H6549" s="3">
        <f t="shared" si="778"/>
        <v>476.56440000000003</v>
      </c>
      <c r="I6549" s="5" t="str">
        <f t="shared" si="779"/>
        <v>017</v>
      </c>
      <c r="J6549" s="5" t="str">
        <f t="shared" si="780"/>
        <v>2220</v>
      </c>
      <c r="K6549" s="5" t="str">
        <f t="shared" si="781"/>
        <v>000</v>
      </c>
      <c r="L6549" s="5">
        <f t="shared" si="782"/>
        <v>5</v>
      </c>
      <c r="M6549" s="5">
        <f t="shared" si="783"/>
        <v>2013</v>
      </c>
    </row>
    <row r="6550" spans="1:13" ht="15" x14ac:dyDescent="0.25">
      <c r="A6550" s="1">
        <f>DATE(2013,5,4)</f>
        <v>41398</v>
      </c>
      <c r="B6550" t="s">
        <v>18</v>
      </c>
      <c r="C6550" t="s">
        <v>10</v>
      </c>
      <c r="D6550" s="3">
        <v>101.96000000000001</v>
      </c>
      <c r="E6550" s="3">
        <v>0</v>
      </c>
      <c r="F6550" t="s">
        <v>45</v>
      </c>
      <c r="G6550" s="3">
        <f t="shared" si="777"/>
        <v>-101.96000000000001</v>
      </c>
      <c r="H6550" s="3">
        <f t="shared" si="778"/>
        <v>101.96000000000001</v>
      </c>
      <c r="I6550" s="5" t="str">
        <f t="shared" si="779"/>
        <v>017</v>
      </c>
      <c r="J6550" s="5" t="str">
        <f t="shared" si="780"/>
        <v>2230</v>
      </c>
      <c r="K6550" s="5" t="str">
        <f t="shared" si="781"/>
        <v>000</v>
      </c>
      <c r="L6550" s="5">
        <f t="shared" si="782"/>
        <v>5</v>
      </c>
      <c r="M6550" s="5">
        <f t="shared" si="783"/>
        <v>2013</v>
      </c>
    </row>
    <row r="6551" spans="1:13" ht="15" x14ac:dyDescent="0.25">
      <c r="A6551" s="1">
        <f>DATE(2013,5,5)</f>
        <v>41399</v>
      </c>
      <c r="B6551" t="s">
        <v>15</v>
      </c>
      <c r="C6551" t="s">
        <v>6</v>
      </c>
      <c r="D6551" s="3">
        <v>14419.2739</v>
      </c>
      <c r="E6551" s="3">
        <v>0</v>
      </c>
      <c r="F6551" t="s">
        <v>45</v>
      </c>
      <c r="G6551" s="3">
        <f t="shared" si="777"/>
        <v>-14419.2739</v>
      </c>
      <c r="H6551" s="3">
        <f t="shared" si="778"/>
        <v>14419.2739</v>
      </c>
      <c r="I6551" s="5" t="str">
        <f t="shared" si="779"/>
        <v>017</v>
      </c>
      <c r="J6551" s="5" t="str">
        <f t="shared" si="780"/>
        <v>2100</v>
      </c>
      <c r="K6551" s="5" t="str">
        <f t="shared" si="781"/>
        <v>000</v>
      </c>
      <c r="L6551" s="5">
        <f t="shared" si="782"/>
        <v>5</v>
      </c>
      <c r="M6551" s="5">
        <f t="shared" si="783"/>
        <v>2013</v>
      </c>
    </row>
    <row r="6552" spans="1:13" ht="15" x14ac:dyDescent="0.25">
      <c r="A6552" s="1">
        <f>DATE(2013,5,5)</f>
        <v>41399</v>
      </c>
      <c r="B6552" t="s">
        <v>16</v>
      </c>
      <c r="C6552" t="s">
        <v>8</v>
      </c>
      <c r="D6552" s="3">
        <v>8045.6382000000003</v>
      </c>
      <c r="E6552" s="3">
        <v>0</v>
      </c>
      <c r="F6552" t="s">
        <v>45</v>
      </c>
      <c r="G6552" s="3">
        <f t="shared" si="777"/>
        <v>-8045.6382000000003</v>
      </c>
      <c r="H6552" s="3">
        <f t="shared" si="778"/>
        <v>8045.6382000000003</v>
      </c>
      <c r="I6552" s="5" t="str">
        <f t="shared" si="779"/>
        <v>017</v>
      </c>
      <c r="J6552" s="5" t="str">
        <f t="shared" si="780"/>
        <v>2210</v>
      </c>
      <c r="K6552" s="5" t="str">
        <f t="shared" si="781"/>
        <v>000</v>
      </c>
      <c r="L6552" s="5">
        <f t="shared" si="782"/>
        <v>5</v>
      </c>
      <c r="M6552" s="5">
        <f t="shared" si="783"/>
        <v>2013</v>
      </c>
    </row>
    <row r="6553" spans="1:13" ht="15" x14ac:dyDescent="0.25">
      <c r="A6553" s="1">
        <f>DATE(2013,5,5)</f>
        <v>41399</v>
      </c>
      <c r="B6553" t="s">
        <v>17</v>
      </c>
      <c r="C6553" t="s">
        <v>9</v>
      </c>
      <c r="D6553" s="3">
        <v>1349.1576</v>
      </c>
      <c r="E6553" s="3">
        <v>0</v>
      </c>
      <c r="F6553" t="s">
        <v>45</v>
      </c>
      <c r="G6553" s="3">
        <f t="shared" si="777"/>
        <v>-1349.1576</v>
      </c>
      <c r="H6553" s="3">
        <f t="shared" si="778"/>
        <v>1349.1576</v>
      </c>
      <c r="I6553" s="5" t="str">
        <f t="shared" si="779"/>
        <v>017</v>
      </c>
      <c r="J6553" s="5" t="str">
        <f t="shared" si="780"/>
        <v>2220</v>
      </c>
      <c r="K6553" s="5" t="str">
        <f t="shared" si="781"/>
        <v>000</v>
      </c>
      <c r="L6553" s="5">
        <f t="shared" si="782"/>
        <v>5</v>
      </c>
      <c r="M6553" s="5">
        <f t="shared" si="783"/>
        <v>2013</v>
      </c>
    </row>
    <row r="6554" spans="1:13" ht="15" x14ac:dyDescent="0.25">
      <c r="A6554" s="1">
        <f>DATE(2013,5,5)</f>
        <v>41399</v>
      </c>
      <c r="B6554" t="s">
        <v>18</v>
      </c>
      <c r="C6554" t="s">
        <v>10</v>
      </c>
      <c r="D6554" s="3">
        <v>62.839299999999994</v>
      </c>
      <c r="E6554" s="3">
        <v>0</v>
      </c>
      <c r="F6554" t="s">
        <v>45</v>
      </c>
      <c r="G6554" s="3">
        <f t="shared" si="777"/>
        <v>-62.839299999999994</v>
      </c>
      <c r="H6554" s="3">
        <f t="shared" si="778"/>
        <v>62.839299999999994</v>
      </c>
      <c r="I6554" s="5" t="str">
        <f t="shared" si="779"/>
        <v>017</v>
      </c>
      <c r="J6554" s="5" t="str">
        <f t="shared" si="780"/>
        <v>2230</v>
      </c>
      <c r="K6554" s="5" t="str">
        <f t="shared" si="781"/>
        <v>000</v>
      </c>
      <c r="L6554" s="5">
        <f t="shared" si="782"/>
        <v>5</v>
      </c>
      <c r="M6554" s="5">
        <f t="shared" si="783"/>
        <v>2013</v>
      </c>
    </row>
    <row r="6555" spans="1:13" ht="15" x14ac:dyDescent="0.25">
      <c r="A6555" s="1">
        <f>DATE(2013,4,29)</f>
        <v>41393</v>
      </c>
      <c r="B6555" t="s">
        <v>19</v>
      </c>
      <c r="C6555" t="s">
        <v>6</v>
      </c>
      <c r="D6555" s="3">
        <v>2635.0073999999995</v>
      </c>
      <c r="E6555" s="3">
        <v>0</v>
      </c>
      <c r="F6555" t="s">
        <v>45</v>
      </c>
      <c r="G6555" s="3">
        <f t="shared" si="777"/>
        <v>-2635.0073999999995</v>
      </c>
      <c r="H6555" s="3">
        <f t="shared" si="778"/>
        <v>2635.0073999999995</v>
      </c>
      <c r="I6555" s="5" t="str">
        <f t="shared" si="779"/>
        <v>018</v>
      </c>
      <c r="J6555" s="5" t="str">
        <f t="shared" si="780"/>
        <v>2100</v>
      </c>
      <c r="K6555" s="5" t="str">
        <f t="shared" si="781"/>
        <v>000</v>
      </c>
      <c r="L6555" s="5">
        <f t="shared" si="782"/>
        <v>4</v>
      </c>
      <c r="M6555" s="5">
        <f t="shared" si="783"/>
        <v>2013</v>
      </c>
    </row>
    <row r="6556" spans="1:13" ht="15" x14ac:dyDescent="0.25">
      <c r="A6556" s="1">
        <f>DATE(2013,4,29)</f>
        <v>41393</v>
      </c>
      <c r="B6556" t="s">
        <v>20</v>
      </c>
      <c r="C6556" t="s">
        <v>8</v>
      </c>
      <c r="D6556" s="3">
        <v>631.87199999999996</v>
      </c>
      <c r="E6556" s="3">
        <v>0</v>
      </c>
      <c r="F6556" t="s">
        <v>45</v>
      </c>
      <c r="G6556" s="3">
        <f t="shared" si="777"/>
        <v>-631.87199999999996</v>
      </c>
      <c r="H6556" s="3">
        <f t="shared" si="778"/>
        <v>631.87199999999996</v>
      </c>
      <c r="I6556" s="5" t="str">
        <f t="shared" si="779"/>
        <v>018</v>
      </c>
      <c r="J6556" s="5" t="str">
        <f t="shared" si="780"/>
        <v>2210</v>
      </c>
      <c r="K6556" s="5" t="str">
        <f t="shared" si="781"/>
        <v>000</v>
      </c>
      <c r="L6556" s="5">
        <f t="shared" si="782"/>
        <v>4</v>
      </c>
      <c r="M6556" s="5">
        <f t="shared" si="783"/>
        <v>2013</v>
      </c>
    </row>
    <row r="6557" spans="1:13" ht="15" x14ac:dyDescent="0.25">
      <c r="A6557" s="1">
        <f>DATE(2013,4,29)</f>
        <v>41393</v>
      </c>
      <c r="B6557" t="s">
        <v>21</v>
      </c>
      <c r="C6557" t="s">
        <v>9</v>
      </c>
      <c r="D6557" s="3">
        <v>182.69129999999998</v>
      </c>
      <c r="E6557" s="3">
        <v>0</v>
      </c>
      <c r="F6557" t="s">
        <v>45</v>
      </c>
      <c r="G6557" s="3">
        <f t="shared" si="777"/>
        <v>-182.69129999999998</v>
      </c>
      <c r="H6557" s="3">
        <f t="shared" si="778"/>
        <v>182.69129999999998</v>
      </c>
      <c r="I6557" s="5" t="str">
        <f t="shared" si="779"/>
        <v>018</v>
      </c>
      <c r="J6557" s="5" t="str">
        <f t="shared" si="780"/>
        <v>2220</v>
      </c>
      <c r="K6557" s="5" t="str">
        <f t="shared" si="781"/>
        <v>000</v>
      </c>
      <c r="L6557" s="5">
        <f t="shared" si="782"/>
        <v>4</v>
      </c>
      <c r="M6557" s="5">
        <f t="shared" si="783"/>
        <v>2013</v>
      </c>
    </row>
    <row r="6558" spans="1:13" ht="15" x14ac:dyDescent="0.25">
      <c r="A6558" s="1">
        <f>DATE(2013,4,29)</f>
        <v>41393</v>
      </c>
      <c r="B6558" t="s">
        <v>22</v>
      </c>
      <c r="C6558" t="s">
        <v>10</v>
      </c>
      <c r="D6558" s="3">
        <v>15.103200000000001</v>
      </c>
      <c r="E6558" s="3">
        <v>0</v>
      </c>
      <c r="F6558" t="s">
        <v>45</v>
      </c>
      <c r="G6558" s="3">
        <f t="shared" si="777"/>
        <v>-15.103200000000001</v>
      </c>
      <c r="H6558" s="3">
        <f t="shared" si="778"/>
        <v>15.103200000000001</v>
      </c>
      <c r="I6558" s="5" t="str">
        <f t="shared" si="779"/>
        <v>018</v>
      </c>
      <c r="J6558" s="5" t="str">
        <f t="shared" si="780"/>
        <v>2230</v>
      </c>
      <c r="K6558" s="5" t="str">
        <f t="shared" si="781"/>
        <v>000</v>
      </c>
      <c r="L6558" s="5">
        <f t="shared" si="782"/>
        <v>4</v>
      </c>
      <c r="M6558" s="5">
        <f t="shared" si="783"/>
        <v>2013</v>
      </c>
    </row>
    <row r="6559" spans="1:13" ht="15" x14ac:dyDescent="0.25">
      <c r="A6559" s="1">
        <f>DATE(2013,4,30)</f>
        <v>41394</v>
      </c>
      <c r="B6559" t="s">
        <v>19</v>
      </c>
      <c r="C6559" t="s">
        <v>6</v>
      </c>
      <c r="D6559" s="3">
        <v>4241.9719999999998</v>
      </c>
      <c r="E6559" s="3">
        <v>0</v>
      </c>
      <c r="F6559" t="s">
        <v>45</v>
      </c>
      <c r="G6559" s="3">
        <f t="shared" si="777"/>
        <v>-4241.9719999999998</v>
      </c>
      <c r="H6559" s="3">
        <f t="shared" si="778"/>
        <v>4241.9719999999998</v>
      </c>
      <c r="I6559" s="5" t="str">
        <f t="shared" si="779"/>
        <v>018</v>
      </c>
      <c r="J6559" s="5" t="str">
        <f t="shared" si="780"/>
        <v>2100</v>
      </c>
      <c r="K6559" s="5" t="str">
        <f t="shared" si="781"/>
        <v>000</v>
      </c>
      <c r="L6559" s="5">
        <f t="shared" si="782"/>
        <v>4</v>
      </c>
      <c r="M6559" s="5">
        <f t="shared" si="783"/>
        <v>2013</v>
      </c>
    </row>
    <row r="6560" spans="1:13" ht="15" x14ac:dyDescent="0.25">
      <c r="A6560" s="1">
        <f>DATE(2013,4,30)</f>
        <v>41394</v>
      </c>
      <c r="B6560" t="s">
        <v>20</v>
      </c>
      <c r="C6560" t="s">
        <v>8</v>
      </c>
      <c r="D6560" s="3">
        <v>650.81219999999996</v>
      </c>
      <c r="E6560" s="3">
        <v>0</v>
      </c>
      <c r="F6560" t="s">
        <v>45</v>
      </c>
      <c r="G6560" s="3">
        <f t="shared" si="777"/>
        <v>-650.81219999999996</v>
      </c>
      <c r="H6560" s="3">
        <f t="shared" si="778"/>
        <v>650.81219999999996</v>
      </c>
      <c r="I6560" s="5" t="str">
        <f t="shared" si="779"/>
        <v>018</v>
      </c>
      <c r="J6560" s="5" t="str">
        <f t="shared" si="780"/>
        <v>2210</v>
      </c>
      <c r="K6560" s="5" t="str">
        <f t="shared" si="781"/>
        <v>000</v>
      </c>
      <c r="L6560" s="5">
        <f t="shared" si="782"/>
        <v>4</v>
      </c>
      <c r="M6560" s="5">
        <f t="shared" si="783"/>
        <v>2013</v>
      </c>
    </row>
    <row r="6561" spans="1:13" ht="15" x14ac:dyDescent="0.25">
      <c r="A6561" s="1">
        <f>DATE(2013,4,30)</f>
        <v>41394</v>
      </c>
      <c r="B6561" t="s">
        <v>21</v>
      </c>
      <c r="C6561" t="s">
        <v>9</v>
      </c>
      <c r="D6561" s="3">
        <v>164.4564</v>
      </c>
      <c r="E6561" s="3">
        <v>0</v>
      </c>
      <c r="F6561" t="s">
        <v>45</v>
      </c>
      <c r="G6561" s="3">
        <f t="shared" si="777"/>
        <v>-164.4564</v>
      </c>
      <c r="H6561" s="3">
        <f t="shared" si="778"/>
        <v>164.4564</v>
      </c>
      <c r="I6561" s="5" t="str">
        <f t="shared" si="779"/>
        <v>018</v>
      </c>
      <c r="J6561" s="5" t="str">
        <f t="shared" si="780"/>
        <v>2220</v>
      </c>
      <c r="K6561" s="5" t="str">
        <f t="shared" si="781"/>
        <v>000</v>
      </c>
      <c r="L6561" s="5">
        <f t="shared" si="782"/>
        <v>4</v>
      </c>
      <c r="M6561" s="5">
        <f t="shared" si="783"/>
        <v>2013</v>
      </c>
    </row>
    <row r="6562" spans="1:13" ht="15" x14ac:dyDescent="0.25">
      <c r="A6562" s="1">
        <f>DATE(2013,4,30)</f>
        <v>41394</v>
      </c>
      <c r="B6562" t="s">
        <v>22</v>
      </c>
      <c r="C6562" t="s">
        <v>10</v>
      </c>
      <c r="D6562" s="3">
        <v>15.4518</v>
      </c>
      <c r="E6562" s="3">
        <v>0</v>
      </c>
      <c r="F6562" t="s">
        <v>45</v>
      </c>
      <c r="G6562" s="3">
        <f t="shared" si="777"/>
        <v>-15.4518</v>
      </c>
      <c r="H6562" s="3">
        <f t="shared" si="778"/>
        <v>15.4518</v>
      </c>
      <c r="I6562" s="5" t="str">
        <f t="shared" si="779"/>
        <v>018</v>
      </c>
      <c r="J6562" s="5" t="str">
        <f t="shared" si="780"/>
        <v>2230</v>
      </c>
      <c r="K6562" s="5" t="str">
        <f t="shared" si="781"/>
        <v>000</v>
      </c>
      <c r="L6562" s="5">
        <f t="shared" si="782"/>
        <v>4</v>
      </c>
      <c r="M6562" s="5">
        <f t="shared" si="783"/>
        <v>2013</v>
      </c>
    </row>
    <row r="6563" spans="1:13" ht="15" x14ac:dyDescent="0.25">
      <c r="A6563" s="1">
        <f>DATE(2013,5,1)</f>
        <v>41395</v>
      </c>
      <c r="B6563" t="s">
        <v>19</v>
      </c>
      <c r="C6563" t="s">
        <v>6</v>
      </c>
      <c r="D6563" s="3">
        <v>5062.8023999999996</v>
      </c>
      <c r="E6563" s="3">
        <v>0</v>
      </c>
      <c r="F6563" t="s">
        <v>45</v>
      </c>
      <c r="G6563" s="3">
        <f t="shared" si="777"/>
        <v>-5062.8023999999996</v>
      </c>
      <c r="H6563" s="3">
        <f t="shared" si="778"/>
        <v>5062.8023999999996</v>
      </c>
      <c r="I6563" s="5" t="str">
        <f t="shared" si="779"/>
        <v>018</v>
      </c>
      <c r="J6563" s="5" t="str">
        <f t="shared" si="780"/>
        <v>2100</v>
      </c>
      <c r="K6563" s="5" t="str">
        <f t="shared" si="781"/>
        <v>000</v>
      </c>
      <c r="L6563" s="5">
        <f t="shared" si="782"/>
        <v>5</v>
      </c>
      <c r="M6563" s="5">
        <f t="shared" si="783"/>
        <v>2013</v>
      </c>
    </row>
    <row r="6564" spans="1:13" ht="15" x14ac:dyDescent="0.25">
      <c r="A6564" s="1">
        <f>DATE(2013,5,1)</f>
        <v>41395</v>
      </c>
      <c r="B6564" t="s">
        <v>20</v>
      </c>
      <c r="C6564" t="s">
        <v>8</v>
      </c>
      <c r="D6564" s="3">
        <v>1097.0119999999999</v>
      </c>
      <c r="E6564" s="3">
        <v>0</v>
      </c>
      <c r="F6564" t="s">
        <v>45</v>
      </c>
      <c r="G6564" s="3">
        <f t="shared" si="777"/>
        <v>-1097.0119999999999</v>
      </c>
      <c r="H6564" s="3">
        <f t="shared" si="778"/>
        <v>1097.0119999999999</v>
      </c>
      <c r="I6564" s="5" t="str">
        <f t="shared" si="779"/>
        <v>018</v>
      </c>
      <c r="J6564" s="5" t="str">
        <f t="shared" si="780"/>
        <v>2210</v>
      </c>
      <c r="K6564" s="5" t="str">
        <f t="shared" si="781"/>
        <v>000</v>
      </c>
      <c r="L6564" s="5">
        <f t="shared" si="782"/>
        <v>5</v>
      </c>
      <c r="M6564" s="5">
        <f t="shared" si="783"/>
        <v>2013</v>
      </c>
    </row>
    <row r="6565" spans="1:13" ht="15" x14ac:dyDescent="0.25">
      <c r="A6565" s="1">
        <f>DATE(2013,5,1)</f>
        <v>41395</v>
      </c>
      <c r="B6565" t="s">
        <v>21</v>
      </c>
      <c r="C6565" t="s">
        <v>9</v>
      </c>
      <c r="D6565" s="3">
        <v>277.47720000000004</v>
      </c>
      <c r="E6565" s="3">
        <v>0</v>
      </c>
      <c r="F6565" t="s">
        <v>45</v>
      </c>
      <c r="G6565" s="3">
        <f t="shared" si="777"/>
        <v>-277.47720000000004</v>
      </c>
      <c r="H6565" s="3">
        <f t="shared" si="778"/>
        <v>277.47720000000004</v>
      </c>
      <c r="I6565" s="5" t="str">
        <f t="shared" si="779"/>
        <v>018</v>
      </c>
      <c r="J6565" s="5" t="str">
        <f t="shared" si="780"/>
        <v>2220</v>
      </c>
      <c r="K6565" s="5" t="str">
        <f t="shared" si="781"/>
        <v>000</v>
      </c>
      <c r="L6565" s="5">
        <f t="shared" si="782"/>
        <v>5</v>
      </c>
      <c r="M6565" s="5">
        <f t="shared" si="783"/>
        <v>2013</v>
      </c>
    </row>
    <row r="6566" spans="1:13" ht="15" x14ac:dyDescent="0.25">
      <c r="A6566" s="1">
        <f>DATE(2013,5,1)</f>
        <v>41395</v>
      </c>
      <c r="B6566" t="s">
        <v>22</v>
      </c>
      <c r="C6566" t="s">
        <v>10</v>
      </c>
      <c r="D6566" s="3">
        <v>57.922800000000009</v>
      </c>
      <c r="E6566" s="3">
        <v>0</v>
      </c>
      <c r="F6566" t="s">
        <v>45</v>
      </c>
      <c r="G6566" s="3">
        <f t="shared" si="777"/>
        <v>-57.922800000000009</v>
      </c>
      <c r="H6566" s="3">
        <f t="shared" si="778"/>
        <v>57.922800000000009</v>
      </c>
      <c r="I6566" s="5" t="str">
        <f t="shared" si="779"/>
        <v>018</v>
      </c>
      <c r="J6566" s="5" t="str">
        <f t="shared" si="780"/>
        <v>2230</v>
      </c>
      <c r="K6566" s="5" t="str">
        <f t="shared" si="781"/>
        <v>000</v>
      </c>
      <c r="L6566" s="5">
        <f t="shared" si="782"/>
        <v>5</v>
      </c>
      <c r="M6566" s="5">
        <f t="shared" si="783"/>
        <v>2013</v>
      </c>
    </row>
    <row r="6567" spans="1:13" ht="15" x14ac:dyDescent="0.25">
      <c r="A6567" s="1">
        <f>DATE(2013,5,2)</f>
        <v>41396</v>
      </c>
      <c r="B6567" t="s">
        <v>19</v>
      </c>
      <c r="C6567" t="s">
        <v>6</v>
      </c>
      <c r="D6567" s="3">
        <v>5525.3432000000003</v>
      </c>
      <c r="E6567" s="3">
        <v>0</v>
      </c>
      <c r="F6567" t="s">
        <v>45</v>
      </c>
      <c r="G6567" s="3">
        <f t="shared" si="777"/>
        <v>-5525.3432000000003</v>
      </c>
      <c r="H6567" s="3">
        <f t="shared" si="778"/>
        <v>5525.3432000000003</v>
      </c>
      <c r="I6567" s="5" t="str">
        <f t="shared" si="779"/>
        <v>018</v>
      </c>
      <c r="J6567" s="5" t="str">
        <f t="shared" si="780"/>
        <v>2100</v>
      </c>
      <c r="K6567" s="5" t="str">
        <f t="shared" si="781"/>
        <v>000</v>
      </c>
      <c r="L6567" s="5">
        <f t="shared" si="782"/>
        <v>5</v>
      </c>
      <c r="M6567" s="5">
        <f t="shared" si="783"/>
        <v>2013</v>
      </c>
    </row>
    <row r="6568" spans="1:13" ht="15" x14ac:dyDescent="0.25">
      <c r="A6568" s="1">
        <f>DATE(2013,5,2)</f>
        <v>41396</v>
      </c>
      <c r="B6568" t="s">
        <v>20</v>
      </c>
      <c r="C6568" t="s">
        <v>8</v>
      </c>
      <c r="D6568" s="3">
        <v>1085.8452</v>
      </c>
      <c r="E6568" s="3">
        <v>0</v>
      </c>
      <c r="F6568" t="s">
        <v>45</v>
      </c>
      <c r="G6568" s="3">
        <f t="shared" si="777"/>
        <v>-1085.8452</v>
      </c>
      <c r="H6568" s="3">
        <f t="shared" si="778"/>
        <v>1085.8452</v>
      </c>
      <c r="I6568" s="5" t="str">
        <f t="shared" si="779"/>
        <v>018</v>
      </c>
      <c r="J6568" s="5" t="str">
        <f t="shared" si="780"/>
        <v>2210</v>
      </c>
      <c r="K6568" s="5" t="str">
        <f t="shared" si="781"/>
        <v>000</v>
      </c>
      <c r="L6568" s="5">
        <f t="shared" si="782"/>
        <v>5</v>
      </c>
      <c r="M6568" s="5">
        <f t="shared" si="783"/>
        <v>2013</v>
      </c>
    </row>
    <row r="6569" spans="1:13" ht="15" x14ac:dyDescent="0.25">
      <c r="A6569" s="1">
        <f>DATE(2013,5,2)</f>
        <v>41396</v>
      </c>
      <c r="B6569" t="s">
        <v>21</v>
      </c>
      <c r="C6569" t="s">
        <v>9</v>
      </c>
      <c r="D6569" s="3">
        <v>206.64749999999998</v>
      </c>
      <c r="E6569" s="3">
        <v>0</v>
      </c>
      <c r="F6569" t="s">
        <v>45</v>
      </c>
      <c r="G6569" s="3">
        <f t="shared" si="777"/>
        <v>-206.64749999999998</v>
      </c>
      <c r="H6569" s="3">
        <f t="shared" si="778"/>
        <v>206.64749999999998</v>
      </c>
      <c r="I6569" s="5" t="str">
        <f t="shared" si="779"/>
        <v>018</v>
      </c>
      <c r="J6569" s="5" t="str">
        <f t="shared" si="780"/>
        <v>2220</v>
      </c>
      <c r="K6569" s="5" t="str">
        <f t="shared" si="781"/>
        <v>000</v>
      </c>
      <c r="L6569" s="5">
        <f t="shared" si="782"/>
        <v>5</v>
      </c>
      <c r="M6569" s="5">
        <f t="shared" si="783"/>
        <v>2013</v>
      </c>
    </row>
    <row r="6570" spans="1:13" ht="15" x14ac:dyDescent="0.25">
      <c r="A6570" s="1">
        <f>DATE(2013,5,2)</f>
        <v>41396</v>
      </c>
      <c r="B6570" t="s">
        <v>22</v>
      </c>
      <c r="C6570" t="s">
        <v>10</v>
      </c>
      <c r="D6570" s="3">
        <v>6.3920000000000003</v>
      </c>
      <c r="E6570" s="3">
        <v>0</v>
      </c>
      <c r="F6570" t="s">
        <v>45</v>
      </c>
      <c r="G6570" s="3">
        <f t="shared" si="777"/>
        <v>-6.3920000000000003</v>
      </c>
      <c r="H6570" s="3">
        <f t="shared" si="778"/>
        <v>6.3920000000000003</v>
      </c>
      <c r="I6570" s="5" t="str">
        <f t="shared" si="779"/>
        <v>018</v>
      </c>
      <c r="J6570" s="5" t="str">
        <f t="shared" si="780"/>
        <v>2230</v>
      </c>
      <c r="K6570" s="5" t="str">
        <f t="shared" si="781"/>
        <v>000</v>
      </c>
      <c r="L6570" s="5">
        <f t="shared" si="782"/>
        <v>5</v>
      </c>
      <c r="M6570" s="5">
        <f t="shared" si="783"/>
        <v>2013</v>
      </c>
    </row>
    <row r="6571" spans="1:13" ht="15" x14ac:dyDescent="0.25">
      <c r="A6571" s="1">
        <f>DATE(2013,5,3)</f>
        <v>41397</v>
      </c>
      <c r="B6571" t="s">
        <v>19</v>
      </c>
      <c r="C6571" t="s">
        <v>6</v>
      </c>
      <c r="D6571" s="3">
        <v>9464.5655999999999</v>
      </c>
      <c r="E6571" s="3">
        <v>0</v>
      </c>
      <c r="F6571" t="s">
        <v>45</v>
      </c>
      <c r="G6571" s="3">
        <f t="shared" si="777"/>
        <v>-9464.5655999999999</v>
      </c>
      <c r="H6571" s="3">
        <f t="shared" si="778"/>
        <v>9464.5655999999999</v>
      </c>
      <c r="I6571" s="5" t="str">
        <f t="shared" si="779"/>
        <v>018</v>
      </c>
      <c r="J6571" s="5" t="str">
        <f t="shared" si="780"/>
        <v>2100</v>
      </c>
      <c r="K6571" s="5" t="str">
        <f t="shared" si="781"/>
        <v>000</v>
      </c>
      <c r="L6571" s="5">
        <f t="shared" si="782"/>
        <v>5</v>
      </c>
      <c r="M6571" s="5">
        <f t="shared" si="783"/>
        <v>2013</v>
      </c>
    </row>
    <row r="6572" spans="1:13" ht="15" x14ac:dyDescent="0.25">
      <c r="A6572" s="1">
        <f>DATE(2013,5,3)</f>
        <v>41397</v>
      </c>
      <c r="B6572" t="s">
        <v>20</v>
      </c>
      <c r="C6572" t="s">
        <v>8</v>
      </c>
      <c r="D6572" s="3">
        <v>4166.1238000000003</v>
      </c>
      <c r="E6572" s="3">
        <v>0</v>
      </c>
      <c r="F6572" t="s">
        <v>45</v>
      </c>
      <c r="G6572" s="3">
        <f t="shared" si="777"/>
        <v>-4166.1238000000003</v>
      </c>
      <c r="H6572" s="3">
        <f t="shared" si="778"/>
        <v>4166.1238000000003</v>
      </c>
      <c r="I6572" s="5" t="str">
        <f t="shared" si="779"/>
        <v>018</v>
      </c>
      <c r="J6572" s="5" t="str">
        <f t="shared" si="780"/>
        <v>2210</v>
      </c>
      <c r="K6572" s="5" t="str">
        <f t="shared" si="781"/>
        <v>000</v>
      </c>
      <c r="L6572" s="5">
        <f t="shared" si="782"/>
        <v>5</v>
      </c>
      <c r="M6572" s="5">
        <f t="shared" si="783"/>
        <v>2013</v>
      </c>
    </row>
    <row r="6573" spans="1:13" ht="15" x14ac:dyDescent="0.25">
      <c r="A6573" s="1">
        <f>DATE(2013,5,3)</f>
        <v>41397</v>
      </c>
      <c r="B6573" t="s">
        <v>21</v>
      </c>
      <c r="C6573" t="s">
        <v>9</v>
      </c>
      <c r="D6573" s="3">
        <v>958.51859999999999</v>
      </c>
      <c r="E6573" s="3">
        <v>0</v>
      </c>
      <c r="F6573" t="s">
        <v>45</v>
      </c>
      <c r="G6573" s="3">
        <f t="shared" si="777"/>
        <v>-958.51859999999999</v>
      </c>
      <c r="H6573" s="3">
        <f t="shared" si="778"/>
        <v>958.51859999999999</v>
      </c>
      <c r="I6573" s="5" t="str">
        <f t="shared" si="779"/>
        <v>018</v>
      </c>
      <c r="J6573" s="5" t="str">
        <f t="shared" si="780"/>
        <v>2220</v>
      </c>
      <c r="K6573" s="5" t="str">
        <f t="shared" si="781"/>
        <v>000</v>
      </c>
      <c r="L6573" s="5">
        <f t="shared" si="782"/>
        <v>5</v>
      </c>
      <c r="M6573" s="5">
        <f t="shared" si="783"/>
        <v>2013</v>
      </c>
    </row>
    <row r="6574" spans="1:13" ht="15" x14ac:dyDescent="0.25">
      <c r="A6574" s="1">
        <f>DATE(2013,5,3)</f>
        <v>41397</v>
      </c>
      <c r="B6574" t="s">
        <v>22</v>
      </c>
      <c r="C6574" t="s">
        <v>10</v>
      </c>
      <c r="D6574" s="3">
        <v>66.182699999999997</v>
      </c>
      <c r="E6574" s="3">
        <v>0</v>
      </c>
      <c r="F6574" t="s">
        <v>45</v>
      </c>
      <c r="G6574" s="3">
        <f t="shared" si="777"/>
        <v>-66.182699999999997</v>
      </c>
      <c r="H6574" s="3">
        <f t="shared" si="778"/>
        <v>66.182699999999997</v>
      </c>
      <c r="I6574" s="5" t="str">
        <f t="shared" si="779"/>
        <v>018</v>
      </c>
      <c r="J6574" s="5" t="str">
        <f t="shared" si="780"/>
        <v>2230</v>
      </c>
      <c r="K6574" s="5" t="str">
        <f t="shared" si="781"/>
        <v>000</v>
      </c>
      <c r="L6574" s="5">
        <f t="shared" si="782"/>
        <v>5</v>
      </c>
      <c r="M6574" s="5">
        <f t="shared" si="783"/>
        <v>2013</v>
      </c>
    </row>
    <row r="6575" spans="1:13" ht="15" x14ac:dyDescent="0.25">
      <c r="A6575" s="1">
        <f>DATE(2013,5,4)</f>
        <v>41398</v>
      </c>
      <c r="B6575" t="s">
        <v>19</v>
      </c>
      <c r="C6575" t="s">
        <v>6</v>
      </c>
      <c r="D6575" s="3">
        <v>15914.0034</v>
      </c>
      <c r="E6575" s="3">
        <v>0</v>
      </c>
      <c r="F6575" t="s">
        <v>45</v>
      </c>
      <c r="G6575" s="3">
        <f t="shared" si="777"/>
        <v>-15914.0034</v>
      </c>
      <c r="H6575" s="3">
        <f t="shared" si="778"/>
        <v>15914.0034</v>
      </c>
      <c r="I6575" s="5" t="str">
        <f t="shared" si="779"/>
        <v>018</v>
      </c>
      <c r="J6575" s="5" t="str">
        <f t="shared" si="780"/>
        <v>2100</v>
      </c>
      <c r="K6575" s="5" t="str">
        <f t="shared" si="781"/>
        <v>000</v>
      </c>
      <c r="L6575" s="5">
        <f t="shared" si="782"/>
        <v>5</v>
      </c>
      <c r="M6575" s="5">
        <f t="shared" si="783"/>
        <v>2013</v>
      </c>
    </row>
    <row r="6576" spans="1:13" ht="15" x14ac:dyDescent="0.25">
      <c r="A6576" s="1">
        <f>DATE(2013,5,4)</f>
        <v>41398</v>
      </c>
      <c r="B6576" t="s">
        <v>20</v>
      </c>
      <c r="C6576" t="s">
        <v>8</v>
      </c>
      <c r="D6576" s="3">
        <v>3540.9</v>
      </c>
      <c r="E6576" s="3">
        <v>0</v>
      </c>
      <c r="F6576" t="s">
        <v>45</v>
      </c>
      <c r="G6576" s="3">
        <f t="shared" si="777"/>
        <v>-3540.9</v>
      </c>
      <c r="H6576" s="3">
        <f t="shared" si="778"/>
        <v>3540.9</v>
      </c>
      <c r="I6576" s="5" t="str">
        <f t="shared" si="779"/>
        <v>018</v>
      </c>
      <c r="J6576" s="5" t="str">
        <f t="shared" si="780"/>
        <v>2210</v>
      </c>
      <c r="K6576" s="5" t="str">
        <f t="shared" si="781"/>
        <v>000</v>
      </c>
      <c r="L6576" s="5">
        <f t="shared" si="782"/>
        <v>5</v>
      </c>
      <c r="M6576" s="5">
        <f t="shared" si="783"/>
        <v>2013</v>
      </c>
    </row>
    <row r="6577" spans="1:13" ht="15" x14ac:dyDescent="0.25">
      <c r="A6577" s="1">
        <f>DATE(2013,5,4)</f>
        <v>41398</v>
      </c>
      <c r="B6577" t="s">
        <v>21</v>
      </c>
      <c r="C6577" t="s">
        <v>9</v>
      </c>
      <c r="D6577" s="3">
        <v>856.03700000000003</v>
      </c>
      <c r="E6577" s="3">
        <v>0</v>
      </c>
      <c r="F6577" t="s">
        <v>45</v>
      </c>
      <c r="G6577" s="3">
        <f t="shared" si="777"/>
        <v>-856.03700000000003</v>
      </c>
      <c r="H6577" s="3">
        <f t="shared" si="778"/>
        <v>856.03700000000003</v>
      </c>
      <c r="I6577" s="5" t="str">
        <f t="shared" si="779"/>
        <v>018</v>
      </c>
      <c r="J6577" s="5" t="str">
        <f t="shared" si="780"/>
        <v>2220</v>
      </c>
      <c r="K6577" s="5" t="str">
        <f t="shared" si="781"/>
        <v>000</v>
      </c>
      <c r="L6577" s="5">
        <f t="shared" si="782"/>
        <v>5</v>
      </c>
      <c r="M6577" s="5">
        <f t="shared" si="783"/>
        <v>2013</v>
      </c>
    </row>
    <row r="6578" spans="1:13" ht="15" x14ac:dyDescent="0.25">
      <c r="A6578" s="1">
        <f>DATE(2013,5,4)</f>
        <v>41398</v>
      </c>
      <c r="B6578" t="s">
        <v>22</v>
      </c>
      <c r="C6578" t="s">
        <v>10</v>
      </c>
      <c r="D6578" s="3">
        <v>67.002199999999988</v>
      </c>
      <c r="E6578" s="3">
        <v>0</v>
      </c>
      <c r="F6578" t="s">
        <v>45</v>
      </c>
      <c r="G6578" s="3">
        <f t="shared" si="777"/>
        <v>-67.002199999999988</v>
      </c>
      <c r="H6578" s="3">
        <f t="shared" si="778"/>
        <v>67.002199999999988</v>
      </c>
      <c r="I6578" s="5" t="str">
        <f t="shared" si="779"/>
        <v>018</v>
      </c>
      <c r="J6578" s="5" t="str">
        <f t="shared" si="780"/>
        <v>2230</v>
      </c>
      <c r="K6578" s="5" t="str">
        <f t="shared" si="781"/>
        <v>000</v>
      </c>
      <c r="L6578" s="5">
        <f t="shared" si="782"/>
        <v>5</v>
      </c>
      <c r="M6578" s="5">
        <f t="shared" si="783"/>
        <v>2013</v>
      </c>
    </row>
    <row r="6579" spans="1:13" ht="15" x14ac:dyDescent="0.25">
      <c r="A6579" s="1">
        <f>DATE(2013,5,5)</f>
        <v>41399</v>
      </c>
      <c r="B6579" t="s">
        <v>19</v>
      </c>
      <c r="C6579" t="s">
        <v>6</v>
      </c>
      <c r="D6579" s="3">
        <v>18601.478999999999</v>
      </c>
      <c r="E6579" s="3">
        <v>0</v>
      </c>
      <c r="F6579" t="s">
        <v>45</v>
      </c>
      <c r="G6579" s="3">
        <f t="shared" si="777"/>
        <v>-18601.478999999999</v>
      </c>
      <c r="H6579" s="3">
        <f t="shared" si="778"/>
        <v>18601.478999999999</v>
      </c>
      <c r="I6579" s="5" t="str">
        <f t="shared" si="779"/>
        <v>018</v>
      </c>
      <c r="J6579" s="5" t="str">
        <f t="shared" si="780"/>
        <v>2100</v>
      </c>
      <c r="K6579" s="5" t="str">
        <f t="shared" si="781"/>
        <v>000</v>
      </c>
      <c r="L6579" s="5">
        <f t="shared" si="782"/>
        <v>5</v>
      </c>
      <c r="M6579" s="5">
        <f t="shared" si="783"/>
        <v>2013</v>
      </c>
    </row>
    <row r="6580" spans="1:13" ht="15" x14ac:dyDescent="0.25">
      <c r="A6580" s="1">
        <f>DATE(2013,5,5)</f>
        <v>41399</v>
      </c>
      <c r="B6580" t="s">
        <v>20</v>
      </c>
      <c r="C6580" t="s">
        <v>8</v>
      </c>
      <c r="D6580" s="3">
        <v>6007.7828999999992</v>
      </c>
      <c r="E6580" s="3">
        <v>0</v>
      </c>
      <c r="F6580" t="s">
        <v>45</v>
      </c>
      <c r="G6580" s="3">
        <f t="shared" si="777"/>
        <v>-6007.7828999999992</v>
      </c>
      <c r="H6580" s="3">
        <f t="shared" si="778"/>
        <v>6007.7828999999992</v>
      </c>
      <c r="I6580" s="5" t="str">
        <f t="shared" si="779"/>
        <v>018</v>
      </c>
      <c r="J6580" s="5" t="str">
        <f t="shared" si="780"/>
        <v>2210</v>
      </c>
      <c r="K6580" s="5" t="str">
        <f t="shared" si="781"/>
        <v>000</v>
      </c>
      <c r="L6580" s="5">
        <f t="shared" si="782"/>
        <v>5</v>
      </c>
      <c r="M6580" s="5">
        <f t="shared" si="783"/>
        <v>2013</v>
      </c>
    </row>
    <row r="6581" spans="1:13" ht="15" x14ac:dyDescent="0.25">
      <c r="A6581" s="1">
        <f>DATE(2013,5,5)</f>
        <v>41399</v>
      </c>
      <c r="B6581" t="s">
        <v>21</v>
      </c>
      <c r="C6581" t="s">
        <v>9</v>
      </c>
      <c r="D6581" s="3">
        <v>1621.9463999999998</v>
      </c>
      <c r="E6581" s="3">
        <v>0</v>
      </c>
      <c r="F6581" t="s">
        <v>45</v>
      </c>
      <c r="G6581" s="3">
        <f t="shared" si="777"/>
        <v>-1621.9463999999998</v>
      </c>
      <c r="H6581" s="3">
        <f t="shared" si="778"/>
        <v>1621.9463999999998</v>
      </c>
      <c r="I6581" s="5" t="str">
        <f t="shared" si="779"/>
        <v>018</v>
      </c>
      <c r="J6581" s="5" t="str">
        <f t="shared" si="780"/>
        <v>2220</v>
      </c>
      <c r="K6581" s="5" t="str">
        <f t="shared" si="781"/>
        <v>000</v>
      </c>
      <c r="L6581" s="5">
        <f t="shared" si="782"/>
        <v>5</v>
      </c>
      <c r="M6581" s="5">
        <f t="shared" si="783"/>
        <v>2013</v>
      </c>
    </row>
    <row r="6582" spans="1:13" ht="15" x14ac:dyDescent="0.25">
      <c r="A6582" s="1">
        <f>DATE(2013,5,5)</f>
        <v>41399</v>
      </c>
      <c r="B6582" t="s">
        <v>22</v>
      </c>
      <c r="C6582" t="s">
        <v>10</v>
      </c>
      <c r="D6582" s="3">
        <v>91.749800000000008</v>
      </c>
      <c r="E6582" s="3">
        <v>0</v>
      </c>
      <c r="F6582" t="s">
        <v>45</v>
      </c>
      <c r="G6582" s="3">
        <f t="shared" si="777"/>
        <v>-91.749800000000008</v>
      </c>
      <c r="H6582" s="3">
        <f t="shared" si="778"/>
        <v>91.749800000000008</v>
      </c>
      <c r="I6582" s="5" t="str">
        <f t="shared" si="779"/>
        <v>018</v>
      </c>
      <c r="J6582" s="5" t="str">
        <f t="shared" si="780"/>
        <v>2230</v>
      </c>
      <c r="K6582" s="5" t="str">
        <f t="shared" si="781"/>
        <v>000</v>
      </c>
      <c r="L6582" s="5">
        <f t="shared" si="782"/>
        <v>5</v>
      </c>
      <c r="M6582" s="5">
        <f t="shared" si="783"/>
        <v>2013</v>
      </c>
    </row>
    <row r="6583" spans="1:13" ht="15" x14ac:dyDescent="0.25">
      <c r="A6583" s="1">
        <f>DATE(2013,5,6)</f>
        <v>41400</v>
      </c>
      <c r="B6583" t="s">
        <v>11</v>
      </c>
      <c r="C6583" t="s">
        <v>6</v>
      </c>
      <c r="D6583" s="3">
        <v>1995.0000000000002</v>
      </c>
      <c r="E6583" s="3">
        <v>0</v>
      </c>
      <c r="F6583" t="s">
        <v>45</v>
      </c>
      <c r="G6583" s="3">
        <f t="shared" si="777"/>
        <v>-1995.0000000000002</v>
      </c>
      <c r="H6583" s="3">
        <f t="shared" si="778"/>
        <v>1995.0000000000002</v>
      </c>
      <c r="I6583" s="5" t="str">
        <f t="shared" si="779"/>
        <v>016</v>
      </c>
      <c r="J6583" s="5" t="str">
        <f t="shared" si="780"/>
        <v>2100</v>
      </c>
      <c r="K6583" s="5" t="str">
        <f t="shared" si="781"/>
        <v>000</v>
      </c>
      <c r="L6583" s="5">
        <f t="shared" si="782"/>
        <v>5</v>
      </c>
      <c r="M6583" s="5">
        <f t="shared" si="783"/>
        <v>2013</v>
      </c>
    </row>
    <row r="6584" spans="1:13" ht="15" x14ac:dyDescent="0.25">
      <c r="A6584" s="1">
        <f>DATE(2013,5,6)</f>
        <v>41400</v>
      </c>
      <c r="B6584" t="s">
        <v>12</v>
      </c>
      <c r="C6584" t="s">
        <v>8</v>
      </c>
      <c r="D6584" s="3">
        <v>556.14</v>
      </c>
      <c r="E6584" s="3">
        <v>0</v>
      </c>
      <c r="F6584" t="s">
        <v>45</v>
      </c>
      <c r="G6584" s="3">
        <f t="shared" si="777"/>
        <v>-556.14</v>
      </c>
      <c r="H6584" s="3">
        <f t="shared" si="778"/>
        <v>556.14</v>
      </c>
      <c r="I6584" s="5" t="str">
        <f t="shared" si="779"/>
        <v>016</v>
      </c>
      <c r="J6584" s="5" t="str">
        <f t="shared" si="780"/>
        <v>2210</v>
      </c>
      <c r="K6584" s="5" t="str">
        <f t="shared" si="781"/>
        <v>000</v>
      </c>
      <c r="L6584" s="5">
        <f t="shared" si="782"/>
        <v>5</v>
      </c>
      <c r="M6584" s="5">
        <f t="shared" si="783"/>
        <v>2013</v>
      </c>
    </row>
    <row r="6585" spans="1:13" ht="15" x14ac:dyDescent="0.25">
      <c r="A6585" s="1">
        <f>DATE(2013,5,6)</f>
        <v>41400</v>
      </c>
      <c r="B6585" t="s">
        <v>13</v>
      </c>
      <c r="C6585" t="s">
        <v>9</v>
      </c>
      <c r="D6585" s="3">
        <v>202.03649999999999</v>
      </c>
      <c r="E6585" s="3">
        <v>0</v>
      </c>
      <c r="F6585" t="s">
        <v>45</v>
      </c>
      <c r="G6585" s="3">
        <f t="shared" si="777"/>
        <v>-202.03649999999999</v>
      </c>
      <c r="H6585" s="3">
        <f t="shared" si="778"/>
        <v>202.03649999999999</v>
      </c>
      <c r="I6585" s="5" t="str">
        <f t="shared" si="779"/>
        <v>016</v>
      </c>
      <c r="J6585" s="5" t="str">
        <f t="shared" si="780"/>
        <v>2220</v>
      </c>
      <c r="K6585" s="5" t="str">
        <f t="shared" si="781"/>
        <v>000</v>
      </c>
      <c r="L6585" s="5">
        <f t="shared" si="782"/>
        <v>5</v>
      </c>
      <c r="M6585" s="5">
        <f t="shared" si="783"/>
        <v>2013</v>
      </c>
    </row>
    <row r="6586" spans="1:13" ht="15" x14ac:dyDescent="0.25">
      <c r="A6586" s="1">
        <f>DATE(2013,5,6)</f>
        <v>41400</v>
      </c>
      <c r="B6586" t="s">
        <v>14</v>
      </c>
      <c r="C6586" t="s">
        <v>10</v>
      </c>
      <c r="D6586" s="3">
        <v>115.15559999999999</v>
      </c>
      <c r="E6586" s="3">
        <v>0</v>
      </c>
      <c r="F6586" t="s">
        <v>45</v>
      </c>
      <c r="G6586" s="3">
        <f t="shared" si="777"/>
        <v>-115.15559999999999</v>
      </c>
      <c r="H6586" s="3">
        <f t="shared" si="778"/>
        <v>115.15559999999999</v>
      </c>
      <c r="I6586" s="5" t="str">
        <f t="shared" si="779"/>
        <v>016</v>
      </c>
      <c r="J6586" s="5" t="str">
        <f t="shared" si="780"/>
        <v>2230</v>
      </c>
      <c r="K6586" s="5" t="str">
        <f t="shared" si="781"/>
        <v>000</v>
      </c>
      <c r="L6586" s="5">
        <f t="shared" si="782"/>
        <v>5</v>
      </c>
      <c r="M6586" s="5">
        <f t="shared" si="783"/>
        <v>2013</v>
      </c>
    </row>
    <row r="6587" spans="1:13" ht="15" x14ac:dyDescent="0.25">
      <c r="A6587" s="1">
        <f t="shared" ref="A6587:A6590" si="784">DATE(2013,5,7)</f>
        <v>41401</v>
      </c>
      <c r="B6587" t="s">
        <v>11</v>
      </c>
      <c r="C6587" t="s">
        <v>6</v>
      </c>
      <c r="D6587" s="3">
        <v>7256.3315999999995</v>
      </c>
      <c r="E6587" s="3">
        <v>0</v>
      </c>
      <c r="F6587" t="s">
        <v>45</v>
      </c>
      <c r="G6587" s="3">
        <f t="shared" si="777"/>
        <v>-7256.3315999999995</v>
      </c>
      <c r="H6587" s="3">
        <f t="shared" si="778"/>
        <v>7256.3315999999995</v>
      </c>
      <c r="I6587" s="5" t="str">
        <f t="shared" si="779"/>
        <v>016</v>
      </c>
      <c r="J6587" s="5" t="str">
        <f t="shared" si="780"/>
        <v>2100</v>
      </c>
      <c r="K6587" s="5" t="str">
        <f t="shared" si="781"/>
        <v>000</v>
      </c>
      <c r="L6587" s="5">
        <f t="shared" si="782"/>
        <v>5</v>
      </c>
      <c r="M6587" s="5">
        <f t="shared" si="783"/>
        <v>2013</v>
      </c>
    </row>
    <row r="6588" spans="1:13" ht="15" x14ac:dyDescent="0.25">
      <c r="A6588" s="1">
        <f t="shared" si="784"/>
        <v>41401</v>
      </c>
      <c r="B6588" t="s">
        <v>12</v>
      </c>
      <c r="C6588" t="s">
        <v>8</v>
      </c>
      <c r="D6588" s="3">
        <v>1934.6879999999999</v>
      </c>
      <c r="E6588" s="3">
        <v>0</v>
      </c>
      <c r="F6588" t="s">
        <v>45</v>
      </c>
      <c r="G6588" s="3">
        <f t="shared" si="777"/>
        <v>-1934.6879999999999</v>
      </c>
      <c r="H6588" s="3">
        <f t="shared" si="778"/>
        <v>1934.6879999999999</v>
      </c>
      <c r="I6588" s="5" t="str">
        <f t="shared" si="779"/>
        <v>016</v>
      </c>
      <c r="J6588" s="5" t="str">
        <f t="shared" si="780"/>
        <v>2210</v>
      </c>
      <c r="K6588" s="5" t="str">
        <f t="shared" si="781"/>
        <v>000</v>
      </c>
      <c r="L6588" s="5">
        <f t="shared" si="782"/>
        <v>5</v>
      </c>
      <c r="M6588" s="5">
        <f t="shared" si="783"/>
        <v>2013</v>
      </c>
    </row>
    <row r="6589" spans="1:13" ht="15" x14ac:dyDescent="0.25">
      <c r="A6589" s="1">
        <f t="shared" si="784"/>
        <v>41401</v>
      </c>
      <c r="B6589" t="s">
        <v>13</v>
      </c>
      <c r="C6589" t="s">
        <v>9</v>
      </c>
      <c r="D6589" s="3">
        <v>674.10419999999999</v>
      </c>
      <c r="E6589" s="3">
        <v>0</v>
      </c>
      <c r="F6589" t="s">
        <v>45</v>
      </c>
      <c r="G6589" s="3">
        <f t="shared" si="777"/>
        <v>-674.10419999999999</v>
      </c>
      <c r="H6589" s="3">
        <f t="shared" si="778"/>
        <v>674.10419999999999</v>
      </c>
      <c r="I6589" s="5" t="str">
        <f t="shared" si="779"/>
        <v>016</v>
      </c>
      <c r="J6589" s="5" t="str">
        <f t="shared" si="780"/>
        <v>2220</v>
      </c>
      <c r="K6589" s="5" t="str">
        <f t="shared" si="781"/>
        <v>000</v>
      </c>
      <c r="L6589" s="5">
        <f t="shared" si="782"/>
        <v>5</v>
      </c>
      <c r="M6589" s="5">
        <f t="shared" si="783"/>
        <v>2013</v>
      </c>
    </row>
    <row r="6590" spans="1:13" ht="15" x14ac:dyDescent="0.25">
      <c r="A6590" s="1">
        <f t="shared" si="784"/>
        <v>41401</v>
      </c>
      <c r="B6590" t="s">
        <v>14</v>
      </c>
      <c r="C6590" t="s">
        <v>10</v>
      </c>
      <c r="D6590" s="3">
        <v>115.16800000000001</v>
      </c>
      <c r="E6590" s="3">
        <v>0</v>
      </c>
      <c r="F6590" t="s">
        <v>45</v>
      </c>
      <c r="G6590" s="3">
        <f t="shared" si="777"/>
        <v>-115.16800000000001</v>
      </c>
      <c r="H6590" s="3">
        <f t="shared" si="778"/>
        <v>115.16800000000001</v>
      </c>
      <c r="I6590" s="5" t="str">
        <f t="shared" si="779"/>
        <v>016</v>
      </c>
      <c r="J6590" s="5" t="str">
        <f t="shared" si="780"/>
        <v>2230</v>
      </c>
      <c r="K6590" s="5" t="str">
        <f t="shared" si="781"/>
        <v>000</v>
      </c>
      <c r="L6590" s="5">
        <f t="shared" si="782"/>
        <v>5</v>
      </c>
      <c r="M6590" s="5">
        <f t="shared" si="783"/>
        <v>2013</v>
      </c>
    </row>
    <row r="6591" spans="1:13" ht="15" x14ac:dyDescent="0.25">
      <c r="A6591" s="1">
        <f>DATE(2013,5,8)</f>
        <v>41402</v>
      </c>
      <c r="B6591" t="s">
        <v>11</v>
      </c>
      <c r="C6591" t="s">
        <v>6</v>
      </c>
      <c r="D6591" s="3">
        <v>2158.4360000000001</v>
      </c>
      <c r="E6591" s="3">
        <v>0</v>
      </c>
      <c r="F6591" t="s">
        <v>45</v>
      </c>
      <c r="G6591" s="3">
        <f t="shared" si="777"/>
        <v>-2158.4360000000001</v>
      </c>
      <c r="H6591" s="3">
        <f t="shared" si="778"/>
        <v>2158.4360000000001</v>
      </c>
      <c r="I6591" s="5" t="str">
        <f t="shared" si="779"/>
        <v>016</v>
      </c>
      <c r="J6591" s="5" t="str">
        <f t="shared" si="780"/>
        <v>2100</v>
      </c>
      <c r="K6591" s="5" t="str">
        <f t="shared" si="781"/>
        <v>000</v>
      </c>
      <c r="L6591" s="5">
        <f t="shared" si="782"/>
        <v>5</v>
      </c>
      <c r="M6591" s="5">
        <f t="shared" si="783"/>
        <v>2013</v>
      </c>
    </row>
    <row r="6592" spans="1:13" ht="15" x14ac:dyDescent="0.25">
      <c r="A6592" s="1">
        <f>DATE(2013,5,8)</f>
        <v>41402</v>
      </c>
      <c r="B6592" t="s">
        <v>12</v>
      </c>
      <c r="C6592" t="s">
        <v>8</v>
      </c>
      <c r="D6592" s="3">
        <v>672.06470000000002</v>
      </c>
      <c r="E6592" s="3">
        <v>0</v>
      </c>
      <c r="F6592" t="s">
        <v>45</v>
      </c>
      <c r="G6592" s="3">
        <f t="shared" si="777"/>
        <v>-672.06470000000002</v>
      </c>
      <c r="H6592" s="3">
        <f t="shared" si="778"/>
        <v>672.06470000000002</v>
      </c>
      <c r="I6592" s="5" t="str">
        <f t="shared" si="779"/>
        <v>016</v>
      </c>
      <c r="J6592" s="5" t="str">
        <f t="shared" si="780"/>
        <v>2210</v>
      </c>
      <c r="K6592" s="5" t="str">
        <f t="shared" si="781"/>
        <v>000</v>
      </c>
      <c r="L6592" s="5">
        <f t="shared" si="782"/>
        <v>5</v>
      </c>
      <c r="M6592" s="5">
        <f t="shared" si="783"/>
        <v>2013</v>
      </c>
    </row>
    <row r="6593" spans="1:13" ht="15" x14ac:dyDescent="0.25">
      <c r="A6593" s="1">
        <f>DATE(2013,5,8)</f>
        <v>41402</v>
      </c>
      <c r="B6593" t="s">
        <v>13</v>
      </c>
      <c r="C6593" t="s">
        <v>9</v>
      </c>
      <c r="D6593" s="3">
        <v>135.11500000000001</v>
      </c>
      <c r="E6593" s="3">
        <v>0</v>
      </c>
      <c r="F6593" t="s">
        <v>45</v>
      </c>
      <c r="G6593" s="3">
        <f t="shared" si="777"/>
        <v>-135.11500000000001</v>
      </c>
      <c r="H6593" s="3">
        <f t="shared" si="778"/>
        <v>135.11500000000001</v>
      </c>
      <c r="I6593" s="5" t="str">
        <f t="shared" si="779"/>
        <v>016</v>
      </c>
      <c r="J6593" s="5" t="str">
        <f t="shared" si="780"/>
        <v>2220</v>
      </c>
      <c r="K6593" s="5" t="str">
        <f t="shared" si="781"/>
        <v>000</v>
      </c>
      <c r="L6593" s="5">
        <f t="shared" si="782"/>
        <v>5</v>
      </c>
      <c r="M6593" s="5">
        <f t="shared" si="783"/>
        <v>2013</v>
      </c>
    </row>
    <row r="6594" spans="1:13" ht="15" x14ac:dyDescent="0.25">
      <c r="A6594" s="1">
        <f>DATE(2013,5,8)</f>
        <v>41402</v>
      </c>
      <c r="B6594" t="s">
        <v>14</v>
      </c>
      <c r="C6594" t="s">
        <v>10</v>
      </c>
      <c r="D6594" s="3">
        <v>56.904299999999992</v>
      </c>
      <c r="E6594" s="3">
        <v>0</v>
      </c>
      <c r="F6594" t="s">
        <v>45</v>
      </c>
      <c r="G6594" s="3">
        <f t="shared" ref="G6594:G6657" si="785">E6594-D6594</f>
        <v>-56.904299999999992</v>
      </c>
      <c r="H6594" s="3">
        <f t="shared" ref="H6594:H6657" si="786">ABS(G6594)</f>
        <v>56.904299999999992</v>
      </c>
      <c r="I6594" s="5" t="str">
        <f t="shared" ref="I6594:I6657" si="787">MID(B6594,1,3)</f>
        <v>016</v>
      </c>
      <c r="J6594" s="5" t="str">
        <f t="shared" ref="J6594:J6657" si="788">MID(B6594,5,4)</f>
        <v>2230</v>
      </c>
      <c r="K6594" s="5" t="str">
        <f t="shared" ref="K6594:K6657" si="789">MID(B6594,10,3)</f>
        <v>000</v>
      </c>
      <c r="L6594" s="5">
        <f t="shared" ref="L6594:L6657" si="790">MONTH(A6594)</f>
        <v>5</v>
      </c>
      <c r="M6594" s="5">
        <f t="shared" ref="M6594:M6657" si="791">YEAR(A6594)</f>
        <v>2013</v>
      </c>
    </row>
    <row r="6595" spans="1:13" ht="15" x14ac:dyDescent="0.25">
      <c r="A6595" s="1">
        <f>DATE(2013,5,9)</f>
        <v>41403</v>
      </c>
      <c r="B6595" t="s">
        <v>11</v>
      </c>
      <c r="C6595" t="s">
        <v>6</v>
      </c>
      <c r="D6595" s="3">
        <v>3119.2960000000003</v>
      </c>
      <c r="E6595" s="3">
        <v>0</v>
      </c>
      <c r="F6595" t="s">
        <v>45</v>
      </c>
      <c r="G6595" s="3">
        <f t="shared" si="785"/>
        <v>-3119.2960000000003</v>
      </c>
      <c r="H6595" s="3">
        <f t="shared" si="786"/>
        <v>3119.2960000000003</v>
      </c>
      <c r="I6595" s="5" t="str">
        <f t="shared" si="787"/>
        <v>016</v>
      </c>
      <c r="J6595" s="5" t="str">
        <f t="shared" si="788"/>
        <v>2100</v>
      </c>
      <c r="K6595" s="5" t="str">
        <f t="shared" si="789"/>
        <v>000</v>
      </c>
      <c r="L6595" s="5">
        <f t="shared" si="790"/>
        <v>5</v>
      </c>
      <c r="M6595" s="5">
        <f t="shared" si="791"/>
        <v>2013</v>
      </c>
    </row>
    <row r="6596" spans="1:13" ht="15" x14ac:dyDescent="0.25">
      <c r="A6596" s="1">
        <f>DATE(2013,5,9)</f>
        <v>41403</v>
      </c>
      <c r="B6596" t="s">
        <v>12</v>
      </c>
      <c r="C6596" t="s">
        <v>8</v>
      </c>
      <c r="D6596" s="3">
        <v>825.01800000000003</v>
      </c>
      <c r="E6596" s="3">
        <v>0</v>
      </c>
      <c r="F6596" t="s">
        <v>45</v>
      </c>
      <c r="G6596" s="3">
        <f t="shared" si="785"/>
        <v>-825.01800000000003</v>
      </c>
      <c r="H6596" s="3">
        <f t="shared" si="786"/>
        <v>825.01800000000003</v>
      </c>
      <c r="I6596" s="5" t="str">
        <f t="shared" si="787"/>
        <v>016</v>
      </c>
      <c r="J6596" s="5" t="str">
        <f t="shared" si="788"/>
        <v>2210</v>
      </c>
      <c r="K6596" s="5" t="str">
        <f t="shared" si="789"/>
        <v>000</v>
      </c>
      <c r="L6596" s="5">
        <f t="shared" si="790"/>
        <v>5</v>
      </c>
      <c r="M6596" s="5">
        <f t="shared" si="791"/>
        <v>2013</v>
      </c>
    </row>
    <row r="6597" spans="1:13" ht="15" x14ac:dyDescent="0.25">
      <c r="A6597" s="1">
        <f>DATE(2013,5,9)</f>
        <v>41403</v>
      </c>
      <c r="B6597" t="s">
        <v>13</v>
      </c>
      <c r="C6597" t="s">
        <v>9</v>
      </c>
      <c r="D6597" s="3">
        <v>155.45910000000001</v>
      </c>
      <c r="E6597" s="3">
        <v>0</v>
      </c>
      <c r="F6597" t="s">
        <v>45</v>
      </c>
      <c r="G6597" s="3">
        <f t="shared" si="785"/>
        <v>-155.45910000000001</v>
      </c>
      <c r="H6597" s="3">
        <f t="shared" si="786"/>
        <v>155.45910000000001</v>
      </c>
      <c r="I6597" s="5" t="str">
        <f t="shared" si="787"/>
        <v>016</v>
      </c>
      <c r="J6597" s="5" t="str">
        <f t="shared" si="788"/>
        <v>2220</v>
      </c>
      <c r="K6597" s="5" t="str">
        <f t="shared" si="789"/>
        <v>000</v>
      </c>
      <c r="L6597" s="5">
        <f t="shared" si="790"/>
        <v>5</v>
      </c>
      <c r="M6597" s="5">
        <f t="shared" si="791"/>
        <v>2013</v>
      </c>
    </row>
    <row r="6598" spans="1:13" ht="15" x14ac:dyDescent="0.25">
      <c r="A6598" s="1">
        <f>DATE(2013,5,9)</f>
        <v>41403</v>
      </c>
      <c r="B6598" t="s">
        <v>14</v>
      </c>
      <c r="C6598" t="s">
        <v>10</v>
      </c>
      <c r="D6598" s="3">
        <v>61.612400000000001</v>
      </c>
      <c r="E6598" s="3">
        <v>0</v>
      </c>
      <c r="F6598" t="s">
        <v>45</v>
      </c>
      <c r="G6598" s="3">
        <f t="shared" si="785"/>
        <v>-61.612400000000001</v>
      </c>
      <c r="H6598" s="3">
        <f t="shared" si="786"/>
        <v>61.612400000000001</v>
      </c>
      <c r="I6598" s="5" t="str">
        <f t="shared" si="787"/>
        <v>016</v>
      </c>
      <c r="J6598" s="5" t="str">
        <f t="shared" si="788"/>
        <v>2230</v>
      </c>
      <c r="K6598" s="5" t="str">
        <f t="shared" si="789"/>
        <v>000</v>
      </c>
      <c r="L6598" s="5">
        <f t="shared" si="790"/>
        <v>5</v>
      </c>
      <c r="M6598" s="5">
        <f t="shared" si="791"/>
        <v>2013</v>
      </c>
    </row>
    <row r="6599" spans="1:13" ht="15" x14ac:dyDescent="0.25">
      <c r="A6599" s="1">
        <f t="shared" ref="A6599:A6602" si="792">DATE(2013,5,10)</f>
        <v>41404</v>
      </c>
      <c r="B6599" t="s">
        <v>11</v>
      </c>
      <c r="C6599" t="s">
        <v>6</v>
      </c>
      <c r="D6599" s="3">
        <v>4617.8850999999995</v>
      </c>
      <c r="E6599" s="3">
        <v>0</v>
      </c>
      <c r="F6599" t="s">
        <v>45</v>
      </c>
      <c r="G6599" s="3">
        <f t="shared" si="785"/>
        <v>-4617.8850999999995</v>
      </c>
      <c r="H6599" s="3">
        <f t="shared" si="786"/>
        <v>4617.8850999999995</v>
      </c>
      <c r="I6599" s="5" t="str">
        <f t="shared" si="787"/>
        <v>016</v>
      </c>
      <c r="J6599" s="5" t="str">
        <f t="shared" si="788"/>
        <v>2100</v>
      </c>
      <c r="K6599" s="5" t="str">
        <f t="shared" si="789"/>
        <v>000</v>
      </c>
      <c r="L6599" s="5">
        <f t="shared" si="790"/>
        <v>5</v>
      </c>
      <c r="M6599" s="5">
        <f t="shared" si="791"/>
        <v>2013</v>
      </c>
    </row>
    <row r="6600" spans="1:13" ht="15" x14ac:dyDescent="0.25">
      <c r="A6600" s="1">
        <f t="shared" si="792"/>
        <v>41404</v>
      </c>
      <c r="B6600" t="s">
        <v>12</v>
      </c>
      <c r="C6600" t="s">
        <v>8</v>
      </c>
      <c r="D6600" s="3">
        <v>1689.4387000000002</v>
      </c>
      <c r="E6600" s="3">
        <v>0</v>
      </c>
      <c r="F6600" t="s">
        <v>45</v>
      </c>
      <c r="G6600" s="3">
        <f t="shared" si="785"/>
        <v>-1689.4387000000002</v>
      </c>
      <c r="H6600" s="3">
        <f t="shared" si="786"/>
        <v>1689.4387000000002</v>
      </c>
      <c r="I6600" s="5" t="str">
        <f t="shared" si="787"/>
        <v>016</v>
      </c>
      <c r="J6600" s="5" t="str">
        <f t="shared" si="788"/>
        <v>2210</v>
      </c>
      <c r="K6600" s="5" t="str">
        <f t="shared" si="789"/>
        <v>000</v>
      </c>
      <c r="L6600" s="5">
        <f t="shared" si="790"/>
        <v>5</v>
      </c>
      <c r="M6600" s="5">
        <f t="shared" si="791"/>
        <v>2013</v>
      </c>
    </row>
    <row r="6601" spans="1:13" ht="15" x14ac:dyDescent="0.25">
      <c r="A6601" s="1">
        <f t="shared" si="792"/>
        <v>41404</v>
      </c>
      <c r="B6601" t="s">
        <v>13</v>
      </c>
      <c r="C6601" t="s">
        <v>9</v>
      </c>
      <c r="D6601" s="3">
        <v>293.11099999999999</v>
      </c>
      <c r="E6601" s="3">
        <v>0</v>
      </c>
      <c r="F6601" t="s">
        <v>45</v>
      </c>
      <c r="G6601" s="3">
        <f t="shared" si="785"/>
        <v>-293.11099999999999</v>
      </c>
      <c r="H6601" s="3">
        <f t="shared" si="786"/>
        <v>293.11099999999999</v>
      </c>
      <c r="I6601" s="5" t="str">
        <f t="shared" si="787"/>
        <v>016</v>
      </c>
      <c r="J6601" s="5" t="str">
        <f t="shared" si="788"/>
        <v>2220</v>
      </c>
      <c r="K6601" s="5" t="str">
        <f t="shared" si="789"/>
        <v>000</v>
      </c>
      <c r="L6601" s="5">
        <f t="shared" si="790"/>
        <v>5</v>
      </c>
      <c r="M6601" s="5">
        <f t="shared" si="791"/>
        <v>2013</v>
      </c>
    </row>
    <row r="6602" spans="1:13" ht="15" x14ac:dyDescent="0.25">
      <c r="A6602" s="1">
        <f t="shared" si="792"/>
        <v>41404</v>
      </c>
      <c r="B6602" t="s">
        <v>14</v>
      </c>
      <c r="C6602" t="s">
        <v>10</v>
      </c>
      <c r="D6602" s="3">
        <v>100.492</v>
      </c>
      <c r="E6602" s="3">
        <v>0</v>
      </c>
      <c r="F6602" t="s">
        <v>45</v>
      </c>
      <c r="G6602" s="3">
        <f t="shared" si="785"/>
        <v>-100.492</v>
      </c>
      <c r="H6602" s="3">
        <f t="shared" si="786"/>
        <v>100.492</v>
      </c>
      <c r="I6602" s="5" t="str">
        <f t="shared" si="787"/>
        <v>016</v>
      </c>
      <c r="J6602" s="5" t="str">
        <f t="shared" si="788"/>
        <v>2230</v>
      </c>
      <c r="K6602" s="5" t="str">
        <f t="shared" si="789"/>
        <v>000</v>
      </c>
      <c r="L6602" s="5">
        <f t="shared" si="790"/>
        <v>5</v>
      </c>
      <c r="M6602" s="5">
        <f t="shared" si="791"/>
        <v>2013</v>
      </c>
    </row>
    <row r="6603" spans="1:13" ht="15" x14ac:dyDescent="0.25">
      <c r="A6603" s="1">
        <f>DATE(2013,5,11)</f>
        <v>41405</v>
      </c>
      <c r="B6603" t="s">
        <v>11</v>
      </c>
      <c r="C6603" t="s">
        <v>6</v>
      </c>
      <c r="D6603" s="3">
        <v>7668.4793999999993</v>
      </c>
      <c r="E6603" s="3">
        <v>0</v>
      </c>
      <c r="F6603" t="s">
        <v>45</v>
      </c>
      <c r="G6603" s="3">
        <f t="shared" si="785"/>
        <v>-7668.4793999999993</v>
      </c>
      <c r="H6603" s="3">
        <f t="shared" si="786"/>
        <v>7668.4793999999993</v>
      </c>
      <c r="I6603" s="5" t="str">
        <f t="shared" si="787"/>
        <v>016</v>
      </c>
      <c r="J6603" s="5" t="str">
        <f t="shared" si="788"/>
        <v>2100</v>
      </c>
      <c r="K6603" s="5" t="str">
        <f t="shared" si="789"/>
        <v>000</v>
      </c>
      <c r="L6603" s="5">
        <f t="shared" si="790"/>
        <v>5</v>
      </c>
      <c r="M6603" s="5">
        <f t="shared" si="791"/>
        <v>2013</v>
      </c>
    </row>
    <row r="6604" spans="1:13" ht="15" x14ac:dyDescent="0.25">
      <c r="A6604" s="1">
        <f>DATE(2013,5,11)</f>
        <v>41405</v>
      </c>
      <c r="B6604" t="s">
        <v>12</v>
      </c>
      <c r="C6604" t="s">
        <v>8</v>
      </c>
      <c r="D6604" s="3">
        <v>3025.2222000000002</v>
      </c>
      <c r="E6604" s="3">
        <v>0</v>
      </c>
      <c r="F6604" t="s">
        <v>45</v>
      </c>
      <c r="G6604" s="3">
        <f t="shared" si="785"/>
        <v>-3025.2222000000002</v>
      </c>
      <c r="H6604" s="3">
        <f t="shared" si="786"/>
        <v>3025.2222000000002</v>
      </c>
      <c r="I6604" s="5" t="str">
        <f t="shared" si="787"/>
        <v>016</v>
      </c>
      <c r="J6604" s="5" t="str">
        <f t="shared" si="788"/>
        <v>2210</v>
      </c>
      <c r="K6604" s="5" t="str">
        <f t="shared" si="789"/>
        <v>000</v>
      </c>
      <c r="L6604" s="5">
        <f t="shared" si="790"/>
        <v>5</v>
      </c>
      <c r="M6604" s="5">
        <f t="shared" si="791"/>
        <v>2013</v>
      </c>
    </row>
    <row r="6605" spans="1:13" ht="15" x14ac:dyDescent="0.25">
      <c r="A6605" s="1">
        <f>DATE(2013,5,11)</f>
        <v>41405</v>
      </c>
      <c r="B6605" t="s">
        <v>13</v>
      </c>
      <c r="C6605" t="s">
        <v>9</v>
      </c>
      <c r="D6605" s="3">
        <v>505.85989999999998</v>
      </c>
      <c r="E6605" s="3">
        <v>0</v>
      </c>
      <c r="F6605" t="s">
        <v>45</v>
      </c>
      <c r="G6605" s="3">
        <f t="shared" si="785"/>
        <v>-505.85989999999998</v>
      </c>
      <c r="H6605" s="3">
        <f t="shared" si="786"/>
        <v>505.85989999999998</v>
      </c>
      <c r="I6605" s="5" t="str">
        <f t="shared" si="787"/>
        <v>016</v>
      </c>
      <c r="J6605" s="5" t="str">
        <f t="shared" si="788"/>
        <v>2220</v>
      </c>
      <c r="K6605" s="5" t="str">
        <f t="shared" si="789"/>
        <v>000</v>
      </c>
      <c r="L6605" s="5">
        <f t="shared" si="790"/>
        <v>5</v>
      </c>
      <c r="M6605" s="5">
        <f t="shared" si="791"/>
        <v>2013</v>
      </c>
    </row>
    <row r="6606" spans="1:13" ht="15" x14ac:dyDescent="0.25">
      <c r="A6606" s="1">
        <f>DATE(2013,5,11)</f>
        <v>41405</v>
      </c>
      <c r="B6606" t="s">
        <v>14</v>
      </c>
      <c r="C6606" t="s">
        <v>10</v>
      </c>
      <c r="D6606" s="3">
        <v>121.842</v>
      </c>
      <c r="E6606" s="3">
        <v>0</v>
      </c>
      <c r="F6606" t="s">
        <v>45</v>
      </c>
      <c r="G6606" s="3">
        <f t="shared" si="785"/>
        <v>-121.842</v>
      </c>
      <c r="H6606" s="3">
        <f t="shared" si="786"/>
        <v>121.842</v>
      </c>
      <c r="I6606" s="5" t="str">
        <f t="shared" si="787"/>
        <v>016</v>
      </c>
      <c r="J6606" s="5" t="str">
        <f t="shared" si="788"/>
        <v>2230</v>
      </c>
      <c r="K6606" s="5" t="str">
        <f t="shared" si="789"/>
        <v>000</v>
      </c>
      <c r="L6606" s="5">
        <f t="shared" si="790"/>
        <v>5</v>
      </c>
      <c r="M6606" s="5">
        <f t="shared" si="791"/>
        <v>2013</v>
      </c>
    </row>
    <row r="6607" spans="1:13" ht="15" x14ac:dyDescent="0.25">
      <c r="A6607" s="1">
        <f>DATE(2013,5,12)</f>
        <v>41406</v>
      </c>
      <c r="B6607" t="s">
        <v>11</v>
      </c>
      <c r="C6607" t="s">
        <v>6</v>
      </c>
      <c r="D6607" s="3">
        <v>9599.6844000000001</v>
      </c>
      <c r="E6607" s="3">
        <v>0</v>
      </c>
      <c r="F6607" t="s">
        <v>45</v>
      </c>
      <c r="G6607" s="3">
        <f t="shared" si="785"/>
        <v>-9599.6844000000001</v>
      </c>
      <c r="H6607" s="3">
        <f t="shared" si="786"/>
        <v>9599.6844000000001</v>
      </c>
      <c r="I6607" s="5" t="str">
        <f t="shared" si="787"/>
        <v>016</v>
      </c>
      <c r="J6607" s="5" t="str">
        <f t="shared" si="788"/>
        <v>2100</v>
      </c>
      <c r="K6607" s="5" t="str">
        <f t="shared" si="789"/>
        <v>000</v>
      </c>
      <c r="L6607" s="5">
        <f t="shared" si="790"/>
        <v>5</v>
      </c>
      <c r="M6607" s="5">
        <f t="shared" si="791"/>
        <v>2013</v>
      </c>
    </row>
    <row r="6608" spans="1:13" ht="15" x14ac:dyDescent="0.25">
      <c r="A6608" s="1">
        <f>DATE(2013,5,12)</f>
        <v>41406</v>
      </c>
      <c r="B6608" t="s">
        <v>12</v>
      </c>
      <c r="C6608" t="s">
        <v>8</v>
      </c>
      <c r="D6608" s="3">
        <v>1452.1044000000002</v>
      </c>
      <c r="E6608" s="3">
        <v>0</v>
      </c>
      <c r="F6608" t="s">
        <v>45</v>
      </c>
      <c r="G6608" s="3">
        <f t="shared" si="785"/>
        <v>-1452.1044000000002</v>
      </c>
      <c r="H6608" s="3">
        <f t="shared" si="786"/>
        <v>1452.1044000000002</v>
      </c>
      <c r="I6608" s="5" t="str">
        <f t="shared" si="787"/>
        <v>016</v>
      </c>
      <c r="J6608" s="5" t="str">
        <f t="shared" si="788"/>
        <v>2210</v>
      </c>
      <c r="K6608" s="5" t="str">
        <f t="shared" si="789"/>
        <v>000</v>
      </c>
      <c r="L6608" s="5">
        <f t="shared" si="790"/>
        <v>5</v>
      </c>
      <c r="M6608" s="5">
        <f t="shared" si="791"/>
        <v>2013</v>
      </c>
    </row>
    <row r="6609" spans="1:13" ht="15" x14ac:dyDescent="0.25">
      <c r="A6609" s="1">
        <f>DATE(2013,5,12)</f>
        <v>41406</v>
      </c>
      <c r="B6609" t="s">
        <v>13</v>
      </c>
      <c r="C6609" t="s">
        <v>9</v>
      </c>
      <c r="D6609" s="3">
        <v>328.58280000000002</v>
      </c>
      <c r="E6609" s="3">
        <v>0</v>
      </c>
      <c r="F6609" t="s">
        <v>45</v>
      </c>
      <c r="G6609" s="3">
        <f t="shared" si="785"/>
        <v>-328.58280000000002</v>
      </c>
      <c r="H6609" s="3">
        <f t="shared" si="786"/>
        <v>328.58280000000002</v>
      </c>
      <c r="I6609" s="5" t="str">
        <f t="shared" si="787"/>
        <v>016</v>
      </c>
      <c r="J6609" s="5" t="str">
        <f t="shared" si="788"/>
        <v>2220</v>
      </c>
      <c r="K6609" s="5" t="str">
        <f t="shared" si="789"/>
        <v>000</v>
      </c>
      <c r="L6609" s="5">
        <f t="shared" si="790"/>
        <v>5</v>
      </c>
      <c r="M6609" s="5">
        <f t="shared" si="791"/>
        <v>2013</v>
      </c>
    </row>
    <row r="6610" spans="1:13" ht="15" x14ac:dyDescent="0.25">
      <c r="A6610" s="1">
        <f>DATE(2013,5,12)</f>
        <v>41406</v>
      </c>
      <c r="B6610" t="s">
        <v>14</v>
      </c>
      <c r="C6610" t="s">
        <v>10</v>
      </c>
      <c r="D6610" s="3">
        <v>101.38800000000001</v>
      </c>
      <c r="E6610" s="3">
        <v>0</v>
      </c>
      <c r="F6610" t="s">
        <v>45</v>
      </c>
      <c r="G6610" s="3">
        <f t="shared" si="785"/>
        <v>-101.38800000000001</v>
      </c>
      <c r="H6610" s="3">
        <f t="shared" si="786"/>
        <v>101.38800000000001</v>
      </c>
      <c r="I6610" s="5" t="str">
        <f t="shared" si="787"/>
        <v>016</v>
      </c>
      <c r="J6610" s="5" t="str">
        <f t="shared" si="788"/>
        <v>2230</v>
      </c>
      <c r="K6610" s="5" t="str">
        <f t="shared" si="789"/>
        <v>000</v>
      </c>
      <c r="L6610" s="5">
        <f t="shared" si="790"/>
        <v>5</v>
      </c>
      <c r="M6610" s="5">
        <f t="shared" si="791"/>
        <v>2013</v>
      </c>
    </row>
    <row r="6611" spans="1:13" ht="15" x14ac:dyDescent="0.25">
      <c r="A6611" s="1">
        <f>DATE(2013,5,6)</f>
        <v>41400</v>
      </c>
      <c r="B6611" t="s">
        <v>15</v>
      </c>
      <c r="C6611" t="s">
        <v>6</v>
      </c>
      <c r="D6611" s="3">
        <v>4162.241</v>
      </c>
      <c r="E6611" s="3">
        <v>0</v>
      </c>
      <c r="F6611" t="s">
        <v>45</v>
      </c>
      <c r="G6611" s="3">
        <f t="shared" si="785"/>
        <v>-4162.241</v>
      </c>
      <c r="H6611" s="3">
        <f t="shared" si="786"/>
        <v>4162.241</v>
      </c>
      <c r="I6611" s="5" t="str">
        <f t="shared" si="787"/>
        <v>017</v>
      </c>
      <c r="J6611" s="5" t="str">
        <f t="shared" si="788"/>
        <v>2100</v>
      </c>
      <c r="K6611" s="5" t="str">
        <f t="shared" si="789"/>
        <v>000</v>
      </c>
      <c r="L6611" s="5">
        <f t="shared" si="790"/>
        <v>5</v>
      </c>
      <c r="M6611" s="5">
        <f t="shared" si="791"/>
        <v>2013</v>
      </c>
    </row>
    <row r="6612" spans="1:13" ht="15" x14ac:dyDescent="0.25">
      <c r="A6612" s="1">
        <f>DATE(2013,5,6)</f>
        <v>41400</v>
      </c>
      <c r="B6612" t="s">
        <v>16</v>
      </c>
      <c r="C6612" t="s">
        <v>8</v>
      </c>
      <c r="D6612" s="3">
        <v>853.63199999999995</v>
      </c>
      <c r="E6612" s="3">
        <v>0</v>
      </c>
      <c r="F6612" t="s">
        <v>45</v>
      </c>
      <c r="G6612" s="3">
        <f t="shared" si="785"/>
        <v>-853.63199999999995</v>
      </c>
      <c r="H6612" s="3">
        <f t="shared" si="786"/>
        <v>853.63199999999995</v>
      </c>
      <c r="I6612" s="5" t="str">
        <f t="shared" si="787"/>
        <v>017</v>
      </c>
      <c r="J6612" s="5" t="str">
        <f t="shared" si="788"/>
        <v>2210</v>
      </c>
      <c r="K6612" s="5" t="str">
        <f t="shared" si="789"/>
        <v>000</v>
      </c>
      <c r="L6612" s="5">
        <f t="shared" si="790"/>
        <v>5</v>
      </c>
      <c r="M6612" s="5">
        <f t="shared" si="791"/>
        <v>2013</v>
      </c>
    </row>
    <row r="6613" spans="1:13" ht="15" x14ac:dyDescent="0.25">
      <c r="A6613" s="1">
        <f>DATE(2013,5,6)</f>
        <v>41400</v>
      </c>
      <c r="B6613" t="s">
        <v>17</v>
      </c>
      <c r="C6613" t="s">
        <v>9</v>
      </c>
      <c r="D6613" s="3">
        <v>339.26620000000003</v>
      </c>
      <c r="E6613" s="3">
        <v>0</v>
      </c>
      <c r="F6613" t="s">
        <v>45</v>
      </c>
      <c r="G6613" s="3">
        <f t="shared" si="785"/>
        <v>-339.26620000000003</v>
      </c>
      <c r="H6613" s="3">
        <f t="shared" si="786"/>
        <v>339.26620000000003</v>
      </c>
      <c r="I6613" s="5" t="str">
        <f t="shared" si="787"/>
        <v>017</v>
      </c>
      <c r="J6613" s="5" t="str">
        <f t="shared" si="788"/>
        <v>2220</v>
      </c>
      <c r="K6613" s="5" t="str">
        <f t="shared" si="789"/>
        <v>000</v>
      </c>
      <c r="L6613" s="5">
        <f t="shared" si="790"/>
        <v>5</v>
      </c>
      <c r="M6613" s="5">
        <f t="shared" si="791"/>
        <v>2013</v>
      </c>
    </row>
    <row r="6614" spans="1:13" ht="15" x14ac:dyDescent="0.25">
      <c r="A6614" s="1">
        <f>DATE(2013,5,6)</f>
        <v>41400</v>
      </c>
      <c r="B6614" t="s">
        <v>18</v>
      </c>
      <c r="C6614" t="s">
        <v>10</v>
      </c>
      <c r="D6614" s="3">
        <v>209.988</v>
      </c>
      <c r="E6614" s="3">
        <v>0</v>
      </c>
      <c r="F6614" t="s">
        <v>45</v>
      </c>
      <c r="G6614" s="3">
        <f t="shared" si="785"/>
        <v>-209.988</v>
      </c>
      <c r="H6614" s="3">
        <f t="shared" si="786"/>
        <v>209.988</v>
      </c>
      <c r="I6614" s="5" t="str">
        <f t="shared" si="787"/>
        <v>017</v>
      </c>
      <c r="J6614" s="5" t="str">
        <f t="shared" si="788"/>
        <v>2230</v>
      </c>
      <c r="K6614" s="5" t="str">
        <f t="shared" si="789"/>
        <v>000</v>
      </c>
      <c r="L6614" s="5">
        <f t="shared" si="790"/>
        <v>5</v>
      </c>
      <c r="M6614" s="5">
        <f t="shared" si="791"/>
        <v>2013</v>
      </c>
    </row>
    <row r="6615" spans="1:13" ht="15" x14ac:dyDescent="0.25">
      <c r="A6615" s="1">
        <f>DATE(2013,5,7)</f>
        <v>41401</v>
      </c>
      <c r="B6615" t="s">
        <v>15</v>
      </c>
      <c r="C6615" t="s">
        <v>6</v>
      </c>
      <c r="D6615" s="3">
        <v>5374.6514999999999</v>
      </c>
      <c r="E6615" s="3">
        <v>0</v>
      </c>
      <c r="F6615" t="s">
        <v>45</v>
      </c>
      <c r="G6615" s="3">
        <f t="shared" si="785"/>
        <v>-5374.6514999999999</v>
      </c>
      <c r="H6615" s="3">
        <f t="shared" si="786"/>
        <v>5374.6514999999999</v>
      </c>
      <c r="I6615" s="5" t="str">
        <f t="shared" si="787"/>
        <v>017</v>
      </c>
      <c r="J6615" s="5" t="str">
        <f t="shared" si="788"/>
        <v>2100</v>
      </c>
      <c r="K6615" s="5" t="str">
        <f t="shared" si="789"/>
        <v>000</v>
      </c>
      <c r="L6615" s="5">
        <f t="shared" si="790"/>
        <v>5</v>
      </c>
      <c r="M6615" s="5">
        <f t="shared" si="791"/>
        <v>2013</v>
      </c>
    </row>
    <row r="6616" spans="1:13" ht="15" x14ac:dyDescent="0.25">
      <c r="A6616" s="1">
        <f>DATE(2013,5,7)</f>
        <v>41401</v>
      </c>
      <c r="B6616" t="s">
        <v>16</v>
      </c>
      <c r="C6616" t="s">
        <v>8</v>
      </c>
      <c r="D6616" s="3">
        <v>1404.1393999999998</v>
      </c>
      <c r="E6616" s="3">
        <v>0</v>
      </c>
      <c r="F6616" t="s">
        <v>45</v>
      </c>
      <c r="G6616" s="3">
        <f t="shared" si="785"/>
        <v>-1404.1393999999998</v>
      </c>
      <c r="H6616" s="3">
        <f t="shared" si="786"/>
        <v>1404.1393999999998</v>
      </c>
      <c r="I6616" s="5" t="str">
        <f t="shared" si="787"/>
        <v>017</v>
      </c>
      <c r="J6616" s="5" t="str">
        <f t="shared" si="788"/>
        <v>2210</v>
      </c>
      <c r="K6616" s="5" t="str">
        <f t="shared" si="789"/>
        <v>000</v>
      </c>
      <c r="L6616" s="5">
        <f t="shared" si="790"/>
        <v>5</v>
      </c>
      <c r="M6616" s="5">
        <f t="shared" si="791"/>
        <v>2013</v>
      </c>
    </row>
    <row r="6617" spans="1:13" ht="15" x14ac:dyDescent="0.25">
      <c r="A6617" s="1">
        <f>DATE(2013,5,7)</f>
        <v>41401</v>
      </c>
      <c r="B6617" t="s">
        <v>17</v>
      </c>
      <c r="C6617" t="s">
        <v>9</v>
      </c>
      <c r="D6617" s="3">
        <v>313.97919999999999</v>
      </c>
      <c r="E6617" s="3">
        <v>0</v>
      </c>
      <c r="F6617" t="s">
        <v>45</v>
      </c>
      <c r="G6617" s="3">
        <f t="shared" si="785"/>
        <v>-313.97919999999999</v>
      </c>
      <c r="H6617" s="3">
        <f t="shared" si="786"/>
        <v>313.97919999999999</v>
      </c>
      <c r="I6617" s="5" t="str">
        <f t="shared" si="787"/>
        <v>017</v>
      </c>
      <c r="J6617" s="5" t="str">
        <f t="shared" si="788"/>
        <v>2220</v>
      </c>
      <c r="K6617" s="5" t="str">
        <f t="shared" si="789"/>
        <v>000</v>
      </c>
      <c r="L6617" s="5">
        <f t="shared" si="790"/>
        <v>5</v>
      </c>
      <c r="M6617" s="5">
        <f t="shared" si="791"/>
        <v>2013</v>
      </c>
    </row>
    <row r="6618" spans="1:13" ht="15" x14ac:dyDescent="0.25">
      <c r="A6618" s="1">
        <f>DATE(2013,5,7)</f>
        <v>41401</v>
      </c>
      <c r="B6618" t="s">
        <v>18</v>
      </c>
      <c r="C6618" t="s">
        <v>10</v>
      </c>
      <c r="D6618" s="3">
        <v>118.807</v>
      </c>
      <c r="E6618" s="3">
        <v>0</v>
      </c>
      <c r="F6618" t="s">
        <v>45</v>
      </c>
      <c r="G6618" s="3">
        <f t="shared" si="785"/>
        <v>-118.807</v>
      </c>
      <c r="H6618" s="3">
        <f t="shared" si="786"/>
        <v>118.807</v>
      </c>
      <c r="I6618" s="5" t="str">
        <f t="shared" si="787"/>
        <v>017</v>
      </c>
      <c r="J6618" s="5" t="str">
        <f t="shared" si="788"/>
        <v>2230</v>
      </c>
      <c r="K6618" s="5" t="str">
        <f t="shared" si="789"/>
        <v>000</v>
      </c>
      <c r="L6618" s="5">
        <f t="shared" si="790"/>
        <v>5</v>
      </c>
      <c r="M6618" s="5">
        <f t="shared" si="791"/>
        <v>2013</v>
      </c>
    </row>
    <row r="6619" spans="1:13" ht="15" x14ac:dyDescent="0.25">
      <c r="A6619" s="1">
        <f>DATE(2013,5,8)</f>
        <v>41402</v>
      </c>
      <c r="B6619" t="s">
        <v>15</v>
      </c>
      <c r="C6619" t="s">
        <v>6</v>
      </c>
      <c r="D6619" s="3">
        <v>6068.2578000000003</v>
      </c>
      <c r="E6619" s="3">
        <v>0</v>
      </c>
      <c r="F6619" t="s">
        <v>45</v>
      </c>
      <c r="G6619" s="3">
        <f t="shared" si="785"/>
        <v>-6068.2578000000003</v>
      </c>
      <c r="H6619" s="3">
        <f t="shared" si="786"/>
        <v>6068.2578000000003</v>
      </c>
      <c r="I6619" s="5" t="str">
        <f t="shared" si="787"/>
        <v>017</v>
      </c>
      <c r="J6619" s="5" t="str">
        <f t="shared" si="788"/>
        <v>2100</v>
      </c>
      <c r="K6619" s="5" t="str">
        <f t="shared" si="789"/>
        <v>000</v>
      </c>
      <c r="L6619" s="5">
        <f t="shared" si="790"/>
        <v>5</v>
      </c>
      <c r="M6619" s="5">
        <f t="shared" si="791"/>
        <v>2013</v>
      </c>
    </row>
    <row r="6620" spans="1:13" ht="15" x14ac:dyDescent="0.25">
      <c r="A6620" s="1">
        <f>DATE(2013,5,8)</f>
        <v>41402</v>
      </c>
      <c r="B6620" t="s">
        <v>16</v>
      </c>
      <c r="C6620" t="s">
        <v>8</v>
      </c>
      <c r="D6620" s="3">
        <v>1379.4660000000001</v>
      </c>
      <c r="E6620" s="3">
        <v>0</v>
      </c>
      <c r="F6620" t="s">
        <v>45</v>
      </c>
      <c r="G6620" s="3">
        <f t="shared" si="785"/>
        <v>-1379.4660000000001</v>
      </c>
      <c r="H6620" s="3">
        <f t="shared" si="786"/>
        <v>1379.4660000000001</v>
      </c>
      <c r="I6620" s="5" t="str">
        <f t="shared" si="787"/>
        <v>017</v>
      </c>
      <c r="J6620" s="5" t="str">
        <f t="shared" si="788"/>
        <v>2210</v>
      </c>
      <c r="K6620" s="5" t="str">
        <f t="shared" si="789"/>
        <v>000</v>
      </c>
      <c r="L6620" s="5">
        <f t="shared" si="790"/>
        <v>5</v>
      </c>
      <c r="M6620" s="5">
        <f t="shared" si="791"/>
        <v>2013</v>
      </c>
    </row>
    <row r="6621" spans="1:13" ht="15" x14ac:dyDescent="0.25">
      <c r="A6621" s="1">
        <f>DATE(2013,5,8)</f>
        <v>41402</v>
      </c>
      <c r="B6621" t="s">
        <v>17</v>
      </c>
      <c r="C6621" t="s">
        <v>9</v>
      </c>
      <c r="D6621" s="3">
        <v>516.26250000000005</v>
      </c>
      <c r="E6621" s="3">
        <v>0</v>
      </c>
      <c r="F6621" t="s">
        <v>45</v>
      </c>
      <c r="G6621" s="3">
        <f t="shared" si="785"/>
        <v>-516.26250000000005</v>
      </c>
      <c r="H6621" s="3">
        <f t="shared" si="786"/>
        <v>516.26250000000005</v>
      </c>
      <c r="I6621" s="5" t="str">
        <f t="shared" si="787"/>
        <v>017</v>
      </c>
      <c r="J6621" s="5" t="str">
        <f t="shared" si="788"/>
        <v>2220</v>
      </c>
      <c r="K6621" s="5" t="str">
        <f t="shared" si="789"/>
        <v>000</v>
      </c>
      <c r="L6621" s="5">
        <f t="shared" si="790"/>
        <v>5</v>
      </c>
      <c r="M6621" s="5">
        <f t="shared" si="791"/>
        <v>2013</v>
      </c>
    </row>
    <row r="6622" spans="1:13" ht="15" x14ac:dyDescent="0.25">
      <c r="A6622" s="1">
        <f>DATE(2013,5,8)</f>
        <v>41402</v>
      </c>
      <c r="B6622" t="s">
        <v>18</v>
      </c>
      <c r="C6622" t="s">
        <v>10</v>
      </c>
      <c r="D6622" s="3">
        <v>112.44750000000001</v>
      </c>
      <c r="E6622" s="3">
        <v>0</v>
      </c>
      <c r="F6622" t="s">
        <v>45</v>
      </c>
      <c r="G6622" s="3">
        <f t="shared" si="785"/>
        <v>-112.44750000000001</v>
      </c>
      <c r="H6622" s="3">
        <f t="shared" si="786"/>
        <v>112.44750000000001</v>
      </c>
      <c r="I6622" s="5" t="str">
        <f t="shared" si="787"/>
        <v>017</v>
      </c>
      <c r="J6622" s="5" t="str">
        <f t="shared" si="788"/>
        <v>2230</v>
      </c>
      <c r="K6622" s="5" t="str">
        <f t="shared" si="789"/>
        <v>000</v>
      </c>
      <c r="L6622" s="5">
        <f t="shared" si="790"/>
        <v>5</v>
      </c>
      <c r="M6622" s="5">
        <f t="shared" si="791"/>
        <v>2013</v>
      </c>
    </row>
    <row r="6623" spans="1:13" ht="15" x14ac:dyDescent="0.25">
      <c r="A6623" s="1">
        <f>DATE(2013,5,9)</f>
        <v>41403</v>
      </c>
      <c r="B6623" t="s">
        <v>15</v>
      </c>
      <c r="C6623" t="s">
        <v>6</v>
      </c>
      <c r="D6623" s="3">
        <v>6689.0732999999991</v>
      </c>
      <c r="E6623" s="3">
        <v>0</v>
      </c>
      <c r="F6623" t="s">
        <v>45</v>
      </c>
      <c r="G6623" s="3">
        <f t="shared" si="785"/>
        <v>-6689.0732999999991</v>
      </c>
      <c r="H6623" s="3">
        <f t="shared" si="786"/>
        <v>6689.0732999999991</v>
      </c>
      <c r="I6623" s="5" t="str">
        <f t="shared" si="787"/>
        <v>017</v>
      </c>
      <c r="J6623" s="5" t="str">
        <f t="shared" si="788"/>
        <v>2100</v>
      </c>
      <c r="K6623" s="5" t="str">
        <f t="shared" si="789"/>
        <v>000</v>
      </c>
      <c r="L6623" s="5">
        <f t="shared" si="790"/>
        <v>5</v>
      </c>
      <c r="M6623" s="5">
        <f t="shared" si="791"/>
        <v>2013</v>
      </c>
    </row>
    <row r="6624" spans="1:13" ht="15" x14ac:dyDescent="0.25">
      <c r="A6624" s="1">
        <f>DATE(2013,5,9)</f>
        <v>41403</v>
      </c>
      <c r="B6624" t="s">
        <v>16</v>
      </c>
      <c r="C6624" t="s">
        <v>8</v>
      </c>
      <c r="D6624" s="3">
        <v>2213.3555999999999</v>
      </c>
      <c r="E6624" s="3">
        <v>0</v>
      </c>
      <c r="F6624" t="s">
        <v>45</v>
      </c>
      <c r="G6624" s="3">
        <f t="shared" si="785"/>
        <v>-2213.3555999999999</v>
      </c>
      <c r="H6624" s="3">
        <f t="shared" si="786"/>
        <v>2213.3555999999999</v>
      </c>
      <c r="I6624" s="5" t="str">
        <f t="shared" si="787"/>
        <v>017</v>
      </c>
      <c r="J6624" s="5" t="str">
        <f t="shared" si="788"/>
        <v>2210</v>
      </c>
      <c r="K6624" s="5" t="str">
        <f t="shared" si="789"/>
        <v>000</v>
      </c>
      <c r="L6624" s="5">
        <f t="shared" si="790"/>
        <v>5</v>
      </c>
      <c r="M6624" s="5">
        <f t="shared" si="791"/>
        <v>2013</v>
      </c>
    </row>
    <row r="6625" spans="1:13" ht="15" x14ac:dyDescent="0.25">
      <c r="A6625" s="1">
        <f>DATE(2013,5,9)</f>
        <v>41403</v>
      </c>
      <c r="B6625" t="s">
        <v>17</v>
      </c>
      <c r="C6625" t="s">
        <v>9</v>
      </c>
      <c r="D6625" s="3">
        <v>893.74259999999992</v>
      </c>
      <c r="E6625" s="3">
        <v>0</v>
      </c>
      <c r="F6625" t="s">
        <v>45</v>
      </c>
      <c r="G6625" s="3">
        <f t="shared" si="785"/>
        <v>-893.74259999999992</v>
      </c>
      <c r="H6625" s="3">
        <f t="shared" si="786"/>
        <v>893.74259999999992</v>
      </c>
      <c r="I6625" s="5" t="str">
        <f t="shared" si="787"/>
        <v>017</v>
      </c>
      <c r="J6625" s="5" t="str">
        <f t="shared" si="788"/>
        <v>2220</v>
      </c>
      <c r="K6625" s="5" t="str">
        <f t="shared" si="789"/>
        <v>000</v>
      </c>
      <c r="L6625" s="5">
        <f t="shared" si="790"/>
        <v>5</v>
      </c>
      <c r="M6625" s="5">
        <f t="shared" si="791"/>
        <v>2013</v>
      </c>
    </row>
    <row r="6626" spans="1:13" ht="15" x14ac:dyDescent="0.25">
      <c r="A6626" s="1">
        <f>DATE(2013,5,9)</f>
        <v>41403</v>
      </c>
      <c r="B6626" t="s">
        <v>18</v>
      </c>
      <c r="C6626" t="s">
        <v>10</v>
      </c>
      <c r="D6626" s="3">
        <v>109.4628</v>
      </c>
      <c r="E6626" s="3">
        <v>0</v>
      </c>
      <c r="F6626" t="s">
        <v>45</v>
      </c>
      <c r="G6626" s="3">
        <f t="shared" si="785"/>
        <v>-109.4628</v>
      </c>
      <c r="H6626" s="3">
        <f t="shared" si="786"/>
        <v>109.4628</v>
      </c>
      <c r="I6626" s="5" t="str">
        <f t="shared" si="787"/>
        <v>017</v>
      </c>
      <c r="J6626" s="5" t="str">
        <f t="shared" si="788"/>
        <v>2230</v>
      </c>
      <c r="K6626" s="5" t="str">
        <f t="shared" si="789"/>
        <v>000</v>
      </c>
      <c r="L6626" s="5">
        <f t="shared" si="790"/>
        <v>5</v>
      </c>
      <c r="M6626" s="5">
        <f t="shared" si="791"/>
        <v>2013</v>
      </c>
    </row>
    <row r="6627" spans="1:13" ht="15" x14ac:dyDescent="0.25">
      <c r="A6627" s="1">
        <f>DATE(2013,5,10)</f>
        <v>41404</v>
      </c>
      <c r="B6627" t="s">
        <v>15</v>
      </c>
      <c r="C6627" t="s">
        <v>6</v>
      </c>
      <c r="D6627" s="3">
        <v>9434.3028999999988</v>
      </c>
      <c r="E6627" s="3">
        <v>0</v>
      </c>
      <c r="F6627" t="s">
        <v>45</v>
      </c>
      <c r="G6627" s="3">
        <f t="shared" si="785"/>
        <v>-9434.3028999999988</v>
      </c>
      <c r="H6627" s="3">
        <f t="shared" si="786"/>
        <v>9434.3028999999988</v>
      </c>
      <c r="I6627" s="5" t="str">
        <f t="shared" si="787"/>
        <v>017</v>
      </c>
      <c r="J6627" s="5" t="str">
        <f t="shared" si="788"/>
        <v>2100</v>
      </c>
      <c r="K6627" s="5" t="str">
        <f t="shared" si="789"/>
        <v>000</v>
      </c>
      <c r="L6627" s="5">
        <f t="shared" si="790"/>
        <v>5</v>
      </c>
      <c r="M6627" s="5">
        <f t="shared" si="791"/>
        <v>2013</v>
      </c>
    </row>
    <row r="6628" spans="1:13" ht="15" x14ac:dyDescent="0.25">
      <c r="A6628" s="1">
        <f>DATE(2013,5,10)</f>
        <v>41404</v>
      </c>
      <c r="B6628" t="s">
        <v>16</v>
      </c>
      <c r="C6628" t="s">
        <v>8</v>
      </c>
      <c r="D6628" s="3">
        <v>2569.348</v>
      </c>
      <c r="E6628" s="3">
        <v>0</v>
      </c>
      <c r="F6628" t="s">
        <v>45</v>
      </c>
      <c r="G6628" s="3">
        <f t="shared" si="785"/>
        <v>-2569.348</v>
      </c>
      <c r="H6628" s="3">
        <f t="shared" si="786"/>
        <v>2569.348</v>
      </c>
      <c r="I6628" s="5" t="str">
        <f t="shared" si="787"/>
        <v>017</v>
      </c>
      <c r="J6628" s="5" t="str">
        <f t="shared" si="788"/>
        <v>2210</v>
      </c>
      <c r="K6628" s="5" t="str">
        <f t="shared" si="789"/>
        <v>000</v>
      </c>
      <c r="L6628" s="5">
        <f t="shared" si="790"/>
        <v>5</v>
      </c>
      <c r="M6628" s="5">
        <f t="shared" si="791"/>
        <v>2013</v>
      </c>
    </row>
    <row r="6629" spans="1:13" ht="15" x14ac:dyDescent="0.25">
      <c r="A6629" s="1">
        <f>DATE(2013,5,10)</f>
        <v>41404</v>
      </c>
      <c r="B6629" t="s">
        <v>17</v>
      </c>
      <c r="C6629" t="s">
        <v>9</v>
      </c>
      <c r="D6629" s="3">
        <v>470.80289999999997</v>
      </c>
      <c r="E6629" s="3">
        <v>0</v>
      </c>
      <c r="F6629" t="s">
        <v>45</v>
      </c>
      <c r="G6629" s="3">
        <f t="shared" si="785"/>
        <v>-470.80289999999997</v>
      </c>
      <c r="H6629" s="3">
        <f t="shared" si="786"/>
        <v>470.80289999999997</v>
      </c>
      <c r="I6629" s="5" t="str">
        <f t="shared" si="787"/>
        <v>017</v>
      </c>
      <c r="J6629" s="5" t="str">
        <f t="shared" si="788"/>
        <v>2220</v>
      </c>
      <c r="K6629" s="5" t="str">
        <f t="shared" si="789"/>
        <v>000</v>
      </c>
      <c r="L6629" s="5">
        <f t="shared" si="790"/>
        <v>5</v>
      </c>
      <c r="M6629" s="5">
        <f t="shared" si="791"/>
        <v>2013</v>
      </c>
    </row>
    <row r="6630" spans="1:13" ht="15" x14ac:dyDescent="0.25">
      <c r="A6630" s="1">
        <f>DATE(2013,5,10)</f>
        <v>41404</v>
      </c>
      <c r="B6630" t="s">
        <v>18</v>
      </c>
      <c r="C6630" t="s">
        <v>10</v>
      </c>
      <c r="D6630" s="3">
        <v>213.10979999999998</v>
      </c>
      <c r="E6630" s="3">
        <v>0</v>
      </c>
      <c r="F6630" t="s">
        <v>45</v>
      </c>
      <c r="G6630" s="3">
        <f t="shared" si="785"/>
        <v>-213.10979999999998</v>
      </c>
      <c r="H6630" s="3">
        <f t="shared" si="786"/>
        <v>213.10979999999998</v>
      </c>
      <c r="I6630" s="5" t="str">
        <f t="shared" si="787"/>
        <v>017</v>
      </c>
      <c r="J6630" s="5" t="str">
        <f t="shared" si="788"/>
        <v>2230</v>
      </c>
      <c r="K6630" s="5" t="str">
        <f t="shared" si="789"/>
        <v>000</v>
      </c>
      <c r="L6630" s="5">
        <f t="shared" si="790"/>
        <v>5</v>
      </c>
      <c r="M6630" s="5">
        <f t="shared" si="791"/>
        <v>2013</v>
      </c>
    </row>
    <row r="6631" spans="1:13" ht="15" x14ac:dyDescent="0.25">
      <c r="A6631" s="1">
        <f>DATE(2013,5,11)</f>
        <v>41405</v>
      </c>
      <c r="B6631" t="s">
        <v>15</v>
      </c>
      <c r="C6631" t="s">
        <v>6</v>
      </c>
      <c r="D6631" s="3">
        <v>8105.2789999999986</v>
      </c>
      <c r="E6631" s="3">
        <v>0</v>
      </c>
      <c r="F6631" t="s">
        <v>45</v>
      </c>
      <c r="G6631" s="3">
        <f t="shared" si="785"/>
        <v>-8105.2789999999986</v>
      </c>
      <c r="H6631" s="3">
        <f t="shared" si="786"/>
        <v>8105.2789999999986</v>
      </c>
      <c r="I6631" s="5" t="str">
        <f t="shared" si="787"/>
        <v>017</v>
      </c>
      <c r="J6631" s="5" t="str">
        <f t="shared" si="788"/>
        <v>2100</v>
      </c>
      <c r="K6631" s="5" t="str">
        <f t="shared" si="789"/>
        <v>000</v>
      </c>
      <c r="L6631" s="5">
        <f t="shared" si="790"/>
        <v>5</v>
      </c>
      <c r="M6631" s="5">
        <f t="shared" si="791"/>
        <v>2013</v>
      </c>
    </row>
    <row r="6632" spans="1:13" ht="15" x14ac:dyDescent="0.25">
      <c r="A6632" s="1">
        <f>DATE(2013,5,11)</f>
        <v>41405</v>
      </c>
      <c r="B6632" t="s">
        <v>16</v>
      </c>
      <c r="C6632" t="s">
        <v>8</v>
      </c>
      <c r="D6632" s="3">
        <v>3046.8240000000001</v>
      </c>
      <c r="E6632" s="3">
        <v>0</v>
      </c>
      <c r="F6632" t="s">
        <v>45</v>
      </c>
      <c r="G6632" s="3">
        <f t="shared" si="785"/>
        <v>-3046.8240000000001</v>
      </c>
      <c r="H6632" s="3">
        <f t="shared" si="786"/>
        <v>3046.8240000000001</v>
      </c>
      <c r="I6632" s="5" t="str">
        <f t="shared" si="787"/>
        <v>017</v>
      </c>
      <c r="J6632" s="5" t="str">
        <f t="shared" si="788"/>
        <v>2210</v>
      </c>
      <c r="K6632" s="5" t="str">
        <f t="shared" si="789"/>
        <v>000</v>
      </c>
      <c r="L6632" s="5">
        <f t="shared" si="790"/>
        <v>5</v>
      </c>
      <c r="M6632" s="5">
        <f t="shared" si="791"/>
        <v>2013</v>
      </c>
    </row>
    <row r="6633" spans="1:13" ht="15" x14ac:dyDescent="0.25">
      <c r="A6633" s="1">
        <f>DATE(2013,5,11)</f>
        <v>41405</v>
      </c>
      <c r="B6633" t="s">
        <v>17</v>
      </c>
      <c r="C6633" t="s">
        <v>9</v>
      </c>
      <c r="D6633" s="3">
        <v>560.04139999999995</v>
      </c>
      <c r="E6633" s="3">
        <v>0</v>
      </c>
      <c r="F6633" t="s">
        <v>45</v>
      </c>
      <c r="G6633" s="3">
        <f t="shared" si="785"/>
        <v>-560.04139999999995</v>
      </c>
      <c r="H6633" s="3">
        <f t="shared" si="786"/>
        <v>560.04139999999995</v>
      </c>
      <c r="I6633" s="5" t="str">
        <f t="shared" si="787"/>
        <v>017</v>
      </c>
      <c r="J6633" s="5" t="str">
        <f t="shared" si="788"/>
        <v>2220</v>
      </c>
      <c r="K6633" s="5" t="str">
        <f t="shared" si="789"/>
        <v>000</v>
      </c>
      <c r="L6633" s="5">
        <f t="shared" si="790"/>
        <v>5</v>
      </c>
      <c r="M6633" s="5">
        <f t="shared" si="791"/>
        <v>2013</v>
      </c>
    </row>
    <row r="6634" spans="1:13" ht="15" x14ac:dyDescent="0.25">
      <c r="A6634" s="1">
        <f>DATE(2013,5,11)</f>
        <v>41405</v>
      </c>
      <c r="B6634" t="s">
        <v>18</v>
      </c>
      <c r="C6634" t="s">
        <v>10</v>
      </c>
      <c r="D6634" s="3">
        <v>195.67580000000001</v>
      </c>
      <c r="E6634" s="3">
        <v>0</v>
      </c>
      <c r="F6634" t="s">
        <v>45</v>
      </c>
      <c r="G6634" s="3">
        <f t="shared" si="785"/>
        <v>-195.67580000000001</v>
      </c>
      <c r="H6634" s="3">
        <f t="shared" si="786"/>
        <v>195.67580000000001</v>
      </c>
      <c r="I6634" s="5" t="str">
        <f t="shared" si="787"/>
        <v>017</v>
      </c>
      <c r="J6634" s="5" t="str">
        <f t="shared" si="788"/>
        <v>2230</v>
      </c>
      <c r="K6634" s="5" t="str">
        <f t="shared" si="789"/>
        <v>000</v>
      </c>
      <c r="L6634" s="5">
        <f t="shared" si="790"/>
        <v>5</v>
      </c>
      <c r="M6634" s="5">
        <f t="shared" si="791"/>
        <v>2013</v>
      </c>
    </row>
    <row r="6635" spans="1:13" ht="15" x14ac:dyDescent="0.25">
      <c r="A6635" s="1">
        <f>DATE(2013,5,12)</f>
        <v>41406</v>
      </c>
      <c r="B6635" t="s">
        <v>15</v>
      </c>
      <c r="C6635" t="s">
        <v>6</v>
      </c>
      <c r="D6635" s="3">
        <v>8722.3359999999993</v>
      </c>
      <c r="E6635" s="3">
        <v>0</v>
      </c>
      <c r="F6635" t="s">
        <v>45</v>
      </c>
      <c r="G6635" s="3">
        <f t="shared" si="785"/>
        <v>-8722.3359999999993</v>
      </c>
      <c r="H6635" s="3">
        <f t="shared" si="786"/>
        <v>8722.3359999999993</v>
      </c>
      <c r="I6635" s="5" t="str">
        <f t="shared" si="787"/>
        <v>017</v>
      </c>
      <c r="J6635" s="5" t="str">
        <f t="shared" si="788"/>
        <v>2100</v>
      </c>
      <c r="K6635" s="5" t="str">
        <f t="shared" si="789"/>
        <v>000</v>
      </c>
      <c r="L6635" s="5">
        <f t="shared" si="790"/>
        <v>5</v>
      </c>
      <c r="M6635" s="5">
        <f t="shared" si="791"/>
        <v>2013</v>
      </c>
    </row>
    <row r="6636" spans="1:13" ht="15" x14ac:dyDescent="0.25">
      <c r="A6636" s="1">
        <f>DATE(2013,5,12)</f>
        <v>41406</v>
      </c>
      <c r="B6636" t="s">
        <v>16</v>
      </c>
      <c r="C6636" t="s">
        <v>8</v>
      </c>
      <c r="D6636" s="3">
        <v>2013.384</v>
      </c>
      <c r="E6636" s="3">
        <v>0</v>
      </c>
      <c r="F6636" t="s">
        <v>45</v>
      </c>
      <c r="G6636" s="3">
        <f t="shared" si="785"/>
        <v>-2013.384</v>
      </c>
      <c r="H6636" s="3">
        <f t="shared" si="786"/>
        <v>2013.384</v>
      </c>
      <c r="I6636" s="5" t="str">
        <f t="shared" si="787"/>
        <v>017</v>
      </c>
      <c r="J6636" s="5" t="str">
        <f t="shared" si="788"/>
        <v>2210</v>
      </c>
      <c r="K6636" s="5" t="str">
        <f t="shared" si="789"/>
        <v>000</v>
      </c>
      <c r="L6636" s="5">
        <f t="shared" si="790"/>
        <v>5</v>
      </c>
      <c r="M6636" s="5">
        <f t="shared" si="791"/>
        <v>2013</v>
      </c>
    </row>
    <row r="6637" spans="1:13" ht="15" x14ac:dyDescent="0.25">
      <c r="A6637" s="1">
        <f>DATE(2013,5,12)</f>
        <v>41406</v>
      </c>
      <c r="B6637" t="s">
        <v>17</v>
      </c>
      <c r="C6637" t="s">
        <v>9</v>
      </c>
      <c r="D6637" s="3">
        <v>297.06880000000001</v>
      </c>
      <c r="E6637" s="3">
        <v>0</v>
      </c>
      <c r="F6637" t="s">
        <v>45</v>
      </c>
      <c r="G6637" s="3">
        <f t="shared" si="785"/>
        <v>-297.06880000000001</v>
      </c>
      <c r="H6637" s="3">
        <f t="shared" si="786"/>
        <v>297.06880000000001</v>
      </c>
      <c r="I6637" s="5" t="str">
        <f t="shared" si="787"/>
        <v>017</v>
      </c>
      <c r="J6637" s="5" t="str">
        <f t="shared" si="788"/>
        <v>2220</v>
      </c>
      <c r="K6637" s="5" t="str">
        <f t="shared" si="789"/>
        <v>000</v>
      </c>
      <c r="L6637" s="5">
        <f t="shared" si="790"/>
        <v>5</v>
      </c>
      <c r="M6637" s="5">
        <f t="shared" si="791"/>
        <v>2013</v>
      </c>
    </row>
    <row r="6638" spans="1:13" ht="15" x14ac:dyDescent="0.25">
      <c r="A6638" s="1">
        <f>DATE(2013,5,12)</f>
        <v>41406</v>
      </c>
      <c r="B6638" t="s">
        <v>18</v>
      </c>
      <c r="C6638" t="s">
        <v>10</v>
      </c>
      <c r="D6638" s="3">
        <v>112.5316</v>
      </c>
      <c r="E6638" s="3">
        <v>0</v>
      </c>
      <c r="F6638" t="s">
        <v>45</v>
      </c>
      <c r="G6638" s="3">
        <f t="shared" si="785"/>
        <v>-112.5316</v>
      </c>
      <c r="H6638" s="3">
        <f t="shared" si="786"/>
        <v>112.5316</v>
      </c>
      <c r="I6638" s="5" t="str">
        <f t="shared" si="787"/>
        <v>017</v>
      </c>
      <c r="J6638" s="5" t="str">
        <f t="shared" si="788"/>
        <v>2230</v>
      </c>
      <c r="K6638" s="5" t="str">
        <f t="shared" si="789"/>
        <v>000</v>
      </c>
      <c r="L6638" s="5">
        <f t="shared" si="790"/>
        <v>5</v>
      </c>
      <c r="M6638" s="5">
        <f t="shared" si="791"/>
        <v>2013</v>
      </c>
    </row>
    <row r="6639" spans="1:13" ht="15" x14ac:dyDescent="0.25">
      <c r="A6639" s="1">
        <f>DATE(2013,5,6)</f>
        <v>41400</v>
      </c>
      <c r="B6639" t="s">
        <v>19</v>
      </c>
      <c r="C6639" t="s">
        <v>6</v>
      </c>
      <c r="D6639" s="3">
        <v>3537.2921999999999</v>
      </c>
      <c r="E6639" s="3">
        <v>0</v>
      </c>
      <c r="F6639" t="s">
        <v>45</v>
      </c>
      <c r="G6639" s="3">
        <f t="shared" si="785"/>
        <v>-3537.2921999999999</v>
      </c>
      <c r="H6639" s="3">
        <f t="shared" si="786"/>
        <v>3537.2921999999999</v>
      </c>
      <c r="I6639" s="5" t="str">
        <f t="shared" si="787"/>
        <v>018</v>
      </c>
      <c r="J6639" s="5" t="str">
        <f t="shared" si="788"/>
        <v>2100</v>
      </c>
      <c r="K6639" s="5" t="str">
        <f t="shared" si="789"/>
        <v>000</v>
      </c>
      <c r="L6639" s="5">
        <f t="shared" si="790"/>
        <v>5</v>
      </c>
      <c r="M6639" s="5">
        <f t="shared" si="791"/>
        <v>2013</v>
      </c>
    </row>
    <row r="6640" spans="1:13" ht="15" x14ac:dyDescent="0.25">
      <c r="A6640" s="1">
        <f>DATE(2013,5,6)</f>
        <v>41400</v>
      </c>
      <c r="B6640" t="s">
        <v>20</v>
      </c>
      <c r="C6640" t="s">
        <v>8</v>
      </c>
      <c r="D6640" s="3">
        <v>438.48180000000002</v>
      </c>
      <c r="E6640" s="3">
        <v>0</v>
      </c>
      <c r="F6640" t="s">
        <v>45</v>
      </c>
      <c r="G6640" s="3">
        <f t="shared" si="785"/>
        <v>-438.48180000000002</v>
      </c>
      <c r="H6640" s="3">
        <f t="shared" si="786"/>
        <v>438.48180000000002</v>
      </c>
      <c r="I6640" s="5" t="str">
        <f t="shared" si="787"/>
        <v>018</v>
      </c>
      <c r="J6640" s="5" t="str">
        <f t="shared" si="788"/>
        <v>2210</v>
      </c>
      <c r="K6640" s="5" t="str">
        <f t="shared" si="789"/>
        <v>000</v>
      </c>
      <c r="L6640" s="5">
        <f t="shared" si="790"/>
        <v>5</v>
      </c>
      <c r="M6640" s="5">
        <f t="shared" si="791"/>
        <v>2013</v>
      </c>
    </row>
    <row r="6641" spans="1:13" ht="15" x14ac:dyDescent="0.25">
      <c r="A6641" s="1">
        <f>DATE(2013,5,6)</f>
        <v>41400</v>
      </c>
      <c r="B6641" t="s">
        <v>21</v>
      </c>
      <c r="C6641" t="s">
        <v>9</v>
      </c>
      <c r="D6641" s="3">
        <v>133.18830000000003</v>
      </c>
      <c r="E6641" s="3">
        <v>0</v>
      </c>
      <c r="F6641" t="s">
        <v>45</v>
      </c>
      <c r="G6641" s="3">
        <f t="shared" si="785"/>
        <v>-133.18830000000003</v>
      </c>
      <c r="H6641" s="3">
        <f t="shared" si="786"/>
        <v>133.18830000000003</v>
      </c>
      <c r="I6641" s="5" t="str">
        <f t="shared" si="787"/>
        <v>018</v>
      </c>
      <c r="J6641" s="5" t="str">
        <f t="shared" si="788"/>
        <v>2220</v>
      </c>
      <c r="K6641" s="5" t="str">
        <f t="shared" si="789"/>
        <v>000</v>
      </c>
      <c r="L6641" s="5">
        <f t="shared" si="790"/>
        <v>5</v>
      </c>
      <c r="M6641" s="5">
        <f t="shared" si="791"/>
        <v>2013</v>
      </c>
    </row>
    <row r="6642" spans="1:13" ht="15" x14ac:dyDescent="0.25">
      <c r="A6642" s="1">
        <f>DATE(2013,5,6)</f>
        <v>41400</v>
      </c>
      <c r="B6642" t="s">
        <v>22</v>
      </c>
      <c r="C6642" t="s">
        <v>10</v>
      </c>
      <c r="D6642" s="3">
        <v>10.051399999999997</v>
      </c>
      <c r="E6642" s="3">
        <v>0</v>
      </c>
      <c r="F6642" t="s">
        <v>45</v>
      </c>
      <c r="G6642" s="3">
        <f t="shared" si="785"/>
        <v>-10.051399999999997</v>
      </c>
      <c r="H6642" s="3">
        <f t="shared" si="786"/>
        <v>10.051399999999997</v>
      </c>
      <c r="I6642" s="5" t="str">
        <f t="shared" si="787"/>
        <v>018</v>
      </c>
      <c r="J6642" s="5" t="str">
        <f t="shared" si="788"/>
        <v>2230</v>
      </c>
      <c r="K6642" s="5" t="str">
        <f t="shared" si="789"/>
        <v>000</v>
      </c>
      <c r="L6642" s="5">
        <f t="shared" si="790"/>
        <v>5</v>
      </c>
      <c r="M6642" s="5">
        <f t="shared" si="791"/>
        <v>2013</v>
      </c>
    </row>
    <row r="6643" spans="1:13" ht="15" x14ac:dyDescent="0.25">
      <c r="A6643" s="1">
        <f>DATE(2013,5,7)</f>
        <v>41401</v>
      </c>
      <c r="B6643" t="s">
        <v>19</v>
      </c>
      <c r="C6643" t="s">
        <v>6</v>
      </c>
      <c r="D6643" s="3">
        <v>3958.1586000000002</v>
      </c>
      <c r="E6643" s="3">
        <v>0</v>
      </c>
      <c r="F6643" t="s">
        <v>45</v>
      </c>
      <c r="G6643" s="3">
        <f t="shared" si="785"/>
        <v>-3958.1586000000002</v>
      </c>
      <c r="H6643" s="3">
        <f t="shared" si="786"/>
        <v>3958.1586000000002</v>
      </c>
      <c r="I6643" s="5" t="str">
        <f t="shared" si="787"/>
        <v>018</v>
      </c>
      <c r="J6643" s="5" t="str">
        <f t="shared" si="788"/>
        <v>2100</v>
      </c>
      <c r="K6643" s="5" t="str">
        <f t="shared" si="789"/>
        <v>000</v>
      </c>
      <c r="L6643" s="5">
        <f t="shared" si="790"/>
        <v>5</v>
      </c>
      <c r="M6643" s="5">
        <f t="shared" si="791"/>
        <v>2013</v>
      </c>
    </row>
    <row r="6644" spans="1:13" ht="15" x14ac:dyDescent="0.25">
      <c r="A6644" s="1">
        <f>DATE(2013,5,7)</f>
        <v>41401</v>
      </c>
      <c r="B6644" t="s">
        <v>20</v>
      </c>
      <c r="C6644" t="s">
        <v>8</v>
      </c>
      <c r="D6644" s="3">
        <v>588.11789999999996</v>
      </c>
      <c r="E6644" s="3">
        <v>0</v>
      </c>
      <c r="F6644" t="s">
        <v>45</v>
      </c>
      <c r="G6644" s="3">
        <f t="shared" si="785"/>
        <v>-588.11789999999996</v>
      </c>
      <c r="H6644" s="3">
        <f t="shared" si="786"/>
        <v>588.11789999999996</v>
      </c>
      <c r="I6644" s="5" t="str">
        <f t="shared" si="787"/>
        <v>018</v>
      </c>
      <c r="J6644" s="5" t="str">
        <f t="shared" si="788"/>
        <v>2210</v>
      </c>
      <c r="K6644" s="5" t="str">
        <f t="shared" si="789"/>
        <v>000</v>
      </c>
      <c r="L6644" s="5">
        <f t="shared" si="790"/>
        <v>5</v>
      </c>
      <c r="M6644" s="5">
        <f t="shared" si="791"/>
        <v>2013</v>
      </c>
    </row>
    <row r="6645" spans="1:13" ht="15" x14ac:dyDescent="0.25">
      <c r="A6645" s="1">
        <f>DATE(2013,5,7)</f>
        <v>41401</v>
      </c>
      <c r="B6645" t="s">
        <v>21</v>
      </c>
      <c r="C6645" t="s">
        <v>9</v>
      </c>
      <c r="D6645" s="3">
        <v>199.02959999999999</v>
      </c>
      <c r="E6645" s="3">
        <v>0</v>
      </c>
      <c r="F6645" t="s">
        <v>45</v>
      </c>
      <c r="G6645" s="3">
        <f t="shared" si="785"/>
        <v>-199.02959999999999</v>
      </c>
      <c r="H6645" s="3">
        <f t="shared" si="786"/>
        <v>199.02959999999999</v>
      </c>
      <c r="I6645" s="5" t="str">
        <f t="shared" si="787"/>
        <v>018</v>
      </c>
      <c r="J6645" s="5" t="str">
        <f t="shared" si="788"/>
        <v>2220</v>
      </c>
      <c r="K6645" s="5" t="str">
        <f t="shared" si="789"/>
        <v>000</v>
      </c>
      <c r="L6645" s="5">
        <f t="shared" si="790"/>
        <v>5</v>
      </c>
      <c r="M6645" s="5">
        <f t="shared" si="791"/>
        <v>2013</v>
      </c>
    </row>
    <row r="6646" spans="1:13" ht="15" x14ac:dyDescent="0.25">
      <c r="A6646" s="1">
        <f>DATE(2013,5,7)</f>
        <v>41401</v>
      </c>
      <c r="B6646" t="s">
        <v>22</v>
      </c>
      <c r="C6646" t="s">
        <v>10</v>
      </c>
      <c r="D6646" s="3">
        <v>29.884800000000002</v>
      </c>
      <c r="E6646" s="3">
        <v>0</v>
      </c>
      <c r="F6646" t="s">
        <v>45</v>
      </c>
      <c r="G6646" s="3">
        <f t="shared" si="785"/>
        <v>-29.884800000000002</v>
      </c>
      <c r="H6646" s="3">
        <f t="shared" si="786"/>
        <v>29.884800000000002</v>
      </c>
      <c r="I6646" s="5" t="str">
        <f t="shared" si="787"/>
        <v>018</v>
      </c>
      <c r="J6646" s="5" t="str">
        <f t="shared" si="788"/>
        <v>2230</v>
      </c>
      <c r="K6646" s="5" t="str">
        <f t="shared" si="789"/>
        <v>000</v>
      </c>
      <c r="L6646" s="5">
        <f t="shared" si="790"/>
        <v>5</v>
      </c>
      <c r="M6646" s="5">
        <f t="shared" si="791"/>
        <v>2013</v>
      </c>
    </row>
    <row r="6647" spans="1:13" ht="15" x14ac:dyDescent="0.25">
      <c r="A6647" s="1">
        <f>DATE(2013,5,8)</f>
        <v>41402</v>
      </c>
      <c r="B6647" t="s">
        <v>19</v>
      </c>
      <c r="C6647" t="s">
        <v>6</v>
      </c>
      <c r="D6647" s="3">
        <v>4122.4175999999998</v>
      </c>
      <c r="E6647" s="3">
        <v>0</v>
      </c>
      <c r="F6647" t="s">
        <v>45</v>
      </c>
      <c r="G6647" s="3">
        <f t="shared" si="785"/>
        <v>-4122.4175999999998</v>
      </c>
      <c r="H6647" s="3">
        <f t="shared" si="786"/>
        <v>4122.4175999999998</v>
      </c>
      <c r="I6647" s="5" t="str">
        <f t="shared" si="787"/>
        <v>018</v>
      </c>
      <c r="J6647" s="5" t="str">
        <f t="shared" si="788"/>
        <v>2100</v>
      </c>
      <c r="K6647" s="5" t="str">
        <f t="shared" si="789"/>
        <v>000</v>
      </c>
      <c r="L6647" s="5">
        <f t="shared" si="790"/>
        <v>5</v>
      </c>
      <c r="M6647" s="5">
        <f t="shared" si="791"/>
        <v>2013</v>
      </c>
    </row>
    <row r="6648" spans="1:13" ht="15" x14ac:dyDescent="0.25">
      <c r="A6648" s="1">
        <f>DATE(2013,5,8)</f>
        <v>41402</v>
      </c>
      <c r="B6648" t="s">
        <v>20</v>
      </c>
      <c r="C6648" t="s">
        <v>8</v>
      </c>
      <c r="D6648" s="3">
        <v>920.94309999999996</v>
      </c>
      <c r="E6648" s="3">
        <v>0</v>
      </c>
      <c r="F6648" t="s">
        <v>45</v>
      </c>
      <c r="G6648" s="3">
        <f t="shared" si="785"/>
        <v>-920.94309999999996</v>
      </c>
      <c r="H6648" s="3">
        <f t="shared" si="786"/>
        <v>920.94309999999996</v>
      </c>
      <c r="I6648" s="5" t="str">
        <f t="shared" si="787"/>
        <v>018</v>
      </c>
      <c r="J6648" s="5" t="str">
        <f t="shared" si="788"/>
        <v>2210</v>
      </c>
      <c r="K6648" s="5" t="str">
        <f t="shared" si="789"/>
        <v>000</v>
      </c>
      <c r="L6648" s="5">
        <f t="shared" si="790"/>
        <v>5</v>
      </c>
      <c r="M6648" s="5">
        <f t="shared" si="791"/>
        <v>2013</v>
      </c>
    </row>
    <row r="6649" spans="1:13" ht="15" x14ac:dyDescent="0.25">
      <c r="A6649" s="1">
        <f>DATE(2013,5,8)</f>
        <v>41402</v>
      </c>
      <c r="B6649" t="s">
        <v>21</v>
      </c>
      <c r="C6649" t="s">
        <v>9</v>
      </c>
      <c r="D6649" s="3">
        <v>197.178</v>
      </c>
      <c r="E6649" s="3">
        <v>0</v>
      </c>
      <c r="F6649" t="s">
        <v>45</v>
      </c>
      <c r="G6649" s="3">
        <f t="shared" si="785"/>
        <v>-197.178</v>
      </c>
      <c r="H6649" s="3">
        <f t="shared" si="786"/>
        <v>197.178</v>
      </c>
      <c r="I6649" s="5" t="str">
        <f t="shared" si="787"/>
        <v>018</v>
      </c>
      <c r="J6649" s="5" t="str">
        <f t="shared" si="788"/>
        <v>2220</v>
      </c>
      <c r="K6649" s="5" t="str">
        <f t="shared" si="789"/>
        <v>000</v>
      </c>
      <c r="L6649" s="5">
        <f t="shared" si="790"/>
        <v>5</v>
      </c>
      <c r="M6649" s="5">
        <f t="shared" si="791"/>
        <v>2013</v>
      </c>
    </row>
    <row r="6650" spans="1:13" ht="15" x14ac:dyDescent="0.25">
      <c r="A6650" s="1">
        <f>DATE(2013,5,8)</f>
        <v>41402</v>
      </c>
      <c r="B6650" t="s">
        <v>22</v>
      </c>
      <c r="C6650" t="s">
        <v>10</v>
      </c>
      <c r="D6650" s="3">
        <v>45.132799999999996</v>
      </c>
      <c r="E6650" s="3">
        <v>0</v>
      </c>
      <c r="F6650" t="s">
        <v>45</v>
      </c>
      <c r="G6650" s="3">
        <f t="shared" si="785"/>
        <v>-45.132799999999996</v>
      </c>
      <c r="H6650" s="3">
        <f t="shared" si="786"/>
        <v>45.132799999999996</v>
      </c>
      <c r="I6650" s="5" t="str">
        <f t="shared" si="787"/>
        <v>018</v>
      </c>
      <c r="J6650" s="5" t="str">
        <f t="shared" si="788"/>
        <v>2230</v>
      </c>
      <c r="K6650" s="5" t="str">
        <f t="shared" si="789"/>
        <v>000</v>
      </c>
      <c r="L6650" s="5">
        <f t="shared" si="790"/>
        <v>5</v>
      </c>
      <c r="M6650" s="5">
        <f t="shared" si="791"/>
        <v>2013</v>
      </c>
    </row>
    <row r="6651" spans="1:13" ht="15" x14ac:dyDescent="0.25">
      <c r="A6651" s="1">
        <f>DATE(2013,5,9)</f>
        <v>41403</v>
      </c>
      <c r="B6651" t="s">
        <v>19</v>
      </c>
      <c r="C6651" t="s">
        <v>6</v>
      </c>
      <c r="D6651" s="3">
        <v>6168.4187999999995</v>
      </c>
      <c r="E6651" s="3">
        <v>0</v>
      </c>
      <c r="F6651" t="s">
        <v>45</v>
      </c>
      <c r="G6651" s="3">
        <f t="shared" si="785"/>
        <v>-6168.4187999999995</v>
      </c>
      <c r="H6651" s="3">
        <f t="shared" si="786"/>
        <v>6168.4187999999995</v>
      </c>
      <c r="I6651" s="5" t="str">
        <f t="shared" si="787"/>
        <v>018</v>
      </c>
      <c r="J6651" s="5" t="str">
        <f t="shared" si="788"/>
        <v>2100</v>
      </c>
      <c r="K6651" s="5" t="str">
        <f t="shared" si="789"/>
        <v>000</v>
      </c>
      <c r="L6651" s="5">
        <f t="shared" si="790"/>
        <v>5</v>
      </c>
      <c r="M6651" s="5">
        <f t="shared" si="791"/>
        <v>2013</v>
      </c>
    </row>
    <row r="6652" spans="1:13" ht="15" x14ac:dyDescent="0.25">
      <c r="A6652" s="1">
        <f>DATE(2013,5,9)</f>
        <v>41403</v>
      </c>
      <c r="B6652" t="s">
        <v>20</v>
      </c>
      <c r="C6652" t="s">
        <v>8</v>
      </c>
      <c r="D6652" s="3">
        <v>1296.3852999999999</v>
      </c>
      <c r="E6652" s="3">
        <v>0</v>
      </c>
      <c r="F6652" t="s">
        <v>45</v>
      </c>
      <c r="G6652" s="3">
        <f t="shared" si="785"/>
        <v>-1296.3852999999999</v>
      </c>
      <c r="H6652" s="3">
        <f t="shared" si="786"/>
        <v>1296.3852999999999</v>
      </c>
      <c r="I6652" s="5" t="str">
        <f t="shared" si="787"/>
        <v>018</v>
      </c>
      <c r="J6652" s="5" t="str">
        <f t="shared" si="788"/>
        <v>2210</v>
      </c>
      <c r="K6652" s="5" t="str">
        <f t="shared" si="789"/>
        <v>000</v>
      </c>
      <c r="L6652" s="5">
        <f t="shared" si="790"/>
        <v>5</v>
      </c>
      <c r="M6652" s="5">
        <f t="shared" si="791"/>
        <v>2013</v>
      </c>
    </row>
    <row r="6653" spans="1:13" ht="15" x14ac:dyDescent="0.25">
      <c r="A6653" s="1">
        <f>DATE(2013,5,9)</f>
        <v>41403</v>
      </c>
      <c r="B6653" t="s">
        <v>21</v>
      </c>
      <c r="C6653" t="s">
        <v>9</v>
      </c>
      <c r="D6653" s="3">
        <v>321.02999999999997</v>
      </c>
      <c r="E6653" s="3">
        <v>0</v>
      </c>
      <c r="F6653" t="s">
        <v>45</v>
      </c>
      <c r="G6653" s="3">
        <f t="shared" si="785"/>
        <v>-321.02999999999997</v>
      </c>
      <c r="H6653" s="3">
        <f t="shared" si="786"/>
        <v>321.02999999999997</v>
      </c>
      <c r="I6653" s="5" t="str">
        <f t="shared" si="787"/>
        <v>018</v>
      </c>
      <c r="J6653" s="5" t="str">
        <f t="shared" si="788"/>
        <v>2220</v>
      </c>
      <c r="K6653" s="5" t="str">
        <f t="shared" si="789"/>
        <v>000</v>
      </c>
      <c r="L6653" s="5">
        <f t="shared" si="790"/>
        <v>5</v>
      </c>
      <c r="M6653" s="5">
        <f t="shared" si="791"/>
        <v>2013</v>
      </c>
    </row>
    <row r="6654" spans="1:13" ht="15" x14ac:dyDescent="0.25">
      <c r="A6654" s="1">
        <f>DATE(2013,5,9)</f>
        <v>41403</v>
      </c>
      <c r="B6654" t="s">
        <v>22</v>
      </c>
      <c r="C6654" t="s">
        <v>10</v>
      </c>
      <c r="D6654" s="3">
        <v>100.2229</v>
      </c>
      <c r="E6654" s="3">
        <v>0</v>
      </c>
      <c r="F6654" t="s">
        <v>45</v>
      </c>
      <c r="G6654" s="3">
        <f t="shared" si="785"/>
        <v>-100.2229</v>
      </c>
      <c r="H6654" s="3">
        <f t="shared" si="786"/>
        <v>100.2229</v>
      </c>
      <c r="I6654" s="5" t="str">
        <f t="shared" si="787"/>
        <v>018</v>
      </c>
      <c r="J6654" s="5" t="str">
        <f t="shared" si="788"/>
        <v>2230</v>
      </c>
      <c r="K6654" s="5" t="str">
        <f t="shared" si="789"/>
        <v>000</v>
      </c>
      <c r="L6654" s="5">
        <f t="shared" si="790"/>
        <v>5</v>
      </c>
      <c r="M6654" s="5">
        <f t="shared" si="791"/>
        <v>2013</v>
      </c>
    </row>
    <row r="6655" spans="1:13" ht="15" x14ac:dyDescent="0.25">
      <c r="A6655" s="1">
        <f>DATE(2013,5,10)</f>
        <v>41404</v>
      </c>
      <c r="B6655" t="s">
        <v>19</v>
      </c>
      <c r="C6655" t="s">
        <v>6</v>
      </c>
      <c r="D6655" s="3">
        <v>18051.263500000001</v>
      </c>
      <c r="E6655" s="3">
        <v>0</v>
      </c>
      <c r="F6655" t="s">
        <v>45</v>
      </c>
      <c r="G6655" s="3">
        <f t="shared" si="785"/>
        <v>-18051.263500000001</v>
      </c>
      <c r="H6655" s="3">
        <f t="shared" si="786"/>
        <v>18051.263500000001</v>
      </c>
      <c r="I6655" s="5" t="str">
        <f t="shared" si="787"/>
        <v>018</v>
      </c>
      <c r="J6655" s="5" t="str">
        <f t="shared" si="788"/>
        <v>2100</v>
      </c>
      <c r="K6655" s="5" t="str">
        <f t="shared" si="789"/>
        <v>000</v>
      </c>
      <c r="L6655" s="5">
        <f t="shared" si="790"/>
        <v>5</v>
      </c>
      <c r="M6655" s="5">
        <f t="shared" si="791"/>
        <v>2013</v>
      </c>
    </row>
    <row r="6656" spans="1:13" ht="15" x14ac:dyDescent="0.25">
      <c r="A6656" s="1">
        <f>DATE(2013,5,10)</f>
        <v>41404</v>
      </c>
      <c r="B6656" t="s">
        <v>20</v>
      </c>
      <c r="C6656" t="s">
        <v>8</v>
      </c>
      <c r="D6656" s="3">
        <v>2067.0160000000001</v>
      </c>
      <c r="E6656" s="3">
        <v>0</v>
      </c>
      <c r="F6656" t="s">
        <v>45</v>
      </c>
      <c r="G6656" s="3">
        <f t="shared" si="785"/>
        <v>-2067.0160000000001</v>
      </c>
      <c r="H6656" s="3">
        <f t="shared" si="786"/>
        <v>2067.0160000000001</v>
      </c>
      <c r="I6656" s="5" t="str">
        <f t="shared" si="787"/>
        <v>018</v>
      </c>
      <c r="J6656" s="5" t="str">
        <f t="shared" si="788"/>
        <v>2210</v>
      </c>
      <c r="K6656" s="5" t="str">
        <f t="shared" si="789"/>
        <v>000</v>
      </c>
      <c r="L6656" s="5">
        <f t="shared" si="790"/>
        <v>5</v>
      </c>
      <c r="M6656" s="5">
        <f t="shared" si="791"/>
        <v>2013</v>
      </c>
    </row>
    <row r="6657" spans="1:13" ht="15" x14ac:dyDescent="0.25">
      <c r="A6657" s="1">
        <f>DATE(2013,5,10)</f>
        <v>41404</v>
      </c>
      <c r="B6657" t="s">
        <v>21</v>
      </c>
      <c r="C6657" t="s">
        <v>9</v>
      </c>
      <c r="D6657" s="3">
        <v>990.80250000000001</v>
      </c>
      <c r="E6657" s="3">
        <v>0</v>
      </c>
      <c r="F6657" t="s">
        <v>45</v>
      </c>
      <c r="G6657" s="3">
        <f t="shared" si="785"/>
        <v>-990.80250000000001</v>
      </c>
      <c r="H6657" s="3">
        <f t="shared" si="786"/>
        <v>990.80250000000001</v>
      </c>
      <c r="I6657" s="5" t="str">
        <f t="shared" si="787"/>
        <v>018</v>
      </c>
      <c r="J6657" s="5" t="str">
        <f t="shared" si="788"/>
        <v>2220</v>
      </c>
      <c r="K6657" s="5" t="str">
        <f t="shared" si="789"/>
        <v>000</v>
      </c>
      <c r="L6657" s="5">
        <f t="shared" si="790"/>
        <v>5</v>
      </c>
      <c r="M6657" s="5">
        <f t="shared" si="791"/>
        <v>2013</v>
      </c>
    </row>
    <row r="6658" spans="1:13" ht="15" x14ac:dyDescent="0.25">
      <c r="A6658" s="1">
        <f>DATE(2013,5,10)</f>
        <v>41404</v>
      </c>
      <c r="B6658" t="s">
        <v>22</v>
      </c>
      <c r="C6658" t="s">
        <v>10</v>
      </c>
      <c r="D6658" s="3">
        <v>130</v>
      </c>
      <c r="E6658" s="3">
        <v>0</v>
      </c>
      <c r="F6658" t="s">
        <v>45</v>
      </c>
      <c r="G6658" s="3">
        <f t="shared" ref="G6658:G6721" si="793">E6658-D6658</f>
        <v>-130</v>
      </c>
      <c r="H6658" s="3">
        <f t="shared" ref="H6658:H6721" si="794">ABS(G6658)</f>
        <v>130</v>
      </c>
      <c r="I6658" s="5" t="str">
        <f t="shared" ref="I6658:I6721" si="795">MID(B6658,1,3)</f>
        <v>018</v>
      </c>
      <c r="J6658" s="5" t="str">
        <f t="shared" ref="J6658:J6721" si="796">MID(B6658,5,4)</f>
        <v>2230</v>
      </c>
      <c r="K6658" s="5" t="str">
        <f t="shared" ref="K6658:K6721" si="797">MID(B6658,10,3)</f>
        <v>000</v>
      </c>
      <c r="L6658" s="5">
        <f t="shared" ref="L6658:L6721" si="798">MONTH(A6658)</f>
        <v>5</v>
      </c>
      <c r="M6658" s="5">
        <f t="shared" ref="M6658:M6721" si="799">YEAR(A6658)</f>
        <v>2013</v>
      </c>
    </row>
    <row r="6659" spans="1:13" ht="15" x14ac:dyDescent="0.25">
      <c r="A6659" s="1">
        <f>DATE(2013,5,11)</f>
        <v>41405</v>
      </c>
      <c r="B6659" t="s">
        <v>19</v>
      </c>
      <c r="C6659" t="s">
        <v>6</v>
      </c>
      <c r="D6659" s="3">
        <v>21941.3766</v>
      </c>
      <c r="E6659" s="3">
        <v>0</v>
      </c>
      <c r="F6659" t="s">
        <v>45</v>
      </c>
      <c r="G6659" s="3">
        <f t="shared" si="793"/>
        <v>-21941.3766</v>
      </c>
      <c r="H6659" s="3">
        <f t="shared" si="794"/>
        <v>21941.3766</v>
      </c>
      <c r="I6659" s="5" t="str">
        <f t="shared" si="795"/>
        <v>018</v>
      </c>
      <c r="J6659" s="5" t="str">
        <f t="shared" si="796"/>
        <v>2100</v>
      </c>
      <c r="K6659" s="5" t="str">
        <f t="shared" si="797"/>
        <v>000</v>
      </c>
      <c r="L6659" s="5">
        <f t="shared" si="798"/>
        <v>5</v>
      </c>
      <c r="M6659" s="5">
        <f t="shared" si="799"/>
        <v>2013</v>
      </c>
    </row>
    <row r="6660" spans="1:13" ht="15" x14ac:dyDescent="0.25">
      <c r="A6660" s="1">
        <f>DATE(2013,5,11)</f>
        <v>41405</v>
      </c>
      <c r="B6660" t="s">
        <v>20</v>
      </c>
      <c r="C6660" t="s">
        <v>8</v>
      </c>
      <c r="D6660" s="3">
        <v>3146.136</v>
      </c>
      <c r="E6660" s="3">
        <v>0</v>
      </c>
      <c r="F6660" t="s">
        <v>45</v>
      </c>
      <c r="G6660" s="3">
        <f t="shared" si="793"/>
        <v>-3146.136</v>
      </c>
      <c r="H6660" s="3">
        <f t="shared" si="794"/>
        <v>3146.136</v>
      </c>
      <c r="I6660" s="5" t="str">
        <f t="shared" si="795"/>
        <v>018</v>
      </c>
      <c r="J6660" s="5" t="str">
        <f t="shared" si="796"/>
        <v>2210</v>
      </c>
      <c r="K6660" s="5" t="str">
        <f t="shared" si="797"/>
        <v>000</v>
      </c>
      <c r="L6660" s="5">
        <f t="shared" si="798"/>
        <v>5</v>
      </c>
      <c r="M6660" s="5">
        <f t="shared" si="799"/>
        <v>2013</v>
      </c>
    </row>
    <row r="6661" spans="1:13" ht="15" x14ac:dyDescent="0.25">
      <c r="A6661" s="1">
        <f>DATE(2013,5,11)</f>
        <v>41405</v>
      </c>
      <c r="B6661" t="s">
        <v>21</v>
      </c>
      <c r="C6661" t="s">
        <v>9</v>
      </c>
      <c r="D6661" s="3">
        <v>1179.6576</v>
      </c>
      <c r="E6661" s="3">
        <v>0</v>
      </c>
      <c r="F6661" t="s">
        <v>45</v>
      </c>
      <c r="G6661" s="3">
        <f t="shared" si="793"/>
        <v>-1179.6576</v>
      </c>
      <c r="H6661" s="3">
        <f t="shared" si="794"/>
        <v>1179.6576</v>
      </c>
      <c r="I6661" s="5" t="str">
        <f t="shared" si="795"/>
        <v>018</v>
      </c>
      <c r="J6661" s="5" t="str">
        <f t="shared" si="796"/>
        <v>2220</v>
      </c>
      <c r="K6661" s="5" t="str">
        <f t="shared" si="797"/>
        <v>000</v>
      </c>
      <c r="L6661" s="5">
        <f t="shared" si="798"/>
        <v>5</v>
      </c>
      <c r="M6661" s="5">
        <f t="shared" si="799"/>
        <v>2013</v>
      </c>
    </row>
    <row r="6662" spans="1:13" ht="15" x14ac:dyDescent="0.25">
      <c r="A6662" s="1">
        <f>DATE(2013,5,11)</f>
        <v>41405</v>
      </c>
      <c r="B6662" t="s">
        <v>22</v>
      </c>
      <c r="C6662" t="s">
        <v>10</v>
      </c>
      <c r="D6662" s="3">
        <v>191.36540000000002</v>
      </c>
      <c r="E6662" s="3">
        <v>0</v>
      </c>
      <c r="F6662" t="s">
        <v>45</v>
      </c>
      <c r="G6662" s="3">
        <f t="shared" si="793"/>
        <v>-191.36540000000002</v>
      </c>
      <c r="H6662" s="3">
        <f t="shared" si="794"/>
        <v>191.36540000000002</v>
      </c>
      <c r="I6662" s="5" t="str">
        <f t="shared" si="795"/>
        <v>018</v>
      </c>
      <c r="J6662" s="5" t="str">
        <f t="shared" si="796"/>
        <v>2230</v>
      </c>
      <c r="K6662" s="5" t="str">
        <f t="shared" si="797"/>
        <v>000</v>
      </c>
      <c r="L6662" s="5">
        <f t="shared" si="798"/>
        <v>5</v>
      </c>
      <c r="M6662" s="5">
        <f t="shared" si="799"/>
        <v>2013</v>
      </c>
    </row>
    <row r="6663" spans="1:13" ht="15" x14ac:dyDescent="0.25">
      <c r="A6663" s="1">
        <f>DATE(2013,5,12)</f>
        <v>41406</v>
      </c>
      <c r="B6663" t="s">
        <v>19</v>
      </c>
      <c r="C6663" t="s">
        <v>6</v>
      </c>
      <c r="D6663" s="3">
        <v>19474.286599999999</v>
      </c>
      <c r="E6663" s="3">
        <v>0</v>
      </c>
      <c r="F6663" t="s">
        <v>45</v>
      </c>
      <c r="G6663" s="3">
        <f t="shared" si="793"/>
        <v>-19474.286599999999</v>
      </c>
      <c r="H6663" s="3">
        <f t="shared" si="794"/>
        <v>19474.286599999999</v>
      </c>
      <c r="I6663" s="5" t="str">
        <f t="shared" si="795"/>
        <v>018</v>
      </c>
      <c r="J6663" s="5" t="str">
        <f t="shared" si="796"/>
        <v>2100</v>
      </c>
      <c r="K6663" s="5" t="str">
        <f t="shared" si="797"/>
        <v>000</v>
      </c>
      <c r="L6663" s="5">
        <f t="shared" si="798"/>
        <v>5</v>
      </c>
      <c r="M6663" s="5">
        <f t="shared" si="799"/>
        <v>2013</v>
      </c>
    </row>
    <row r="6664" spans="1:13" ht="15" x14ac:dyDescent="0.25">
      <c r="A6664" s="1">
        <f>DATE(2013,5,12)</f>
        <v>41406</v>
      </c>
      <c r="B6664" t="s">
        <v>20</v>
      </c>
      <c r="C6664" t="s">
        <v>8</v>
      </c>
      <c r="D6664" s="3">
        <v>2499.6972000000001</v>
      </c>
      <c r="E6664" s="3">
        <v>0</v>
      </c>
      <c r="F6664" t="s">
        <v>45</v>
      </c>
      <c r="G6664" s="3">
        <f t="shared" si="793"/>
        <v>-2499.6972000000001</v>
      </c>
      <c r="H6664" s="3">
        <f t="shared" si="794"/>
        <v>2499.6972000000001</v>
      </c>
      <c r="I6664" s="5" t="str">
        <f t="shared" si="795"/>
        <v>018</v>
      </c>
      <c r="J6664" s="5" t="str">
        <f t="shared" si="796"/>
        <v>2210</v>
      </c>
      <c r="K6664" s="5" t="str">
        <f t="shared" si="797"/>
        <v>000</v>
      </c>
      <c r="L6664" s="5">
        <f t="shared" si="798"/>
        <v>5</v>
      </c>
      <c r="M6664" s="5">
        <f t="shared" si="799"/>
        <v>2013</v>
      </c>
    </row>
    <row r="6665" spans="1:13" ht="15" x14ac:dyDescent="0.25">
      <c r="A6665" s="1">
        <f>DATE(2013,5,12)</f>
        <v>41406</v>
      </c>
      <c r="B6665" t="s">
        <v>21</v>
      </c>
      <c r="C6665" t="s">
        <v>9</v>
      </c>
      <c r="D6665" s="3">
        <v>1094.2638999999999</v>
      </c>
      <c r="E6665" s="3">
        <v>0</v>
      </c>
      <c r="F6665" t="s">
        <v>45</v>
      </c>
      <c r="G6665" s="3">
        <f t="shared" si="793"/>
        <v>-1094.2638999999999</v>
      </c>
      <c r="H6665" s="3">
        <f t="shared" si="794"/>
        <v>1094.2638999999999</v>
      </c>
      <c r="I6665" s="5" t="str">
        <f t="shared" si="795"/>
        <v>018</v>
      </c>
      <c r="J6665" s="5" t="str">
        <f t="shared" si="796"/>
        <v>2220</v>
      </c>
      <c r="K6665" s="5" t="str">
        <f t="shared" si="797"/>
        <v>000</v>
      </c>
      <c r="L6665" s="5">
        <f t="shared" si="798"/>
        <v>5</v>
      </c>
      <c r="M6665" s="5">
        <f t="shared" si="799"/>
        <v>2013</v>
      </c>
    </row>
    <row r="6666" spans="1:13" ht="15" x14ac:dyDescent="0.25">
      <c r="A6666" s="1">
        <f>DATE(2013,5,12)</f>
        <v>41406</v>
      </c>
      <c r="B6666" t="s">
        <v>22</v>
      </c>
      <c r="C6666" t="s">
        <v>10</v>
      </c>
      <c r="D6666" s="3">
        <v>128.18960000000001</v>
      </c>
      <c r="E6666" s="3">
        <v>0</v>
      </c>
      <c r="F6666" t="s">
        <v>45</v>
      </c>
      <c r="G6666" s="3">
        <f t="shared" si="793"/>
        <v>-128.18960000000001</v>
      </c>
      <c r="H6666" s="3">
        <f t="shared" si="794"/>
        <v>128.18960000000001</v>
      </c>
      <c r="I6666" s="5" t="str">
        <f t="shared" si="795"/>
        <v>018</v>
      </c>
      <c r="J6666" s="5" t="str">
        <f t="shared" si="796"/>
        <v>2230</v>
      </c>
      <c r="K6666" s="5" t="str">
        <f t="shared" si="797"/>
        <v>000</v>
      </c>
      <c r="L6666" s="5">
        <f t="shared" si="798"/>
        <v>5</v>
      </c>
      <c r="M6666" s="5">
        <f t="shared" si="799"/>
        <v>2013</v>
      </c>
    </row>
    <row r="6667" spans="1:13" ht="15" x14ac:dyDescent="0.25">
      <c r="A6667" s="1">
        <f>DATE(2013,5,13)</f>
        <v>41407</v>
      </c>
      <c r="B6667" t="s">
        <v>11</v>
      </c>
      <c r="C6667" t="s">
        <v>6</v>
      </c>
      <c r="D6667" s="3">
        <v>1614.5135999999998</v>
      </c>
      <c r="E6667" s="3">
        <v>0</v>
      </c>
      <c r="F6667" t="s">
        <v>45</v>
      </c>
      <c r="G6667" s="3">
        <f t="shared" si="793"/>
        <v>-1614.5135999999998</v>
      </c>
      <c r="H6667" s="3">
        <f t="shared" si="794"/>
        <v>1614.5135999999998</v>
      </c>
      <c r="I6667" s="5" t="str">
        <f t="shared" si="795"/>
        <v>016</v>
      </c>
      <c r="J6667" s="5" t="str">
        <f t="shared" si="796"/>
        <v>2100</v>
      </c>
      <c r="K6667" s="5" t="str">
        <f t="shared" si="797"/>
        <v>000</v>
      </c>
      <c r="L6667" s="5">
        <f t="shared" si="798"/>
        <v>5</v>
      </c>
      <c r="M6667" s="5">
        <f t="shared" si="799"/>
        <v>2013</v>
      </c>
    </row>
    <row r="6668" spans="1:13" ht="15" x14ac:dyDescent="0.25">
      <c r="A6668" s="1">
        <f>DATE(2013,5,13)</f>
        <v>41407</v>
      </c>
      <c r="B6668" t="s">
        <v>12</v>
      </c>
      <c r="C6668" t="s">
        <v>8</v>
      </c>
      <c r="D6668" s="3">
        <v>604.572</v>
      </c>
      <c r="E6668" s="3">
        <v>0</v>
      </c>
      <c r="F6668" t="s">
        <v>45</v>
      </c>
      <c r="G6668" s="3">
        <f t="shared" si="793"/>
        <v>-604.572</v>
      </c>
      <c r="H6668" s="3">
        <f t="shared" si="794"/>
        <v>604.572</v>
      </c>
      <c r="I6668" s="5" t="str">
        <f t="shared" si="795"/>
        <v>016</v>
      </c>
      <c r="J6668" s="5" t="str">
        <f t="shared" si="796"/>
        <v>2210</v>
      </c>
      <c r="K6668" s="5" t="str">
        <f t="shared" si="797"/>
        <v>000</v>
      </c>
      <c r="L6668" s="5">
        <f t="shared" si="798"/>
        <v>5</v>
      </c>
      <c r="M6668" s="5">
        <f t="shared" si="799"/>
        <v>2013</v>
      </c>
    </row>
    <row r="6669" spans="1:13" ht="15" x14ac:dyDescent="0.25">
      <c r="A6669" s="1">
        <f>DATE(2013,5,13)</f>
        <v>41407</v>
      </c>
      <c r="B6669" t="s">
        <v>13</v>
      </c>
      <c r="C6669" t="s">
        <v>9</v>
      </c>
      <c r="D6669" s="3">
        <v>157.50909999999999</v>
      </c>
      <c r="E6669" s="3">
        <v>0</v>
      </c>
      <c r="F6669" t="s">
        <v>45</v>
      </c>
      <c r="G6669" s="3">
        <f t="shared" si="793"/>
        <v>-157.50909999999999</v>
      </c>
      <c r="H6669" s="3">
        <f t="shared" si="794"/>
        <v>157.50909999999999</v>
      </c>
      <c r="I6669" s="5" t="str">
        <f t="shared" si="795"/>
        <v>016</v>
      </c>
      <c r="J6669" s="5" t="str">
        <f t="shared" si="796"/>
        <v>2220</v>
      </c>
      <c r="K6669" s="5" t="str">
        <f t="shared" si="797"/>
        <v>000</v>
      </c>
      <c r="L6669" s="5">
        <f t="shared" si="798"/>
        <v>5</v>
      </c>
      <c r="M6669" s="5">
        <f t="shared" si="799"/>
        <v>2013</v>
      </c>
    </row>
    <row r="6670" spans="1:13" ht="15" x14ac:dyDescent="0.25">
      <c r="A6670" s="1">
        <f>DATE(2013,5,13)</f>
        <v>41407</v>
      </c>
      <c r="B6670" t="s">
        <v>14</v>
      </c>
      <c r="C6670" t="s">
        <v>10</v>
      </c>
      <c r="D6670" s="3">
        <v>45.805500000000002</v>
      </c>
      <c r="E6670" s="3">
        <v>0</v>
      </c>
      <c r="F6670" t="s">
        <v>45</v>
      </c>
      <c r="G6670" s="3">
        <f t="shared" si="793"/>
        <v>-45.805500000000002</v>
      </c>
      <c r="H6670" s="3">
        <f t="shared" si="794"/>
        <v>45.805500000000002</v>
      </c>
      <c r="I6670" s="5" t="str">
        <f t="shared" si="795"/>
        <v>016</v>
      </c>
      <c r="J6670" s="5" t="str">
        <f t="shared" si="796"/>
        <v>2230</v>
      </c>
      <c r="K6670" s="5" t="str">
        <f t="shared" si="797"/>
        <v>000</v>
      </c>
      <c r="L6670" s="5">
        <f t="shared" si="798"/>
        <v>5</v>
      </c>
      <c r="M6670" s="5">
        <f t="shared" si="799"/>
        <v>2013</v>
      </c>
    </row>
    <row r="6671" spans="1:13" ht="15" x14ac:dyDescent="0.25">
      <c r="A6671" s="1">
        <f>DATE(2013,5,14)</f>
        <v>41408</v>
      </c>
      <c r="B6671" t="s">
        <v>11</v>
      </c>
      <c r="C6671" t="s">
        <v>6</v>
      </c>
      <c r="D6671" s="3">
        <v>7210.6265000000003</v>
      </c>
      <c r="E6671" s="3">
        <v>0</v>
      </c>
      <c r="F6671" t="s">
        <v>45</v>
      </c>
      <c r="G6671" s="3">
        <f t="shared" si="793"/>
        <v>-7210.6265000000003</v>
      </c>
      <c r="H6671" s="3">
        <f t="shared" si="794"/>
        <v>7210.6265000000003</v>
      </c>
      <c r="I6671" s="5" t="str">
        <f t="shared" si="795"/>
        <v>016</v>
      </c>
      <c r="J6671" s="5" t="str">
        <f t="shared" si="796"/>
        <v>2100</v>
      </c>
      <c r="K6671" s="5" t="str">
        <f t="shared" si="797"/>
        <v>000</v>
      </c>
      <c r="L6671" s="5">
        <f t="shared" si="798"/>
        <v>5</v>
      </c>
      <c r="M6671" s="5">
        <f t="shared" si="799"/>
        <v>2013</v>
      </c>
    </row>
    <row r="6672" spans="1:13" ht="15" x14ac:dyDescent="0.25">
      <c r="A6672" s="1">
        <f>DATE(2013,5,14)</f>
        <v>41408</v>
      </c>
      <c r="B6672" t="s">
        <v>12</v>
      </c>
      <c r="C6672" t="s">
        <v>8</v>
      </c>
      <c r="D6672" s="3">
        <v>3375.4553999999998</v>
      </c>
      <c r="E6672" s="3">
        <v>0</v>
      </c>
      <c r="F6672" t="s">
        <v>45</v>
      </c>
      <c r="G6672" s="3">
        <f t="shared" si="793"/>
        <v>-3375.4553999999998</v>
      </c>
      <c r="H6672" s="3">
        <f t="shared" si="794"/>
        <v>3375.4553999999998</v>
      </c>
      <c r="I6672" s="5" t="str">
        <f t="shared" si="795"/>
        <v>016</v>
      </c>
      <c r="J6672" s="5" t="str">
        <f t="shared" si="796"/>
        <v>2210</v>
      </c>
      <c r="K6672" s="5" t="str">
        <f t="shared" si="797"/>
        <v>000</v>
      </c>
      <c r="L6672" s="5">
        <f t="shared" si="798"/>
        <v>5</v>
      </c>
      <c r="M6672" s="5">
        <f t="shared" si="799"/>
        <v>2013</v>
      </c>
    </row>
    <row r="6673" spans="1:13" ht="15" x14ac:dyDescent="0.25">
      <c r="A6673" s="1">
        <f>DATE(2013,5,14)</f>
        <v>41408</v>
      </c>
      <c r="B6673" t="s">
        <v>13</v>
      </c>
      <c r="C6673" t="s">
        <v>9</v>
      </c>
      <c r="D6673" s="3">
        <v>502.56360000000001</v>
      </c>
      <c r="E6673" s="3">
        <v>0</v>
      </c>
      <c r="F6673" t="s">
        <v>45</v>
      </c>
      <c r="G6673" s="3">
        <f t="shared" si="793"/>
        <v>-502.56360000000001</v>
      </c>
      <c r="H6673" s="3">
        <f t="shared" si="794"/>
        <v>502.56360000000001</v>
      </c>
      <c r="I6673" s="5" t="str">
        <f t="shared" si="795"/>
        <v>016</v>
      </c>
      <c r="J6673" s="5" t="str">
        <f t="shared" si="796"/>
        <v>2220</v>
      </c>
      <c r="K6673" s="5" t="str">
        <f t="shared" si="797"/>
        <v>000</v>
      </c>
      <c r="L6673" s="5">
        <f t="shared" si="798"/>
        <v>5</v>
      </c>
      <c r="M6673" s="5">
        <f t="shared" si="799"/>
        <v>2013</v>
      </c>
    </row>
    <row r="6674" spans="1:13" ht="15" x14ac:dyDescent="0.25">
      <c r="A6674" s="1">
        <f>DATE(2013,5,14)</f>
        <v>41408</v>
      </c>
      <c r="B6674" t="s">
        <v>14</v>
      </c>
      <c r="C6674" t="s">
        <v>10</v>
      </c>
      <c r="D6674" s="3">
        <v>116.127</v>
      </c>
      <c r="E6674" s="3">
        <v>0</v>
      </c>
      <c r="F6674" t="s">
        <v>45</v>
      </c>
      <c r="G6674" s="3">
        <f t="shared" si="793"/>
        <v>-116.127</v>
      </c>
      <c r="H6674" s="3">
        <f t="shared" si="794"/>
        <v>116.127</v>
      </c>
      <c r="I6674" s="5" t="str">
        <f t="shared" si="795"/>
        <v>016</v>
      </c>
      <c r="J6674" s="5" t="str">
        <f t="shared" si="796"/>
        <v>2230</v>
      </c>
      <c r="K6674" s="5" t="str">
        <f t="shared" si="797"/>
        <v>000</v>
      </c>
      <c r="L6674" s="5">
        <f t="shared" si="798"/>
        <v>5</v>
      </c>
      <c r="M6674" s="5">
        <f t="shared" si="799"/>
        <v>2013</v>
      </c>
    </row>
    <row r="6675" spans="1:13" ht="15" x14ac:dyDescent="0.25">
      <c r="A6675" s="1">
        <f>DATE(2013,5,15)</f>
        <v>41409</v>
      </c>
      <c r="B6675" t="s">
        <v>11</v>
      </c>
      <c r="C6675" t="s">
        <v>6</v>
      </c>
      <c r="D6675" s="3">
        <v>2243.4918000000002</v>
      </c>
      <c r="E6675" s="3">
        <v>0</v>
      </c>
      <c r="F6675" t="s">
        <v>45</v>
      </c>
      <c r="G6675" s="3">
        <f t="shared" si="793"/>
        <v>-2243.4918000000002</v>
      </c>
      <c r="H6675" s="3">
        <f t="shared" si="794"/>
        <v>2243.4918000000002</v>
      </c>
      <c r="I6675" s="5" t="str">
        <f t="shared" si="795"/>
        <v>016</v>
      </c>
      <c r="J6675" s="5" t="str">
        <f t="shared" si="796"/>
        <v>2100</v>
      </c>
      <c r="K6675" s="5" t="str">
        <f t="shared" si="797"/>
        <v>000</v>
      </c>
      <c r="L6675" s="5">
        <f t="shared" si="798"/>
        <v>5</v>
      </c>
      <c r="M6675" s="5">
        <f t="shared" si="799"/>
        <v>2013</v>
      </c>
    </row>
    <row r="6676" spans="1:13" ht="15" x14ac:dyDescent="0.25">
      <c r="A6676" s="1">
        <f>DATE(2013,5,15)</f>
        <v>41409</v>
      </c>
      <c r="B6676" t="s">
        <v>12</v>
      </c>
      <c r="C6676" t="s">
        <v>8</v>
      </c>
      <c r="D6676" s="3">
        <v>628.93319999999994</v>
      </c>
      <c r="E6676" s="3">
        <v>0</v>
      </c>
      <c r="F6676" t="s">
        <v>45</v>
      </c>
      <c r="G6676" s="3">
        <f t="shared" si="793"/>
        <v>-628.93319999999994</v>
      </c>
      <c r="H6676" s="3">
        <f t="shared" si="794"/>
        <v>628.93319999999994</v>
      </c>
      <c r="I6676" s="5" t="str">
        <f t="shared" si="795"/>
        <v>016</v>
      </c>
      <c r="J6676" s="5" t="str">
        <f t="shared" si="796"/>
        <v>2210</v>
      </c>
      <c r="K6676" s="5" t="str">
        <f t="shared" si="797"/>
        <v>000</v>
      </c>
      <c r="L6676" s="5">
        <f t="shared" si="798"/>
        <v>5</v>
      </c>
      <c r="M6676" s="5">
        <f t="shared" si="799"/>
        <v>2013</v>
      </c>
    </row>
    <row r="6677" spans="1:13" ht="15" x14ac:dyDescent="0.25">
      <c r="A6677" s="1">
        <f>DATE(2013,5,15)</f>
        <v>41409</v>
      </c>
      <c r="B6677" t="s">
        <v>13</v>
      </c>
      <c r="C6677" t="s">
        <v>9</v>
      </c>
      <c r="D6677" s="3">
        <v>187.65699999999998</v>
      </c>
      <c r="E6677" s="3">
        <v>0</v>
      </c>
      <c r="F6677" t="s">
        <v>45</v>
      </c>
      <c r="G6677" s="3">
        <f t="shared" si="793"/>
        <v>-187.65699999999998</v>
      </c>
      <c r="H6677" s="3">
        <f t="shared" si="794"/>
        <v>187.65699999999998</v>
      </c>
      <c r="I6677" s="5" t="str">
        <f t="shared" si="795"/>
        <v>016</v>
      </c>
      <c r="J6677" s="5" t="str">
        <f t="shared" si="796"/>
        <v>2220</v>
      </c>
      <c r="K6677" s="5" t="str">
        <f t="shared" si="797"/>
        <v>000</v>
      </c>
      <c r="L6677" s="5">
        <f t="shared" si="798"/>
        <v>5</v>
      </c>
      <c r="M6677" s="5">
        <f t="shared" si="799"/>
        <v>2013</v>
      </c>
    </row>
    <row r="6678" spans="1:13" ht="15" x14ac:dyDescent="0.25">
      <c r="A6678" s="1">
        <f>DATE(2013,5,15)</f>
        <v>41409</v>
      </c>
      <c r="B6678" t="s">
        <v>14</v>
      </c>
      <c r="C6678" t="s">
        <v>10</v>
      </c>
      <c r="D6678" s="3">
        <v>26.208599999999997</v>
      </c>
      <c r="E6678" s="3">
        <v>0</v>
      </c>
      <c r="F6678" t="s">
        <v>45</v>
      </c>
      <c r="G6678" s="3">
        <f t="shared" si="793"/>
        <v>-26.208599999999997</v>
      </c>
      <c r="H6678" s="3">
        <f t="shared" si="794"/>
        <v>26.208599999999997</v>
      </c>
      <c r="I6678" s="5" t="str">
        <f t="shared" si="795"/>
        <v>016</v>
      </c>
      <c r="J6678" s="5" t="str">
        <f t="shared" si="796"/>
        <v>2230</v>
      </c>
      <c r="K6678" s="5" t="str">
        <f t="shared" si="797"/>
        <v>000</v>
      </c>
      <c r="L6678" s="5">
        <f t="shared" si="798"/>
        <v>5</v>
      </c>
      <c r="M6678" s="5">
        <f t="shared" si="799"/>
        <v>2013</v>
      </c>
    </row>
    <row r="6679" spans="1:13" ht="15" x14ac:dyDescent="0.25">
      <c r="A6679" s="1">
        <f t="shared" ref="A6679:A6682" si="800">DATE(2013,5,17)</f>
        <v>41411</v>
      </c>
      <c r="B6679" t="s">
        <v>11</v>
      </c>
      <c r="C6679" t="s">
        <v>6</v>
      </c>
      <c r="D6679" s="3">
        <v>4948.6575000000003</v>
      </c>
      <c r="E6679" s="3">
        <v>0</v>
      </c>
      <c r="F6679" t="s">
        <v>45</v>
      </c>
      <c r="G6679" s="3">
        <f t="shared" si="793"/>
        <v>-4948.6575000000003</v>
      </c>
      <c r="H6679" s="3">
        <f t="shared" si="794"/>
        <v>4948.6575000000003</v>
      </c>
      <c r="I6679" s="5" t="str">
        <f t="shared" si="795"/>
        <v>016</v>
      </c>
      <c r="J6679" s="5" t="str">
        <f t="shared" si="796"/>
        <v>2100</v>
      </c>
      <c r="K6679" s="5" t="str">
        <f t="shared" si="797"/>
        <v>000</v>
      </c>
      <c r="L6679" s="5">
        <f t="shared" si="798"/>
        <v>5</v>
      </c>
      <c r="M6679" s="5">
        <f t="shared" si="799"/>
        <v>2013</v>
      </c>
    </row>
    <row r="6680" spans="1:13" ht="15" x14ac:dyDescent="0.25">
      <c r="A6680" s="1">
        <f t="shared" si="800"/>
        <v>41411</v>
      </c>
      <c r="B6680" t="s">
        <v>12</v>
      </c>
      <c r="C6680" t="s">
        <v>8</v>
      </c>
      <c r="D6680" s="3">
        <v>1478.6351999999999</v>
      </c>
      <c r="E6680" s="3">
        <v>0</v>
      </c>
      <c r="F6680" t="s">
        <v>45</v>
      </c>
      <c r="G6680" s="3">
        <f t="shared" si="793"/>
        <v>-1478.6351999999999</v>
      </c>
      <c r="H6680" s="3">
        <f t="shared" si="794"/>
        <v>1478.6351999999999</v>
      </c>
      <c r="I6680" s="5" t="str">
        <f t="shared" si="795"/>
        <v>016</v>
      </c>
      <c r="J6680" s="5" t="str">
        <f t="shared" si="796"/>
        <v>2210</v>
      </c>
      <c r="K6680" s="5" t="str">
        <f t="shared" si="797"/>
        <v>000</v>
      </c>
      <c r="L6680" s="5">
        <f t="shared" si="798"/>
        <v>5</v>
      </c>
      <c r="M6680" s="5">
        <f t="shared" si="799"/>
        <v>2013</v>
      </c>
    </row>
    <row r="6681" spans="1:13" ht="15" x14ac:dyDescent="0.25">
      <c r="A6681" s="1">
        <f t="shared" si="800"/>
        <v>41411</v>
      </c>
      <c r="B6681" t="s">
        <v>13</v>
      </c>
      <c r="C6681" t="s">
        <v>9</v>
      </c>
      <c r="D6681" s="3">
        <v>250.64040000000003</v>
      </c>
      <c r="E6681" s="3">
        <v>0</v>
      </c>
      <c r="F6681" t="s">
        <v>45</v>
      </c>
      <c r="G6681" s="3">
        <f t="shared" si="793"/>
        <v>-250.64040000000003</v>
      </c>
      <c r="H6681" s="3">
        <f t="shared" si="794"/>
        <v>250.64040000000003</v>
      </c>
      <c r="I6681" s="5" t="str">
        <f t="shared" si="795"/>
        <v>016</v>
      </c>
      <c r="J6681" s="5" t="str">
        <f t="shared" si="796"/>
        <v>2220</v>
      </c>
      <c r="K6681" s="5" t="str">
        <f t="shared" si="797"/>
        <v>000</v>
      </c>
      <c r="L6681" s="5">
        <f t="shared" si="798"/>
        <v>5</v>
      </c>
      <c r="M6681" s="5">
        <f t="shared" si="799"/>
        <v>2013</v>
      </c>
    </row>
    <row r="6682" spans="1:13" ht="15" x14ac:dyDescent="0.25">
      <c r="A6682" s="1">
        <f t="shared" si="800"/>
        <v>41411</v>
      </c>
      <c r="B6682" t="s">
        <v>14</v>
      </c>
      <c r="C6682" t="s">
        <v>10</v>
      </c>
      <c r="D6682" s="3">
        <v>74.343500000000006</v>
      </c>
      <c r="E6682" s="3">
        <v>0</v>
      </c>
      <c r="F6682" t="s">
        <v>45</v>
      </c>
      <c r="G6682" s="3">
        <f t="shared" si="793"/>
        <v>-74.343500000000006</v>
      </c>
      <c r="H6682" s="3">
        <f t="shared" si="794"/>
        <v>74.343500000000006</v>
      </c>
      <c r="I6682" s="5" t="str">
        <f t="shared" si="795"/>
        <v>016</v>
      </c>
      <c r="J6682" s="5" t="str">
        <f t="shared" si="796"/>
        <v>2230</v>
      </c>
      <c r="K6682" s="5" t="str">
        <f t="shared" si="797"/>
        <v>000</v>
      </c>
      <c r="L6682" s="5">
        <f t="shared" si="798"/>
        <v>5</v>
      </c>
      <c r="M6682" s="5">
        <f t="shared" si="799"/>
        <v>2013</v>
      </c>
    </row>
    <row r="6683" spans="1:13" ht="15" x14ac:dyDescent="0.25">
      <c r="A6683" s="1">
        <f>DATE(2013,5,18)</f>
        <v>41412</v>
      </c>
      <c r="B6683" t="s">
        <v>11</v>
      </c>
      <c r="C6683" t="s">
        <v>6</v>
      </c>
      <c r="D6683" s="3">
        <v>5150.9920000000011</v>
      </c>
      <c r="E6683" s="3">
        <v>0</v>
      </c>
      <c r="F6683" t="s">
        <v>45</v>
      </c>
      <c r="G6683" s="3">
        <f t="shared" si="793"/>
        <v>-5150.9920000000011</v>
      </c>
      <c r="H6683" s="3">
        <f t="shared" si="794"/>
        <v>5150.9920000000011</v>
      </c>
      <c r="I6683" s="5" t="str">
        <f t="shared" si="795"/>
        <v>016</v>
      </c>
      <c r="J6683" s="5" t="str">
        <f t="shared" si="796"/>
        <v>2100</v>
      </c>
      <c r="K6683" s="5" t="str">
        <f t="shared" si="797"/>
        <v>000</v>
      </c>
      <c r="L6683" s="5">
        <f t="shared" si="798"/>
        <v>5</v>
      </c>
      <c r="M6683" s="5">
        <f t="shared" si="799"/>
        <v>2013</v>
      </c>
    </row>
    <row r="6684" spans="1:13" ht="15" x14ac:dyDescent="0.25">
      <c r="A6684" s="1">
        <f>DATE(2013,5,18)</f>
        <v>41412</v>
      </c>
      <c r="B6684" t="s">
        <v>12</v>
      </c>
      <c r="C6684" t="s">
        <v>8</v>
      </c>
      <c r="D6684" s="3">
        <v>1869.9387999999999</v>
      </c>
      <c r="E6684" s="3">
        <v>0</v>
      </c>
      <c r="F6684" t="s">
        <v>45</v>
      </c>
      <c r="G6684" s="3">
        <f t="shared" si="793"/>
        <v>-1869.9387999999999</v>
      </c>
      <c r="H6684" s="3">
        <f t="shared" si="794"/>
        <v>1869.9387999999999</v>
      </c>
      <c r="I6684" s="5" t="str">
        <f t="shared" si="795"/>
        <v>016</v>
      </c>
      <c r="J6684" s="5" t="str">
        <f t="shared" si="796"/>
        <v>2210</v>
      </c>
      <c r="K6684" s="5" t="str">
        <f t="shared" si="797"/>
        <v>000</v>
      </c>
      <c r="L6684" s="5">
        <f t="shared" si="798"/>
        <v>5</v>
      </c>
      <c r="M6684" s="5">
        <f t="shared" si="799"/>
        <v>2013</v>
      </c>
    </row>
    <row r="6685" spans="1:13" ht="15" x14ac:dyDescent="0.25">
      <c r="A6685" s="1">
        <f>DATE(2013,5,18)</f>
        <v>41412</v>
      </c>
      <c r="B6685" t="s">
        <v>13</v>
      </c>
      <c r="C6685" t="s">
        <v>9</v>
      </c>
      <c r="D6685" s="3">
        <v>279.63629999999995</v>
      </c>
      <c r="E6685" s="3">
        <v>0</v>
      </c>
      <c r="F6685" t="s">
        <v>45</v>
      </c>
      <c r="G6685" s="3">
        <f t="shared" si="793"/>
        <v>-279.63629999999995</v>
      </c>
      <c r="H6685" s="3">
        <f t="shared" si="794"/>
        <v>279.63629999999995</v>
      </c>
      <c r="I6685" s="5" t="str">
        <f t="shared" si="795"/>
        <v>016</v>
      </c>
      <c r="J6685" s="5" t="str">
        <f t="shared" si="796"/>
        <v>2220</v>
      </c>
      <c r="K6685" s="5" t="str">
        <f t="shared" si="797"/>
        <v>000</v>
      </c>
      <c r="L6685" s="5">
        <f t="shared" si="798"/>
        <v>5</v>
      </c>
      <c r="M6685" s="5">
        <f t="shared" si="799"/>
        <v>2013</v>
      </c>
    </row>
    <row r="6686" spans="1:13" ht="15" x14ac:dyDescent="0.25">
      <c r="A6686" s="1">
        <f>DATE(2013,5,18)</f>
        <v>41412</v>
      </c>
      <c r="B6686" t="s">
        <v>14</v>
      </c>
      <c r="C6686" t="s">
        <v>10</v>
      </c>
      <c r="D6686" s="3">
        <v>84.975000000000009</v>
      </c>
      <c r="E6686" s="3">
        <v>0</v>
      </c>
      <c r="F6686" t="s">
        <v>45</v>
      </c>
      <c r="G6686" s="3">
        <f t="shared" si="793"/>
        <v>-84.975000000000009</v>
      </c>
      <c r="H6686" s="3">
        <f t="shared" si="794"/>
        <v>84.975000000000009</v>
      </c>
      <c r="I6686" s="5" t="str">
        <f t="shared" si="795"/>
        <v>016</v>
      </c>
      <c r="J6686" s="5" t="str">
        <f t="shared" si="796"/>
        <v>2230</v>
      </c>
      <c r="K6686" s="5" t="str">
        <f t="shared" si="797"/>
        <v>000</v>
      </c>
      <c r="L6686" s="5">
        <f t="shared" si="798"/>
        <v>5</v>
      </c>
      <c r="M6686" s="5">
        <f t="shared" si="799"/>
        <v>2013</v>
      </c>
    </row>
    <row r="6687" spans="1:13" ht="15" x14ac:dyDescent="0.25">
      <c r="A6687" s="1">
        <f>DATE(2013,5,19)</f>
        <v>41413</v>
      </c>
      <c r="B6687" t="s">
        <v>11</v>
      </c>
      <c r="C6687" t="s">
        <v>6</v>
      </c>
      <c r="D6687" s="3">
        <v>6808.4967999999999</v>
      </c>
      <c r="E6687" s="3">
        <v>0</v>
      </c>
      <c r="F6687" t="s">
        <v>45</v>
      </c>
      <c r="G6687" s="3">
        <f t="shared" si="793"/>
        <v>-6808.4967999999999</v>
      </c>
      <c r="H6687" s="3">
        <f t="shared" si="794"/>
        <v>6808.4967999999999</v>
      </c>
      <c r="I6687" s="5" t="str">
        <f t="shared" si="795"/>
        <v>016</v>
      </c>
      <c r="J6687" s="5" t="str">
        <f t="shared" si="796"/>
        <v>2100</v>
      </c>
      <c r="K6687" s="5" t="str">
        <f t="shared" si="797"/>
        <v>000</v>
      </c>
      <c r="L6687" s="5">
        <f t="shared" si="798"/>
        <v>5</v>
      </c>
      <c r="M6687" s="5">
        <f t="shared" si="799"/>
        <v>2013</v>
      </c>
    </row>
    <row r="6688" spans="1:13" ht="15" x14ac:dyDescent="0.25">
      <c r="A6688" s="1">
        <f>DATE(2013,5,19)</f>
        <v>41413</v>
      </c>
      <c r="B6688" t="s">
        <v>12</v>
      </c>
      <c r="C6688" t="s">
        <v>8</v>
      </c>
      <c r="D6688" s="3">
        <v>1731.9390000000001</v>
      </c>
      <c r="E6688" s="3">
        <v>0</v>
      </c>
      <c r="F6688" t="s">
        <v>45</v>
      </c>
      <c r="G6688" s="3">
        <f t="shared" si="793"/>
        <v>-1731.9390000000001</v>
      </c>
      <c r="H6688" s="3">
        <f t="shared" si="794"/>
        <v>1731.9390000000001</v>
      </c>
      <c r="I6688" s="5" t="str">
        <f t="shared" si="795"/>
        <v>016</v>
      </c>
      <c r="J6688" s="5" t="str">
        <f t="shared" si="796"/>
        <v>2210</v>
      </c>
      <c r="K6688" s="5" t="str">
        <f t="shared" si="797"/>
        <v>000</v>
      </c>
      <c r="L6688" s="5">
        <f t="shared" si="798"/>
        <v>5</v>
      </c>
      <c r="M6688" s="5">
        <f t="shared" si="799"/>
        <v>2013</v>
      </c>
    </row>
    <row r="6689" spans="1:13" ht="15" x14ac:dyDescent="0.25">
      <c r="A6689" s="1">
        <f>DATE(2013,5,19)</f>
        <v>41413</v>
      </c>
      <c r="B6689" t="s">
        <v>13</v>
      </c>
      <c r="C6689" t="s">
        <v>9</v>
      </c>
      <c r="D6689" s="3">
        <v>207.69779999999997</v>
      </c>
      <c r="E6689" s="3">
        <v>0</v>
      </c>
      <c r="F6689" t="s">
        <v>45</v>
      </c>
      <c r="G6689" s="3">
        <f t="shared" si="793"/>
        <v>-207.69779999999997</v>
      </c>
      <c r="H6689" s="3">
        <f t="shared" si="794"/>
        <v>207.69779999999997</v>
      </c>
      <c r="I6689" s="5" t="str">
        <f t="shared" si="795"/>
        <v>016</v>
      </c>
      <c r="J6689" s="5" t="str">
        <f t="shared" si="796"/>
        <v>2220</v>
      </c>
      <c r="K6689" s="5" t="str">
        <f t="shared" si="797"/>
        <v>000</v>
      </c>
      <c r="L6689" s="5">
        <f t="shared" si="798"/>
        <v>5</v>
      </c>
      <c r="M6689" s="5">
        <f t="shared" si="799"/>
        <v>2013</v>
      </c>
    </row>
    <row r="6690" spans="1:13" ht="15" x14ac:dyDescent="0.25">
      <c r="A6690" s="1">
        <f>DATE(2013,5,19)</f>
        <v>41413</v>
      </c>
      <c r="B6690" t="s">
        <v>14</v>
      </c>
      <c r="C6690" t="s">
        <v>10</v>
      </c>
      <c r="D6690" s="3">
        <v>66.584999999999994</v>
      </c>
      <c r="E6690" s="3">
        <v>0</v>
      </c>
      <c r="F6690" t="s">
        <v>45</v>
      </c>
      <c r="G6690" s="3">
        <f t="shared" si="793"/>
        <v>-66.584999999999994</v>
      </c>
      <c r="H6690" s="3">
        <f t="shared" si="794"/>
        <v>66.584999999999994</v>
      </c>
      <c r="I6690" s="5" t="str">
        <f t="shared" si="795"/>
        <v>016</v>
      </c>
      <c r="J6690" s="5" t="str">
        <f t="shared" si="796"/>
        <v>2230</v>
      </c>
      <c r="K6690" s="5" t="str">
        <f t="shared" si="797"/>
        <v>000</v>
      </c>
      <c r="L6690" s="5">
        <f t="shared" si="798"/>
        <v>5</v>
      </c>
      <c r="M6690" s="5">
        <f t="shared" si="799"/>
        <v>2013</v>
      </c>
    </row>
    <row r="6691" spans="1:13" ht="15" x14ac:dyDescent="0.25">
      <c r="A6691" s="1">
        <f>DATE(2013,5,13)</f>
        <v>41407</v>
      </c>
      <c r="B6691" t="s">
        <v>15</v>
      </c>
      <c r="C6691" t="s">
        <v>6</v>
      </c>
      <c r="D6691" s="3">
        <v>5509.424</v>
      </c>
      <c r="E6691" s="3">
        <v>0</v>
      </c>
      <c r="F6691" t="s">
        <v>45</v>
      </c>
      <c r="G6691" s="3">
        <f t="shared" si="793"/>
        <v>-5509.424</v>
      </c>
      <c r="H6691" s="3">
        <f t="shared" si="794"/>
        <v>5509.424</v>
      </c>
      <c r="I6691" s="5" t="str">
        <f t="shared" si="795"/>
        <v>017</v>
      </c>
      <c r="J6691" s="5" t="str">
        <f t="shared" si="796"/>
        <v>2100</v>
      </c>
      <c r="K6691" s="5" t="str">
        <f t="shared" si="797"/>
        <v>000</v>
      </c>
      <c r="L6691" s="5">
        <f t="shared" si="798"/>
        <v>5</v>
      </c>
      <c r="M6691" s="5">
        <f t="shared" si="799"/>
        <v>2013</v>
      </c>
    </row>
    <row r="6692" spans="1:13" ht="15" x14ac:dyDescent="0.25">
      <c r="A6692" s="1">
        <f>DATE(2013,5,13)</f>
        <v>41407</v>
      </c>
      <c r="B6692" t="s">
        <v>16</v>
      </c>
      <c r="C6692" t="s">
        <v>8</v>
      </c>
      <c r="D6692" s="3">
        <v>1936.818</v>
      </c>
      <c r="E6692" s="3">
        <v>0</v>
      </c>
      <c r="F6692" t="s">
        <v>45</v>
      </c>
      <c r="G6692" s="3">
        <f t="shared" si="793"/>
        <v>-1936.818</v>
      </c>
      <c r="H6692" s="3">
        <f t="shared" si="794"/>
        <v>1936.818</v>
      </c>
      <c r="I6692" s="5" t="str">
        <f t="shared" si="795"/>
        <v>017</v>
      </c>
      <c r="J6692" s="5" t="str">
        <f t="shared" si="796"/>
        <v>2210</v>
      </c>
      <c r="K6692" s="5" t="str">
        <f t="shared" si="797"/>
        <v>000</v>
      </c>
      <c r="L6692" s="5">
        <f t="shared" si="798"/>
        <v>5</v>
      </c>
      <c r="M6692" s="5">
        <f t="shared" si="799"/>
        <v>2013</v>
      </c>
    </row>
    <row r="6693" spans="1:13" ht="15" x14ac:dyDescent="0.25">
      <c r="A6693" s="1">
        <f>DATE(2013,5,13)</f>
        <v>41407</v>
      </c>
      <c r="B6693" t="s">
        <v>17</v>
      </c>
      <c r="C6693" t="s">
        <v>9</v>
      </c>
      <c r="D6693" s="3">
        <v>316.85519999999997</v>
      </c>
      <c r="E6693" s="3">
        <v>0</v>
      </c>
      <c r="F6693" t="s">
        <v>45</v>
      </c>
      <c r="G6693" s="3">
        <f t="shared" si="793"/>
        <v>-316.85519999999997</v>
      </c>
      <c r="H6693" s="3">
        <f t="shared" si="794"/>
        <v>316.85519999999997</v>
      </c>
      <c r="I6693" s="5" t="str">
        <f t="shared" si="795"/>
        <v>017</v>
      </c>
      <c r="J6693" s="5" t="str">
        <f t="shared" si="796"/>
        <v>2220</v>
      </c>
      <c r="K6693" s="5" t="str">
        <f t="shared" si="797"/>
        <v>000</v>
      </c>
      <c r="L6693" s="5">
        <f t="shared" si="798"/>
        <v>5</v>
      </c>
      <c r="M6693" s="5">
        <f t="shared" si="799"/>
        <v>2013</v>
      </c>
    </row>
    <row r="6694" spans="1:13" ht="15" x14ac:dyDescent="0.25">
      <c r="A6694" s="1">
        <f>DATE(2013,5,13)</f>
        <v>41407</v>
      </c>
      <c r="B6694" t="s">
        <v>18</v>
      </c>
      <c r="C6694" t="s">
        <v>10</v>
      </c>
      <c r="D6694" s="3">
        <v>85.3185</v>
      </c>
      <c r="E6694" s="3">
        <v>0</v>
      </c>
      <c r="F6694" t="s">
        <v>45</v>
      </c>
      <c r="G6694" s="3">
        <f t="shared" si="793"/>
        <v>-85.3185</v>
      </c>
      <c r="H6694" s="3">
        <f t="shared" si="794"/>
        <v>85.3185</v>
      </c>
      <c r="I6694" s="5" t="str">
        <f t="shared" si="795"/>
        <v>017</v>
      </c>
      <c r="J6694" s="5" t="str">
        <f t="shared" si="796"/>
        <v>2230</v>
      </c>
      <c r="K6694" s="5" t="str">
        <f t="shared" si="797"/>
        <v>000</v>
      </c>
      <c r="L6694" s="5">
        <f t="shared" si="798"/>
        <v>5</v>
      </c>
      <c r="M6694" s="5">
        <f t="shared" si="799"/>
        <v>2013</v>
      </c>
    </row>
    <row r="6695" spans="1:13" ht="15" x14ac:dyDescent="0.25">
      <c r="A6695" s="1">
        <f>DATE(2013,5,14)</f>
        <v>41408</v>
      </c>
      <c r="B6695" t="s">
        <v>15</v>
      </c>
      <c r="C6695" t="s">
        <v>6</v>
      </c>
      <c r="D6695" s="3">
        <v>4607.4600000000009</v>
      </c>
      <c r="E6695" s="3">
        <v>0</v>
      </c>
      <c r="F6695" t="s">
        <v>45</v>
      </c>
      <c r="G6695" s="3">
        <f t="shared" si="793"/>
        <v>-4607.4600000000009</v>
      </c>
      <c r="H6695" s="3">
        <f t="shared" si="794"/>
        <v>4607.4600000000009</v>
      </c>
      <c r="I6695" s="5" t="str">
        <f t="shared" si="795"/>
        <v>017</v>
      </c>
      <c r="J6695" s="5" t="str">
        <f t="shared" si="796"/>
        <v>2100</v>
      </c>
      <c r="K6695" s="5" t="str">
        <f t="shared" si="797"/>
        <v>000</v>
      </c>
      <c r="L6695" s="5">
        <f t="shared" si="798"/>
        <v>5</v>
      </c>
      <c r="M6695" s="5">
        <f t="shared" si="799"/>
        <v>2013</v>
      </c>
    </row>
    <row r="6696" spans="1:13" ht="15" x14ac:dyDescent="0.25">
      <c r="A6696" s="1">
        <f>DATE(2013,5,14)</f>
        <v>41408</v>
      </c>
      <c r="B6696" t="s">
        <v>16</v>
      </c>
      <c r="C6696" t="s">
        <v>8</v>
      </c>
      <c r="D6696" s="3">
        <v>2415.0862000000002</v>
      </c>
      <c r="E6696" s="3">
        <v>0</v>
      </c>
      <c r="F6696" t="s">
        <v>45</v>
      </c>
      <c r="G6696" s="3">
        <f t="shared" si="793"/>
        <v>-2415.0862000000002</v>
      </c>
      <c r="H6696" s="3">
        <f t="shared" si="794"/>
        <v>2415.0862000000002</v>
      </c>
      <c r="I6696" s="5" t="str">
        <f t="shared" si="795"/>
        <v>017</v>
      </c>
      <c r="J6696" s="5" t="str">
        <f t="shared" si="796"/>
        <v>2210</v>
      </c>
      <c r="K6696" s="5" t="str">
        <f t="shared" si="797"/>
        <v>000</v>
      </c>
      <c r="L6696" s="5">
        <f t="shared" si="798"/>
        <v>5</v>
      </c>
      <c r="M6696" s="5">
        <f t="shared" si="799"/>
        <v>2013</v>
      </c>
    </row>
    <row r="6697" spans="1:13" ht="15" x14ac:dyDescent="0.25">
      <c r="A6697" s="1">
        <f>DATE(2013,5,14)</f>
        <v>41408</v>
      </c>
      <c r="B6697" t="s">
        <v>17</v>
      </c>
      <c r="C6697" t="s">
        <v>9</v>
      </c>
      <c r="D6697" s="3">
        <v>490.02499999999998</v>
      </c>
      <c r="E6697" s="3">
        <v>0</v>
      </c>
      <c r="F6697" t="s">
        <v>45</v>
      </c>
      <c r="G6697" s="3">
        <f t="shared" si="793"/>
        <v>-490.02499999999998</v>
      </c>
      <c r="H6697" s="3">
        <f t="shared" si="794"/>
        <v>490.02499999999998</v>
      </c>
      <c r="I6697" s="5" t="str">
        <f t="shared" si="795"/>
        <v>017</v>
      </c>
      <c r="J6697" s="5" t="str">
        <f t="shared" si="796"/>
        <v>2220</v>
      </c>
      <c r="K6697" s="5" t="str">
        <f t="shared" si="797"/>
        <v>000</v>
      </c>
      <c r="L6697" s="5">
        <f t="shared" si="798"/>
        <v>5</v>
      </c>
      <c r="M6697" s="5">
        <f t="shared" si="799"/>
        <v>2013</v>
      </c>
    </row>
    <row r="6698" spans="1:13" ht="15" x14ac:dyDescent="0.25">
      <c r="A6698" s="1">
        <f>DATE(2013,5,14)</f>
        <v>41408</v>
      </c>
      <c r="B6698" t="s">
        <v>18</v>
      </c>
      <c r="C6698" t="s">
        <v>10</v>
      </c>
      <c r="D6698" s="3">
        <v>195.27859999999998</v>
      </c>
      <c r="E6698" s="3">
        <v>0</v>
      </c>
      <c r="F6698" t="s">
        <v>45</v>
      </c>
      <c r="G6698" s="3">
        <f t="shared" si="793"/>
        <v>-195.27859999999998</v>
      </c>
      <c r="H6698" s="3">
        <f t="shared" si="794"/>
        <v>195.27859999999998</v>
      </c>
      <c r="I6698" s="5" t="str">
        <f t="shared" si="795"/>
        <v>017</v>
      </c>
      <c r="J6698" s="5" t="str">
        <f t="shared" si="796"/>
        <v>2230</v>
      </c>
      <c r="K6698" s="5" t="str">
        <f t="shared" si="797"/>
        <v>000</v>
      </c>
      <c r="L6698" s="5">
        <f t="shared" si="798"/>
        <v>5</v>
      </c>
      <c r="M6698" s="5">
        <f t="shared" si="799"/>
        <v>2013</v>
      </c>
    </row>
    <row r="6699" spans="1:13" ht="15" x14ac:dyDescent="0.25">
      <c r="A6699" s="1">
        <f>DATE(2013,5,15)</f>
        <v>41409</v>
      </c>
      <c r="B6699" t="s">
        <v>15</v>
      </c>
      <c r="C6699" t="s">
        <v>6</v>
      </c>
      <c r="D6699" s="3">
        <v>8361.1213999999982</v>
      </c>
      <c r="E6699" s="3">
        <v>0</v>
      </c>
      <c r="F6699" t="s">
        <v>45</v>
      </c>
      <c r="G6699" s="3">
        <f t="shared" si="793"/>
        <v>-8361.1213999999982</v>
      </c>
      <c r="H6699" s="3">
        <f t="shared" si="794"/>
        <v>8361.1213999999982</v>
      </c>
      <c r="I6699" s="5" t="str">
        <f t="shared" si="795"/>
        <v>017</v>
      </c>
      <c r="J6699" s="5" t="str">
        <f t="shared" si="796"/>
        <v>2100</v>
      </c>
      <c r="K6699" s="5" t="str">
        <f t="shared" si="797"/>
        <v>000</v>
      </c>
      <c r="L6699" s="5">
        <f t="shared" si="798"/>
        <v>5</v>
      </c>
      <c r="M6699" s="5">
        <f t="shared" si="799"/>
        <v>2013</v>
      </c>
    </row>
    <row r="6700" spans="1:13" ht="15" x14ac:dyDescent="0.25">
      <c r="A6700" s="1">
        <f>DATE(2013,5,15)</f>
        <v>41409</v>
      </c>
      <c r="B6700" t="s">
        <v>16</v>
      </c>
      <c r="C6700" t="s">
        <v>8</v>
      </c>
      <c r="D6700" s="3">
        <v>2291.9072000000001</v>
      </c>
      <c r="E6700" s="3">
        <v>0</v>
      </c>
      <c r="F6700" t="s">
        <v>45</v>
      </c>
      <c r="G6700" s="3">
        <f t="shared" si="793"/>
        <v>-2291.9072000000001</v>
      </c>
      <c r="H6700" s="3">
        <f t="shared" si="794"/>
        <v>2291.9072000000001</v>
      </c>
      <c r="I6700" s="5" t="str">
        <f t="shared" si="795"/>
        <v>017</v>
      </c>
      <c r="J6700" s="5" t="str">
        <f t="shared" si="796"/>
        <v>2210</v>
      </c>
      <c r="K6700" s="5" t="str">
        <f t="shared" si="797"/>
        <v>000</v>
      </c>
      <c r="L6700" s="5">
        <f t="shared" si="798"/>
        <v>5</v>
      </c>
      <c r="M6700" s="5">
        <f t="shared" si="799"/>
        <v>2013</v>
      </c>
    </row>
    <row r="6701" spans="1:13" ht="15" x14ac:dyDescent="0.25">
      <c r="A6701" s="1">
        <f>DATE(2013,5,15)</f>
        <v>41409</v>
      </c>
      <c r="B6701" t="s">
        <v>17</v>
      </c>
      <c r="C6701" t="s">
        <v>9</v>
      </c>
      <c r="D6701" s="3">
        <v>867.80649999999991</v>
      </c>
      <c r="E6701" s="3">
        <v>0</v>
      </c>
      <c r="F6701" t="s">
        <v>45</v>
      </c>
      <c r="G6701" s="3">
        <f t="shared" si="793"/>
        <v>-867.80649999999991</v>
      </c>
      <c r="H6701" s="3">
        <f t="shared" si="794"/>
        <v>867.80649999999991</v>
      </c>
      <c r="I6701" s="5" t="str">
        <f t="shared" si="795"/>
        <v>017</v>
      </c>
      <c r="J6701" s="5" t="str">
        <f t="shared" si="796"/>
        <v>2220</v>
      </c>
      <c r="K6701" s="5" t="str">
        <f t="shared" si="797"/>
        <v>000</v>
      </c>
      <c r="L6701" s="5">
        <f t="shared" si="798"/>
        <v>5</v>
      </c>
      <c r="M6701" s="5">
        <f t="shared" si="799"/>
        <v>2013</v>
      </c>
    </row>
    <row r="6702" spans="1:13" ht="15" x14ac:dyDescent="0.25">
      <c r="A6702" s="1">
        <f>DATE(2013,5,15)</f>
        <v>41409</v>
      </c>
      <c r="B6702" t="s">
        <v>18</v>
      </c>
      <c r="C6702" t="s">
        <v>10</v>
      </c>
      <c r="D6702" s="3">
        <v>53.234400000000001</v>
      </c>
      <c r="E6702" s="3">
        <v>0</v>
      </c>
      <c r="F6702" t="s">
        <v>45</v>
      </c>
      <c r="G6702" s="3">
        <f t="shared" si="793"/>
        <v>-53.234400000000001</v>
      </c>
      <c r="H6702" s="3">
        <f t="shared" si="794"/>
        <v>53.234400000000001</v>
      </c>
      <c r="I6702" s="5" t="str">
        <f t="shared" si="795"/>
        <v>017</v>
      </c>
      <c r="J6702" s="5" t="str">
        <f t="shared" si="796"/>
        <v>2230</v>
      </c>
      <c r="K6702" s="5" t="str">
        <f t="shared" si="797"/>
        <v>000</v>
      </c>
      <c r="L6702" s="5">
        <f t="shared" si="798"/>
        <v>5</v>
      </c>
      <c r="M6702" s="5">
        <f t="shared" si="799"/>
        <v>2013</v>
      </c>
    </row>
    <row r="6703" spans="1:13" ht="15" x14ac:dyDescent="0.25">
      <c r="A6703" s="1">
        <f>DATE(2013,5,16)</f>
        <v>41410</v>
      </c>
      <c r="B6703" t="s">
        <v>15</v>
      </c>
      <c r="C6703" t="s">
        <v>6</v>
      </c>
      <c r="D6703" s="3">
        <v>6476.6516000000001</v>
      </c>
      <c r="E6703" s="3">
        <v>0</v>
      </c>
      <c r="F6703" t="s">
        <v>45</v>
      </c>
      <c r="G6703" s="3">
        <f t="shared" si="793"/>
        <v>-6476.6516000000001</v>
      </c>
      <c r="H6703" s="3">
        <f t="shared" si="794"/>
        <v>6476.6516000000001</v>
      </c>
      <c r="I6703" s="5" t="str">
        <f t="shared" si="795"/>
        <v>017</v>
      </c>
      <c r="J6703" s="5" t="str">
        <f t="shared" si="796"/>
        <v>2100</v>
      </c>
      <c r="K6703" s="5" t="str">
        <f t="shared" si="797"/>
        <v>000</v>
      </c>
      <c r="L6703" s="5">
        <f t="shared" si="798"/>
        <v>5</v>
      </c>
      <c r="M6703" s="5">
        <f t="shared" si="799"/>
        <v>2013</v>
      </c>
    </row>
    <row r="6704" spans="1:13" ht="15" x14ac:dyDescent="0.25">
      <c r="A6704" s="1">
        <f>DATE(2013,5,16)</f>
        <v>41410</v>
      </c>
      <c r="B6704" t="s">
        <v>16</v>
      </c>
      <c r="C6704" t="s">
        <v>8</v>
      </c>
      <c r="D6704" s="3">
        <v>2031.5180000000003</v>
      </c>
      <c r="E6704" s="3">
        <v>0</v>
      </c>
      <c r="F6704" t="s">
        <v>45</v>
      </c>
      <c r="G6704" s="3">
        <f t="shared" si="793"/>
        <v>-2031.5180000000003</v>
      </c>
      <c r="H6704" s="3">
        <f t="shared" si="794"/>
        <v>2031.5180000000003</v>
      </c>
      <c r="I6704" s="5" t="str">
        <f t="shared" si="795"/>
        <v>017</v>
      </c>
      <c r="J6704" s="5" t="str">
        <f t="shared" si="796"/>
        <v>2210</v>
      </c>
      <c r="K6704" s="5" t="str">
        <f t="shared" si="797"/>
        <v>000</v>
      </c>
      <c r="L6704" s="5">
        <f t="shared" si="798"/>
        <v>5</v>
      </c>
      <c r="M6704" s="5">
        <f t="shared" si="799"/>
        <v>2013</v>
      </c>
    </row>
    <row r="6705" spans="1:13" ht="15" x14ac:dyDescent="0.25">
      <c r="A6705" s="1">
        <f>DATE(2013,5,16)</f>
        <v>41410</v>
      </c>
      <c r="B6705" t="s">
        <v>17</v>
      </c>
      <c r="C6705" t="s">
        <v>9</v>
      </c>
      <c r="D6705" s="3">
        <v>728.51189999999997</v>
      </c>
      <c r="E6705" s="3">
        <v>0</v>
      </c>
      <c r="F6705" t="s">
        <v>45</v>
      </c>
      <c r="G6705" s="3">
        <f t="shared" si="793"/>
        <v>-728.51189999999997</v>
      </c>
      <c r="H6705" s="3">
        <f t="shared" si="794"/>
        <v>728.51189999999997</v>
      </c>
      <c r="I6705" s="5" t="str">
        <f t="shared" si="795"/>
        <v>017</v>
      </c>
      <c r="J6705" s="5" t="str">
        <f t="shared" si="796"/>
        <v>2220</v>
      </c>
      <c r="K6705" s="5" t="str">
        <f t="shared" si="797"/>
        <v>000</v>
      </c>
      <c r="L6705" s="5">
        <f t="shared" si="798"/>
        <v>5</v>
      </c>
      <c r="M6705" s="5">
        <f t="shared" si="799"/>
        <v>2013</v>
      </c>
    </row>
    <row r="6706" spans="1:13" ht="15" x14ac:dyDescent="0.25">
      <c r="A6706" s="1">
        <f>DATE(2013,5,16)</f>
        <v>41410</v>
      </c>
      <c r="B6706" t="s">
        <v>18</v>
      </c>
      <c r="C6706" t="s">
        <v>10</v>
      </c>
      <c r="D6706" s="3">
        <v>171.01439999999999</v>
      </c>
      <c r="E6706" s="3">
        <v>0</v>
      </c>
      <c r="F6706" t="s">
        <v>45</v>
      </c>
      <c r="G6706" s="3">
        <f t="shared" si="793"/>
        <v>-171.01439999999999</v>
      </c>
      <c r="H6706" s="3">
        <f t="shared" si="794"/>
        <v>171.01439999999999</v>
      </c>
      <c r="I6706" s="5" t="str">
        <f t="shared" si="795"/>
        <v>017</v>
      </c>
      <c r="J6706" s="5" t="str">
        <f t="shared" si="796"/>
        <v>2230</v>
      </c>
      <c r="K6706" s="5" t="str">
        <f t="shared" si="797"/>
        <v>000</v>
      </c>
      <c r="L6706" s="5">
        <f t="shared" si="798"/>
        <v>5</v>
      </c>
      <c r="M6706" s="5">
        <f t="shared" si="799"/>
        <v>2013</v>
      </c>
    </row>
    <row r="6707" spans="1:13" ht="15" x14ac:dyDescent="0.25">
      <c r="A6707" s="1">
        <f>DATE(2013,5,17)</f>
        <v>41411</v>
      </c>
      <c r="B6707" t="s">
        <v>15</v>
      </c>
      <c r="C6707" t="s">
        <v>6</v>
      </c>
      <c r="D6707" s="3">
        <v>7505.2992000000004</v>
      </c>
      <c r="E6707" s="3">
        <v>0</v>
      </c>
      <c r="F6707" t="s">
        <v>45</v>
      </c>
      <c r="G6707" s="3">
        <f t="shared" si="793"/>
        <v>-7505.2992000000004</v>
      </c>
      <c r="H6707" s="3">
        <f t="shared" si="794"/>
        <v>7505.2992000000004</v>
      </c>
      <c r="I6707" s="5" t="str">
        <f t="shared" si="795"/>
        <v>017</v>
      </c>
      <c r="J6707" s="5" t="str">
        <f t="shared" si="796"/>
        <v>2100</v>
      </c>
      <c r="K6707" s="5" t="str">
        <f t="shared" si="797"/>
        <v>000</v>
      </c>
      <c r="L6707" s="5">
        <f t="shared" si="798"/>
        <v>5</v>
      </c>
      <c r="M6707" s="5">
        <f t="shared" si="799"/>
        <v>2013</v>
      </c>
    </row>
    <row r="6708" spans="1:13" ht="15" x14ac:dyDescent="0.25">
      <c r="A6708" s="1">
        <f>DATE(2013,5,17)</f>
        <v>41411</v>
      </c>
      <c r="B6708" t="s">
        <v>16</v>
      </c>
      <c r="C6708" t="s">
        <v>8</v>
      </c>
      <c r="D6708" s="3">
        <v>3771.7204000000002</v>
      </c>
      <c r="E6708" s="3">
        <v>0</v>
      </c>
      <c r="F6708" t="s">
        <v>45</v>
      </c>
      <c r="G6708" s="3">
        <f t="shared" si="793"/>
        <v>-3771.7204000000002</v>
      </c>
      <c r="H6708" s="3">
        <f t="shared" si="794"/>
        <v>3771.7204000000002</v>
      </c>
      <c r="I6708" s="5" t="str">
        <f t="shared" si="795"/>
        <v>017</v>
      </c>
      <c r="J6708" s="5" t="str">
        <f t="shared" si="796"/>
        <v>2210</v>
      </c>
      <c r="K6708" s="5" t="str">
        <f t="shared" si="797"/>
        <v>000</v>
      </c>
      <c r="L6708" s="5">
        <f t="shared" si="798"/>
        <v>5</v>
      </c>
      <c r="M6708" s="5">
        <f t="shared" si="799"/>
        <v>2013</v>
      </c>
    </row>
    <row r="6709" spans="1:13" ht="15" x14ac:dyDescent="0.25">
      <c r="A6709" s="1">
        <f>DATE(2013,5,17)</f>
        <v>41411</v>
      </c>
      <c r="B6709" t="s">
        <v>17</v>
      </c>
      <c r="C6709" t="s">
        <v>9</v>
      </c>
      <c r="D6709" s="3">
        <v>644.65919999999994</v>
      </c>
      <c r="E6709" s="3">
        <v>0</v>
      </c>
      <c r="F6709" t="s">
        <v>45</v>
      </c>
      <c r="G6709" s="3">
        <f t="shared" si="793"/>
        <v>-644.65919999999994</v>
      </c>
      <c r="H6709" s="3">
        <f t="shared" si="794"/>
        <v>644.65919999999994</v>
      </c>
      <c r="I6709" s="5" t="str">
        <f t="shared" si="795"/>
        <v>017</v>
      </c>
      <c r="J6709" s="5" t="str">
        <f t="shared" si="796"/>
        <v>2220</v>
      </c>
      <c r="K6709" s="5" t="str">
        <f t="shared" si="797"/>
        <v>000</v>
      </c>
      <c r="L6709" s="5">
        <f t="shared" si="798"/>
        <v>5</v>
      </c>
      <c r="M6709" s="5">
        <f t="shared" si="799"/>
        <v>2013</v>
      </c>
    </row>
    <row r="6710" spans="1:13" ht="15" x14ac:dyDescent="0.25">
      <c r="A6710" s="1">
        <f>DATE(2013,5,17)</f>
        <v>41411</v>
      </c>
      <c r="B6710" t="s">
        <v>18</v>
      </c>
      <c r="C6710" t="s">
        <v>10</v>
      </c>
      <c r="D6710" s="3">
        <v>209.50120000000001</v>
      </c>
      <c r="E6710" s="3">
        <v>0</v>
      </c>
      <c r="F6710" t="s">
        <v>45</v>
      </c>
      <c r="G6710" s="3">
        <f t="shared" si="793"/>
        <v>-209.50120000000001</v>
      </c>
      <c r="H6710" s="3">
        <f t="shared" si="794"/>
        <v>209.50120000000001</v>
      </c>
      <c r="I6710" s="5" t="str">
        <f t="shared" si="795"/>
        <v>017</v>
      </c>
      <c r="J6710" s="5" t="str">
        <f t="shared" si="796"/>
        <v>2230</v>
      </c>
      <c r="K6710" s="5" t="str">
        <f t="shared" si="797"/>
        <v>000</v>
      </c>
      <c r="L6710" s="5">
        <f t="shared" si="798"/>
        <v>5</v>
      </c>
      <c r="M6710" s="5">
        <f t="shared" si="799"/>
        <v>2013</v>
      </c>
    </row>
    <row r="6711" spans="1:13" ht="15" x14ac:dyDescent="0.25">
      <c r="A6711" s="1">
        <f>DATE(2013,5,18)</f>
        <v>41412</v>
      </c>
      <c r="B6711" t="s">
        <v>15</v>
      </c>
      <c r="C6711" t="s">
        <v>6</v>
      </c>
      <c r="D6711" s="3">
        <v>7875.0355999999992</v>
      </c>
      <c r="E6711" s="3">
        <v>0</v>
      </c>
      <c r="F6711" t="s">
        <v>45</v>
      </c>
      <c r="G6711" s="3">
        <f t="shared" si="793"/>
        <v>-7875.0355999999992</v>
      </c>
      <c r="H6711" s="3">
        <f t="shared" si="794"/>
        <v>7875.0355999999992</v>
      </c>
      <c r="I6711" s="5" t="str">
        <f t="shared" si="795"/>
        <v>017</v>
      </c>
      <c r="J6711" s="5" t="str">
        <f t="shared" si="796"/>
        <v>2100</v>
      </c>
      <c r="K6711" s="5" t="str">
        <f t="shared" si="797"/>
        <v>000</v>
      </c>
      <c r="L6711" s="5">
        <f t="shared" si="798"/>
        <v>5</v>
      </c>
      <c r="M6711" s="5">
        <f t="shared" si="799"/>
        <v>2013</v>
      </c>
    </row>
    <row r="6712" spans="1:13" ht="15" x14ac:dyDescent="0.25">
      <c r="A6712" s="1">
        <f>DATE(2013,5,18)</f>
        <v>41412</v>
      </c>
      <c r="B6712" t="s">
        <v>16</v>
      </c>
      <c r="C6712" t="s">
        <v>8</v>
      </c>
      <c r="D6712" s="3">
        <v>1941.8335000000002</v>
      </c>
      <c r="E6712" s="3">
        <v>0</v>
      </c>
      <c r="F6712" t="s">
        <v>45</v>
      </c>
      <c r="G6712" s="3">
        <f t="shared" si="793"/>
        <v>-1941.8335000000002</v>
      </c>
      <c r="H6712" s="3">
        <f t="shared" si="794"/>
        <v>1941.8335000000002</v>
      </c>
      <c r="I6712" s="5" t="str">
        <f t="shared" si="795"/>
        <v>017</v>
      </c>
      <c r="J6712" s="5" t="str">
        <f t="shared" si="796"/>
        <v>2210</v>
      </c>
      <c r="K6712" s="5" t="str">
        <f t="shared" si="797"/>
        <v>000</v>
      </c>
      <c r="L6712" s="5">
        <f t="shared" si="798"/>
        <v>5</v>
      </c>
      <c r="M6712" s="5">
        <f t="shared" si="799"/>
        <v>2013</v>
      </c>
    </row>
    <row r="6713" spans="1:13" ht="15" x14ac:dyDescent="0.25">
      <c r="A6713" s="1">
        <f>DATE(2013,5,18)</f>
        <v>41412</v>
      </c>
      <c r="B6713" t="s">
        <v>17</v>
      </c>
      <c r="C6713" t="s">
        <v>9</v>
      </c>
      <c r="D6713" s="3">
        <v>216.09840000000003</v>
      </c>
      <c r="E6713" s="3">
        <v>0</v>
      </c>
      <c r="F6713" t="s">
        <v>45</v>
      </c>
      <c r="G6713" s="3">
        <f t="shared" si="793"/>
        <v>-216.09840000000003</v>
      </c>
      <c r="H6713" s="3">
        <f t="shared" si="794"/>
        <v>216.09840000000003</v>
      </c>
      <c r="I6713" s="5" t="str">
        <f t="shared" si="795"/>
        <v>017</v>
      </c>
      <c r="J6713" s="5" t="str">
        <f t="shared" si="796"/>
        <v>2220</v>
      </c>
      <c r="K6713" s="5" t="str">
        <f t="shared" si="797"/>
        <v>000</v>
      </c>
      <c r="L6713" s="5">
        <f t="shared" si="798"/>
        <v>5</v>
      </c>
      <c r="M6713" s="5">
        <f t="shared" si="799"/>
        <v>2013</v>
      </c>
    </row>
    <row r="6714" spans="1:13" ht="15" x14ac:dyDescent="0.25">
      <c r="A6714" s="1">
        <f>DATE(2013,5,18)</f>
        <v>41412</v>
      </c>
      <c r="B6714" t="s">
        <v>18</v>
      </c>
      <c r="C6714" t="s">
        <v>10</v>
      </c>
      <c r="D6714" s="3">
        <v>123.77250000000001</v>
      </c>
      <c r="E6714" s="3">
        <v>0</v>
      </c>
      <c r="F6714" t="s">
        <v>45</v>
      </c>
      <c r="G6714" s="3">
        <f t="shared" si="793"/>
        <v>-123.77250000000001</v>
      </c>
      <c r="H6714" s="3">
        <f t="shared" si="794"/>
        <v>123.77250000000001</v>
      </c>
      <c r="I6714" s="5" t="str">
        <f t="shared" si="795"/>
        <v>017</v>
      </c>
      <c r="J6714" s="5" t="str">
        <f t="shared" si="796"/>
        <v>2230</v>
      </c>
      <c r="K6714" s="5" t="str">
        <f t="shared" si="797"/>
        <v>000</v>
      </c>
      <c r="L6714" s="5">
        <f t="shared" si="798"/>
        <v>5</v>
      </c>
      <c r="M6714" s="5">
        <f t="shared" si="799"/>
        <v>2013</v>
      </c>
    </row>
    <row r="6715" spans="1:13" ht="15" x14ac:dyDescent="0.25">
      <c r="A6715" s="1">
        <f>DATE(2013,5,19)</f>
        <v>41413</v>
      </c>
      <c r="B6715" t="s">
        <v>15</v>
      </c>
      <c r="C6715" t="s">
        <v>6</v>
      </c>
      <c r="D6715" s="3">
        <v>5006.3631999999998</v>
      </c>
      <c r="E6715" s="3">
        <v>0</v>
      </c>
      <c r="F6715" t="s">
        <v>45</v>
      </c>
      <c r="G6715" s="3">
        <f t="shared" si="793"/>
        <v>-5006.3631999999998</v>
      </c>
      <c r="H6715" s="3">
        <f t="shared" si="794"/>
        <v>5006.3631999999998</v>
      </c>
      <c r="I6715" s="5" t="str">
        <f t="shared" si="795"/>
        <v>017</v>
      </c>
      <c r="J6715" s="5" t="str">
        <f t="shared" si="796"/>
        <v>2100</v>
      </c>
      <c r="K6715" s="5" t="str">
        <f t="shared" si="797"/>
        <v>000</v>
      </c>
      <c r="L6715" s="5">
        <f t="shared" si="798"/>
        <v>5</v>
      </c>
      <c r="M6715" s="5">
        <f t="shared" si="799"/>
        <v>2013</v>
      </c>
    </row>
    <row r="6716" spans="1:13" ht="15" x14ac:dyDescent="0.25">
      <c r="A6716" s="1">
        <f>DATE(2013,5,19)</f>
        <v>41413</v>
      </c>
      <c r="B6716" t="s">
        <v>16</v>
      </c>
      <c r="C6716" t="s">
        <v>8</v>
      </c>
      <c r="D6716" s="3">
        <v>929.97719999999993</v>
      </c>
      <c r="E6716" s="3">
        <v>0</v>
      </c>
      <c r="F6716" t="s">
        <v>45</v>
      </c>
      <c r="G6716" s="3">
        <f t="shared" si="793"/>
        <v>-929.97719999999993</v>
      </c>
      <c r="H6716" s="3">
        <f t="shared" si="794"/>
        <v>929.97719999999993</v>
      </c>
      <c r="I6716" s="5" t="str">
        <f t="shared" si="795"/>
        <v>017</v>
      </c>
      <c r="J6716" s="5" t="str">
        <f t="shared" si="796"/>
        <v>2210</v>
      </c>
      <c r="K6716" s="5" t="str">
        <f t="shared" si="797"/>
        <v>000</v>
      </c>
      <c r="L6716" s="5">
        <f t="shared" si="798"/>
        <v>5</v>
      </c>
      <c r="M6716" s="5">
        <f t="shared" si="799"/>
        <v>2013</v>
      </c>
    </row>
    <row r="6717" spans="1:13" ht="15" x14ac:dyDescent="0.25">
      <c r="A6717" s="1">
        <f>DATE(2013,5,19)</f>
        <v>41413</v>
      </c>
      <c r="B6717" t="s">
        <v>17</v>
      </c>
      <c r="C6717" t="s">
        <v>9</v>
      </c>
      <c r="D6717" s="3">
        <v>156.374</v>
      </c>
      <c r="E6717" s="3">
        <v>0</v>
      </c>
      <c r="F6717" t="s">
        <v>45</v>
      </c>
      <c r="G6717" s="3">
        <f t="shared" si="793"/>
        <v>-156.374</v>
      </c>
      <c r="H6717" s="3">
        <f t="shared" si="794"/>
        <v>156.374</v>
      </c>
      <c r="I6717" s="5" t="str">
        <f t="shared" si="795"/>
        <v>017</v>
      </c>
      <c r="J6717" s="5" t="str">
        <f t="shared" si="796"/>
        <v>2220</v>
      </c>
      <c r="K6717" s="5" t="str">
        <f t="shared" si="797"/>
        <v>000</v>
      </c>
      <c r="L6717" s="5">
        <f t="shared" si="798"/>
        <v>5</v>
      </c>
      <c r="M6717" s="5">
        <f t="shared" si="799"/>
        <v>2013</v>
      </c>
    </row>
    <row r="6718" spans="1:13" ht="15" x14ac:dyDescent="0.25">
      <c r="A6718" s="1">
        <f>DATE(2013,5,19)</f>
        <v>41413</v>
      </c>
      <c r="B6718" t="s">
        <v>18</v>
      </c>
      <c r="C6718" t="s">
        <v>10</v>
      </c>
      <c r="D6718" s="3">
        <v>58.672000000000004</v>
      </c>
      <c r="E6718" s="3">
        <v>0</v>
      </c>
      <c r="F6718" t="s">
        <v>45</v>
      </c>
      <c r="G6718" s="3">
        <f t="shared" si="793"/>
        <v>-58.672000000000004</v>
      </c>
      <c r="H6718" s="3">
        <f t="shared" si="794"/>
        <v>58.672000000000004</v>
      </c>
      <c r="I6718" s="5" t="str">
        <f t="shared" si="795"/>
        <v>017</v>
      </c>
      <c r="J6718" s="5" t="str">
        <f t="shared" si="796"/>
        <v>2230</v>
      </c>
      <c r="K6718" s="5" t="str">
        <f t="shared" si="797"/>
        <v>000</v>
      </c>
      <c r="L6718" s="5">
        <f t="shared" si="798"/>
        <v>5</v>
      </c>
      <c r="M6718" s="5">
        <f t="shared" si="799"/>
        <v>2013</v>
      </c>
    </row>
    <row r="6719" spans="1:13" ht="15" x14ac:dyDescent="0.25">
      <c r="A6719" s="1">
        <f>DATE(2013,5,13)</f>
        <v>41407</v>
      </c>
      <c r="B6719" t="s">
        <v>19</v>
      </c>
      <c r="C6719" t="s">
        <v>6</v>
      </c>
      <c r="D6719" s="3">
        <v>3944.34</v>
      </c>
      <c r="E6719" s="3">
        <v>0</v>
      </c>
      <c r="F6719" t="s">
        <v>45</v>
      </c>
      <c r="G6719" s="3">
        <f t="shared" si="793"/>
        <v>-3944.34</v>
      </c>
      <c r="H6719" s="3">
        <f t="shared" si="794"/>
        <v>3944.34</v>
      </c>
      <c r="I6719" s="5" t="str">
        <f t="shared" si="795"/>
        <v>018</v>
      </c>
      <c r="J6719" s="5" t="str">
        <f t="shared" si="796"/>
        <v>2100</v>
      </c>
      <c r="K6719" s="5" t="str">
        <f t="shared" si="797"/>
        <v>000</v>
      </c>
      <c r="L6719" s="5">
        <f t="shared" si="798"/>
        <v>5</v>
      </c>
      <c r="M6719" s="5">
        <f t="shared" si="799"/>
        <v>2013</v>
      </c>
    </row>
    <row r="6720" spans="1:13" ht="15" x14ac:dyDescent="0.25">
      <c r="A6720" s="1">
        <f>DATE(2013,5,13)</f>
        <v>41407</v>
      </c>
      <c r="B6720" t="s">
        <v>20</v>
      </c>
      <c r="C6720" t="s">
        <v>8</v>
      </c>
      <c r="D6720" s="3">
        <v>617.85239999999999</v>
      </c>
      <c r="E6720" s="3">
        <v>0</v>
      </c>
      <c r="F6720" t="s">
        <v>45</v>
      </c>
      <c r="G6720" s="3">
        <f t="shared" si="793"/>
        <v>-617.85239999999999</v>
      </c>
      <c r="H6720" s="3">
        <f t="shared" si="794"/>
        <v>617.85239999999999</v>
      </c>
      <c r="I6720" s="5" t="str">
        <f t="shared" si="795"/>
        <v>018</v>
      </c>
      <c r="J6720" s="5" t="str">
        <f t="shared" si="796"/>
        <v>2210</v>
      </c>
      <c r="K6720" s="5" t="str">
        <f t="shared" si="797"/>
        <v>000</v>
      </c>
      <c r="L6720" s="5">
        <f t="shared" si="798"/>
        <v>5</v>
      </c>
      <c r="M6720" s="5">
        <f t="shared" si="799"/>
        <v>2013</v>
      </c>
    </row>
    <row r="6721" spans="1:13" ht="15" x14ac:dyDescent="0.25">
      <c r="A6721" s="1">
        <f>DATE(2013,5,13)</f>
        <v>41407</v>
      </c>
      <c r="B6721" t="s">
        <v>21</v>
      </c>
      <c r="C6721" t="s">
        <v>9</v>
      </c>
      <c r="D6721" s="3">
        <v>140.7859</v>
      </c>
      <c r="E6721" s="3">
        <v>0</v>
      </c>
      <c r="F6721" t="s">
        <v>45</v>
      </c>
      <c r="G6721" s="3">
        <f t="shared" si="793"/>
        <v>-140.7859</v>
      </c>
      <c r="H6721" s="3">
        <f t="shared" si="794"/>
        <v>140.7859</v>
      </c>
      <c r="I6721" s="5" t="str">
        <f t="shared" si="795"/>
        <v>018</v>
      </c>
      <c r="J6721" s="5" t="str">
        <f t="shared" si="796"/>
        <v>2220</v>
      </c>
      <c r="K6721" s="5" t="str">
        <f t="shared" si="797"/>
        <v>000</v>
      </c>
      <c r="L6721" s="5">
        <f t="shared" si="798"/>
        <v>5</v>
      </c>
      <c r="M6721" s="5">
        <f t="shared" si="799"/>
        <v>2013</v>
      </c>
    </row>
    <row r="6722" spans="1:13" ht="15" x14ac:dyDescent="0.25">
      <c r="A6722" s="1">
        <f>DATE(2013,5,14)</f>
        <v>41408</v>
      </c>
      <c r="B6722" t="s">
        <v>19</v>
      </c>
      <c r="C6722" t="s">
        <v>6</v>
      </c>
      <c r="D6722" s="3">
        <v>5053.4800000000005</v>
      </c>
      <c r="E6722" s="3">
        <v>0</v>
      </c>
      <c r="F6722" t="s">
        <v>45</v>
      </c>
      <c r="G6722" s="3">
        <f t="shared" ref="G6722:G6785" si="801">E6722-D6722</f>
        <v>-5053.4800000000005</v>
      </c>
      <c r="H6722" s="3">
        <f t="shared" ref="H6722:H6785" si="802">ABS(G6722)</f>
        <v>5053.4800000000005</v>
      </c>
      <c r="I6722" s="5" t="str">
        <f t="shared" ref="I6722:I6785" si="803">MID(B6722,1,3)</f>
        <v>018</v>
      </c>
      <c r="J6722" s="5" t="str">
        <f t="shared" ref="J6722:J6785" si="804">MID(B6722,5,4)</f>
        <v>2100</v>
      </c>
      <c r="K6722" s="5" t="str">
        <f t="shared" ref="K6722:K6785" si="805">MID(B6722,10,3)</f>
        <v>000</v>
      </c>
      <c r="L6722" s="5">
        <f t="shared" ref="L6722:L6785" si="806">MONTH(A6722)</f>
        <v>5</v>
      </c>
      <c r="M6722" s="5">
        <f t="shared" ref="M6722:M6785" si="807">YEAR(A6722)</f>
        <v>2013</v>
      </c>
    </row>
    <row r="6723" spans="1:13" ht="15" x14ac:dyDescent="0.25">
      <c r="A6723" s="1">
        <f>DATE(2013,5,14)</f>
        <v>41408</v>
      </c>
      <c r="B6723" t="s">
        <v>20</v>
      </c>
      <c r="C6723" t="s">
        <v>8</v>
      </c>
      <c r="D6723" s="3">
        <v>733.48080000000004</v>
      </c>
      <c r="E6723" s="3">
        <v>0</v>
      </c>
      <c r="F6723" t="s">
        <v>45</v>
      </c>
      <c r="G6723" s="3">
        <f t="shared" si="801"/>
        <v>-733.48080000000004</v>
      </c>
      <c r="H6723" s="3">
        <f t="shared" si="802"/>
        <v>733.48080000000004</v>
      </c>
      <c r="I6723" s="5" t="str">
        <f t="shared" si="803"/>
        <v>018</v>
      </c>
      <c r="J6723" s="5" t="str">
        <f t="shared" si="804"/>
        <v>2210</v>
      </c>
      <c r="K6723" s="5" t="str">
        <f t="shared" si="805"/>
        <v>000</v>
      </c>
      <c r="L6723" s="5">
        <f t="shared" si="806"/>
        <v>5</v>
      </c>
      <c r="M6723" s="5">
        <f t="shared" si="807"/>
        <v>2013</v>
      </c>
    </row>
    <row r="6724" spans="1:13" ht="15" x14ac:dyDescent="0.25">
      <c r="A6724" s="1">
        <f>DATE(2013,5,14)</f>
        <v>41408</v>
      </c>
      <c r="B6724" t="s">
        <v>21</v>
      </c>
      <c r="C6724" t="s">
        <v>9</v>
      </c>
      <c r="D6724" s="3">
        <v>273.73079999999999</v>
      </c>
      <c r="E6724" s="3">
        <v>0</v>
      </c>
      <c r="F6724" t="s">
        <v>45</v>
      </c>
      <c r="G6724" s="3">
        <f t="shared" si="801"/>
        <v>-273.73079999999999</v>
      </c>
      <c r="H6724" s="3">
        <f t="shared" si="802"/>
        <v>273.73079999999999</v>
      </c>
      <c r="I6724" s="5" t="str">
        <f t="shared" si="803"/>
        <v>018</v>
      </c>
      <c r="J6724" s="5" t="str">
        <f t="shared" si="804"/>
        <v>2220</v>
      </c>
      <c r="K6724" s="5" t="str">
        <f t="shared" si="805"/>
        <v>000</v>
      </c>
      <c r="L6724" s="5">
        <f t="shared" si="806"/>
        <v>5</v>
      </c>
      <c r="M6724" s="5">
        <f t="shared" si="807"/>
        <v>2013</v>
      </c>
    </row>
    <row r="6725" spans="1:13" ht="15" x14ac:dyDescent="0.25">
      <c r="A6725" s="1">
        <f>DATE(2013,5,14)</f>
        <v>41408</v>
      </c>
      <c r="B6725" t="s">
        <v>22</v>
      </c>
      <c r="C6725" t="s">
        <v>10</v>
      </c>
      <c r="D6725" s="3">
        <v>6.9222999999999999</v>
      </c>
      <c r="E6725" s="3">
        <v>0</v>
      </c>
      <c r="F6725" t="s">
        <v>45</v>
      </c>
      <c r="G6725" s="3">
        <f t="shared" si="801"/>
        <v>-6.9222999999999999</v>
      </c>
      <c r="H6725" s="3">
        <f t="shared" si="802"/>
        <v>6.9222999999999999</v>
      </c>
      <c r="I6725" s="5" t="str">
        <f t="shared" si="803"/>
        <v>018</v>
      </c>
      <c r="J6725" s="5" t="str">
        <f t="shared" si="804"/>
        <v>2230</v>
      </c>
      <c r="K6725" s="5" t="str">
        <f t="shared" si="805"/>
        <v>000</v>
      </c>
      <c r="L6725" s="5">
        <f t="shared" si="806"/>
        <v>5</v>
      </c>
      <c r="M6725" s="5">
        <f t="shared" si="807"/>
        <v>2013</v>
      </c>
    </row>
    <row r="6726" spans="1:13" ht="15" x14ac:dyDescent="0.25">
      <c r="A6726" s="1">
        <f>DATE(2013,5,15)</f>
        <v>41409</v>
      </c>
      <c r="B6726" t="s">
        <v>19</v>
      </c>
      <c r="C6726" t="s">
        <v>6</v>
      </c>
      <c r="D6726" s="3">
        <v>4440.0095999999994</v>
      </c>
      <c r="E6726" s="3">
        <v>0</v>
      </c>
      <c r="F6726" t="s">
        <v>45</v>
      </c>
      <c r="G6726" s="3">
        <f t="shared" si="801"/>
        <v>-4440.0095999999994</v>
      </c>
      <c r="H6726" s="3">
        <f t="shared" si="802"/>
        <v>4440.0095999999994</v>
      </c>
      <c r="I6726" s="5" t="str">
        <f t="shared" si="803"/>
        <v>018</v>
      </c>
      <c r="J6726" s="5" t="str">
        <f t="shared" si="804"/>
        <v>2100</v>
      </c>
      <c r="K6726" s="5" t="str">
        <f t="shared" si="805"/>
        <v>000</v>
      </c>
      <c r="L6726" s="5">
        <f t="shared" si="806"/>
        <v>5</v>
      </c>
      <c r="M6726" s="5">
        <f t="shared" si="807"/>
        <v>2013</v>
      </c>
    </row>
    <row r="6727" spans="1:13" ht="15" x14ac:dyDescent="0.25">
      <c r="A6727" s="1">
        <f>DATE(2013,5,15)</f>
        <v>41409</v>
      </c>
      <c r="B6727" t="s">
        <v>20</v>
      </c>
      <c r="C6727" t="s">
        <v>8</v>
      </c>
      <c r="D6727" s="3">
        <v>1351.2578000000001</v>
      </c>
      <c r="E6727" s="3">
        <v>0</v>
      </c>
      <c r="F6727" t="s">
        <v>45</v>
      </c>
      <c r="G6727" s="3">
        <f t="shared" si="801"/>
        <v>-1351.2578000000001</v>
      </c>
      <c r="H6727" s="3">
        <f t="shared" si="802"/>
        <v>1351.2578000000001</v>
      </c>
      <c r="I6727" s="5" t="str">
        <f t="shared" si="803"/>
        <v>018</v>
      </c>
      <c r="J6727" s="5" t="str">
        <f t="shared" si="804"/>
        <v>2210</v>
      </c>
      <c r="K6727" s="5" t="str">
        <f t="shared" si="805"/>
        <v>000</v>
      </c>
      <c r="L6727" s="5">
        <f t="shared" si="806"/>
        <v>5</v>
      </c>
      <c r="M6727" s="5">
        <f t="shared" si="807"/>
        <v>2013</v>
      </c>
    </row>
    <row r="6728" spans="1:13" ht="15" x14ac:dyDescent="0.25">
      <c r="A6728" s="1">
        <f>DATE(2013,5,15)</f>
        <v>41409</v>
      </c>
      <c r="B6728" t="s">
        <v>21</v>
      </c>
      <c r="C6728" t="s">
        <v>9</v>
      </c>
      <c r="D6728" s="3">
        <v>338.745</v>
      </c>
      <c r="E6728" s="3">
        <v>0</v>
      </c>
      <c r="F6728" t="s">
        <v>45</v>
      </c>
      <c r="G6728" s="3">
        <f t="shared" si="801"/>
        <v>-338.745</v>
      </c>
      <c r="H6728" s="3">
        <f t="shared" si="802"/>
        <v>338.745</v>
      </c>
      <c r="I6728" s="5" t="str">
        <f t="shared" si="803"/>
        <v>018</v>
      </c>
      <c r="J6728" s="5" t="str">
        <f t="shared" si="804"/>
        <v>2220</v>
      </c>
      <c r="K6728" s="5" t="str">
        <f t="shared" si="805"/>
        <v>000</v>
      </c>
      <c r="L6728" s="5">
        <f t="shared" si="806"/>
        <v>5</v>
      </c>
      <c r="M6728" s="5">
        <f t="shared" si="807"/>
        <v>2013</v>
      </c>
    </row>
    <row r="6729" spans="1:13" ht="15" x14ac:dyDescent="0.25">
      <c r="A6729" s="1">
        <f>DATE(2013,5,15)</f>
        <v>41409</v>
      </c>
      <c r="B6729" t="s">
        <v>22</v>
      </c>
      <c r="C6729" t="s">
        <v>10</v>
      </c>
      <c r="D6729" s="3">
        <v>40.408999999999999</v>
      </c>
      <c r="E6729" s="3">
        <v>0</v>
      </c>
      <c r="F6729" t="s">
        <v>45</v>
      </c>
      <c r="G6729" s="3">
        <f t="shared" si="801"/>
        <v>-40.408999999999999</v>
      </c>
      <c r="H6729" s="3">
        <f t="shared" si="802"/>
        <v>40.408999999999999</v>
      </c>
      <c r="I6729" s="5" t="str">
        <f t="shared" si="803"/>
        <v>018</v>
      </c>
      <c r="J6729" s="5" t="str">
        <f t="shared" si="804"/>
        <v>2230</v>
      </c>
      <c r="K6729" s="5" t="str">
        <f t="shared" si="805"/>
        <v>000</v>
      </c>
      <c r="L6729" s="5">
        <f t="shared" si="806"/>
        <v>5</v>
      </c>
      <c r="M6729" s="5">
        <f t="shared" si="807"/>
        <v>2013</v>
      </c>
    </row>
    <row r="6730" spans="1:13" ht="15" x14ac:dyDescent="0.25">
      <c r="A6730" s="1">
        <f>DATE(2013,5,16)</f>
        <v>41410</v>
      </c>
      <c r="B6730" t="s">
        <v>19</v>
      </c>
      <c r="C6730" t="s">
        <v>6</v>
      </c>
      <c r="D6730" s="3">
        <v>6372.1307999999999</v>
      </c>
      <c r="E6730" s="3">
        <v>0</v>
      </c>
      <c r="F6730" t="s">
        <v>45</v>
      </c>
      <c r="G6730" s="3">
        <f t="shared" si="801"/>
        <v>-6372.1307999999999</v>
      </c>
      <c r="H6730" s="3">
        <f t="shared" si="802"/>
        <v>6372.1307999999999</v>
      </c>
      <c r="I6730" s="5" t="str">
        <f t="shared" si="803"/>
        <v>018</v>
      </c>
      <c r="J6730" s="5" t="str">
        <f t="shared" si="804"/>
        <v>2100</v>
      </c>
      <c r="K6730" s="5" t="str">
        <f t="shared" si="805"/>
        <v>000</v>
      </c>
      <c r="L6730" s="5">
        <f t="shared" si="806"/>
        <v>5</v>
      </c>
      <c r="M6730" s="5">
        <f t="shared" si="807"/>
        <v>2013</v>
      </c>
    </row>
    <row r="6731" spans="1:13" ht="15" x14ac:dyDescent="0.25">
      <c r="A6731" s="1">
        <f>DATE(2013,5,16)</f>
        <v>41410</v>
      </c>
      <c r="B6731" t="s">
        <v>20</v>
      </c>
      <c r="C6731" t="s">
        <v>8</v>
      </c>
      <c r="D6731" s="3">
        <v>1131.7608</v>
      </c>
      <c r="E6731" s="3">
        <v>0</v>
      </c>
      <c r="F6731" t="s">
        <v>45</v>
      </c>
      <c r="G6731" s="3">
        <f t="shared" si="801"/>
        <v>-1131.7608</v>
      </c>
      <c r="H6731" s="3">
        <f t="shared" si="802"/>
        <v>1131.7608</v>
      </c>
      <c r="I6731" s="5" t="str">
        <f t="shared" si="803"/>
        <v>018</v>
      </c>
      <c r="J6731" s="5" t="str">
        <f t="shared" si="804"/>
        <v>2210</v>
      </c>
      <c r="K6731" s="5" t="str">
        <f t="shared" si="805"/>
        <v>000</v>
      </c>
      <c r="L6731" s="5">
        <f t="shared" si="806"/>
        <v>5</v>
      </c>
      <c r="M6731" s="5">
        <f t="shared" si="807"/>
        <v>2013</v>
      </c>
    </row>
    <row r="6732" spans="1:13" ht="15" x14ac:dyDescent="0.25">
      <c r="A6732" s="1">
        <f>DATE(2013,5,16)</f>
        <v>41410</v>
      </c>
      <c r="B6732" t="s">
        <v>21</v>
      </c>
      <c r="C6732" t="s">
        <v>9</v>
      </c>
      <c r="D6732" s="3">
        <v>263.24700000000001</v>
      </c>
      <c r="E6732" s="3">
        <v>0</v>
      </c>
      <c r="F6732" t="s">
        <v>45</v>
      </c>
      <c r="G6732" s="3">
        <f t="shared" si="801"/>
        <v>-263.24700000000001</v>
      </c>
      <c r="H6732" s="3">
        <f t="shared" si="802"/>
        <v>263.24700000000001</v>
      </c>
      <c r="I6732" s="5" t="str">
        <f t="shared" si="803"/>
        <v>018</v>
      </c>
      <c r="J6732" s="5" t="str">
        <f t="shared" si="804"/>
        <v>2220</v>
      </c>
      <c r="K6732" s="5" t="str">
        <f t="shared" si="805"/>
        <v>000</v>
      </c>
      <c r="L6732" s="5">
        <f t="shared" si="806"/>
        <v>5</v>
      </c>
      <c r="M6732" s="5">
        <f t="shared" si="807"/>
        <v>2013</v>
      </c>
    </row>
    <row r="6733" spans="1:13" ht="15" x14ac:dyDescent="0.25">
      <c r="A6733" s="1">
        <f>DATE(2013,5,16)</f>
        <v>41410</v>
      </c>
      <c r="B6733" t="s">
        <v>22</v>
      </c>
      <c r="C6733" t="s">
        <v>10</v>
      </c>
      <c r="D6733" s="3">
        <v>109.69199999999999</v>
      </c>
      <c r="E6733" s="3">
        <v>0</v>
      </c>
      <c r="F6733" t="s">
        <v>45</v>
      </c>
      <c r="G6733" s="3">
        <f t="shared" si="801"/>
        <v>-109.69199999999999</v>
      </c>
      <c r="H6733" s="3">
        <f t="shared" si="802"/>
        <v>109.69199999999999</v>
      </c>
      <c r="I6733" s="5" t="str">
        <f t="shared" si="803"/>
        <v>018</v>
      </c>
      <c r="J6733" s="5" t="str">
        <f t="shared" si="804"/>
        <v>2230</v>
      </c>
      <c r="K6733" s="5" t="str">
        <f t="shared" si="805"/>
        <v>000</v>
      </c>
      <c r="L6733" s="5">
        <f t="shared" si="806"/>
        <v>5</v>
      </c>
      <c r="M6733" s="5">
        <f t="shared" si="807"/>
        <v>2013</v>
      </c>
    </row>
    <row r="6734" spans="1:13" ht="15" x14ac:dyDescent="0.25">
      <c r="A6734" s="1">
        <f>DATE(2013,5,17)</f>
        <v>41411</v>
      </c>
      <c r="B6734" t="s">
        <v>19</v>
      </c>
      <c r="C6734" t="s">
        <v>6</v>
      </c>
      <c r="D6734" s="3">
        <v>13780.570399999999</v>
      </c>
      <c r="E6734" s="3">
        <v>0</v>
      </c>
      <c r="F6734" t="s">
        <v>45</v>
      </c>
      <c r="G6734" s="3">
        <f t="shared" si="801"/>
        <v>-13780.570399999999</v>
      </c>
      <c r="H6734" s="3">
        <f t="shared" si="802"/>
        <v>13780.570399999999</v>
      </c>
      <c r="I6734" s="5" t="str">
        <f t="shared" si="803"/>
        <v>018</v>
      </c>
      <c r="J6734" s="5" t="str">
        <f t="shared" si="804"/>
        <v>2100</v>
      </c>
      <c r="K6734" s="5" t="str">
        <f t="shared" si="805"/>
        <v>000</v>
      </c>
      <c r="L6734" s="5">
        <f t="shared" si="806"/>
        <v>5</v>
      </c>
      <c r="M6734" s="5">
        <f t="shared" si="807"/>
        <v>2013</v>
      </c>
    </row>
    <row r="6735" spans="1:13" ht="15" x14ac:dyDescent="0.25">
      <c r="A6735" s="1">
        <f>DATE(2013,5,17)</f>
        <v>41411</v>
      </c>
      <c r="B6735" t="s">
        <v>20</v>
      </c>
      <c r="C6735" t="s">
        <v>8</v>
      </c>
      <c r="D6735" s="3">
        <v>3043.3202999999999</v>
      </c>
      <c r="E6735" s="3">
        <v>0</v>
      </c>
      <c r="F6735" t="s">
        <v>45</v>
      </c>
      <c r="G6735" s="3">
        <f t="shared" si="801"/>
        <v>-3043.3202999999999</v>
      </c>
      <c r="H6735" s="3">
        <f t="shared" si="802"/>
        <v>3043.3202999999999</v>
      </c>
      <c r="I6735" s="5" t="str">
        <f t="shared" si="803"/>
        <v>018</v>
      </c>
      <c r="J6735" s="5" t="str">
        <f t="shared" si="804"/>
        <v>2210</v>
      </c>
      <c r="K6735" s="5" t="str">
        <f t="shared" si="805"/>
        <v>000</v>
      </c>
      <c r="L6735" s="5">
        <f t="shared" si="806"/>
        <v>5</v>
      </c>
      <c r="M6735" s="5">
        <f t="shared" si="807"/>
        <v>2013</v>
      </c>
    </row>
    <row r="6736" spans="1:13" ht="15" x14ac:dyDescent="0.25">
      <c r="A6736" s="1">
        <f>DATE(2013,5,17)</f>
        <v>41411</v>
      </c>
      <c r="B6736" t="s">
        <v>21</v>
      </c>
      <c r="C6736" t="s">
        <v>9</v>
      </c>
      <c r="D6736" s="3">
        <v>914.40269999999998</v>
      </c>
      <c r="E6736" s="3">
        <v>0</v>
      </c>
      <c r="F6736" t="s">
        <v>45</v>
      </c>
      <c r="G6736" s="3">
        <f t="shared" si="801"/>
        <v>-914.40269999999998</v>
      </c>
      <c r="H6736" s="3">
        <f t="shared" si="802"/>
        <v>914.40269999999998</v>
      </c>
      <c r="I6736" s="5" t="str">
        <f t="shared" si="803"/>
        <v>018</v>
      </c>
      <c r="J6736" s="5" t="str">
        <f t="shared" si="804"/>
        <v>2220</v>
      </c>
      <c r="K6736" s="5" t="str">
        <f t="shared" si="805"/>
        <v>000</v>
      </c>
      <c r="L6736" s="5">
        <f t="shared" si="806"/>
        <v>5</v>
      </c>
      <c r="M6736" s="5">
        <f t="shared" si="807"/>
        <v>2013</v>
      </c>
    </row>
    <row r="6737" spans="1:13" ht="15" x14ac:dyDescent="0.25">
      <c r="A6737" s="1">
        <f>DATE(2013,5,17)</f>
        <v>41411</v>
      </c>
      <c r="B6737" t="s">
        <v>22</v>
      </c>
      <c r="C6737" t="s">
        <v>10</v>
      </c>
      <c r="D6737" s="3">
        <v>108.92819999999999</v>
      </c>
      <c r="E6737" s="3">
        <v>0</v>
      </c>
      <c r="F6737" t="s">
        <v>45</v>
      </c>
      <c r="G6737" s="3">
        <f t="shared" si="801"/>
        <v>-108.92819999999999</v>
      </c>
      <c r="H6737" s="3">
        <f t="shared" si="802"/>
        <v>108.92819999999999</v>
      </c>
      <c r="I6737" s="5" t="str">
        <f t="shared" si="803"/>
        <v>018</v>
      </c>
      <c r="J6737" s="5" t="str">
        <f t="shared" si="804"/>
        <v>2230</v>
      </c>
      <c r="K6737" s="5" t="str">
        <f t="shared" si="805"/>
        <v>000</v>
      </c>
      <c r="L6737" s="5">
        <f t="shared" si="806"/>
        <v>5</v>
      </c>
      <c r="M6737" s="5">
        <f t="shared" si="807"/>
        <v>2013</v>
      </c>
    </row>
    <row r="6738" spans="1:13" ht="15" x14ac:dyDescent="0.25">
      <c r="A6738" s="1">
        <f>DATE(2013,5,18)</f>
        <v>41412</v>
      </c>
      <c r="B6738" t="s">
        <v>19</v>
      </c>
      <c r="C6738" t="s">
        <v>6</v>
      </c>
      <c r="D6738" s="3">
        <v>12765.54</v>
      </c>
      <c r="E6738" s="3">
        <v>0</v>
      </c>
      <c r="F6738" t="s">
        <v>45</v>
      </c>
      <c r="G6738" s="3">
        <f t="shared" si="801"/>
        <v>-12765.54</v>
      </c>
      <c r="H6738" s="3">
        <f t="shared" si="802"/>
        <v>12765.54</v>
      </c>
      <c r="I6738" s="5" t="str">
        <f t="shared" si="803"/>
        <v>018</v>
      </c>
      <c r="J6738" s="5" t="str">
        <f t="shared" si="804"/>
        <v>2100</v>
      </c>
      <c r="K6738" s="5" t="str">
        <f t="shared" si="805"/>
        <v>000</v>
      </c>
      <c r="L6738" s="5">
        <f t="shared" si="806"/>
        <v>5</v>
      </c>
      <c r="M6738" s="5">
        <f t="shared" si="807"/>
        <v>2013</v>
      </c>
    </row>
    <row r="6739" spans="1:13" ht="15" x14ac:dyDescent="0.25">
      <c r="A6739" s="1">
        <f>DATE(2013,5,18)</f>
        <v>41412</v>
      </c>
      <c r="B6739" t="s">
        <v>20</v>
      </c>
      <c r="C6739" t="s">
        <v>8</v>
      </c>
      <c r="D6739" s="3">
        <v>2822.7718999999997</v>
      </c>
      <c r="E6739" s="3">
        <v>0</v>
      </c>
      <c r="F6739" t="s">
        <v>45</v>
      </c>
      <c r="G6739" s="3">
        <f t="shared" si="801"/>
        <v>-2822.7718999999997</v>
      </c>
      <c r="H6739" s="3">
        <f t="shared" si="802"/>
        <v>2822.7718999999997</v>
      </c>
      <c r="I6739" s="5" t="str">
        <f t="shared" si="803"/>
        <v>018</v>
      </c>
      <c r="J6739" s="5" t="str">
        <f t="shared" si="804"/>
        <v>2210</v>
      </c>
      <c r="K6739" s="5" t="str">
        <f t="shared" si="805"/>
        <v>000</v>
      </c>
      <c r="L6739" s="5">
        <f t="shared" si="806"/>
        <v>5</v>
      </c>
      <c r="M6739" s="5">
        <f t="shared" si="807"/>
        <v>2013</v>
      </c>
    </row>
    <row r="6740" spans="1:13" ht="15" x14ac:dyDescent="0.25">
      <c r="A6740" s="1">
        <f>DATE(2013,5,18)</f>
        <v>41412</v>
      </c>
      <c r="B6740" t="s">
        <v>21</v>
      </c>
      <c r="C6740" t="s">
        <v>9</v>
      </c>
      <c r="D6740" s="3">
        <v>523.72640000000001</v>
      </c>
      <c r="E6740" s="3">
        <v>0</v>
      </c>
      <c r="F6740" t="s">
        <v>45</v>
      </c>
      <c r="G6740" s="3">
        <f t="shared" si="801"/>
        <v>-523.72640000000001</v>
      </c>
      <c r="H6740" s="3">
        <f t="shared" si="802"/>
        <v>523.72640000000001</v>
      </c>
      <c r="I6740" s="5" t="str">
        <f t="shared" si="803"/>
        <v>018</v>
      </c>
      <c r="J6740" s="5" t="str">
        <f t="shared" si="804"/>
        <v>2220</v>
      </c>
      <c r="K6740" s="5" t="str">
        <f t="shared" si="805"/>
        <v>000</v>
      </c>
      <c r="L6740" s="5">
        <f t="shared" si="806"/>
        <v>5</v>
      </c>
      <c r="M6740" s="5">
        <f t="shared" si="807"/>
        <v>2013</v>
      </c>
    </row>
    <row r="6741" spans="1:13" ht="15" x14ac:dyDescent="0.25">
      <c r="A6741" s="1">
        <f>DATE(2013,5,18)</f>
        <v>41412</v>
      </c>
      <c r="B6741" t="s">
        <v>22</v>
      </c>
      <c r="C6741" t="s">
        <v>10</v>
      </c>
      <c r="D6741" s="3">
        <v>78.570900000000009</v>
      </c>
      <c r="E6741" s="3">
        <v>0</v>
      </c>
      <c r="F6741" t="s">
        <v>45</v>
      </c>
      <c r="G6741" s="3">
        <f t="shared" si="801"/>
        <v>-78.570900000000009</v>
      </c>
      <c r="H6741" s="3">
        <f t="shared" si="802"/>
        <v>78.570900000000009</v>
      </c>
      <c r="I6741" s="5" t="str">
        <f t="shared" si="803"/>
        <v>018</v>
      </c>
      <c r="J6741" s="5" t="str">
        <f t="shared" si="804"/>
        <v>2230</v>
      </c>
      <c r="K6741" s="5" t="str">
        <f t="shared" si="805"/>
        <v>000</v>
      </c>
      <c r="L6741" s="5">
        <f t="shared" si="806"/>
        <v>5</v>
      </c>
      <c r="M6741" s="5">
        <f t="shared" si="807"/>
        <v>2013</v>
      </c>
    </row>
    <row r="6742" spans="1:13" ht="15" x14ac:dyDescent="0.25">
      <c r="A6742" s="1">
        <f>DATE(2013,5,19)</f>
        <v>41413</v>
      </c>
      <c r="B6742" t="s">
        <v>19</v>
      </c>
      <c r="C6742" t="s">
        <v>6</v>
      </c>
      <c r="D6742" s="3">
        <v>10892.0856</v>
      </c>
      <c r="E6742" s="3">
        <v>0</v>
      </c>
      <c r="F6742" t="s">
        <v>45</v>
      </c>
      <c r="G6742" s="3">
        <f t="shared" si="801"/>
        <v>-10892.0856</v>
      </c>
      <c r="H6742" s="3">
        <f t="shared" si="802"/>
        <v>10892.0856</v>
      </c>
      <c r="I6742" s="5" t="str">
        <f t="shared" si="803"/>
        <v>018</v>
      </c>
      <c r="J6742" s="5" t="str">
        <f t="shared" si="804"/>
        <v>2100</v>
      </c>
      <c r="K6742" s="5" t="str">
        <f t="shared" si="805"/>
        <v>000</v>
      </c>
      <c r="L6742" s="5">
        <f t="shared" si="806"/>
        <v>5</v>
      </c>
      <c r="M6742" s="5">
        <f t="shared" si="807"/>
        <v>2013</v>
      </c>
    </row>
    <row r="6743" spans="1:13" ht="15" x14ac:dyDescent="0.25">
      <c r="A6743" s="1">
        <f>DATE(2013,5,19)</f>
        <v>41413</v>
      </c>
      <c r="B6743" t="s">
        <v>20</v>
      </c>
      <c r="C6743" t="s">
        <v>8</v>
      </c>
      <c r="D6743" s="3">
        <v>1953.4851000000001</v>
      </c>
      <c r="E6743" s="3">
        <v>0</v>
      </c>
      <c r="F6743" t="s">
        <v>45</v>
      </c>
      <c r="G6743" s="3">
        <f t="shared" si="801"/>
        <v>-1953.4851000000001</v>
      </c>
      <c r="H6743" s="3">
        <f t="shared" si="802"/>
        <v>1953.4851000000001</v>
      </c>
      <c r="I6743" s="5" t="str">
        <f t="shared" si="803"/>
        <v>018</v>
      </c>
      <c r="J6743" s="5" t="str">
        <f t="shared" si="804"/>
        <v>2210</v>
      </c>
      <c r="K6743" s="5" t="str">
        <f t="shared" si="805"/>
        <v>000</v>
      </c>
      <c r="L6743" s="5">
        <f t="shared" si="806"/>
        <v>5</v>
      </c>
      <c r="M6743" s="5">
        <f t="shared" si="807"/>
        <v>2013</v>
      </c>
    </row>
    <row r="6744" spans="1:13" ht="15" x14ac:dyDescent="0.25">
      <c r="A6744" s="1">
        <f>DATE(2013,5,19)</f>
        <v>41413</v>
      </c>
      <c r="B6744" t="s">
        <v>21</v>
      </c>
      <c r="C6744" t="s">
        <v>9</v>
      </c>
      <c r="D6744" s="3">
        <v>634.37779999999998</v>
      </c>
      <c r="E6744" s="3">
        <v>0</v>
      </c>
      <c r="F6744" t="s">
        <v>45</v>
      </c>
      <c r="G6744" s="3">
        <f t="shared" si="801"/>
        <v>-634.37779999999998</v>
      </c>
      <c r="H6744" s="3">
        <f t="shared" si="802"/>
        <v>634.37779999999998</v>
      </c>
      <c r="I6744" s="5" t="str">
        <f t="shared" si="803"/>
        <v>018</v>
      </c>
      <c r="J6744" s="5" t="str">
        <f t="shared" si="804"/>
        <v>2220</v>
      </c>
      <c r="K6744" s="5" t="str">
        <f t="shared" si="805"/>
        <v>000</v>
      </c>
      <c r="L6744" s="5">
        <f t="shared" si="806"/>
        <v>5</v>
      </c>
      <c r="M6744" s="5">
        <f t="shared" si="807"/>
        <v>2013</v>
      </c>
    </row>
    <row r="6745" spans="1:13" ht="15" x14ac:dyDescent="0.25">
      <c r="A6745" s="1">
        <f>DATE(2013,5,19)</f>
        <v>41413</v>
      </c>
      <c r="B6745" t="s">
        <v>22</v>
      </c>
      <c r="C6745" t="s">
        <v>10</v>
      </c>
      <c r="D6745" s="3">
        <v>154.83520000000001</v>
      </c>
      <c r="E6745" s="3">
        <v>0</v>
      </c>
      <c r="F6745" t="s">
        <v>45</v>
      </c>
      <c r="G6745" s="3">
        <f t="shared" si="801"/>
        <v>-154.83520000000001</v>
      </c>
      <c r="H6745" s="3">
        <f t="shared" si="802"/>
        <v>154.83520000000001</v>
      </c>
      <c r="I6745" s="5" t="str">
        <f t="shared" si="803"/>
        <v>018</v>
      </c>
      <c r="J6745" s="5" t="str">
        <f t="shared" si="804"/>
        <v>2230</v>
      </c>
      <c r="K6745" s="5" t="str">
        <f t="shared" si="805"/>
        <v>000</v>
      </c>
      <c r="L6745" s="5">
        <f t="shared" si="806"/>
        <v>5</v>
      </c>
      <c r="M6745" s="5">
        <f t="shared" si="807"/>
        <v>2013</v>
      </c>
    </row>
    <row r="6746" spans="1:13" ht="15" x14ac:dyDescent="0.25">
      <c r="A6746" s="1">
        <f>DATE(2013,5,20)</f>
        <v>41414</v>
      </c>
      <c r="B6746" t="s">
        <v>11</v>
      </c>
      <c r="C6746" t="s">
        <v>6</v>
      </c>
      <c r="D6746" s="3">
        <v>2484.2334000000001</v>
      </c>
      <c r="E6746" s="3">
        <v>0</v>
      </c>
      <c r="F6746" t="s">
        <v>45</v>
      </c>
      <c r="G6746" s="3">
        <f t="shared" si="801"/>
        <v>-2484.2334000000001</v>
      </c>
      <c r="H6746" s="3">
        <f t="shared" si="802"/>
        <v>2484.2334000000001</v>
      </c>
      <c r="I6746" s="5" t="str">
        <f t="shared" si="803"/>
        <v>016</v>
      </c>
      <c r="J6746" s="5" t="str">
        <f t="shared" si="804"/>
        <v>2100</v>
      </c>
      <c r="K6746" s="5" t="str">
        <f t="shared" si="805"/>
        <v>000</v>
      </c>
      <c r="L6746" s="5">
        <f t="shared" si="806"/>
        <v>5</v>
      </c>
      <c r="M6746" s="5">
        <f t="shared" si="807"/>
        <v>2013</v>
      </c>
    </row>
    <row r="6747" spans="1:13" ht="15" x14ac:dyDescent="0.25">
      <c r="A6747" s="1">
        <f>DATE(2013,5,20)</f>
        <v>41414</v>
      </c>
      <c r="B6747" t="s">
        <v>12</v>
      </c>
      <c r="C6747" t="s">
        <v>8</v>
      </c>
      <c r="D6747" s="3">
        <v>733.73580000000004</v>
      </c>
      <c r="E6747" s="3">
        <v>0</v>
      </c>
      <c r="F6747" t="s">
        <v>45</v>
      </c>
      <c r="G6747" s="3">
        <f t="shared" si="801"/>
        <v>-733.73580000000004</v>
      </c>
      <c r="H6747" s="3">
        <f t="shared" si="802"/>
        <v>733.73580000000004</v>
      </c>
      <c r="I6747" s="5" t="str">
        <f t="shared" si="803"/>
        <v>016</v>
      </c>
      <c r="J6747" s="5" t="str">
        <f t="shared" si="804"/>
        <v>2210</v>
      </c>
      <c r="K6747" s="5" t="str">
        <f t="shared" si="805"/>
        <v>000</v>
      </c>
      <c r="L6747" s="5">
        <f t="shared" si="806"/>
        <v>5</v>
      </c>
      <c r="M6747" s="5">
        <f t="shared" si="807"/>
        <v>2013</v>
      </c>
    </row>
    <row r="6748" spans="1:13" ht="15" x14ac:dyDescent="0.25">
      <c r="A6748" s="1">
        <f>DATE(2013,5,20)</f>
        <v>41414</v>
      </c>
      <c r="B6748" t="s">
        <v>13</v>
      </c>
      <c r="C6748" t="s">
        <v>9</v>
      </c>
      <c r="D6748" s="3">
        <v>168.06329999999997</v>
      </c>
      <c r="E6748" s="3">
        <v>0</v>
      </c>
      <c r="F6748" t="s">
        <v>45</v>
      </c>
      <c r="G6748" s="3">
        <f t="shared" si="801"/>
        <v>-168.06329999999997</v>
      </c>
      <c r="H6748" s="3">
        <f t="shared" si="802"/>
        <v>168.06329999999997</v>
      </c>
      <c r="I6748" s="5" t="str">
        <f t="shared" si="803"/>
        <v>016</v>
      </c>
      <c r="J6748" s="5" t="str">
        <f t="shared" si="804"/>
        <v>2220</v>
      </c>
      <c r="K6748" s="5" t="str">
        <f t="shared" si="805"/>
        <v>000</v>
      </c>
      <c r="L6748" s="5">
        <f t="shared" si="806"/>
        <v>5</v>
      </c>
      <c r="M6748" s="5">
        <f t="shared" si="807"/>
        <v>2013</v>
      </c>
    </row>
    <row r="6749" spans="1:13" ht="15" x14ac:dyDescent="0.25">
      <c r="A6749" s="1">
        <f>DATE(2013,5,20)</f>
        <v>41414</v>
      </c>
      <c r="B6749" t="s">
        <v>14</v>
      </c>
      <c r="C6749" t="s">
        <v>10</v>
      </c>
      <c r="D6749" s="3">
        <v>51.180799999999998</v>
      </c>
      <c r="E6749" s="3">
        <v>0</v>
      </c>
      <c r="F6749" t="s">
        <v>45</v>
      </c>
      <c r="G6749" s="3">
        <f t="shared" si="801"/>
        <v>-51.180799999999998</v>
      </c>
      <c r="H6749" s="3">
        <f t="shared" si="802"/>
        <v>51.180799999999998</v>
      </c>
      <c r="I6749" s="5" t="str">
        <f t="shared" si="803"/>
        <v>016</v>
      </c>
      <c r="J6749" s="5" t="str">
        <f t="shared" si="804"/>
        <v>2230</v>
      </c>
      <c r="K6749" s="5" t="str">
        <f t="shared" si="805"/>
        <v>000</v>
      </c>
      <c r="L6749" s="5">
        <f t="shared" si="806"/>
        <v>5</v>
      </c>
      <c r="M6749" s="5">
        <f t="shared" si="807"/>
        <v>2013</v>
      </c>
    </row>
    <row r="6750" spans="1:13" ht="15" x14ac:dyDescent="0.25">
      <c r="A6750" s="1">
        <f>DATE(2013,5,21)</f>
        <v>41415</v>
      </c>
      <c r="B6750" t="s">
        <v>11</v>
      </c>
      <c r="C6750" t="s">
        <v>6</v>
      </c>
      <c r="D6750" s="3">
        <v>5324.0478999999996</v>
      </c>
      <c r="E6750" s="3">
        <v>0</v>
      </c>
      <c r="F6750" t="s">
        <v>45</v>
      </c>
      <c r="G6750" s="3">
        <f t="shared" si="801"/>
        <v>-5324.0478999999996</v>
      </c>
      <c r="H6750" s="3">
        <f t="shared" si="802"/>
        <v>5324.0478999999996</v>
      </c>
      <c r="I6750" s="5" t="str">
        <f t="shared" si="803"/>
        <v>016</v>
      </c>
      <c r="J6750" s="5" t="str">
        <f t="shared" si="804"/>
        <v>2100</v>
      </c>
      <c r="K6750" s="5" t="str">
        <f t="shared" si="805"/>
        <v>000</v>
      </c>
      <c r="L6750" s="5">
        <f t="shared" si="806"/>
        <v>5</v>
      </c>
      <c r="M6750" s="5">
        <f t="shared" si="807"/>
        <v>2013</v>
      </c>
    </row>
    <row r="6751" spans="1:13" ht="15" x14ac:dyDescent="0.25">
      <c r="A6751" s="1">
        <f>DATE(2013,5,21)</f>
        <v>41415</v>
      </c>
      <c r="B6751" t="s">
        <v>12</v>
      </c>
      <c r="C6751" t="s">
        <v>8</v>
      </c>
      <c r="D6751" s="3">
        <v>2371.2768000000001</v>
      </c>
      <c r="E6751" s="3">
        <v>0</v>
      </c>
      <c r="F6751" t="s">
        <v>45</v>
      </c>
      <c r="G6751" s="3">
        <f t="shared" si="801"/>
        <v>-2371.2768000000001</v>
      </c>
      <c r="H6751" s="3">
        <f t="shared" si="802"/>
        <v>2371.2768000000001</v>
      </c>
      <c r="I6751" s="5" t="str">
        <f t="shared" si="803"/>
        <v>016</v>
      </c>
      <c r="J6751" s="5" t="str">
        <f t="shared" si="804"/>
        <v>2210</v>
      </c>
      <c r="K6751" s="5" t="str">
        <f t="shared" si="805"/>
        <v>000</v>
      </c>
      <c r="L6751" s="5">
        <f t="shared" si="806"/>
        <v>5</v>
      </c>
      <c r="M6751" s="5">
        <f t="shared" si="807"/>
        <v>2013</v>
      </c>
    </row>
    <row r="6752" spans="1:13" ht="15" x14ac:dyDescent="0.25">
      <c r="A6752" s="1">
        <f>DATE(2013,5,21)</f>
        <v>41415</v>
      </c>
      <c r="B6752" t="s">
        <v>13</v>
      </c>
      <c r="C6752" t="s">
        <v>9</v>
      </c>
      <c r="D6752" s="3">
        <v>896.24480000000005</v>
      </c>
      <c r="E6752" s="3">
        <v>0</v>
      </c>
      <c r="F6752" t="s">
        <v>45</v>
      </c>
      <c r="G6752" s="3">
        <f t="shared" si="801"/>
        <v>-896.24480000000005</v>
      </c>
      <c r="H6752" s="3">
        <f t="shared" si="802"/>
        <v>896.24480000000005</v>
      </c>
      <c r="I6752" s="5" t="str">
        <f t="shared" si="803"/>
        <v>016</v>
      </c>
      <c r="J6752" s="5" t="str">
        <f t="shared" si="804"/>
        <v>2220</v>
      </c>
      <c r="K6752" s="5" t="str">
        <f t="shared" si="805"/>
        <v>000</v>
      </c>
      <c r="L6752" s="5">
        <f t="shared" si="806"/>
        <v>5</v>
      </c>
      <c r="M6752" s="5">
        <f t="shared" si="807"/>
        <v>2013</v>
      </c>
    </row>
    <row r="6753" spans="1:13" ht="15" x14ac:dyDescent="0.25">
      <c r="A6753" s="1">
        <f>DATE(2013,5,21)</f>
        <v>41415</v>
      </c>
      <c r="B6753" t="s">
        <v>14</v>
      </c>
      <c r="C6753" t="s">
        <v>10</v>
      </c>
      <c r="D6753" s="3">
        <v>89.641500000000008</v>
      </c>
      <c r="E6753" s="3">
        <v>0</v>
      </c>
      <c r="F6753" t="s">
        <v>45</v>
      </c>
      <c r="G6753" s="3">
        <f t="shared" si="801"/>
        <v>-89.641500000000008</v>
      </c>
      <c r="H6753" s="3">
        <f t="shared" si="802"/>
        <v>89.641500000000008</v>
      </c>
      <c r="I6753" s="5" t="str">
        <f t="shared" si="803"/>
        <v>016</v>
      </c>
      <c r="J6753" s="5" t="str">
        <f t="shared" si="804"/>
        <v>2230</v>
      </c>
      <c r="K6753" s="5" t="str">
        <f t="shared" si="805"/>
        <v>000</v>
      </c>
      <c r="L6753" s="5">
        <f t="shared" si="806"/>
        <v>5</v>
      </c>
      <c r="M6753" s="5">
        <f t="shared" si="807"/>
        <v>2013</v>
      </c>
    </row>
    <row r="6754" spans="1:13" ht="15" x14ac:dyDescent="0.25">
      <c r="A6754" s="1">
        <f>DATE(2013,5,22)</f>
        <v>41416</v>
      </c>
      <c r="B6754" t="s">
        <v>11</v>
      </c>
      <c r="C6754" t="s">
        <v>6</v>
      </c>
      <c r="D6754" s="3">
        <v>2399.2458999999999</v>
      </c>
      <c r="E6754" s="3">
        <v>0</v>
      </c>
      <c r="F6754" t="s">
        <v>45</v>
      </c>
      <c r="G6754" s="3">
        <f t="shared" si="801"/>
        <v>-2399.2458999999999</v>
      </c>
      <c r="H6754" s="3">
        <f t="shared" si="802"/>
        <v>2399.2458999999999</v>
      </c>
      <c r="I6754" s="5" t="str">
        <f t="shared" si="803"/>
        <v>016</v>
      </c>
      <c r="J6754" s="5" t="str">
        <f t="shared" si="804"/>
        <v>2100</v>
      </c>
      <c r="K6754" s="5" t="str">
        <f t="shared" si="805"/>
        <v>000</v>
      </c>
      <c r="L6754" s="5">
        <f t="shared" si="806"/>
        <v>5</v>
      </c>
      <c r="M6754" s="5">
        <f t="shared" si="807"/>
        <v>2013</v>
      </c>
    </row>
    <row r="6755" spans="1:13" ht="15" x14ac:dyDescent="0.25">
      <c r="A6755" s="1">
        <f>DATE(2013,5,22)</f>
        <v>41416</v>
      </c>
      <c r="B6755" t="s">
        <v>12</v>
      </c>
      <c r="C6755" t="s">
        <v>8</v>
      </c>
      <c r="D6755" s="3">
        <v>710.32800000000009</v>
      </c>
      <c r="E6755" s="3">
        <v>0</v>
      </c>
      <c r="F6755" t="s">
        <v>45</v>
      </c>
      <c r="G6755" s="3">
        <f t="shared" si="801"/>
        <v>-710.32800000000009</v>
      </c>
      <c r="H6755" s="3">
        <f t="shared" si="802"/>
        <v>710.32800000000009</v>
      </c>
      <c r="I6755" s="5" t="str">
        <f t="shared" si="803"/>
        <v>016</v>
      </c>
      <c r="J6755" s="5" t="str">
        <f t="shared" si="804"/>
        <v>2210</v>
      </c>
      <c r="K6755" s="5" t="str">
        <f t="shared" si="805"/>
        <v>000</v>
      </c>
      <c r="L6755" s="5">
        <f t="shared" si="806"/>
        <v>5</v>
      </c>
      <c r="M6755" s="5">
        <f t="shared" si="807"/>
        <v>2013</v>
      </c>
    </row>
    <row r="6756" spans="1:13" ht="15" x14ac:dyDescent="0.25">
      <c r="A6756" s="1">
        <f>DATE(2013,5,22)</f>
        <v>41416</v>
      </c>
      <c r="B6756" t="s">
        <v>13</v>
      </c>
      <c r="C6756" t="s">
        <v>9</v>
      </c>
      <c r="D6756" s="3">
        <v>149.98769999999999</v>
      </c>
      <c r="E6756" s="3">
        <v>0</v>
      </c>
      <c r="F6756" t="s">
        <v>45</v>
      </c>
      <c r="G6756" s="3">
        <f t="shared" si="801"/>
        <v>-149.98769999999999</v>
      </c>
      <c r="H6756" s="3">
        <f t="shared" si="802"/>
        <v>149.98769999999999</v>
      </c>
      <c r="I6756" s="5" t="str">
        <f t="shared" si="803"/>
        <v>016</v>
      </c>
      <c r="J6756" s="5" t="str">
        <f t="shared" si="804"/>
        <v>2220</v>
      </c>
      <c r="K6756" s="5" t="str">
        <f t="shared" si="805"/>
        <v>000</v>
      </c>
      <c r="L6756" s="5">
        <f t="shared" si="806"/>
        <v>5</v>
      </c>
      <c r="M6756" s="5">
        <f t="shared" si="807"/>
        <v>2013</v>
      </c>
    </row>
    <row r="6757" spans="1:13" ht="15" x14ac:dyDescent="0.25">
      <c r="A6757" s="1">
        <f>DATE(2013,5,22)</f>
        <v>41416</v>
      </c>
      <c r="B6757" t="s">
        <v>14</v>
      </c>
      <c r="C6757" t="s">
        <v>10</v>
      </c>
      <c r="D6757" s="3">
        <v>78.733199999999997</v>
      </c>
      <c r="E6757" s="3">
        <v>0</v>
      </c>
      <c r="F6757" t="s">
        <v>45</v>
      </c>
      <c r="G6757" s="3">
        <f t="shared" si="801"/>
        <v>-78.733199999999997</v>
      </c>
      <c r="H6757" s="3">
        <f t="shared" si="802"/>
        <v>78.733199999999997</v>
      </c>
      <c r="I6757" s="5" t="str">
        <f t="shared" si="803"/>
        <v>016</v>
      </c>
      <c r="J6757" s="5" t="str">
        <f t="shared" si="804"/>
        <v>2230</v>
      </c>
      <c r="K6757" s="5" t="str">
        <f t="shared" si="805"/>
        <v>000</v>
      </c>
      <c r="L6757" s="5">
        <f t="shared" si="806"/>
        <v>5</v>
      </c>
      <c r="M6757" s="5">
        <f t="shared" si="807"/>
        <v>2013</v>
      </c>
    </row>
    <row r="6758" spans="1:13" ht="15" x14ac:dyDescent="0.25">
      <c r="A6758" s="1">
        <f t="shared" ref="A6758:A6761" si="808">DATE(2013,5,23)</f>
        <v>41417</v>
      </c>
      <c r="B6758" t="s">
        <v>11</v>
      </c>
      <c r="C6758" t="s">
        <v>6</v>
      </c>
      <c r="D6758" s="3">
        <v>3218.81</v>
      </c>
      <c r="E6758" s="3">
        <v>0</v>
      </c>
      <c r="F6758" t="s">
        <v>45</v>
      </c>
      <c r="G6758" s="3">
        <f t="shared" si="801"/>
        <v>-3218.81</v>
      </c>
      <c r="H6758" s="3">
        <f t="shared" si="802"/>
        <v>3218.81</v>
      </c>
      <c r="I6758" s="5" t="str">
        <f t="shared" si="803"/>
        <v>016</v>
      </c>
      <c r="J6758" s="5" t="str">
        <f t="shared" si="804"/>
        <v>2100</v>
      </c>
      <c r="K6758" s="5" t="str">
        <f t="shared" si="805"/>
        <v>000</v>
      </c>
      <c r="L6758" s="5">
        <f t="shared" si="806"/>
        <v>5</v>
      </c>
      <c r="M6758" s="5">
        <f t="shared" si="807"/>
        <v>2013</v>
      </c>
    </row>
    <row r="6759" spans="1:13" ht="15" x14ac:dyDescent="0.25">
      <c r="A6759" s="1">
        <f t="shared" si="808"/>
        <v>41417</v>
      </c>
      <c r="B6759" t="s">
        <v>12</v>
      </c>
      <c r="C6759" t="s">
        <v>8</v>
      </c>
      <c r="D6759" s="3">
        <v>934.93679999999995</v>
      </c>
      <c r="E6759" s="3">
        <v>0</v>
      </c>
      <c r="F6759" t="s">
        <v>45</v>
      </c>
      <c r="G6759" s="3">
        <f t="shared" si="801"/>
        <v>-934.93679999999995</v>
      </c>
      <c r="H6759" s="3">
        <f t="shared" si="802"/>
        <v>934.93679999999995</v>
      </c>
      <c r="I6759" s="5" t="str">
        <f t="shared" si="803"/>
        <v>016</v>
      </c>
      <c r="J6759" s="5" t="str">
        <f t="shared" si="804"/>
        <v>2210</v>
      </c>
      <c r="K6759" s="5" t="str">
        <f t="shared" si="805"/>
        <v>000</v>
      </c>
      <c r="L6759" s="5">
        <f t="shared" si="806"/>
        <v>5</v>
      </c>
      <c r="M6759" s="5">
        <f t="shared" si="807"/>
        <v>2013</v>
      </c>
    </row>
    <row r="6760" spans="1:13" ht="15" x14ac:dyDescent="0.25">
      <c r="A6760" s="1">
        <f t="shared" si="808"/>
        <v>41417</v>
      </c>
      <c r="B6760" t="s">
        <v>13</v>
      </c>
      <c r="C6760" t="s">
        <v>9</v>
      </c>
      <c r="D6760" s="3">
        <v>139.55200000000002</v>
      </c>
      <c r="E6760" s="3">
        <v>0</v>
      </c>
      <c r="F6760" t="s">
        <v>45</v>
      </c>
      <c r="G6760" s="3">
        <f t="shared" si="801"/>
        <v>-139.55200000000002</v>
      </c>
      <c r="H6760" s="3">
        <f t="shared" si="802"/>
        <v>139.55200000000002</v>
      </c>
      <c r="I6760" s="5" t="str">
        <f t="shared" si="803"/>
        <v>016</v>
      </c>
      <c r="J6760" s="5" t="str">
        <f t="shared" si="804"/>
        <v>2220</v>
      </c>
      <c r="K6760" s="5" t="str">
        <f t="shared" si="805"/>
        <v>000</v>
      </c>
      <c r="L6760" s="5">
        <f t="shared" si="806"/>
        <v>5</v>
      </c>
      <c r="M6760" s="5">
        <f t="shared" si="807"/>
        <v>2013</v>
      </c>
    </row>
    <row r="6761" spans="1:13" ht="15" x14ac:dyDescent="0.25">
      <c r="A6761" s="1">
        <f t="shared" si="808"/>
        <v>41417</v>
      </c>
      <c r="B6761" t="s">
        <v>14</v>
      </c>
      <c r="C6761" t="s">
        <v>10</v>
      </c>
      <c r="D6761" s="3">
        <v>51.936299999999996</v>
      </c>
      <c r="E6761" s="3">
        <v>0</v>
      </c>
      <c r="F6761" t="s">
        <v>45</v>
      </c>
      <c r="G6761" s="3">
        <f t="shared" si="801"/>
        <v>-51.936299999999996</v>
      </c>
      <c r="H6761" s="3">
        <f t="shared" si="802"/>
        <v>51.936299999999996</v>
      </c>
      <c r="I6761" s="5" t="str">
        <f t="shared" si="803"/>
        <v>016</v>
      </c>
      <c r="J6761" s="5" t="str">
        <f t="shared" si="804"/>
        <v>2230</v>
      </c>
      <c r="K6761" s="5" t="str">
        <f t="shared" si="805"/>
        <v>000</v>
      </c>
      <c r="L6761" s="5">
        <f t="shared" si="806"/>
        <v>5</v>
      </c>
      <c r="M6761" s="5">
        <f t="shared" si="807"/>
        <v>2013</v>
      </c>
    </row>
    <row r="6762" spans="1:13" ht="15" x14ac:dyDescent="0.25">
      <c r="A6762" s="1">
        <f>DATE(2013,5,24)</f>
        <v>41418</v>
      </c>
      <c r="B6762" t="s">
        <v>11</v>
      </c>
      <c r="C6762" t="s">
        <v>6</v>
      </c>
      <c r="D6762" s="3">
        <v>8455.3657999999996</v>
      </c>
      <c r="E6762" s="3">
        <v>0</v>
      </c>
      <c r="F6762" t="s">
        <v>45</v>
      </c>
      <c r="G6762" s="3">
        <f t="shared" si="801"/>
        <v>-8455.3657999999996</v>
      </c>
      <c r="H6762" s="3">
        <f t="shared" si="802"/>
        <v>8455.3657999999996</v>
      </c>
      <c r="I6762" s="5" t="str">
        <f t="shared" si="803"/>
        <v>016</v>
      </c>
      <c r="J6762" s="5" t="str">
        <f t="shared" si="804"/>
        <v>2100</v>
      </c>
      <c r="K6762" s="5" t="str">
        <f t="shared" si="805"/>
        <v>000</v>
      </c>
      <c r="L6762" s="5">
        <f t="shared" si="806"/>
        <v>5</v>
      </c>
      <c r="M6762" s="5">
        <f t="shared" si="807"/>
        <v>2013</v>
      </c>
    </row>
    <row r="6763" spans="1:13" ht="15" x14ac:dyDescent="0.25">
      <c r="A6763" s="1">
        <f>DATE(2013,5,24)</f>
        <v>41418</v>
      </c>
      <c r="B6763" t="s">
        <v>12</v>
      </c>
      <c r="C6763" t="s">
        <v>8</v>
      </c>
      <c r="D6763" s="3">
        <v>1692.1671999999999</v>
      </c>
      <c r="E6763" s="3">
        <v>0</v>
      </c>
      <c r="F6763" t="s">
        <v>45</v>
      </c>
      <c r="G6763" s="3">
        <f t="shared" si="801"/>
        <v>-1692.1671999999999</v>
      </c>
      <c r="H6763" s="3">
        <f t="shared" si="802"/>
        <v>1692.1671999999999</v>
      </c>
      <c r="I6763" s="5" t="str">
        <f t="shared" si="803"/>
        <v>016</v>
      </c>
      <c r="J6763" s="5" t="str">
        <f t="shared" si="804"/>
        <v>2210</v>
      </c>
      <c r="K6763" s="5" t="str">
        <f t="shared" si="805"/>
        <v>000</v>
      </c>
      <c r="L6763" s="5">
        <f t="shared" si="806"/>
        <v>5</v>
      </c>
      <c r="M6763" s="5">
        <f t="shared" si="807"/>
        <v>2013</v>
      </c>
    </row>
    <row r="6764" spans="1:13" ht="15" x14ac:dyDescent="0.25">
      <c r="A6764" s="1">
        <f>DATE(2013,5,24)</f>
        <v>41418</v>
      </c>
      <c r="B6764" t="s">
        <v>13</v>
      </c>
      <c r="C6764" t="s">
        <v>9</v>
      </c>
      <c r="D6764" s="3">
        <v>568.1825</v>
      </c>
      <c r="E6764" s="3">
        <v>0</v>
      </c>
      <c r="F6764" t="s">
        <v>45</v>
      </c>
      <c r="G6764" s="3">
        <f t="shared" si="801"/>
        <v>-568.1825</v>
      </c>
      <c r="H6764" s="3">
        <f t="shared" si="802"/>
        <v>568.1825</v>
      </c>
      <c r="I6764" s="5" t="str">
        <f t="shared" si="803"/>
        <v>016</v>
      </c>
      <c r="J6764" s="5" t="str">
        <f t="shared" si="804"/>
        <v>2220</v>
      </c>
      <c r="K6764" s="5" t="str">
        <f t="shared" si="805"/>
        <v>000</v>
      </c>
      <c r="L6764" s="5">
        <f t="shared" si="806"/>
        <v>5</v>
      </c>
      <c r="M6764" s="5">
        <f t="shared" si="807"/>
        <v>2013</v>
      </c>
    </row>
    <row r="6765" spans="1:13" ht="15" x14ac:dyDescent="0.25">
      <c r="A6765" s="1">
        <f>DATE(2013,5,24)</f>
        <v>41418</v>
      </c>
      <c r="B6765" t="s">
        <v>14</v>
      </c>
      <c r="C6765" t="s">
        <v>10</v>
      </c>
      <c r="D6765" s="3">
        <v>263.40989999999999</v>
      </c>
      <c r="E6765" s="3">
        <v>0</v>
      </c>
      <c r="F6765" t="s">
        <v>45</v>
      </c>
      <c r="G6765" s="3">
        <f t="shared" si="801"/>
        <v>-263.40989999999999</v>
      </c>
      <c r="H6765" s="3">
        <f t="shared" si="802"/>
        <v>263.40989999999999</v>
      </c>
      <c r="I6765" s="5" t="str">
        <f t="shared" si="803"/>
        <v>016</v>
      </c>
      <c r="J6765" s="5" t="str">
        <f t="shared" si="804"/>
        <v>2230</v>
      </c>
      <c r="K6765" s="5" t="str">
        <f t="shared" si="805"/>
        <v>000</v>
      </c>
      <c r="L6765" s="5">
        <f t="shared" si="806"/>
        <v>5</v>
      </c>
      <c r="M6765" s="5">
        <f t="shared" si="807"/>
        <v>2013</v>
      </c>
    </row>
    <row r="6766" spans="1:13" ht="15" x14ac:dyDescent="0.25">
      <c r="A6766" s="1">
        <f>DATE(2013,5,25)</f>
        <v>41419</v>
      </c>
      <c r="B6766" t="s">
        <v>11</v>
      </c>
      <c r="C6766" t="s">
        <v>6</v>
      </c>
      <c r="D6766" s="3">
        <v>9409.8984</v>
      </c>
      <c r="E6766" s="3">
        <v>0</v>
      </c>
      <c r="F6766" t="s">
        <v>45</v>
      </c>
      <c r="G6766" s="3">
        <f t="shared" si="801"/>
        <v>-9409.8984</v>
      </c>
      <c r="H6766" s="3">
        <f t="shared" si="802"/>
        <v>9409.8984</v>
      </c>
      <c r="I6766" s="5" t="str">
        <f t="shared" si="803"/>
        <v>016</v>
      </c>
      <c r="J6766" s="5" t="str">
        <f t="shared" si="804"/>
        <v>2100</v>
      </c>
      <c r="K6766" s="5" t="str">
        <f t="shared" si="805"/>
        <v>000</v>
      </c>
      <c r="L6766" s="5">
        <f t="shared" si="806"/>
        <v>5</v>
      </c>
      <c r="M6766" s="5">
        <f t="shared" si="807"/>
        <v>2013</v>
      </c>
    </row>
    <row r="6767" spans="1:13" ht="15" x14ac:dyDescent="0.25">
      <c r="A6767" s="1">
        <f>DATE(2013,5,25)</f>
        <v>41419</v>
      </c>
      <c r="B6767" t="s">
        <v>12</v>
      </c>
      <c r="C6767" t="s">
        <v>8</v>
      </c>
      <c r="D6767" s="3">
        <v>2759.9414999999999</v>
      </c>
      <c r="E6767" s="3">
        <v>0</v>
      </c>
      <c r="F6767" t="s">
        <v>45</v>
      </c>
      <c r="G6767" s="3">
        <f t="shared" si="801"/>
        <v>-2759.9414999999999</v>
      </c>
      <c r="H6767" s="3">
        <f t="shared" si="802"/>
        <v>2759.9414999999999</v>
      </c>
      <c r="I6767" s="5" t="str">
        <f t="shared" si="803"/>
        <v>016</v>
      </c>
      <c r="J6767" s="5" t="str">
        <f t="shared" si="804"/>
        <v>2210</v>
      </c>
      <c r="K6767" s="5" t="str">
        <f t="shared" si="805"/>
        <v>000</v>
      </c>
      <c r="L6767" s="5">
        <f t="shared" si="806"/>
        <v>5</v>
      </c>
      <c r="M6767" s="5">
        <f t="shared" si="807"/>
        <v>2013</v>
      </c>
    </row>
    <row r="6768" spans="1:13" ht="15" x14ac:dyDescent="0.25">
      <c r="A6768" s="1">
        <f>DATE(2013,5,25)</f>
        <v>41419</v>
      </c>
      <c r="B6768" t="s">
        <v>13</v>
      </c>
      <c r="C6768" t="s">
        <v>9</v>
      </c>
      <c r="D6768" s="3">
        <v>306.81420000000003</v>
      </c>
      <c r="E6768" s="3">
        <v>0</v>
      </c>
      <c r="F6768" t="s">
        <v>45</v>
      </c>
      <c r="G6768" s="3">
        <f t="shared" si="801"/>
        <v>-306.81420000000003</v>
      </c>
      <c r="H6768" s="3">
        <f t="shared" si="802"/>
        <v>306.81420000000003</v>
      </c>
      <c r="I6768" s="5" t="str">
        <f t="shared" si="803"/>
        <v>016</v>
      </c>
      <c r="J6768" s="5" t="str">
        <f t="shared" si="804"/>
        <v>2220</v>
      </c>
      <c r="K6768" s="5" t="str">
        <f t="shared" si="805"/>
        <v>000</v>
      </c>
      <c r="L6768" s="5">
        <f t="shared" si="806"/>
        <v>5</v>
      </c>
      <c r="M6768" s="5">
        <f t="shared" si="807"/>
        <v>2013</v>
      </c>
    </row>
    <row r="6769" spans="1:13" ht="15" x14ac:dyDescent="0.25">
      <c r="A6769" s="1">
        <f>DATE(2013,5,25)</f>
        <v>41419</v>
      </c>
      <c r="B6769" t="s">
        <v>14</v>
      </c>
      <c r="C6769" t="s">
        <v>10</v>
      </c>
      <c r="D6769" s="3">
        <v>115.74160000000001</v>
      </c>
      <c r="E6769" s="3">
        <v>0</v>
      </c>
      <c r="F6769" t="s">
        <v>45</v>
      </c>
      <c r="G6769" s="3">
        <f t="shared" si="801"/>
        <v>-115.74160000000001</v>
      </c>
      <c r="H6769" s="3">
        <f t="shared" si="802"/>
        <v>115.74160000000001</v>
      </c>
      <c r="I6769" s="5" t="str">
        <f t="shared" si="803"/>
        <v>016</v>
      </c>
      <c r="J6769" s="5" t="str">
        <f t="shared" si="804"/>
        <v>2230</v>
      </c>
      <c r="K6769" s="5" t="str">
        <f t="shared" si="805"/>
        <v>000</v>
      </c>
      <c r="L6769" s="5">
        <f t="shared" si="806"/>
        <v>5</v>
      </c>
      <c r="M6769" s="5">
        <f t="shared" si="807"/>
        <v>2013</v>
      </c>
    </row>
    <row r="6770" spans="1:13" ht="15" x14ac:dyDescent="0.25">
      <c r="A6770" s="1">
        <f>DATE(2013,5,26)</f>
        <v>41420</v>
      </c>
      <c r="B6770" t="s">
        <v>11</v>
      </c>
      <c r="C6770" t="s">
        <v>6</v>
      </c>
      <c r="D6770" s="3">
        <v>6949.3040000000001</v>
      </c>
      <c r="E6770" s="3">
        <v>0</v>
      </c>
      <c r="F6770" t="s">
        <v>45</v>
      </c>
      <c r="G6770" s="3">
        <f t="shared" si="801"/>
        <v>-6949.3040000000001</v>
      </c>
      <c r="H6770" s="3">
        <f t="shared" si="802"/>
        <v>6949.3040000000001</v>
      </c>
      <c r="I6770" s="5" t="str">
        <f t="shared" si="803"/>
        <v>016</v>
      </c>
      <c r="J6770" s="5" t="str">
        <f t="shared" si="804"/>
        <v>2100</v>
      </c>
      <c r="K6770" s="5" t="str">
        <f t="shared" si="805"/>
        <v>000</v>
      </c>
      <c r="L6770" s="5">
        <f t="shared" si="806"/>
        <v>5</v>
      </c>
      <c r="M6770" s="5">
        <f t="shared" si="807"/>
        <v>2013</v>
      </c>
    </row>
    <row r="6771" spans="1:13" ht="15" x14ac:dyDescent="0.25">
      <c r="A6771" s="1">
        <f>DATE(2013,5,26)</f>
        <v>41420</v>
      </c>
      <c r="B6771" t="s">
        <v>12</v>
      </c>
      <c r="C6771" t="s">
        <v>8</v>
      </c>
      <c r="D6771" s="3">
        <v>1759.5340000000003</v>
      </c>
      <c r="E6771" s="3">
        <v>0</v>
      </c>
      <c r="F6771" t="s">
        <v>45</v>
      </c>
      <c r="G6771" s="3">
        <f t="shared" si="801"/>
        <v>-1759.5340000000003</v>
      </c>
      <c r="H6771" s="3">
        <f t="shared" si="802"/>
        <v>1759.5340000000003</v>
      </c>
      <c r="I6771" s="5" t="str">
        <f t="shared" si="803"/>
        <v>016</v>
      </c>
      <c r="J6771" s="5" t="str">
        <f t="shared" si="804"/>
        <v>2210</v>
      </c>
      <c r="K6771" s="5" t="str">
        <f t="shared" si="805"/>
        <v>000</v>
      </c>
      <c r="L6771" s="5">
        <f t="shared" si="806"/>
        <v>5</v>
      </c>
      <c r="M6771" s="5">
        <f t="shared" si="807"/>
        <v>2013</v>
      </c>
    </row>
    <row r="6772" spans="1:13" ht="15" x14ac:dyDescent="0.25">
      <c r="A6772" s="1">
        <f>DATE(2013,5,26)</f>
        <v>41420</v>
      </c>
      <c r="B6772" t="s">
        <v>13</v>
      </c>
      <c r="C6772" t="s">
        <v>9</v>
      </c>
      <c r="D6772" s="3">
        <v>224.98629999999997</v>
      </c>
      <c r="E6772" s="3">
        <v>0</v>
      </c>
      <c r="F6772" t="s">
        <v>45</v>
      </c>
      <c r="G6772" s="3">
        <f t="shared" si="801"/>
        <v>-224.98629999999997</v>
      </c>
      <c r="H6772" s="3">
        <f t="shared" si="802"/>
        <v>224.98629999999997</v>
      </c>
      <c r="I6772" s="5" t="str">
        <f t="shared" si="803"/>
        <v>016</v>
      </c>
      <c r="J6772" s="5" t="str">
        <f t="shared" si="804"/>
        <v>2220</v>
      </c>
      <c r="K6772" s="5" t="str">
        <f t="shared" si="805"/>
        <v>000</v>
      </c>
      <c r="L6772" s="5">
        <f t="shared" si="806"/>
        <v>5</v>
      </c>
      <c r="M6772" s="5">
        <f t="shared" si="807"/>
        <v>2013</v>
      </c>
    </row>
    <row r="6773" spans="1:13" ht="15" x14ac:dyDescent="0.25">
      <c r="A6773" s="1">
        <f>DATE(2013,5,26)</f>
        <v>41420</v>
      </c>
      <c r="B6773" t="s">
        <v>14</v>
      </c>
      <c r="C6773" t="s">
        <v>10</v>
      </c>
      <c r="D6773" s="3">
        <v>84.600899999999996</v>
      </c>
      <c r="E6773" s="3">
        <v>0</v>
      </c>
      <c r="F6773" t="s">
        <v>45</v>
      </c>
      <c r="G6773" s="3">
        <f t="shared" si="801"/>
        <v>-84.600899999999996</v>
      </c>
      <c r="H6773" s="3">
        <f t="shared" si="802"/>
        <v>84.600899999999996</v>
      </c>
      <c r="I6773" s="5" t="str">
        <f t="shared" si="803"/>
        <v>016</v>
      </c>
      <c r="J6773" s="5" t="str">
        <f t="shared" si="804"/>
        <v>2230</v>
      </c>
      <c r="K6773" s="5" t="str">
        <f t="shared" si="805"/>
        <v>000</v>
      </c>
      <c r="L6773" s="5">
        <f t="shared" si="806"/>
        <v>5</v>
      </c>
      <c r="M6773" s="5">
        <f t="shared" si="807"/>
        <v>2013</v>
      </c>
    </row>
    <row r="6774" spans="1:13" ht="15" x14ac:dyDescent="0.25">
      <c r="A6774" s="1">
        <f>DATE(2013,5,20)</f>
        <v>41414</v>
      </c>
      <c r="B6774" t="s">
        <v>15</v>
      </c>
      <c r="C6774" t="s">
        <v>6</v>
      </c>
      <c r="D6774" s="3">
        <v>5255.2589000000007</v>
      </c>
      <c r="E6774" s="3">
        <v>0</v>
      </c>
      <c r="F6774" t="s">
        <v>45</v>
      </c>
      <c r="G6774" s="3">
        <f t="shared" si="801"/>
        <v>-5255.2589000000007</v>
      </c>
      <c r="H6774" s="3">
        <f t="shared" si="802"/>
        <v>5255.2589000000007</v>
      </c>
      <c r="I6774" s="5" t="str">
        <f t="shared" si="803"/>
        <v>017</v>
      </c>
      <c r="J6774" s="5" t="str">
        <f t="shared" si="804"/>
        <v>2100</v>
      </c>
      <c r="K6774" s="5" t="str">
        <f t="shared" si="805"/>
        <v>000</v>
      </c>
      <c r="L6774" s="5">
        <f t="shared" si="806"/>
        <v>5</v>
      </c>
      <c r="M6774" s="5">
        <f t="shared" si="807"/>
        <v>2013</v>
      </c>
    </row>
    <row r="6775" spans="1:13" ht="15" x14ac:dyDescent="0.25">
      <c r="A6775" s="1">
        <f>DATE(2013,5,20)</f>
        <v>41414</v>
      </c>
      <c r="B6775" t="s">
        <v>16</v>
      </c>
      <c r="C6775" t="s">
        <v>8</v>
      </c>
      <c r="D6775" s="3">
        <v>3147.6896000000002</v>
      </c>
      <c r="E6775" s="3">
        <v>0</v>
      </c>
      <c r="F6775" t="s">
        <v>45</v>
      </c>
      <c r="G6775" s="3">
        <f t="shared" si="801"/>
        <v>-3147.6896000000002</v>
      </c>
      <c r="H6775" s="3">
        <f t="shared" si="802"/>
        <v>3147.6896000000002</v>
      </c>
      <c r="I6775" s="5" t="str">
        <f t="shared" si="803"/>
        <v>017</v>
      </c>
      <c r="J6775" s="5" t="str">
        <f t="shared" si="804"/>
        <v>2210</v>
      </c>
      <c r="K6775" s="5" t="str">
        <f t="shared" si="805"/>
        <v>000</v>
      </c>
      <c r="L6775" s="5">
        <f t="shared" si="806"/>
        <v>5</v>
      </c>
      <c r="M6775" s="5">
        <f t="shared" si="807"/>
        <v>2013</v>
      </c>
    </row>
    <row r="6776" spans="1:13" ht="15" x14ac:dyDescent="0.25">
      <c r="A6776" s="1">
        <f>DATE(2013,5,20)</f>
        <v>41414</v>
      </c>
      <c r="B6776" t="s">
        <v>17</v>
      </c>
      <c r="C6776" t="s">
        <v>9</v>
      </c>
      <c r="D6776" s="3">
        <v>364.03299999999996</v>
      </c>
      <c r="E6776" s="3">
        <v>0</v>
      </c>
      <c r="F6776" t="s">
        <v>45</v>
      </c>
      <c r="G6776" s="3">
        <f t="shared" si="801"/>
        <v>-364.03299999999996</v>
      </c>
      <c r="H6776" s="3">
        <f t="shared" si="802"/>
        <v>364.03299999999996</v>
      </c>
      <c r="I6776" s="5" t="str">
        <f t="shared" si="803"/>
        <v>017</v>
      </c>
      <c r="J6776" s="5" t="str">
        <f t="shared" si="804"/>
        <v>2220</v>
      </c>
      <c r="K6776" s="5" t="str">
        <f t="shared" si="805"/>
        <v>000</v>
      </c>
      <c r="L6776" s="5">
        <f t="shared" si="806"/>
        <v>5</v>
      </c>
      <c r="M6776" s="5">
        <f t="shared" si="807"/>
        <v>2013</v>
      </c>
    </row>
    <row r="6777" spans="1:13" ht="15" x14ac:dyDescent="0.25">
      <c r="A6777" s="1">
        <f>DATE(2013,5,20)</f>
        <v>41414</v>
      </c>
      <c r="B6777" t="s">
        <v>18</v>
      </c>
      <c r="C6777" t="s">
        <v>10</v>
      </c>
      <c r="D6777" s="3">
        <v>187.33270000000002</v>
      </c>
      <c r="E6777" s="3">
        <v>0</v>
      </c>
      <c r="F6777" t="s">
        <v>45</v>
      </c>
      <c r="G6777" s="3">
        <f t="shared" si="801"/>
        <v>-187.33270000000002</v>
      </c>
      <c r="H6777" s="3">
        <f t="shared" si="802"/>
        <v>187.33270000000002</v>
      </c>
      <c r="I6777" s="5" t="str">
        <f t="shared" si="803"/>
        <v>017</v>
      </c>
      <c r="J6777" s="5" t="str">
        <f t="shared" si="804"/>
        <v>2230</v>
      </c>
      <c r="K6777" s="5" t="str">
        <f t="shared" si="805"/>
        <v>000</v>
      </c>
      <c r="L6777" s="5">
        <f t="shared" si="806"/>
        <v>5</v>
      </c>
      <c r="M6777" s="5">
        <f t="shared" si="807"/>
        <v>2013</v>
      </c>
    </row>
    <row r="6778" spans="1:13" ht="15" x14ac:dyDescent="0.25">
      <c r="A6778" s="1">
        <f>DATE(2013,5,21)</f>
        <v>41415</v>
      </c>
      <c r="B6778" t="s">
        <v>15</v>
      </c>
      <c r="C6778" t="s">
        <v>6</v>
      </c>
      <c r="D6778" s="3">
        <v>6998.9128000000001</v>
      </c>
      <c r="E6778" s="3">
        <v>0</v>
      </c>
      <c r="F6778" t="s">
        <v>45</v>
      </c>
      <c r="G6778" s="3">
        <f t="shared" si="801"/>
        <v>-6998.9128000000001</v>
      </c>
      <c r="H6778" s="3">
        <f t="shared" si="802"/>
        <v>6998.9128000000001</v>
      </c>
      <c r="I6778" s="5" t="str">
        <f t="shared" si="803"/>
        <v>017</v>
      </c>
      <c r="J6778" s="5" t="str">
        <f t="shared" si="804"/>
        <v>2100</v>
      </c>
      <c r="K6778" s="5" t="str">
        <f t="shared" si="805"/>
        <v>000</v>
      </c>
      <c r="L6778" s="5">
        <f t="shared" si="806"/>
        <v>5</v>
      </c>
      <c r="M6778" s="5">
        <f t="shared" si="807"/>
        <v>2013</v>
      </c>
    </row>
    <row r="6779" spans="1:13" ht="15" x14ac:dyDescent="0.25">
      <c r="A6779" s="1">
        <f>DATE(2013,5,21)</f>
        <v>41415</v>
      </c>
      <c r="B6779" t="s">
        <v>16</v>
      </c>
      <c r="C6779" t="s">
        <v>8</v>
      </c>
      <c r="D6779" s="3">
        <v>1729.0493000000001</v>
      </c>
      <c r="E6779" s="3">
        <v>0</v>
      </c>
      <c r="F6779" t="s">
        <v>45</v>
      </c>
      <c r="G6779" s="3">
        <f t="shared" si="801"/>
        <v>-1729.0493000000001</v>
      </c>
      <c r="H6779" s="3">
        <f t="shared" si="802"/>
        <v>1729.0493000000001</v>
      </c>
      <c r="I6779" s="5" t="str">
        <f t="shared" si="803"/>
        <v>017</v>
      </c>
      <c r="J6779" s="5" t="str">
        <f t="shared" si="804"/>
        <v>2210</v>
      </c>
      <c r="K6779" s="5" t="str">
        <f t="shared" si="805"/>
        <v>000</v>
      </c>
      <c r="L6779" s="5">
        <f t="shared" si="806"/>
        <v>5</v>
      </c>
      <c r="M6779" s="5">
        <f t="shared" si="807"/>
        <v>2013</v>
      </c>
    </row>
    <row r="6780" spans="1:13" ht="15" x14ac:dyDescent="0.25">
      <c r="A6780" s="1">
        <f>DATE(2013,5,21)</f>
        <v>41415</v>
      </c>
      <c r="B6780" t="s">
        <v>17</v>
      </c>
      <c r="C6780" t="s">
        <v>9</v>
      </c>
      <c r="D6780" s="3">
        <v>368.1216</v>
      </c>
      <c r="E6780" s="3">
        <v>0</v>
      </c>
      <c r="F6780" t="s">
        <v>45</v>
      </c>
      <c r="G6780" s="3">
        <f t="shared" si="801"/>
        <v>-368.1216</v>
      </c>
      <c r="H6780" s="3">
        <f t="shared" si="802"/>
        <v>368.1216</v>
      </c>
      <c r="I6780" s="5" t="str">
        <f t="shared" si="803"/>
        <v>017</v>
      </c>
      <c r="J6780" s="5" t="str">
        <f t="shared" si="804"/>
        <v>2220</v>
      </c>
      <c r="K6780" s="5" t="str">
        <f t="shared" si="805"/>
        <v>000</v>
      </c>
      <c r="L6780" s="5">
        <f t="shared" si="806"/>
        <v>5</v>
      </c>
      <c r="M6780" s="5">
        <f t="shared" si="807"/>
        <v>2013</v>
      </c>
    </row>
    <row r="6781" spans="1:13" ht="15" x14ac:dyDescent="0.25">
      <c r="A6781" s="1">
        <f>DATE(2013,5,21)</f>
        <v>41415</v>
      </c>
      <c r="B6781" t="s">
        <v>18</v>
      </c>
      <c r="C6781" t="s">
        <v>10</v>
      </c>
      <c r="D6781" s="3">
        <v>137.0478</v>
      </c>
      <c r="E6781" s="3">
        <v>0</v>
      </c>
      <c r="F6781" t="s">
        <v>45</v>
      </c>
      <c r="G6781" s="3">
        <f t="shared" si="801"/>
        <v>-137.0478</v>
      </c>
      <c r="H6781" s="3">
        <f t="shared" si="802"/>
        <v>137.0478</v>
      </c>
      <c r="I6781" s="5" t="str">
        <f t="shared" si="803"/>
        <v>017</v>
      </c>
      <c r="J6781" s="5" t="str">
        <f t="shared" si="804"/>
        <v>2230</v>
      </c>
      <c r="K6781" s="5" t="str">
        <f t="shared" si="805"/>
        <v>000</v>
      </c>
      <c r="L6781" s="5">
        <f t="shared" si="806"/>
        <v>5</v>
      </c>
      <c r="M6781" s="5">
        <f t="shared" si="807"/>
        <v>2013</v>
      </c>
    </row>
    <row r="6782" spans="1:13" ht="15" x14ac:dyDescent="0.25">
      <c r="A6782" s="1">
        <f>DATE(2013,5,22)</f>
        <v>41416</v>
      </c>
      <c r="B6782" t="s">
        <v>15</v>
      </c>
      <c r="C6782" t="s">
        <v>6</v>
      </c>
      <c r="D6782" s="3">
        <v>7079.1947999999993</v>
      </c>
      <c r="E6782" s="3">
        <v>0</v>
      </c>
      <c r="F6782" t="s">
        <v>45</v>
      </c>
      <c r="G6782" s="3">
        <f t="shared" si="801"/>
        <v>-7079.1947999999993</v>
      </c>
      <c r="H6782" s="3">
        <f t="shared" si="802"/>
        <v>7079.1947999999993</v>
      </c>
      <c r="I6782" s="5" t="str">
        <f t="shared" si="803"/>
        <v>017</v>
      </c>
      <c r="J6782" s="5" t="str">
        <f t="shared" si="804"/>
        <v>2100</v>
      </c>
      <c r="K6782" s="5" t="str">
        <f t="shared" si="805"/>
        <v>000</v>
      </c>
      <c r="L6782" s="5">
        <f t="shared" si="806"/>
        <v>5</v>
      </c>
      <c r="M6782" s="5">
        <f t="shared" si="807"/>
        <v>2013</v>
      </c>
    </row>
    <row r="6783" spans="1:13" ht="15" x14ac:dyDescent="0.25">
      <c r="A6783" s="1">
        <f>DATE(2013,5,22)</f>
        <v>41416</v>
      </c>
      <c r="B6783" t="s">
        <v>16</v>
      </c>
      <c r="C6783" t="s">
        <v>8</v>
      </c>
      <c r="D6783" s="3">
        <v>1988.1680000000001</v>
      </c>
      <c r="E6783" s="3">
        <v>0</v>
      </c>
      <c r="F6783" t="s">
        <v>45</v>
      </c>
      <c r="G6783" s="3">
        <f t="shared" si="801"/>
        <v>-1988.1680000000001</v>
      </c>
      <c r="H6783" s="3">
        <f t="shared" si="802"/>
        <v>1988.1680000000001</v>
      </c>
      <c r="I6783" s="5" t="str">
        <f t="shared" si="803"/>
        <v>017</v>
      </c>
      <c r="J6783" s="5" t="str">
        <f t="shared" si="804"/>
        <v>2210</v>
      </c>
      <c r="K6783" s="5" t="str">
        <f t="shared" si="805"/>
        <v>000</v>
      </c>
      <c r="L6783" s="5">
        <f t="shared" si="806"/>
        <v>5</v>
      </c>
      <c r="M6783" s="5">
        <f t="shared" si="807"/>
        <v>2013</v>
      </c>
    </row>
    <row r="6784" spans="1:13" ht="15" x14ac:dyDescent="0.25">
      <c r="A6784" s="1">
        <f>DATE(2013,5,22)</f>
        <v>41416</v>
      </c>
      <c r="B6784" t="s">
        <v>17</v>
      </c>
      <c r="C6784" t="s">
        <v>9</v>
      </c>
      <c r="D6784" s="3">
        <v>422.61599999999999</v>
      </c>
      <c r="E6784" s="3">
        <v>0</v>
      </c>
      <c r="F6784" t="s">
        <v>45</v>
      </c>
      <c r="G6784" s="3">
        <f t="shared" si="801"/>
        <v>-422.61599999999999</v>
      </c>
      <c r="H6784" s="3">
        <f t="shared" si="802"/>
        <v>422.61599999999999</v>
      </c>
      <c r="I6784" s="5" t="str">
        <f t="shared" si="803"/>
        <v>017</v>
      </c>
      <c r="J6784" s="5" t="str">
        <f t="shared" si="804"/>
        <v>2220</v>
      </c>
      <c r="K6784" s="5" t="str">
        <f t="shared" si="805"/>
        <v>000</v>
      </c>
      <c r="L6784" s="5">
        <f t="shared" si="806"/>
        <v>5</v>
      </c>
      <c r="M6784" s="5">
        <f t="shared" si="807"/>
        <v>2013</v>
      </c>
    </row>
    <row r="6785" spans="1:13" ht="15" x14ac:dyDescent="0.25">
      <c r="A6785" s="1">
        <f>DATE(2013,5,22)</f>
        <v>41416</v>
      </c>
      <c r="B6785" t="s">
        <v>18</v>
      </c>
      <c r="C6785" t="s">
        <v>10</v>
      </c>
      <c r="D6785" s="3">
        <v>92.137499999999989</v>
      </c>
      <c r="E6785" s="3">
        <v>0</v>
      </c>
      <c r="F6785" t="s">
        <v>45</v>
      </c>
      <c r="G6785" s="3">
        <f t="shared" si="801"/>
        <v>-92.137499999999989</v>
      </c>
      <c r="H6785" s="3">
        <f t="shared" si="802"/>
        <v>92.137499999999989</v>
      </c>
      <c r="I6785" s="5" t="str">
        <f t="shared" si="803"/>
        <v>017</v>
      </c>
      <c r="J6785" s="5" t="str">
        <f t="shared" si="804"/>
        <v>2230</v>
      </c>
      <c r="K6785" s="5" t="str">
        <f t="shared" si="805"/>
        <v>000</v>
      </c>
      <c r="L6785" s="5">
        <f t="shared" si="806"/>
        <v>5</v>
      </c>
      <c r="M6785" s="5">
        <f t="shared" si="807"/>
        <v>2013</v>
      </c>
    </row>
    <row r="6786" spans="1:13" ht="15" x14ac:dyDescent="0.25">
      <c r="A6786" s="1">
        <f>DATE(2013,5,23)</f>
        <v>41417</v>
      </c>
      <c r="B6786" t="s">
        <v>15</v>
      </c>
      <c r="C6786" t="s">
        <v>6</v>
      </c>
      <c r="D6786" s="3">
        <v>6436.3151999999991</v>
      </c>
      <c r="E6786" s="3">
        <v>0</v>
      </c>
      <c r="F6786" t="s">
        <v>45</v>
      </c>
      <c r="G6786" s="3">
        <f t="shared" ref="G6786:G6849" si="809">E6786-D6786</f>
        <v>-6436.3151999999991</v>
      </c>
      <c r="H6786" s="3">
        <f t="shared" ref="H6786:H6849" si="810">ABS(G6786)</f>
        <v>6436.3151999999991</v>
      </c>
      <c r="I6786" s="5" t="str">
        <f t="shared" ref="I6786:I6849" si="811">MID(B6786,1,3)</f>
        <v>017</v>
      </c>
      <c r="J6786" s="5" t="str">
        <f t="shared" ref="J6786:J6849" si="812">MID(B6786,5,4)</f>
        <v>2100</v>
      </c>
      <c r="K6786" s="5" t="str">
        <f t="shared" ref="K6786:K6849" si="813">MID(B6786,10,3)</f>
        <v>000</v>
      </c>
      <c r="L6786" s="5">
        <f t="shared" ref="L6786:L6849" si="814">MONTH(A6786)</f>
        <v>5</v>
      </c>
      <c r="M6786" s="5">
        <f t="shared" ref="M6786:M6849" si="815">YEAR(A6786)</f>
        <v>2013</v>
      </c>
    </row>
    <row r="6787" spans="1:13" ht="15" x14ac:dyDescent="0.25">
      <c r="A6787" s="1">
        <f>DATE(2013,5,23)</f>
        <v>41417</v>
      </c>
      <c r="B6787" t="s">
        <v>16</v>
      </c>
      <c r="C6787" t="s">
        <v>8</v>
      </c>
      <c r="D6787" s="3">
        <v>2390.7599999999998</v>
      </c>
      <c r="E6787" s="3">
        <v>0</v>
      </c>
      <c r="F6787" t="s">
        <v>45</v>
      </c>
      <c r="G6787" s="3">
        <f t="shared" si="809"/>
        <v>-2390.7599999999998</v>
      </c>
      <c r="H6787" s="3">
        <f t="shared" si="810"/>
        <v>2390.7599999999998</v>
      </c>
      <c r="I6787" s="5" t="str">
        <f t="shared" si="811"/>
        <v>017</v>
      </c>
      <c r="J6787" s="5" t="str">
        <f t="shared" si="812"/>
        <v>2210</v>
      </c>
      <c r="K6787" s="5" t="str">
        <f t="shared" si="813"/>
        <v>000</v>
      </c>
      <c r="L6787" s="5">
        <f t="shared" si="814"/>
        <v>5</v>
      </c>
      <c r="M6787" s="5">
        <f t="shared" si="815"/>
        <v>2013</v>
      </c>
    </row>
    <row r="6788" spans="1:13" ht="15" x14ac:dyDescent="0.25">
      <c r="A6788" s="1">
        <f>DATE(2013,5,23)</f>
        <v>41417</v>
      </c>
      <c r="B6788" t="s">
        <v>17</v>
      </c>
      <c r="C6788" t="s">
        <v>9</v>
      </c>
      <c r="D6788" s="3">
        <v>576.58320000000003</v>
      </c>
      <c r="E6788" s="3">
        <v>0</v>
      </c>
      <c r="F6788" t="s">
        <v>45</v>
      </c>
      <c r="G6788" s="3">
        <f t="shared" si="809"/>
        <v>-576.58320000000003</v>
      </c>
      <c r="H6788" s="3">
        <f t="shared" si="810"/>
        <v>576.58320000000003</v>
      </c>
      <c r="I6788" s="5" t="str">
        <f t="shared" si="811"/>
        <v>017</v>
      </c>
      <c r="J6788" s="5" t="str">
        <f t="shared" si="812"/>
        <v>2220</v>
      </c>
      <c r="K6788" s="5" t="str">
        <f t="shared" si="813"/>
        <v>000</v>
      </c>
      <c r="L6788" s="5">
        <f t="shared" si="814"/>
        <v>5</v>
      </c>
      <c r="M6788" s="5">
        <f t="shared" si="815"/>
        <v>2013</v>
      </c>
    </row>
    <row r="6789" spans="1:13" ht="15" x14ac:dyDescent="0.25">
      <c r="A6789" s="1">
        <f>DATE(2013,5,23)</f>
        <v>41417</v>
      </c>
      <c r="B6789" t="s">
        <v>18</v>
      </c>
      <c r="C6789" t="s">
        <v>10</v>
      </c>
      <c r="D6789" s="3">
        <v>52.570800000000006</v>
      </c>
      <c r="E6789" s="3">
        <v>0</v>
      </c>
      <c r="F6789" t="s">
        <v>45</v>
      </c>
      <c r="G6789" s="3">
        <f t="shared" si="809"/>
        <v>-52.570800000000006</v>
      </c>
      <c r="H6789" s="3">
        <f t="shared" si="810"/>
        <v>52.570800000000006</v>
      </c>
      <c r="I6789" s="5" t="str">
        <f t="shared" si="811"/>
        <v>017</v>
      </c>
      <c r="J6789" s="5" t="str">
        <f t="shared" si="812"/>
        <v>2230</v>
      </c>
      <c r="K6789" s="5" t="str">
        <f t="shared" si="813"/>
        <v>000</v>
      </c>
      <c r="L6789" s="5">
        <f t="shared" si="814"/>
        <v>5</v>
      </c>
      <c r="M6789" s="5">
        <f t="shared" si="815"/>
        <v>2013</v>
      </c>
    </row>
    <row r="6790" spans="1:13" ht="15" x14ac:dyDescent="0.25">
      <c r="A6790" s="1">
        <f>DATE(2013,5,24)</f>
        <v>41418</v>
      </c>
      <c r="B6790" t="s">
        <v>15</v>
      </c>
      <c r="C6790" t="s">
        <v>6</v>
      </c>
      <c r="D6790" s="3">
        <v>8538.2142999999996</v>
      </c>
      <c r="E6790" s="3">
        <v>0</v>
      </c>
      <c r="F6790" t="s">
        <v>45</v>
      </c>
      <c r="G6790" s="3">
        <f t="shared" si="809"/>
        <v>-8538.2142999999996</v>
      </c>
      <c r="H6790" s="3">
        <f t="shared" si="810"/>
        <v>8538.2142999999996</v>
      </c>
      <c r="I6790" s="5" t="str">
        <f t="shared" si="811"/>
        <v>017</v>
      </c>
      <c r="J6790" s="5" t="str">
        <f t="shared" si="812"/>
        <v>2100</v>
      </c>
      <c r="K6790" s="5" t="str">
        <f t="shared" si="813"/>
        <v>000</v>
      </c>
      <c r="L6790" s="5">
        <f t="shared" si="814"/>
        <v>5</v>
      </c>
      <c r="M6790" s="5">
        <f t="shared" si="815"/>
        <v>2013</v>
      </c>
    </row>
    <row r="6791" spans="1:13" ht="15" x14ac:dyDescent="0.25">
      <c r="A6791" s="1">
        <f>DATE(2013,5,24)</f>
        <v>41418</v>
      </c>
      <c r="B6791" t="s">
        <v>16</v>
      </c>
      <c r="C6791" t="s">
        <v>8</v>
      </c>
      <c r="D6791" s="3">
        <v>2518.5042000000003</v>
      </c>
      <c r="E6791" s="3">
        <v>0</v>
      </c>
      <c r="F6791" t="s">
        <v>45</v>
      </c>
      <c r="G6791" s="3">
        <f t="shared" si="809"/>
        <v>-2518.5042000000003</v>
      </c>
      <c r="H6791" s="3">
        <f t="shared" si="810"/>
        <v>2518.5042000000003</v>
      </c>
      <c r="I6791" s="5" t="str">
        <f t="shared" si="811"/>
        <v>017</v>
      </c>
      <c r="J6791" s="5" t="str">
        <f t="shared" si="812"/>
        <v>2210</v>
      </c>
      <c r="K6791" s="5" t="str">
        <f t="shared" si="813"/>
        <v>000</v>
      </c>
      <c r="L6791" s="5">
        <f t="shared" si="814"/>
        <v>5</v>
      </c>
      <c r="M6791" s="5">
        <f t="shared" si="815"/>
        <v>2013</v>
      </c>
    </row>
    <row r="6792" spans="1:13" ht="15" x14ac:dyDescent="0.25">
      <c r="A6792" s="1">
        <f>DATE(2013,5,24)</f>
        <v>41418</v>
      </c>
      <c r="B6792" t="s">
        <v>17</v>
      </c>
      <c r="C6792" t="s">
        <v>9</v>
      </c>
      <c r="D6792" s="3">
        <v>256.66739999999999</v>
      </c>
      <c r="E6792" s="3">
        <v>0</v>
      </c>
      <c r="F6792" t="s">
        <v>45</v>
      </c>
      <c r="G6792" s="3">
        <f t="shared" si="809"/>
        <v>-256.66739999999999</v>
      </c>
      <c r="H6792" s="3">
        <f t="shared" si="810"/>
        <v>256.66739999999999</v>
      </c>
      <c r="I6792" s="5" t="str">
        <f t="shared" si="811"/>
        <v>017</v>
      </c>
      <c r="J6792" s="5" t="str">
        <f t="shared" si="812"/>
        <v>2220</v>
      </c>
      <c r="K6792" s="5" t="str">
        <f t="shared" si="813"/>
        <v>000</v>
      </c>
      <c r="L6792" s="5">
        <f t="shared" si="814"/>
        <v>5</v>
      </c>
      <c r="M6792" s="5">
        <f t="shared" si="815"/>
        <v>2013</v>
      </c>
    </row>
    <row r="6793" spans="1:13" ht="15" x14ac:dyDescent="0.25">
      <c r="A6793" s="1">
        <f>DATE(2013,5,24)</f>
        <v>41418</v>
      </c>
      <c r="B6793" t="s">
        <v>18</v>
      </c>
      <c r="C6793" t="s">
        <v>10</v>
      </c>
      <c r="D6793" s="3">
        <v>103.30240000000001</v>
      </c>
      <c r="E6793" s="3">
        <v>0</v>
      </c>
      <c r="F6793" t="s">
        <v>45</v>
      </c>
      <c r="G6793" s="3">
        <f t="shared" si="809"/>
        <v>-103.30240000000001</v>
      </c>
      <c r="H6793" s="3">
        <f t="shared" si="810"/>
        <v>103.30240000000001</v>
      </c>
      <c r="I6793" s="5" t="str">
        <f t="shared" si="811"/>
        <v>017</v>
      </c>
      <c r="J6793" s="5" t="str">
        <f t="shared" si="812"/>
        <v>2230</v>
      </c>
      <c r="K6793" s="5" t="str">
        <f t="shared" si="813"/>
        <v>000</v>
      </c>
      <c r="L6793" s="5">
        <f t="shared" si="814"/>
        <v>5</v>
      </c>
      <c r="M6793" s="5">
        <f t="shared" si="815"/>
        <v>2013</v>
      </c>
    </row>
    <row r="6794" spans="1:13" ht="15" x14ac:dyDescent="0.25">
      <c r="A6794" s="1">
        <f>DATE(2013,5,25)</f>
        <v>41419</v>
      </c>
      <c r="B6794" t="s">
        <v>15</v>
      </c>
      <c r="C6794" t="s">
        <v>6</v>
      </c>
      <c r="D6794" s="3">
        <v>6522.8160000000007</v>
      </c>
      <c r="E6794" s="3">
        <v>0</v>
      </c>
      <c r="F6794" t="s">
        <v>45</v>
      </c>
      <c r="G6794" s="3">
        <f t="shared" si="809"/>
        <v>-6522.8160000000007</v>
      </c>
      <c r="H6794" s="3">
        <f t="shared" si="810"/>
        <v>6522.8160000000007</v>
      </c>
      <c r="I6794" s="5" t="str">
        <f t="shared" si="811"/>
        <v>017</v>
      </c>
      <c r="J6794" s="5" t="str">
        <f t="shared" si="812"/>
        <v>2100</v>
      </c>
      <c r="K6794" s="5" t="str">
        <f t="shared" si="813"/>
        <v>000</v>
      </c>
      <c r="L6794" s="5">
        <f t="shared" si="814"/>
        <v>5</v>
      </c>
      <c r="M6794" s="5">
        <f t="shared" si="815"/>
        <v>2013</v>
      </c>
    </row>
    <row r="6795" spans="1:13" ht="15" x14ac:dyDescent="0.25">
      <c r="A6795" s="1">
        <f>DATE(2013,5,25)</f>
        <v>41419</v>
      </c>
      <c r="B6795" t="s">
        <v>16</v>
      </c>
      <c r="C6795" t="s">
        <v>8</v>
      </c>
      <c r="D6795" s="3">
        <v>1738.8820000000001</v>
      </c>
      <c r="E6795" s="3">
        <v>0</v>
      </c>
      <c r="F6795" t="s">
        <v>45</v>
      </c>
      <c r="G6795" s="3">
        <f t="shared" si="809"/>
        <v>-1738.8820000000001</v>
      </c>
      <c r="H6795" s="3">
        <f t="shared" si="810"/>
        <v>1738.8820000000001</v>
      </c>
      <c r="I6795" s="5" t="str">
        <f t="shared" si="811"/>
        <v>017</v>
      </c>
      <c r="J6795" s="5" t="str">
        <f t="shared" si="812"/>
        <v>2210</v>
      </c>
      <c r="K6795" s="5" t="str">
        <f t="shared" si="813"/>
        <v>000</v>
      </c>
      <c r="L6795" s="5">
        <f t="shared" si="814"/>
        <v>5</v>
      </c>
      <c r="M6795" s="5">
        <f t="shared" si="815"/>
        <v>2013</v>
      </c>
    </row>
    <row r="6796" spans="1:13" ht="15" x14ac:dyDescent="0.25">
      <c r="A6796" s="1">
        <f>DATE(2013,5,25)</f>
        <v>41419</v>
      </c>
      <c r="B6796" t="s">
        <v>17</v>
      </c>
      <c r="C6796" t="s">
        <v>9</v>
      </c>
      <c r="D6796" s="3">
        <v>204.85920000000002</v>
      </c>
      <c r="E6796" s="3">
        <v>0</v>
      </c>
      <c r="F6796" t="s">
        <v>45</v>
      </c>
      <c r="G6796" s="3">
        <f t="shared" si="809"/>
        <v>-204.85920000000002</v>
      </c>
      <c r="H6796" s="3">
        <f t="shared" si="810"/>
        <v>204.85920000000002</v>
      </c>
      <c r="I6796" s="5" t="str">
        <f t="shared" si="811"/>
        <v>017</v>
      </c>
      <c r="J6796" s="5" t="str">
        <f t="shared" si="812"/>
        <v>2220</v>
      </c>
      <c r="K6796" s="5" t="str">
        <f t="shared" si="813"/>
        <v>000</v>
      </c>
      <c r="L6796" s="5">
        <f t="shared" si="814"/>
        <v>5</v>
      </c>
      <c r="M6796" s="5">
        <f t="shared" si="815"/>
        <v>2013</v>
      </c>
    </row>
    <row r="6797" spans="1:13" ht="15" x14ac:dyDescent="0.25">
      <c r="A6797" s="1">
        <f>DATE(2013,5,25)</f>
        <v>41419</v>
      </c>
      <c r="B6797" t="s">
        <v>18</v>
      </c>
      <c r="C6797" t="s">
        <v>10</v>
      </c>
      <c r="D6797" s="3">
        <v>19.5245</v>
      </c>
      <c r="E6797" s="3">
        <v>0</v>
      </c>
      <c r="F6797" t="s">
        <v>45</v>
      </c>
      <c r="G6797" s="3">
        <f t="shared" si="809"/>
        <v>-19.5245</v>
      </c>
      <c r="H6797" s="3">
        <f t="shared" si="810"/>
        <v>19.5245</v>
      </c>
      <c r="I6797" s="5" t="str">
        <f t="shared" si="811"/>
        <v>017</v>
      </c>
      <c r="J6797" s="5" t="str">
        <f t="shared" si="812"/>
        <v>2230</v>
      </c>
      <c r="K6797" s="5" t="str">
        <f t="shared" si="813"/>
        <v>000</v>
      </c>
      <c r="L6797" s="5">
        <f t="shared" si="814"/>
        <v>5</v>
      </c>
      <c r="M6797" s="5">
        <f t="shared" si="815"/>
        <v>2013</v>
      </c>
    </row>
    <row r="6798" spans="1:13" ht="15" x14ac:dyDescent="0.25">
      <c r="A6798" s="1">
        <f>DATE(2013,5,26)</f>
        <v>41420</v>
      </c>
      <c r="B6798" t="s">
        <v>15</v>
      </c>
      <c r="C6798" t="s">
        <v>6</v>
      </c>
      <c r="D6798" s="3">
        <v>4413.7151999999996</v>
      </c>
      <c r="E6798" s="3">
        <v>0</v>
      </c>
      <c r="F6798" t="s">
        <v>45</v>
      </c>
      <c r="G6798" s="3">
        <f t="shared" si="809"/>
        <v>-4413.7151999999996</v>
      </c>
      <c r="H6798" s="3">
        <f t="shared" si="810"/>
        <v>4413.7151999999996</v>
      </c>
      <c r="I6798" s="5" t="str">
        <f t="shared" si="811"/>
        <v>017</v>
      </c>
      <c r="J6798" s="5" t="str">
        <f t="shared" si="812"/>
        <v>2100</v>
      </c>
      <c r="K6798" s="5" t="str">
        <f t="shared" si="813"/>
        <v>000</v>
      </c>
      <c r="L6798" s="5">
        <f t="shared" si="814"/>
        <v>5</v>
      </c>
      <c r="M6798" s="5">
        <f t="shared" si="815"/>
        <v>2013</v>
      </c>
    </row>
    <row r="6799" spans="1:13" ht="15" x14ac:dyDescent="0.25">
      <c r="A6799" s="1">
        <f>DATE(2013,5,26)</f>
        <v>41420</v>
      </c>
      <c r="B6799" t="s">
        <v>16</v>
      </c>
      <c r="C6799" t="s">
        <v>8</v>
      </c>
      <c r="D6799" s="3">
        <v>1609.414</v>
      </c>
      <c r="E6799" s="3">
        <v>0</v>
      </c>
      <c r="F6799" t="s">
        <v>45</v>
      </c>
      <c r="G6799" s="3">
        <f t="shared" si="809"/>
        <v>-1609.414</v>
      </c>
      <c r="H6799" s="3">
        <f t="shared" si="810"/>
        <v>1609.414</v>
      </c>
      <c r="I6799" s="5" t="str">
        <f t="shared" si="811"/>
        <v>017</v>
      </c>
      <c r="J6799" s="5" t="str">
        <f t="shared" si="812"/>
        <v>2210</v>
      </c>
      <c r="K6799" s="5" t="str">
        <f t="shared" si="813"/>
        <v>000</v>
      </c>
      <c r="L6799" s="5">
        <f t="shared" si="814"/>
        <v>5</v>
      </c>
      <c r="M6799" s="5">
        <f t="shared" si="815"/>
        <v>2013</v>
      </c>
    </row>
    <row r="6800" spans="1:13" ht="15" x14ac:dyDescent="0.25">
      <c r="A6800" s="1">
        <f>DATE(2013,5,26)</f>
        <v>41420</v>
      </c>
      <c r="B6800" t="s">
        <v>17</v>
      </c>
      <c r="C6800" t="s">
        <v>9</v>
      </c>
      <c r="D6800" s="3">
        <v>244.39170000000001</v>
      </c>
      <c r="E6800" s="3">
        <v>0</v>
      </c>
      <c r="F6800" t="s">
        <v>45</v>
      </c>
      <c r="G6800" s="3">
        <f t="shared" si="809"/>
        <v>-244.39170000000001</v>
      </c>
      <c r="H6800" s="3">
        <f t="shared" si="810"/>
        <v>244.39170000000001</v>
      </c>
      <c r="I6800" s="5" t="str">
        <f t="shared" si="811"/>
        <v>017</v>
      </c>
      <c r="J6800" s="5" t="str">
        <f t="shared" si="812"/>
        <v>2220</v>
      </c>
      <c r="K6800" s="5" t="str">
        <f t="shared" si="813"/>
        <v>000</v>
      </c>
      <c r="L6800" s="5">
        <f t="shared" si="814"/>
        <v>5</v>
      </c>
      <c r="M6800" s="5">
        <f t="shared" si="815"/>
        <v>2013</v>
      </c>
    </row>
    <row r="6801" spans="1:13" ht="15" x14ac:dyDescent="0.25">
      <c r="A6801" s="1">
        <f>DATE(2013,5,26)</f>
        <v>41420</v>
      </c>
      <c r="B6801" t="s">
        <v>18</v>
      </c>
      <c r="C6801" t="s">
        <v>10</v>
      </c>
      <c r="D6801" s="3">
        <v>49.070499999999996</v>
      </c>
      <c r="E6801" s="3">
        <v>0</v>
      </c>
      <c r="F6801" t="s">
        <v>45</v>
      </c>
      <c r="G6801" s="3">
        <f t="shared" si="809"/>
        <v>-49.070499999999996</v>
      </c>
      <c r="H6801" s="3">
        <f t="shared" si="810"/>
        <v>49.070499999999996</v>
      </c>
      <c r="I6801" s="5" t="str">
        <f t="shared" si="811"/>
        <v>017</v>
      </c>
      <c r="J6801" s="5" t="str">
        <f t="shared" si="812"/>
        <v>2230</v>
      </c>
      <c r="K6801" s="5" t="str">
        <f t="shared" si="813"/>
        <v>000</v>
      </c>
      <c r="L6801" s="5">
        <f t="shared" si="814"/>
        <v>5</v>
      </c>
      <c r="M6801" s="5">
        <f t="shared" si="815"/>
        <v>2013</v>
      </c>
    </row>
    <row r="6802" spans="1:13" ht="15" x14ac:dyDescent="0.25">
      <c r="A6802" s="1">
        <f>DATE(2013,5,20)</f>
        <v>41414</v>
      </c>
      <c r="B6802" t="s">
        <v>19</v>
      </c>
      <c r="C6802" t="s">
        <v>6</v>
      </c>
      <c r="D6802" s="3">
        <v>5148.3666000000003</v>
      </c>
      <c r="E6802" s="3">
        <v>0</v>
      </c>
      <c r="F6802" t="s">
        <v>45</v>
      </c>
      <c r="G6802" s="3">
        <f t="shared" si="809"/>
        <v>-5148.3666000000003</v>
      </c>
      <c r="H6802" s="3">
        <f t="shared" si="810"/>
        <v>5148.3666000000003</v>
      </c>
      <c r="I6802" s="5" t="str">
        <f t="shared" si="811"/>
        <v>018</v>
      </c>
      <c r="J6802" s="5" t="str">
        <f t="shared" si="812"/>
        <v>2100</v>
      </c>
      <c r="K6802" s="5" t="str">
        <f t="shared" si="813"/>
        <v>000</v>
      </c>
      <c r="L6802" s="5">
        <f t="shared" si="814"/>
        <v>5</v>
      </c>
      <c r="M6802" s="5">
        <f t="shared" si="815"/>
        <v>2013</v>
      </c>
    </row>
    <row r="6803" spans="1:13" ht="15" x14ac:dyDescent="0.25">
      <c r="A6803" s="1">
        <f>DATE(2013,5,20)</f>
        <v>41414</v>
      </c>
      <c r="B6803" t="s">
        <v>20</v>
      </c>
      <c r="C6803" t="s">
        <v>8</v>
      </c>
      <c r="D6803" s="3">
        <v>981.56679999999994</v>
      </c>
      <c r="E6803" s="3">
        <v>0</v>
      </c>
      <c r="F6803" t="s">
        <v>45</v>
      </c>
      <c r="G6803" s="3">
        <f t="shared" si="809"/>
        <v>-981.56679999999994</v>
      </c>
      <c r="H6803" s="3">
        <f t="shared" si="810"/>
        <v>981.56679999999994</v>
      </c>
      <c r="I6803" s="5" t="str">
        <f t="shared" si="811"/>
        <v>018</v>
      </c>
      <c r="J6803" s="5" t="str">
        <f t="shared" si="812"/>
        <v>2210</v>
      </c>
      <c r="K6803" s="5" t="str">
        <f t="shared" si="813"/>
        <v>000</v>
      </c>
      <c r="L6803" s="5">
        <f t="shared" si="814"/>
        <v>5</v>
      </c>
      <c r="M6803" s="5">
        <f t="shared" si="815"/>
        <v>2013</v>
      </c>
    </row>
    <row r="6804" spans="1:13" ht="15" x14ac:dyDescent="0.25">
      <c r="A6804" s="1">
        <f>DATE(2013,5,20)</f>
        <v>41414</v>
      </c>
      <c r="B6804" t="s">
        <v>21</v>
      </c>
      <c r="C6804" t="s">
        <v>9</v>
      </c>
      <c r="D6804" s="3">
        <v>153.07050000000001</v>
      </c>
      <c r="E6804" s="3">
        <v>0</v>
      </c>
      <c r="F6804" t="s">
        <v>45</v>
      </c>
      <c r="G6804" s="3">
        <f t="shared" si="809"/>
        <v>-153.07050000000001</v>
      </c>
      <c r="H6804" s="3">
        <f t="shared" si="810"/>
        <v>153.07050000000001</v>
      </c>
      <c r="I6804" s="5" t="str">
        <f t="shared" si="811"/>
        <v>018</v>
      </c>
      <c r="J6804" s="5" t="str">
        <f t="shared" si="812"/>
        <v>2220</v>
      </c>
      <c r="K6804" s="5" t="str">
        <f t="shared" si="813"/>
        <v>000</v>
      </c>
      <c r="L6804" s="5">
        <f t="shared" si="814"/>
        <v>5</v>
      </c>
      <c r="M6804" s="5">
        <f t="shared" si="815"/>
        <v>2013</v>
      </c>
    </row>
    <row r="6805" spans="1:13" ht="15" x14ac:dyDescent="0.25">
      <c r="A6805" s="1">
        <f>DATE(2013,5,20)</f>
        <v>41414</v>
      </c>
      <c r="B6805" t="s">
        <v>22</v>
      </c>
      <c r="C6805" t="s">
        <v>10</v>
      </c>
      <c r="D6805" s="3">
        <v>48.755699999999997</v>
      </c>
      <c r="E6805" s="3">
        <v>0</v>
      </c>
      <c r="F6805" t="s">
        <v>45</v>
      </c>
      <c r="G6805" s="3">
        <f t="shared" si="809"/>
        <v>-48.755699999999997</v>
      </c>
      <c r="H6805" s="3">
        <f t="shared" si="810"/>
        <v>48.755699999999997</v>
      </c>
      <c r="I6805" s="5" t="str">
        <f t="shared" si="811"/>
        <v>018</v>
      </c>
      <c r="J6805" s="5" t="str">
        <f t="shared" si="812"/>
        <v>2230</v>
      </c>
      <c r="K6805" s="5" t="str">
        <f t="shared" si="813"/>
        <v>000</v>
      </c>
      <c r="L6805" s="5">
        <f t="shared" si="814"/>
        <v>5</v>
      </c>
      <c r="M6805" s="5">
        <f t="shared" si="815"/>
        <v>2013</v>
      </c>
    </row>
    <row r="6806" spans="1:13" ht="15" x14ac:dyDescent="0.25">
      <c r="A6806" s="1">
        <f>DATE(2013,5,21)</f>
        <v>41415</v>
      </c>
      <c r="B6806" t="s">
        <v>19</v>
      </c>
      <c r="C6806" t="s">
        <v>6</v>
      </c>
      <c r="D6806" s="3">
        <v>4621.8711000000003</v>
      </c>
      <c r="E6806" s="3">
        <v>0</v>
      </c>
      <c r="F6806" t="s">
        <v>45</v>
      </c>
      <c r="G6806" s="3">
        <f t="shared" si="809"/>
        <v>-4621.8711000000003</v>
      </c>
      <c r="H6806" s="3">
        <f t="shared" si="810"/>
        <v>4621.8711000000003</v>
      </c>
      <c r="I6806" s="5" t="str">
        <f t="shared" si="811"/>
        <v>018</v>
      </c>
      <c r="J6806" s="5" t="str">
        <f t="shared" si="812"/>
        <v>2100</v>
      </c>
      <c r="K6806" s="5" t="str">
        <f t="shared" si="813"/>
        <v>000</v>
      </c>
      <c r="L6806" s="5">
        <f t="shared" si="814"/>
        <v>5</v>
      </c>
      <c r="M6806" s="5">
        <f t="shared" si="815"/>
        <v>2013</v>
      </c>
    </row>
    <row r="6807" spans="1:13" ht="15" x14ac:dyDescent="0.25">
      <c r="A6807" s="1">
        <f>DATE(2013,5,21)</f>
        <v>41415</v>
      </c>
      <c r="B6807" t="s">
        <v>20</v>
      </c>
      <c r="C6807" t="s">
        <v>8</v>
      </c>
      <c r="D6807" s="3">
        <v>633.63760000000013</v>
      </c>
      <c r="E6807" s="3">
        <v>0</v>
      </c>
      <c r="F6807" t="s">
        <v>45</v>
      </c>
      <c r="G6807" s="3">
        <f t="shared" si="809"/>
        <v>-633.63760000000013</v>
      </c>
      <c r="H6807" s="3">
        <f t="shared" si="810"/>
        <v>633.63760000000013</v>
      </c>
      <c r="I6807" s="5" t="str">
        <f t="shared" si="811"/>
        <v>018</v>
      </c>
      <c r="J6807" s="5" t="str">
        <f t="shared" si="812"/>
        <v>2210</v>
      </c>
      <c r="K6807" s="5" t="str">
        <f t="shared" si="813"/>
        <v>000</v>
      </c>
      <c r="L6807" s="5">
        <f t="shared" si="814"/>
        <v>5</v>
      </c>
      <c r="M6807" s="5">
        <f t="shared" si="815"/>
        <v>2013</v>
      </c>
    </row>
    <row r="6808" spans="1:13" ht="15" x14ac:dyDescent="0.25">
      <c r="A6808" s="1">
        <f>DATE(2013,5,21)</f>
        <v>41415</v>
      </c>
      <c r="B6808" t="s">
        <v>21</v>
      </c>
      <c r="C6808" t="s">
        <v>9</v>
      </c>
      <c r="D6808" s="3">
        <v>168.58240000000004</v>
      </c>
      <c r="E6808" s="3">
        <v>0</v>
      </c>
      <c r="F6808" t="s">
        <v>45</v>
      </c>
      <c r="G6808" s="3">
        <f t="shared" si="809"/>
        <v>-168.58240000000004</v>
      </c>
      <c r="H6808" s="3">
        <f t="shared" si="810"/>
        <v>168.58240000000004</v>
      </c>
      <c r="I6808" s="5" t="str">
        <f t="shared" si="811"/>
        <v>018</v>
      </c>
      <c r="J6808" s="5" t="str">
        <f t="shared" si="812"/>
        <v>2220</v>
      </c>
      <c r="K6808" s="5" t="str">
        <f t="shared" si="813"/>
        <v>000</v>
      </c>
      <c r="L6808" s="5">
        <f t="shared" si="814"/>
        <v>5</v>
      </c>
      <c r="M6808" s="5">
        <f t="shared" si="815"/>
        <v>2013</v>
      </c>
    </row>
    <row r="6809" spans="1:13" ht="15" x14ac:dyDescent="0.25">
      <c r="A6809" s="1">
        <f>DATE(2013,5,21)</f>
        <v>41415</v>
      </c>
      <c r="B6809" t="s">
        <v>22</v>
      </c>
      <c r="C6809" t="s">
        <v>10</v>
      </c>
      <c r="D6809" s="3">
        <v>11.594299999999999</v>
      </c>
      <c r="E6809" s="3">
        <v>0</v>
      </c>
      <c r="F6809" t="s">
        <v>45</v>
      </c>
      <c r="G6809" s="3">
        <f t="shared" si="809"/>
        <v>-11.594299999999999</v>
      </c>
      <c r="H6809" s="3">
        <f t="shared" si="810"/>
        <v>11.594299999999999</v>
      </c>
      <c r="I6809" s="5" t="str">
        <f t="shared" si="811"/>
        <v>018</v>
      </c>
      <c r="J6809" s="5" t="str">
        <f t="shared" si="812"/>
        <v>2230</v>
      </c>
      <c r="K6809" s="5" t="str">
        <f t="shared" si="813"/>
        <v>000</v>
      </c>
      <c r="L6809" s="5">
        <f t="shared" si="814"/>
        <v>5</v>
      </c>
      <c r="M6809" s="5">
        <f t="shared" si="815"/>
        <v>2013</v>
      </c>
    </row>
    <row r="6810" spans="1:13" ht="15" x14ac:dyDescent="0.25">
      <c r="A6810" s="1">
        <f>DATE(2013,5,22)</f>
        <v>41416</v>
      </c>
      <c r="B6810" t="s">
        <v>19</v>
      </c>
      <c r="C6810" t="s">
        <v>6</v>
      </c>
      <c r="D6810" s="3">
        <v>5223.3852000000006</v>
      </c>
      <c r="E6810" s="3">
        <v>0</v>
      </c>
      <c r="F6810" t="s">
        <v>45</v>
      </c>
      <c r="G6810" s="3">
        <f t="shared" si="809"/>
        <v>-5223.3852000000006</v>
      </c>
      <c r="H6810" s="3">
        <f t="shared" si="810"/>
        <v>5223.3852000000006</v>
      </c>
      <c r="I6810" s="5" t="str">
        <f t="shared" si="811"/>
        <v>018</v>
      </c>
      <c r="J6810" s="5" t="str">
        <f t="shared" si="812"/>
        <v>2100</v>
      </c>
      <c r="K6810" s="5" t="str">
        <f t="shared" si="813"/>
        <v>000</v>
      </c>
      <c r="L6810" s="5">
        <f t="shared" si="814"/>
        <v>5</v>
      </c>
      <c r="M6810" s="5">
        <f t="shared" si="815"/>
        <v>2013</v>
      </c>
    </row>
    <row r="6811" spans="1:13" ht="15" x14ac:dyDescent="0.25">
      <c r="A6811" s="1">
        <f>DATE(2013,5,22)</f>
        <v>41416</v>
      </c>
      <c r="B6811" t="s">
        <v>20</v>
      </c>
      <c r="C6811" t="s">
        <v>8</v>
      </c>
      <c r="D6811" s="3">
        <v>793.95619999999997</v>
      </c>
      <c r="E6811" s="3">
        <v>0</v>
      </c>
      <c r="F6811" t="s">
        <v>45</v>
      </c>
      <c r="G6811" s="3">
        <f t="shared" si="809"/>
        <v>-793.95619999999997</v>
      </c>
      <c r="H6811" s="3">
        <f t="shared" si="810"/>
        <v>793.95619999999997</v>
      </c>
      <c r="I6811" s="5" t="str">
        <f t="shared" si="811"/>
        <v>018</v>
      </c>
      <c r="J6811" s="5" t="str">
        <f t="shared" si="812"/>
        <v>2210</v>
      </c>
      <c r="K6811" s="5" t="str">
        <f t="shared" si="813"/>
        <v>000</v>
      </c>
      <c r="L6811" s="5">
        <f t="shared" si="814"/>
        <v>5</v>
      </c>
      <c r="M6811" s="5">
        <f t="shared" si="815"/>
        <v>2013</v>
      </c>
    </row>
    <row r="6812" spans="1:13" ht="15" x14ac:dyDescent="0.25">
      <c r="A6812" s="1">
        <f>DATE(2013,5,22)</f>
        <v>41416</v>
      </c>
      <c r="B6812" t="s">
        <v>21</v>
      </c>
      <c r="C6812" t="s">
        <v>9</v>
      </c>
      <c r="D6812" s="3">
        <v>239.46450000000002</v>
      </c>
      <c r="E6812" s="3">
        <v>0</v>
      </c>
      <c r="F6812" t="s">
        <v>45</v>
      </c>
      <c r="G6812" s="3">
        <f t="shared" si="809"/>
        <v>-239.46450000000002</v>
      </c>
      <c r="H6812" s="3">
        <f t="shared" si="810"/>
        <v>239.46450000000002</v>
      </c>
      <c r="I6812" s="5" t="str">
        <f t="shared" si="811"/>
        <v>018</v>
      </c>
      <c r="J6812" s="5" t="str">
        <f t="shared" si="812"/>
        <v>2220</v>
      </c>
      <c r="K6812" s="5" t="str">
        <f t="shared" si="813"/>
        <v>000</v>
      </c>
      <c r="L6812" s="5">
        <f t="shared" si="814"/>
        <v>5</v>
      </c>
      <c r="M6812" s="5">
        <f t="shared" si="815"/>
        <v>2013</v>
      </c>
    </row>
    <row r="6813" spans="1:13" ht="15" x14ac:dyDescent="0.25">
      <c r="A6813" s="1">
        <f>DATE(2013,5,22)</f>
        <v>41416</v>
      </c>
      <c r="B6813" t="s">
        <v>22</v>
      </c>
      <c r="C6813" t="s">
        <v>10</v>
      </c>
      <c r="D6813" s="3">
        <v>32.795400000000001</v>
      </c>
      <c r="E6813" s="3">
        <v>0</v>
      </c>
      <c r="F6813" t="s">
        <v>45</v>
      </c>
      <c r="G6813" s="3">
        <f t="shared" si="809"/>
        <v>-32.795400000000001</v>
      </c>
      <c r="H6813" s="3">
        <f t="shared" si="810"/>
        <v>32.795400000000001</v>
      </c>
      <c r="I6813" s="5" t="str">
        <f t="shared" si="811"/>
        <v>018</v>
      </c>
      <c r="J6813" s="5" t="str">
        <f t="shared" si="812"/>
        <v>2230</v>
      </c>
      <c r="K6813" s="5" t="str">
        <f t="shared" si="813"/>
        <v>000</v>
      </c>
      <c r="L6813" s="5">
        <f t="shared" si="814"/>
        <v>5</v>
      </c>
      <c r="M6813" s="5">
        <f t="shared" si="815"/>
        <v>2013</v>
      </c>
    </row>
    <row r="6814" spans="1:13" ht="15" x14ac:dyDescent="0.25">
      <c r="A6814" s="1">
        <f>DATE(2013,5,23)</f>
        <v>41417</v>
      </c>
      <c r="B6814" t="s">
        <v>19</v>
      </c>
      <c r="C6814" t="s">
        <v>6</v>
      </c>
      <c r="D6814" s="3">
        <v>4809.7275</v>
      </c>
      <c r="E6814" s="3">
        <v>0</v>
      </c>
      <c r="F6814" t="s">
        <v>45</v>
      </c>
      <c r="G6814" s="3">
        <f t="shared" si="809"/>
        <v>-4809.7275</v>
      </c>
      <c r="H6814" s="3">
        <f t="shared" si="810"/>
        <v>4809.7275</v>
      </c>
      <c r="I6814" s="5" t="str">
        <f t="shared" si="811"/>
        <v>018</v>
      </c>
      <c r="J6814" s="5" t="str">
        <f t="shared" si="812"/>
        <v>2100</v>
      </c>
      <c r="K6814" s="5" t="str">
        <f t="shared" si="813"/>
        <v>000</v>
      </c>
      <c r="L6814" s="5">
        <f t="shared" si="814"/>
        <v>5</v>
      </c>
      <c r="M6814" s="5">
        <f t="shared" si="815"/>
        <v>2013</v>
      </c>
    </row>
    <row r="6815" spans="1:13" ht="15" x14ac:dyDescent="0.25">
      <c r="A6815" s="1">
        <f>DATE(2013,5,23)</f>
        <v>41417</v>
      </c>
      <c r="B6815" t="s">
        <v>20</v>
      </c>
      <c r="C6815" t="s">
        <v>8</v>
      </c>
      <c r="D6815" s="3">
        <v>836.88340000000005</v>
      </c>
      <c r="E6815" s="3">
        <v>0</v>
      </c>
      <c r="F6815" t="s">
        <v>45</v>
      </c>
      <c r="G6815" s="3">
        <f t="shared" si="809"/>
        <v>-836.88340000000005</v>
      </c>
      <c r="H6815" s="3">
        <f t="shared" si="810"/>
        <v>836.88340000000005</v>
      </c>
      <c r="I6815" s="5" t="str">
        <f t="shared" si="811"/>
        <v>018</v>
      </c>
      <c r="J6815" s="5" t="str">
        <f t="shared" si="812"/>
        <v>2210</v>
      </c>
      <c r="K6815" s="5" t="str">
        <f t="shared" si="813"/>
        <v>000</v>
      </c>
      <c r="L6815" s="5">
        <f t="shared" si="814"/>
        <v>5</v>
      </c>
      <c r="M6815" s="5">
        <f t="shared" si="815"/>
        <v>2013</v>
      </c>
    </row>
    <row r="6816" spans="1:13" ht="15" x14ac:dyDescent="0.25">
      <c r="A6816" s="1">
        <f>DATE(2013,5,23)</f>
        <v>41417</v>
      </c>
      <c r="B6816" t="s">
        <v>21</v>
      </c>
      <c r="C6816" t="s">
        <v>9</v>
      </c>
      <c r="D6816" s="3">
        <v>160.185</v>
      </c>
      <c r="E6816" s="3">
        <v>0</v>
      </c>
      <c r="F6816" t="s">
        <v>45</v>
      </c>
      <c r="G6816" s="3">
        <f t="shared" si="809"/>
        <v>-160.185</v>
      </c>
      <c r="H6816" s="3">
        <f t="shared" si="810"/>
        <v>160.185</v>
      </c>
      <c r="I6816" s="5" t="str">
        <f t="shared" si="811"/>
        <v>018</v>
      </c>
      <c r="J6816" s="5" t="str">
        <f t="shared" si="812"/>
        <v>2220</v>
      </c>
      <c r="K6816" s="5" t="str">
        <f t="shared" si="813"/>
        <v>000</v>
      </c>
      <c r="L6816" s="5">
        <f t="shared" si="814"/>
        <v>5</v>
      </c>
      <c r="M6816" s="5">
        <f t="shared" si="815"/>
        <v>2013</v>
      </c>
    </row>
    <row r="6817" spans="1:13" ht="15" x14ac:dyDescent="0.25">
      <c r="A6817" s="1">
        <f>DATE(2013,5,23)</f>
        <v>41417</v>
      </c>
      <c r="B6817" t="s">
        <v>22</v>
      </c>
      <c r="C6817" t="s">
        <v>10</v>
      </c>
      <c r="D6817" s="3">
        <v>50.993700000000004</v>
      </c>
      <c r="E6817" s="3">
        <v>0</v>
      </c>
      <c r="F6817" t="s">
        <v>45</v>
      </c>
      <c r="G6817" s="3">
        <f t="shared" si="809"/>
        <v>-50.993700000000004</v>
      </c>
      <c r="H6817" s="3">
        <f t="shared" si="810"/>
        <v>50.993700000000004</v>
      </c>
      <c r="I6817" s="5" t="str">
        <f t="shared" si="811"/>
        <v>018</v>
      </c>
      <c r="J6817" s="5" t="str">
        <f t="shared" si="812"/>
        <v>2230</v>
      </c>
      <c r="K6817" s="5" t="str">
        <f t="shared" si="813"/>
        <v>000</v>
      </c>
      <c r="L6817" s="5">
        <f t="shared" si="814"/>
        <v>5</v>
      </c>
      <c r="M6817" s="5">
        <f t="shared" si="815"/>
        <v>2013</v>
      </c>
    </row>
    <row r="6818" spans="1:13" ht="15" x14ac:dyDescent="0.25">
      <c r="A6818" s="1">
        <f>DATE(2013,5,24)</f>
        <v>41418</v>
      </c>
      <c r="B6818" t="s">
        <v>19</v>
      </c>
      <c r="C6818" t="s">
        <v>6</v>
      </c>
      <c r="D6818" s="3">
        <v>10307.816000000001</v>
      </c>
      <c r="E6818" s="3">
        <v>0</v>
      </c>
      <c r="F6818" t="s">
        <v>45</v>
      </c>
      <c r="G6818" s="3">
        <f t="shared" si="809"/>
        <v>-10307.816000000001</v>
      </c>
      <c r="H6818" s="3">
        <f t="shared" si="810"/>
        <v>10307.816000000001</v>
      </c>
      <c r="I6818" s="5" t="str">
        <f t="shared" si="811"/>
        <v>018</v>
      </c>
      <c r="J6818" s="5" t="str">
        <f t="shared" si="812"/>
        <v>2100</v>
      </c>
      <c r="K6818" s="5" t="str">
        <f t="shared" si="813"/>
        <v>000</v>
      </c>
      <c r="L6818" s="5">
        <f t="shared" si="814"/>
        <v>5</v>
      </c>
      <c r="M6818" s="5">
        <f t="shared" si="815"/>
        <v>2013</v>
      </c>
    </row>
    <row r="6819" spans="1:13" ht="15" x14ac:dyDescent="0.25">
      <c r="A6819" s="1">
        <f>DATE(2013,5,24)</f>
        <v>41418</v>
      </c>
      <c r="B6819" t="s">
        <v>20</v>
      </c>
      <c r="C6819" t="s">
        <v>8</v>
      </c>
      <c r="D6819" s="3">
        <v>2548.9631999999997</v>
      </c>
      <c r="E6819" s="3">
        <v>0</v>
      </c>
      <c r="F6819" t="s">
        <v>45</v>
      </c>
      <c r="G6819" s="3">
        <f t="shared" si="809"/>
        <v>-2548.9631999999997</v>
      </c>
      <c r="H6819" s="3">
        <f t="shared" si="810"/>
        <v>2548.9631999999997</v>
      </c>
      <c r="I6819" s="5" t="str">
        <f t="shared" si="811"/>
        <v>018</v>
      </c>
      <c r="J6819" s="5" t="str">
        <f t="shared" si="812"/>
        <v>2210</v>
      </c>
      <c r="K6819" s="5" t="str">
        <f t="shared" si="813"/>
        <v>000</v>
      </c>
      <c r="L6819" s="5">
        <f t="shared" si="814"/>
        <v>5</v>
      </c>
      <c r="M6819" s="5">
        <f t="shared" si="815"/>
        <v>2013</v>
      </c>
    </row>
    <row r="6820" spans="1:13" ht="15" x14ac:dyDescent="0.25">
      <c r="A6820" s="1">
        <f>DATE(2013,5,24)</f>
        <v>41418</v>
      </c>
      <c r="B6820" t="s">
        <v>21</v>
      </c>
      <c r="C6820" t="s">
        <v>9</v>
      </c>
      <c r="D6820" s="3">
        <v>581.51299999999992</v>
      </c>
      <c r="E6820" s="3">
        <v>0</v>
      </c>
      <c r="F6820" t="s">
        <v>45</v>
      </c>
      <c r="G6820" s="3">
        <f t="shared" si="809"/>
        <v>-581.51299999999992</v>
      </c>
      <c r="H6820" s="3">
        <f t="shared" si="810"/>
        <v>581.51299999999992</v>
      </c>
      <c r="I6820" s="5" t="str">
        <f t="shared" si="811"/>
        <v>018</v>
      </c>
      <c r="J6820" s="5" t="str">
        <f t="shared" si="812"/>
        <v>2220</v>
      </c>
      <c r="K6820" s="5" t="str">
        <f t="shared" si="813"/>
        <v>000</v>
      </c>
      <c r="L6820" s="5">
        <f t="shared" si="814"/>
        <v>5</v>
      </c>
      <c r="M6820" s="5">
        <f t="shared" si="815"/>
        <v>2013</v>
      </c>
    </row>
    <row r="6821" spans="1:13" ht="15" x14ac:dyDescent="0.25">
      <c r="A6821" s="1">
        <f>DATE(2013,5,24)</f>
        <v>41418</v>
      </c>
      <c r="B6821" t="s">
        <v>22</v>
      </c>
      <c r="C6821" t="s">
        <v>10</v>
      </c>
      <c r="D6821" s="3">
        <v>117.84779999999999</v>
      </c>
      <c r="E6821" s="3">
        <v>0</v>
      </c>
      <c r="F6821" t="s">
        <v>45</v>
      </c>
      <c r="G6821" s="3">
        <f t="shared" si="809"/>
        <v>-117.84779999999999</v>
      </c>
      <c r="H6821" s="3">
        <f t="shared" si="810"/>
        <v>117.84779999999999</v>
      </c>
      <c r="I6821" s="5" t="str">
        <f t="shared" si="811"/>
        <v>018</v>
      </c>
      <c r="J6821" s="5" t="str">
        <f t="shared" si="812"/>
        <v>2230</v>
      </c>
      <c r="K6821" s="5" t="str">
        <f t="shared" si="813"/>
        <v>000</v>
      </c>
      <c r="L6821" s="5">
        <f t="shared" si="814"/>
        <v>5</v>
      </c>
      <c r="M6821" s="5">
        <f t="shared" si="815"/>
        <v>2013</v>
      </c>
    </row>
    <row r="6822" spans="1:13" ht="15" x14ac:dyDescent="0.25">
      <c r="A6822" s="1">
        <f>DATE(2013,5,25)</f>
        <v>41419</v>
      </c>
      <c r="B6822" t="s">
        <v>19</v>
      </c>
      <c r="C6822" t="s">
        <v>6</v>
      </c>
      <c r="D6822" s="3">
        <v>11100.5375</v>
      </c>
      <c r="E6822" s="3">
        <v>0</v>
      </c>
      <c r="F6822" t="s">
        <v>45</v>
      </c>
      <c r="G6822" s="3">
        <f t="shared" si="809"/>
        <v>-11100.5375</v>
      </c>
      <c r="H6822" s="3">
        <f t="shared" si="810"/>
        <v>11100.5375</v>
      </c>
      <c r="I6822" s="5" t="str">
        <f t="shared" si="811"/>
        <v>018</v>
      </c>
      <c r="J6822" s="5" t="str">
        <f t="shared" si="812"/>
        <v>2100</v>
      </c>
      <c r="K6822" s="5" t="str">
        <f t="shared" si="813"/>
        <v>000</v>
      </c>
      <c r="L6822" s="5">
        <f t="shared" si="814"/>
        <v>5</v>
      </c>
      <c r="M6822" s="5">
        <f t="shared" si="815"/>
        <v>2013</v>
      </c>
    </row>
    <row r="6823" spans="1:13" ht="15" x14ac:dyDescent="0.25">
      <c r="A6823" s="1">
        <f>DATE(2013,5,25)</f>
        <v>41419</v>
      </c>
      <c r="B6823" t="s">
        <v>20</v>
      </c>
      <c r="C6823" t="s">
        <v>8</v>
      </c>
      <c r="D6823" s="3">
        <v>3643.6383000000001</v>
      </c>
      <c r="E6823" s="3">
        <v>0</v>
      </c>
      <c r="F6823" t="s">
        <v>45</v>
      </c>
      <c r="G6823" s="3">
        <f t="shared" si="809"/>
        <v>-3643.6383000000001</v>
      </c>
      <c r="H6823" s="3">
        <f t="shared" si="810"/>
        <v>3643.6383000000001</v>
      </c>
      <c r="I6823" s="5" t="str">
        <f t="shared" si="811"/>
        <v>018</v>
      </c>
      <c r="J6823" s="5" t="str">
        <f t="shared" si="812"/>
        <v>2210</v>
      </c>
      <c r="K6823" s="5" t="str">
        <f t="shared" si="813"/>
        <v>000</v>
      </c>
      <c r="L6823" s="5">
        <f t="shared" si="814"/>
        <v>5</v>
      </c>
      <c r="M6823" s="5">
        <f t="shared" si="815"/>
        <v>2013</v>
      </c>
    </row>
    <row r="6824" spans="1:13" ht="15" x14ac:dyDescent="0.25">
      <c r="A6824" s="1">
        <f>DATE(2013,5,25)</f>
        <v>41419</v>
      </c>
      <c r="B6824" t="s">
        <v>21</v>
      </c>
      <c r="C6824" t="s">
        <v>9</v>
      </c>
      <c r="D6824" s="3">
        <v>692.01279999999997</v>
      </c>
      <c r="E6824" s="3">
        <v>0</v>
      </c>
      <c r="F6824" t="s">
        <v>45</v>
      </c>
      <c r="G6824" s="3">
        <f t="shared" si="809"/>
        <v>-692.01279999999997</v>
      </c>
      <c r="H6824" s="3">
        <f t="shared" si="810"/>
        <v>692.01279999999997</v>
      </c>
      <c r="I6824" s="5" t="str">
        <f t="shared" si="811"/>
        <v>018</v>
      </c>
      <c r="J6824" s="5" t="str">
        <f t="shared" si="812"/>
        <v>2220</v>
      </c>
      <c r="K6824" s="5" t="str">
        <f t="shared" si="813"/>
        <v>000</v>
      </c>
      <c r="L6824" s="5">
        <f t="shared" si="814"/>
        <v>5</v>
      </c>
      <c r="M6824" s="5">
        <f t="shared" si="815"/>
        <v>2013</v>
      </c>
    </row>
    <row r="6825" spans="1:13" ht="15" x14ac:dyDescent="0.25">
      <c r="A6825" s="1">
        <f>DATE(2013,5,25)</f>
        <v>41419</v>
      </c>
      <c r="B6825" t="s">
        <v>22</v>
      </c>
      <c r="C6825" t="s">
        <v>10</v>
      </c>
      <c r="D6825" s="3">
        <v>38.1678</v>
      </c>
      <c r="E6825" s="3">
        <v>0</v>
      </c>
      <c r="F6825" t="s">
        <v>45</v>
      </c>
      <c r="G6825" s="3">
        <f t="shared" si="809"/>
        <v>-38.1678</v>
      </c>
      <c r="H6825" s="3">
        <f t="shared" si="810"/>
        <v>38.1678</v>
      </c>
      <c r="I6825" s="5" t="str">
        <f t="shared" si="811"/>
        <v>018</v>
      </c>
      <c r="J6825" s="5" t="str">
        <f t="shared" si="812"/>
        <v>2230</v>
      </c>
      <c r="K6825" s="5" t="str">
        <f t="shared" si="813"/>
        <v>000</v>
      </c>
      <c r="L6825" s="5">
        <f t="shared" si="814"/>
        <v>5</v>
      </c>
      <c r="M6825" s="5">
        <f t="shared" si="815"/>
        <v>2013</v>
      </c>
    </row>
    <row r="6826" spans="1:13" ht="15" x14ac:dyDescent="0.25">
      <c r="A6826" s="1">
        <f>DATE(2013,5,26)</f>
        <v>41420</v>
      </c>
      <c r="B6826" t="s">
        <v>19</v>
      </c>
      <c r="C6826" t="s">
        <v>6</v>
      </c>
      <c r="D6826" s="3">
        <v>9771.1851999999999</v>
      </c>
      <c r="E6826" s="3">
        <v>0</v>
      </c>
      <c r="F6826" t="s">
        <v>45</v>
      </c>
      <c r="G6826" s="3">
        <f t="shared" si="809"/>
        <v>-9771.1851999999999</v>
      </c>
      <c r="H6826" s="3">
        <f t="shared" si="810"/>
        <v>9771.1851999999999</v>
      </c>
      <c r="I6826" s="5" t="str">
        <f t="shared" si="811"/>
        <v>018</v>
      </c>
      <c r="J6826" s="5" t="str">
        <f t="shared" si="812"/>
        <v>2100</v>
      </c>
      <c r="K6826" s="5" t="str">
        <f t="shared" si="813"/>
        <v>000</v>
      </c>
      <c r="L6826" s="5">
        <f t="shared" si="814"/>
        <v>5</v>
      </c>
      <c r="M6826" s="5">
        <f t="shared" si="815"/>
        <v>2013</v>
      </c>
    </row>
    <row r="6827" spans="1:13" ht="15" x14ac:dyDescent="0.25">
      <c r="A6827" s="1">
        <f>DATE(2013,5,26)</f>
        <v>41420</v>
      </c>
      <c r="B6827" t="s">
        <v>20</v>
      </c>
      <c r="C6827" t="s">
        <v>8</v>
      </c>
      <c r="D6827" s="3">
        <v>1440.7848000000001</v>
      </c>
      <c r="E6827" s="3">
        <v>0</v>
      </c>
      <c r="F6827" t="s">
        <v>45</v>
      </c>
      <c r="G6827" s="3">
        <f t="shared" si="809"/>
        <v>-1440.7848000000001</v>
      </c>
      <c r="H6827" s="3">
        <f t="shared" si="810"/>
        <v>1440.7848000000001</v>
      </c>
      <c r="I6827" s="5" t="str">
        <f t="shared" si="811"/>
        <v>018</v>
      </c>
      <c r="J6827" s="5" t="str">
        <f t="shared" si="812"/>
        <v>2210</v>
      </c>
      <c r="K6827" s="5" t="str">
        <f t="shared" si="813"/>
        <v>000</v>
      </c>
      <c r="L6827" s="5">
        <f t="shared" si="814"/>
        <v>5</v>
      </c>
      <c r="M6827" s="5">
        <f t="shared" si="815"/>
        <v>2013</v>
      </c>
    </row>
    <row r="6828" spans="1:13" ht="15" x14ac:dyDescent="0.25">
      <c r="A6828" s="1">
        <f>DATE(2013,5,26)</f>
        <v>41420</v>
      </c>
      <c r="B6828" t="s">
        <v>21</v>
      </c>
      <c r="C6828" t="s">
        <v>9</v>
      </c>
      <c r="D6828" s="3">
        <v>522.80280000000005</v>
      </c>
      <c r="E6828" s="3">
        <v>0</v>
      </c>
      <c r="F6828" t="s">
        <v>45</v>
      </c>
      <c r="G6828" s="3">
        <f t="shared" si="809"/>
        <v>-522.80280000000005</v>
      </c>
      <c r="H6828" s="3">
        <f t="shared" si="810"/>
        <v>522.80280000000005</v>
      </c>
      <c r="I6828" s="5" t="str">
        <f t="shared" si="811"/>
        <v>018</v>
      </c>
      <c r="J6828" s="5" t="str">
        <f t="shared" si="812"/>
        <v>2220</v>
      </c>
      <c r="K6828" s="5" t="str">
        <f t="shared" si="813"/>
        <v>000</v>
      </c>
      <c r="L6828" s="5">
        <f t="shared" si="814"/>
        <v>5</v>
      </c>
      <c r="M6828" s="5">
        <f t="shared" si="815"/>
        <v>2013</v>
      </c>
    </row>
    <row r="6829" spans="1:13" ht="15" x14ac:dyDescent="0.25">
      <c r="A6829" s="1">
        <f>DATE(2013,5,26)</f>
        <v>41420</v>
      </c>
      <c r="B6829" t="s">
        <v>22</v>
      </c>
      <c r="C6829" t="s">
        <v>10</v>
      </c>
      <c r="D6829" s="3">
        <v>120.5856</v>
      </c>
      <c r="E6829" s="3">
        <v>0</v>
      </c>
      <c r="F6829" t="s">
        <v>45</v>
      </c>
      <c r="G6829" s="3">
        <f t="shared" si="809"/>
        <v>-120.5856</v>
      </c>
      <c r="H6829" s="3">
        <f t="shared" si="810"/>
        <v>120.5856</v>
      </c>
      <c r="I6829" s="5" t="str">
        <f t="shared" si="811"/>
        <v>018</v>
      </c>
      <c r="J6829" s="5" t="str">
        <f t="shared" si="812"/>
        <v>2230</v>
      </c>
      <c r="K6829" s="5" t="str">
        <f t="shared" si="813"/>
        <v>000</v>
      </c>
      <c r="L6829" s="5">
        <f t="shared" si="814"/>
        <v>5</v>
      </c>
      <c r="M6829" s="5">
        <f t="shared" si="815"/>
        <v>2013</v>
      </c>
    </row>
    <row r="6830" spans="1:13" ht="15" x14ac:dyDescent="0.25">
      <c r="A6830" s="1">
        <f>DATE(2013,5,16)</f>
        <v>41410</v>
      </c>
      <c r="B6830" t="s">
        <v>11</v>
      </c>
      <c r="C6830" t="s">
        <v>6</v>
      </c>
      <c r="D6830" s="3">
        <v>2954.1182999999996</v>
      </c>
      <c r="E6830" s="3">
        <v>0</v>
      </c>
      <c r="F6830" t="s">
        <v>45</v>
      </c>
      <c r="G6830" s="3">
        <f t="shared" si="809"/>
        <v>-2954.1182999999996</v>
      </c>
      <c r="H6830" s="3">
        <f t="shared" si="810"/>
        <v>2954.1182999999996</v>
      </c>
      <c r="I6830" s="5" t="str">
        <f t="shared" si="811"/>
        <v>016</v>
      </c>
      <c r="J6830" s="5" t="str">
        <f t="shared" si="812"/>
        <v>2100</v>
      </c>
      <c r="K6830" s="5" t="str">
        <f t="shared" si="813"/>
        <v>000</v>
      </c>
      <c r="L6830" s="5">
        <f t="shared" si="814"/>
        <v>5</v>
      </c>
      <c r="M6830" s="5">
        <f t="shared" si="815"/>
        <v>2013</v>
      </c>
    </row>
    <row r="6831" spans="1:13" ht="15" x14ac:dyDescent="0.25">
      <c r="A6831" s="1">
        <f>DATE(2013,5,16)</f>
        <v>41410</v>
      </c>
      <c r="B6831" t="s">
        <v>12</v>
      </c>
      <c r="C6831" t="s">
        <v>8</v>
      </c>
      <c r="D6831" s="3">
        <v>959.56470000000002</v>
      </c>
      <c r="E6831" s="3">
        <v>0</v>
      </c>
      <c r="F6831" t="s">
        <v>45</v>
      </c>
      <c r="G6831" s="3">
        <f t="shared" si="809"/>
        <v>-959.56470000000002</v>
      </c>
      <c r="H6831" s="3">
        <f t="shared" si="810"/>
        <v>959.56470000000002</v>
      </c>
      <c r="I6831" s="5" t="str">
        <f t="shared" si="811"/>
        <v>016</v>
      </c>
      <c r="J6831" s="5" t="str">
        <f t="shared" si="812"/>
        <v>2210</v>
      </c>
      <c r="K6831" s="5" t="str">
        <f t="shared" si="813"/>
        <v>000</v>
      </c>
      <c r="L6831" s="5">
        <f t="shared" si="814"/>
        <v>5</v>
      </c>
      <c r="M6831" s="5">
        <f t="shared" si="815"/>
        <v>2013</v>
      </c>
    </row>
    <row r="6832" spans="1:13" ht="15" x14ac:dyDescent="0.25">
      <c r="A6832" s="1">
        <f>DATE(2013,5,16)</f>
        <v>41410</v>
      </c>
      <c r="B6832" t="s">
        <v>13</v>
      </c>
      <c r="C6832" t="s">
        <v>9</v>
      </c>
      <c r="D6832" s="3">
        <v>77.621499999999997</v>
      </c>
      <c r="E6832" s="3">
        <v>0</v>
      </c>
      <c r="F6832" t="s">
        <v>45</v>
      </c>
      <c r="G6832" s="3">
        <f t="shared" si="809"/>
        <v>-77.621499999999997</v>
      </c>
      <c r="H6832" s="3">
        <f t="shared" si="810"/>
        <v>77.621499999999997</v>
      </c>
      <c r="I6832" s="5" t="str">
        <f t="shared" si="811"/>
        <v>016</v>
      </c>
      <c r="J6832" s="5" t="str">
        <f t="shared" si="812"/>
        <v>2220</v>
      </c>
      <c r="K6832" s="5" t="str">
        <f t="shared" si="813"/>
        <v>000</v>
      </c>
      <c r="L6832" s="5">
        <f t="shared" si="814"/>
        <v>5</v>
      </c>
      <c r="M6832" s="5">
        <f t="shared" si="815"/>
        <v>2013</v>
      </c>
    </row>
    <row r="6833" spans="1:13" ht="15" x14ac:dyDescent="0.25">
      <c r="A6833" s="1">
        <f>DATE(2013,5,16)</f>
        <v>41410</v>
      </c>
      <c r="B6833" t="s">
        <v>14</v>
      </c>
      <c r="C6833" t="s">
        <v>10</v>
      </c>
      <c r="D6833" s="3">
        <v>53.193199999999997</v>
      </c>
      <c r="E6833" s="3">
        <v>0</v>
      </c>
      <c r="F6833" t="s">
        <v>45</v>
      </c>
      <c r="G6833" s="3">
        <f t="shared" si="809"/>
        <v>-53.193199999999997</v>
      </c>
      <c r="H6833" s="3">
        <f t="shared" si="810"/>
        <v>53.193199999999997</v>
      </c>
      <c r="I6833" s="5" t="str">
        <f t="shared" si="811"/>
        <v>016</v>
      </c>
      <c r="J6833" s="5" t="str">
        <f t="shared" si="812"/>
        <v>2230</v>
      </c>
      <c r="K6833" s="5" t="str">
        <f t="shared" si="813"/>
        <v>000</v>
      </c>
      <c r="L6833" s="5">
        <f t="shared" si="814"/>
        <v>5</v>
      </c>
      <c r="M6833" s="5">
        <f t="shared" si="815"/>
        <v>2013</v>
      </c>
    </row>
    <row r="6834" spans="1:13" ht="15" x14ac:dyDescent="0.25">
      <c r="A6834" s="1">
        <f>DATE(2013,5,27)</f>
        <v>41421</v>
      </c>
      <c r="B6834" t="s">
        <v>11</v>
      </c>
      <c r="C6834" t="s">
        <v>6</v>
      </c>
      <c r="D6834" s="3">
        <v>3286.4179999999997</v>
      </c>
      <c r="E6834" s="3">
        <v>0</v>
      </c>
      <c r="F6834" t="s">
        <v>45</v>
      </c>
      <c r="G6834" s="3">
        <f t="shared" si="809"/>
        <v>-3286.4179999999997</v>
      </c>
      <c r="H6834" s="3">
        <f t="shared" si="810"/>
        <v>3286.4179999999997</v>
      </c>
      <c r="I6834" s="5" t="str">
        <f t="shared" si="811"/>
        <v>016</v>
      </c>
      <c r="J6834" s="5" t="str">
        <f t="shared" si="812"/>
        <v>2100</v>
      </c>
      <c r="K6834" s="5" t="str">
        <f t="shared" si="813"/>
        <v>000</v>
      </c>
      <c r="L6834" s="5">
        <f t="shared" si="814"/>
        <v>5</v>
      </c>
      <c r="M6834" s="5">
        <f t="shared" si="815"/>
        <v>2013</v>
      </c>
    </row>
    <row r="6835" spans="1:13" ht="15" x14ac:dyDescent="0.25">
      <c r="A6835" s="1">
        <f>DATE(2013,5,27)</f>
        <v>41421</v>
      </c>
      <c r="B6835" t="s">
        <v>12</v>
      </c>
      <c r="C6835" t="s">
        <v>8</v>
      </c>
      <c r="D6835" s="3">
        <v>935.27199999999993</v>
      </c>
      <c r="E6835" s="3">
        <v>0</v>
      </c>
      <c r="F6835" t="s">
        <v>45</v>
      </c>
      <c r="G6835" s="3">
        <f t="shared" si="809"/>
        <v>-935.27199999999993</v>
      </c>
      <c r="H6835" s="3">
        <f t="shared" si="810"/>
        <v>935.27199999999993</v>
      </c>
      <c r="I6835" s="5" t="str">
        <f t="shared" si="811"/>
        <v>016</v>
      </c>
      <c r="J6835" s="5" t="str">
        <f t="shared" si="812"/>
        <v>2210</v>
      </c>
      <c r="K6835" s="5" t="str">
        <f t="shared" si="813"/>
        <v>000</v>
      </c>
      <c r="L6835" s="5">
        <f t="shared" si="814"/>
        <v>5</v>
      </c>
      <c r="M6835" s="5">
        <f t="shared" si="815"/>
        <v>2013</v>
      </c>
    </row>
    <row r="6836" spans="1:13" ht="15" x14ac:dyDescent="0.25">
      <c r="A6836" s="1">
        <f>DATE(2013,5,27)</f>
        <v>41421</v>
      </c>
      <c r="B6836" t="s">
        <v>13</v>
      </c>
      <c r="C6836" t="s">
        <v>9</v>
      </c>
      <c r="D6836" s="3">
        <v>180.93600000000001</v>
      </c>
      <c r="E6836" s="3">
        <v>0</v>
      </c>
      <c r="F6836" t="s">
        <v>45</v>
      </c>
      <c r="G6836" s="3">
        <f t="shared" si="809"/>
        <v>-180.93600000000001</v>
      </c>
      <c r="H6836" s="3">
        <f t="shared" si="810"/>
        <v>180.93600000000001</v>
      </c>
      <c r="I6836" s="5" t="str">
        <f t="shared" si="811"/>
        <v>016</v>
      </c>
      <c r="J6836" s="5" t="str">
        <f t="shared" si="812"/>
        <v>2220</v>
      </c>
      <c r="K6836" s="5" t="str">
        <f t="shared" si="813"/>
        <v>000</v>
      </c>
      <c r="L6836" s="5">
        <f t="shared" si="814"/>
        <v>5</v>
      </c>
      <c r="M6836" s="5">
        <f t="shared" si="815"/>
        <v>2013</v>
      </c>
    </row>
    <row r="6837" spans="1:13" ht="15" x14ac:dyDescent="0.25">
      <c r="A6837" s="1">
        <f>DATE(2013,5,27)</f>
        <v>41421</v>
      </c>
      <c r="B6837" t="s">
        <v>14</v>
      </c>
      <c r="C6837" t="s">
        <v>10</v>
      </c>
      <c r="D6837" s="3">
        <v>115.4478</v>
      </c>
      <c r="E6837" s="3">
        <v>0</v>
      </c>
      <c r="F6837" t="s">
        <v>45</v>
      </c>
      <c r="G6837" s="3">
        <f t="shared" si="809"/>
        <v>-115.4478</v>
      </c>
      <c r="H6837" s="3">
        <f t="shared" si="810"/>
        <v>115.4478</v>
      </c>
      <c r="I6837" s="5" t="str">
        <f t="shared" si="811"/>
        <v>016</v>
      </c>
      <c r="J6837" s="5" t="str">
        <f t="shared" si="812"/>
        <v>2230</v>
      </c>
      <c r="K6837" s="5" t="str">
        <f t="shared" si="813"/>
        <v>000</v>
      </c>
      <c r="L6837" s="5">
        <f t="shared" si="814"/>
        <v>5</v>
      </c>
      <c r="M6837" s="5">
        <f t="shared" si="815"/>
        <v>2013</v>
      </c>
    </row>
    <row r="6838" spans="1:13" ht="15" x14ac:dyDescent="0.25">
      <c r="A6838" s="1">
        <f>DATE(2013,5,28)</f>
        <v>41422</v>
      </c>
      <c r="B6838" t="s">
        <v>11</v>
      </c>
      <c r="C6838" t="s">
        <v>6</v>
      </c>
      <c r="D6838" s="3">
        <v>4988.9143999999997</v>
      </c>
      <c r="E6838" s="3">
        <v>0</v>
      </c>
      <c r="F6838" t="s">
        <v>45</v>
      </c>
      <c r="G6838" s="3">
        <f t="shared" si="809"/>
        <v>-4988.9143999999997</v>
      </c>
      <c r="H6838" s="3">
        <f t="shared" si="810"/>
        <v>4988.9143999999997</v>
      </c>
      <c r="I6838" s="5" t="str">
        <f t="shared" si="811"/>
        <v>016</v>
      </c>
      <c r="J6838" s="5" t="str">
        <f t="shared" si="812"/>
        <v>2100</v>
      </c>
      <c r="K6838" s="5" t="str">
        <f t="shared" si="813"/>
        <v>000</v>
      </c>
      <c r="L6838" s="5">
        <f t="shared" si="814"/>
        <v>5</v>
      </c>
      <c r="M6838" s="5">
        <f t="shared" si="815"/>
        <v>2013</v>
      </c>
    </row>
    <row r="6839" spans="1:13" ht="15" x14ac:dyDescent="0.25">
      <c r="A6839" s="1">
        <f>DATE(2013,5,28)</f>
        <v>41422</v>
      </c>
      <c r="B6839" t="s">
        <v>12</v>
      </c>
      <c r="C6839" t="s">
        <v>8</v>
      </c>
      <c r="D6839" s="3">
        <v>1475.4204</v>
      </c>
      <c r="E6839" s="3">
        <v>0</v>
      </c>
      <c r="F6839" t="s">
        <v>45</v>
      </c>
      <c r="G6839" s="3">
        <f t="shared" si="809"/>
        <v>-1475.4204</v>
      </c>
      <c r="H6839" s="3">
        <f t="shared" si="810"/>
        <v>1475.4204</v>
      </c>
      <c r="I6839" s="5" t="str">
        <f t="shared" si="811"/>
        <v>016</v>
      </c>
      <c r="J6839" s="5" t="str">
        <f t="shared" si="812"/>
        <v>2210</v>
      </c>
      <c r="K6839" s="5" t="str">
        <f t="shared" si="813"/>
        <v>000</v>
      </c>
      <c r="L6839" s="5">
        <f t="shared" si="814"/>
        <v>5</v>
      </c>
      <c r="M6839" s="5">
        <f t="shared" si="815"/>
        <v>2013</v>
      </c>
    </row>
    <row r="6840" spans="1:13" ht="15" x14ac:dyDescent="0.25">
      <c r="A6840" s="1">
        <f>DATE(2013,5,28)</f>
        <v>41422</v>
      </c>
      <c r="B6840" t="s">
        <v>13</v>
      </c>
      <c r="C6840" t="s">
        <v>9</v>
      </c>
      <c r="D6840" s="3">
        <v>448.57</v>
      </c>
      <c r="E6840" s="3">
        <v>0</v>
      </c>
      <c r="F6840" t="s">
        <v>45</v>
      </c>
      <c r="G6840" s="3">
        <f t="shared" si="809"/>
        <v>-448.57</v>
      </c>
      <c r="H6840" s="3">
        <f t="shared" si="810"/>
        <v>448.57</v>
      </c>
      <c r="I6840" s="5" t="str">
        <f t="shared" si="811"/>
        <v>016</v>
      </c>
      <c r="J6840" s="5" t="str">
        <f t="shared" si="812"/>
        <v>2220</v>
      </c>
      <c r="K6840" s="5" t="str">
        <f t="shared" si="813"/>
        <v>000</v>
      </c>
      <c r="L6840" s="5">
        <f t="shared" si="814"/>
        <v>5</v>
      </c>
      <c r="M6840" s="5">
        <f t="shared" si="815"/>
        <v>2013</v>
      </c>
    </row>
    <row r="6841" spans="1:13" ht="15" x14ac:dyDescent="0.25">
      <c r="A6841" s="1">
        <f>DATE(2013,5,28)</f>
        <v>41422</v>
      </c>
      <c r="B6841" t="s">
        <v>14</v>
      </c>
      <c r="C6841" t="s">
        <v>10</v>
      </c>
      <c r="D6841" s="3">
        <v>66.913499999999999</v>
      </c>
      <c r="E6841" s="3">
        <v>0</v>
      </c>
      <c r="F6841" t="s">
        <v>45</v>
      </c>
      <c r="G6841" s="3">
        <f t="shared" si="809"/>
        <v>-66.913499999999999</v>
      </c>
      <c r="H6841" s="3">
        <f t="shared" si="810"/>
        <v>66.913499999999999</v>
      </c>
      <c r="I6841" s="5" t="str">
        <f t="shared" si="811"/>
        <v>016</v>
      </c>
      <c r="J6841" s="5" t="str">
        <f t="shared" si="812"/>
        <v>2230</v>
      </c>
      <c r="K6841" s="5" t="str">
        <f t="shared" si="813"/>
        <v>000</v>
      </c>
      <c r="L6841" s="5">
        <f t="shared" si="814"/>
        <v>5</v>
      </c>
      <c r="M6841" s="5">
        <f t="shared" si="815"/>
        <v>2013</v>
      </c>
    </row>
    <row r="6842" spans="1:13" ht="15" x14ac:dyDescent="0.25">
      <c r="A6842" s="1">
        <f>DATE(2013,5,29)</f>
        <v>41423</v>
      </c>
      <c r="B6842" t="s">
        <v>11</v>
      </c>
      <c r="C6842" t="s">
        <v>6</v>
      </c>
      <c r="D6842" s="3">
        <v>2941.143</v>
      </c>
      <c r="E6842" s="3">
        <v>0</v>
      </c>
      <c r="F6842" t="s">
        <v>45</v>
      </c>
      <c r="G6842" s="3">
        <f t="shared" si="809"/>
        <v>-2941.143</v>
      </c>
      <c r="H6842" s="3">
        <f t="shared" si="810"/>
        <v>2941.143</v>
      </c>
      <c r="I6842" s="5" t="str">
        <f t="shared" si="811"/>
        <v>016</v>
      </c>
      <c r="J6842" s="5" t="str">
        <f t="shared" si="812"/>
        <v>2100</v>
      </c>
      <c r="K6842" s="5" t="str">
        <f t="shared" si="813"/>
        <v>000</v>
      </c>
      <c r="L6842" s="5">
        <f t="shared" si="814"/>
        <v>5</v>
      </c>
      <c r="M6842" s="5">
        <f t="shared" si="815"/>
        <v>2013</v>
      </c>
    </row>
    <row r="6843" spans="1:13" ht="15" x14ac:dyDescent="0.25">
      <c r="A6843" s="1">
        <f>DATE(2013,5,29)</f>
        <v>41423</v>
      </c>
      <c r="B6843" t="s">
        <v>12</v>
      </c>
      <c r="C6843" t="s">
        <v>8</v>
      </c>
      <c r="D6843" s="3">
        <v>631.28560000000004</v>
      </c>
      <c r="E6843" s="3">
        <v>0</v>
      </c>
      <c r="F6843" t="s">
        <v>45</v>
      </c>
      <c r="G6843" s="3">
        <f t="shared" si="809"/>
        <v>-631.28560000000004</v>
      </c>
      <c r="H6843" s="3">
        <f t="shared" si="810"/>
        <v>631.28560000000004</v>
      </c>
      <c r="I6843" s="5" t="str">
        <f t="shared" si="811"/>
        <v>016</v>
      </c>
      <c r="J6843" s="5" t="str">
        <f t="shared" si="812"/>
        <v>2210</v>
      </c>
      <c r="K6843" s="5" t="str">
        <f t="shared" si="813"/>
        <v>000</v>
      </c>
      <c r="L6843" s="5">
        <f t="shared" si="814"/>
        <v>5</v>
      </c>
      <c r="M6843" s="5">
        <f t="shared" si="815"/>
        <v>2013</v>
      </c>
    </row>
    <row r="6844" spans="1:13" ht="15" x14ac:dyDescent="0.25">
      <c r="A6844" s="1">
        <f>DATE(2013,5,29)</f>
        <v>41423</v>
      </c>
      <c r="B6844" t="s">
        <v>13</v>
      </c>
      <c r="C6844" t="s">
        <v>9</v>
      </c>
      <c r="D6844" s="3">
        <v>105.74940000000001</v>
      </c>
      <c r="E6844" s="3">
        <v>0</v>
      </c>
      <c r="F6844" t="s">
        <v>45</v>
      </c>
      <c r="G6844" s="3">
        <f t="shared" si="809"/>
        <v>-105.74940000000001</v>
      </c>
      <c r="H6844" s="3">
        <f t="shared" si="810"/>
        <v>105.74940000000001</v>
      </c>
      <c r="I6844" s="5" t="str">
        <f t="shared" si="811"/>
        <v>016</v>
      </c>
      <c r="J6844" s="5" t="str">
        <f t="shared" si="812"/>
        <v>2220</v>
      </c>
      <c r="K6844" s="5" t="str">
        <f t="shared" si="813"/>
        <v>000</v>
      </c>
      <c r="L6844" s="5">
        <f t="shared" si="814"/>
        <v>5</v>
      </c>
      <c r="M6844" s="5">
        <f t="shared" si="815"/>
        <v>2013</v>
      </c>
    </row>
    <row r="6845" spans="1:13" ht="15" x14ac:dyDescent="0.25">
      <c r="A6845" s="1">
        <f>DATE(2013,5,29)</f>
        <v>41423</v>
      </c>
      <c r="B6845" t="s">
        <v>14</v>
      </c>
      <c r="C6845" t="s">
        <v>10</v>
      </c>
      <c r="D6845" s="3">
        <v>61.347200000000001</v>
      </c>
      <c r="E6845" s="3">
        <v>0</v>
      </c>
      <c r="F6845" t="s">
        <v>45</v>
      </c>
      <c r="G6845" s="3">
        <f t="shared" si="809"/>
        <v>-61.347200000000001</v>
      </c>
      <c r="H6845" s="3">
        <f t="shared" si="810"/>
        <v>61.347200000000001</v>
      </c>
      <c r="I6845" s="5" t="str">
        <f t="shared" si="811"/>
        <v>016</v>
      </c>
      <c r="J6845" s="5" t="str">
        <f t="shared" si="812"/>
        <v>2230</v>
      </c>
      <c r="K6845" s="5" t="str">
        <f t="shared" si="813"/>
        <v>000</v>
      </c>
      <c r="L6845" s="5">
        <f t="shared" si="814"/>
        <v>5</v>
      </c>
      <c r="M6845" s="5">
        <f t="shared" si="815"/>
        <v>2013</v>
      </c>
    </row>
    <row r="6846" spans="1:13" ht="15" x14ac:dyDescent="0.25">
      <c r="A6846" s="1">
        <f>DATE(2013,5,30)</f>
        <v>41424</v>
      </c>
      <c r="B6846" t="s">
        <v>11</v>
      </c>
      <c r="C6846" t="s">
        <v>6</v>
      </c>
      <c r="D6846" s="3">
        <v>2100.9602999999997</v>
      </c>
      <c r="E6846" s="3">
        <v>0</v>
      </c>
      <c r="F6846" t="s">
        <v>45</v>
      </c>
      <c r="G6846" s="3">
        <f t="shared" si="809"/>
        <v>-2100.9602999999997</v>
      </c>
      <c r="H6846" s="3">
        <f t="shared" si="810"/>
        <v>2100.9602999999997</v>
      </c>
      <c r="I6846" s="5" t="str">
        <f t="shared" si="811"/>
        <v>016</v>
      </c>
      <c r="J6846" s="5" t="str">
        <f t="shared" si="812"/>
        <v>2100</v>
      </c>
      <c r="K6846" s="5" t="str">
        <f t="shared" si="813"/>
        <v>000</v>
      </c>
      <c r="L6846" s="5">
        <f t="shared" si="814"/>
        <v>5</v>
      </c>
      <c r="M6846" s="5">
        <f t="shared" si="815"/>
        <v>2013</v>
      </c>
    </row>
    <row r="6847" spans="1:13" ht="15" x14ac:dyDescent="0.25">
      <c r="A6847" s="1">
        <f>DATE(2013,5,30)</f>
        <v>41424</v>
      </c>
      <c r="B6847" t="s">
        <v>12</v>
      </c>
      <c r="C6847" t="s">
        <v>8</v>
      </c>
      <c r="D6847" s="3">
        <v>783.39300000000003</v>
      </c>
      <c r="E6847" s="3">
        <v>0</v>
      </c>
      <c r="F6847" t="s">
        <v>45</v>
      </c>
      <c r="G6847" s="3">
        <f t="shared" si="809"/>
        <v>-783.39300000000003</v>
      </c>
      <c r="H6847" s="3">
        <f t="shared" si="810"/>
        <v>783.39300000000003</v>
      </c>
      <c r="I6847" s="5" t="str">
        <f t="shared" si="811"/>
        <v>016</v>
      </c>
      <c r="J6847" s="5" t="str">
        <f t="shared" si="812"/>
        <v>2210</v>
      </c>
      <c r="K6847" s="5" t="str">
        <f t="shared" si="813"/>
        <v>000</v>
      </c>
      <c r="L6847" s="5">
        <f t="shared" si="814"/>
        <v>5</v>
      </c>
      <c r="M6847" s="5">
        <f t="shared" si="815"/>
        <v>2013</v>
      </c>
    </row>
    <row r="6848" spans="1:13" ht="15" x14ac:dyDescent="0.25">
      <c r="A6848" s="1">
        <f>DATE(2013,5,30)</f>
        <v>41424</v>
      </c>
      <c r="B6848" t="s">
        <v>13</v>
      </c>
      <c r="C6848" t="s">
        <v>9</v>
      </c>
      <c r="D6848" s="3">
        <v>149.80440000000002</v>
      </c>
      <c r="E6848" s="3">
        <v>0</v>
      </c>
      <c r="F6848" t="s">
        <v>45</v>
      </c>
      <c r="G6848" s="3">
        <f t="shared" si="809"/>
        <v>-149.80440000000002</v>
      </c>
      <c r="H6848" s="3">
        <f t="shared" si="810"/>
        <v>149.80440000000002</v>
      </c>
      <c r="I6848" s="5" t="str">
        <f t="shared" si="811"/>
        <v>016</v>
      </c>
      <c r="J6848" s="5" t="str">
        <f t="shared" si="812"/>
        <v>2220</v>
      </c>
      <c r="K6848" s="5" t="str">
        <f t="shared" si="813"/>
        <v>000</v>
      </c>
      <c r="L6848" s="5">
        <f t="shared" si="814"/>
        <v>5</v>
      </c>
      <c r="M6848" s="5">
        <f t="shared" si="815"/>
        <v>2013</v>
      </c>
    </row>
    <row r="6849" spans="1:13" ht="15" x14ac:dyDescent="0.25">
      <c r="A6849" s="1">
        <f>DATE(2013,5,30)</f>
        <v>41424</v>
      </c>
      <c r="B6849" t="s">
        <v>14</v>
      </c>
      <c r="C6849" t="s">
        <v>10</v>
      </c>
      <c r="D6849" s="3">
        <v>30.786300000000001</v>
      </c>
      <c r="E6849" s="3">
        <v>0</v>
      </c>
      <c r="F6849" t="s">
        <v>45</v>
      </c>
      <c r="G6849" s="3">
        <f t="shared" si="809"/>
        <v>-30.786300000000001</v>
      </c>
      <c r="H6849" s="3">
        <f t="shared" si="810"/>
        <v>30.786300000000001</v>
      </c>
      <c r="I6849" s="5" t="str">
        <f t="shared" si="811"/>
        <v>016</v>
      </c>
      <c r="J6849" s="5" t="str">
        <f t="shared" si="812"/>
        <v>2230</v>
      </c>
      <c r="K6849" s="5" t="str">
        <f t="shared" si="813"/>
        <v>000</v>
      </c>
      <c r="L6849" s="5">
        <f t="shared" si="814"/>
        <v>5</v>
      </c>
      <c r="M6849" s="5">
        <f t="shared" si="815"/>
        <v>2013</v>
      </c>
    </row>
    <row r="6850" spans="1:13" ht="15" x14ac:dyDescent="0.25">
      <c r="A6850" s="1">
        <f>DATE(2013,5,31)</f>
        <v>41425</v>
      </c>
      <c r="B6850" t="s">
        <v>11</v>
      </c>
      <c r="C6850" t="s">
        <v>6</v>
      </c>
      <c r="D6850" s="3">
        <v>5957.913599999999</v>
      </c>
      <c r="E6850" s="3">
        <v>0</v>
      </c>
      <c r="F6850" t="s">
        <v>45</v>
      </c>
      <c r="G6850" s="3">
        <f t="shared" ref="G6850:G6913" si="816">E6850-D6850</f>
        <v>-5957.913599999999</v>
      </c>
      <c r="H6850" s="3">
        <f t="shared" ref="H6850:H6913" si="817">ABS(G6850)</f>
        <v>5957.913599999999</v>
      </c>
      <c r="I6850" s="5" t="str">
        <f t="shared" ref="I6850:I6913" si="818">MID(B6850,1,3)</f>
        <v>016</v>
      </c>
      <c r="J6850" s="5" t="str">
        <f t="shared" ref="J6850:J6913" si="819">MID(B6850,5,4)</f>
        <v>2100</v>
      </c>
      <c r="K6850" s="5" t="str">
        <f t="shared" ref="K6850:K6913" si="820">MID(B6850,10,3)</f>
        <v>000</v>
      </c>
      <c r="L6850" s="5">
        <f t="shared" ref="L6850:L6913" si="821">MONTH(A6850)</f>
        <v>5</v>
      </c>
      <c r="M6850" s="5">
        <f t="shared" ref="M6850:M6913" si="822">YEAR(A6850)</f>
        <v>2013</v>
      </c>
    </row>
    <row r="6851" spans="1:13" ht="15" x14ac:dyDescent="0.25">
      <c r="A6851" s="1">
        <f>DATE(2013,5,31)</f>
        <v>41425</v>
      </c>
      <c r="B6851" t="s">
        <v>12</v>
      </c>
      <c r="C6851" t="s">
        <v>8</v>
      </c>
      <c r="D6851" s="3">
        <v>1878.5316000000003</v>
      </c>
      <c r="E6851" s="3">
        <v>0</v>
      </c>
      <c r="F6851" t="s">
        <v>45</v>
      </c>
      <c r="G6851" s="3">
        <f t="shared" si="816"/>
        <v>-1878.5316000000003</v>
      </c>
      <c r="H6851" s="3">
        <f t="shared" si="817"/>
        <v>1878.5316000000003</v>
      </c>
      <c r="I6851" s="5" t="str">
        <f t="shared" si="818"/>
        <v>016</v>
      </c>
      <c r="J6851" s="5" t="str">
        <f t="shared" si="819"/>
        <v>2210</v>
      </c>
      <c r="K6851" s="5" t="str">
        <f t="shared" si="820"/>
        <v>000</v>
      </c>
      <c r="L6851" s="5">
        <f t="shared" si="821"/>
        <v>5</v>
      </c>
      <c r="M6851" s="5">
        <f t="shared" si="822"/>
        <v>2013</v>
      </c>
    </row>
    <row r="6852" spans="1:13" ht="15" x14ac:dyDescent="0.25">
      <c r="A6852" s="1">
        <f>DATE(2013,5,31)</f>
        <v>41425</v>
      </c>
      <c r="B6852" t="s">
        <v>13</v>
      </c>
      <c r="C6852" t="s">
        <v>9</v>
      </c>
      <c r="D6852" s="3">
        <v>376.30799999999999</v>
      </c>
      <c r="E6852" s="3">
        <v>0</v>
      </c>
      <c r="F6852" t="s">
        <v>45</v>
      </c>
      <c r="G6852" s="3">
        <f t="shared" si="816"/>
        <v>-376.30799999999999</v>
      </c>
      <c r="H6852" s="3">
        <f t="shared" si="817"/>
        <v>376.30799999999999</v>
      </c>
      <c r="I6852" s="5" t="str">
        <f t="shared" si="818"/>
        <v>016</v>
      </c>
      <c r="J6852" s="5" t="str">
        <f t="shared" si="819"/>
        <v>2220</v>
      </c>
      <c r="K6852" s="5" t="str">
        <f t="shared" si="820"/>
        <v>000</v>
      </c>
      <c r="L6852" s="5">
        <f t="shared" si="821"/>
        <v>5</v>
      </c>
      <c r="M6852" s="5">
        <f t="shared" si="822"/>
        <v>2013</v>
      </c>
    </row>
    <row r="6853" spans="1:13" ht="15" x14ac:dyDescent="0.25">
      <c r="A6853" s="1">
        <f>DATE(2013,5,31)</f>
        <v>41425</v>
      </c>
      <c r="B6853" t="s">
        <v>14</v>
      </c>
      <c r="C6853" t="s">
        <v>10</v>
      </c>
      <c r="D6853" s="3">
        <v>107.4392</v>
      </c>
      <c r="E6853" s="3">
        <v>0</v>
      </c>
      <c r="F6853" t="s">
        <v>45</v>
      </c>
      <c r="G6853" s="3">
        <f t="shared" si="816"/>
        <v>-107.4392</v>
      </c>
      <c r="H6853" s="3">
        <f t="shared" si="817"/>
        <v>107.4392</v>
      </c>
      <c r="I6853" s="5" t="str">
        <f t="shared" si="818"/>
        <v>016</v>
      </c>
      <c r="J6853" s="5" t="str">
        <f t="shared" si="819"/>
        <v>2230</v>
      </c>
      <c r="K6853" s="5" t="str">
        <f t="shared" si="820"/>
        <v>000</v>
      </c>
      <c r="L6853" s="5">
        <f t="shared" si="821"/>
        <v>5</v>
      </c>
      <c r="M6853" s="5">
        <f t="shared" si="822"/>
        <v>2013</v>
      </c>
    </row>
    <row r="6854" spans="1:13" ht="15" x14ac:dyDescent="0.25">
      <c r="A6854" s="1">
        <f>DATE(2013,6,1)</f>
        <v>41426</v>
      </c>
      <c r="B6854" t="s">
        <v>11</v>
      </c>
      <c r="C6854" t="s">
        <v>6</v>
      </c>
      <c r="D6854" s="3">
        <v>5469.1482999999998</v>
      </c>
      <c r="E6854" s="3">
        <v>0</v>
      </c>
      <c r="F6854" t="s">
        <v>45</v>
      </c>
      <c r="G6854" s="3">
        <f t="shared" si="816"/>
        <v>-5469.1482999999998</v>
      </c>
      <c r="H6854" s="3">
        <f t="shared" si="817"/>
        <v>5469.1482999999998</v>
      </c>
      <c r="I6854" s="5" t="str">
        <f t="shared" si="818"/>
        <v>016</v>
      </c>
      <c r="J6854" s="5" t="str">
        <f t="shared" si="819"/>
        <v>2100</v>
      </c>
      <c r="K6854" s="5" t="str">
        <f t="shared" si="820"/>
        <v>000</v>
      </c>
      <c r="L6854" s="5">
        <f t="shared" si="821"/>
        <v>6</v>
      </c>
      <c r="M6854" s="5">
        <f t="shared" si="822"/>
        <v>2013</v>
      </c>
    </row>
    <row r="6855" spans="1:13" ht="15" x14ac:dyDescent="0.25">
      <c r="A6855" s="1">
        <f>DATE(2013,6,1)</f>
        <v>41426</v>
      </c>
      <c r="B6855" t="s">
        <v>12</v>
      </c>
      <c r="C6855" t="s">
        <v>8</v>
      </c>
      <c r="D6855" s="3">
        <v>1886.5050000000001</v>
      </c>
      <c r="E6855" s="3">
        <v>0</v>
      </c>
      <c r="F6855" t="s">
        <v>45</v>
      </c>
      <c r="G6855" s="3">
        <f t="shared" si="816"/>
        <v>-1886.5050000000001</v>
      </c>
      <c r="H6855" s="3">
        <f t="shared" si="817"/>
        <v>1886.5050000000001</v>
      </c>
      <c r="I6855" s="5" t="str">
        <f t="shared" si="818"/>
        <v>016</v>
      </c>
      <c r="J6855" s="5" t="str">
        <f t="shared" si="819"/>
        <v>2210</v>
      </c>
      <c r="K6855" s="5" t="str">
        <f t="shared" si="820"/>
        <v>000</v>
      </c>
      <c r="L6855" s="5">
        <f t="shared" si="821"/>
        <v>6</v>
      </c>
      <c r="M6855" s="5">
        <f t="shared" si="822"/>
        <v>2013</v>
      </c>
    </row>
    <row r="6856" spans="1:13" ht="15" x14ac:dyDescent="0.25">
      <c r="A6856" s="1">
        <f>DATE(2013,6,1)</f>
        <v>41426</v>
      </c>
      <c r="B6856" t="s">
        <v>13</v>
      </c>
      <c r="C6856" t="s">
        <v>9</v>
      </c>
      <c r="D6856" s="3">
        <v>299.5127</v>
      </c>
      <c r="E6856" s="3">
        <v>0</v>
      </c>
      <c r="F6856" t="s">
        <v>45</v>
      </c>
      <c r="G6856" s="3">
        <f t="shared" si="816"/>
        <v>-299.5127</v>
      </c>
      <c r="H6856" s="3">
        <f t="shared" si="817"/>
        <v>299.5127</v>
      </c>
      <c r="I6856" s="5" t="str">
        <f t="shared" si="818"/>
        <v>016</v>
      </c>
      <c r="J6856" s="5" t="str">
        <f t="shared" si="819"/>
        <v>2220</v>
      </c>
      <c r="K6856" s="5" t="str">
        <f t="shared" si="820"/>
        <v>000</v>
      </c>
      <c r="L6856" s="5">
        <f t="shared" si="821"/>
        <v>6</v>
      </c>
      <c r="M6856" s="5">
        <f t="shared" si="822"/>
        <v>2013</v>
      </c>
    </row>
    <row r="6857" spans="1:13" ht="15" x14ac:dyDescent="0.25">
      <c r="A6857" s="1">
        <f>DATE(2013,6,1)</f>
        <v>41426</v>
      </c>
      <c r="B6857" t="s">
        <v>14</v>
      </c>
      <c r="C6857" t="s">
        <v>10</v>
      </c>
      <c r="D6857" s="3">
        <v>171.51349999999999</v>
      </c>
      <c r="E6857" s="3">
        <v>0</v>
      </c>
      <c r="F6857" t="s">
        <v>45</v>
      </c>
      <c r="G6857" s="3">
        <f t="shared" si="816"/>
        <v>-171.51349999999999</v>
      </c>
      <c r="H6857" s="3">
        <f t="shared" si="817"/>
        <v>171.51349999999999</v>
      </c>
      <c r="I6857" s="5" t="str">
        <f t="shared" si="818"/>
        <v>016</v>
      </c>
      <c r="J6857" s="5" t="str">
        <f t="shared" si="819"/>
        <v>2230</v>
      </c>
      <c r="K6857" s="5" t="str">
        <f t="shared" si="820"/>
        <v>000</v>
      </c>
      <c r="L6857" s="5">
        <f t="shared" si="821"/>
        <v>6</v>
      </c>
      <c r="M6857" s="5">
        <f t="shared" si="822"/>
        <v>2013</v>
      </c>
    </row>
    <row r="6858" spans="1:13" ht="15" x14ac:dyDescent="0.25">
      <c r="A6858" s="1">
        <f>DATE(2013,6,2)</f>
        <v>41427</v>
      </c>
      <c r="B6858" t="s">
        <v>11</v>
      </c>
      <c r="C6858" t="s">
        <v>6</v>
      </c>
      <c r="D6858" s="3">
        <v>5108.2125999999998</v>
      </c>
      <c r="E6858" s="3">
        <v>0</v>
      </c>
      <c r="F6858" t="s">
        <v>45</v>
      </c>
      <c r="G6858" s="3">
        <f t="shared" si="816"/>
        <v>-5108.2125999999998</v>
      </c>
      <c r="H6858" s="3">
        <f t="shared" si="817"/>
        <v>5108.2125999999998</v>
      </c>
      <c r="I6858" s="5" t="str">
        <f t="shared" si="818"/>
        <v>016</v>
      </c>
      <c r="J6858" s="5" t="str">
        <f t="shared" si="819"/>
        <v>2100</v>
      </c>
      <c r="K6858" s="5" t="str">
        <f t="shared" si="820"/>
        <v>000</v>
      </c>
      <c r="L6858" s="5">
        <f t="shared" si="821"/>
        <v>6</v>
      </c>
      <c r="M6858" s="5">
        <f t="shared" si="822"/>
        <v>2013</v>
      </c>
    </row>
    <row r="6859" spans="1:13" ht="15" x14ac:dyDescent="0.25">
      <c r="A6859" s="1">
        <f>DATE(2013,6,2)</f>
        <v>41427</v>
      </c>
      <c r="B6859" t="s">
        <v>12</v>
      </c>
      <c r="C6859" t="s">
        <v>8</v>
      </c>
      <c r="D6859" s="3">
        <v>1644.9069</v>
      </c>
      <c r="E6859" s="3">
        <v>0</v>
      </c>
      <c r="F6859" t="s">
        <v>45</v>
      </c>
      <c r="G6859" s="3">
        <f t="shared" si="816"/>
        <v>-1644.9069</v>
      </c>
      <c r="H6859" s="3">
        <f t="shared" si="817"/>
        <v>1644.9069</v>
      </c>
      <c r="I6859" s="5" t="str">
        <f t="shared" si="818"/>
        <v>016</v>
      </c>
      <c r="J6859" s="5" t="str">
        <f t="shared" si="819"/>
        <v>2210</v>
      </c>
      <c r="K6859" s="5" t="str">
        <f t="shared" si="820"/>
        <v>000</v>
      </c>
      <c r="L6859" s="5">
        <f t="shared" si="821"/>
        <v>6</v>
      </c>
      <c r="M6859" s="5">
        <f t="shared" si="822"/>
        <v>2013</v>
      </c>
    </row>
    <row r="6860" spans="1:13" ht="15" x14ac:dyDescent="0.25">
      <c r="A6860" s="1">
        <f>DATE(2013,6,2)</f>
        <v>41427</v>
      </c>
      <c r="B6860" t="s">
        <v>13</v>
      </c>
      <c r="C6860" t="s">
        <v>9</v>
      </c>
      <c r="D6860" s="3">
        <v>308.40479999999997</v>
      </c>
      <c r="E6860" s="3">
        <v>0</v>
      </c>
      <c r="F6860" t="s">
        <v>45</v>
      </c>
      <c r="G6860" s="3">
        <f t="shared" si="816"/>
        <v>-308.40479999999997</v>
      </c>
      <c r="H6860" s="3">
        <f t="shared" si="817"/>
        <v>308.40479999999997</v>
      </c>
      <c r="I6860" s="5" t="str">
        <f t="shared" si="818"/>
        <v>016</v>
      </c>
      <c r="J6860" s="5" t="str">
        <f t="shared" si="819"/>
        <v>2220</v>
      </c>
      <c r="K6860" s="5" t="str">
        <f t="shared" si="820"/>
        <v>000</v>
      </c>
      <c r="L6860" s="5">
        <f t="shared" si="821"/>
        <v>6</v>
      </c>
      <c r="M6860" s="5">
        <f t="shared" si="822"/>
        <v>2013</v>
      </c>
    </row>
    <row r="6861" spans="1:13" ht="15" x14ac:dyDescent="0.25">
      <c r="A6861" s="1">
        <f>DATE(2013,6,2)</f>
        <v>41427</v>
      </c>
      <c r="B6861" t="s">
        <v>14</v>
      </c>
      <c r="C6861" t="s">
        <v>10</v>
      </c>
      <c r="D6861" s="3">
        <v>103.05120000000001</v>
      </c>
      <c r="E6861" s="3">
        <v>0</v>
      </c>
      <c r="F6861" t="s">
        <v>45</v>
      </c>
      <c r="G6861" s="3">
        <f t="shared" si="816"/>
        <v>-103.05120000000001</v>
      </c>
      <c r="H6861" s="3">
        <f t="shared" si="817"/>
        <v>103.05120000000001</v>
      </c>
      <c r="I6861" s="5" t="str">
        <f t="shared" si="818"/>
        <v>016</v>
      </c>
      <c r="J6861" s="5" t="str">
        <f t="shared" si="819"/>
        <v>2230</v>
      </c>
      <c r="K6861" s="5" t="str">
        <f t="shared" si="820"/>
        <v>000</v>
      </c>
      <c r="L6861" s="5">
        <f t="shared" si="821"/>
        <v>6</v>
      </c>
      <c r="M6861" s="5">
        <f t="shared" si="822"/>
        <v>2013</v>
      </c>
    </row>
    <row r="6862" spans="1:13" ht="15" x14ac:dyDescent="0.25">
      <c r="A6862" s="1">
        <f>DATE(2013,5,27)</f>
        <v>41421</v>
      </c>
      <c r="B6862" t="s">
        <v>15</v>
      </c>
      <c r="C6862" t="s">
        <v>6</v>
      </c>
      <c r="D6862" s="3">
        <v>3853.7464</v>
      </c>
      <c r="E6862" s="3">
        <v>0</v>
      </c>
      <c r="F6862" t="s">
        <v>45</v>
      </c>
      <c r="G6862" s="3">
        <f t="shared" si="816"/>
        <v>-3853.7464</v>
      </c>
      <c r="H6862" s="3">
        <f t="shared" si="817"/>
        <v>3853.7464</v>
      </c>
      <c r="I6862" s="5" t="str">
        <f t="shared" si="818"/>
        <v>017</v>
      </c>
      <c r="J6862" s="5" t="str">
        <f t="shared" si="819"/>
        <v>2100</v>
      </c>
      <c r="K6862" s="5" t="str">
        <f t="shared" si="820"/>
        <v>000</v>
      </c>
      <c r="L6862" s="5">
        <f t="shared" si="821"/>
        <v>5</v>
      </c>
      <c r="M6862" s="5">
        <f t="shared" si="822"/>
        <v>2013</v>
      </c>
    </row>
    <row r="6863" spans="1:13" ht="15" x14ac:dyDescent="0.25">
      <c r="A6863" s="1">
        <f>DATE(2013,5,27)</f>
        <v>41421</v>
      </c>
      <c r="B6863" t="s">
        <v>16</v>
      </c>
      <c r="C6863" t="s">
        <v>8</v>
      </c>
      <c r="D6863" s="3">
        <v>959.80560000000003</v>
      </c>
      <c r="E6863" s="3">
        <v>0</v>
      </c>
      <c r="F6863" t="s">
        <v>45</v>
      </c>
      <c r="G6863" s="3">
        <f t="shared" si="816"/>
        <v>-959.80560000000003</v>
      </c>
      <c r="H6863" s="3">
        <f t="shared" si="817"/>
        <v>959.80560000000003</v>
      </c>
      <c r="I6863" s="5" t="str">
        <f t="shared" si="818"/>
        <v>017</v>
      </c>
      <c r="J6863" s="5" t="str">
        <f t="shared" si="819"/>
        <v>2210</v>
      </c>
      <c r="K6863" s="5" t="str">
        <f t="shared" si="820"/>
        <v>000</v>
      </c>
      <c r="L6863" s="5">
        <f t="shared" si="821"/>
        <v>5</v>
      </c>
      <c r="M6863" s="5">
        <f t="shared" si="822"/>
        <v>2013</v>
      </c>
    </row>
    <row r="6864" spans="1:13" ht="15" x14ac:dyDescent="0.25">
      <c r="A6864" s="1">
        <f>DATE(2013,5,27)</f>
        <v>41421</v>
      </c>
      <c r="B6864" t="s">
        <v>17</v>
      </c>
      <c r="C6864" t="s">
        <v>9</v>
      </c>
      <c r="D6864" s="3">
        <v>160.7079</v>
      </c>
      <c r="E6864" s="3">
        <v>0</v>
      </c>
      <c r="F6864" t="s">
        <v>45</v>
      </c>
      <c r="G6864" s="3">
        <f t="shared" si="816"/>
        <v>-160.7079</v>
      </c>
      <c r="H6864" s="3">
        <f t="shared" si="817"/>
        <v>160.7079</v>
      </c>
      <c r="I6864" s="5" t="str">
        <f t="shared" si="818"/>
        <v>017</v>
      </c>
      <c r="J6864" s="5" t="str">
        <f t="shared" si="819"/>
        <v>2220</v>
      </c>
      <c r="K6864" s="5" t="str">
        <f t="shared" si="820"/>
        <v>000</v>
      </c>
      <c r="L6864" s="5">
        <f t="shared" si="821"/>
        <v>5</v>
      </c>
      <c r="M6864" s="5">
        <f t="shared" si="822"/>
        <v>2013</v>
      </c>
    </row>
    <row r="6865" spans="1:13" ht="15" x14ac:dyDescent="0.25">
      <c r="A6865" s="1">
        <f>DATE(2013,5,27)</f>
        <v>41421</v>
      </c>
      <c r="B6865" t="s">
        <v>18</v>
      </c>
      <c r="C6865" t="s">
        <v>10</v>
      </c>
      <c r="D6865" s="3">
        <v>26.72</v>
      </c>
      <c r="E6865" s="3">
        <v>0</v>
      </c>
      <c r="F6865" t="s">
        <v>45</v>
      </c>
      <c r="G6865" s="3">
        <f t="shared" si="816"/>
        <v>-26.72</v>
      </c>
      <c r="H6865" s="3">
        <f t="shared" si="817"/>
        <v>26.72</v>
      </c>
      <c r="I6865" s="5" t="str">
        <f t="shared" si="818"/>
        <v>017</v>
      </c>
      <c r="J6865" s="5" t="str">
        <f t="shared" si="819"/>
        <v>2230</v>
      </c>
      <c r="K6865" s="5" t="str">
        <f t="shared" si="820"/>
        <v>000</v>
      </c>
      <c r="L6865" s="5">
        <f t="shared" si="821"/>
        <v>5</v>
      </c>
      <c r="M6865" s="5">
        <f t="shared" si="822"/>
        <v>2013</v>
      </c>
    </row>
    <row r="6866" spans="1:13" ht="15" x14ac:dyDescent="0.25">
      <c r="A6866" s="1">
        <f>DATE(2013,5,28)</f>
        <v>41422</v>
      </c>
      <c r="B6866" t="s">
        <v>15</v>
      </c>
      <c r="C6866" t="s">
        <v>6</v>
      </c>
      <c r="D6866" s="3">
        <v>4620.8924999999999</v>
      </c>
      <c r="E6866" s="3">
        <v>0</v>
      </c>
      <c r="F6866" t="s">
        <v>45</v>
      </c>
      <c r="G6866" s="3">
        <f t="shared" si="816"/>
        <v>-4620.8924999999999</v>
      </c>
      <c r="H6866" s="3">
        <f t="shared" si="817"/>
        <v>4620.8924999999999</v>
      </c>
      <c r="I6866" s="5" t="str">
        <f t="shared" si="818"/>
        <v>017</v>
      </c>
      <c r="J6866" s="5" t="str">
        <f t="shared" si="819"/>
        <v>2100</v>
      </c>
      <c r="K6866" s="5" t="str">
        <f t="shared" si="820"/>
        <v>000</v>
      </c>
      <c r="L6866" s="5">
        <f t="shared" si="821"/>
        <v>5</v>
      </c>
      <c r="M6866" s="5">
        <f t="shared" si="822"/>
        <v>2013</v>
      </c>
    </row>
    <row r="6867" spans="1:13" ht="15" x14ac:dyDescent="0.25">
      <c r="A6867" s="1">
        <f>DATE(2013,5,28)</f>
        <v>41422</v>
      </c>
      <c r="B6867" t="s">
        <v>16</v>
      </c>
      <c r="C6867" t="s">
        <v>8</v>
      </c>
      <c r="D6867" s="3">
        <v>622.91419999999994</v>
      </c>
      <c r="E6867" s="3">
        <v>0</v>
      </c>
      <c r="F6867" t="s">
        <v>45</v>
      </c>
      <c r="G6867" s="3">
        <f t="shared" si="816"/>
        <v>-622.91419999999994</v>
      </c>
      <c r="H6867" s="3">
        <f t="shared" si="817"/>
        <v>622.91419999999994</v>
      </c>
      <c r="I6867" s="5" t="str">
        <f t="shared" si="818"/>
        <v>017</v>
      </c>
      <c r="J6867" s="5" t="str">
        <f t="shared" si="819"/>
        <v>2210</v>
      </c>
      <c r="K6867" s="5" t="str">
        <f t="shared" si="820"/>
        <v>000</v>
      </c>
      <c r="L6867" s="5">
        <f t="shared" si="821"/>
        <v>5</v>
      </c>
      <c r="M6867" s="5">
        <f t="shared" si="822"/>
        <v>2013</v>
      </c>
    </row>
    <row r="6868" spans="1:13" ht="15" x14ac:dyDescent="0.25">
      <c r="A6868" s="1">
        <f>DATE(2013,5,28)</f>
        <v>41422</v>
      </c>
      <c r="B6868" t="s">
        <v>17</v>
      </c>
      <c r="C6868" t="s">
        <v>9</v>
      </c>
      <c r="D6868" s="3">
        <v>368.67559999999997</v>
      </c>
      <c r="E6868" s="3">
        <v>0</v>
      </c>
      <c r="F6868" t="s">
        <v>45</v>
      </c>
      <c r="G6868" s="3">
        <f t="shared" si="816"/>
        <v>-368.67559999999997</v>
      </c>
      <c r="H6868" s="3">
        <f t="shared" si="817"/>
        <v>368.67559999999997</v>
      </c>
      <c r="I6868" s="5" t="str">
        <f t="shared" si="818"/>
        <v>017</v>
      </c>
      <c r="J6868" s="5" t="str">
        <f t="shared" si="819"/>
        <v>2220</v>
      </c>
      <c r="K6868" s="5" t="str">
        <f t="shared" si="820"/>
        <v>000</v>
      </c>
      <c r="L6868" s="5">
        <f t="shared" si="821"/>
        <v>5</v>
      </c>
      <c r="M6868" s="5">
        <f t="shared" si="822"/>
        <v>2013</v>
      </c>
    </row>
    <row r="6869" spans="1:13" ht="15" x14ac:dyDescent="0.25">
      <c r="A6869" s="1">
        <f>DATE(2013,5,28)</f>
        <v>41422</v>
      </c>
      <c r="B6869" t="s">
        <v>18</v>
      </c>
      <c r="C6869" t="s">
        <v>10</v>
      </c>
      <c r="D6869" s="3">
        <v>71.528599999999997</v>
      </c>
      <c r="E6869" s="3">
        <v>0</v>
      </c>
      <c r="F6869" t="s">
        <v>45</v>
      </c>
      <c r="G6869" s="3">
        <f t="shared" si="816"/>
        <v>-71.528599999999997</v>
      </c>
      <c r="H6869" s="3">
        <f t="shared" si="817"/>
        <v>71.528599999999997</v>
      </c>
      <c r="I6869" s="5" t="str">
        <f t="shared" si="818"/>
        <v>017</v>
      </c>
      <c r="J6869" s="5" t="str">
        <f t="shared" si="819"/>
        <v>2230</v>
      </c>
      <c r="K6869" s="5" t="str">
        <f t="shared" si="820"/>
        <v>000</v>
      </c>
      <c r="L6869" s="5">
        <f t="shared" si="821"/>
        <v>5</v>
      </c>
      <c r="M6869" s="5">
        <f t="shared" si="822"/>
        <v>2013</v>
      </c>
    </row>
    <row r="6870" spans="1:13" ht="15" x14ac:dyDescent="0.25">
      <c r="A6870" s="1">
        <f>DATE(2013,5,29)</f>
        <v>41423</v>
      </c>
      <c r="B6870" t="s">
        <v>15</v>
      </c>
      <c r="C6870" t="s">
        <v>6</v>
      </c>
      <c r="D6870" s="3">
        <v>6327.8663999999999</v>
      </c>
      <c r="E6870" s="3">
        <v>0</v>
      </c>
      <c r="F6870" t="s">
        <v>45</v>
      </c>
      <c r="G6870" s="3">
        <f t="shared" si="816"/>
        <v>-6327.8663999999999</v>
      </c>
      <c r="H6870" s="3">
        <f t="shared" si="817"/>
        <v>6327.8663999999999</v>
      </c>
      <c r="I6870" s="5" t="str">
        <f t="shared" si="818"/>
        <v>017</v>
      </c>
      <c r="J6870" s="5" t="str">
        <f t="shared" si="819"/>
        <v>2100</v>
      </c>
      <c r="K6870" s="5" t="str">
        <f t="shared" si="820"/>
        <v>000</v>
      </c>
      <c r="L6870" s="5">
        <f t="shared" si="821"/>
        <v>5</v>
      </c>
      <c r="M6870" s="5">
        <f t="shared" si="822"/>
        <v>2013</v>
      </c>
    </row>
    <row r="6871" spans="1:13" ht="15" x14ac:dyDescent="0.25">
      <c r="A6871" s="1">
        <f>DATE(2013,5,29)</f>
        <v>41423</v>
      </c>
      <c r="B6871" t="s">
        <v>16</v>
      </c>
      <c r="C6871" t="s">
        <v>8</v>
      </c>
      <c r="D6871" s="3">
        <v>2031.1824000000001</v>
      </c>
      <c r="E6871" s="3">
        <v>0</v>
      </c>
      <c r="F6871" t="s">
        <v>45</v>
      </c>
      <c r="G6871" s="3">
        <f t="shared" si="816"/>
        <v>-2031.1824000000001</v>
      </c>
      <c r="H6871" s="3">
        <f t="shared" si="817"/>
        <v>2031.1824000000001</v>
      </c>
      <c r="I6871" s="5" t="str">
        <f t="shared" si="818"/>
        <v>017</v>
      </c>
      <c r="J6871" s="5" t="str">
        <f t="shared" si="819"/>
        <v>2210</v>
      </c>
      <c r="K6871" s="5" t="str">
        <f t="shared" si="820"/>
        <v>000</v>
      </c>
      <c r="L6871" s="5">
        <f t="shared" si="821"/>
        <v>5</v>
      </c>
      <c r="M6871" s="5">
        <f t="shared" si="822"/>
        <v>2013</v>
      </c>
    </row>
    <row r="6872" spans="1:13" ht="15" x14ac:dyDescent="0.25">
      <c r="A6872" s="1">
        <f>DATE(2013,5,29)</f>
        <v>41423</v>
      </c>
      <c r="B6872" t="s">
        <v>17</v>
      </c>
      <c r="C6872" t="s">
        <v>9</v>
      </c>
      <c r="D6872" s="3">
        <v>484.15320000000003</v>
      </c>
      <c r="E6872" s="3">
        <v>0</v>
      </c>
      <c r="F6872" t="s">
        <v>45</v>
      </c>
      <c r="G6872" s="3">
        <f t="shared" si="816"/>
        <v>-484.15320000000003</v>
      </c>
      <c r="H6872" s="3">
        <f t="shared" si="817"/>
        <v>484.15320000000003</v>
      </c>
      <c r="I6872" s="5" t="str">
        <f t="shared" si="818"/>
        <v>017</v>
      </c>
      <c r="J6872" s="5" t="str">
        <f t="shared" si="819"/>
        <v>2220</v>
      </c>
      <c r="K6872" s="5" t="str">
        <f t="shared" si="820"/>
        <v>000</v>
      </c>
      <c r="L6872" s="5">
        <f t="shared" si="821"/>
        <v>5</v>
      </c>
      <c r="M6872" s="5">
        <f t="shared" si="822"/>
        <v>2013</v>
      </c>
    </row>
    <row r="6873" spans="1:13" ht="15" x14ac:dyDescent="0.25">
      <c r="A6873" s="1">
        <f>DATE(2013,5,29)</f>
        <v>41423</v>
      </c>
      <c r="B6873" t="s">
        <v>18</v>
      </c>
      <c r="C6873" t="s">
        <v>10</v>
      </c>
      <c r="D6873" s="3">
        <v>169.065</v>
      </c>
      <c r="E6873" s="3">
        <v>0</v>
      </c>
      <c r="F6873" t="s">
        <v>45</v>
      </c>
      <c r="G6873" s="3">
        <f t="shared" si="816"/>
        <v>-169.065</v>
      </c>
      <c r="H6873" s="3">
        <f t="shared" si="817"/>
        <v>169.065</v>
      </c>
      <c r="I6873" s="5" t="str">
        <f t="shared" si="818"/>
        <v>017</v>
      </c>
      <c r="J6873" s="5" t="str">
        <f t="shared" si="819"/>
        <v>2230</v>
      </c>
      <c r="K6873" s="5" t="str">
        <f t="shared" si="820"/>
        <v>000</v>
      </c>
      <c r="L6873" s="5">
        <f t="shared" si="821"/>
        <v>5</v>
      </c>
      <c r="M6873" s="5">
        <f t="shared" si="822"/>
        <v>2013</v>
      </c>
    </row>
    <row r="6874" spans="1:13" ht="15" x14ac:dyDescent="0.25">
      <c r="A6874" s="1">
        <f>DATE(2013,5,30)</f>
        <v>41424</v>
      </c>
      <c r="B6874" t="s">
        <v>15</v>
      </c>
      <c r="C6874" t="s">
        <v>6</v>
      </c>
      <c r="D6874" s="3">
        <v>4749.7864</v>
      </c>
      <c r="E6874" s="3">
        <v>0</v>
      </c>
      <c r="F6874" t="s">
        <v>45</v>
      </c>
      <c r="G6874" s="3">
        <f t="shared" si="816"/>
        <v>-4749.7864</v>
      </c>
      <c r="H6874" s="3">
        <f t="shared" si="817"/>
        <v>4749.7864</v>
      </c>
      <c r="I6874" s="5" t="str">
        <f t="shared" si="818"/>
        <v>017</v>
      </c>
      <c r="J6874" s="5" t="str">
        <f t="shared" si="819"/>
        <v>2100</v>
      </c>
      <c r="K6874" s="5" t="str">
        <f t="shared" si="820"/>
        <v>000</v>
      </c>
      <c r="L6874" s="5">
        <f t="shared" si="821"/>
        <v>5</v>
      </c>
      <c r="M6874" s="5">
        <f t="shared" si="822"/>
        <v>2013</v>
      </c>
    </row>
    <row r="6875" spans="1:13" ht="15" x14ac:dyDescent="0.25">
      <c r="A6875" s="1">
        <f>DATE(2013,5,30)</f>
        <v>41424</v>
      </c>
      <c r="B6875" t="s">
        <v>16</v>
      </c>
      <c r="C6875" t="s">
        <v>8</v>
      </c>
      <c r="D6875" s="3">
        <v>1190.713</v>
      </c>
      <c r="E6875" s="3">
        <v>0</v>
      </c>
      <c r="F6875" t="s">
        <v>45</v>
      </c>
      <c r="G6875" s="3">
        <f t="shared" si="816"/>
        <v>-1190.713</v>
      </c>
      <c r="H6875" s="3">
        <f t="shared" si="817"/>
        <v>1190.713</v>
      </c>
      <c r="I6875" s="5" t="str">
        <f t="shared" si="818"/>
        <v>017</v>
      </c>
      <c r="J6875" s="5" t="str">
        <f t="shared" si="819"/>
        <v>2210</v>
      </c>
      <c r="K6875" s="5" t="str">
        <f t="shared" si="820"/>
        <v>000</v>
      </c>
      <c r="L6875" s="5">
        <f t="shared" si="821"/>
        <v>5</v>
      </c>
      <c r="M6875" s="5">
        <f t="shared" si="822"/>
        <v>2013</v>
      </c>
    </row>
    <row r="6876" spans="1:13" ht="15" x14ac:dyDescent="0.25">
      <c r="A6876" s="1">
        <f>DATE(2013,5,30)</f>
        <v>41424</v>
      </c>
      <c r="B6876" t="s">
        <v>17</v>
      </c>
      <c r="C6876" t="s">
        <v>9</v>
      </c>
      <c r="D6876" s="3">
        <v>362.82400000000001</v>
      </c>
      <c r="E6876" s="3">
        <v>0</v>
      </c>
      <c r="F6876" t="s">
        <v>45</v>
      </c>
      <c r="G6876" s="3">
        <f t="shared" si="816"/>
        <v>-362.82400000000001</v>
      </c>
      <c r="H6876" s="3">
        <f t="shared" si="817"/>
        <v>362.82400000000001</v>
      </c>
      <c r="I6876" s="5" t="str">
        <f t="shared" si="818"/>
        <v>017</v>
      </c>
      <c r="J6876" s="5" t="str">
        <f t="shared" si="819"/>
        <v>2220</v>
      </c>
      <c r="K6876" s="5" t="str">
        <f t="shared" si="820"/>
        <v>000</v>
      </c>
      <c r="L6876" s="5">
        <f t="shared" si="821"/>
        <v>5</v>
      </c>
      <c r="M6876" s="5">
        <f t="shared" si="822"/>
        <v>2013</v>
      </c>
    </row>
    <row r="6877" spans="1:13" ht="15" x14ac:dyDescent="0.25">
      <c r="A6877" s="1">
        <f>DATE(2013,5,30)</f>
        <v>41424</v>
      </c>
      <c r="B6877" t="s">
        <v>18</v>
      </c>
      <c r="C6877" t="s">
        <v>10</v>
      </c>
      <c r="D6877" s="3">
        <v>86.89800000000001</v>
      </c>
      <c r="E6877" s="3">
        <v>0</v>
      </c>
      <c r="F6877" t="s">
        <v>45</v>
      </c>
      <c r="G6877" s="3">
        <f t="shared" si="816"/>
        <v>-86.89800000000001</v>
      </c>
      <c r="H6877" s="3">
        <f t="shared" si="817"/>
        <v>86.89800000000001</v>
      </c>
      <c r="I6877" s="5" t="str">
        <f t="shared" si="818"/>
        <v>017</v>
      </c>
      <c r="J6877" s="5" t="str">
        <f t="shared" si="819"/>
        <v>2230</v>
      </c>
      <c r="K6877" s="5" t="str">
        <f t="shared" si="820"/>
        <v>000</v>
      </c>
      <c r="L6877" s="5">
        <f t="shared" si="821"/>
        <v>5</v>
      </c>
      <c r="M6877" s="5">
        <f t="shared" si="822"/>
        <v>2013</v>
      </c>
    </row>
    <row r="6878" spans="1:13" ht="15" x14ac:dyDescent="0.25">
      <c r="A6878" s="1">
        <f>DATE(2013,5,31)</f>
        <v>41425</v>
      </c>
      <c r="B6878" t="s">
        <v>15</v>
      </c>
      <c r="C6878" t="s">
        <v>6</v>
      </c>
      <c r="D6878" s="3">
        <v>9302.0925000000007</v>
      </c>
      <c r="E6878" s="3">
        <v>0</v>
      </c>
      <c r="F6878" t="s">
        <v>45</v>
      </c>
      <c r="G6878" s="3">
        <f t="shared" si="816"/>
        <v>-9302.0925000000007</v>
      </c>
      <c r="H6878" s="3">
        <f t="shared" si="817"/>
        <v>9302.0925000000007</v>
      </c>
      <c r="I6878" s="5" t="str">
        <f t="shared" si="818"/>
        <v>017</v>
      </c>
      <c r="J6878" s="5" t="str">
        <f t="shared" si="819"/>
        <v>2100</v>
      </c>
      <c r="K6878" s="5" t="str">
        <f t="shared" si="820"/>
        <v>000</v>
      </c>
      <c r="L6878" s="5">
        <f t="shared" si="821"/>
        <v>5</v>
      </c>
      <c r="M6878" s="5">
        <f t="shared" si="822"/>
        <v>2013</v>
      </c>
    </row>
    <row r="6879" spans="1:13" ht="15" x14ac:dyDescent="0.25">
      <c r="A6879" s="1">
        <f>DATE(2013,5,31)</f>
        <v>41425</v>
      </c>
      <c r="B6879" t="s">
        <v>16</v>
      </c>
      <c r="C6879" t="s">
        <v>8</v>
      </c>
      <c r="D6879" s="3">
        <v>3518.4636999999998</v>
      </c>
      <c r="E6879" s="3">
        <v>0</v>
      </c>
      <c r="F6879" t="s">
        <v>45</v>
      </c>
      <c r="G6879" s="3">
        <f t="shared" si="816"/>
        <v>-3518.4636999999998</v>
      </c>
      <c r="H6879" s="3">
        <f t="shared" si="817"/>
        <v>3518.4636999999998</v>
      </c>
      <c r="I6879" s="5" t="str">
        <f t="shared" si="818"/>
        <v>017</v>
      </c>
      <c r="J6879" s="5" t="str">
        <f t="shared" si="819"/>
        <v>2210</v>
      </c>
      <c r="K6879" s="5" t="str">
        <f t="shared" si="820"/>
        <v>000</v>
      </c>
      <c r="L6879" s="5">
        <f t="shared" si="821"/>
        <v>5</v>
      </c>
      <c r="M6879" s="5">
        <f t="shared" si="822"/>
        <v>2013</v>
      </c>
    </row>
    <row r="6880" spans="1:13" ht="15" x14ac:dyDescent="0.25">
      <c r="A6880" s="1">
        <f>DATE(2013,5,31)</f>
        <v>41425</v>
      </c>
      <c r="B6880" t="s">
        <v>17</v>
      </c>
      <c r="C6880" t="s">
        <v>9</v>
      </c>
      <c r="D6880" s="3">
        <v>503.43919999999997</v>
      </c>
      <c r="E6880" s="3">
        <v>0</v>
      </c>
      <c r="F6880" t="s">
        <v>45</v>
      </c>
      <c r="G6880" s="3">
        <f t="shared" si="816"/>
        <v>-503.43919999999997</v>
      </c>
      <c r="H6880" s="3">
        <f t="shared" si="817"/>
        <v>503.43919999999997</v>
      </c>
      <c r="I6880" s="5" t="str">
        <f t="shared" si="818"/>
        <v>017</v>
      </c>
      <c r="J6880" s="5" t="str">
        <f t="shared" si="819"/>
        <v>2220</v>
      </c>
      <c r="K6880" s="5" t="str">
        <f t="shared" si="820"/>
        <v>000</v>
      </c>
      <c r="L6880" s="5">
        <f t="shared" si="821"/>
        <v>5</v>
      </c>
      <c r="M6880" s="5">
        <f t="shared" si="822"/>
        <v>2013</v>
      </c>
    </row>
    <row r="6881" spans="1:13" ht="15" x14ac:dyDescent="0.25">
      <c r="A6881" s="1">
        <f>DATE(2013,5,31)</f>
        <v>41425</v>
      </c>
      <c r="B6881" t="s">
        <v>18</v>
      </c>
      <c r="C6881" t="s">
        <v>10</v>
      </c>
      <c r="D6881" s="3">
        <v>63.178500000000007</v>
      </c>
      <c r="E6881" s="3">
        <v>0</v>
      </c>
      <c r="F6881" t="s">
        <v>45</v>
      </c>
      <c r="G6881" s="3">
        <f t="shared" si="816"/>
        <v>-63.178500000000007</v>
      </c>
      <c r="H6881" s="3">
        <f t="shared" si="817"/>
        <v>63.178500000000007</v>
      </c>
      <c r="I6881" s="5" t="str">
        <f t="shared" si="818"/>
        <v>017</v>
      </c>
      <c r="J6881" s="5" t="str">
        <f t="shared" si="819"/>
        <v>2230</v>
      </c>
      <c r="K6881" s="5" t="str">
        <f t="shared" si="820"/>
        <v>000</v>
      </c>
      <c r="L6881" s="5">
        <f t="shared" si="821"/>
        <v>5</v>
      </c>
      <c r="M6881" s="5">
        <f t="shared" si="822"/>
        <v>2013</v>
      </c>
    </row>
    <row r="6882" spans="1:13" ht="15" x14ac:dyDescent="0.25">
      <c r="A6882" s="1">
        <f>DATE(2013,6,1)</f>
        <v>41426</v>
      </c>
      <c r="B6882" t="s">
        <v>15</v>
      </c>
      <c r="C6882" t="s">
        <v>6</v>
      </c>
      <c r="D6882" s="3">
        <v>5181.6244999999999</v>
      </c>
      <c r="E6882" s="3">
        <v>0</v>
      </c>
      <c r="F6882" t="s">
        <v>45</v>
      </c>
      <c r="G6882" s="3">
        <f t="shared" si="816"/>
        <v>-5181.6244999999999</v>
      </c>
      <c r="H6882" s="3">
        <f t="shared" si="817"/>
        <v>5181.6244999999999</v>
      </c>
      <c r="I6882" s="5" t="str">
        <f t="shared" si="818"/>
        <v>017</v>
      </c>
      <c r="J6882" s="5" t="str">
        <f t="shared" si="819"/>
        <v>2100</v>
      </c>
      <c r="K6882" s="5" t="str">
        <f t="shared" si="820"/>
        <v>000</v>
      </c>
      <c r="L6882" s="5">
        <f t="shared" si="821"/>
        <v>6</v>
      </c>
      <c r="M6882" s="5">
        <f t="shared" si="822"/>
        <v>2013</v>
      </c>
    </row>
    <row r="6883" spans="1:13" ht="15" x14ac:dyDescent="0.25">
      <c r="A6883" s="1">
        <f>DATE(2013,6,1)</f>
        <v>41426</v>
      </c>
      <c r="B6883" t="s">
        <v>16</v>
      </c>
      <c r="C6883" t="s">
        <v>8</v>
      </c>
      <c r="D6883" s="3">
        <v>1570.1565000000001</v>
      </c>
      <c r="E6883" s="3">
        <v>0</v>
      </c>
      <c r="F6883" t="s">
        <v>45</v>
      </c>
      <c r="G6883" s="3">
        <f t="shared" si="816"/>
        <v>-1570.1565000000001</v>
      </c>
      <c r="H6883" s="3">
        <f t="shared" si="817"/>
        <v>1570.1565000000001</v>
      </c>
      <c r="I6883" s="5" t="str">
        <f t="shared" si="818"/>
        <v>017</v>
      </c>
      <c r="J6883" s="5" t="str">
        <f t="shared" si="819"/>
        <v>2210</v>
      </c>
      <c r="K6883" s="5" t="str">
        <f t="shared" si="820"/>
        <v>000</v>
      </c>
      <c r="L6883" s="5">
        <f t="shared" si="821"/>
        <v>6</v>
      </c>
      <c r="M6883" s="5">
        <f t="shared" si="822"/>
        <v>2013</v>
      </c>
    </row>
    <row r="6884" spans="1:13" ht="15" x14ac:dyDescent="0.25">
      <c r="A6884" s="1">
        <f>DATE(2013,6,1)</f>
        <v>41426</v>
      </c>
      <c r="B6884" t="s">
        <v>17</v>
      </c>
      <c r="C6884" t="s">
        <v>9</v>
      </c>
      <c r="D6884" s="3">
        <v>270.69390000000004</v>
      </c>
      <c r="E6884" s="3">
        <v>0</v>
      </c>
      <c r="F6884" t="s">
        <v>45</v>
      </c>
      <c r="G6884" s="3">
        <f t="shared" si="816"/>
        <v>-270.69390000000004</v>
      </c>
      <c r="H6884" s="3">
        <f t="shared" si="817"/>
        <v>270.69390000000004</v>
      </c>
      <c r="I6884" s="5" t="str">
        <f t="shared" si="818"/>
        <v>017</v>
      </c>
      <c r="J6884" s="5" t="str">
        <f t="shared" si="819"/>
        <v>2220</v>
      </c>
      <c r="K6884" s="5" t="str">
        <f t="shared" si="820"/>
        <v>000</v>
      </c>
      <c r="L6884" s="5">
        <f t="shared" si="821"/>
        <v>6</v>
      </c>
      <c r="M6884" s="5">
        <f t="shared" si="822"/>
        <v>2013</v>
      </c>
    </row>
    <row r="6885" spans="1:13" ht="15" x14ac:dyDescent="0.25">
      <c r="A6885" s="1">
        <f>DATE(2013,6,1)</f>
        <v>41426</v>
      </c>
      <c r="B6885" t="s">
        <v>18</v>
      </c>
      <c r="C6885" t="s">
        <v>10</v>
      </c>
      <c r="D6885" s="3">
        <v>82.6965</v>
      </c>
      <c r="E6885" s="3">
        <v>0</v>
      </c>
      <c r="F6885" t="s">
        <v>45</v>
      </c>
      <c r="G6885" s="3">
        <f t="shared" si="816"/>
        <v>-82.6965</v>
      </c>
      <c r="H6885" s="3">
        <f t="shared" si="817"/>
        <v>82.6965</v>
      </c>
      <c r="I6885" s="5" t="str">
        <f t="shared" si="818"/>
        <v>017</v>
      </c>
      <c r="J6885" s="5" t="str">
        <f t="shared" si="819"/>
        <v>2230</v>
      </c>
      <c r="K6885" s="5" t="str">
        <f t="shared" si="820"/>
        <v>000</v>
      </c>
      <c r="L6885" s="5">
        <f t="shared" si="821"/>
        <v>6</v>
      </c>
      <c r="M6885" s="5">
        <f t="shared" si="822"/>
        <v>2013</v>
      </c>
    </row>
    <row r="6886" spans="1:13" ht="15" x14ac:dyDescent="0.25">
      <c r="A6886" s="1">
        <f>DATE(2013,6,2)</f>
        <v>41427</v>
      </c>
      <c r="B6886" t="s">
        <v>15</v>
      </c>
      <c r="C6886" t="s">
        <v>6</v>
      </c>
      <c r="D6886" s="3">
        <v>5630.5430999999999</v>
      </c>
      <c r="E6886" s="3">
        <v>0</v>
      </c>
      <c r="F6886" t="s">
        <v>45</v>
      </c>
      <c r="G6886" s="3">
        <f t="shared" si="816"/>
        <v>-5630.5430999999999</v>
      </c>
      <c r="H6886" s="3">
        <f t="shared" si="817"/>
        <v>5630.5430999999999</v>
      </c>
      <c r="I6886" s="5" t="str">
        <f t="shared" si="818"/>
        <v>017</v>
      </c>
      <c r="J6886" s="5" t="str">
        <f t="shared" si="819"/>
        <v>2100</v>
      </c>
      <c r="K6886" s="5" t="str">
        <f t="shared" si="820"/>
        <v>000</v>
      </c>
      <c r="L6886" s="5">
        <f t="shared" si="821"/>
        <v>6</v>
      </c>
      <c r="M6886" s="5">
        <f t="shared" si="822"/>
        <v>2013</v>
      </c>
    </row>
    <row r="6887" spans="1:13" ht="15" x14ac:dyDescent="0.25">
      <c r="A6887" s="1">
        <f>DATE(2013,6,2)</f>
        <v>41427</v>
      </c>
      <c r="B6887" t="s">
        <v>16</v>
      </c>
      <c r="C6887" t="s">
        <v>8</v>
      </c>
      <c r="D6887" s="3">
        <v>919.1318</v>
      </c>
      <c r="E6887" s="3">
        <v>0</v>
      </c>
      <c r="F6887" t="s">
        <v>45</v>
      </c>
      <c r="G6887" s="3">
        <f t="shared" si="816"/>
        <v>-919.1318</v>
      </c>
      <c r="H6887" s="3">
        <f t="shared" si="817"/>
        <v>919.1318</v>
      </c>
      <c r="I6887" s="5" t="str">
        <f t="shared" si="818"/>
        <v>017</v>
      </c>
      <c r="J6887" s="5" t="str">
        <f t="shared" si="819"/>
        <v>2210</v>
      </c>
      <c r="K6887" s="5" t="str">
        <f t="shared" si="820"/>
        <v>000</v>
      </c>
      <c r="L6887" s="5">
        <f t="shared" si="821"/>
        <v>6</v>
      </c>
      <c r="M6887" s="5">
        <f t="shared" si="822"/>
        <v>2013</v>
      </c>
    </row>
    <row r="6888" spans="1:13" ht="15" x14ac:dyDescent="0.25">
      <c r="A6888" s="1">
        <f>DATE(2013,6,2)</f>
        <v>41427</v>
      </c>
      <c r="B6888" t="s">
        <v>17</v>
      </c>
      <c r="C6888" t="s">
        <v>9</v>
      </c>
      <c r="D6888" s="3">
        <v>184.45769999999999</v>
      </c>
      <c r="E6888" s="3">
        <v>0</v>
      </c>
      <c r="F6888" t="s">
        <v>45</v>
      </c>
      <c r="G6888" s="3">
        <f t="shared" si="816"/>
        <v>-184.45769999999999</v>
      </c>
      <c r="H6888" s="3">
        <f t="shared" si="817"/>
        <v>184.45769999999999</v>
      </c>
      <c r="I6888" s="5" t="str">
        <f t="shared" si="818"/>
        <v>017</v>
      </c>
      <c r="J6888" s="5" t="str">
        <f t="shared" si="819"/>
        <v>2220</v>
      </c>
      <c r="K6888" s="5" t="str">
        <f t="shared" si="820"/>
        <v>000</v>
      </c>
      <c r="L6888" s="5">
        <f t="shared" si="821"/>
        <v>6</v>
      </c>
      <c r="M6888" s="5">
        <f t="shared" si="822"/>
        <v>2013</v>
      </c>
    </row>
    <row r="6889" spans="1:13" ht="15" x14ac:dyDescent="0.25">
      <c r="A6889" s="1">
        <f>DATE(2013,6,2)</f>
        <v>41427</v>
      </c>
      <c r="B6889" t="s">
        <v>18</v>
      </c>
      <c r="C6889" t="s">
        <v>10</v>
      </c>
      <c r="D6889" s="3">
        <v>63.537600000000005</v>
      </c>
      <c r="E6889" s="3">
        <v>0</v>
      </c>
      <c r="F6889" t="s">
        <v>45</v>
      </c>
      <c r="G6889" s="3">
        <f t="shared" si="816"/>
        <v>-63.537600000000005</v>
      </c>
      <c r="H6889" s="3">
        <f t="shared" si="817"/>
        <v>63.537600000000005</v>
      </c>
      <c r="I6889" s="5" t="str">
        <f t="shared" si="818"/>
        <v>017</v>
      </c>
      <c r="J6889" s="5" t="str">
        <f t="shared" si="819"/>
        <v>2230</v>
      </c>
      <c r="K6889" s="5" t="str">
        <f t="shared" si="820"/>
        <v>000</v>
      </c>
      <c r="L6889" s="5">
        <f t="shared" si="821"/>
        <v>6</v>
      </c>
      <c r="M6889" s="5">
        <f t="shared" si="822"/>
        <v>2013</v>
      </c>
    </row>
    <row r="6890" spans="1:13" ht="15" x14ac:dyDescent="0.25">
      <c r="A6890" s="1">
        <f>DATE(2013,5,27)</f>
        <v>41421</v>
      </c>
      <c r="B6890" t="s">
        <v>19</v>
      </c>
      <c r="C6890" t="s">
        <v>6</v>
      </c>
      <c r="D6890" s="3">
        <v>8683.8804</v>
      </c>
      <c r="E6890" s="3">
        <v>0</v>
      </c>
      <c r="F6890" t="s">
        <v>45</v>
      </c>
      <c r="G6890" s="3">
        <f t="shared" si="816"/>
        <v>-8683.8804</v>
      </c>
      <c r="H6890" s="3">
        <f t="shared" si="817"/>
        <v>8683.8804</v>
      </c>
      <c r="I6890" s="5" t="str">
        <f t="shared" si="818"/>
        <v>018</v>
      </c>
      <c r="J6890" s="5" t="str">
        <f t="shared" si="819"/>
        <v>2100</v>
      </c>
      <c r="K6890" s="5" t="str">
        <f t="shared" si="820"/>
        <v>000</v>
      </c>
      <c r="L6890" s="5">
        <f t="shared" si="821"/>
        <v>5</v>
      </c>
      <c r="M6890" s="5">
        <f t="shared" si="822"/>
        <v>2013</v>
      </c>
    </row>
    <row r="6891" spans="1:13" ht="15" x14ac:dyDescent="0.25">
      <c r="A6891" s="1">
        <f>DATE(2013,5,27)</f>
        <v>41421</v>
      </c>
      <c r="B6891" t="s">
        <v>20</v>
      </c>
      <c r="C6891" t="s">
        <v>8</v>
      </c>
      <c r="D6891" s="3">
        <v>1139.838</v>
      </c>
      <c r="E6891" s="3">
        <v>0</v>
      </c>
      <c r="F6891" t="s">
        <v>45</v>
      </c>
      <c r="G6891" s="3">
        <f t="shared" si="816"/>
        <v>-1139.838</v>
      </c>
      <c r="H6891" s="3">
        <f t="shared" si="817"/>
        <v>1139.838</v>
      </c>
      <c r="I6891" s="5" t="str">
        <f t="shared" si="818"/>
        <v>018</v>
      </c>
      <c r="J6891" s="5" t="str">
        <f t="shared" si="819"/>
        <v>2210</v>
      </c>
      <c r="K6891" s="5" t="str">
        <f t="shared" si="820"/>
        <v>000</v>
      </c>
      <c r="L6891" s="5">
        <f t="shared" si="821"/>
        <v>5</v>
      </c>
      <c r="M6891" s="5">
        <f t="shared" si="822"/>
        <v>2013</v>
      </c>
    </row>
    <row r="6892" spans="1:13" ht="15" x14ac:dyDescent="0.25">
      <c r="A6892" s="1">
        <f>DATE(2013,5,27)</f>
        <v>41421</v>
      </c>
      <c r="B6892" t="s">
        <v>21</v>
      </c>
      <c r="C6892" t="s">
        <v>9</v>
      </c>
      <c r="D6892" s="3">
        <v>328.07119999999998</v>
      </c>
      <c r="E6892" s="3">
        <v>0</v>
      </c>
      <c r="F6892" t="s">
        <v>45</v>
      </c>
      <c r="G6892" s="3">
        <f t="shared" si="816"/>
        <v>-328.07119999999998</v>
      </c>
      <c r="H6892" s="3">
        <f t="shared" si="817"/>
        <v>328.07119999999998</v>
      </c>
      <c r="I6892" s="5" t="str">
        <f t="shared" si="818"/>
        <v>018</v>
      </c>
      <c r="J6892" s="5" t="str">
        <f t="shared" si="819"/>
        <v>2220</v>
      </c>
      <c r="K6892" s="5" t="str">
        <f t="shared" si="820"/>
        <v>000</v>
      </c>
      <c r="L6892" s="5">
        <f t="shared" si="821"/>
        <v>5</v>
      </c>
      <c r="M6892" s="5">
        <f t="shared" si="822"/>
        <v>2013</v>
      </c>
    </row>
    <row r="6893" spans="1:13" ht="15" x14ac:dyDescent="0.25">
      <c r="A6893" s="1">
        <f>DATE(2013,5,27)</f>
        <v>41421</v>
      </c>
      <c r="B6893" t="s">
        <v>22</v>
      </c>
      <c r="C6893" t="s">
        <v>10</v>
      </c>
      <c r="D6893" s="3">
        <v>9.752600000000001</v>
      </c>
      <c r="E6893" s="3">
        <v>0</v>
      </c>
      <c r="F6893" t="s">
        <v>45</v>
      </c>
      <c r="G6893" s="3">
        <f t="shared" si="816"/>
        <v>-9.752600000000001</v>
      </c>
      <c r="H6893" s="3">
        <f t="shared" si="817"/>
        <v>9.752600000000001</v>
      </c>
      <c r="I6893" s="5" t="str">
        <f t="shared" si="818"/>
        <v>018</v>
      </c>
      <c r="J6893" s="5" t="str">
        <f t="shared" si="819"/>
        <v>2230</v>
      </c>
      <c r="K6893" s="5" t="str">
        <f t="shared" si="820"/>
        <v>000</v>
      </c>
      <c r="L6893" s="5">
        <f t="shared" si="821"/>
        <v>5</v>
      </c>
      <c r="M6893" s="5">
        <f t="shared" si="822"/>
        <v>2013</v>
      </c>
    </row>
    <row r="6894" spans="1:13" ht="15" x14ac:dyDescent="0.25">
      <c r="A6894" s="1">
        <f>DATE(2013,5,28)</f>
        <v>41422</v>
      </c>
      <c r="B6894" t="s">
        <v>19</v>
      </c>
      <c r="C6894" t="s">
        <v>6</v>
      </c>
      <c r="D6894" s="3">
        <v>4729.7744999999995</v>
      </c>
      <c r="E6894" s="3">
        <v>0</v>
      </c>
      <c r="F6894" t="s">
        <v>45</v>
      </c>
      <c r="G6894" s="3">
        <f t="shared" si="816"/>
        <v>-4729.7744999999995</v>
      </c>
      <c r="H6894" s="3">
        <f t="shared" si="817"/>
        <v>4729.7744999999995</v>
      </c>
      <c r="I6894" s="5" t="str">
        <f t="shared" si="818"/>
        <v>018</v>
      </c>
      <c r="J6894" s="5" t="str">
        <f t="shared" si="819"/>
        <v>2100</v>
      </c>
      <c r="K6894" s="5" t="str">
        <f t="shared" si="820"/>
        <v>000</v>
      </c>
      <c r="L6894" s="5">
        <f t="shared" si="821"/>
        <v>5</v>
      </c>
      <c r="M6894" s="5">
        <f t="shared" si="822"/>
        <v>2013</v>
      </c>
    </row>
    <row r="6895" spans="1:13" ht="15" x14ac:dyDescent="0.25">
      <c r="A6895" s="1">
        <f>DATE(2013,5,28)</f>
        <v>41422</v>
      </c>
      <c r="B6895" t="s">
        <v>20</v>
      </c>
      <c r="C6895" t="s">
        <v>8</v>
      </c>
      <c r="D6895" s="3">
        <v>535.59359999999992</v>
      </c>
      <c r="E6895" s="3">
        <v>0</v>
      </c>
      <c r="F6895" t="s">
        <v>45</v>
      </c>
      <c r="G6895" s="3">
        <f t="shared" si="816"/>
        <v>-535.59359999999992</v>
      </c>
      <c r="H6895" s="3">
        <f t="shared" si="817"/>
        <v>535.59359999999992</v>
      </c>
      <c r="I6895" s="5" t="str">
        <f t="shared" si="818"/>
        <v>018</v>
      </c>
      <c r="J6895" s="5" t="str">
        <f t="shared" si="819"/>
        <v>2210</v>
      </c>
      <c r="K6895" s="5" t="str">
        <f t="shared" si="820"/>
        <v>000</v>
      </c>
      <c r="L6895" s="5">
        <f t="shared" si="821"/>
        <v>5</v>
      </c>
      <c r="M6895" s="5">
        <f t="shared" si="822"/>
        <v>2013</v>
      </c>
    </row>
    <row r="6896" spans="1:13" ht="15" x14ac:dyDescent="0.25">
      <c r="A6896" s="1">
        <f>DATE(2013,5,28)</f>
        <v>41422</v>
      </c>
      <c r="B6896" t="s">
        <v>21</v>
      </c>
      <c r="C6896" t="s">
        <v>9</v>
      </c>
      <c r="D6896" s="3">
        <v>138.447</v>
      </c>
      <c r="E6896" s="3">
        <v>0</v>
      </c>
      <c r="F6896" t="s">
        <v>45</v>
      </c>
      <c r="G6896" s="3">
        <f t="shared" si="816"/>
        <v>-138.447</v>
      </c>
      <c r="H6896" s="3">
        <f t="shared" si="817"/>
        <v>138.447</v>
      </c>
      <c r="I6896" s="5" t="str">
        <f t="shared" si="818"/>
        <v>018</v>
      </c>
      <c r="J6896" s="5" t="str">
        <f t="shared" si="819"/>
        <v>2220</v>
      </c>
      <c r="K6896" s="5" t="str">
        <f t="shared" si="820"/>
        <v>000</v>
      </c>
      <c r="L6896" s="5">
        <f t="shared" si="821"/>
        <v>5</v>
      </c>
      <c r="M6896" s="5">
        <f t="shared" si="822"/>
        <v>2013</v>
      </c>
    </row>
    <row r="6897" spans="1:13" ht="15" x14ac:dyDescent="0.25">
      <c r="A6897" s="1">
        <f>DATE(2013,5,28)</f>
        <v>41422</v>
      </c>
      <c r="B6897" t="s">
        <v>22</v>
      </c>
      <c r="C6897" t="s">
        <v>10</v>
      </c>
      <c r="D6897" s="3">
        <v>15.282999999999999</v>
      </c>
      <c r="E6897" s="3">
        <v>0</v>
      </c>
      <c r="F6897" t="s">
        <v>45</v>
      </c>
      <c r="G6897" s="3">
        <f t="shared" si="816"/>
        <v>-15.282999999999999</v>
      </c>
      <c r="H6897" s="3">
        <f t="shared" si="817"/>
        <v>15.282999999999999</v>
      </c>
      <c r="I6897" s="5" t="str">
        <f t="shared" si="818"/>
        <v>018</v>
      </c>
      <c r="J6897" s="5" t="str">
        <f t="shared" si="819"/>
        <v>2230</v>
      </c>
      <c r="K6897" s="5" t="str">
        <f t="shared" si="820"/>
        <v>000</v>
      </c>
      <c r="L6897" s="5">
        <f t="shared" si="821"/>
        <v>5</v>
      </c>
      <c r="M6897" s="5">
        <f t="shared" si="822"/>
        <v>2013</v>
      </c>
    </row>
    <row r="6898" spans="1:13" ht="15" x14ac:dyDescent="0.25">
      <c r="A6898" s="1">
        <f>DATE(2013,5,29)</f>
        <v>41423</v>
      </c>
      <c r="B6898" t="s">
        <v>19</v>
      </c>
      <c r="C6898" t="s">
        <v>6</v>
      </c>
      <c r="D6898" s="3">
        <v>6002.1894000000002</v>
      </c>
      <c r="E6898" s="3">
        <v>0</v>
      </c>
      <c r="F6898" t="s">
        <v>45</v>
      </c>
      <c r="G6898" s="3">
        <f t="shared" si="816"/>
        <v>-6002.1894000000002</v>
      </c>
      <c r="H6898" s="3">
        <f t="shared" si="817"/>
        <v>6002.1894000000002</v>
      </c>
      <c r="I6898" s="5" t="str">
        <f t="shared" si="818"/>
        <v>018</v>
      </c>
      <c r="J6898" s="5" t="str">
        <f t="shared" si="819"/>
        <v>2100</v>
      </c>
      <c r="K6898" s="5" t="str">
        <f t="shared" si="820"/>
        <v>000</v>
      </c>
      <c r="L6898" s="5">
        <f t="shared" si="821"/>
        <v>5</v>
      </c>
      <c r="M6898" s="5">
        <f t="shared" si="822"/>
        <v>2013</v>
      </c>
    </row>
    <row r="6899" spans="1:13" ht="15" x14ac:dyDescent="0.25">
      <c r="A6899" s="1">
        <f>DATE(2013,5,29)</f>
        <v>41423</v>
      </c>
      <c r="B6899" t="s">
        <v>20</v>
      </c>
      <c r="C6899" t="s">
        <v>8</v>
      </c>
      <c r="D6899" s="3">
        <v>1361.7329999999999</v>
      </c>
      <c r="E6899" s="3">
        <v>0</v>
      </c>
      <c r="F6899" t="s">
        <v>45</v>
      </c>
      <c r="G6899" s="3">
        <f t="shared" si="816"/>
        <v>-1361.7329999999999</v>
      </c>
      <c r="H6899" s="3">
        <f t="shared" si="817"/>
        <v>1361.7329999999999</v>
      </c>
      <c r="I6899" s="5" t="str">
        <f t="shared" si="818"/>
        <v>018</v>
      </c>
      <c r="J6899" s="5" t="str">
        <f t="shared" si="819"/>
        <v>2210</v>
      </c>
      <c r="K6899" s="5" t="str">
        <f t="shared" si="820"/>
        <v>000</v>
      </c>
      <c r="L6899" s="5">
        <f t="shared" si="821"/>
        <v>5</v>
      </c>
      <c r="M6899" s="5">
        <f t="shared" si="822"/>
        <v>2013</v>
      </c>
    </row>
    <row r="6900" spans="1:13" ht="15" x14ac:dyDescent="0.25">
      <c r="A6900" s="1">
        <f>DATE(2013,5,29)</f>
        <v>41423</v>
      </c>
      <c r="B6900" t="s">
        <v>21</v>
      </c>
      <c r="C6900" t="s">
        <v>9</v>
      </c>
      <c r="D6900" s="3">
        <v>204.77670000000001</v>
      </c>
      <c r="E6900" s="3">
        <v>0</v>
      </c>
      <c r="F6900" t="s">
        <v>45</v>
      </c>
      <c r="G6900" s="3">
        <f t="shared" si="816"/>
        <v>-204.77670000000001</v>
      </c>
      <c r="H6900" s="3">
        <f t="shared" si="817"/>
        <v>204.77670000000001</v>
      </c>
      <c r="I6900" s="5" t="str">
        <f t="shared" si="818"/>
        <v>018</v>
      </c>
      <c r="J6900" s="5" t="str">
        <f t="shared" si="819"/>
        <v>2220</v>
      </c>
      <c r="K6900" s="5" t="str">
        <f t="shared" si="820"/>
        <v>000</v>
      </c>
      <c r="L6900" s="5">
        <f t="shared" si="821"/>
        <v>5</v>
      </c>
      <c r="M6900" s="5">
        <f t="shared" si="822"/>
        <v>2013</v>
      </c>
    </row>
    <row r="6901" spans="1:13" ht="15" x14ac:dyDescent="0.25">
      <c r="A6901" s="1">
        <f>DATE(2013,5,29)</f>
        <v>41423</v>
      </c>
      <c r="B6901" t="s">
        <v>22</v>
      </c>
      <c r="C6901" t="s">
        <v>10</v>
      </c>
      <c r="D6901" s="3">
        <v>24.9314</v>
      </c>
      <c r="E6901" s="3">
        <v>0</v>
      </c>
      <c r="F6901" t="s">
        <v>45</v>
      </c>
      <c r="G6901" s="3">
        <f t="shared" si="816"/>
        <v>-24.9314</v>
      </c>
      <c r="H6901" s="3">
        <f t="shared" si="817"/>
        <v>24.9314</v>
      </c>
      <c r="I6901" s="5" t="str">
        <f t="shared" si="818"/>
        <v>018</v>
      </c>
      <c r="J6901" s="5" t="str">
        <f t="shared" si="819"/>
        <v>2230</v>
      </c>
      <c r="K6901" s="5" t="str">
        <f t="shared" si="820"/>
        <v>000</v>
      </c>
      <c r="L6901" s="5">
        <f t="shared" si="821"/>
        <v>5</v>
      </c>
      <c r="M6901" s="5">
        <f t="shared" si="822"/>
        <v>2013</v>
      </c>
    </row>
    <row r="6902" spans="1:13" ht="15" x14ac:dyDescent="0.25">
      <c r="A6902" s="1">
        <f>DATE(2013,5,30)</f>
        <v>41424</v>
      </c>
      <c r="B6902" t="s">
        <v>19</v>
      </c>
      <c r="C6902" t="s">
        <v>6</v>
      </c>
      <c r="D6902" s="3">
        <v>4600.3610999999992</v>
      </c>
      <c r="E6902" s="3">
        <v>0</v>
      </c>
      <c r="F6902" t="s">
        <v>45</v>
      </c>
      <c r="G6902" s="3">
        <f t="shared" si="816"/>
        <v>-4600.3610999999992</v>
      </c>
      <c r="H6902" s="3">
        <f t="shared" si="817"/>
        <v>4600.3610999999992</v>
      </c>
      <c r="I6902" s="5" t="str">
        <f t="shared" si="818"/>
        <v>018</v>
      </c>
      <c r="J6902" s="5" t="str">
        <f t="shared" si="819"/>
        <v>2100</v>
      </c>
      <c r="K6902" s="5" t="str">
        <f t="shared" si="820"/>
        <v>000</v>
      </c>
      <c r="L6902" s="5">
        <f t="shared" si="821"/>
        <v>5</v>
      </c>
      <c r="M6902" s="5">
        <f t="shared" si="822"/>
        <v>2013</v>
      </c>
    </row>
    <row r="6903" spans="1:13" ht="15" x14ac:dyDescent="0.25">
      <c r="A6903" s="1">
        <f>DATE(2013,5,30)</f>
        <v>41424</v>
      </c>
      <c r="B6903" t="s">
        <v>20</v>
      </c>
      <c r="C6903" t="s">
        <v>8</v>
      </c>
      <c r="D6903" s="3">
        <v>1286.0411999999999</v>
      </c>
      <c r="E6903" s="3">
        <v>0</v>
      </c>
      <c r="F6903" t="s">
        <v>45</v>
      </c>
      <c r="G6903" s="3">
        <f t="shared" si="816"/>
        <v>-1286.0411999999999</v>
      </c>
      <c r="H6903" s="3">
        <f t="shared" si="817"/>
        <v>1286.0411999999999</v>
      </c>
      <c r="I6903" s="5" t="str">
        <f t="shared" si="818"/>
        <v>018</v>
      </c>
      <c r="J6903" s="5" t="str">
        <f t="shared" si="819"/>
        <v>2210</v>
      </c>
      <c r="K6903" s="5" t="str">
        <f t="shared" si="820"/>
        <v>000</v>
      </c>
      <c r="L6903" s="5">
        <f t="shared" si="821"/>
        <v>5</v>
      </c>
      <c r="M6903" s="5">
        <f t="shared" si="822"/>
        <v>2013</v>
      </c>
    </row>
    <row r="6904" spans="1:13" ht="15" x14ac:dyDescent="0.25">
      <c r="A6904" s="1">
        <f>DATE(2013,5,30)</f>
        <v>41424</v>
      </c>
      <c r="B6904" t="s">
        <v>21</v>
      </c>
      <c r="C6904" t="s">
        <v>9</v>
      </c>
      <c r="D6904" s="3">
        <v>265.19320000000005</v>
      </c>
      <c r="E6904" s="3">
        <v>0</v>
      </c>
      <c r="F6904" t="s">
        <v>45</v>
      </c>
      <c r="G6904" s="3">
        <f t="shared" si="816"/>
        <v>-265.19320000000005</v>
      </c>
      <c r="H6904" s="3">
        <f t="shared" si="817"/>
        <v>265.19320000000005</v>
      </c>
      <c r="I6904" s="5" t="str">
        <f t="shared" si="818"/>
        <v>018</v>
      </c>
      <c r="J6904" s="5" t="str">
        <f t="shared" si="819"/>
        <v>2220</v>
      </c>
      <c r="K6904" s="5" t="str">
        <f t="shared" si="820"/>
        <v>000</v>
      </c>
      <c r="L6904" s="5">
        <f t="shared" si="821"/>
        <v>5</v>
      </c>
      <c r="M6904" s="5">
        <f t="shared" si="822"/>
        <v>2013</v>
      </c>
    </row>
    <row r="6905" spans="1:13" ht="15" x14ac:dyDescent="0.25">
      <c r="A6905" s="1">
        <f>DATE(2013,5,30)</f>
        <v>41424</v>
      </c>
      <c r="B6905" t="s">
        <v>22</v>
      </c>
      <c r="C6905" t="s">
        <v>10</v>
      </c>
      <c r="D6905" s="3">
        <v>27.188700000000001</v>
      </c>
      <c r="E6905" s="3">
        <v>0</v>
      </c>
      <c r="F6905" t="s">
        <v>45</v>
      </c>
      <c r="G6905" s="3">
        <f t="shared" si="816"/>
        <v>-27.188700000000001</v>
      </c>
      <c r="H6905" s="3">
        <f t="shared" si="817"/>
        <v>27.188700000000001</v>
      </c>
      <c r="I6905" s="5" t="str">
        <f t="shared" si="818"/>
        <v>018</v>
      </c>
      <c r="J6905" s="5" t="str">
        <f t="shared" si="819"/>
        <v>2230</v>
      </c>
      <c r="K6905" s="5" t="str">
        <f t="shared" si="820"/>
        <v>000</v>
      </c>
      <c r="L6905" s="5">
        <f t="shared" si="821"/>
        <v>5</v>
      </c>
      <c r="M6905" s="5">
        <f t="shared" si="822"/>
        <v>2013</v>
      </c>
    </row>
    <row r="6906" spans="1:13" ht="15" x14ac:dyDescent="0.25">
      <c r="A6906" s="1">
        <f>DATE(2013,5,31)</f>
        <v>41425</v>
      </c>
      <c r="B6906" t="s">
        <v>19</v>
      </c>
      <c r="C6906" t="s">
        <v>6</v>
      </c>
      <c r="D6906" s="3">
        <v>13566.9</v>
      </c>
      <c r="E6906" s="3">
        <v>0</v>
      </c>
      <c r="F6906" t="s">
        <v>45</v>
      </c>
      <c r="G6906" s="3">
        <f t="shared" si="816"/>
        <v>-13566.9</v>
      </c>
      <c r="H6906" s="3">
        <f t="shared" si="817"/>
        <v>13566.9</v>
      </c>
      <c r="I6906" s="5" t="str">
        <f t="shared" si="818"/>
        <v>018</v>
      </c>
      <c r="J6906" s="5" t="str">
        <f t="shared" si="819"/>
        <v>2100</v>
      </c>
      <c r="K6906" s="5" t="str">
        <f t="shared" si="820"/>
        <v>000</v>
      </c>
      <c r="L6906" s="5">
        <f t="shared" si="821"/>
        <v>5</v>
      </c>
      <c r="M6906" s="5">
        <f t="shared" si="822"/>
        <v>2013</v>
      </c>
    </row>
    <row r="6907" spans="1:13" ht="15" x14ac:dyDescent="0.25">
      <c r="A6907" s="1">
        <f>DATE(2013,5,31)</f>
        <v>41425</v>
      </c>
      <c r="B6907" t="s">
        <v>20</v>
      </c>
      <c r="C6907" t="s">
        <v>8</v>
      </c>
      <c r="D6907" s="3">
        <v>2730.15</v>
      </c>
      <c r="E6907" s="3">
        <v>0</v>
      </c>
      <c r="F6907" t="s">
        <v>45</v>
      </c>
      <c r="G6907" s="3">
        <f t="shared" si="816"/>
        <v>-2730.15</v>
      </c>
      <c r="H6907" s="3">
        <f t="shared" si="817"/>
        <v>2730.15</v>
      </c>
      <c r="I6907" s="5" t="str">
        <f t="shared" si="818"/>
        <v>018</v>
      </c>
      <c r="J6907" s="5" t="str">
        <f t="shared" si="819"/>
        <v>2210</v>
      </c>
      <c r="K6907" s="5" t="str">
        <f t="shared" si="820"/>
        <v>000</v>
      </c>
      <c r="L6907" s="5">
        <f t="shared" si="821"/>
        <v>5</v>
      </c>
      <c r="M6907" s="5">
        <f t="shared" si="822"/>
        <v>2013</v>
      </c>
    </row>
    <row r="6908" spans="1:13" ht="15" x14ac:dyDescent="0.25">
      <c r="A6908" s="1">
        <f>DATE(2013,5,31)</f>
        <v>41425</v>
      </c>
      <c r="B6908" t="s">
        <v>21</v>
      </c>
      <c r="C6908" t="s">
        <v>9</v>
      </c>
      <c r="D6908" s="3">
        <v>516.14380000000006</v>
      </c>
      <c r="E6908" s="3">
        <v>0</v>
      </c>
      <c r="F6908" t="s">
        <v>45</v>
      </c>
      <c r="G6908" s="3">
        <f t="shared" si="816"/>
        <v>-516.14380000000006</v>
      </c>
      <c r="H6908" s="3">
        <f t="shared" si="817"/>
        <v>516.14380000000006</v>
      </c>
      <c r="I6908" s="5" t="str">
        <f t="shared" si="818"/>
        <v>018</v>
      </c>
      <c r="J6908" s="5" t="str">
        <f t="shared" si="819"/>
        <v>2220</v>
      </c>
      <c r="K6908" s="5" t="str">
        <f t="shared" si="820"/>
        <v>000</v>
      </c>
      <c r="L6908" s="5">
        <f t="shared" si="821"/>
        <v>5</v>
      </c>
      <c r="M6908" s="5">
        <f t="shared" si="822"/>
        <v>2013</v>
      </c>
    </row>
    <row r="6909" spans="1:13" ht="15" x14ac:dyDescent="0.25">
      <c r="A6909" s="1">
        <f>DATE(2013,5,31)</f>
        <v>41425</v>
      </c>
      <c r="B6909" t="s">
        <v>22</v>
      </c>
      <c r="C6909" t="s">
        <v>10</v>
      </c>
      <c r="D6909" s="3">
        <v>42.242699999999999</v>
      </c>
      <c r="E6909" s="3">
        <v>0</v>
      </c>
      <c r="F6909" t="s">
        <v>45</v>
      </c>
      <c r="G6909" s="3">
        <f t="shared" si="816"/>
        <v>-42.242699999999999</v>
      </c>
      <c r="H6909" s="3">
        <f t="shared" si="817"/>
        <v>42.242699999999999</v>
      </c>
      <c r="I6909" s="5" t="str">
        <f t="shared" si="818"/>
        <v>018</v>
      </c>
      <c r="J6909" s="5" t="str">
        <f t="shared" si="819"/>
        <v>2230</v>
      </c>
      <c r="K6909" s="5" t="str">
        <f t="shared" si="820"/>
        <v>000</v>
      </c>
      <c r="L6909" s="5">
        <f t="shared" si="821"/>
        <v>5</v>
      </c>
      <c r="M6909" s="5">
        <f t="shared" si="822"/>
        <v>2013</v>
      </c>
    </row>
    <row r="6910" spans="1:13" ht="15" x14ac:dyDescent="0.25">
      <c r="A6910" s="1">
        <f>DATE(2013,6,1)</f>
        <v>41426</v>
      </c>
      <c r="B6910" t="s">
        <v>19</v>
      </c>
      <c r="C6910" t="s">
        <v>6</v>
      </c>
      <c r="D6910" s="3">
        <v>13837.941199999999</v>
      </c>
      <c r="E6910" s="3">
        <v>0</v>
      </c>
      <c r="F6910" t="s">
        <v>45</v>
      </c>
      <c r="G6910" s="3">
        <f t="shared" si="816"/>
        <v>-13837.941199999999</v>
      </c>
      <c r="H6910" s="3">
        <f t="shared" si="817"/>
        <v>13837.941199999999</v>
      </c>
      <c r="I6910" s="5" t="str">
        <f t="shared" si="818"/>
        <v>018</v>
      </c>
      <c r="J6910" s="5" t="str">
        <f t="shared" si="819"/>
        <v>2100</v>
      </c>
      <c r="K6910" s="5" t="str">
        <f t="shared" si="820"/>
        <v>000</v>
      </c>
      <c r="L6910" s="5">
        <f t="shared" si="821"/>
        <v>6</v>
      </c>
      <c r="M6910" s="5">
        <f t="shared" si="822"/>
        <v>2013</v>
      </c>
    </row>
    <row r="6911" spans="1:13" ht="15" x14ac:dyDescent="0.25">
      <c r="A6911" s="1">
        <f>DATE(2013,6,1)</f>
        <v>41426</v>
      </c>
      <c r="B6911" t="s">
        <v>20</v>
      </c>
      <c r="C6911" t="s">
        <v>8</v>
      </c>
      <c r="D6911" s="3">
        <v>4336.8320000000003</v>
      </c>
      <c r="E6911" s="3">
        <v>0</v>
      </c>
      <c r="F6911" t="s">
        <v>45</v>
      </c>
      <c r="G6911" s="3">
        <f t="shared" si="816"/>
        <v>-4336.8320000000003</v>
      </c>
      <c r="H6911" s="3">
        <f t="shared" si="817"/>
        <v>4336.8320000000003</v>
      </c>
      <c r="I6911" s="5" t="str">
        <f t="shared" si="818"/>
        <v>018</v>
      </c>
      <c r="J6911" s="5" t="str">
        <f t="shared" si="819"/>
        <v>2210</v>
      </c>
      <c r="K6911" s="5" t="str">
        <f t="shared" si="820"/>
        <v>000</v>
      </c>
      <c r="L6911" s="5">
        <f t="shared" si="821"/>
        <v>6</v>
      </c>
      <c r="M6911" s="5">
        <f t="shared" si="822"/>
        <v>2013</v>
      </c>
    </row>
    <row r="6912" spans="1:13" ht="15" x14ac:dyDescent="0.25">
      <c r="A6912" s="1">
        <f>DATE(2013,6,1)</f>
        <v>41426</v>
      </c>
      <c r="B6912" t="s">
        <v>21</v>
      </c>
      <c r="C6912" t="s">
        <v>9</v>
      </c>
      <c r="D6912" s="3">
        <v>703.59659999999997</v>
      </c>
      <c r="E6912" s="3">
        <v>0</v>
      </c>
      <c r="F6912" t="s">
        <v>45</v>
      </c>
      <c r="G6912" s="3">
        <f t="shared" si="816"/>
        <v>-703.59659999999997</v>
      </c>
      <c r="H6912" s="3">
        <f t="shared" si="817"/>
        <v>703.59659999999997</v>
      </c>
      <c r="I6912" s="5" t="str">
        <f t="shared" si="818"/>
        <v>018</v>
      </c>
      <c r="J6912" s="5" t="str">
        <f t="shared" si="819"/>
        <v>2220</v>
      </c>
      <c r="K6912" s="5" t="str">
        <f t="shared" si="820"/>
        <v>000</v>
      </c>
      <c r="L6912" s="5">
        <f t="shared" si="821"/>
        <v>6</v>
      </c>
      <c r="M6912" s="5">
        <f t="shared" si="822"/>
        <v>2013</v>
      </c>
    </row>
    <row r="6913" spans="1:13" ht="15" x14ac:dyDescent="0.25">
      <c r="A6913" s="1">
        <f>DATE(2013,6,1)</f>
        <v>41426</v>
      </c>
      <c r="B6913" t="s">
        <v>22</v>
      </c>
      <c r="C6913" t="s">
        <v>10</v>
      </c>
      <c r="D6913" s="3">
        <v>78.301799999999986</v>
      </c>
      <c r="E6913" s="3">
        <v>0</v>
      </c>
      <c r="F6913" t="s">
        <v>45</v>
      </c>
      <c r="G6913" s="3">
        <f t="shared" si="816"/>
        <v>-78.301799999999986</v>
      </c>
      <c r="H6913" s="3">
        <f t="shared" si="817"/>
        <v>78.301799999999986</v>
      </c>
      <c r="I6913" s="5" t="str">
        <f t="shared" si="818"/>
        <v>018</v>
      </c>
      <c r="J6913" s="5" t="str">
        <f t="shared" si="819"/>
        <v>2230</v>
      </c>
      <c r="K6913" s="5" t="str">
        <f t="shared" si="820"/>
        <v>000</v>
      </c>
      <c r="L6913" s="5">
        <f t="shared" si="821"/>
        <v>6</v>
      </c>
      <c r="M6913" s="5">
        <f t="shared" si="822"/>
        <v>2013</v>
      </c>
    </row>
    <row r="6914" spans="1:13" ht="15" x14ac:dyDescent="0.25">
      <c r="A6914" s="1">
        <f>DATE(2013,6,2)</f>
        <v>41427</v>
      </c>
      <c r="B6914" t="s">
        <v>19</v>
      </c>
      <c r="C6914" t="s">
        <v>6</v>
      </c>
      <c r="D6914" s="3">
        <v>14660.6967</v>
      </c>
      <c r="E6914" s="3">
        <v>0</v>
      </c>
      <c r="F6914" t="s">
        <v>45</v>
      </c>
      <c r="G6914" s="3">
        <f t="shared" ref="G6914:G6977" si="823">E6914-D6914</f>
        <v>-14660.6967</v>
      </c>
      <c r="H6914" s="3">
        <f t="shared" ref="H6914:H6977" si="824">ABS(G6914)</f>
        <v>14660.6967</v>
      </c>
      <c r="I6914" s="5" t="str">
        <f t="shared" ref="I6914:I6977" si="825">MID(B6914,1,3)</f>
        <v>018</v>
      </c>
      <c r="J6914" s="5" t="str">
        <f t="shared" ref="J6914:J6977" si="826">MID(B6914,5,4)</f>
        <v>2100</v>
      </c>
      <c r="K6914" s="5" t="str">
        <f t="shared" ref="K6914:K6977" si="827">MID(B6914,10,3)</f>
        <v>000</v>
      </c>
      <c r="L6914" s="5">
        <f t="shared" ref="L6914:L6977" si="828">MONTH(A6914)</f>
        <v>6</v>
      </c>
      <c r="M6914" s="5">
        <f t="shared" ref="M6914:M6977" si="829">YEAR(A6914)</f>
        <v>2013</v>
      </c>
    </row>
    <row r="6915" spans="1:13" ht="15" x14ac:dyDescent="0.25">
      <c r="A6915" s="1">
        <f>DATE(2013,6,2)</f>
        <v>41427</v>
      </c>
      <c r="B6915" t="s">
        <v>20</v>
      </c>
      <c r="C6915" t="s">
        <v>8</v>
      </c>
      <c r="D6915" s="3">
        <v>2019.9460999999999</v>
      </c>
      <c r="E6915" s="3">
        <v>0</v>
      </c>
      <c r="F6915" t="s">
        <v>45</v>
      </c>
      <c r="G6915" s="3">
        <f t="shared" si="823"/>
        <v>-2019.9460999999999</v>
      </c>
      <c r="H6915" s="3">
        <f t="shared" si="824"/>
        <v>2019.9460999999999</v>
      </c>
      <c r="I6915" s="5" t="str">
        <f t="shared" si="825"/>
        <v>018</v>
      </c>
      <c r="J6915" s="5" t="str">
        <f t="shared" si="826"/>
        <v>2210</v>
      </c>
      <c r="K6915" s="5" t="str">
        <f t="shared" si="827"/>
        <v>000</v>
      </c>
      <c r="L6915" s="5">
        <f t="shared" si="828"/>
        <v>6</v>
      </c>
      <c r="M6915" s="5">
        <f t="shared" si="829"/>
        <v>2013</v>
      </c>
    </row>
    <row r="6916" spans="1:13" ht="15" x14ac:dyDescent="0.25">
      <c r="A6916" s="1">
        <f>DATE(2013,6,2)</f>
        <v>41427</v>
      </c>
      <c r="B6916" t="s">
        <v>21</v>
      </c>
      <c r="C6916" t="s">
        <v>9</v>
      </c>
      <c r="D6916" s="3">
        <v>462.34550000000002</v>
      </c>
      <c r="E6916" s="3">
        <v>0</v>
      </c>
      <c r="F6916" t="s">
        <v>45</v>
      </c>
      <c r="G6916" s="3">
        <f t="shared" si="823"/>
        <v>-462.34550000000002</v>
      </c>
      <c r="H6916" s="3">
        <f t="shared" si="824"/>
        <v>462.34550000000002</v>
      </c>
      <c r="I6916" s="5" t="str">
        <f t="shared" si="825"/>
        <v>018</v>
      </c>
      <c r="J6916" s="5" t="str">
        <f t="shared" si="826"/>
        <v>2220</v>
      </c>
      <c r="K6916" s="5" t="str">
        <f t="shared" si="827"/>
        <v>000</v>
      </c>
      <c r="L6916" s="5">
        <f t="shared" si="828"/>
        <v>6</v>
      </c>
      <c r="M6916" s="5">
        <f t="shared" si="829"/>
        <v>2013</v>
      </c>
    </row>
    <row r="6917" spans="1:13" ht="15" x14ac:dyDescent="0.25">
      <c r="A6917" s="1">
        <f>DATE(2013,6,2)</f>
        <v>41427</v>
      </c>
      <c r="B6917" t="s">
        <v>22</v>
      </c>
      <c r="C6917" t="s">
        <v>10</v>
      </c>
      <c r="D6917" s="3">
        <v>63.4465</v>
      </c>
      <c r="E6917" s="3">
        <v>0</v>
      </c>
      <c r="F6917" t="s">
        <v>45</v>
      </c>
      <c r="G6917" s="3">
        <f t="shared" si="823"/>
        <v>-63.4465</v>
      </c>
      <c r="H6917" s="3">
        <f t="shared" si="824"/>
        <v>63.4465</v>
      </c>
      <c r="I6917" s="5" t="str">
        <f t="shared" si="825"/>
        <v>018</v>
      </c>
      <c r="J6917" s="5" t="str">
        <f t="shared" si="826"/>
        <v>2230</v>
      </c>
      <c r="K6917" s="5" t="str">
        <f t="shared" si="827"/>
        <v>000</v>
      </c>
      <c r="L6917" s="5">
        <f t="shared" si="828"/>
        <v>6</v>
      </c>
      <c r="M6917" s="5">
        <f t="shared" si="829"/>
        <v>2013</v>
      </c>
    </row>
    <row r="6918" spans="1:13" ht="15" x14ac:dyDescent="0.25">
      <c r="A6918" s="1">
        <f t="shared" ref="A6918:A6921" si="830">DATE(2013,6,3)</f>
        <v>41428</v>
      </c>
      <c r="B6918" t="s">
        <v>11</v>
      </c>
      <c r="C6918" t="s">
        <v>6</v>
      </c>
      <c r="D6918" s="3">
        <v>2114.3137999999999</v>
      </c>
      <c r="E6918" s="3">
        <v>0</v>
      </c>
      <c r="F6918" t="s">
        <v>45</v>
      </c>
      <c r="G6918" s="3">
        <f t="shared" si="823"/>
        <v>-2114.3137999999999</v>
      </c>
      <c r="H6918" s="3">
        <f t="shared" si="824"/>
        <v>2114.3137999999999</v>
      </c>
      <c r="I6918" s="5" t="str">
        <f t="shared" si="825"/>
        <v>016</v>
      </c>
      <c r="J6918" s="5" t="str">
        <f t="shared" si="826"/>
        <v>2100</v>
      </c>
      <c r="K6918" s="5" t="str">
        <f t="shared" si="827"/>
        <v>000</v>
      </c>
      <c r="L6918" s="5">
        <f t="shared" si="828"/>
        <v>6</v>
      </c>
      <c r="M6918" s="5">
        <f t="shared" si="829"/>
        <v>2013</v>
      </c>
    </row>
    <row r="6919" spans="1:13" ht="15" x14ac:dyDescent="0.25">
      <c r="A6919" s="1">
        <f t="shared" si="830"/>
        <v>41428</v>
      </c>
      <c r="B6919" t="s">
        <v>12</v>
      </c>
      <c r="C6919" t="s">
        <v>8</v>
      </c>
      <c r="D6919" s="3">
        <v>586.57199999999989</v>
      </c>
      <c r="E6919" s="3">
        <v>0</v>
      </c>
      <c r="F6919" t="s">
        <v>45</v>
      </c>
      <c r="G6919" s="3">
        <f t="shared" si="823"/>
        <v>-586.57199999999989</v>
      </c>
      <c r="H6919" s="3">
        <f t="shared" si="824"/>
        <v>586.57199999999989</v>
      </c>
      <c r="I6919" s="5" t="str">
        <f t="shared" si="825"/>
        <v>016</v>
      </c>
      <c r="J6919" s="5" t="str">
        <f t="shared" si="826"/>
        <v>2210</v>
      </c>
      <c r="K6919" s="5" t="str">
        <f t="shared" si="827"/>
        <v>000</v>
      </c>
      <c r="L6919" s="5">
        <f t="shared" si="828"/>
        <v>6</v>
      </c>
      <c r="M6919" s="5">
        <f t="shared" si="829"/>
        <v>2013</v>
      </c>
    </row>
    <row r="6920" spans="1:13" ht="15" x14ac:dyDescent="0.25">
      <c r="A6920" s="1">
        <f t="shared" si="830"/>
        <v>41428</v>
      </c>
      <c r="B6920" t="s">
        <v>13</v>
      </c>
      <c r="C6920" t="s">
        <v>9</v>
      </c>
      <c r="D6920" s="3">
        <v>63.804000000000002</v>
      </c>
      <c r="E6920" s="3">
        <v>0</v>
      </c>
      <c r="F6920" t="s">
        <v>45</v>
      </c>
      <c r="G6920" s="3">
        <f t="shared" si="823"/>
        <v>-63.804000000000002</v>
      </c>
      <c r="H6920" s="3">
        <f t="shared" si="824"/>
        <v>63.804000000000002</v>
      </c>
      <c r="I6920" s="5" t="str">
        <f t="shared" si="825"/>
        <v>016</v>
      </c>
      <c r="J6920" s="5" t="str">
        <f t="shared" si="826"/>
        <v>2220</v>
      </c>
      <c r="K6920" s="5" t="str">
        <f t="shared" si="827"/>
        <v>000</v>
      </c>
      <c r="L6920" s="5">
        <f t="shared" si="828"/>
        <v>6</v>
      </c>
      <c r="M6920" s="5">
        <f t="shared" si="829"/>
        <v>2013</v>
      </c>
    </row>
    <row r="6921" spans="1:13" ht="15" x14ac:dyDescent="0.25">
      <c r="A6921" s="1">
        <f t="shared" si="830"/>
        <v>41428</v>
      </c>
      <c r="B6921" t="s">
        <v>14</v>
      </c>
      <c r="C6921" t="s">
        <v>10</v>
      </c>
      <c r="D6921" s="3">
        <v>18.05</v>
      </c>
      <c r="E6921" s="3">
        <v>0</v>
      </c>
      <c r="F6921" t="s">
        <v>45</v>
      </c>
      <c r="G6921" s="3">
        <f t="shared" si="823"/>
        <v>-18.05</v>
      </c>
      <c r="H6921" s="3">
        <f t="shared" si="824"/>
        <v>18.05</v>
      </c>
      <c r="I6921" s="5" t="str">
        <f t="shared" si="825"/>
        <v>016</v>
      </c>
      <c r="J6921" s="5" t="str">
        <f t="shared" si="826"/>
        <v>2230</v>
      </c>
      <c r="K6921" s="5" t="str">
        <f t="shared" si="827"/>
        <v>000</v>
      </c>
      <c r="L6921" s="5">
        <f t="shared" si="828"/>
        <v>6</v>
      </c>
      <c r="M6921" s="5">
        <f t="shared" si="829"/>
        <v>2013</v>
      </c>
    </row>
    <row r="6922" spans="1:13" ht="15" x14ac:dyDescent="0.25">
      <c r="A6922" s="1">
        <f>DATE(2013,6,4)</f>
        <v>41429</v>
      </c>
      <c r="B6922" t="s">
        <v>11</v>
      </c>
      <c r="C6922" t="s">
        <v>6</v>
      </c>
      <c r="D6922" s="3">
        <v>6297.7638999999999</v>
      </c>
      <c r="E6922" s="3">
        <v>0</v>
      </c>
      <c r="F6922" t="s">
        <v>45</v>
      </c>
      <c r="G6922" s="3">
        <f t="shared" si="823"/>
        <v>-6297.7638999999999</v>
      </c>
      <c r="H6922" s="3">
        <f t="shared" si="824"/>
        <v>6297.7638999999999</v>
      </c>
      <c r="I6922" s="5" t="str">
        <f t="shared" si="825"/>
        <v>016</v>
      </c>
      <c r="J6922" s="5" t="str">
        <f t="shared" si="826"/>
        <v>2100</v>
      </c>
      <c r="K6922" s="5" t="str">
        <f t="shared" si="827"/>
        <v>000</v>
      </c>
      <c r="L6922" s="5">
        <f t="shared" si="828"/>
        <v>6</v>
      </c>
      <c r="M6922" s="5">
        <f t="shared" si="829"/>
        <v>2013</v>
      </c>
    </row>
    <row r="6923" spans="1:13" ht="15" x14ac:dyDescent="0.25">
      <c r="A6923" s="1">
        <f>DATE(2013,6,4)</f>
        <v>41429</v>
      </c>
      <c r="B6923" t="s">
        <v>12</v>
      </c>
      <c r="C6923" t="s">
        <v>8</v>
      </c>
      <c r="D6923" s="3">
        <v>2497.3560000000002</v>
      </c>
      <c r="E6923" s="3">
        <v>0</v>
      </c>
      <c r="F6923" t="s">
        <v>45</v>
      </c>
      <c r="G6923" s="3">
        <f t="shared" si="823"/>
        <v>-2497.3560000000002</v>
      </c>
      <c r="H6923" s="3">
        <f t="shared" si="824"/>
        <v>2497.3560000000002</v>
      </c>
      <c r="I6923" s="5" t="str">
        <f t="shared" si="825"/>
        <v>016</v>
      </c>
      <c r="J6923" s="5" t="str">
        <f t="shared" si="826"/>
        <v>2210</v>
      </c>
      <c r="K6923" s="5" t="str">
        <f t="shared" si="827"/>
        <v>000</v>
      </c>
      <c r="L6923" s="5">
        <f t="shared" si="828"/>
        <v>6</v>
      </c>
      <c r="M6923" s="5">
        <f t="shared" si="829"/>
        <v>2013</v>
      </c>
    </row>
    <row r="6924" spans="1:13" ht="15" x14ac:dyDescent="0.25">
      <c r="A6924" s="1">
        <f>DATE(2013,6,4)</f>
        <v>41429</v>
      </c>
      <c r="B6924" t="s">
        <v>13</v>
      </c>
      <c r="C6924" t="s">
        <v>9</v>
      </c>
      <c r="D6924" s="3">
        <v>651.89250000000004</v>
      </c>
      <c r="E6924" s="3">
        <v>0</v>
      </c>
      <c r="F6924" t="s">
        <v>45</v>
      </c>
      <c r="G6924" s="3">
        <f t="shared" si="823"/>
        <v>-651.89250000000004</v>
      </c>
      <c r="H6924" s="3">
        <f t="shared" si="824"/>
        <v>651.89250000000004</v>
      </c>
      <c r="I6924" s="5" t="str">
        <f t="shared" si="825"/>
        <v>016</v>
      </c>
      <c r="J6924" s="5" t="str">
        <f t="shared" si="826"/>
        <v>2220</v>
      </c>
      <c r="K6924" s="5" t="str">
        <f t="shared" si="827"/>
        <v>000</v>
      </c>
      <c r="L6924" s="5">
        <f t="shared" si="828"/>
        <v>6</v>
      </c>
      <c r="M6924" s="5">
        <f t="shared" si="829"/>
        <v>2013</v>
      </c>
    </row>
    <row r="6925" spans="1:13" ht="15" x14ac:dyDescent="0.25">
      <c r="A6925" s="1">
        <f>DATE(2013,6,4)</f>
        <v>41429</v>
      </c>
      <c r="B6925" t="s">
        <v>14</v>
      </c>
      <c r="C6925" t="s">
        <v>10</v>
      </c>
      <c r="D6925" s="3">
        <v>66.033500000000004</v>
      </c>
      <c r="E6925" s="3">
        <v>0</v>
      </c>
      <c r="F6925" t="s">
        <v>45</v>
      </c>
      <c r="G6925" s="3">
        <f t="shared" si="823"/>
        <v>-66.033500000000004</v>
      </c>
      <c r="H6925" s="3">
        <f t="shared" si="824"/>
        <v>66.033500000000004</v>
      </c>
      <c r="I6925" s="5" t="str">
        <f t="shared" si="825"/>
        <v>016</v>
      </c>
      <c r="J6925" s="5" t="str">
        <f t="shared" si="826"/>
        <v>2230</v>
      </c>
      <c r="K6925" s="5" t="str">
        <f t="shared" si="827"/>
        <v>000</v>
      </c>
      <c r="L6925" s="5">
        <f t="shared" si="828"/>
        <v>6</v>
      </c>
      <c r="M6925" s="5">
        <f t="shared" si="829"/>
        <v>2013</v>
      </c>
    </row>
    <row r="6926" spans="1:13" ht="15" x14ac:dyDescent="0.25">
      <c r="A6926" s="1">
        <f>DATE(2013,6,5)</f>
        <v>41430</v>
      </c>
      <c r="B6926" t="s">
        <v>11</v>
      </c>
      <c r="C6926" t="s">
        <v>6</v>
      </c>
      <c r="D6926" s="3">
        <v>2565.7764000000002</v>
      </c>
      <c r="E6926" s="3">
        <v>0</v>
      </c>
      <c r="F6926" t="s">
        <v>45</v>
      </c>
      <c r="G6926" s="3">
        <f t="shared" si="823"/>
        <v>-2565.7764000000002</v>
      </c>
      <c r="H6926" s="3">
        <f t="shared" si="824"/>
        <v>2565.7764000000002</v>
      </c>
      <c r="I6926" s="5" t="str">
        <f t="shared" si="825"/>
        <v>016</v>
      </c>
      <c r="J6926" s="5" t="str">
        <f t="shared" si="826"/>
        <v>2100</v>
      </c>
      <c r="K6926" s="5" t="str">
        <f t="shared" si="827"/>
        <v>000</v>
      </c>
      <c r="L6926" s="5">
        <f t="shared" si="828"/>
        <v>6</v>
      </c>
      <c r="M6926" s="5">
        <f t="shared" si="829"/>
        <v>2013</v>
      </c>
    </row>
    <row r="6927" spans="1:13" ht="15" x14ac:dyDescent="0.25">
      <c r="A6927" s="1">
        <f>DATE(2013,6,5)</f>
        <v>41430</v>
      </c>
      <c r="B6927" t="s">
        <v>12</v>
      </c>
      <c r="C6927" t="s">
        <v>8</v>
      </c>
      <c r="D6927" s="3">
        <v>1370.097</v>
      </c>
      <c r="E6927" s="3">
        <v>0</v>
      </c>
      <c r="F6927" t="s">
        <v>45</v>
      </c>
      <c r="G6927" s="3">
        <f t="shared" si="823"/>
        <v>-1370.097</v>
      </c>
      <c r="H6927" s="3">
        <f t="shared" si="824"/>
        <v>1370.097</v>
      </c>
      <c r="I6927" s="5" t="str">
        <f t="shared" si="825"/>
        <v>016</v>
      </c>
      <c r="J6927" s="5" t="str">
        <f t="shared" si="826"/>
        <v>2210</v>
      </c>
      <c r="K6927" s="5" t="str">
        <f t="shared" si="827"/>
        <v>000</v>
      </c>
      <c r="L6927" s="5">
        <f t="shared" si="828"/>
        <v>6</v>
      </c>
      <c r="M6927" s="5">
        <f t="shared" si="829"/>
        <v>2013</v>
      </c>
    </row>
    <row r="6928" spans="1:13" ht="15" x14ac:dyDescent="0.25">
      <c r="A6928" s="1">
        <f>DATE(2013,6,5)</f>
        <v>41430</v>
      </c>
      <c r="B6928" t="s">
        <v>13</v>
      </c>
      <c r="C6928" t="s">
        <v>9</v>
      </c>
      <c r="D6928" s="3">
        <v>315.62619999999998</v>
      </c>
      <c r="E6928" s="3">
        <v>0</v>
      </c>
      <c r="F6928" t="s">
        <v>45</v>
      </c>
      <c r="G6928" s="3">
        <f t="shared" si="823"/>
        <v>-315.62619999999998</v>
      </c>
      <c r="H6928" s="3">
        <f t="shared" si="824"/>
        <v>315.62619999999998</v>
      </c>
      <c r="I6928" s="5" t="str">
        <f t="shared" si="825"/>
        <v>016</v>
      </c>
      <c r="J6928" s="5" t="str">
        <f t="shared" si="826"/>
        <v>2220</v>
      </c>
      <c r="K6928" s="5" t="str">
        <f t="shared" si="827"/>
        <v>000</v>
      </c>
      <c r="L6928" s="5">
        <f t="shared" si="828"/>
        <v>6</v>
      </c>
      <c r="M6928" s="5">
        <f t="shared" si="829"/>
        <v>2013</v>
      </c>
    </row>
    <row r="6929" spans="1:13" ht="15" x14ac:dyDescent="0.25">
      <c r="A6929" s="1">
        <f>DATE(2013,6,5)</f>
        <v>41430</v>
      </c>
      <c r="B6929" t="s">
        <v>14</v>
      </c>
      <c r="C6929" t="s">
        <v>10</v>
      </c>
      <c r="D6929" s="3">
        <v>114.01599999999999</v>
      </c>
      <c r="E6929" s="3">
        <v>0</v>
      </c>
      <c r="F6929" t="s">
        <v>45</v>
      </c>
      <c r="G6929" s="3">
        <f t="shared" si="823"/>
        <v>-114.01599999999999</v>
      </c>
      <c r="H6929" s="3">
        <f t="shared" si="824"/>
        <v>114.01599999999999</v>
      </c>
      <c r="I6929" s="5" t="str">
        <f t="shared" si="825"/>
        <v>016</v>
      </c>
      <c r="J6929" s="5" t="str">
        <f t="shared" si="826"/>
        <v>2230</v>
      </c>
      <c r="K6929" s="5" t="str">
        <f t="shared" si="827"/>
        <v>000</v>
      </c>
      <c r="L6929" s="5">
        <f t="shared" si="828"/>
        <v>6</v>
      </c>
      <c r="M6929" s="5">
        <f t="shared" si="829"/>
        <v>2013</v>
      </c>
    </row>
    <row r="6930" spans="1:13" ht="15" x14ac:dyDescent="0.25">
      <c r="A6930" s="1">
        <f>DATE(2013,6,6)</f>
        <v>41431</v>
      </c>
      <c r="B6930" t="s">
        <v>11</v>
      </c>
      <c r="C6930" t="s">
        <v>6</v>
      </c>
      <c r="D6930" s="3">
        <v>2926.9026000000003</v>
      </c>
      <c r="E6930" s="3">
        <v>0</v>
      </c>
      <c r="F6930" t="s">
        <v>45</v>
      </c>
      <c r="G6930" s="3">
        <f t="shared" si="823"/>
        <v>-2926.9026000000003</v>
      </c>
      <c r="H6930" s="3">
        <f t="shared" si="824"/>
        <v>2926.9026000000003</v>
      </c>
      <c r="I6930" s="5" t="str">
        <f t="shared" si="825"/>
        <v>016</v>
      </c>
      <c r="J6930" s="5" t="str">
        <f t="shared" si="826"/>
        <v>2100</v>
      </c>
      <c r="K6930" s="5" t="str">
        <f t="shared" si="827"/>
        <v>000</v>
      </c>
      <c r="L6930" s="5">
        <f t="shared" si="828"/>
        <v>6</v>
      </c>
      <c r="M6930" s="5">
        <f t="shared" si="829"/>
        <v>2013</v>
      </c>
    </row>
    <row r="6931" spans="1:13" ht="15" x14ac:dyDescent="0.25">
      <c r="A6931" s="1">
        <f>DATE(2013,6,6)</f>
        <v>41431</v>
      </c>
      <c r="B6931" t="s">
        <v>12</v>
      </c>
      <c r="C6931" t="s">
        <v>8</v>
      </c>
      <c r="D6931" s="3">
        <v>999.61849999999993</v>
      </c>
      <c r="E6931" s="3">
        <v>0</v>
      </c>
      <c r="F6931" t="s">
        <v>45</v>
      </c>
      <c r="G6931" s="3">
        <f t="shared" si="823"/>
        <v>-999.61849999999993</v>
      </c>
      <c r="H6931" s="3">
        <f t="shared" si="824"/>
        <v>999.61849999999993</v>
      </c>
      <c r="I6931" s="5" t="str">
        <f t="shared" si="825"/>
        <v>016</v>
      </c>
      <c r="J6931" s="5" t="str">
        <f t="shared" si="826"/>
        <v>2210</v>
      </c>
      <c r="K6931" s="5" t="str">
        <f t="shared" si="827"/>
        <v>000</v>
      </c>
      <c r="L6931" s="5">
        <f t="shared" si="828"/>
        <v>6</v>
      </c>
      <c r="M6931" s="5">
        <f t="shared" si="829"/>
        <v>2013</v>
      </c>
    </row>
    <row r="6932" spans="1:13" ht="15" x14ac:dyDescent="0.25">
      <c r="A6932" s="1">
        <f>DATE(2013,6,6)</f>
        <v>41431</v>
      </c>
      <c r="B6932" t="s">
        <v>13</v>
      </c>
      <c r="C6932" t="s">
        <v>9</v>
      </c>
      <c r="D6932" s="3">
        <v>153.84330000000003</v>
      </c>
      <c r="E6932" s="3">
        <v>0</v>
      </c>
      <c r="F6932" t="s">
        <v>45</v>
      </c>
      <c r="G6932" s="3">
        <f t="shared" si="823"/>
        <v>-153.84330000000003</v>
      </c>
      <c r="H6932" s="3">
        <f t="shared" si="824"/>
        <v>153.84330000000003</v>
      </c>
      <c r="I6932" s="5" t="str">
        <f t="shared" si="825"/>
        <v>016</v>
      </c>
      <c r="J6932" s="5" t="str">
        <f t="shared" si="826"/>
        <v>2220</v>
      </c>
      <c r="K6932" s="5" t="str">
        <f t="shared" si="827"/>
        <v>000</v>
      </c>
      <c r="L6932" s="5">
        <f t="shared" si="828"/>
        <v>6</v>
      </c>
      <c r="M6932" s="5">
        <f t="shared" si="829"/>
        <v>2013</v>
      </c>
    </row>
    <row r="6933" spans="1:13" ht="15" x14ac:dyDescent="0.25">
      <c r="A6933" s="1">
        <f>DATE(2013,6,6)</f>
        <v>41431</v>
      </c>
      <c r="B6933" t="s">
        <v>14</v>
      </c>
      <c r="C6933" t="s">
        <v>10</v>
      </c>
      <c r="D6933" s="3">
        <v>35.226199999999999</v>
      </c>
      <c r="E6933" s="3">
        <v>0</v>
      </c>
      <c r="F6933" t="s">
        <v>45</v>
      </c>
      <c r="G6933" s="3">
        <f t="shared" si="823"/>
        <v>-35.226199999999999</v>
      </c>
      <c r="H6933" s="3">
        <f t="shared" si="824"/>
        <v>35.226199999999999</v>
      </c>
      <c r="I6933" s="5" t="str">
        <f t="shared" si="825"/>
        <v>016</v>
      </c>
      <c r="J6933" s="5" t="str">
        <f t="shared" si="826"/>
        <v>2230</v>
      </c>
      <c r="K6933" s="5" t="str">
        <f t="shared" si="827"/>
        <v>000</v>
      </c>
      <c r="L6933" s="5">
        <f t="shared" si="828"/>
        <v>6</v>
      </c>
      <c r="M6933" s="5">
        <f t="shared" si="829"/>
        <v>2013</v>
      </c>
    </row>
    <row r="6934" spans="1:13" ht="15" x14ac:dyDescent="0.25">
      <c r="A6934" s="1">
        <f>DATE(2013,6,7)</f>
        <v>41432</v>
      </c>
      <c r="B6934" t="s">
        <v>11</v>
      </c>
      <c r="C6934" t="s">
        <v>6</v>
      </c>
      <c r="D6934" s="3">
        <v>3980.2092000000002</v>
      </c>
      <c r="E6934" s="3">
        <v>0</v>
      </c>
      <c r="F6934" t="s">
        <v>45</v>
      </c>
      <c r="G6934" s="3">
        <f t="shared" si="823"/>
        <v>-3980.2092000000002</v>
      </c>
      <c r="H6934" s="3">
        <f t="shared" si="824"/>
        <v>3980.2092000000002</v>
      </c>
      <c r="I6934" s="5" t="str">
        <f t="shared" si="825"/>
        <v>016</v>
      </c>
      <c r="J6934" s="5" t="str">
        <f t="shared" si="826"/>
        <v>2100</v>
      </c>
      <c r="K6934" s="5" t="str">
        <f t="shared" si="827"/>
        <v>000</v>
      </c>
      <c r="L6934" s="5">
        <f t="shared" si="828"/>
        <v>6</v>
      </c>
      <c r="M6934" s="5">
        <f t="shared" si="829"/>
        <v>2013</v>
      </c>
    </row>
    <row r="6935" spans="1:13" ht="15" x14ac:dyDescent="0.25">
      <c r="A6935" s="1">
        <f>DATE(2013,6,7)</f>
        <v>41432</v>
      </c>
      <c r="B6935" t="s">
        <v>12</v>
      </c>
      <c r="C6935" t="s">
        <v>8</v>
      </c>
      <c r="D6935" s="3">
        <v>1397.8156000000001</v>
      </c>
      <c r="E6935" s="3">
        <v>0</v>
      </c>
      <c r="F6935" t="s">
        <v>45</v>
      </c>
      <c r="G6935" s="3">
        <f t="shared" si="823"/>
        <v>-1397.8156000000001</v>
      </c>
      <c r="H6935" s="3">
        <f t="shared" si="824"/>
        <v>1397.8156000000001</v>
      </c>
      <c r="I6935" s="5" t="str">
        <f t="shared" si="825"/>
        <v>016</v>
      </c>
      <c r="J6935" s="5" t="str">
        <f t="shared" si="826"/>
        <v>2210</v>
      </c>
      <c r="K6935" s="5" t="str">
        <f t="shared" si="827"/>
        <v>000</v>
      </c>
      <c r="L6935" s="5">
        <f t="shared" si="828"/>
        <v>6</v>
      </c>
      <c r="M6935" s="5">
        <f t="shared" si="829"/>
        <v>2013</v>
      </c>
    </row>
    <row r="6936" spans="1:13" ht="15" x14ac:dyDescent="0.25">
      <c r="A6936" s="1">
        <f>DATE(2013,6,7)</f>
        <v>41432</v>
      </c>
      <c r="B6936" t="s">
        <v>13</v>
      </c>
      <c r="C6936" t="s">
        <v>9</v>
      </c>
      <c r="D6936" s="3">
        <v>203.63249999999999</v>
      </c>
      <c r="E6936" s="3">
        <v>0</v>
      </c>
      <c r="F6936" t="s">
        <v>45</v>
      </c>
      <c r="G6936" s="3">
        <f t="shared" si="823"/>
        <v>-203.63249999999999</v>
      </c>
      <c r="H6936" s="3">
        <f t="shared" si="824"/>
        <v>203.63249999999999</v>
      </c>
      <c r="I6936" s="5" t="str">
        <f t="shared" si="825"/>
        <v>016</v>
      </c>
      <c r="J6936" s="5" t="str">
        <f t="shared" si="826"/>
        <v>2220</v>
      </c>
      <c r="K6936" s="5" t="str">
        <f t="shared" si="827"/>
        <v>000</v>
      </c>
      <c r="L6936" s="5">
        <f t="shared" si="828"/>
        <v>6</v>
      </c>
      <c r="M6936" s="5">
        <f t="shared" si="829"/>
        <v>2013</v>
      </c>
    </row>
    <row r="6937" spans="1:13" ht="15" x14ac:dyDescent="0.25">
      <c r="A6937" s="1">
        <f>DATE(2013,6,7)</f>
        <v>41432</v>
      </c>
      <c r="B6937" t="s">
        <v>14</v>
      </c>
      <c r="C6937" t="s">
        <v>10</v>
      </c>
      <c r="D6937" s="3">
        <v>16.967099999999999</v>
      </c>
      <c r="E6937" s="3">
        <v>0</v>
      </c>
      <c r="F6937" t="s">
        <v>45</v>
      </c>
      <c r="G6937" s="3">
        <f t="shared" si="823"/>
        <v>-16.967099999999999</v>
      </c>
      <c r="H6937" s="3">
        <f t="shared" si="824"/>
        <v>16.967099999999999</v>
      </c>
      <c r="I6937" s="5" t="str">
        <f t="shared" si="825"/>
        <v>016</v>
      </c>
      <c r="J6937" s="5" t="str">
        <f t="shared" si="826"/>
        <v>2230</v>
      </c>
      <c r="K6937" s="5" t="str">
        <f t="shared" si="827"/>
        <v>000</v>
      </c>
      <c r="L6937" s="5">
        <f t="shared" si="828"/>
        <v>6</v>
      </c>
      <c r="M6937" s="5">
        <f t="shared" si="829"/>
        <v>2013</v>
      </c>
    </row>
    <row r="6938" spans="1:13" ht="15" x14ac:dyDescent="0.25">
      <c r="A6938" s="1">
        <f t="shared" ref="A6938:A6941" si="831">DATE(2013,6,8)</f>
        <v>41433</v>
      </c>
      <c r="B6938" t="s">
        <v>11</v>
      </c>
      <c r="C6938" t="s">
        <v>6</v>
      </c>
      <c r="D6938" s="3">
        <v>7703.7632000000003</v>
      </c>
      <c r="E6938" s="3">
        <v>0</v>
      </c>
      <c r="F6938" t="s">
        <v>45</v>
      </c>
      <c r="G6938" s="3">
        <f t="shared" si="823"/>
        <v>-7703.7632000000003</v>
      </c>
      <c r="H6938" s="3">
        <f t="shared" si="824"/>
        <v>7703.7632000000003</v>
      </c>
      <c r="I6938" s="5" t="str">
        <f t="shared" si="825"/>
        <v>016</v>
      </c>
      <c r="J6938" s="5" t="str">
        <f t="shared" si="826"/>
        <v>2100</v>
      </c>
      <c r="K6938" s="5" t="str">
        <f t="shared" si="827"/>
        <v>000</v>
      </c>
      <c r="L6938" s="5">
        <f t="shared" si="828"/>
        <v>6</v>
      </c>
      <c r="M6938" s="5">
        <f t="shared" si="829"/>
        <v>2013</v>
      </c>
    </row>
    <row r="6939" spans="1:13" ht="15" x14ac:dyDescent="0.25">
      <c r="A6939" s="1">
        <f t="shared" si="831"/>
        <v>41433</v>
      </c>
      <c r="B6939" t="s">
        <v>12</v>
      </c>
      <c r="C6939" t="s">
        <v>8</v>
      </c>
      <c r="D6939" s="3">
        <v>3032.5329999999994</v>
      </c>
      <c r="E6939" s="3">
        <v>0</v>
      </c>
      <c r="F6939" t="s">
        <v>45</v>
      </c>
      <c r="G6939" s="3">
        <f t="shared" si="823"/>
        <v>-3032.5329999999994</v>
      </c>
      <c r="H6939" s="3">
        <f t="shared" si="824"/>
        <v>3032.5329999999994</v>
      </c>
      <c r="I6939" s="5" t="str">
        <f t="shared" si="825"/>
        <v>016</v>
      </c>
      <c r="J6939" s="5" t="str">
        <f t="shared" si="826"/>
        <v>2210</v>
      </c>
      <c r="K6939" s="5" t="str">
        <f t="shared" si="827"/>
        <v>000</v>
      </c>
      <c r="L6939" s="5">
        <f t="shared" si="828"/>
        <v>6</v>
      </c>
      <c r="M6939" s="5">
        <f t="shared" si="829"/>
        <v>2013</v>
      </c>
    </row>
    <row r="6940" spans="1:13" ht="15" x14ac:dyDescent="0.25">
      <c r="A6940" s="1">
        <f t="shared" si="831"/>
        <v>41433</v>
      </c>
      <c r="B6940" t="s">
        <v>13</v>
      </c>
      <c r="C6940" t="s">
        <v>9</v>
      </c>
      <c r="D6940" s="3">
        <v>568.6146</v>
      </c>
      <c r="E6940" s="3">
        <v>0</v>
      </c>
      <c r="F6940" t="s">
        <v>45</v>
      </c>
      <c r="G6940" s="3">
        <f t="shared" si="823"/>
        <v>-568.6146</v>
      </c>
      <c r="H6940" s="3">
        <f t="shared" si="824"/>
        <v>568.6146</v>
      </c>
      <c r="I6940" s="5" t="str">
        <f t="shared" si="825"/>
        <v>016</v>
      </c>
      <c r="J6940" s="5" t="str">
        <f t="shared" si="826"/>
        <v>2220</v>
      </c>
      <c r="K6940" s="5" t="str">
        <f t="shared" si="827"/>
        <v>000</v>
      </c>
      <c r="L6940" s="5">
        <f t="shared" si="828"/>
        <v>6</v>
      </c>
      <c r="M6940" s="5">
        <f t="shared" si="829"/>
        <v>2013</v>
      </c>
    </row>
    <row r="6941" spans="1:13" ht="15" x14ac:dyDescent="0.25">
      <c r="A6941" s="1">
        <f t="shared" si="831"/>
        <v>41433</v>
      </c>
      <c r="B6941" t="s">
        <v>14</v>
      </c>
      <c r="C6941" t="s">
        <v>10</v>
      </c>
      <c r="D6941" s="3">
        <v>155.06820000000002</v>
      </c>
      <c r="E6941" s="3">
        <v>0</v>
      </c>
      <c r="F6941" t="s">
        <v>45</v>
      </c>
      <c r="G6941" s="3">
        <f t="shared" si="823"/>
        <v>-155.06820000000002</v>
      </c>
      <c r="H6941" s="3">
        <f t="shared" si="824"/>
        <v>155.06820000000002</v>
      </c>
      <c r="I6941" s="5" t="str">
        <f t="shared" si="825"/>
        <v>016</v>
      </c>
      <c r="J6941" s="5" t="str">
        <f t="shared" si="826"/>
        <v>2230</v>
      </c>
      <c r="K6941" s="5" t="str">
        <f t="shared" si="827"/>
        <v>000</v>
      </c>
      <c r="L6941" s="5">
        <f t="shared" si="828"/>
        <v>6</v>
      </c>
      <c r="M6941" s="5">
        <f t="shared" si="829"/>
        <v>2013</v>
      </c>
    </row>
    <row r="6942" spans="1:13" ht="15" x14ac:dyDescent="0.25">
      <c r="A6942" s="1">
        <f>DATE(2013,6,9)</f>
        <v>41434</v>
      </c>
      <c r="B6942" t="s">
        <v>11</v>
      </c>
      <c r="C6942" t="s">
        <v>6</v>
      </c>
      <c r="D6942" s="3">
        <v>3807.0239999999999</v>
      </c>
      <c r="E6942" s="3">
        <v>0</v>
      </c>
      <c r="F6942" t="s">
        <v>45</v>
      </c>
      <c r="G6942" s="3">
        <f t="shared" si="823"/>
        <v>-3807.0239999999999</v>
      </c>
      <c r="H6942" s="3">
        <f t="shared" si="824"/>
        <v>3807.0239999999999</v>
      </c>
      <c r="I6942" s="5" t="str">
        <f t="shared" si="825"/>
        <v>016</v>
      </c>
      <c r="J6942" s="5" t="str">
        <f t="shared" si="826"/>
        <v>2100</v>
      </c>
      <c r="K6942" s="5" t="str">
        <f t="shared" si="827"/>
        <v>000</v>
      </c>
      <c r="L6942" s="5">
        <f t="shared" si="828"/>
        <v>6</v>
      </c>
      <c r="M6942" s="5">
        <f t="shared" si="829"/>
        <v>2013</v>
      </c>
    </row>
    <row r="6943" spans="1:13" ht="15" x14ac:dyDescent="0.25">
      <c r="A6943" s="1">
        <f>DATE(2013,6,9)</f>
        <v>41434</v>
      </c>
      <c r="B6943" t="s">
        <v>12</v>
      </c>
      <c r="C6943" t="s">
        <v>8</v>
      </c>
      <c r="D6943" s="3">
        <v>1406.86</v>
      </c>
      <c r="E6943" s="3">
        <v>0</v>
      </c>
      <c r="F6943" t="s">
        <v>45</v>
      </c>
      <c r="G6943" s="3">
        <f t="shared" si="823"/>
        <v>-1406.86</v>
      </c>
      <c r="H6943" s="3">
        <f t="shared" si="824"/>
        <v>1406.86</v>
      </c>
      <c r="I6943" s="5" t="str">
        <f t="shared" si="825"/>
        <v>016</v>
      </c>
      <c r="J6943" s="5" t="str">
        <f t="shared" si="826"/>
        <v>2210</v>
      </c>
      <c r="K6943" s="5" t="str">
        <f t="shared" si="827"/>
        <v>000</v>
      </c>
      <c r="L6943" s="5">
        <f t="shared" si="828"/>
        <v>6</v>
      </c>
      <c r="M6943" s="5">
        <f t="shared" si="829"/>
        <v>2013</v>
      </c>
    </row>
    <row r="6944" spans="1:13" ht="15" x14ac:dyDescent="0.25">
      <c r="A6944" s="1">
        <f>DATE(2013,6,9)</f>
        <v>41434</v>
      </c>
      <c r="B6944" t="s">
        <v>13</v>
      </c>
      <c r="C6944" t="s">
        <v>9</v>
      </c>
      <c r="D6944" s="3">
        <v>201.57479999999998</v>
      </c>
      <c r="E6944" s="3">
        <v>0</v>
      </c>
      <c r="F6944" t="s">
        <v>45</v>
      </c>
      <c r="G6944" s="3">
        <f t="shared" si="823"/>
        <v>-201.57479999999998</v>
      </c>
      <c r="H6944" s="3">
        <f t="shared" si="824"/>
        <v>201.57479999999998</v>
      </c>
      <c r="I6944" s="5" t="str">
        <f t="shared" si="825"/>
        <v>016</v>
      </c>
      <c r="J6944" s="5" t="str">
        <f t="shared" si="826"/>
        <v>2220</v>
      </c>
      <c r="K6944" s="5" t="str">
        <f t="shared" si="827"/>
        <v>000</v>
      </c>
      <c r="L6944" s="5">
        <f t="shared" si="828"/>
        <v>6</v>
      </c>
      <c r="M6944" s="5">
        <f t="shared" si="829"/>
        <v>2013</v>
      </c>
    </row>
    <row r="6945" spans="1:13" ht="15" x14ac:dyDescent="0.25">
      <c r="A6945" s="1">
        <f>DATE(2013,6,9)</f>
        <v>41434</v>
      </c>
      <c r="B6945" t="s">
        <v>14</v>
      </c>
      <c r="C6945" t="s">
        <v>10</v>
      </c>
      <c r="D6945" s="3">
        <v>117.33810000000001</v>
      </c>
      <c r="E6945" s="3">
        <v>0</v>
      </c>
      <c r="F6945" t="s">
        <v>45</v>
      </c>
      <c r="G6945" s="3">
        <f t="shared" si="823"/>
        <v>-117.33810000000001</v>
      </c>
      <c r="H6945" s="3">
        <f t="shared" si="824"/>
        <v>117.33810000000001</v>
      </c>
      <c r="I6945" s="5" t="str">
        <f t="shared" si="825"/>
        <v>016</v>
      </c>
      <c r="J6945" s="5" t="str">
        <f t="shared" si="826"/>
        <v>2230</v>
      </c>
      <c r="K6945" s="5" t="str">
        <f t="shared" si="827"/>
        <v>000</v>
      </c>
      <c r="L6945" s="5">
        <f t="shared" si="828"/>
        <v>6</v>
      </c>
      <c r="M6945" s="5">
        <f t="shared" si="829"/>
        <v>2013</v>
      </c>
    </row>
    <row r="6946" spans="1:13" ht="15" x14ac:dyDescent="0.25">
      <c r="A6946" s="1">
        <f>DATE(2013,6,3)</f>
        <v>41428</v>
      </c>
      <c r="B6946" t="s">
        <v>15</v>
      </c>
      <c r="C6946" t="s">
        <v>6</v>
      </c>
      <c r="D6946" s="3">
        <v>3401.7239999999997</v>
      </c>
      <c r="E6946" s="3">
        <v>0</v>
      </c>
      <c r="F6946" t="s">
        <v>45</v>
      </c>
      <c r="G6946" s="3">
        <f t="shared" si="823"/>
        <v>-3401.7239999999997</v>
      </c>
      <c r="H6946" s="3">
        <f t="shared" si="824"/>
        <v>3401.7239999999997</v>
      </c>
      <c r="I6946" s="5" t="str">
        <f t="shared" si="825"/>
        <v>017</v>
      </c>
      <c r="J6946" s="5" t="str">
        <f t="shared" si="826"/>
        <v>2100</v>
      </c>
      <c r="K6946" s="5" t="str">
        <f t="shared" si="827"/>
        <v>000</v>
      </c>
      <c r="L6946" s="5">
        <f t="shared" si="828"/>
        <v>6</v>
      </c>
      <c r="M6946" s="5">
        <f t="shared" si="829"/>
        <v>2013</v>
      </c>
    </row>
    <row r="6947" spans="1:13" ht="15" x14ac:dyDescent="0.25">
      <c r="A6947" s="1">
        <f>DATE(2013,6,3)</f>
        <v>41428</v>
      </c>
      <c r="B6947" t="s">
        <v>16</v>
      </c>
      <c r="C6947" t="s">
        <v>8</v>
      </c>
      <c r="D6947" s="3">
        <v>680.92769999999996</v>
      </c>
      <c r="E6947" s="3">
        <v>0</v>
      </c>
      <c r="F6947" t="s">
        <v>45</v>
      </c>
      <c r="G6947" s="3">
        <f t="shared" si="823"/>
        <v>-680.92769999999996</v>
      </c>
      <c r="H6947" s="3">
        <f t="shared" si="824"/>
        <v>680.92769999999996</v>
      </c>
      <c r="I6947" s="5" t="str">
        <f t="shared" si="825"/>
        <v>017</v>
      </c>
      <c r="J6947" s="5" t="str">
        <f t="shared" si="826"/>
        <v>2210</v>
      </c>
      <c r="K6947" s="5" t="str">
        <f t="shared" si="827"/>
        <v>000</v>
      </c>
      <c r="L6947" s="5">
        <f t="shared" si="828"/>
        <v>6</v>
      </c>
      <c r="M6947" s="5">
        <f t="shared" si="829"/>
        <v>2013</v>
      </c>
    </row>
    <row r="6948" spans="1:13" ht="15" x14ac:dyDescent="0.25">
      <c r="A6948" s="1">
        <f>DATE(2013,6,3)</f>
        <v>41428</v>
      </c>
      <c r="B6948" t="s">
        <v>17</v>
      </c>
      <c r="C6948" t="s">
        <v>9</v>
      </c>
      <c r="D6948" s="3">
        <v>155.75319999999999</v>
      </c>
      <c r="E6948" s="3">
        <v>0</v>
      </c>
      <c r="F6948" t="s">
        <v>45</v>
      </c>
      <c r="G6948" s="3">
        <f t="shared" si="823"/>
        <v>-155.75319999999999</v>
      </c>
      <c r="H6948" s="3">
        <f t="shared" si="824"/>
        <v>155.75319999999999</v>
      </c>
      <c r="I6948" s="5" t="str">
        <f t="shared" si="825"/>
        <v>017</v>
      </c>
      <c r="J6948" s="5" t="str">
        <f t="shared" si="826"/>
        <v>2220</v>
      </c>
      <c r="K6948" s="5" t="str">
        <f t="shared" si="827"/>
        <v>000</v>
      </c>
      <c r="L6948" s="5">
        <f t="shared" si="828"/>
        <v>6</v>
      </c>
      <c r="M6948" s="5">
        <f t="shared" si="829"/>
        <v>2013</v>
      </c>
    </row>
    <row r="6949" spans="1:13" ht="15" x14ac:dyDescent="0.25">
      <c r="A6949" s="1">
        <f>DATE(2013,6,3)</f>
        <v>41428</v>
      </c>
      <c r="B6949" t="s">
        <v>18</v>
      </c>
      <c r="C6949" t="s">
        <v>10</v>
      </c>
      <c r="D6949" s="3">
        <v>101.9738</v>
      </c>
      <c r="E6949" s="3">
        <v>0</v>
      </c>
      <c r="F6949" t="s">
        <v>45</v>
      </c>
      <c r="G6949" s="3">
        <f t="shared" si="823"/>
        <v>-101.9738</v>
      </c>
      <c r="H6949" s="3">
        <f t="shared" si="824"/>
        <v>101.9738</v>
      </c>
      <c r="I6949" s="5" t="str">
        <f t="shared" si="825"/>
        <v>017</v>
      </c>
      <c r="J6949" s="5" t="str">
        <f t="shared" si="826"/>
        <v>2230</v>
      </c>
      <c r="K6949" s="5" t="str">
        <f t="shared" si="827"/>
        <v>000</v>
      </c>
      <c r="L6949" s="5">
        <f t="shared" si="828"/>
        <v>6</v>
      </c>
      <c r="M6949" s="5">
        <f t="shared" si="829"/>
        <v>2013</v>
      </c>
    </row>
    <row r="6950" spans="1:13" ht="15" x14ac:dyDescent="0.25">
      <c r="A6950" s="1">
        <f>DATE(2013,6,4)</f>
        <v>41429</v>
      </c>
      <c r="B6950" t="s">
        <v>15</v>
      </c>
      <c r="C6950" t="s">
        <v>6</v>
      </c>
      <c r="D6950" s="3">
        <v>6615.2898999999998</v>
      </c>
      <c r="E6950" s="3">
        <v>0</v>
      </c>
      <c r="F6950" t="s">
        <v>45</v>
      </c>
      <c r="G6950" s="3">
        <f t="shared" si="823"/>
        <v>-6615.2898999999998</v>
      </c>
      <c r="H6950" s="3">
        <f t="shared" si="824"/>
        <v>6615.2898999999998</v>
      </c>
      <c r="I6950" s="5" t="str">
        <f t="shared" si="825"/>
        <v>017</v>
      </c>
      <c r="J6950" s="5" t="str">
        <f t="shared" si="826"/>
        <v>2100</v>
      </c>
      <c r="K6950" s="5" t="str">
        <f t="shared" si="827"/>
        <v>000</v>
      </c>
      <c r="L6950" s="5">
        <f t="shared" si="828"/>
        <v>6</v>
      </c>
      <c r="M6950" s="5">
        <f t="shared" si="829"/>
        <v>2013</v>
      </c>
    </row>
    <row r="6951" spans="1:13" ht="15" x14ac:dyDescent="0.25">
      <c r="A6951" s="1">
        <f>DATE(2013,6,4)</f>
        <v>41429</v>
      </c>
      <c r="B6951" t="s">
        <v>16</v>
      </c>
      <c r="C6951" t="s">
        <v>8</v>
      </c>
      <c r="D6951" s="3">
        <v>1211.9956999999999</v>
      </c>
      <c r="E6951" s="3">
        <v>0</v>
      </c>
      <c r="F6951" t="s">
        <v>45</v>
      </c>
      <c r="G6951" s="3">
        <f t="shared" si="823"/>
        <v>-1211.9956999999999</v>
      </c>
      <c r="H6951" s="3">
        <f t="shared" si="824"/>
        <v>1211.9956999999999</v>
      </c>
      <c r="I6951" s="5" t="str">
        <f t="shared" si="825"/>
        <v>017</v>
      </c>
      <c r="J6951" s="5" t="str">
        <f t="shared" si="826"/>
        <v>2210</v>
      </c>
      <c r="K6951" s="5" t="str">
        <f t="shared" si="827"/>
        <v>000</v>
      </c>
      <c r="L6951" s="5">
        <f t="shared" si="828"/>
        <v>6</v>
      </c>
      <c r="M6951" s="5">
        <f t="shared" si="829"/>
        <v>2013</v>
      </c>
    </row>
    <row r="6952" spans="1:13" ht="15" x14ac:dyDescent="0.25">
      <c r="A6952" s="1">
        <f>DATE(2013,6,4)</f>
        <v>41429</v>
      </c>
      <c r="B6952" t="s">
        <v>17</v>
      </c>
      <c r="C6952" t="s">
        <v>9</v>
      </c>
      <c r="D6952" s="3">
        <v>539.1844000000001</v>
      </c>
      <c r="E6952" s="3">
        <v>0</v>
      </c>
      <c r="F6952" t="s">
        <v>45</v>
      </c>
      <c r="G6952" s="3">
        <f t="shared" si="823"/>
        <v>-539.1844000000001</v>
      </c>
      <c r="H6952" s="3">
        <f t="shared" si="824"/>
        <v>539.1844000000001</v>
      </c>
      <c r="I6952" s="5" t="str">
        <f t="shared" si="825"/>
        <v>017</v>
      </c>
      <c r="J6952" s="5" t="str">
        <f t="shared" si="826"/>
        <v>2220</v>
      </c>
      <c r="K6952" s="5" t="str">
        <f t="shared" si="827"/>
        <v>000</v>
      </c>
      <c r="L6952" s="5">
        <f t="shared" si="828"/>
        <v>6</v>
      </c>
      <c r="M6952" s="5">
        <f t="shared" si="829"/>
        <v>2013</v>
      </c>
    </row>
    <row r="6953" spans="1:13" ht="15" x14ac:dyDescent="0.25">
      <c r="A6953" s="1">
        <f>DATE(2013,6,4)</f>
        <v>41429</v>
      </c>
      <c r="B6953" t="s">
        <v>18</v>
      </c>
      <c r="C6953" t="s">
        <v>10</v>
      </c>
      <c r="D6953" s="3">
        <v>178.29599999999999</v>
      </c>
      <c r="E6953" s="3">
        <v>0</v>
      </c>
      <c r="F6953" t="s">
        <v>45</v>
      </c>
      <c r="G6953" s="3">
        <f t="shared" si="823"/>
        <v>-178.29599999999999</v>
      </c>
      <c r="H6953" s="3">
        <f t="shared" si="824"/>
        <v>178.29599999999999</v>
      </c>
      <c r="I6953" s="5" t="str">
        <f t="shared" si="825"/>
        <v>017</v>
      </c>
      <c r="J6953" s="5" t="str">
        <f t="shared" si="826"/>
        <v>2230</v>
      </c>
      <c r="K6953" s="5" t="str">
        <f t="shared" si="827"/>
        <v>000</v>
      </c>
      <c r="L6953" s="5">
        <f t="shared" si="828"/>
        <v>6</v>
      </c>
      <c r="M6953" s="5">
        <f t="shared" si="829"/>
        <v>2013</v>
      </c>
    </row>
    <row r="6954" spans="1:13" ht="15" x14ac:dyDescent="0.25">
      <c r="A6954" s="1">
        <f>DATE(2013,6,5)</f>
        <v>41430</v>
      </c>
      <c r="B6954" t="s">
        <v>15</v>
      </c>
      <c r="C6954" t="s">
        <v>6</v>
      </c>
      <c r="D6954" s="3">
        <v>7303.4296000000004</v>
      </c>
      <c r="E6954" s="3">
        <v>0</v>
      </c>
      <c r="F6954" t="s">
        <v>45</v>
      </c>
      <c r="G6954" s="3">
        <f t="shared" si="823"/>
        <v>-7303.4296000000004</v>
      </c>
      <c r="H6954" s="3">
        <f t="shared" si="824"/>
        <v>7303.4296000000004</v>
      </c>
      <c r="I6954" s="5" t="str">
        <f t="shared" si="825"/>
        <v>017</v>
      </c>
      <c r="J6954" s="5" t="str">
        <f t="shared" si="826"/>
        <v>2100</v>
      </c>
      <c r="K6954" s="5" t="str">
        <f t="shared" si="827"/>
        <v>000</v>
      </c>
      <c r="L6954" s="5">
        <f t="shared" si="828"/>
        <v>6</v>
      </c>
      <c r="M6954" s="5">
        <f t="shared" si="829"/>
        <v>2013</v>
      </c>
    </row>
    <row r="6955" spans="1:13" ht="15" x14ac:dyDescent="0.25">
      <c r="A6955" s="1">
        <f>DATE(2013,6,5)</f>
        <v>41430</v>
      </c>
      <c r="B6955" t="s">
        <v>16</v>
      </c>
      <c r="C6955" t="s">
        <v>8</v>
      </c>
      <c r="D6955" s="3">
        <v>1299.3416</v>
      </c>
      <c r="E6955" s="3">
        <v>0</v>
      </c>
      <c r="F6955" t="s">
        <v>45</v>
      </c>
      <c r="G6955" s="3">
        <f t="shared" si="823"/>
        <v>-1299.3416</v>
      </c>
      <c r="H6955" s="3">
        <f t="shared" si="824"/>
        <v>1299.3416</v>
      </c>
      <c r="I6955" s="5" t="str">
        <f t="shared" si="825"/>
        <v>017</v>
      </c>
      <c r="J6955" s="5" t="str">
        <f t="shared" si="826"/>
        <v>2210</v>
      </c>
      <c r="K6955" s="5" t="str">
        <f t="shared" si="827"/>
        <v>000</v>
      </c>
      <c r="L6955" s="5">
        <f t="shared" si="828"/>
        <v>6</v>
      </c>
      <c r="M6955" s="5">
        <f t="shared" si="829"/>
        <v>2013</v>
      </c>
    </row>
    <row r="6956" spans="1:13" ht="15" x14ac:dyDescent="0.25">
      <c r="A6956" s="1">
        <f>DATE(2013,6,5)</f>
        <v>41430</v>
      </c>
      <c r="B6956" t="s">
        <v>17</v>
      </c>
      <c r="C6956" t="s">
        <v>9</v>
      </c>
      <c r="D6956" s="3">
        <v>707.94950000000006</v>
      </c>
      <c r="E6956" s="3">
        <v>0</v>
      </c>
      <c r="F6956" t="s">
        <v>45</v>
      </c>
      <c r="G6956" s="3">
        <f t="shared" si="823"/>
        <v>-707.94950000000006</v>
      </c>
      <c r="H6956" s="3">
        <f t="shared" si="824"/>
        <v>707.94950000000006</v>
      </c>
      <c r="I6956" s="5" t="str">
        <f t="shared" si="825"/>
        <v>017</v>
      </c>
      <c r="J6956" s="5" t="str">
        <f t="shared" si="826"/>
        <v>2220</v>
      </c>
      <c r="K6956" s="5" t="str">
        <f t="shared" si="827"/>
        <v>000</v>
      </c>
      <c r="L6956" s="5">
        <f t="shared" si="828"/>
        <v>6</v>
      </c>
      <c r="M6956" s="5">
        <f t="shared" si="829"/>
        <v>2013</v>
      </c>
    </row>
    <row r="6957" spans="1:13" ht="15" x14ac:dyDescent="0.25">
      <c r="A6957" s="1">
        <f>DATE(2013,6,5)</f>
        <v>41430</v>
      </c>
      <c r="B6957" t="s">
        <v>18</v>
      </c>
      <c r="C6957" t="s">
        <v>10</v>
      </c>
      <c r="D6957" s="3">
        <v>105.41760000000001</v>
      </c>
      <c r="E6957" s="3">
        <v>0</v>
      </c>
      <c r="F6957" t="s">
        <v>45</v>
      </c>
      <c r="G6957" s="3">
        <f t="shared" si="823"/>
        <v>-105.41760000000001</v>
      </c>
      <c r="H6957" s="3">
        <f t="shared" si="824"/>
        <v>105.41760000000001</v>
      </c>
      <c r="I6957" s="5" t="str">
        <f t="shared" si="825"/>
        <v>017</v>
      </c>
      <c r="J6957" s="5" t="str">
        <f t="shared" si="826"/>
        <v>2230</v>
      </c>
      <c r="K6957" s="5" t="str">
        <f t="shared" si="827"/>
        <v>000</v>
      </c>
      <c r="L6957" s="5">
        <f t="shared" si="828"/>
        <v>6</v>
      </c>
      <c r="M6957" s="5">
        <f t="shared" si="829"/>
        <v>2013</v>
      </c>
    </row>
    <row r="6958" spans="1:13" ht="15" x14ac:dyDescent="0.25">
      <c r="A6958" s="1">
        <f>DATE(2013,6,6)</f>
        <v>41431</v>
      </c>
      <c r="B6958" t="s">
        <v>15</v>
      </c>
      <c r="C6958" t="s">
        <v>6</v>
      </c>
      <c r="D6958" s="3">
        <v>5055.2172</v>
      </c>
      <c r="E6958" s="3">
        <v>0</v>
      </c>
      <c r="F6958" t="s">
        <v>45</v>
      </c>
      <c r="G6958" s="3">
        <f t="shared" si="823"/>
        <v>-5055.2172</v>
      </c>
      <c r="H6958" s="3">
        <f t="shared" si="824"/>
        <v>5055.2172</v>
      </c>
      <c r="I6958" s="5" t="str">
        <f t="shared" si="825"/>
        <v>017</v>
      </c>
      <c r="J6958" s="5" t="str">
        <f t="shared" si="826"/>
        <v>2100</v>
      </c>
      <c r="K6958" s="5" t="str">
        <f t="shared" si="827"/>
        <v>000</v>
      </c>
      <c r="L6958" s="5">
        <f t="shared" si="828"/>
        <v>6</v>
      </c>
      <c r="M6958" s="5">
        <f t="shared" si="829"/>
        <v>2013</v>
      </c>
    </row>
    <row r="6959" spans="1:13" ht="15" x14ac:dyDescent="0.25">
      <c r="A6959" s="1">
        <f>DATE(2013,6,6)</f>
        <v>41431</v>
      </c>
      <c r="B6959" t="s">
        <v>16</v>
      </c>
      <c r="C6959" t="s">
        <v>8</v>
      </c>
      <c r="D6959" s="3">
        <v>1602.6119999999999</v>
      </c>
      <c r="E6959" s="3">
        <v>0</v>
      </c>
      <c r="F6959" t="s">
        <v>45</v>
      </c>
      <c r="G6959" s="3">
        <f t="shared" si="823"/>
        <v>-1602.6119999999999</v>
      </c>
      <c r="H6959" s="3">
        <f t="shared" si="824"/>
        <v>1602.6119999999999</v>
      </c>
      <c r="I6959" s="5" t="str">
        <f t="shared" si="825"/>
        <v>017</v>
      </c>
      <c r="J6959" s="5" t="str">
        <f t="shared" si="826"/>
        <v>2210</v>
      </c>
      <c r="K6959" s="5" t="str">
        <f t="shared" si="827"/>
        <v>000</v>
      </c>
      <c r="L6959" s="5">
        <f t="shared" si="828"/>
        <v>6</v>
      </c>
      <c r="M6959" s="5">
        <f t="shared" si="829"/>
        <v>2013</v>
      </c>
    </row>
    <row r="6960" spans="1:13" ht="15" x14ac:dyDescent="0.25">
      <c r="A6960" s="1">
        <f>DATE(2013,6,6)</f>
        <v>41431</v>
      </c>
      <c r="B6960" t="s">
        <v>17</v>
      </c>
      <c r="C6960" t="s">
        <v>9</v>
      </c>
      <c r="D6960" s="3">
        <v>261.86939999999998</v>
      </c>
      <c r="E6960" s="3">
        <v>0</v>
      </c>
      <c r="F6960" t="s">
        <v>45</v>
      </c>
      <c r="G6960" s="3">
        <f t="shared" si="823"/>
        <v>-261.86939999999998</v>
      </c>
      <c r="H6960" s="3">
        <f t="shared" si="824"/>
        <v>261.86939999999998</v>
      </c>
      <c r="I6960" s="5" t="str">
        <f t="shared" si="825"/>
        <v>017</v>
      </c>
      <c r="J6960" s="5" t="str">
        <f t="shared" si="826"/>
        <v>2220</v>
      </c>
      <c r="K6960" s="5" t="str">
        <f t="shared" si="827"/>
        <v>000</v>
      </c>
      <c r="L6960" s="5">
        <f t="shared" si="828"/>
        <v>6</v>
      </c>
      <c r="M6960" s="5">
        <f t="shared" si="829"/>
        <v>2013</v>
      </c>
    </row>
    <row r="6961" spans="1:13" ht="15" x14ac:dyDescent="0.25">
      <c r="A6961" s="1">
        <f>DATE(2013,6,6)</f>
        <v>41431</v>
      </c>
      <c r="B6961" t="s">
        <v>18</v>
      </c>
      <c r="C6961" t="s">
        <v>10</v>
      </c>
      <c r="D6961" s="3">
        <v>219.55500000000001</v>
      </c>
      <c r="E6961" s="3">
        <v>0</v>
      </c>
      <c r="F6961" t="s">
        <v>45</v>
      </c>
      <c r="G6961" s="3">
        <f t="shared" si="823"/>
        <v>-219.55500000000001</v>
      </c>
      <c r="H6961" s="3">
        <f t="shared" si="824"/>
        <v>219.55500000000001</v>
      </c>
      <c r="I6961" s="5" t="str">
        <f t="shared" si="825"/>
        <v>017</v>
      </c>
      <c r="J6961" s="5" t="str">
        <f t="shared" si="826"/>
        <v>2230</v>
      </c>
      <c r="K6961" s="5" t="str">
        <f t="shared" si="827"/>
        <v>000</v>
      </c>
      <c r="L6961" s="5">
        <f t="shared" si="828"/>
        <v>6</v>
      </c>
      <c r="M6961" s="5">
        <f t="shared" si="829"/>
        <v>2013</v>
      </c>
    </row>
    <row r="6962" spans="1:13" ht="15" x14ac:dyDescent="0.25">
      <c r="A6962" s="1">
        <f>DATE(2013,6,7)</f>
        <v>41432</v>
      </c>
      <c r="B6962" t="s">
        <v>15</v>
      </c>
      <c r="C6962" t="s">
        <v>6</v>
      </c>
      <c r="D6962" s="3">
        <v>8940.6996999999992</v>
      </c>
      <c r="E6962" s="3">
        <v>0</v>
      </c>
      <c r="F6962" t="s">
        <v>45</v>
      </c>
      <c r="G6962" s="3">
        <f t="shared" si="823"/>
        <v>-8940.6996999999992</v>
      </c>
      <c r="H6962" s="3">
        <f t="shared" si="824"/>
        <v>8940.6996999999992</v>
      </c>
      <c r="I6962" s="5" t="str">
        <f t="shared" si="825"/>
        <v>017</v>
      </c>
      <c r="J6962" s="5" t="str">
        <f t="shared" si="826"/>
        <v>2100</v>
      </c>
      <c r="K6962" s="5" t="str">
        <f t="shared" si="827"/>
        <v>000</v>
      </c>
      <c r="L6962" s="5">
        <f t="shared" si="828"/>
        <v>6</v>
      </c>
      <c r="M6962" s="5">
        <f t="shared" si="829"/>
        <v>2013</v>
      </c>
    </row>
    <row r="6963" spans="1:13" ht="15" x14ac:dyDescent="0.25">
      <c r="A6963" s="1">
        <f>DATE(2013,6,7)</f>
        <v>41432</v>
      </c>
      <c r="B6963" t="s">
        <v>16</v>
      </c>
      <c r="C6963" t="s">
        <v>8</v>
      </c>
      <c r="D6963" s="3">
        <v>3246.0883000000003</v>
      </c>
      <c r="E6963" s="3">
        <v>0</v>
      </c>
      <c r="F6963" t="s">
        <v>45</v>
      </c>
      <c r="G6963" s="3">
        <f t="shared" si="823"/>
        <v>-3246.0883000000003</v>
      </c>
      <c r="H6963" s="3">
        <f t="shared" si="824"/>
        <v>3246.0883000000003</v>
      </c>
      <c r="I6963" s="5" t="str">
        <f t="shared" si="825"/>
        <v>017</v>
      </c>
      <c r="J6963" s="5" t="str">
        <f t="shared" si="826"/>
        <v>2210</v>
      </c>
      <c r="K6963" s="5" t="str">
        <f t="shared" si="827"/>
        <v>000</v>
      </c>
      <c r="L6963" s="5">
        <f t="shared" si="828"/>
        <v>6</v>
      </c>
      <c r="M6963" s="5">
        <f t="shared" si="829"/>
        <v>2013</v>
      </c>
    </row>
    <row r="6964" spans="1:13" ht="15" x14ac:dyDescent="0.25">
      <c r="A6964" s="1">
        <f>DATE(2013,6,7)</f>
        <v>41432</v>
      </c>
      <c r="B6964" t="s">
        <v>17</v>
      </c>
      <c r="C6964" t="s">
        <v>9</v>
      </c>
      <c r="D6964" s="3">
        <v>451.47480000000002</v>
      </c>
      <c r="E6964" s="3">
        <v>0</v>
      </c>
      <c r="F6964" t="s">
        <v>45</v>
      </c>
      <c r="G6964" s="3">
        <f t="shared" si="823"/>
        <v>-451.47480000000002</v>
      </c>
      <c r="H6964" s="3">
        <f t="shared" si="824"/>
        <v>451.47480000000002</v>
      </c>
      <c r="I6964" s="5" t="str">
        <f t="shared" si="825"/>
        <v>017</v>
      </c>
      <c r="J6964" s="5" t="str">
        <f t="shared" si="826"/>
        <v>2220</v>
      </c>
      <c r="K6964" s="5" t="str">
        <f t="shared" si="827"/>
        <v>000</v>
      </c>
      <c r="L6964" s="5">
        <f t="shared" si="828"/>
        <v>6</v>
      </c>
      <c r="M6964" s="5">
        <f t="shared" si="829"/>
        <v>2013</v>
      </c>
    </row>
    <row r="6965" spans="1:13" ht="15" x14ac:dyDescent="0.25">
      <c r="A6965" s="1">
        <f>DATE(2013,6,7)</f>
        <v>41432</v>
      </c>
      <c r="B6965" t="s">
        <v>18</v>
      </c>
      <c r="C6965" t="s">
        <v>10</v>
      </c>
      <c r="D6965" s="3">
        <v>99.212800000000016</v>
      </c>
      <c r="E6965" s="3">
        <v>0</v>
      </c>
      <c r="F6965" t="s">
        <v>45</v>
      </c>
      <c r="G6965" s="3">
        <f t="shared" si="823"/>
        <v>-99.212800000000016</v>
      </c>
      <c r="H6965" s="3">
        <f t="shared" si="824"/>
        <v>99.212800000000016</v>
      </c>
      <c r="I6965" s="5" t="str">
        <f t="shared" si="825"/>
        <v>017</v>
      </c>
      <c r="J6965" s="5" t="str">
        <f t="shared" si="826"/>
        <v>2230</v>
      </c>
      <c r="K6965" s="5" t="str">
        <f t="shared" si="827"/>
        <v>000</v>
      </c>
      <c r="L6965" s="5">
        <f t="shared" si="828"/>
        <v>6</v>
      </c>
      <c r="M6965" s="5">
        <f t="shared" si="829"/>
        <v>2013</v>
      </c>
    </row>
    <row r="6966" spans="1:13" ht="15" x14ac:dyDescent="0.25">
      <c r="A6966" s="1">
        <f>DATE(2013,6,8)</f>
        <v>41433</v>
      </c>
      <c r="B6966" t="s">
        <v>15</v>
      </c>
      <c r="C6966" t="s">
        <v>6</v>
      </c>
      <c r="D6966" s="3">
        <v>9695.9871999999996</v>
      </c>
      <c r="E6966" s="3">
        <v>0</v>
      </c>
      <c r="F6966" t="s">
        <v>45</v>
      </c>
      <c r="G6966" s="3">
        <f t="shared" si="823"/>
        <v>-9695.9871999999996</v>
      </c>
      <c r="H6966" s="3">
        <f t="shared" si="824"/>
        <v>9695.9871999999996</v>
      </c>
      <c r="I6966" s="5" t="str">
        <f t="shared" si="825"/>
        <v>017</v>
      </c>
      <c r="J6966" s="5" t="str">
        <f t="shared" si="826"/>
        <v>2100</v>
      </c>
      <c r="K6966" s="5" t="str">
        <f t="shared" si="827"/>
        <v>000</v>
      </c>
      <c r="L6966" s="5">
        <f t="shared" si="828"/>
        <v>6</v>
      </c>
      <c r="M6966" s="5">
        <f t="shared" si="829"/>
        <v>2013</v>
      </c>
    </row>
    <row r="6967" spans="1:13" ht="15" x14ac:dyDescent="0.25">
      <c r="A6967" s="1">
        <f>DATE(2013,6,8)</f>
        <v>41433</v>
      </c>
      <c r="B6967" t="s">
        <v>16</v>
      </c>
      <c r="C6967" t="s">
        <v>8</v>
      </c>
      <c r="D6967" s="3">
        <v>1852.0064000000002</v>
      </c>
      <c r="E6967" s="3">
        <v>0</v>
      </c>
      <c r="F6967" t="s">
        <v>45</v>
      </c>
      <c r="G6967" s="3">
        <f t="shared" si="823"/>
        <v>-1852.0064000000002</v>
      </c>
      <c r="H6967" s="3">
        <f t="shared" si="824"/>
        <v>1852.0064000000002</v>
      </c>
      <c r="I6967" s="5" t="str">
        <f t="shared" si="825"/>
        <v>017</v>
      </c>
      <c r="J6967" s="5" t="str">
        <f t="shared" si="826"/>
        <v>2210</v>
      </c>
      <c r="K6967" s="5" t="str">
        <f t="shared" si="827"/>
        <v>000</v>
      </c>
      <c r="L6967" s="5">
        <f t="shared" si="828"/>
        <v>6</v>
      </c>
      <c r="M6967" s="5">
        <f t="shared" si="829"/>
        <v>2013</v>
      </c>
    </row>
    <row r="6968" spans="1:13" ht="15" x14ac:dyDescent="0.25">
      <c r="A6968" s="1">
        <f>DATE(2013,6,8)</f>
        <v>41433</v>
      </c>
      <c r="B6968" t="s">
        <v>17</v>
      </c>
      <c r="C6968" t="s">
        <v>9</v>
      </c>
      <c r="D6968" s="3">
        <v>330.02749999999997</v>
      </c>
      <c r="E6968" s="3">
        <v>0</v>
      </c>
      <c r="F6968" t="s">
        <v>45</v>
      </c>
      <c r="G6968" s="3">
        <f t="shared" si="823"/>
        <v>-330.02749999999997</v>
      </c>
      <c r="H6968" s="3">
        <f t="shared" si="824"/>
        <v>330.02749999999997</v>
      </c>
      <c r="I6968" s="5" t="str">
        <f t="shared" si="825"/>
        <v>017</v>
      </c>
      <c r="J6968" s="5" t="str">
        <f t="shared" si="826"/>
        <v>2220</v>
      </c>
      <c r="K6968" s="5" t="str">
        <f t="shared" si="827"/>
        <v>000</v>
      </c>
      <c r="L6968" s="5">
        <f t="shared" si="828"/>
        <v>6</v>
      </c>
      <c r="M6968" s="5">
        <f t="shared" si="829"/>
        <v>2013</v>
      </c>
    </row>
    <row r="6969" spans="1:13" ht="15" x14ac:dyDescent="0.25">
      <c r="A6969" s="1">
        <f>DATE(2013,6,8)</f>
        <v>41433</v>
      </c>
      <c r="B6969" t="s">
        <v>18</v>
      </c>
      <c r="C6969" t="s">
        <v>10</v>
      </c>
      <c r="D6969" s="3">
        <v>16.979600000000001</v>
      </c>
      <c r="E6969" s="3">
        <v>0</v>
      </c>
      <c r="F6969" t="s">
        <v>45</v>
      </c>
      <c r="G6969" s="3">
        <f t="shared" si="823"/>
        <v>-16.979600000000001</v>
      </c>
      <c r="H6969" s="3">
        <f t="shared" si="824"/>
        <v>16.979600000000001</v>
      </c>
      <c r="I6969" s="5" t="str">
        <f t="shared" si="825"/>
        <v>017</v>
      </c>
      <c r="J6969" s="5" t="str">
        <f t="shared" si="826"/>
        <v>2230</v>
      </c>
      <c r="K6969" s="5" t="str">
        <f t="shared" si="827"/>
        <v>000</v>
      </c>
      <c r="L6969" s="5">
        <f t="shared" si="828"/>
        <v>6</v>
      </c>
      <c r="M6969" s="5">
        <f t="shared" si="829"/>
        <v>2013</v>
      </c>
    </row>
    <row r="6970" spans="1:13" ht="15" x14ac:dyDescent="0.25">
      <c r="A6970" s="1">
        <f>DATE(2013,6,9)</f>
        <v>41434</v>
      </c>
      <c r="B6970" t="s">
        <v>15</v>
      </c>
      <c r="C6970" t="s">
        <v>6</v>
      </c>
      <c r="D6970" s="3">
        <v>6668.4992000000002</v>
      </c>
      <c r="E6970" s="3">
        <v>0</v>
      </c>
      <c r="F6970" t="s">
        <v>45</v>
      </c>
      <c r="G6970" s="3">
        <f t="shared" si="823"/>
        <v>-6668.4992000000002</v>
      </c>
      <c r="H6970" s="3">
        <f t="shared" si="824"/>
        <v>6668.4992000000002</v>
      </c>
      <c r="I6970" s="5" t="str">
        <f t="shared" si="825"/>
        <v>017</v>
      </c>
      <c r="J6970" s="5" t="str">
        <f t="shared" si="826"/>
        <v>2100</v>
      </c>
      <c r="K6970" s="5" t="str">
        <f t="shared" si="827"/>
        <v>000</v>
      </c>
      <c r="L6970" s="5">
        <f t="shared" si="828"/>
        <v>6</v>
      </c>
      <c r="M6970" s="5">
        <f t="shared" si="829"/>
        <v>2013</v>
      </c>
    </row>
    <row r="6971" spans="1:13" ht="15" x14ac:dyDescent="0.25">
      <c r="A6971" s="1">
        <f>DATE(2013,6,9)</f>
        <v>41434</v>
      </c>
      <c r="B6971" t="s">
        <v>16</v>
      </c>
      <c r="C6971" t="s">
        <v>8</v>
      </c>
      <c r="D6971" s="3">
        <v>795.0302999999999</v>
      </c>
      <c r="E6971" s="3">
        <v>0</v>
      </c>
      <c r="F6971" t="s">
        <v>45</v>
      </c>
      <c r="G6971" s="3">
        <f t="shared" si="823"/>
        <v>-795.0302999999999</v>
      </c>
      <c r="H6971" s="3">
        <f t="shared" si="824"/>
        <v>795.0302999999999</v>
      </c>
      <c r="I6971" s="5" t="str">
        <f t="shared" si="825"/>
        <v>017</v>
      </c>
      <c r="J6971" s="5" t="str">
        <f t="shared" si="826"/>
        <v>2210</v>
      </c>
      <c r="K6971" s="5" t="str">
        <f t="shared" si="827"/>
        <v>000</v>
      </c>
      <c r="L6971" s="5">
        <f t="shared" si="828"/>
        <v>6</v>
      </c>
      <c r="M6971" s="5">
        <f t="shared" si="829"/>
        <v>2013</v>
      </c>
    </row>
    <row r="6972" spans="1:13" ht="15" x14ac:dyDescent="0.25">
      <c r="A6972" s="1">
        <f>DATE(2013,6,9)</f>
        <v>41434</v>
      </c>
      <c r="B6972" t="s">
        <v>17</v>
      </c>
      <c r="C6972" t="s">
        <v>9</v>
      </c>
      <c r="D6972" s="3">
        <v>140.43120000000002</v>
      </c>
      <c r="E6972" s="3">
        <v>0</v>
      </c>
      <c r="F6972" t="s">
        <v>45</v>
      </c>
      <c r="G6972" s="3">
        <f t="shared" si="823"/>
        <v>-140.43120000000002</v>
      </c>
      <c r="H6972" s="3">
        <f t="shared" si="824"/>
        <v>140.43120000000002</v>
      </c>
      <c r="I6972" s="5" t="str">
        <f t="shared" si="825"/>
        <v>017</v>
      </c>
      <c r="J6972" s="5" t="str">
        <f t="shared" si="826"/>
        <v>2220</v>
      </c>
      <c r="K6972" s="5" t="str">
        <f t="shared" si="827"/>
        <v>000</v>
      </c>
      <c r="L6972" s="5">
        <f t="shared" si="828"/>
        <v>6</v>
      </c>
      <c r="M6972" s="5">
        <f t="shared" si="829"/>
        <v>2013</v>
      </c>
    </row>
    <row r="6973" spans="1:13" ht="15" x14ac:dyDescent="0.25">
      <c r="A6973" s="1">
        <f>DATE(2013,6,9)</f>
        <v>41434</v>
      </c>
      <c r="B6973" t="s">
        <v>18</v>
      </c>
      <c r="C6973" t="s">
        <v>10</v>
      </c>
      <c r="D6973" s="3">
        <v>118.12230000000002</v>
      </c>
      <c r="E6973" s="3">
        <v>0</v>
      </c>
      <c r="F6973" t="s">
        <v>45</v>
      </c>
      <c r="G6973" s="3">
        <f t="shared" si="823"/>
        <v>-118.12230000000002</v>
      </c>
      <c r="H6973" s="3">
        <f t="shared" si="824"/>
        <v>118.12230000000002</v>
      </c>
      <c r="I6973" s="5" t="str">
        <f t="shared" si="825"/>
        <v>017</v>
      </c>
      <c r="J6973" s="5" t="str">
        <f t="shared" si="826"/>
        <v>2230</v>
      </c>
      <c r="K6973" s="5" t="str">
        <f t="shared" si="827"/>
        <v>000</v>
      </c>
      <c r="L6973" s="5">
        <f t="shared" si="828"/>
        <v>6</v>
      </c>
      <c r="M6973" s="5">
        <f t="shared" si="829"/>
        <v>2013</v>
      </c>
    </row>
    <row r="6974" spans="1:13" ht="15" x14ac:dyDescent="0.25">
      <c r="A6974" s="1">
        <f>DATE(2013,6,3)</f>
        <v>41428</v>
      </c>
      <c r="B6974" t="s">
        <v>19</v>
      </c>
      <c r="C6974" t="s">
        <v>6</v>
      </c>
      <c r="D6974" s="3">
        <v>4133.5411999999997</v>
      </c>
      <c r="E6974" s="3">
        <v>0</v>
      </c>
      <c r="F6974" t="s">
        <v>45</v>
      </c>
      <c r="G6974" s="3">
        <f t="shared" si="823"/>
        <v>-4133.5411999999997</v>
      </c>
      <c r="H6974" s="3">
        <f t="shared" si="824"/>
        <v>4133.5411999999997</v>
      </c>
      <c r="I6974" s="5" t="str">
        <f t="shared" si="825"/>
        <v>018</v>
      </c>
      <c r="J6974" s="5" t="str">
        <f t="shared" si="826"/>
        <v>2100</v>
      </c>
      <c r="K6974" s="5" t="str">
        <f t="shared" si="827"/>
        <v>000</v>
      </c>
      <c r="L6974" s="5">
        <f t="shared" si="828"/>
        <v>6</v>
      </c>
      <c r="M6974" s="5">
        <f t="shared" si="829"/>
        <v>2013</v>
      </c>
    </row>
    <row r="6975" spans="1:13" ht="15" x14ac:dyDescent="0.25">
      <c r="A6975" s="1">
        <f>DATE(2013,6,3)</f>
        <v>41428</v>
      </c>
      <c r="B6975" t="s">
        <v>20</v>
      </c>
      <c r="C6975" t="s">
        <v>8</v>
      </c>
      <c r="D6975" s="3">
        <v>565.69440000000009</v>
      </c>
      <c r="E6975" s="3">
        <v>0</v>
      </c>
      <c r="F6975" t="s">
        <v>45</v>
      </c>
      <c r="G6975" s="3">
        <f t="shared" si="823"/>
        <v>-565.69440000000009</v>
      </c>
      <c r="H6975" s="3">
        <f t="shared" si="824"/>
        <v>565.69440000000009</v>
      </c>
      <c r="I6975" s="5" t="str">
        <f t="shared" si="825"/>
        <v>018</v>
      </c>
      <c r="J6975" s="5" t="str">
        <f t="shared" si="826"/>
        <v>2210</v>
      </c>
      <c r="K6975" s="5" t="str">
        <f t="shared" si="827"/>
        <v>000</v>
      </c>
      <c r="L6975" s="5">
        <f t="shared" si="828"/>
        <v>6</v>
      </c>
      <c r="M6975" s="5">
        <f t="shared" si="829"/>
        <v>2013</v>
      </c>
    </row>
    <row r="6976" spans="1:13" ht="15" x14ac:dyDescent="0.25">
      <c r="A6976" s="1">
        <f>DATE(2013,6,3)</f>
        <v>41428</v>
      </c>
      <c r="B6976" t="s">
        <v>21</v>
      </c>
      <c r="C6976" t="s">
        <v>9</v>
      </c>
      <c r="D6976" s="3">
        <v>81.575299999999999</v>
      </c>
      <c r="E6976" s="3">
        <v>0</v>
      </c>
      <c r="F6976" t="s">
        <v>45</v>
      </c>
      <c r="G6976" s="3">
        <f t="shared" si="823"/>
        <v>-81.575299999999999</v>
      </c>
      <c r="H6976" s="3">
        <f t="shared" si="824"/>
        <v>81.575299999999999</v>
      </c>
      <c r="I6976" s="5" t="str">
        <f t="shared" si="825"/>
        <v>018</v>
      </c>
      <c r="J6976" s="5" t="str">
        <f t="shared" si="826"/>
        <v>2220</v>
      </c>
      <c r="K6976" s="5" t="str">
        <f t="shared" si="827"/>
        <v>000</v>
      </c>
      <c r="L6976" s="5">
        <f t="shared" si="828"/>
        <v>6</v>
      </c>
      <c r="M6976" s="5">
        <f t="shared" si="829"/>
        <v>2013</v>
      </c>
    </row>
    <row r="6977" spans="1:13" ht="15" x14ac:dyDescent="0.25">
      <c r="A6977" s="1">
        <f>DATE(2013,6,3)</f>
        <v>41428</v>
      </c>
      <c r="B6977" t="s">
        <v>22</v>
      </c>
      <c r="C6977" t="s">
        <v>10</v>
      </c>
      <c r="D6977" s="3">
        <v>27.027200000000001</v>
      </c>
      <c r="E6977" s="3">
        <v>0</v>
      </c>
      <c r="F6977" t="s">
        <v>45</v>
      </c>
      <c r="G6977" s="3">
        <f t="shared" si="823"/>
        <v>-27.027200000000001</v>
      </c>
      <c r="H6977" s="3">
        <f t="shared" si="824"/>
        <v>27.027200000000001</v>
      </c>
      <c r="I6977" s="5" t="str">
        <f t="shared" si="825"/>
        <v>018</v>
      </c>
      <c r="J6977" s="5" t="str">
        <f t="shared" si="826"/>
        <v>2230</v>
      </c>
      <c r="K6977" s="5" t="str">
        <f t="shared" si="827"/>
        <v>000</v>
      </c>
      <c r="L6977" s="5">
        <f t="shared" si="828"/>
        <v>6</v>
      </c>
      <c r="M6977" s="5">
        <f t="shared" si="829"/>
        <v>2013</v>
      </c>
    </row>
    <row r="6978" spans="1:13" ht="15" x14ac:dyDescent="0.25">
      <c r="A6978" s="1">
        <f>DATE(2013,6,4)</f>
        <v>41429</v>
      </c>
      <c r="B6978" t="s">
        <v>19</v>
      </c>
      <c r="C6978" t="s">
        <v>6</v>
      </c>
      <c r="D6978" s="3">
        <v>4940.3436000000002</v>
      </c>
      <c r="E6978" s="3">
        <v>0</v>
      </c>
      <c r="F6978" t="s">
        <v>45</v>
      </c>
      <c r="G6978" s="3">
        <f t="shared" ref="G6978:G7041" si="832">E6978-D6978</f>
        <v>-4940.3436000000002</v>
      </c>
      <c r="H6978" s="3">
        <f t="shared" ref="H6978:H7041" si="833">ABS(G6978)</f>
        <v>4940.3436000000002</v>
      </c>
      <c r="I6978" s="5" t="str">
        <f t="shared" ref="I6978:I7041" si="834">MID(B6978,1,3)</f>
        <v>018</v>
      </c>
      <c r="J6978" s="5" t="str">
        <f t="shared" ref="J6978:J7041" si="835">MID(B6978,5,4)</f>
        <v>2100</v>
      </c>
      <c r="K6978" s="5" t="str">
        <f t="shared" ref="K6978:K7041" si="836">MID(B6978,10,3)</f>
        <v>000</v>
      </c>
      <c r="L6978" s="5">
        <f t="shared" ref="L6978:L7041" si="837">MONTH(A6978)</f>
        <v>6</v>
      </c>
      <c r="M6978" s="5">
        <f t="shared" ref="M6978:M7041" si="838">YEAR(A6978)</f>
        <v>2013</v>
      </c>
    </row>
    <row r="6979" spans="1:13" ht="15" x14ac:dyDescent="0.25">
      <c r="A6979" s="1">
        <f>DATE(2013,6,4)</f>
        <v>41429</v>
      </c>
      <c r="B6979" t="s">
        <v>20</v>
      </c>
      <c r="C6979" t="s">
        <v>8</v>
      </c>
      <c r="D6979" s="3">
        <v>860.30010000000004</v>
      </c>
      <c r="E6979" s="3">
        <v>0</v>
      </c>
      <c r="F6979" t="s">
        <v>45</v>
      </c>
      <c r="G6979" s="3">
        <f t="shared" si="832"/>
        <v>-860.30010000000004</v>
      </c>
      <c r="H6979" s="3">
        <f t="shared" si="833"/>
        <v>860.30010000000004</v>
      </c>
      <c r="I6979" s="5" t="str">
        <f t="shared" si="834"/>
        <v>018</v>
      </c>
      <c r="J6979" s="5" t="str">
        <f t="shared" si="835"/>
        <v>2210</v>
      </c>
      <c r="K6979" s="5" t="str">
        <f t="shared" si="836"/>
        <v>000</v>
      </c>
      <c r="L6979" s="5">
        <f t="shared" si="837"/>
        <v>6</v>
      </c>
      <c r="M6979" s="5">
        <f t="shared" si="838"/>
        <v>2013</v>
      </c>
    </row>
    <row r="6980" spans="1:13" ht="15" x14ac:dyDescent="0.25">
      <c r="A6980" s="1">
        <f>DATE(2013,6,4)</f>
        <v>41429</v>
      </c>
      <c r="B6980" t="s">
        <v>21</v>
      </c>
      <c r="C6980" t="s">
        <v>9</v>
      </c>
      <c r="D6980" s="3">
        <v>173.46359999999999</v>
      </c>
      <c r="E6980" s="3">
        <v>0</v>
      </c>
      <c r="F6980" t="s">
        <v>45</v>
      </c>
      <c r="G6980" s="3">
        <f t="shared" si="832"/>
        <v>-173.46359999999999</v>
      </c>
      <c r="H6980" s="3">
        <f t="shared" si="833"/>
        <v>173.46359999999999</v>
      </c>
      <c r="I6980" s="5" t="str">
        <f t="shared" si="834"/>
        <v>018</v>
      </c>
      <c r="J6980" s="5" t="str">
        <f t="shared" si="835"/>
        <v>2220</v>
      </c>
      <c r="K6980" s="5" t="str">
        <f t="shared" si="836"/>
        <v>000</v>
      </c>
      <c r="L6980" s="5">
        <f t="shared" si="837"/>
        <v>6</v>
      </c>
      <c r="M6980" s="5">
        <f t="shared" si="838"/>
        <v>2013</v>
      </c>
    </row>
    <row r="6981" spans="1:13" ht="15" x14ac:dyDescent="0.25">
      <c r="A6981" s="1">
        <f>DATE(2013,6,4)</f>
        <v>41429</v>
      </c>
      <c r="B6981" t="s">
        <v>22</v>
      </c>
      <c r="C6981" t="s">
        <v>10</v>
      </c>
      <c r="D6981" s="3">
        <v>71.391599999999997</v>
      </c>
      <c r="E6981" s="3">
        <v>0</v>
      </c>
      <c r="F6981" t="s">
        <v>45</v>
      </c>
      <c r="G6981" s="3">
        <f t="shared" si="832"/>
        <v>-71.391599999999997</v>
      </c>
      <c r="H6981" s="3">
        <f t="shared" si="833"/>
        <v>71.391599999999997</v>
      </c>
      <c r="I6981" s="5" t="str">
        <f t="shared" si="834"/>
        <v>018</v>
      </c>
      <c r="J6981" s="5" t="str">
        <f t="shared" si="835"/>
        <v>2230</v>
      </c>
      <c r="K6981" s="5" t="str">
        <f t="shared" si="836"/>
        <v>000</v>
      </c>
      <c r="L6981" s="5">
        <f t="shared" si="837"/>
        <v>6</v>
      </c>
      <c r="M6981" s="5">
        <f t="shared" si="838"/>
        <v>2013</v>
      </c>
    </row>
    <row r="6982" spans="1:13" ht="15" x14ac:dyDescent="0.25">
      <c r="A6982" s="1">
        <f>DATE(2013,6,5)</f>
        <v>41430</v>
      </c>
      <c r="B6982" t="s">
        <v>19</v>
      </c>
      <c r="C6982" t="s">
        <v>6</v>
      </c>
      <c r="D6982" s="3">
        <v>7243.6588000000002</v>
      </c>
      <c r="E6982" s="3">
        <v>0</v>
      </c>
      <c r="F6982" t="s">
        <v>45</v>
      </c>
      <c r="G6982" s="3">
        <f t="shared" si="832"/>
        <v>-7243.6588000000002</v>
      </c>
      <c r="H6982" s="3">
        <f t="shared" si="833"/>
        <v>7243.6588000000002</v>
      </c>
      <c r="I6982" s="5" t="str">
        <f t="shared" si="834"/>
        <v>018</v>
      </c>
      <c r="J6982" s="5" t="str">
        <f t="shared" si="835"/>
        <v>2100</v>
      </c>
      <c r="K6982" s="5" t="str">
        <f t="shared" si="836"/>
        <v>000</v>
      </c>
      <c r="L6982" s="5">
        <f t="shared" si="837"/>
        <v>6</v>
      </c>
      <c r="M6982" s="5">
        <f t="shared" si="838"/>
        <v>2013</v>
      </c>
    </row>
    <row r="6983" spans="1:13" ht="15" x14ac:dyDescent="0.25">
      <c r="A6983" s="1">
        <f>DATE(2013,6,5)</f>
        <v>41430</v>
      </c>
      <c r="B6983" t="s">
        <v>20</v>
      </c>
      <c r="C6983" t="s">
        <v>8</v>
      </c>
      <c r="D6983" s="3">
        <v>752.7632000000001</v>
      </c>
      <c r="E6983" s="3">
        <v>0</v>
      </c>
      <c r="F6983" t="s">
        <v>45</v>
      </c>
      <c r="G6983" s="3">
        <f t="shared" si="832"/>
        <v>-752.7632000000001</v>
      </c>
      <c r="H6983" s="3">
        <f t="shared" si="833"/>
        <v>752.7632000000001</v>
      </c>
      <c r="I6983" s="5" t="str">
        <f t="shared" si="834"/>
        <v>018</v>
      </c>
      <c r="J6983" s="5" t="str">
        <f t="shared" si="835"/>
        <v>2210</v>
      </c>
      <c r="K6983" s="5" t="str">
        <f t="shared" si="836"/>
        <v>000</v>
      </c>
      <c r="L6983" s="5">
        <f t="shared" si="837"/>
        <v>6</v>
      </c>
      <c r="M6983" s="5">
        <f t="shared" si="838"/>
        <v>2013</v>
      </c>
    </row>
    <row r="6984" spans="1:13" ht="15" x14ac:dyDescent="0.25">
      <c r="A6984" s="1">
        <f>DATE(2013,6,5)</f>
        <v>41430</v>
      </c>
      <c r="B6984" t="s">
        <v>21</v>
      </c>
      <c r="C6984" t="s">
        <v>9</v>
      </c>
      <c r="D6984" s="3">
        <v>224.38109999999998</v>
      </c>
      <c r="E6984" s="3">
        <v>0</v>
      </c>
      <c r="F6984" t="s">
        <v>45</v>
      </c>
      <c r="G6984" s="3">
        <f t="shared" si="832"/>
        <v>-224.38109999999998</v>
      </c>
      <c r="H6984" s="3">
        <f t="shared" si="833"/>
        <v>224.38109999999998</v>
      </c>
      <c r="I6984" s="5" t="str">
        <f t="shared" si="834"/>
        <v>018</v>
      </c>
      <c r="J6984" s="5" t="str">
        <f t="shared" si="835"/>
        <v>2220</v>
      </c>
      <c r="K6984" s="5" t="str">
        <f t="shared" si="836"/>
        <v>000</v>
      </c>
      <c r="L6984" s="5">
        <f t="shared" si="837"/>
        <v>6</v>
      </c>
      <c r="M6984" s="5">
        <f t="shared" si="838"/>
        <v>2013</v>
      </c>
    </row>
    <row r="6985" spans="1:13" ht="15" x14ac:dyDescent="0.25">
      <c r="A6985" s="1">
        <f>DATE(2013,6,5)</f>
        <v>41430</v>
      </c>
      <c r="B6985" t="s">
        <v>22</v>
      </c>
      <c r="C6985" t="s">
        <v>10</v>
      </c>
      <c r="D6985" s="3">
        <v>81.070400000000006</v>
      </c>
      <c r="E6985" s="3">
        <v>0</v>
      </c>
      <c r="F6985" t="s">
        <v>45</v>
      </c>
      <c r="G6985" s="3">
        <f t="shared" si="832"/>
        <v>-81.070400000000006</v>
      </c>
      <c r="H6985" s="3">
        <f t="shared" si="833"/>
        <v>81.070400000000006</v>
      </c>
      <c r="I6985" s="5" t="str">
        <f t="shared" si="834"/>
        <v>018</v>
      </c>
      <c r="J6985" s="5" t="str">
        <f t="shared" si="835"/>
        <v>2230</v>
      </c>
      <c r="K6985" s="5" t="str">
        <f t="shared" si="836"/>
        <v>000</v>
      </c>
      <c r="L6985" s="5">
        <f t="shared" si="837"/>
        <v>6</v>
      </c>
      <c r="M6985" s="5">
        <f t="shared" si="838"/>
        <v>2013</v>
      </c>
    </row>
    <row r="6986" spans="1:13" ht="15" x14ac:dyDescent="0.25">
      <c r="A6986" s="1">
        <f>DATE(2013,6,6)</f>
        <v>41431</v>
      </c>
      <c r="B6986" t="s">
        <v>19</v>
      </c>
      <c r="C6986" t="s">
        <v>6</v>
      </c>
      <c r="D6986" s="3">
        <v>3030.4937</v>
      </c>
      <c r="E6986" s="3">
        <v>0</v>
      </c>
      <c r="F6986" t="s">
        <v>45</v>
      </c>
      <c r="G6986" s="3">
        <f t="shared" si="832"/>
        <v>-3030.4937</v>
      </c>
      <c r="H6986" s="3">
        <f t="shared" si="833"/>
        <v>3030.4937</v>
      </c>
      <c r="I6986" s="5" t="str">
        <f t="shared" si="834"/>
        <v>018</v>
      </c>
      <c r="J6986" s="5" t="str">
        <f t="shared" si="835"/>
        <v>2100</v>
      </c>
      <c r="K6986" s="5" t="str">
        <f t="shared" si="836"/>
        <v>000</v>
      </c>
      <c r="L6986" s="5">
        <f t="shared" si="837"/>
        <v>6</v>
      </c>
      <c r="M6986" s="5">
        <f t="shared" si="838"/>
        <v>2013</v>
      </c>
    </row>
    <row r="6987" spans="1:13" ht="15" x14ac:dyDescent="0.25">
      <c r="A6987" s="1">
        <f>DATE(2013,6,6)</f>
        <v>41431</v>
      </c>
      <c r="B6987" t="s">
        <v>20</v>
      </c>
      <c r="C6987" t="s">
        <v>8</v>
      </c>
      <c r="D6987" s="3">
        <v>530.63679999999999</v>
      </c>
      <c r="E6987" s="3">
        <v>0</v>
      </c>
      <c r="F6987" t="s">
        <v>45</v>
      </c>
      <c r="G6987" s="3">
        <f t="shared" si="832"/>
        <v>-530.63679999999999</v>
      </c>
      <c r="H6987" s="3">
        <f t="shared" si="833"/>
        <v>530.63679999999999</v>
      </c>
      <c r="I6987" s="5" t="str">
        <f t="shared" si="834"/>
        <v>018</v>
      </c>
      <c r="J6987" s="5" t="str">
        <f t="shared" si="835"/>
        <v>2210</v>
      </c>
      <c r="K6987" s="5" t="str">
        <f t="shared" si="836"/>
        <v>000</v>
      </c>
      <c r="L6987" s="5">
        <f t="shared" si="837"/>
        <v>6</v>
      </c>
      <c r="M6987" s="5">
        <f t="shared" si="838"/>
        <v>2013</v>
      </c>
    </row>
    <row r="6988" spans="1:13" ht="15" x14ac:dyDescent="0.25">
      <c r="A6988" s="1">
        <f>DATE(2013,6,6)</f>
        <v>41431</v>
      </c>
      <c r="B6988" t="s">
        <v>21</v>
      </c>
      <c r="C6988" t="s">
        <v>9</v>
      </c>
      <c r="D6988" s="3">
        <v>146.95129999999997</v>
      </c>
      <c r="E6988" s="3">
        <v>0</v>
      </c>
      <c r="F6988" t="s">
        <v>45</v>
      </c>
      <c r="G6988" s="3">
        <f t="shared" si="832"/>
        <v>-146.95129999999997</v>
      </c>
      <c r="H6988" s="3">
        <f t="shared" si="833"/>
        <v>146.95129999999997</v>
      </c>
      <c r="I6988" s="5" t="str">
        <f t="shared" si="834"/>
        <v>018</v>
      </c>
      <c r="J6988" s="5" t="str">
        <f t="shared" si="835"/>
        <v>2220</v>
      </c>
      <c r="K6988" s="5" t="str">
        <f t="shared" si="836"/>
        <v>000</v>
      </c>
      <c r="L6988" s="5">
        <f t="shared" si="837"/>
        <v>6</v>
      </c>
      <c r="M6988" s="5">
        <f t="shared" si="838"/>
        <v>2013</v>
      </c>
    </row>
    <row r="6989" spans="1:13" ht="15" x14ac:dyDescent="0.25">
      <c r="A6989" s="1">
        <f>DATE(2013,6,6)</f>
        <v>41431</v>
      </c>
      <c r="B6989" t="s">
        <v>22</v>
      </c>
      <c r="C6989" t="s">
        <v>10</v>
      </c>
      <c r="D6989" s="3">
        <v>9.8890000000000011</v>
      </c>
      <c r="E6989" s="3">
        <v>0</v>
      </c>
      <c r="F6989" t="s">
        <v>45</v>
      </c>
      <c r="G6989" s="3">
        <f t="shared" si="832"/>
        <v>-9.8890000000000011</v>
      </c>
      <c r="H6989" s="3">
        <f t="shared" si="833"/>
        <v>9.8890000000000011</v>
      </c>
      <c r="I6989" s="5" t="str">
        <f t="shared" si="834"/>
        <v>018</v>
      </c>
      <c r="J6989" s="5" t="str">
        <f t="shared" si="835"/>
        <v>2230</v>
      </c>
      <c r="K6989" s="5" t="str">
        <f t="shared" si="836"/>
        <v>000</v>
      </c>
      <c r="L6989" s="5">
        <f t="shared" si="837"/>
        <v>6</v>
      </c>
      <c r="M6989" s="5">
        <f t="shared" si="838"/>
        <v>2013</v>
      </c>
    </row>
    <row r="6990" spans="1:13" ht="15" x14ac:dyDescent="0.25">
      <c r="A6990" s="1">
        <f>DATE(2013,6,7)</f>
        <v>41432</v>
      </c>
      <c r="B6990" t="s">
        <v>19</v>
      </c>
      <c r="C6990" t="s">
        <v>6</v>
      </c>
      <c r="D6990" s="3">
        <v>9368.9652999999998</v>
      </c>
      <c r="E6990" s="3">
        <v>0</v>
      </c>
      <c r="F6990" t="s">
        <v>45</v>
      </c>
      <c r="G6990" s="3">
        <f t="shared" si="832"/>
        <v>-9368.9652999999998</v>
      </c>
      <c r="H6990" s="3">
        <f t="shared" si="833"/>
        <v>9368.9652999999998</v>
      </c>
      <c r="I6990" s="5" t="str">
        <f t="shared" si="834"/>
        <v>018</v>
      </c>
      <c r="J6990" s="5" t="str">
        <f t="shared" si="835"/>
        <v>2100</v>
      </c>
      <c r="K6990" s="5" t="str">
        <f t="shared" si="836"/>
        <v>000</v>
      </c>
      <c r="L6990" s="5">
        <f t="shared" si="837"/>
        <v>6</v>
      </c>
      <c r="M6990" s="5">
        <f t="shared" si="838"/>
        <v>2013</v>
      </c>
    </row>
    <row r="6991" spans="1:13" ht="15" x14ac:dyDescent="0.25">
      <c r="A6991" s="1">
        <f>DATE(2013,6,7)</f>
        <v>41432</v>
      </c>
      <c r="B6991" t="s">
        <v>20</v>
      </c>
      <c r="C6991" t="s">
        <v>8</v>
      </c>
      <c r="D6991" s="3">
        <v>1729.6713000000002</v>
      </c>
      <c r="E6991" s="3">
        <v>0</v>
      </c>
      <c r="F6991" t="s">
        <v>45</v>
      </c>
      <c r="G6991" s="3">
        <f t="shared" si="832"/>
        <v>-1729.6713000000002</v>
      </c>
      <c r="H6991" s="3">
        <f t="shared" si="833"/>
        <v>1729.6713000000002</v>
      </c>
      <c r="I6991" s="5" t="str">
        <f t="shared" si="834"/>
        <v>018</v>
      </c>
      <c r="J6991" s="5" t="str">
        <f t="shared" si="835"/>
        <v>2210</v>
      </c>
      <c r="K6991" s="5" t="str">
        <f t="shared" si="836"/>
        <v>000</v>
      </c>
      <c r="L6991" s="5">
        <f t="shared" si="837"/>
        <v>6</v>
      </c>
      <c r="M6991" s="5">
        <f t="shared" si="838"/>
        <v>2013</v>
      </c>
    </row>
    <row r="6992" spans="1:13" ht="15" x14ac:dyDescent="0.25">
      <c r="A6992" s="1">
        <f>DATE(2013,6,7)</f>
        <v>41432</v>
      </c>
      <c r="B6992" t="s">
        <v>21</v>
      </c>
      <c r="C6992" t="s">
        <v>9</v>
      </c>
      <c r="D6992" s="3">
        <v>480.63</v>
      </c>
      <c r="E6992" s="3">
        <v>0</v>
      </c>
      <c r="F6992" t="s">
        <v>45</v>
      </c>
      <c r="G6992" s="3">
        <f t="shared" si="832"/>
        <v>-480.63</v>
      </c>
      <c r="H6992" s="3">
        <f t="shared" si="833"/>
        <v>480.63</v>
      </c>
      <c r="I6992" s="5" t="str">
        <f t="shared" si="834"/>
        <v>018</v>
      </c>
      <c r="J6992" s="5" t="str">
        <f t="shared" si="835"/>
        <v>2220</v>
      </c>
      <c r="K6992" s="5" t="str">
        <f t="shared" si="836"/>
        <v>000</v>
      </c>
      <c r="L6992" s="5">
        <f t="shared" si="837"/>
        <v>6</v>
      </c>
      <c r="M6992" s="5">
        <f t="shared" si="838"/>
        <v>2013</v>
      </c>
    </row>
    <row r="6993" spans="1:13" ht="15" x14ac:dyDescent="0.25">
      <c r="A6993" s="1">
        <f>DATE(2013,6,7)</f>
        <v>41432</v>
      </c>
      <c r="B6993" t="s">
        <v>22</v>
      </c>
      <c r="C6993" t="s">
        <v>10</v>
      </c>
      <c r="D6993" s="3">
        <v>61.715500000000006</v>
      </c>
      <c r="E6993" s="3">
        <v>0</v>
      </c>
      <c r="F6993" t="s">
        <v>45</v>
      </c>
      <c r="G6993" s="3">
        <f t="shared" si="832"/>
        <v>-61.715500000000006</v>
      </c>
      <c r="H6993" s="3">
        <f t="shared" si="833"/>
        <v>61.715500000000006</v>
      </c>
      <c r="I6993" s="5" t="str">
        <f t="shared" si="834"/>
        <v>018</v>
      </c>
      <c r="J6993" s="5" t="str">
        <f t="shared" si="835"/>
        <v>2230</v>
      </c>
      <c r="K6993" s="5" t="str">
        <f t="shared" si="836"/>
        <v>000</v>
      </c>
      <c r="L6993" s="5">
        <f t="shared" si="837"/>
        <v>6</v>
      </c>
      <c r="M6993" s="5">
        <f t="shared" si="838"/>
        <v>2013</v>
      </c>
    </row>
    <row r="6994" spans="1:13" ht="15" x14ac:dyDescent="0.25">
      <c r="A6994" s="1">
        <f>DATE(2013,6,8)</f>
        <v>41433</v>
      </c>
      <c r="B6994" t="s">
        <v>19</v>
      </c>
      <c r="C6994" t="s">
        <v>6</v>
      </c>
      <c r="D6994" s="3">
        <v>16411.78</v>
      </c>
      <c r="E6994" s="3">
        <v>0</v>
      </c>
      <c r="F6994" t="s">
        <v>45</v>
      </c>
      <c r="G6994" s="3">
        <f t="shared" si="832"/>
        <v>-16411.78</v>
      </c>
      <c r="H6994" s="3">
        <f t="shared" si="833"/>
        <v>16411.78</v>
      </c>
      <c r="I6994" s="5" t="str">
        <f t="shared" si="834"/>
        <v>018</v>
      </c>
      <c r="J6994" s="5" t="str">
        <f t="shared" si="835"/>
        <v>2100</v>
      </c>
      <c r="K6994" s="5" t="str">
        <f t="shared" si="836"/>
        <v>000</v>
      </c>
      <c r="L6994" s="5">
        <f t="shared" si="837"/>
        <v>6</v>
      </c>
      <c r="M6994" s="5">
        <f t="shared" si="838"/>
        <v>2013</v>
      </c>
    </row>
    <row r="6995" spans="1:13" ht="15" x14ac:dyDescent="0.25">
      <c r="A6995" s="1">
        <f>DATE(2013,6,8)</f>
        <v>41433</v>
      </c>
      <c r="B6995" t="s">
        <v>20</v>
      </c>
      <c r="C6995" t="s">
        <v>8</v>
      </c>
      <c r="D6995" s="3">
        <v>3146.3738999999996</v>
      </c>
      <c r="E6995" s="3">
        <v>0</v>
      </c>
      <c r="F6995" t="s">
        <v>45</v>
      </c>
      <c r="G6995" s="3">
        <f t="shared" si="832"/>
        <v>-3146.3738999999996</v>
      </c>
      <c r="H6995" s="3">
        <f t="shared" si="833"/>
        <v>3146.3738999999996</v>
      </c>
      <c r="I6995" s="5" t="str">
        <f t="shared" si="834"/>
        <v>018</v>
      </c>
      <c r="J6995" s="5" t="str">
        <f t="shared" si="835"/>
        <v>2210</v>
      </c>
      <c r="K6995" s="5" t="str">
        <f t="shared" si="836"/>
        <v>000</v>
      </c>
      <c r="L6995" s="5">
        <f t="shared" si="837"/>
        <v>6</v>
      </c>
      <c r="M6995" s="5">
        <f t="shared" si="838"/>
        <v>2013</v>
      </c>
    </row>
    <row r="6996" spans="1:13" ht="15" x14ac:dyDescent="0.25">
      <c r="A6996" s="1">
        <f>DATE(2013,6,8)</f>
        <v>41433</v>
      </c>
      <c r="B6996" t="s">
        <v>21</v>
      </c>
      <c r="C6996" t="s">
        <v>9</v>
      </c>
      <c r="D6996" s="3">
        <v>1141.92</v>
      </c>
      <c r="E6996" s="3">
        <v>0</v>
      </c>
      <c r="F6996" t="s">
        <v>45</v>
      </c>
      <c r="G6996" s="3">
        <f t="shared" si="832"/>
        <v>-1141.92</v>
      </c>
      <c r="H6996" s="3">
        <f t="shared" si="833"/>
        <v>1141.92</v>
      </c>
      <c r="I6996" s="5" t="str">
        <f t="shared" si="834"/>
        <v>018</v>
      </c>
      <c r="J6996" s="5" t="str">
        <f t="shared" si="835"/>
        <v>2220</v>
      </c>
      <c r="K6996" s="5" t="str">
        <f t="shared" si="836"/>
        <v>000</v>
      </c>
      <c r="L6996" s="5">
        <f t="shared" si="837"/>
        <v>6</v>
      </c>
      <c r="M6996" s="5">
        <f t="shared" si="838"/>
        <v>2013</v>
      </c>
    </row>
    <row r="6997" spans="1:13" ht="15" x14ac:dyDescent="0.25">
      <c r="A6997" s="1">
        <f>DATE(2013,6,8)</f>
        <v>41433</v>
      </c>
      <c r="B6997" t="s">
        <v>22</v>
      </c>
      <c r="C6997" t="s">
        <v>10</v>
      </c>
      <c r="D6997" s="3">
        <v>180.6344</v>
      </c>
      <c r="E6997" s="3">
        <v>0</v>
      </c>
      <c r="F6997" t="s">
        <v>45</v>
      </c>
      <c r="G6997" s="3">
        <f t="shared" si="832"/>
        <v>-180.6344</v>
      </c>
      <c r="H6997" s="3">
        <f t="shared" si="833"/>
        <v>180.6344</v>
      </c>
      <c r="I6997" s="5" t="str">
        <f t="shared" si="834"/>
        <v>018</v>
      </c>
      <c r="J6997" s="5" t="str">
        <f t="shared" si="835"/>
        <v>2230</v>
      </c>
      <c r="K6997" s="5" t="str">
        <f t="shared" si="836"/>
        <v>000</v>
      </c>
      <c r="L6997" s="5">
        <f t="shared" si="837"/>
        <v>6</v>
      </c>
      <c r="M6997" s="5">
        <f t="shared" si="838"/>
        <v>2013</v>
      </c>
    </row>
    <row r="6998" spans="1:13" ht="15" x14ac:dyDescent="0.25">
      <c r="A6998" s="1">
        <f>DATE(2013,6,9)</f>
        <v>41434</v>
      </c>
      <c r="B6998" t="s">
        <v>19</v>
      </c>
      <c r="C6998" t="s">
        <v>6</v>
      </c>
      <c r="D6998" s="3">
        <v>7985.9844000000003</v>
      </c>
      <c r="E6998" s="3">
        <v>0</v>
      </c>
      <c r="F6998" t="s">
        <v>45</v>
      </c>
      <c r="G6998" s="3">
        <f t="shared" si="832"/>
        <v>-7985.9844000000003</v>
      </c>
      <c r="H6998" s="3">
        <f t="shared" si="833"/>
        <v>7985.9844000000003</v>
      </c>
      <c r="I6998" s="5" t="str">
        <f t="shared" si="834"/>
        <v>018</v>
      </c>
      <c r="J6998" s="5" t="str">
        <f t="shared" si="835"/>
        <v>2100</v>
      </c>
      <c r="K6998" s="5" t="str">
        <f t="shared" si="836"/>
        <v>000</v>
      </c>
      <c r="L6998" s="5">
        <f t="shared" si="837"/>
        <v>6</v>
      </c>
      <c r="M6998" s="5">
        <f t="shared" si="838"/>
        <v>2013</v>
      </c>
    </row>
    <row r="6999" spans="1:13" ht="15" x14ac:dyDescent="0.25">
      <c r="A6999" s="1">
        <f>DATE(2013,6,9)</f>
        <v>41434</v>
      </c>
      <c r="B6999" t="s">
        <v>20</v>
      </c>
      <c r="C6999" t="s">
        <v>8</v>
      </c>
      <c r="D6999" s="3">
        <v>1131.6419999999998</v>
      </c>
      <c r="E6999" s="3">
        <v>0</v>
      </c>
      <c r="F6999" t="s">
        <v>45</v>
      </c>
      <c r="G6999" s="3">
        <f t="shared" si="832"/>
        <v>-1131.6419999999998</v>
      </c>
      <c r="H6999" s="3">
        <f t="shared" si="833"/>
        <v>1131.6419999999998</v>
      </c>
      <c r="I6999" s="5" t="str">
        <f t="shared" si="834"/>
        <v>018</v>
      </c>
      <c r="J6999" s="5" t="str">
        <f t="shared" si="835"/>
        <v>2210</v>
      </c>
      <c r="K6999" s="5" t="str">
        <f t="shared" si="836"/>
        <v>000</v>
      </c>
      <c r="L6999" s="5">
        <f t="shared" si="837"/>
        <v>6</v>
      </c>
      <c r="M6999" s="5">
        <f t="shared" si="838"/>
        <v>2013</v>
      </c>
    </row>
    <row r="7000" spans="1:13" ht="15" x14ac:dyDescent="0.25">
      <c r="A7000" s="1">
        <f>DATE(2013,6,9)</f>
        <v>41434</v>
      </c>
      <c r="B7000" t="s">
        <v>21</v>
      </c>
      <c r="C7000" t="s">
        <v>9</v>
      </c>
      <c r="D7000" s="3">
        <v>456.98599999999993</v>
      </c>
      <c r="E7000" s="3">
        <v>0</v>
      </c>
      <c r="F7000" t="s">
        <v>45</v>
      </c>
      <c r="G7000" s="3">
        <f t="shared" si="832"/>
        <v>-456.98599999999993</v>
      </c>
      <c r="H7000" s="3">
        <f t="shared" si="833"/>
        <v>456.98599999999993</v>
      </c>
      <c r="I7000" s="5" t="str">
        <f t="shared" si="834"/>
        <v>018</v>
      </c>
      <c r="J7000" s="5" t="str">
        <f t="shared" si="835"/>
        <v>2220</v>
      </c>
      <c r="K7000" s="5" t="str">
        <f t="shared" si="836"/>
        <v>000</v>
      </c>
      <c r="L7000" s="5">
        <f t="shared" si="837"/>
        <v>6</v>
      </c>
      <c r="M7000" s="5">
        <f t="shared" si="838"/>
        <v>2013</v>
      </c>
    </row>
    <row r="7001" spans="1:13" ht="15" x14ac:dyDescent="0.25">
      <c r="A7001" s="1">
        <f>DATE(2013,6,9)</f>
        <v>41434</v>
      </c>
      <c r="B7001" t="s">
        <v>22</v>
      </c>
      <c r="C7001" t="s">
        <v>10</v>
      </c>
      <c r="D7001" s="3">
        <v>28.8855</v>
      </c>
      <c r="E7001" s="3">
        <v>0</v>
      </c>
      <c r="F7001" t="s">
        <v>45</v>
      </c>
      <c r="G7001" s="3">
        <f t="shared" si="832"/>
        <v>-28.8855</v>
      </c>
      <c r="H7001" s="3">
        <f t="shared" si="833"/>
        <v>28.8855</v>
      </c>
      <c r="I7001" s="5" t="str">
        <f t="shared" si="834"/>
        <v>018</v>
      </c>
      <c r="J7001" s="5" t="str">
        <f t="shared" si="835"/>
        <v>2230</v>
      </c>
      <c r="K7001" s="5" t="str">
        <f t="shared" si="836"/>
        <v>000</v>
      </c>
      <c r="L7001" s="5">
        <f t="shared" si="837"/>
        <v>6</v>
      </c>
      <c r="M7001" s="5">
        <f t="shared" si="838"/>
        <v>2013</v>
      </c>
    </row>
    <row r="7002" spans="1:13" ht="15" x14ac:dyDescent="0.25">
      <c r="A7002" s="1">
        <f>DATE(2013,6,10)</f>
        <v>41435</v>
      </c>
      <c r="B7002" t="s">
        <v>11</v>
      </c>
      <c r="C7002" t="s">
        <v>6</v>
      </c>
      <c r="D7002" s="3">
        <v>1948.4605000000001</v>
      </c>
      <c r="E7002" s="3">
        <v>0</v>
      </c>
      <c r="F7002" t="s">
        <v>45</v>
      </c>
      <c r="G7002" s="3">
        <f t="shared" si="832"/>
        <v>-1948.4605000000001</v>
      </c>
      <c r="H7002" s="3">
        <f t="shared" si="833"/>
        <v>1948.4605000000001</v>
      </c>
      <c r="I7002" s="5" t="str">
        <f t="shared" si="834"/>
        <v>016</v>
      </c>
      <c r="J7002" s="5" t="str">
        <f t="shared" si="835"/>
        <v>2100</v>
      </c>
      <c r="K7002" s="5" t="str">
        <f t="shared" si="836"/>
        <v>000</v>
      </c>
      <c r="L7002" s="5">
        <f t="shared" si="837"/>
        <v>6</v>
      </c>
      <c r="M7002" s="5">
        <f t="shared" si="838"/>
        <v>2013</v>
      </c>
    </row>
    <row r="7003" spans="1:13" ht="15" x14ac:dyDescent="0.25">
      <c r="A7003" s="1">
        <f>DATE(2013,6,10)</f>
        <v>41435</v>
      </c>
      <c r="B7003" t="s">
        <v>12</v>
      </c>
      <c r="C7003" t="s">
        <v>8</v>
      </c>
      <c r="D7003" s="3">
        <v>676.70680000000004</v>
      </c>
      <c r="E7003" s="3">
        <v>0</v>
      </c>
      <c r="F7003" t="s">
        <v>45</v>
      </c>
      <c r="G7003" s="3">
        <f t="shared" si="832"/>
        <v>-676.70680000000004</v>
      </c>
      <c r="H7003" s="3">
        <f t="shared" si="833"/>
        <v>676.70680000000004</v>
      </c>
      <c r="I7003" s="5" t="str">
        <f t="shared" si="834"/>
        <v>016</v>
      </c>
      <c r="J7003" s="5" t="str">
        <f t="shared" si="835"/>
        <v>2210</v>
      </c>
      <c r="K7003" s="5" t="str">
        <f t="shared" si="836"/>
        <v>000</v>
      </c>
      <c r="L7003" s="5">
        <f t="shared" si="837"/>
        <v>6</v>
      </c>
      <c r="M7003" s="5">
        <f t="shared" si="838"/>
        <v>2013</v>
      </c>
    </row>
    <row r="7004" spans="1:13" ht="15" x14ac:dyDescent="0.25">
      <c r="A7004" s="1">
        <f>DATE(2013,6,10)</f>
        <v>41435</v>
      </c>
      <c r="B7004" t="s">
        <v>13</v>
      </c>
      <c r="C7004" t="s">
        <v>9</v>
      </c>
      <c r="D7004" s="3">
        <v>159.80840000000001</v>
      </c>
      <c r="E7004" s="3">
        <v>0</v>
      </c>
      <c r="F7004" t="s">
        <v>45</v>
      </c>
      <c r="G7004" s="3">
        <f t="shared" si="832"/>
        <v>-159.80840000000001</v>
      </c>
      <c r="H7004" s="3">
        <f t="shared" si="833"/>
        <v>159.80840000000001</v>
      </c>
      <c r="I7004" s="5" t="str">
        <f t="shared" si="834"/>
        <v>016</v>
      </c>
      <c r="J7004" s="5" t="str">
        <f t="shared" si="835"/>
        <v>2220</v>
      </c>
      <c r="K7004" s="5" t="str">
        <f t="shared" si="836"/>
        <v>000</v>
      </c>
      <c r="L7004" s="5">
        <f t="shared" si="837"/>
        <v>6</v>
      </c>
      <c r="M7004" s="5">
        <f t="shared" si="838"/>
        <v>2013</v>
      </c>
    </row>
    <row r="7005" spans="1:13" ht="15" x14ac:dyDescent="0.25">
      <c r="A7005" s="1">
        <f>DATE(2013,6,10)</f>
        <v>41435</v>
      </c>
      <c r="B7005" t="s">
        <v>14</v>
      </c>
      <c r="C7005" t="s">
        <v>10</v>
      </c>
      <c r="D7005" s="3">
        <v>32.340000000000003</v>
      </c>
      <c r="E7005" s="3">
        <v>0</v>
      </c>
      <c r="F7005" t="s">
        <v>45</v>
      </c>
      <c r="G7005" s="3">
        <f t="shared" si="832"/>
        <v>-32.340000000000003</v>
      </c>
      <c r="H7005" s="3">
        <f t="shared" si="833"/>
        <v>32.340000000000003</v>
      </c>
      <c r="I7005" s="5" t="str">
        <f t="shared" si="834"/>
        <v>016</v>
      </c>
      <c r="J7005" s="5" t="str">
        <f t="shared" si="835"/>
        <v>2230</v>
      </c>
      <c r="K7005" s="5" t="str">
        <f t="shared" si="836"/>
        <v>000</v>
      </c>
      <c r="L7005" s="5">
        <f t="shared" si="837"/>
        <v>6</v>
      </c>
      <c r="M7005" s="5">
        <f t="shared" si="838"/>
        <v>2013</v>
      </c>
    </row>
    <row r="7006" spans="1:13" ht="15" x14ac:dyDescent="0.25">
      <c r="A7006" s="1">
        <f>DATE(2013,6,11)</f>
        <v>41436</v>
      </c>
      <c r="B7006" t="s">
        <v>11</v>
      </c>
      <c r="C7006" t="s">
        <v>6</v>
      </c>
      <c r="D7006" s="3">
        <v>6312.9924000000001</v>
      </c>
      <c r="E7006" s="3">
        <v>0</v>
      </c>
      <c r="F7006" t="s">
        <v>45</v>
      </c>
      <c r="G7006" s="3">
        <f t="shared" si="832"/>
        <v>-6312.9924000000001</v>
      </c>
      <c r="H7006" s="3">
        <f t="shared" si="833"/>
        <v>6312.9924000000001</v>
      </c>
      <c r="I7006" s="5" t="str">
        <f t="shared" si="834"/>
        <v>016</v>
      </c>
      <c r="J7006" s="5" t="str">
        <f t="shared" si="835"/>
        <v>2100</v>
      </c>
      <c r="K7006" s="5" t="str">
        <f t="shared" si="836"/>
        <v>000</v>
      </c>
      <c r="L7006" s="5">
        <f t="shared" si="837"/>
        <v>6</v>
      </c>
      <c r="M7006" s="5">
        <f t="shared" si="838"/>
        <v>2013</v>
      </c>
    </row>
    <row r="7007" spans="1:13" ht="15" x14ac:dyDescent="0.25">
      <c r="A7007" s="1">
        <f>DATE(2013,6,11)</f>
        <v>41436</v>
      </c>
      <c r="B7007" t="s">
        <v>12</v>
      </c>
      <c r="C7007" t="s">
        <v>8</v>
      </c>
      <c r="D7007" s="3">
        <v>1671.3686</v>
      </c>
      <c r="E7007" s="3">
        <v>0</v>
      </c>
      <c r="F7007" t="s">
        <v>45</v>
      </c>
      <c r="G7007" s="3">
        <f t="shared" si="832"/>
        <v>-1671.3686</v>
      </c>
      <c r="H7007" s="3">
        <f t="shared" si="833"/>
        <v>1671.3686</v>
      </c>
      <c r="I7007" s="5" t="str">
        <f t="shared" si="834"/>
        <v>016</v>
      </c>
      <c r="J7007" s="5" t="str">
        <f t="shared" si="835"/>
        <v>2210</v>
      </c>
      <c r="K7007" s="5" t="str">
        <f t="shared" si="836"/>
        <v>000</v>
      </c>
      <c r="L7007" s="5">
        <f t="shared" si="837"/>
        <v>6</v>
      </c>
      <c r="M7007" s="5">
        <f t="shared" si="838"/>
        <v>2013</v>
      </c>
    </row>
    <row r="7008" spans="1:13" ht="15" x14ac:dyDescent="0.25">
      <c r="A7008" s="1">
        <f>DATE(2013,6,11)</f>
        <v>41436</v>
      </c>
      <c r="B7008" t="s">
        <v>13</v>
      </c>
      <c r="C7008" t="s">
        <v>9</v>
      </c>
      <c r="D7008" s="3">
        <v>710.06599999999992</v>
      </c>
      <c r="E7008" s="3">
        <v>0</v>
      </c>
      <c r="F7008" t="s">
        <v>45</v>
      </c>
      <c r="G7008" s="3">
        <f t="shared" si="832"/>
        <v>-710.06599999999992</v>
      </c>
      <c r="H7008" s="3">
        <f t="shared" si="833"/>
        <v>710.06599999999992</v>
      </c>
      <c r="I7008" s="5" t="str">
        <f t="shared" si="834"/>
        <v>016</v>
      </c>
      <c r="J7008" s="5" t="str">
        <f t="shared" si="835"/>
        <v>2220</v>
      </c>
      <c r="K7008" s="5" t="str">
        <f t="shared" si="836"/>
        <v>000</v>
      </c>
      <c r="L7008" s="5">
        <f t="shared" si="837"/>
        <v>6</v>
      </c>
      <c r="M7008" s="5">
        <f t="shared" si="838"/>
        <v>2013</v>
      </c>
    </row>
    <row r="7009" spans="1:13" ht="15" x14ac:dyDescent="0.25">
      <c r="A7009" s="1">
        <f>DATE(2013,6,11)</f>
        <v>41436</v>
      </c>
      <c r="B7009" t="s">
        <v>14</v>
      </c>
      <c r="C7009" t="s">
        <v>10</v>
      </c>
      <c r="D7009" s="3">
        <v>102.04810000000001</v>
      </c>
      <c r="E7009" s="3">
        <v>0</v>
      </c>
      <c r="F7009" t="s">
        <v>45</v>
      </c>
      <c r="G7009" s="3">
        <f t="shared" si="832"/>
        <v>-102.04810000000001</v>
      </c>
      <c r="H7009" s="3">
        <f t="shared" si="833"/>
        <v>102.04810000000001</v>
      </c>
      <c r="I7009" s="5" t="str">
        <f t="shared" si="834"/>
        <v>016</v>
      </c>
      <c r="J7009" s="5" t="str">
        <f t="shared" si="835"/>
        <v>2230</v>
      </c>
      <c r="K7009" s="5" t="str">
        <f t="shared" si="836"/>
        <v>000</v>
      </c>
      <c r="L7009" s="5">
        <f t="shared" si="837"/>
        <v>6</v>
      </c>
      <c r="M7009" s="5">
        <f t="shared" si="838"/>
        <v>2013</v>
      </c>
    </row>
    <row r="7010" spans="1:13" ht="15" x14ac:dyDescent="0.25">
      <c r="A7010" s="1">
        <f>DATE(2013,6,12)</f>
        <v>41437</v>
      </c>
      <c r="B7010" t="s">
        <v>11</v>
      </c>
      <c r="C7010" t="s">
        <v>6</v>
      </c>
      <c r="D7010" s="3">
        <v>2112.2592</v>
      </c>
      <c r="E7010" s="3">
        <v>0</v>
      </c>
      <c r="F7010" t="s">
        <v>45</v>
      </c>
      <c r="G7010" s="3">
        <f t="shared" si="832"/>
        <v>-2112.2592</v>
      </c>
      <c r="H7010" s="3">
        <f t="shared" si="833"/>
        <v>2112.2592</v>
      </c>
      <c r="I7010" s="5" t="str">
        <f t="shared" si="834"/>
        <v>016</v>
      </c>
      <c r="J7010" s="5" t="str">
        <f t="shared" si="835"/>
        <v>2100</v>
      </c>
      <c r="K7010" s="5" t="str">
        <f t="shared" si="836"/>
        <v>000</v>
      </c>
      <c r="L7010" s="5">
        <f t="shared" si="837"/>
        <v>6</v>
      </c>
      <c r="M7010" s="5">
        <f t="shared" si="838"/>
        <v>2013</v>
      </c>
    </row>
    <row r="7011" spans="1:13" ht="15" x14ac:dyDescent="0.25">
      <c r="A7011" s="1">
        <f>DATE(2013,6,12)</f>
        <v>41437</v>
      </c>
      <c r="B7011" t="s">
        <v>12</v>
      </c>
      <c r="C7011" t="s">
        <v>8</v>
      </c>
      <c r="D7011" s="3">
        <v>915.25620000000004</v>
      </c>
      <c r="E7011" s="3">
        <v>0</v>
      </c>
      <c r="F7011" t="s">
        <v>45</v>
      </c>
      <c r="G7011" s="3">
        <f t="shared" si="832"/>
        <v>-915.25620000000004</v>
      </c>
      <c r="H7011" s="3">
        <f t="shared" si="833"/>
        <v>915.25620000000004</v>
      </c>
      <c r="I7011" s="5" t="str">
        <f t="shared" si="834"/>
        <v>016</v>
      </c>
      <c r="J7011" s="5" t="str">
        <f t="shared" si="835"/>
        <v>2210</v>
      </c>
      <c r="K7011" s="5" t="str">
        <f t="shared" si="836"/>
        <v>000</v>
      </c>
      <c r="L7011" s="5">
        <f t="shared" si="837"/>
        <v>6</v>
      </c>
      <c r="M7011" s="5">
        <f t="shared" si="838"/>
        <v>2013</v>
      </c>
    </row>
    <row r="7012" spans="1:13" ht="15" x14ac:dyDescent="0.25">
      <c r="A7012" s="1">
        <f>DATE(2013,6,12)</f>
        <v>41437</v>
      </c>
      <c r="B7012" t="s">
        <v>13</v>
      </c>
      <c r="C7012" t="s">
        <v>9</v>
      </c>
      <c r="D7012" s="3">
        <v>603.28399999999999</v>
      </c>
      <c r="E7012" s="3">
        <v>0</v>
      </c>
      <c r="F7012" t="s">
        <v>45</v>
      </c>
      <c r="G7012" s="3">
        <f t="shared" si="832"/>
        <v>-603.28399999999999</v>
      </c>
      <c r="H7012" s="3">
        <f t="shared" si="833"/>
        <v>603.28399999999999</v>
      </c>
      <c r="I7012" s="5" t="str">
        <f t="shared" si="834"/>
        <v>016</v>
      </c>
      <c r="J7012" s="5" t="str">
        <f t="shared" si="835"/>
        <v>2220</v>
      </c>
      <c r="K7012" s="5" t="str">
        <f t="shared" si="836"/>
        <v>000</v>
      </c>
      <c r="L7012" s="5">
        <f t="shared" si="837"/>
        <v>6</v>
      </c>
      <c r="M7012" s="5">
        <f t="shared" si="838"/>
        <v>2013</v>
      </c>
    </row>
    <row r="7013" spans="1:13" ht="15" x14ac:dyDescent="0.25">
      <c r="A7013" s="1">
        <f>DATE(2013,6,12)</f>
        <v>41437</v>
      </c>
      <c r="B7013" t="s">
        <v>14</v>
      </c>
      <c r="C7013" t="s">
        <v>10</v>
      </c>
      <c r="D7013" s="3">
        <v>72.624000000000009</v>
      </c>
      <c r="E7013" s="3">
        <v>0</v>
      </c>
      <c r="F7013" t="s">
        <v>45</v>
      </c>
      <c r="G7013" s="3">
        <f t="shared" si="832"/>
        <v>-72.624000000000009</v>
      </c>
      <c r="H7013" s="3">
        <f t="shared" si="833"/>
        <v>72.624000000000009</v>
      </c>
      <c r="I7013" s="5" t="str">
        <f t="shared" si="834"/>
        <v>016</v>
      </c>
      <c r="J7013" s="5" t="str">
        <f t="shared" si="835"/>
        <v>2230</v>
      </c>
      <c r="K7013" s="5" t="str">
        <f t="shared" si="836"/>
        <v>000</v>
      </c>
      <c r="L7013" s="5">
        <f t="shared" si="837"/>
        <v>6</v>
      </c>
      <c r="M7013" s="5">
        <f t="shared" si="838"/>
        <v>2013</v>
      </c>
    </row>
    <row r="7014" spans="1:13" ht="15" x14ac:dyDescent="0.25">
      <c r="A7014" s="1">
        <f>DATE(2013,6,13)</f>
        <v>41438</v>
      </c>
      <c r="B7014" t="s">
        <v>11</v>
      </c>
      <c r="C7014" t="s">
        <v>6</v>
      </c>
      <c r="D7014" s="3">
        <v>2733.3208000000004</v>
      </c>
      <c r="E7014" s="3">
        <v>0</v>
      </c>
      <c r="F7014" t="s">
        <v>45</v>
      </c>
      <c r="G7014" s="3">
        <f t="shared" si="832"/>
        <v>-2733.3208000000004</v>
      </c>
      <c r="H7014" s="3">
        <f t="shared" si="833"/>
        <v>2733.3208000000004</v>
      </c>
      <c r="I7014" s="5" t="str">
        <f t="shared" si="834"/>
        <v>016</v>
      </c>
      <c r="J7014" s="5" t="str">
        <f t="shared" si="835"/>
        <v>2100</v>
      </c>
      <c r="K7014" s="5" t="str">
        <f t="shared" si="836"/>
        <v>000</v>
      </c>
      <c r="L7014" s="5">
        <f t="shared" si="837"/>
        <v>6</v>
      </c>
      <c r="M7014" s="5">
        <f t="shared" si="838"/>
        <v>2013</v>
      </c>
    </row>
    <row r="7015" spans="1:13" ht="15" x14ac:dyDescent="0.25">
      <c r="A7015" s="1">
        <f>DATE(2013,6,13)</f>
        <v>41438</v>
      </c>
      <c r="B7015" t="s">
        <v>12</v>
      </c>
      <c r="C7015" t="s">
        <v>8</v>
      </c>
      <c r="D7015" s="3">
        <v>982.74219999999991</v>
      </c>
      <c r="E7015" s="3">
        <v>0</v>
      </c>
      <c r="F7015" t="s">
        <v>45</v>
      </c>
      <c r="G7015" s="3">
        <f t="shared" si="832"/>
        <v>-982.74219999999991</v>
      </c>
      <c r="H7015" s="3">
        <f t="shared" si="833"/>
        <v>982.74219999999991</v>
      </c>
      <c r="I7015" s="5" t="str">
        <f t="shared" si="834"/>
        <v>016</v>
      </c>
      <c r="J7015" s="5" t="str">
        <f t="shared" si="835"/>
        <v>2210</v>
      </c>
      <c r="K7015" s="5" t="str">
        <f t="shared" si="836"/>
        <v>000</v>
      </c>
      <c r="L7015" s="5">
        <f t="shared" si="837"/>
        <v>6</v>
      </c>
      <c r="M7015" s="5">
        <f t="shared" si="838"/>
        <v>2013</v>
      </c>
    </row>
    <row r="7016" spans="1:13" ht="15" x14ac:dyDescent="0.25">
      <c r="A7016" s="1">
        <f>DATE(2013,6,13)</f>
        <v>41438</v>
      </c>
      <c r="B7016" t="s">
        <v>13</v>
      </c>
      <c r="C7016" t="s">
        <v>9</v>
      </c>
      <c r="D7016" s="3">
        <v>145.53700000000001</v>
      </c>
      <c r="E7016" s="3">
        <v>0</v>
      </c>
      <c r="F7016" t="s">
        <v>45</v>
      </c>
      <c r="G7016" s="3">
        <f t="shared" si="832"/>
        <v>-145.53700000000001</v>
      </c>
      <c r="H7016" s="3">
        <f t="shared" si="833"/>
        <v>145.53700000000001</v>
      </c>
      <c r="I7016" s="5" t="str">
        <f t="shared" si="834"/>
        <v>016</v>
      </c>
      <c r="J7016" s="5" t="str">
        <f t="shared" si="835"/>
        <v>2220</v>
      </c>
      <c r="K7016" s="5" t="str">
        <f t="shared" si="836"/>
        <v>000</v>
      </c>
      <c r="L7016" s="5">
        <f t="shared" si="837"/>
        <v>6</v>
      </c>
      <c r="M7016" s="5">
        <f t="shared" si="838"/>
        <v>2013</v>
      </c>
    </row>
    <row r="7017" spans="1:13" ht="15" x14ac:dyDescent="0.25">
      <c r="A7017" s="1">
        <f>DATE(2013,6,13)</f>
        <v>41438</v>
      </c>
      <c r="B7017" t="s">
        <v>14</v>
      </c>
      <c r="C7017" t="s">
        <v>10</v>
      </c>
      <c r="D7017" s="3">
        <v>64.279800000000009</v>
      </c>
      <c r="E7017" s="3">
        <v>0</v>
      </c>
      <c r="F7017" t="s">
        <v>45</v>
      </c>
      <c r="G7017" s="3">
        <f t="shared" si="832"/>
        <v>-64.279800000000009</v>
      </c>
      <c r="H7017" s="3">
        <f t="shared" si="833"/>
        <v>64.279800000000009</v>
      </c>
      <c r="I7017" s="5" t="str">
        <f t="shared" si="834"/>
        <v>016</v>
      </c>
      <c r="J7017" s="5" t="str">
        <f t="shared" si="835"/>
        <v>2230</v>
      </c>
      <c r="K7017" s="5" t="str">
        <f t="shared" si="836"/>
        <v>000</v>
      </c>
      <c r="L7017" s="5">
        <f t="shared" si="837"/>
        <v>6</v>
      </c>
      <c r="M7017" s="5">
        <f t="shared" si="838"/>
        <v>2013</v>
      </c>
    </row>
    <row r="7018" spans="1:13" ht="15" x14ac:dyDescent="0.25">
      <c r="A7018" s="1">
        <f t="shared" ref="A7018:A7021" si="839">DATE(2013,6,14)</f>
        <v>41439</v>
      </c>
      <c r="B7018" t="s">
        <v>11</v>
      </c>
      <c r="C7018" t="s">
        <v>6</v>
      </c>
      <c r="D7018" s="3">
        <v>5083.1402999999991</v>
      </c>
      <c r="E7018" s="3">
        <v>0</v>
      </c>
      <c r="F7018" t="s">
        <v>45</v>
      </c>
      <c r="G7018" s="3">
        <f t="shared" si="832"/>
        <v>-5083.1402999999991</v>
      </c>
      <c r="H7018" s="3">
        <f t="shared" si="833"/>
        <v>5083.1402999999991</v>
      </c>
      <c r="I7018" s="5" t="str">
        <f t="shared" si="834"/>
        <v>016</v>
      </c>
      <c r="J7018" s="5" t="str">
        <f t="shared" si="835"/>
        <v>2100</v>
      </c>
      <c r="K7018" s="5" t="str">
        <f t="shared" si="836"/>
        <v>000</v>
      </c>
      <c r="L7018" s="5">
        <f t="shared" si="837"/>
        <v>6</v>
      </c>
      <c r="M7018" s="5">
        <f t="shared" si="838"/>
        <v>2013</v>
      </c>
    </row>
    <row r="7019" spans="1:13" ht="15" x14ac:dyDescent="0.25">
      <c r="A7019" s="1">
        <f t="shared" si="839"/>
        <v>41439</v>
      </c>
      <c r="B7019" t="s">
        <v>12</v>
      </c>
      <c r="C7019" t="s">
        <v>8</v>
      </c>
      <c r="D7019" s="3">
        <v>1474.2953999999997</v>
      </c>
      <c r="E7019" s="3">
        <v>0</v>
      </c>
      <c r="F7019" t="s">
        <v>45</v>
      </c>
      <c r="G7019" s="3">
        <f t="shared" si="832"/>
        <v>-1474.2953999999997</v>
      </c>
      <c r="H7019" s="3">
        <f t="shared" si="833"/>
        <v>1474.2953999999997</v>
      </c>
      <c r="I7019" s="5" t="str">
        <f t="shared" si="834"/>
        <v>016</v>
      </c>
      <c r="J7019" s="5" t="str">
        <f t="shared" si="835"/>
        <v>2210</v>
      </c>
      <c r="K7019" s="5" t="str">
        <f t="shared" si="836"/>
        <v>000</v>
      </c>
      <c r="L7019" s="5">
        <f t="shared" si="837"/>
        <v>6</v>
      </c>
      <c r="M7019" s="5">
        <f t="shared" si="838"/>
        <v>2013</v>
      </c>
    </row>
    <row r="7020" spans="1:13" ht="15" x14ac:dyDescent="0.25">
      <c r="A7020" s="1">
        <f t="shared" si="839"/>
        <v>41439</v>
      </c>
      <c r="B7020" t="s">
        <v>13</v>
      </c>
      <c r="C7020" t="s">
        <v>9</v>
      </c>
      <c r="D7020" s="3">
        <v>327.05419999999998</v>
      </c>
      <c r="E7020" s="3">
        <v>0</v>
      </c>
      <c r="F7020" t="s">
        <v>45</v>
      </c>
      <c r="G7020" s="3">
        <f t="shared" si="832"/>
        <v>-327.05419999999998</v>
      </c>
      <c r="H7020" s="3">
        <f t="shared" si="833"/>
        <v>327.05419999999998</v>
      </c>
      <c r="I7020" s="5" t="str">
        <f t="shared" si="834"/>
        <v>016</v>
      </c>
      <c r="J7020" s="5" t="str">
        <f t="shared" si="835"/>
        <v>2220</v>
      </c>
      <c r="K7020" s="5" t="str">
        <f t="shared" si="836"/>
        <v>000</v>
      </c>
      <c r="L7020" s="5">
        <f t="shared" si="837"/>
        <v>6</v>
      </c>
      <c r="M7020" s="5">
        <f t="shared" si="838"/>
        <v>2013</v>
      </c>
    </row>
    <row r="7021" spans="1:13" ht="15" x14ac:dyDescent="0.25">
      <c r="A7021" s="1">
        <f t="shared" si="839"/>
        <v>41439</v>
      </c>
      <c r="B7021" t="s">
        <v>14</v>
      </c>
      <c r="C7021" t="s">
        <v>10</v>
      </c>
      <c r="D7021" s="3">
        <v>121.30559999999998</v>
      </c>
      <c r="E7021" s="3">
        <v>0</v>
      </c>
      <c r="F7021" t="s">
        <v>45</v>
      </c>
      <c r="G7021" s="3">
        <f t="shared" si="832"/>
        <v>-121.30559999999998</v>
      </c>
      <c r="H7021" s="3">
        <f t="shared" si="833"/>
        <v>121.30559999999998</v>
      </c>
      <c r="I7021" s="5" t="str">
        <f t="shared" si="834"/>
        <v>016</v>
      </c>
      <c r="J7021" s="5" t="str">
        <f t="shared" si="835"/>
        <v>2230</v>
      </c>
      <c r="K7021" s="5" t="str">
        <f t="shared" si="836"/>
        <v>000</v>
      </c>
      <c r="L7021" s="5">
        <f t="shared" si="837"/>
        <v>6</v>
      </c>
      <c r="M7021" s="5">
        <f t="shared" si="838"/>
        <v>2013</v>
      </c>
    </row>
    <row r="7022" spans="1:13" ht="15" x14ac:dyDescent="0.25">
      <c r="A7022" s="1">
        <f>DATE(2013,6,15)</f>
        <v>41440</v>
      </c>
      <c r="B7022" t="s">
        <v>11</v>
      </c>
      <c r="C7022" t="s">
        <v>6</v>
      </c>
      <c r="D7022" s="3">
        <v>8505.2268000000004</v>
      </c>
      <c r="E7022" s="3">
        <v>0</v>
      </c>
      <c r="F7022" t="s">
        <v>45</v>
      </c>
      <c r="G7022" s="3">
        <f t="shared" si="832"/>
        <v>-8505.2268000000004</v>
      </c>
      <c r="H7022" s="3">
        <f t="shared" si="833"/>
        <v>8505.2268000000004</v>
      </c>
      <c r="I7022" s="5" t="str">
        <f t="shared" si="834"/>
        <v>016</v>
      </c>
      <c r="J7022" s="5" t="str">
        <f t="shared" si="835"/>
        <v>2100</v>
      </c>
      <c r="K7022" s="5" t="str">
        <f t="shared" si="836"/>
        <v>000</v>
      </c>
      <c r="L7022" s="5">
        <f t="shared" si="837"/>
        <v>6</v>
      </c>
      <c r="M7022" s="5">
        <f t="shared" si="838"/>
        <v>2013</v>
      </c>
    </row>
    <row r="7023" spans="1:13" ht="15" x14ac:dyDescent="0.25">
      <c r="A7023" s="1">
        <f>DATE(2013,6,15)</f>
        <v>41440</v>
      </c>
      <c r="B7023" t="s">
        <v>12</v>
      </c>
      <c r="C7023" t="s">
        <v>8</v>
      </c>
      <c r="D7023" s="3">
        <v>1726.9771999999998</v>
      </c>
      <c r="E7023" s="3">
        <v>0</v>
      </c>
      <c r="F7023" t="s">
        <v>45</v>
      </c>
      <c r="G7023" s="3">
        <f t="shared" si="832"/>
        <v>-1726.9771999999998</v>
      </c>
      <c r="H7023" s="3">
        <f t="shared" si="833"/>
        <v>1726.9771999999998</v>
      </c>
      <c r="I7023" s="5" t="str">
        <f t="shared" si="834"/>
        <v>016</v>
      </c>
      <c r="J7023" s="5" t="str">
        <f t="shared" si="835"/>
        <v>2210</v>
      </c>
      <c r="K7023" s="5" t="str">
        <f t="shared" si="836"/>
        <v>000</v>
      </c>
      <c r="L7023" s="5">
        <f t="shared" si="837"/>
        <v>6</v>
      </c>
      <c r="M7023" s="5">
        <f t="shared" si="838"/>
        <v>2013</v>
      </c>
    </row>
    <row r="7024" spans="1:13" ht="15" x14ac:dyDescent="0.25">
      <c r="A7024" s="1">
        <f>DATE(2013,6,15)</f>
        <v>41440</v>
      </c>
      <c r="B7024" t="s">
        <v>13</v>
      </c>
      <c r="C7024" t="s">
        <v>9</v>
      </c>
      <c r="D7024" s="3">
        <v>469.28809999999999</v>
      </c>
      <c r="E7024" s="3">
        <v>0</v>
      </c>
      <c r="F7024" t="s">
        <v>45</v>
      </c>
      <c r="G7024" s="3">
        <f t="shared" si="832"/>
        <v>-469.28809999999999</v>
      </c>
      <c r="H7024" s="3">
        <f t="shared" si="833"/>
        <v>469.28809999999999</v>
      </c>
      <c r="I7024" s="5" t="str">
        <f t="shared" si="834"/>
        <v>016</v>
      </c>
      <c r="J7024" s="5" t="str">
        <f t="shared" si="835"/>
        <v>2220</v>
      </c>
      <c r="K7024" s="5" t="str">
        <f t="shared" si="836"/>
        <v>000</v>
      </c>
      <c r="L7024" s="5">
        <f t="shared" si="837"/>
        <v>6</v>
      </c>
      <c r="M7024" s="5">
        <f t="shared" si="838"/>
        <v>2013</v>
      </c>
    </row>
    <row r="7025" spans="1:13" ht="15" x14ac:dyDescent="0.25">
      <c r="A7025" s="1">
        <f>DATE(2013,6,15)</f>
        <v>41440</v>
      </c>
      <c r="B7025" t="s">
        <v>14</v>
      </c>
      <c r="C7025" t="s">
        <v>10</v>
      </c>
      <c r="D7025" s="3">
        <v>164.13120000000001</v>
      </c>
      <c r="E7025" s="3">
        <v>0</v>
      </c>
      <c r="F7025" t="s">
        <v>45</v>
      </c>
      <c r="G7025" s="3">
        <f t="shared" si="832"/>
        <v>-164.13120000000001</v>
      </c>
      <c r="H7025" s="3">
        <f t="shared" si="833"/>
        <v>164.13120000000001</v>
      </c>
      <c r="I7025" s="5" t="str">
        <f t="shared" si="834"/>
        <v>016</v>
      </c>
      <c r="J7025" s="5" t="str">
        <f t="shared" si="835"/>
        <v>2230</v>
      </c>
      <c r="K7025" s="5" t="str">
        <f t="shared" si="836"/>
        <v>000</v>
      </c>
      <c r="L7025" s="5">
        <f t="shared" si="837"/>
        <v>6</v>
      </c>
      <c r="M7025" s="5">
        <f t="shared" si="838"/>
        <v>2013</v>
      </c>
    </row>
    <row r="7026" spans="1:13" ht="15" x14ac:dyDescent="0.25">
      <c r="A7026" s="1">
        <f>DATE(2013,6,16)</f>
        <v>41441</v>
      </c>
      <c r="B7026" t="s">
        <v>11</v>
      </c>
      <c r="C7026" t="s">
        <v>6</v>
      </c>
      <c r="D7026" s="3">
        <v>8916.1514999999999</v>
      </c>
      <c r="E7026" s="3">
        <v>0</v>
      </c>
      <c r="F7026" t="s">
        <v>45</v>
      </c>
      <c r="G7026" s="3">
        <f t="shared" si="832"/>
        <v>-8916.1514999999999</v>
      </c>
      <c r="H7026" s="3">
        <f t="shared" si="833"/>
        <v>8916.1514999999999</v>
      </c>
      <c r="I7026" s="5" t="str">
        <f t="shared" si="834"/>
        <v>016</v>
      </c>
      <c r="J7026" s="5" t="str">
        <f t="shared" si="835"/>
        <v>2100</v>
      </c>
      <c r="K7026" s="5" t="str">
        <f t="shared" si="836"/>
        <v>000</v>
      </c>
      <c r="L7026" s="5">
        <f t="shared" si="837"/>
        <v>6</v>
      </c>
      <c r="M7026" s="5">
        <f t="shared" si="838"/>
        <v>2013</v>
      </c>
    </row>
    <row r="7027" spans="1:13" ht="15" x14ac:dyDescent="0.25">
      <c r="A7027" s="1">
        <f>DATE(2013,6,16)</f>
        <v>41441</v>
      </c>
      <c r="B7027" t="s">
        <v>12</v>
      </c>
      <c r="C7027" t="s">
        <v>8</v>
      </c>
      <c r="D7027" s="3">
        <v>1994.4743000000001</v>
      </c>
      <c r="E7027" s="3">
        <v>0</v>
      </c>
      <c r="F7027" t="s">
        <v>45</v>
      </c>
      <c r="G7027" s="3">
        <f t="shared" si="832"/>
        <v>-1994.4743000000001</v>
      </c>
      <c r="H7027" s="3">
        <f t="shared" si="833"/>
        <v>1994.4743000000001</v>
      </c>
      <c r="I7027" s="5" t="str">
        <f t="shared" si="834"/>
        <v>016</v>
      </c>
      <c r="J7027" s="5" t="str">
        <f t="shared" si="835"/>
        <v>2210</v>
      </c>
      <c r="K7027" s="5" t="str">
        <f t="shared" si="836"/>
        <v>000</v>
      </c>
      <c r="L7027" s="5">
        <f t="shared" si="837"/>
        <v>6</v>
      </c>
      <c r="M7027" s="5">
        <f t="shared" si="838"/>
        <v>2013</v>
      </c>
    </row>
    <row r="7028" spans="1:13" ht="15" x14ac:dyDescent="0.25">
      <c r="A7028" s="1">
        <f>DATE(2013,6,16)</f>
        <v>41441</v>
      </c>
      <c r="B7028" t="s">
        <v>13</v>
      </c>
      <c r="C7028" t="s">
        <v>9</v>
      </c>
      <c r="D7028" s="3">
        <v>413.54640000000001</v>
      </c>
      <c r="E7028" s="3">
        <v>0</v>
      </c>
      <c r="F7028" t="s">
        <v>45</v>
      </c>
      <c r="G7028" s="3">
        <f t="shared" si="832"/>
        <v>-413.54640000000001</v>
      </c>
      <c r="H7028" s="3">
        <f t="shared" si="833"/>
        <v>413.54640000000001</v>
      </c>
      <c r="I7028" s="5" t="str">
        <f t="shared" si="834"/>
        <v>016</v>
      </c>
      <c r="J7028" s="5" t="str">
        <f t="shared" si="835"/>
        <v>2220</v>
      </c>
      <c r="K7028" s="5" t="str">
        <f t="shared" si="836"/>
        <v>000</v>
      </c>
      <c r="L7028" s="5">
        <f t="shared" si="837"/>
        <v>6</v>
      </c>
      <c r="M7028" s="5">
        <f t="shared" si="838"/>
        <v>2013</v>
      </c>
    </row>
    <row r="7029" spans="1:13" ht="15" x14ac:dyDescent="0.25">
      <c r="A7029" s="1">
        <f>DATE(2013,6,16)</f>
        <v>41441</v>
      </c>
      <c r="B7029" t="s">
        <v>14</v>
      </c>
      <c r="C7029" t="s">
        <v>10</v>
      </c>
      <c r="D7029" s="3">
        <v>84.090500000000006</v>
      </c>
      <c r="E7029" s="3">
        <v>0</v>
      </c>
      <c r="F7029" t="s">
        <v>45</v>
      </c>
      <c r="G7029" s="3">
        <f t="shared" si="832"/>
        <v>-84.090500000000006</v>
      </c>
      <c r="H7029" s="3">
        <f t="shared" si="833"/>
        <v>84.090500000000006</v>
      </c>
      <c r="I7029" s="5" t="str">
        <f t="shared" si="834"/>
        <v>016</v>
      </c>
      <c r="J7029" s="5" t="str">
        <f t="shared" si="835"/>
        <v>2230</v>
      </c>
      <c r="K7029" s="5" t="str">
        <f t="shared" si="836"/>
        <v>000</v>
      </c>
      <c r="L7029" s="5">
        <f t="shared" si="837"/>
        <v>6</v>
      </c>
      <c r="M7029" s="5">
        <f t="shared" si="838"/>
        <v>2013</v>
      </c>
    </row>
    <row r="7030" spans="1:13" ht="15" x14ac:dyDescent="0.25">
      <c r="A7030" s="1">
        <f>DATE(2013,6,10)</f>
        <v>41435</v>
      </c>
      <c r="B7030" t="s">
        <v>15</v>
      </c>
      <c r="C7030" t="s">
        <v>6</v>
      </c>
      <c r="D7030" s="3">
        <v>3640.0774000000001</v>
      </c>
      <c r="E7030" s="3">
        <v>0</v>
      </c>
      <c r="F7030" t="s">
        <v>45</v>
      </c>
      <c r="G7030" s="3">
        <f t="shared" si="832"/>
        <v>-3640.0774000000001</v>
      </c>
      <c r="H7030" s="3">
        <f t="shared" si="833"/>
        <v>3640.0774000000001</v>
      </c>
      <c r="I7030" s="5" t="str">
        <f t="shared" si="834"/>
        <v>017</v>
      </c>
      <c r="J7030" s="5" t="str">
        <f t="shared" si="835"/>
        <v>2100</v>
      </c>
      <c r="K7030" s="5" t="str">
        <f t="shared" si="836"/>
        <v>000</v>
      </c>
      <c r="L7030" s="5">
        <f t="shared" si="837"/>
        <v>6</v>
      </c>
      <c r="M7030" s="5">
        <f t="shared" si="838"/>
        <v>2013</v>
      </c>
    </row>
    <row r="7031" spans="1:13" ht="15" x14ac:dyDescent="0.25">
      <c r="A7031" s="1">
        <f>DATE(2013,6,10)</f>
        <v>41435</v>
      </c>
      <c r="B7031" t="s">
        <v>16</v>
      </c>
      <c r="C7031" t="s">
        <v>8</v>
      </c>
      <c r="D7031" s="3">
        <v>759.86820000000012</v>
      </c>
      <c r="E7031" s="3">
        <v>0</v>
      </c>
      <c r="F7031" t="s">
        <v>45</v>
      </c>
      <c r="G7031" s="3">
        <f t="shared" si="832"/>
        <v>-759.86820000000012</v>
      </c>
      <c r="H7031" s="3">
        <f t="shared" si="833"/>
        <v>759.86820000000012</v>
      </c>
      <c r="I7031" s="5" t="str">
        <f t="shared" si="834"/>
        <v>017</v>
      </c>
      <c r="J7031" s="5" t="str">
        <f t="shared" si="835"/>
        <v>2210</v>
      </c>
      <c r="K7031" s="5" t="str">
        <f t="shared" si="836"/>
        <v>000</v>
      </c>
      <c r="L7031" s="5">
        <f t="shared" si="837"/>
        <v>6</v>
      </c>
      <c r="M7031" s="5">
        <f t="shared" si="838"/>
        <v>2013</v>
      </c>
    </row>
    <row r="7032" spans="1:13" ht="15" x14ac:dyDescent="0.25">
      <c r="A7032" s="1">
        <f>DATE(2013,6,10)</f>
        <v>41435</v>
      </c>
      <c r="B7032" t="s">
        <v>17</v>
      </c>
      <c r="C7032" t="s">
        <v>9</v>
      </c>
      <c r="D7032" s="3">
        <v>209.51339999999999</v>
      </c>
      <c r="E7032" s="3">
        <v>0</v>
      </c>
      <c r="F7032" t="s">
        <v>45</v>
      </c>
      <c r="G7032" s="3">
        <f t="shared" si="832"/>
        <v>-209.51339999999999</v>
      </c>
      <c r="H7032" s="3">
        <f t="shared" si="833"/>
        <v>209.51339999999999</v>
      </c>
      <c r="I7032" s="5" t="str">
        <f t="shared" si="834"/>
        <v>017</v>
      </c>
      <c r="J7032" s="5" t="str">
        <f t="shared" si="835"/>
        <v>2220</v>
      </c>
      <c r="K7032" s="5" t="str">
        <f t="shared" si="836"/>
        <v>000</v>
      </c>
      <c r="L7032" s="5">
        <f t="shared" si="837"/>
        <v>6</v>
      </c>
      <c r="M7032" s="5">
        <f t="shared" si="838"/>
        <v>2013</v>
      </c>
    </row>
    <row r="7033" spans="1:13" ht="15" x14ac:dyDescent="0.25">
      <c r="A7033" s="1">
        <f>DATE(2013,6,10)</f>
        <v>41435</v>
      </c>
      <c r="B7033" t="s">
        <v>18</v>
      </c>
      <c r="C7033" t="s">
        <v>10</v>
      </c>
      <c r="D7033" s="3">
        <v>73.3536</v>
      </c>
      <c r="E7033" s="3">
        <v>0</v>
      </c>
      <c r="F7033" t="s">
        <v>45</v>
      </c>
      <c r="G7033" s="3">
        <f t="shared" si="832"/>
        <v>-73.3536</v>
      </c>
      <c r="H7033" s="3">
        <f t="shared" si="833"/>
        <v>73.3536</v>
      </c>
      <c r="I7033" s="5" t="str">
        <f t="shared" si="834"/>
        <v>017</v>
      </c>
      <c r="J7033" s="5" t="str">
        <f t="shared" si="835"/>
        <v>2230</v>
      </c>
      <c r="K7033" s="5" t="str">
        <f t="shared" si="836"/>
        <v>000</v>
      </c>
      <c r="L7033" s="5">
        <f t="shared" si="837"/>
        <v>6</v>
      </c>
      <c r="M7033" s="5">
        <f t="shared" si="838"/>
        <v>2013</v>
      </c>
    </row>
    <row r="7034" spans="1:13" ht="15" x14ac:dyDescent="0.25">
      <c r="A7034" s="1">
        <f>DATE(2013,6,11)</f>
        <v>41436</v>
      </c>
      <c r="B7034" t="s">
        <v>15</v>
      </c>
      <c r="C7034" t="s">
        <v>6</v>
      </c>
      <c r="D7034" s="3">
        <v>6597.7631999999994</v>
      </c>
      <c r="E7034" s="3">
        <v>0</v>
      </c>
      <c r="F7034" t="s">
        <v>45</v>
      </c>
      <c r="G7034" s="3">
        <f t="shared" si="832"/>
        <v>-6597.7631999999994</v>
      </c>
      <c r="H7034" s="3">
        <f t="shared" si="833"/>
        <v>6597.7631999999994</v>
      </c>
      <c r="I7034" s="5" t="str">
        <f t="shared" si="834"/>
        <v>017</v>
      </c>
      <c r="J7034" s="5" t="str">
        <f t="shared" si="835"/>
        <v>2100</v>
      </c>
      <c r="K7034" s="5" t="str">
        <f t="shared" si="836"/>
        <v>000</v>
      </c>
      <c r="L7034" s="5">
        <f t="shared" si="837"/>
        <v>6</v>
      </c>
      <c r="M7034" s="5">
        <f t="shared" si="838"/>
        <v>2013</v>
      </c>
    </row>
    <row r="7035" spans="1:13" ht="15" x14ac:dyDescent="0.25">
      <c r="A7035" s="1">
        <f>DATE(2013,6,11)</f>
        <v>41436</v>
      </c>
      <c r="B7035" t="s">
        <v>16</v>
      </c>
      <c r="C7035" t="s">
        <v>8</v>
      </c>
      <c r="D7035" s="3">
        <v>1365.8792000000003</v>
      </c>
      <c r="E7035" s="3">
        <v>0</v>
      </c>
      <c r="F7035" t="s">
        <v>45</v>
      </c>
      <c r="G7035" s="3">
        <f t="shared" si="832"/>
        <v>-1365.8792000000003</v>
      </c>
      <c r="H7035" s="3">
        <f t="shared" si="833"/>
        <v>1365.8792000000003</v>
      </c>
      <c r="I7035" s="5" t="str">
        <f t="shared" si="834"/>
        <v>017</v>
      </c>
      <c r="J7035" s="5" t="str">
        <f t="shared" si="835"/>
        <v>2210</v>
      </c>
      <c r="K7035" s="5" t="str">
        <f t="shared" si="836"/>
        <v>000</v>
      </c>
      <c r="L7035" s="5">
        <f t="shared" si="837"/>
        <v>6</v>
      </c>
      <c r="M7035" s="5">
        <f t="shared" si="838"/>
        <v>2013</v>
      </c>
    </row>
    <row r="7036" spans="1:13" ht="15" x14ac:dyDescent="0.25">
      <c r="A7036" s="1">
        <f>DATE(2013,6,11)</f>
        <v>41436</v>
      </c>
      <c r="B7036" t="s">
        <v>17</v>
      </c>
      <c r="C7036" t="s">
        <v>9</v>
      </c>
      <c r="D7036" s="3">
        <v>813.26249999999993</v>
      </c>
      <c r="E7036" s="3">
        <v>0</v>
      </c>
      <c r="F7036" t="s">
        <v>45</v>
      </c>
      <c r="G7036" s="3">
        <f t="shared" si="832"/>
        <v>-813.26249999999993</v>
      </c>
      <c r="H7036" s="3">
        <f t="shared" si="833"/>
        <v>813.26249999999993</v>
      </c>
      <c r="I7036" s="5" t="str">
        <f t="shared" si="834"/>
        <v>017</v>
      </c>
      <c r="J7036" s="5" t="str">
        <f t="shared" si="835"/>
        <v>2220</v>
      </c>
      <c r="K7036" s="5" t="str">
        <f t="shared" si="836"/>
        <v>000</v>
      </c>
      <c r="L7036" s="5">
        <f t="shared" si="837"/>
        <v>6</v>
      </c>
      <c r="M7036" s="5">
        <f t="shared" si="838"/>
        <v>2013</v>
      </c>
    </row>
    <row r="7037" spans="1:13" ht="15" x14ac:dyDescent="0.25">
      <c r="A7037" s="1">
        <f>DATE(2013,6,11)</f>
        <v>41436</v>
      </c>
      <c r="B7037" t="s">
        <v>18</v>
      </c>
      <c r="C7037" t="s">
        <v>10</v>
      </c>
      <c r="D7037" s="3">
        <v>98.951999999999984</v>
      </c>
      <c r="E7037" s="3">
        <v>0</v>
      </c>
      <c r="F7037" t="s">
        <v>45</v>
      </c>
      <c r="G7037" s="3">
        <f t="shared" si="832"/>
        <v>-98.951999999999984</v>
      </c>
      <c r="H7037" s="3">
        <f t="shared" si="833"/>
        <v>98.951999999999984</v>
      </c>
      <c r="I7037" s="5" t="str">
        <f t="shared" si="834"/>
        <v>017</v>
      </c>
      <c r="J7037" s="5" t="str">
        <f t="shared" si="835"/>
        <v>2230</v>
      </c>
      <c r="K7037" s="5" t="str">
        <f t="shared" si="836"/>
        <v>000</v>
      </c>
      <c r="L7037" s="5">
        <f t="shared" si="837"/>
        <v>6</v>
      </c>
      <c r="M7037" s="5">
        <f t="shared" si="838"/>
        <v>2013</v>
      </c>
    </row>
    <row r="7038" spans="1:13" ht="15" x14ac:dyDescent="0.25">
      <c r="A7038" s="1">
        <f>DATE(2013,6,12)</f>
        <v>41437</v>
      </c>
      <c r="B7038" t="s">
        <v>15</v>
      </c>
      <c r="C7038" t="s">
        <v>6</v>
      </c>
      <c r="D7038" s="3">
        <v>7134.5039999999999</v>
      </c>
      <c r="E7038" s="3">
        <v>0</v>
      </c>
      <c r="F7038" t="s">
        <v>45</v>
      </c>
      <c r="G7038" s="3">
        <f t="shared" si="832"/>
        <v>-7134.5039999999999</v>
      </c>
      <c r="H7038" s="3">
        <f t="shared" si="833"/>
        <v>7134.5039999999999</v>
      </c>
      <c r="I7038" s="5" t="str">
        <f t="shared" si="834"/>
        <v>017</v>
      </c>
      <c r="J7038" s="5" t="str">
        <f t="shared" si="835"/>
        <v>2100</v>
      </c>
      <c r="K7038" s="5" t="str">
        <f t="shared" si="836"/>
        <v>000</v>
      </c>
      <c r="L7038" s="5">
        <f t="shared" si="837"/>
        <v>6</v>
      </c>
      <c r="M7038" s="5">
        <f t="shared" si="838"/>
        <v>2013</v>
      </c>
    </row>
    <row r="7039" spans="1:13" ht="15" x14ac:dyDescent="0.25">
      <c r="A7039" s="1">
        <f>DATE(2013,6,12)</f>
        <v>41437</v>
      </c>
      <c r="B7039" t="s">
        <v>16</v>
      </c>
      <c r="C7039" t="s">
        <v>8</v>
      </c>
      <c r="D7039" s="3">
        <v>1999.8498</v>
      </c>
      <c r="E7039" s="3">
        <v>0</v>
      </c>
      <c r="F7039" t="s">
        <v>45</v>
      </c>
      <c r="G7039" s="3">
        <f t="shared" si="832"/>
        <v>-1999.8498</v>
      </c>
      <c r="H7039" s="3">
        <f t="shared" si="833"/>
        <v>1999.8498</v>
      </c>
      <c r="I7039" s="5" t="str">
        <f t="shared" si="834"/>
        <v>017</v>
      </c>
      <c r="J7039" s="5" t="str">
        <f t="shared" si="835"/>
        <v>2210</v>
      </c>
      <c r="K7039" s="5" t="str">
        <f t="shared" si="836"/>
        <v>000</v>
      </c>
      <c r="L7039" s="5">
        <f t="shared" si="837"/>
        <v>6</v>
      </c>
      <c r="M7039" s="5">
        <f t="shared" si="838"/>
        <v>2013</v>
      </c>
    </row>
    <row r="7040" spans="1:13" ht="15" x14ac:dyDescent="0.25">
      <c r="A7040" s="1">
        <f>DATE(2013,6,12)</f>
        <v>41437</v>
      </c>
      <c r="B7040" t="s">
        <v>17</v>
      </c>
      <c r="C7040" t="s">
        <v>9</v>
      </c>
      <c r="D7040" s="3">
        <v>435.98559999999998</v>
      </c>
      <c r="E7040" s="3">
        <v>0</v>
      </c>
      <c r="F7040" t="s">
        <v>45</v>
      </c>
      <c r="G7040" s="3">
        <f t="shared" si="832"/>
        <v>-435.98559999999998</v>
      </c>
      <c r="H7040" s="3">
        <f t="shared" si="833"/>
        <v>435.98559999999998</v>
      </c>
      <c r="I7040" s="5" t="str">
        <f t="shared" si="834"/>
        <v>017</v>
      </c>
      <c r="J7040" s="5" t="str">
        <f t="shared" si="835"/>
        <v>2220</v>
      </c>
      <c r="K7040" s="5" t="str">
        <f t="shared" si="836"/>
        <v>000</v>
      </c>
      <c r="L7040" s="5">
        <f t="shared" si="837"/>
        <v>6</v>
      </c>
      <c r="M7040" s="5">
        <f t="shared" si="838"/>
        <v>2013</v>
      </c>
    </row>
    <row r="7041" spans="1:13" ht="15" x14ac:dyDescent="0.25">
      <c r="A7041" s="1">
        <f>DATE(2013,6,12)</f>
        <v>41437</v>
      </c>
      <c r="B7041" t="s">
        <v>18</v>
      </c>
      <c r="C7041" t="s">
        <v>10</v>
      </c>
      <c r="D7041" s="3">
        <v>121.91550000000001</v>
      </c>
      <c r="E7041" s="3">
        <v>0</v>
      </c>
      <c r="F7041" t="s">
        <v>45</v>
      </c>
      <c r="G7041" s="3">
        <f t="shared" si="832"/>
        <v>-121.91550000000001</v>
      </c>
      <c r="H7041" s="3">
        <f t="shared" si="833"/>
        <v>121.91550000000001</v>
      </c>
      <c r="I7041" s="5" t="str">
        <f t="shared" si="834"/>
        <v>017</v>
      </c>
      <c r="J7041" s="5" t="str">
        <f t="shared" si="835"/>
        <v>2230</v>
      </c>
      <c r="K7041" s="5" t="str">
        <f t="shared" si="836"/>
        <v>000</v>
      </c>
      <c r="L7041" s="5">
        <f t="shared" si="837"/>
        <v>6</v>
      </c>
      <c r="M7041" s="5">
        <f t="shared" si="838"/>
        <v>2013</v>
      </c>
    </row>
    <row r="7042" spans="1:13" ht="15" x14ac:dyDescent="0.25">
      <c r="A7042" s="1">
        <f>DATE(2013,6,13)</f>
        <v>41438</v>
      </c>
      <c r="B7042" t="s">
        <v>15</v>
      </c>
      <c r="C7042" t="s">
        <v>6</v>
      </c>
      <c r="D7042" s="3">
        <v>6434.2200999999995</v>
      </c>
      <c r="E7042" s="3">
        <v>0</v>
      </c>
      <c r="F7042" t="s">
        <v>45</v>
      </c>
      <c r="G7042" s="3">
        <f t="shared" ref="G7042:G7105" si="840">E7042-D7042</f>
        <v>-6434.2200999999995</v>
      </c>
      <c r="H7042" s="3">
        <f t="shared" ref="H7042:H7105" si="841">ABS(G7042)</f>
        <v>6434.2200999999995</v>
      </c>
      <c r="I7042" s="5" t="str">
        <f t="shared" ref="I7042:I7105" si="842">MID(B7042,1,3)</f>
        <v>017</v>
      </c>
      <c r="J7042" s="5" t="str">
        <f t="shared" ref="J7042:J7105" si="843">MID(B7042,5,4)</f>
        <v>2100</v>
      </c>
      <c r="K7042" s="5" t="str">
        <f t="shared" ref="K7042:K7105" si="844">MID(B7042,10,3)</f>
        <v>000</v>
      </c>
      <c r="L7042" s="5">
        <f t="shared" ref="L7042:L7105" si="845">MONTH(A7042)</f>
        <v>6</v>
      </c>
      <c r="M7042" s="5">
        <f t="shared" ref="M7042:M7105" si="846">YEAR(A7042)</f>
        <v>2013</v>
      </c>
    </row>
    <row r="7043" spans="1:13" ht="15" x14ac:dyDescent="0.25">
      <c r="A7043" s="1">
        <f>DATE(2013,6,13)</f>
        <v>41438</v>
      </c>
      <c r="B7043" t="s">
        <v>16</v>
      </c>
      <c r="C7043" t="s">
        <v>8</v>
      </c>
      <c r="D7043" s="3">
        <v>1787.9740000000002</v>
      </c>
      <c r="E7043" s="3">
        <v>0</v>
      </c>
      <c r="F7043" t="s">
        <v>45</v>
      </c>
      <c r="G7043" s="3">
        <f t="shared" si="840"/>
        <v>-1787.9740000000002</v>
      </c>
      <c r="H7043" s="3">
        <f t="shared" si="841"/>
        <v>1787.9740000000002</v>
      </c>
      <c r="I7043" s="5" t="str">
        <f t="shared" si="842"/>
        <v>017</v>
      </c>
      <c r="J7043" s="5" t="str">
        <f t="shared" si="843"/>
        <v>2210</v>
      </c>
      <c r="K7043" s="5" t="str">
        <f t="shared" si="844"/>
        <v>000</v>
      </c>
      <c r="L7043" s="5">
        <f t="shared" si="845"/>
        <v>6</v>
      </c>
      <c r="M7043" s="5">
        <f t="shared" si="846"/>
        <v>2013</v>
      </c>
    </row>
    <row r="7044" spans="1:13" ht="15" x14ac:dyDescent="0.25">
      <c r="A7044" s="1">
        <f>DATE(2013,6,13)</f>
        <v>41438</v>
      </c>
      <c r="B7044" t="s">
        <v>17</v>
      </c>
      <c r="C7044" t="s">
        <v>9</v>
      </c>
      <c r="D7044" s="3">
        <v>911.79099999999994</v>
      </c>
      <c r="E7044" s="3">
        <v>0</v>
      </c>
      <c r="F7044" t="s">
        <v>45</v>
      </c>
      <c r="G7044" s="3">
        <f t="shared" si="840"/>
        <v>-911.79099999999994</v>
      </c>
      <c r="H7044" s="3">
        <f t="shared" si="841"/>
        <v>911.79099999999994</v>
      </c>
      <c r="I7044" s="5" t="str">
        <f t="shared" si="842"/>
        <v>017</v>
      </c>
      <c r="J7044" s="5" t="str">
        <f t="shared" si="843"/>
        <v>2220</v>
      </c>
      <c r="K7044" s="5" t="str">
        <f t="shared" si="844"/>
        <v>000</v>
      </c>
      <c r="L7044" s="5">
        <f t="shared" si="845"/>
        <v>6</v>
      </c>
      <c r="M7044" s="5">
        <f t="shared" si="846"/>
        <v>2013</v>
      </c>
    </row>
    <row r="7045" spans="1:13" ht="15" x14ac:dyDescent="0.25">
      <c r="A7045" s="1">
        <f>DATE(2013,6,13)</f>
        <v>41438</v>
      </c>
      <c r="B7045" t="s">
        <v>18</v>
      </c>
      <c r="C7045" t="s">
        <v>10</v>
      </c>
      <c r="D7045" s="3">
        <v>195.9975</v>
      </c>
      <c r="E7045" s="3">
        <v>0</v>
      </c>
      <c r="F7045" t="s">
        <v>45</v>
      </c>
      <c r="G7045" s="3">
        <f t="shared" si="840"/>
        <v>-195.9975</v>
      </c>
      <c r="H7045" s="3">
        <f t="shared" si="841"/>
        <v>195.9975</v>
      </c>
      <c r="I7045" s="5" t="str">
        <f t="shared" si="842"/>
        <v>017</v>
      </c>
      <c r="J7045" s="5" t="str">
        <f t="shared" si="843"/>
        <v>2230</v>
      </c>
      <c r="K7045" s="5" t="str">
        <f t="shared" si="844"/>
        <v>000</v>
      </c>
      <c r="L7045" s="5">
        <f t="shared" si="845"/>
        <v>6</v>
      </c>
      <c r="M7045" s="5">
        <f t="shared" si="846"/>
        <v>2013</v>
      </c>
    </row>
    <row r="7046" spans="1:13" ht="15" x14ac:dyDescent="0.25">
      <c r="A7046" s="1">
        <f>DATE(2013,6,14)</f>
        <v>41439</v>
      </c>
      <c r="B7046" t="s">
        <v>15</v>
      </c>
      <c r="C7046" t="s">
        <v>6</v>
      </c>
      <c r="D7046" s="3">
        <v>10623.740399999999</v>
      </c>
      <c r="E7046" s="3">
        <v>0</v>
      </c>
      <c r="F7046" t="s">
        <v>45</v>
      </c>
      <c r="G7046" s="3">
        <f t="shared" si="840"/>
        <v>-10623.740399999999</v>
      </c>
      <c r="H7046" s="3">
        <f t="shared" si="841"/>
        <v>10623.740399999999</v>
      </c>
      <c r="I7046" s="5" t="str">
        <f t="shared" si="842"/>
        <v>017</v>
      </c>
      <c r="J7046" s="5" t="str">
        <f t="shared" si="843"/>
        <v>2100</v>
      </c>
      <c r="K7046" s="5" t="str">
        <f t="shared" si="844"/>
        <v>000</v>
      </c>
      <c r="L7046" s="5">
        <f t="shared" si="845"/>
        <v>6</v>
      </c>
      <c r="M7046" s="5">
        <f t="shared" si="846"/>
        <v>2013</v>
      </c>
    </row>
    <row r="7047" spans="1:13" ht="15" x14ac:dyDescent="0.25">
      <c r="A7047" s="1">
        <f>DATE(2013,6,14)</f>
        <v>41439</v>
      </c>
      <c r="B7047" t="s">
        <v>16</v>
      </c>
      <c r="C7047" t="s">
        <v>8</v>
      </c>
      <c r="D7047" s="3">
        <v>3094.0914000000002</v>
      </c>
      <c r="E7047" s="3">
        <v>0</v>
      </c>
      <c r="F7047" t="s">
        <v>45</v>
      </c>
      <c r="G7047" s="3">
        <f t="shared" si="840"/>
        <v>-3094.0914000000002</v>
      </c>
      <c r="H7047" s="3">
        <f t="shared" si="841"/>
        <v>3094.0914000000002</v>
      </c>
      <c r="I7047" s="5" t="str">
        <f t="shared" si="842"/>
        <v>017</v>
      </c>
      <c r="J7047" s="5" t="str">
        <f t="shared" si="843"/>
        <v>2210</v>
      </c>
      <c r="K7047" s="5" t="str">
        <f t="shared" si="844"/>
        <v>000</v>
      </c>
      <c r="L7047" s="5">
        <f t="shared" si="845"/>
        <v>6</v>
      </c>
      <c r="M7047" s="5">
        <f t="shared" si="846"/>
        <v>2013</v>
      </c>
    </row>
    <row r="7048" spans="1:13" ht="15" x14ac:dyDescent="0.25">
      <c r="A7048" s="1">
        <f>DATE(2013,6,14)</f>
        <v>41439</v>
      </c>
      <c r="B7048" t="s">
        <v>17</v>
      </c>
      <c r="C7048" t="s">
        <v>9</v>
      </c>
      <c r="D7048" s="3">
        <v>435.65099999999995</v>
      </c>
      <c r="E7048" s="3">
        <v>0</v>
      </c>
      <c r="F7048" t="s">
        <v>45</v>
      </c>
      <c r="G7048" s="3">
        <f t="shared" si="840"/>
        <v>-435.65099999999995</v>
      </c>
      <c r="H7048" s="3">
        <f t="shared" si="841"/>
        <v>435.65099999999995</v>
      </c>
      <c r="I7048" s="5" t="str">
        <f t="shared" si="842"/>
        <v>017</v>
      </c>
      <c r="J7048" s="5" t="str">
        <f t="shared" si="843"/>
        <v>2220</v>
      </c>
      <c r="K7048" s="5" t="str">
        <f t="shared" si="844"/>
        <v>000</v>
      </c>
      <c r="L7048" s="5">
        <f t="shared" si="845"/>
        <v>6</v>
      </c>
      <c r="M7048" s="5">
        <f t="shared" si="846"/>
        <v>2013</v>
      </c>
    </row>
    <row r="7049" spans="1:13" ht="15" x14ac:dyDescent="0.25">
      <c r="A7049" s="1">
        <f>DATE(2013,6,14)</f>
        <v>41439</v>
      </c>
      <c r="B7049" t="s">
        <v>18</v>
      </c>
      <c r="C7049" t="s">
        <v>10</v>
      </c>
      <c r="D7049" s="3">
        <v>154.32419999999999</v>
      </c>
      <c r="E7049" s="3">
        <v>0</v>
      </c>
      <c r="F7049" t="s">
        <v>45</v>
      </c>
      <c r="G7049" s="3">
        <f t="shared" si="840"/>
        <v>-154.32419999999999</v>
      </c>
      <c r="H7049" s="3">
        <f t="shared" si="841"/>
        <v>154.32419999999999</v>
      </c>
      <c r="I7049" s="5" t="str">
        <f t="shared" si="842"/>
        <v>017</v>
      </c>
      <c r="J7049" s="5" t="str">
        <f t="shared" si="843"/>
        <v>2230</v>
      </c>
      <c r="K7049" s="5" t="str">
        <f t="shared" si="844"/>
        <v>000</v>
      </c>
      <c r="L7049" s="5">
        <f t="shared" si="845"/>
        <v>6</v>
      </c>
      <c r="M7049" s="5">
        <f t="shared" si="846"/>
        <v>2013</v>
      </c>
    </row>
    <row r="7050" spans="1:13" ht="15" x14ac:dyDescent="0.25">
      <c r="A7050" s="1">
        <f>DATE(2013,6,15)</f>
        <v>41440</v>
      </c>
      <c r="B7050" t="s">
        <v>15</v>
      </c>
      <c r="C7050" t="s">
        <v>6</v>
      </c>
      <c r="D7050" s="3">
        <v>7470.5990000000002</v>
      </c>
      <c r="E7050" s="3">
        <v>0</v>
      </c>
      <c r="F7050" t="s">
        <v>45</v>
      </c>
      <c r="G7050" s="3">
        <f t="shared" si="840"/>
        <v>-7470.5990000000002</v>
      </c>
      <c r="H7050" s="3">
        <f t="shared" si="841"/>
        <v>7470.5990000000002</v>
      </c>
      <c r="I7050" s="5" t="str">
        <f t="shared" si="842"/>
        <v>017</v>
      </c>
      <c r="J7050" s="5" t="str">
        <f t="shared" si="843"/>
        <v>2100</v>
      </c>
      <c r="K7050" s="5" t="str">
        <f t="shared" si="844"/>
        <v>000</v>
      </c>
      <c r="L7050" s="5">
        <f t="shared" si="845"/>
        <v>6</v>
      </c>
      <c r="M7050" s="5">
        <f t="shared" si="846"/>
        <v>2013</v>
      </c>
    </row>
    <row r="7051" spans="1:13" ht="15" x14ac:dyDescent="0.25">
      <c r="A7051" s="1">
        <f>DATE(2013,6,15)</f>
        <v>41440</v>
      </c>
      <c r="B7051" t="s">
        <v>16</v>
      </c>
      <c r="C7051" t="s">
        <v>8</v>
      </c>
      <c r="D7051" s="3">
        <v>1925.182</v>
      </c>
      <c r="E7051" s="3">
        <v>0</v>
      </c>
      <c r="F7051" t="s">
        <v>45</v>
      </c>
      <c r="G7051" s="3">
        <f t="shared" si="840"/>
        <v>-1925.182</v>
      </c>
      <c r="H7051" s="3">
        <f t="shared" si="841"/>
        <v>1925.182</v>
      </c>
      <c r="I7051" s="5" t="str">
        <f t="shared" si="842"/>
        <v>017</v>
      </c>
      <c r="J7051" s="5" t="str">
        <f t="shared" si="843"/>
        <v>2210</v>
      </c>
      <c r="K7051" s="5" t="str">
        <f t="shared" si="844"/>
        <v>000</v>
      </c>
      <c r="L7051" s="5">
        <f t="shared" si="845"/>
        <v>6</v>
      </c>
      <c r="M7051" s="5">
        <f t="shared" si="846"/>
        <v>2013</v>
      </c>
    </row>
    <row r="7052" spans="1:13" ht="15" x14ac:dyDescent="0.25">
      <c r="A7052" s="1">
        <f>DATE(2013,6,15)</f>
        <v>41440</v>
      </c>
      <c r="B7052" t="s">
        <v>17</v>
      </c>
      <c r="C7052" t="s">
        <v>9</v>
      </c>
      <c r="D7052" s="3">
        <v>375.30599999999998</v>
      </c>
      <c r="E7052" s="3">
        <v>0</v>
      </c>
      <c r="F7052" t="s">
        <v>45</v>
      </c>
      <c r="G7052" s="3">
        <f t="shared" si="840"/>
        <v>-375.30599999999998</v>
      </c>
      <c r="H7052" s="3">
        <f t="shared" si="841"/>
        <v>375.30599999999998</v>
      </c>
      <c r="I7052" s="5" t="str">
        <f t="shared" si="842"/>
        <v>017</v>
      </c>
      <c r="J7052" s="5" t="str">
        <f t="shared" si="843"/>
        <v>2220</v>
      </c>
      <c r="K7052" s="5" t="str">
        <f t="shared" si="844"/>
        <v>000</v>
      </c>
      <c r="L7052" s="5">
        <f t="shared" si="845"/>
        <v>6</v>
      </c>
      <c r="M7052" s="5">
        <f t="shared" si="846"/>
        <v>2013</v>
      </c>
    </row>
    <row r="7053" spans="1:13" ht="15" x14ac:dyDescent="0.25">
      <c r="A7053" s="1">
        <f>DATE(2013,6,15)</f>
        <v>41440</v>
      </c>
      <c r="B7053" t="s">
        <v>18</v>
      </c>
      <c r="C7053" t="s">
        <v>10</v>
      </c>
      <c r="D7053" s="3">
        <v>47.374200000000002</v>
      </c>
      <c r="E7053" s="3">
        <v>0</v>
      </c>
      <c r="F7053" t="s">
        <v>45</v>
      </c>
      <c r="G7053" s="3">
        <f t="shared" si="840"/>
        <v>-47.374200000000002</v>
      </c>
      <c r="H7053" s="3">
        <f t="shared" si="841"/>
        <v>47.374200000000002</v>
      </c>
      <c r="I7053" s="5" t="str">
        <f t="shared" si="842"/>
        <v>017</v>
      </c>
      <c r="J7053" s="5" t="str">
        <f t="shared" si="843"/>
        <v>2230</v>
      </c>
      <c r="K7053" s="5" t="str">
        <f t="shared" si="844"/>
        <v>000</v>
      </c>
      <c r="L7053" s="5">
        <f t="shared" si="845"/>
        <v>6</v>
      </c>
      <c r="M7053" s="5">
        <f t="shared" si="846"/>
        <v>2013</v>
      </c>
    </row>
    <row r="7054" spans="1:13" ht="15" x14ac:dyDescent="0.25">
      <c r="A7054" s="1">
        <f>DATE(2013,6,16)</f>
        <v>41441</v>
      </c>
      <c r="B7054" t="s">
        <v>15</v>
      </c>
      <c r="C7054" t="s">
        <v>6</v>
      </c>
      <c r="D7054" s="3">
        <v>7356.3074999999999</v>
      </c>
      <c r="E7054" s="3">
        <v>0</v>
      </c>
      <c r="F7054" t="s">
        <v>45</v>
      </c>
      <c r="G7054" s="3">
        <f t="shared" si="840"/>
        <v>-7356.3074999999999</v>
      </c>
      <c r="H7054" s="3">
        <f t="shared" si="841"/>
        <v>7356.3074999999999</v>
      </c>
      <c r="I7054" s="5" t="str">
        <f t="shared" si="842"/>
        <v>017</v>
      </c>
      <c r="J7054" s="5" t="str">
        <f t="shared" si="843"/>
        <v>2100</v>
      </c>
      <c r="K7054" s="5" t="str">
        <f t="shared" si="844"/>
        <v>000</v>
      </c>
      <c r="L7054" s="5">
        <f t="shared" si="845"/>
        <v>6</v>
      </c>
      <c r="M7054" s="5">
        <f t="shared" si="846"/>
        <v>2013</v>
      </c>
    </row>
    <row r="7055" spans="1:13" ht="15" x14ac:dyDescent="0.25">
      <c r="A7055" s="1">
        <f>DATE(2013,6,16)</f>
        <v>41441</v>
      </c>
      <c r="B7055" t="s">
        <v>16</v>
      </c>
      <c r="C7055" t="s">
        <v>8</v>
      </c>
      <c r="D7055" s="3">
        <v>1149.4079999999999</v>
      </c>
      <c r="E7055" s="3">
        <v>0</v>
      </c>
      <c r="F7055" t="s">
        <v>45</v>
      </c>
      <c r="G7055" s="3">
        <f t="shared" si="840"/>
        <v>-1149.4079999999999</v>
      </c>
      <c r="H7055" s="3">
        <f t="shared" si="841"/>
        <v>1149.4079999999999</v>
      </c>
      <c r="I7055" s="5" t="str">
        <f t="shared" si="842"/>
        <v>017</v>
      </c>
      <c r="J7055" s="5" t="str">
        <f t="shared" si="843"/>
        <v>2210</v>
      </c>
      <c r="K7055" s="5" t="str">
        <f t="shared" si="844"/>
        <v>000</v>
      </c>
      <c r="L7055" s="5">
        <f t="shared" si="845"/>
        <v>6</v>
      </c>
      <c r="M7055" s="5">
        <f t="shared" si="846"/>
        <v>2013</v>
      </c>
    </row>
    <row r="7056" spans="1:13" ht="15" x14ac:dyDescent="0.25">
      <c r="A7056" s="1">
        <f>DATE(2013,6,16)</f>
        <v>41441</v>
      </c>
      <c r="B7056" t="s">
        <v>17</v>
      </c>
      <c r="C7056" t="s">
        <v>9</v>
      </c>
      <c r="D7056" s="3">
        <v>245.79720000000003</v>
      </c>
      <c r="E7056" s="3">
        <v>0</v>
      </c>
      <c r="F7056" t="s">
        <v>45</v>
      </c>
      <c r="G7056" s="3">
        <f t="shared" si="840"/>
        <v>-245.79720000000003</v>
      </c>
      <c r="H7056" s="3">
        <f t="shared" si="841"/>
        <v>245.79720000000003</v>
      </c>
      <c r="I7056" s="5" t="str">
        <f t="shared" si="842"/>
        <v>017</v>
      </c>
      <c r="J7056" s="5" t="str">
        <f t="shared" si="843"/>
        <v>2220</v>
      </c>
      <c r="K7056" s="5" t="str">
        <f t="shared" si="844"/>
        <v>000</v>
      </c>
      <c r="L7056" s="5">
        <f t="shared" si="845"/>
        <v>6</v>
      </c>
      <c r="M7056" s="5">
        <f t="shared" si="846"/>
        <v>2013</v>
      </c>
    </row>
    <row r="7057" spans="1:13" ht="15" x14ac:dyDescent="0.25">
      <c r="A7057" s="1">
        <f>DATE(2013,6,16)</f>
        <v>41441</v>
      </c>
      <c r="B7057" t="s">
        <v>18</v>
      </c>
      <c r="C7057" t="s">
        <v>10</v>
      </c>
      <c r="D7057" s="3">
        <v>61.164300000000004</v>
      </c>
      <c r="E7057" s="3">
        <v>0</v>
      </c>
      <c r="F7057" t="s">
        <v>45</v>
      </c>
      <c r="G7057" s="3">
        <f t="shared" si="840"/>
        <v>-61.164300000000004</v>
      </c>
      <c r="H7057" s="3">
        <f t="shared" si="841"/>
        <v>61.164300000000004</v>
      </c>
      <c r="I7057" s="5" t="str">
        <f t="shared" si="842"/>
        <v>017</v>
      </c>
      <c r="J7057" s="5" t="str">
        <f t="shared" si="843"/>
        <v>2230</v>
      </c>
      <c r="K7057" s="5" t="str">
        <f t="shared" si="844"/>
        <v>000</v>
      </c>
      <c r="L7057" s="5">
        <f t="shared" si="845"/>
        <v>6</v>
      </c>
      <c r="M7057" s="5">
        <f t="shared" si="846"/>
        <v>2013</v>
      </c>
    </row>
    <row r="7058" spans="1:13" ht="15" x14ac:dyDescent="0.25">
      <c r="A7058" s="1">
        <f>DATE(2013,6,10)</f>
        <v>41435</v>
      </c>
      <c r="B7058" t="s">
        <v>19</v>
      </c>
      <c r="C7058" t="s">
        <v>6</v>
      </c>
      <c r="D7058" s="3">
        <v>3488.3029999999999</v>
      </c>
      <c r="E7058" s="3">
        <v>0</v>
      </c>
      <c r="F7058" t="s">
        <v>45</v>
      </c>
      <c r="G7058" s="3">
        <f t="shared" si="840"/>
        <v>-3488.3029999999999</v>
      </c>
      <c r="H7058" s="3">
        <f t="shared" si="841"/>
        <v>3488.3029999999999</v>
      </c>
      <c r="I7058" s="5" t="str">
        <f t="shared" si="842"/>
        <v>018</v>
      </c>
      <c r="J7058" s="5" t="str">
        <f t="shared" si="843"/>
        <v>2100</v>
      </c>
      <c r="K7058" s="5" t="str">
        <f t="shared" si="844"/>
        <v>000</v>
      </c>
      <c r="L7058" s="5">
        <f t="shared" si="845"/>
        <v>6</v>
      </c>
      <c r="M7058" s="5">
        <f t="shared" si="846"/>
        <v>2013</v>
      </c>
    </row>
    <row r="7059" spans="1:13" ht="15" x14ac:dyDescent="0.25">
      <c r="A7059" s="1">
        <f>DATE(2013,6,10)</f>
        <v>41435</v>
      </c>
      <c r="B7059" t="s">
        <v>20</v>
      </c>
      <c r="C7059" t="s">
        <v>8</v>
      </c>
      <c r="D7059" s="3">
        <v>851.72270000000015</v>
      </c>
      <c r="E7059" s="3">
        <v>0</v>
      </c>
      <c r="F7059" t="s">
        <v>45</v>
      </c>
      <c r="G7059" s="3">
        <f t="shared" si="840"/>
        <v>-851.72270000000015</v>
      </c>
      <c r="H7059" s="3">
        <f t="shared" si="841"/>
        <v>851.72270000000015</v>
      </c>
      <c r="I7059" s="5" t="str">
        <f t="shared" si="842"/>
        <v>018</v>
      </c>
      <c r="J7059" s="5" t="str">
        <f t="shared" si="843"/>
        <v>2210</v>
      </c>
      <c r="K7059" s="5" t="str">
        <f t="shared" si="844"/>
        <v>000</v>
      </c>
      <c r="L7059" s="5">
        <f t="shared" si="845"/>
        <v>6</v>
      </c>
      <c r="M7059" s="5">
        <f t="shared" si="846"/>
        <v>2013</v>
      </c>
    </row>
    <row r="7060" spans="1:13" ht="15" x14ac:dyDescent="0.25">
      <c r="A7060" s="1">
        <f>DATE(2013,6,10)</f>
        <v>41435</v>
      </c>
      <c r="B7060" t="s">
        <v>21</v>
      </c>
      <c r="C7060" t="s">
        <v>9</v>
      </c>
      <c r="D7060" s="3">
        <v>92.624000000000009</v>
      </c>
      <c r="E7060" s="3">
        <v>0</v>
      </c>
      <c r="F7060" t="s">
        <v>45</v>
      </c>
      <c r="G7060" s="3">
        <f t="shared" si="840"/>
        <v>-92.624000000000009</v>
      </c>
      <c r="H7060" s="3">
        <f t="shared" si="841"/>
        <v>92.624000000000009</v>
      </c>
      <c r="I7060" s="5" t="str">
        <f t="shared" si="842"/>
        <v>018</v>
      </c>
      <c r="J7060" s="5" t="str">
        <f t="shared" si="843"/>
        <v>2220</v>
      </c>
      <c r="K7060" s="5" t="str">
        <f t="shared" si="844"/>
        <v>000</v>
      </c>
      <c r="L7060" s="5">
        <f t="shared" si="845"/>
        <v>6</v>
      </c>
      <c r="M7060" s="5">
        <f t="shared" si="846"/>
        <v>2013</v>
      </c>
    </row>
    <row r="7061" spans="1:13" ht="15" x14ac:dyDescent="0.25">
      <c r="A7061" s="1">
        <f>DATE(2013,6,10)</f>
        <v>41435</v>
      </c>
      <c r="B7061" t="s">
        <v>22</v>
      </c>
      <c r="C7061" t="s">
        <v>10</v>
      </c>
      <c r="D7061" s="3">
        <v>10.458299999999999</v>
      </c>
      <c r="E7061" s="3">
        <v>0</v>
      </c>
      <c r="F7061" t="s">
        <v>45</v>
      </c>
      <c r="G7061" s="3">
        <f t="shared" si="840"/>
        <v>-10.458299999999999</v>
      </c>
      <c r="H7061" s="3">
        <f t="shared" si="841"/>
        <v>10.458299999999999</v>
      </c>
      <c r="I7061" s="5" t="str">
        <f t="shared" si="842"/>
        <v>018</v>
      </c>
      <c r="J7061" s="5" t="str">
        <f t="shared" si="843"/>
        <v>2230</v>
      </c>
      <c r="K7061" s="5" t="str">
        <f t="shared" si="844"/>
        <v>000</v>
      </c>
      <c r="L7061" s="5">
        <f t="shared" si="845"/>
        <v>6</v>
      </c>
      <c r="M7061" s="5">
        <f t="shared" si="846"/>
        <v>2013</v>
      </c>
    </row>
    <row r="7062" spans="1:13" ht="15" x14ac:dyDescent="0.25">
      <c r="A7062" s="1">
        <f>DATE(2013,6,11)</f>
        <v>41436</v>
      </c>
      <c r="B7062" t="s">
        <v>19</v>
      </c>
      <c r="C7062" t="s">
        <v>6</v>
      </c>
      <c r="D7062" s="3">
        <v>4595.4276</v>
      </c>
      <c r="E7062" s="3">
        <v>0</v>
      </c>
      <c r="F7062" t="s">
        <v>45</v>
      </c>
      <c r="G7062" s="3">
        <f t="shared" si="840"/>
        <v>-4595.4276</v>
      </c>
      <c r="H7062" s="3">
        <f t="shared" si="841"/>
        <v>4595.4276</v>
      </c>
      <c r="I7062" s="5" t="str">
        <f t="shared" si="842"/>
        <v>018</v>
      </c>
      <c r="J7062" s="5" t="str">
        <f t="shared" si="843"/>
        <v>2100</v>
      </c>
      <c r="K7062" s="5" t="str">
        <f t="shared" si="844"/>
        <v>000</v>
      </c>
      <c r="L7062" s="5">
        <f t="shared" si="845"/>
        <v>6</v>
      </c>
      <c r="M7062" s="5">
        <f t="shared" si="846"/>
        <v>2013</v>
      </c>
    </row>
    <row r="7063" spans="1:13" ht="15" x14ac:dyDescent="0.25">
      <c r="A7063" s="1">
        <f>DATE(2013,6,11)</f>
        <v>41436</v>
      </c>
      <c r="B7063" t="s">
        <v>20</v>
      </c>
      <c r="C7063" t="s">
        <v>8</v>
      </c>
      <c r="D7063" s="3">
        <v>954.92520000000013</v>
      </c>
      <c r="E7063" s="3">
        <v>0</v>
      </c>
      <c r="F7063" t="s">
        <v>45</v>
      </c>
      <c r="G7063" s="3">
        <f t="shared" si="840"/>
        <v>-954.92520000000013</v>
      </c>
      <c r="H7063" s="3">
        <f t="shared" si="841"/>
        <v>954.92520000000013</v>
      </c>
      <c r="I7063" s="5" t="str">
        <f t="shared" si="842"/>
        <v>018</v>
      </c>
      <c r="J7063" s="5" t="str">
        <f t="shared" si="843"/>
        <v>2210</v>
      </c>
      <c r="K7063" s="5" t="str">
        <f t="shared" si="844"/>
        <v>000</v>
      </c>
      <c r="L7063" s="5">
        <f t="shared" si="845"/>
        <v>6</v>
      </c>
      <c r="M7063" s="5">
        <f t="shared" si="846"/>
        <v>2013</v>
      </c>
    </row>
    <row r="7064" spans="1:13" ht="15" x14ac:dyDescent="0.25">
      <c r="A7064" s="1">
        <f>DATE(2013,6,11)</f>
        <v>41436</v>
      </c>
      <c r="B7064" t="s">
        <v>21</v>
      </c>
      <c r="C7064" t="s">
        <v>9</v>
      </c>
      <c r="D7064" s="3">
        <v>271.863</v>
      </c>
      <c r="E7064" s="3">
        <v>0</v>
      </c>
      <c r="F7064" t="s">
        <v>45</v>
      </c>
      <c r="G7064" s="3">
        <f t="shared" si="840"/>
        <v>-271.863</v>
      </c>
      <c r="H7064" s="3">
        <f t="shared" si="841"/>
        <v>271.863</v>
      </c>
      <c r="I7064" s="5" t="str">
        <f t="shared" si="842"/>
        <v>018</v>
      </c>
      <c r="J7064" s="5" t="str">
        <f t="shared" si="843"/>
        <v>2220</v>
      </c>
      <c r="K7064" s="5" t="str">
        <f t="shared" si="844"/>
        <v>000</v>
      </c>
      <c r="L7064" s="5">
        <f t="shared" si="845"/>
        <v>6</v>
      </c>
      <c r="M7064" s="5">
        <f t="shared" si="846"/>
        <v>2013</v>
      </c>
    </row>
    <row r="7065" spans="1:13" ht="15" x14ac:dyDescent="0.25">
      <c r="A7065" s="1">
        <f>DATE(2013,6,11)</f>
        <v>41436</v>
      </c>
      <c r="B7065" t="s">
        <v>22</v>
      </c>
      <c r="C7065" t="s">
        <v>10</v>
      </c>
      <c r="D7065" s="3">
        <v>33.207999999999998</v>
      </c>
      <c r="E7065" s="3">
        <v>0</v>
      </c>
      <c r="F7065" t="s">
        <v>45</v>
      </c>
      <c r="G7065" s="3">
        <f t="shared" si="840"/>
        <v>-33.207999999999998</v>
      </c>
      <c r="H7065" s="3">
        <f t="shared" si="841"/>
        <v>33.207999999999998</v>
      </c>
      <c r="I7065" s="5" t="str">
        <f t="shared" si="842"/>
        <v>018</v>
      </c>
      <c r="J7065" s="5" t="str">
        <f t="shared" si="843"/>
        <v>2230</v>
      </c>
      <c r="K7065" s="5" t="str">
        <f t="shared" si="844"/>
        <v>000</v>
      </c>
      <c r="L7065" s="5">
        <f t="shared" si="845"/>
        <v>6</v>
      </c>
      <c r="M7065" s="5">
        <f t="shared" si="846"/>
        <v>2013</v>
      </c>
    </row>
    <row r="7066" spans="1:13" ht="15" x14ac:dyDescent="0.25">
      <c r="A7066" s="1">
        <f>DATE(2013,6,12)</f>
        <v>41437</v>
      </c>
      <c r="B7066" t="s">
        <v>19</v>
      </c>
      <c r="C7066" t="s">
        <v>6</v>
      </c>
      <c r="D7066" s="3">
        <v>6829.3079999999991</v>
      </c>
      <c r="E7066" s="3">
        <v>0</v>
      </c>
      <c r="F7066" t="s">
        <v>45</v>
      </c>
      <c r="G7066" s="3">
        <f t="shared" si="840"/>
        <v>-6829.3079999999991</v>
      </c>
      <c r="H7066" s="3">
        <f t="shared" si="841"/>
        <v>6829.3079999999991</v>
      </c>
      <c r="I7066" s="5" t="str">
        <f t="shared" si="842"/>
        <v>018</v>
      </c>
      <c r="J7066" s="5" t="str">
        <f t="shared" si="843"/>
        <v>2100</v>
      </c>
      <c r="K7066" s="5" t="str">
        <f t="shared" si="844"/>
        <v>000</v>
      </c>
      <c r="L7066" s="5">
        <f t="shared" si="845"/>
        <v>6</v>
      </c>
      <c r="M7066" s="5">
        <f t="shared" si="846"/>
        <v>2013</v>
      </c>
    </row>
    <row r="7067" spans="1:13" ht="15" x14ac:dyDescent="0.25">
      <c r="A7067" s="1">
        <f>DATE(2013,6,12)</f>
        <v>41437</v>
      </c>
      <c r="B7067" t="s">
        <v>20</v>
      </c>
      <c r="C7067" t="s">
        <v>8</v>
      </c>
      <c r="D7067" s="3">
        <v>1016.0964</v>
      </c>
      <c r="E7067" s="3">
        <v>0</v>
      </c>
      <c r="F7067" t="s">
        <v>45</v>
      </c>
      <c r="G7067" s="3">
        <f t="shared" si="840"/>
        <v>-1016.0964</v>
      </c>
      <c r="H7067" s="3">
        <f t="shared" si="841"/>
        <v>1016.0964</v>
      </c>
      <c r="I7067" s="5" t="str">
        <f t="shared" si="842"/>
        <v>018</v>
      </c>
      <c r="J7067" s="5" t="str">
        <f t="shared" si="843"/>
        <v>2210</v>
      </c>
      <c r="K7067" s="5" t="str">
        <f t="shared" si="844"/>
        <v>000</v>
      </c>
      <c r="L7067" s="5">
        <f t="shared" si="845"/>
        <v>6</v>
      </c>
      <c r="M7067" s="5">
        <f t="shared" si="846"/>
        <v>2013</v>
      </c>
    </row>
    <row r="7068" spans="1:13" ht="15" x14ac:dyDescent="0.25">
      <c r="A7068" s="1">
        <f>DATE(2013,6,12)</f>
        <v>41437</v>
      </c>
      <c r="B7068" t="s">
        <v>21</v>
      </c>
      <c r="C7068" t="s">
        <v>9</v>
      </c>
      <c r="D7068" s="3">
        <v>276.88799999999998</v>
      </c>
      <c r="E7068" s="3">
        <v>0</v>
      </c>
      <c r="F7068" t="s">
        <v>45</v>
      </c>
      <c r="G7068" s="3">
        <f t="shared" si="840"/>
        <v>-276.88799999999998</v>
      </c>
      <c r="H7068" s="3">
        <f t="shared" si="841"/>
        <v>276.88799999999998</v>
      </c>
      <c r="I7068" s="5" t="str">
        <f t="shared" si="842"/>
        <v>018</v>
      </c>
      <c r="J7068" s="5" t="str">
        <f t="shared" si="843"/>
        <v>2220</v>
      </c>
      <c r="K7068" s="5" t="str">
        <f t="shared" si="844"/>
        <v>000</v>
      </c>
      <c r="L7068" s="5">
        <f t="shared" si="845"/>
        <v>6</v>
      </c>
      <c r="M7068" s="5">
        <f t="shared" si="846"/>
        <v>2013</v>
      </c>
    </row>
    <row r="7069" spans="1:13" ht="15" x14ac:dyDescent="0.25">
      <c r="A7069" s="1">
        <f>DATE(2013,6,12)</f>
        <v>41437</v>
      </c>
      <c r="B7069" t="s">
        <v>22</v>
      </c>
      <c r="C7069" t="s">
        <v>10</v>
      </c>
      <c r="D7069" s="3">
        <v>81.451799999999992</v>
      </c>
      <c r="E7069" s="3">
        <v>0</v>
      </c>
      <c r="F7069" t="s">
        <v>45</v>
      </c>
      <c r="G7069" s="3">
        <f t="shared" si="840"/>
        <v>-81.451799999999992</v>
      </c>
      <c r="H7069" s="3">
        <f t="shared" si="841"/>
        <v>81.451799999999992</v>
      </c>
      <c r="I7069" s="5" t="str">
        <f t="shared" si="842"/>
        <v>018</v>
      </c>
      <c r="J7069" s="5" t="str">
        <f t="shared" si="843"/>
        <v>2230</v>
      </c>
      <c r="K7069" s="5" t="str">
        <f t="shared" si="844"/>
        <v>000</v>
      </c>
      <c r="L7069" s="5">
        <f t="shared" si="845"/>
        <v>6</v>
      </c>
      <c r="M7069" s="5">
        <f t="shared" si="846"/>
        <v>2013</v>
      </c>
    </row>
    <row r="7070" spans="1:13" ht="15" x14ac:dyDescent="0.25">
      <c r="A7070" s="1">
        <f>DATE(2013,6,13)</f>
        <v>41438</v>
      </c>
      <c r="B7070" t="s">
        <v>19</v>
      </c>
      <c r="C7070" t="s">
        <v>6</v>
      </c>
      <c r="D7070" s="3">
        <v>4641.3883999999998</v>
      </c>
      <c r="E7070" s="3">
        <v>0</v>
      </c>
      <c r="F7070" t="s">
        <v>45</v>
      </c>
      <c r="G7070" s="3">
        <f t="shared" si="840"/>
        <v>-4641.3883999999998</v>
      </c>
      <c r="H7070" s="3">
        <f t="shared" si="841"/>
        <v>4641.3883999999998</v>
      </c>
      <c r="I7070" s="5" t="str">
        <f t="shared" si="842"/>
        <v>018</v>
      </c>
      <c r="J7070" s="5" t="str">
        <f t="shared" si="843"/>
        <v>2100</v>
      </c>
      <c r="K7070" s="5" t="str">
        <f t="shared" si="844"/>
        <v>000</v>
      </c>
      <c r="L7070" s="5">
        <f t="shared" si="845"/>
        <v>6</v>
      </c>
      <c r="M7070" s="5">
        <f t="shared" si="846"/>
        <v>2013</v>
      </c>
    </row>
    <row r="7071" spans="1:13" ht="15" x14ac:dyDescent="0.25">
      <c r="A7071" s="1">
        <f>DATE(2013,6,13)</f>
        <v>41438</v>
      </c>
      <c r="B7071" t="s">
        <v>20</v>
      </c>
      <c r="C7071" t="s">
        <v>8</v>
      </c>
      <c r="D7071" s="3">
        <v>1186.1623999999999</v>
      </c>
      <c r="E7071" s="3">
        <v>0</v>
      </c>
      <c r="F7071" t="s">
        <v>45</v>
      </c>
      <c r="G7071" s="3">
        <f t="shared" si="840"/>
        <v>-1186.1623999999999</v>
      </c>
      <c r="H7071" s="3">
        <f t="shared" si="841"/>
        <v>1186.1623999999999</v>
      </c>
      <c r="I7071" s="5" t="str">
        <f t="shared" si="842"/>
        <v>018</v>
      </c>
      <c r="J7071" s="5" t="str">
        <f t="shared" si="843"/>
        <v>2210</v>
      </c>
      <c r="K7071" s="5" t="str">
        <f t="shared" si="844"/>
        <v>000</v>
      </c>
      <c r="L7071" s="5">
        <f t="shared" si="845"/>
        <v>6</v>
      </c>
      <c r="M7071" s="5">
        <f t="shared" si="846"/>
        <v>2013</v>
      </c>
    </row>
    <row r="7072" spans="1:13" ht="15" x14ac:dyDescent="0.25">
      <c r="A7072" s="1">
        <f>DATE(2013,6,13)</f>
        <v>41438</v>
      </c>
      <c r="B7072" t="s">
        <v>21</v>
      </c>
      <c r="C7072" t="s">
        <v>9</v>
      </c>
      <c r="D7072" s="3">
        <v>320.58879999999999</v>
      </c>
      <c r="E7072" s="3">
        <v>0</v>
      </c>
      <c r="F7072" t="s">
        <v>45</v>
      </c>
      <c r="G7072" s="3">
        <f t="shared" si="840"/>
        <v>-320.58879999999999</v>
      </c>
      <c r="H7072" s="3">
        <f t="shared" si="841"/>
        <v>320.58879999999999</v>
      </c>
      <c r="I7072" s="5" t="str">
        <f t="shared" si="842"/>
        <v>018</v>
      </c>
      <c r="J7072" s="5" t="str">
        <f t="shared" si="843"/>
        <v>2220</v>
      </c>
      <c r="K7072" s="5" t="str">
        <f t="shared" si="844"/>
        <v>000</v>
      </c>
      <c r="L7072" s="5">
        <f t="shared" si="845"/>
        <v>6</v>
      </c>
      <c r="M7072" s="5">
        <f t="shared" si="846"/>
        <v>2013</v>
      </c>
    </row>
    <row r="7073" spans="1:13" ht="15" x14ac:dyDescent="0.25">
      <c r="A7073" s="1">
        <f>DATE(2013,6,13)</f>
        <v>41438</v>
      </c>
      <c r="B7073" t="s">
        <v>22</v>
      </c>
      <c r="C7073" t="s">
        <v>10</v>
      </c>
      <c r="D7073" s="3">
        <v>43.011600000000001</v>
      </c>
      <c r="E7073" s="3">
        <v>0</v>
      </c>
      <c r="F7073" t="s">
        <v>45</v>
      </c>
      <c r="G7073" s="3">
        <f t="shared" si="840"/>
        <v>-43.011600000000001</v>
      </c>
      <c r="H7073" s="3">
        <f t="shared" si="841"/>
        <v>43.011600000000001</v>
      </c>
      <c r="I7073" s="5" t="str">
        <f t="shared" si="842"/>
        <v>018</v>
      </c>
      <c r="J7073" s="5" t="str">
        <f t="shared" si="843"/>
        <v>2230</v>
      </c>
      <c r="K7073" s="5" t="str">
        <f t="shared" si="844"/>
        <v>000</v>
      </c>
      <c r="L7073" s="5">
        <f t="shared" si="845"/>
        <v>6</v>
      </c>
      <c r="M7073" s="5">
        <f t="shared" si="846"/>
        <v>2013</v>
      </c>
    </row>
    <row r="7074" spans="1:13" ht="15" x14ac:dyDescent="0.25">
      <c r="A7074" s="1">
        <f>DATE(2013,6,14)</f>
        <v>41439</v>
      </c>
      <c r="B7074" t="s">
        <v>19</v>
      </c>
      <c r="C7074" t="s">
        <v>6</v>
      </c>
      <c r="D7074" s="3">
        <v>10290.220600000001</v>
      </c>
      <c r="E7074" s="3">
        <v>0</v>
      </c>
      <c r="F7074" t="s">
        <v>45</v>
      </c>
      <c r="G7074" s="3">
        <f t="shared" si="840"/>
        <v>-10290.220600000001</v>
      </c>
      <c r="H7074" s="3">
        <f t="shared" si="841"/>
        <v>10290.220600000001</v>
      </c>
      <c r="I7074" s="5" t="str">
        <f t="shared" si="842"/>
        <v>018</v>
      </c>
      <c r="J7074" s="5" t="str">
        <f t="shared" si="843"/>
        <v>2100</v>
      </c>
      <c r="K7074" s="5" t="str">
        <f t="shared" si="844"/>
        <v>000</v>
      </c>
      <c r="L7074" s="5">
        <f t="shared" si="845"/>
        <v>6</v>
      </c>
      <c r="M7074" s="5">
        <f t="shared" si="846"/>
        <v>2013</v>
      </c>
    </row>
    <row r="7075" spans="1:13" ht="15" x14ac:dyDescent="0.25">
      <c r="A7075" s="1">
        <f>DATE(2013,6,14)</f>
        <v>41439</v>
      </c>
      <c r="B7075" t="s">
        <v>20</v>
      </c>
      <c r="C7075" t="s">
        <v>8</v>
      </c>
      <c r="D7075" s="3">
        <v>3515.5889999999999</v>
      </c>
      <c r="E7075" s="3">
        <v>0</v>
      </c>
      <c r="F7075" t="s">
        <v>45</v>
      </c>
      <c r="G7075" s="3">
        <f t="shared" si="840"/>
        <v>-3515.5889999999999</v>
      </c>
      <c r="H7075" s="3">
        <f t="shared" si="841"/>
        <v>3515.5889999999999</v>
      </c>
      <c r="I7075" s="5" t="str">
        <f t="shared" si="842"/>
        <v>018</v>
      </c>
      <c r="J7075" s="5" t="str">
        <f t="shared" si="843"/>
        <v>2210</v>
      </c>
      <c r="K7075" s="5" t="str">
        <f t="shared" si="844"/>
        <v>000</v>
      </c>
      <c r="L7075" s="5">
        <f t="shared" si="845"/>
        <v>6</v>
      </c>
      <c r="M7075" s="5">
        <f t="shared" si="846"/>
        <v>2013</v>
      </c>
    </row>
    <row r="7076" spans="1:13" ht="15" x14ac:dyDescent="0.25">
      <c r="A7076" s="1">
        <f>DATE(2013,6,14)</f>
        <v>41439</v>
      </c>
      <c r="B7076" t="s">
        <v>21</v>
      </c>
      <c r="C7076" t="s">
        <v>9</v>
      </c>
      <c r="D7076" s="3">
        <v>1085.9736</v>
      </c>
      <c r="E7076" s="3">
        <v>0</v>
      </c>
      <c r="F7076" t="s">
        <v>45</v>
      </c>
      <c r="G7076" s="3">
        <f t="shared" si="840"/>
        <v>-1085.9736</v>
      </c>
      <c r="H7076" s="3">
        <f t="shared" si="841"/>
        <v>1085.9736</v>
      </c>
      <c r="I7076" s="5" t="str">
        <f t="shared" si="842"/>
        <v>018</v>
      </c>
      <c r="J7076" s="5" t="str">
        <f t="shared" si="843"/>
        <v>2220</v>
      </c>
      <c r="K7076" s="5" t="str">
        <f t="shared" si="844"/>
        <v>000</v>
      </c>
      <c r="L7076" s="5">
        <f t="shared" si="845"/>
        <v>6</v>
      </c>
      <c r="M7076" s="5">
        <f t="shared" si="846"/>
        <v>2013</v>
      </c>
    </row>
    <row r="7077" spans="1:13" ht="15" x14ac:dyDescent="0.25">
      <c r="A7077" s="1">
        <f>DATE(2013,6,14)</f>
        <v>41439</v>
      </c>
      <c r="B7077" t="s">
        <v>22</v>
      </c>
      <c r="C7077" t="s">
        <v>10</v>
      </c>
      <c r="D7077" s="3">
        <v>77.238</v>
      </c>
      <c r="E7077" s="3">
        <v>0</v>
      </c>
      <c r="F7077" t="s">
        <v>45</v>
      </c>
      <c r="G7077" s="3">
        <f t="shared" si="840"/>
        <v>-77.238</v>
      </c>
      <c r="H7077" s="3">
        <f t="shared" si="841"/>
        <v>77.238</v>
      </c>
      <c r="I7077" s="5" t="str">
        <f t="shared" si="842"/>
        <v>018</v>
      </c>
      <c r="J7077" s="5" t="str">
        <f t="shared" si="843"/>
        <v>2230</v>
      </c>
      <c r="K7077" s="5" t="str">
        <f t="shared" si="844"/>
        <v>000</v>
      </c>
      <c r="L7077" s="5">
        <f t="shared" si="845"/>
        <v>6</v>
      </c>
      <c r="M7077" s="5">
        <f t="shared" si="846"/>
        <v>2013</v>
      </c>
    </row>
    <row r="7078" spans="1:13" ht="15" x14ac:dyDescent="0.25">
      <c r="A7078" s="1">
        <f>DATE(2013,6,15)</f>
        <v>41440</v>
      </c>
      <c r="B7078" t="s">
        <v>19</v>
      </c>
      <c r="C7078" t="s">
        <v>6</v>
      </c>
      <c r="D7078" s="3">
        <v>16945.616000000002</v>
      </c>
      <c r="E7078" s="3">
        <v>0</v>
      </c>
      <c r="F7078" t="s">
        <v>45</v>
      </c>
      <c r="G7078" s="3">
        <f t="shared" si="840"/>
        <v>-16945.616000000002</v>
      </c>
      <c r="H7078" s="3">
        <f t="shared" si="841"/>
        <v>16945.616000000002</v>
      </c>
      <c r="I7078" s="5" t="str">
        <f t="shared" si="842"/>
        <v>018</v>
      </c>
      <c r="J7078" s="5" t="str">
        <f t="shared" si="843"/>
        <v>2100</v>
      </c>
      <c r="K7078" s="5" t="str">
        <f t="shared" si="844"/>
        <v>000</v>
      </c>
      <c r="L7078" s="5">
        <f t="shared" si="845"/>
        <v>6</v>
      </c>
      <c r="M7078" s="5">
        <f t="shared" si="846"/>
        <v>2013</v>
      </c>
    </row>
    <row r="7079" spans="1:13" ht="15" x14ac:dyDescent="0.25">
      <c r="A7079" s="1">
        <f>DATE(2013,6,15)</f>
        <v>41440</v>
      </c>
      <c r="B7079" t="s">
        <v>20</v>
      </c>
      <c r="C7079" t="s">
        <v>8</v>
      </c>
      <c r="D7079" s="3">
        <v>3287.1224999999999</v>
      </c>
      <c r="E7079" s="3">
        <v>0</v>
      </c>
      <c r="F7079" t="s">
        <v>45</v>
      </c>
      <c r="G7079" s="3">
        <f t="shared" si="840"/>
        <v>-3287.1224999999999</v>
      </c>
      <c r="H7079" s="3">
        <f t="shared" si="841"/>
        <v>3287.1224999999999</v>
      </c>
      <c r="I7079" s="5" t="str">
        <f t="shared" si="842"/>
        <v>018</v>
      </c>
      <c r="J7079" s="5" t="str">
        <f t="shared" si="843"/>
        <v>2210</v>
      </c>
      <c r="K7079" s="5" t="str">
        <f t="shared" si="844"/>
        <v>000</v>
      </c>
      <c r="L7079" s="5">
        <f t="shared" si="845"/>
        <v>6</v>
      </c>
      <c r="M7079" s="5">
        <f t="shared" si="846"/>
        <v>2013</v>
      </c>
    </row>
    <row r="7080" spans="1:13" ht="15" x14ac:dyDescent="0.25">
      <c r="A7080" s="1">
        <f>DATE(2013,6,15)</f>
        <v>41440</v>
      </c>
      <c r="B7080" t="s">
        <v>21</v>
      </c>
      <c r="C7080" t="s">
        <v>9</v>
      </c>
      <c r="D7080" s="3">
        <v>680.47199999999987</v>
      </c>
      <c r="E7080" s="3">
        <v>0</v>
      </c>
      <c r="F7080" t="s">
        <v>45</v>
      </c>
      <c r="G7080" s="3">
        <f t="shared" si="840"/>
        <v>-680.47199999999987</v>
      </c>
      <c r="H7080" s="3">
        <f t="shared" si="841"/>
        <v>680.47199999999987</v>
      </c>
      <c r="I7080" s="5" t="str">
        <f t="shared" si="842"/>
        <v>018</v>
      </c>
      <c r="J7080" s="5" t="str">
        <f t="shared" si="843"/>
        <v>2220</v>
      </c>
      <c r="K7080" s="5" t="str">
        <f t="shared" si="844"/>
        <v>000</v>
      </c>
      <c r="L7080" s="5">
        <f t="shared" si="845"/>
        <v>6</v>
      </c>
      <c r="M7080" s="5">
        <f t="shared" si="846"/>
        <v>2013</v>
      </c>
    </row>
    <row r="7081" spans="1:13" ht="15" x14ac:dyDescent="0.25">
      <c r="A7081" s="1">
        <f>DATE(2013,6,15)</f>
        <v>41440</v>
      </c>
      <c r="B7081" t="s">
        <v>22</v>
      </c>
      <c r="C7081" t="s">
        <v>10</v>
      </c>
      <c r="D7081" s="3">
        <v>96.912000000000006</v>
      </c>
      <c r="E7081" s="3">
        <v>0</v>
      </c>
      <c r="F7081" t="s">
        <v>45</v>
      </c>
      <c r="G7081" s="3">
        <f t="shared" si="840"/>
        <v>-96.912000000000006</v>
      </c>
      <c r="H7081" s="3">
        <f t="shared" si="841"/>
        <v>96.912000000000006</v>
      </c>
      <c r="I7081" s="5" t="str">
        <f t="shared" si="842"/>
        <v>018</v>
      </c>
      <c r="J7081" s="5" t="str">
        <f t="shared" si="843"/>
        <v>2230</v>
      </c>
      <c r="K7081" s="5" t="str">
        <f t="shared" si="844"/>
        <v>000</v>
      </c>
      <c r="L7081" s="5">
        <f t="shared" si="845"/>
        <v>6</v>
      </c>
      <c r="M7081" s="5">
        <f t="shared" si="846"/>
        <v>2013</v>
      </c>
    </row>
    <row r="7082" spans="1:13" ht="15" x14ac:dyDescent="0.25">
      <c r="A7082" s="1">
        <f>DATE(2013,6,16)</f>
        <v>41441</v>
      </c>
      <c r="B7082" t="s">
        <v>19</v>
      </c>
      <c r="C7082" t="s">
        <v>6</v>
      </c>
      <c r="D7082" s="3">
        <v>18505.004399999998</v>
      </c>
      <c r="E7082" s="3">
        <v>0</v>
      </c>
      <c r="F7082" t="s">
        <v>45</v>
      </c>
      <c r="G7082" s="3">
        <f t="shared" si="840"/>
        <v>-18505.004399999998</v>
      </c>
      <c r="H7082" s="3">
        <f t="shared" si="841"/>
        <v>18505.004399999998</v>
      </c>
      <c r="I7082" s="5" t="str">
        <f t="shared" si="842"/>
        <v>018</v>
      </c>
      <c r="J7082" s="5" t="str">
        <f t="shared" si="843"/>
        <v>2100</v>
      </c>
      <c r="K7082" s="5" t="str">
        <f t="shared" si="844"/>
        <v>000</v>
      </c>
      <c r="L7082" s="5">
        <f t="shared" si="845"/>
        <v>6</v>
      </c>
      <c r="M7082" s="5">
        <f t="shared" si="846"/>
        <v>2013</v>
      </c>
    </row>
    <row r="7083" spans="1:13" ht="15" x14ac:dyDescent="0.25">
      <c r="A7083" s="1">
        <f>DATE(2013,6,16)</f>
        <v>41441</v>
      </c>
      <c r="B7083" t="s">
        <v>20</v>
      </c>
      <c r="C7083" t="s">
        <v>8</v>
      </c>
      <c r="D7083" s="3">
        <v>2631.15</v>
      </c>
      <c r="E7083" s="3">
        <v>0</v>
      </c>
      <c r="F7083" t="s">
        <v>45</v>
      </c>
      <c r="G7083" s="3">
        <f t="shared" si="840"/>
        <v>-2631.15</v>
      </c>
      <c r="H7083" s="3">
        <f t="shared" si="841"/>
        <v>2631.15</v>
      </c>
      <c r="I7083" s="5" t="str">
        <f t="shared" si="842"/>
        <v>018</v>
      </c>
      <c r="J7083" s="5" t="str">
        <f t="shared" si="843"/>
        <v>2210</v>
      </c>
      <c r="K7083" s="5" t="str">
        <f t="shared" si="844"/>
        <v>000</v>
      </c>
      <c r="L7083" s="5">
        <f t="shared" si="845"/>
        <v>6</v>
      </c>
      <c r="M7083" s="5">
        <f t="shared" si="846"/>
        <v>2013</v>
      </c>
    </row>
    <row r="7084" spans="1:13" ht="15" x14ac:dyDescent="0.25">
      <c r="A7084" s="1">
        <f>DATE(2013,6,16)</f>
        <v>41441</v>
      </c>
      <c r="B7084" t="s">
        <v>21</v>
      </c>
      <c r="C7084" t="s">
        <v>9</v>
      </c>
      <c r="D7084" s="3">
        <v>574.03559999999993</v>
      </c>
      <c r="E7084" s="3">
        <v>0</v>
      </c>
      <c r="F7084" t="s">
        <v>45</v>
      </c>
      <c r="G7084" s="3">
        <f t="shared" si="840"/>
        <v>-574.03559999999993</v>
      </c>
      <c r="H7084" s="3">
        <f t="shared" si="841"/>
        <v>574.03559999999993</v>
      </c>
      <c r="I7084" s="5" t="str">
        <f t="shared" si="842"/>
        <v>018</v>
      </c>
      <c r="J7084" s="5" t="str">
        <f t="shared" si="843"/>
        <v>2220</v>
      </c>
      <c r="K7084" s="5" t="str">
        <f t="shared" si="844"/>
        <v>000</v>
      </c>
      <c r="L7084" s="5">
        <f t="shared" si="845"/>
        <v>6</v>
      </c>
      <c r="M7084" s="5">
        <f t="shared" si="846"/>
        <v>2013</v>
      </c>
    </row>
    <row r="7085" spans="1:13" ht="15" x14ac:dyDescent="0.25">
      <c r="A7085" s="1">
        <f>DATE(2013,6,16)</f>
        <v>41441</v>
      </c>
      <c r="B7085" t="s">
        <v>22</v>
      </c>
      <c r="C7085" t="s">
        <v>10</v>
      </c>
      <c r="D7085" s="3">
        <v>122.6324</v>
      </c>
      <c r="E7085" s="3">
        <v>0</v>
      </c>
      <c r="F7085" t="s">
        <v>45</v>
      </c>
      <c r="G7085" s="3">
        <f t="shared" si="840"/>
        <v>-122.6324</v>
      </c>
      <c r="H7085" s="3">
        <f t="shared" si="841"/>
        <v>122.6324</v>
      </c>
      <c r="I7085" s="5" t="str">
        <f t="shared" si="842"/>
        <v>018</v>
      </c>
      <c r="J7085" s="5" t="str">
        <f t="shared" si="843"/>
        <v>2230</v>
      </c>
      <c r="K7085" s="5" t="str">
        <f t="shared" si="844"/>
        <v>000</v>
      </c>
      <c r="L7085" s="5">
        <f t="shared" si="845"/>
        <v>6</v>
      </c>
      <c r="M7085" s="5">
        <f t="shared" si="846"/>
        <v>2013</v>
      </c>
    </row>
    <row r="7086" spans="1:13" ht="15" x14ac:dyDescent="0.25">
      <c r="A7086" s="1">
        <f>DATE(2013,6,17)</f>
        <v>41442</v>
      </c>
      <c r="B7086" t="s">
        <v>11</v>
      </c>
      <c r="C7086" t="s">
        <v>6</v>
      </c>
      <c r="D7086" s="3">
        <v>3511.6354000000001</v>
      </c>
      <c r="E7086" s="3">
        <v>0</v>
      </c>
      <c r="F7086" t="s">
        <v>45</v>
      </c>
      <c r="G7086" s="3">
        <f t="shared" si="840"/>
        <v>-3511.6354000000001</v>
      </c>
      <c r="H7086" s="3">
        <f t="shared" si="841"/>
        <v>3511.6354000000001</v>
      </c>
      <c r="I7086" s="5" t="str">
        <f t="shared" si="842"/>
        <v>016</v>
      </c>
      <c r="J7086" s="5" t="str">
        <f t="shared" si="843"/>
        <v>2100</v>
      </c>
      <c r="K7086" s="5" t="str">
        <f t="shared" si="844"/>
        <v>000</v>
      </c>
      <c r="L7086" s="5">
        <f t="shared" si="845"/>
        <v>6</v>
      </c>
      <c r="M7086" s="5">
        <f t="shared" si="846"/>
        <v>2013</v>
      </c>
    </row>
    <row r="7087" spans="1:13" ht="15" x14ac:dyDescent="0.25">
      <c r="A7087" s="1">
        <f>DATE(2013,6,17)</f>
        <v>41442</v>
      </c>
      <c r="B7087" t="s">
        <v>12</v>
      </c>
      <c r="C7087" t="s">
        <v>8</v>
      </c>
      <c r="D7087" s="3">
        <v>790.08690000000001</v>
      </c>
      <c r="E7087" s="3">
        <v>0</v>
      </c>
      <c r="F7087" t="s">
        <v>45</v>
      </c>
      <c r="G7087" s="3">
        <f t="shared" si="840"/>
        <v>-790.08690000000001</v>
      </c>
      <c r="H7087" s="3">
        <f t="shared" si="841"/>
        <v>790.08690000000001</v>
      </c>
      <c r="I7087" s="5" t="str">
        <f t="shared" si="842"/>
        <v>016</v>
      </c>
      <c r="J7087" s="5" t="str">
        <f t="shared" si="843"/>
        <v>2210</v>
      </c>
      <c r="K7087" s="5" t="str">
        <f t="shared" si="844"/>
        <v>000</v>
      </c>
      <c r="L7087" s="5">
        <f t="shared" si="845"/>
        <v>6</v>
      </c>
      <c r="M7087" s="5">
        <f t="shared" si="846"/>
        <v>2013</v>
      </c>
    </row>
    <row r="7088" spans="1:13" ht="15" x14ac:dyDescent="0.25">
      <c r="A7088" s="1">
        <f>DATE(2013,6,17)</f>
        <v>41442</v>
      </c>
      <c r="B7088" t="s">
        <v>13</v>
      </c>
      <c r="C7088" t="s">
        <v>9</v>
      </c>
      <c r="D7088" s="3">
        <v>211.22379999999995</v>
      </c>
      <c r="E7088" s="3">
        <v>0</v>
      </c>
      <c r="F7088" t="s">
        <v>45</v>
      </c>
      <c r="G7088" s="3">
        <f t="shared" si="840"/>
        <v>-211.22379999999995</v>
      </c>
      <c r="H7088" s="3">
        <f t="shared" si="841"/>
        <v>211.22379999999995</v>
      </c>
      <c r="I7088" s="5" t="str">
        <f t="shared" si="842"/>
        <v>016</v>
      </c>
      <c r="J7088" s="5" t="str">
        <f t="shared" si="843"/>
        <v>2220</v>
      </c>
      <c r="K7088" s="5" t="str">
        <f t="shared" si="844"/>
        <v>000</v>
      </c>
      <c r="L7088" s="5">
        <f t="shared" si="845"/>
        <v>6</v>
      </c>
      <c r="M7088" s="5">
        <f t="shared" si="846"/>
        <v>2013</v>
      </c>
    </row>
    <row r="7089" spans="1:13" ht="15" x14ac:dyDescent="0.25">
      <c r="A7089" s="1">
        <f>DATE(2013,6,17)</f>
        <v>41442</v>
      </c>
      <c r="B7089" t="s">
        <v>14</v>
      </c>
      <c r="C7089" t="s">
        <v>10</v>
      </c>
      <c r="D7089" s="3">
        <v>6.3920000000000003</v>
      </c>
      <c r="E7089" s="3">
        <v>0</v>
      </c>
      <c r="F7089" t="s">
        <v>45</v>
      </c>
      <c r="G7089" s="3">
        <f t="shared" si="840"/>
        <v>-6.3920000000000003</v>
      </c>
      <c r="H7089" s="3">
        <f t="shared" si="841"/>
        <v>6.3920000000000003</v>
      </c>
      <c r="I7089" s="5" t="str">
        <f t="shared" si="842"/>
        <v>016</v>
      </c>
      <c r="J7089" s="5" t="str">
        <f t="shared" si="843"/>
        <v>2230</v>
      </c>
      <c r="K7089" s="5" t="str">
        <f t="shared" si="844"/>
        <v>000</v>
      </c>
      <c r="L7089" s="5">
        <f t="shared" si="845"/>
        <v>6</v>
      </c>
      <c r="M7089" s="5">
        <f t="shared" si="846"/>
        <v>2013</v>
      </c>
    </row>
    <row r="7090" spans="1:13" ht="15" x14ac:dyDescent="0.25">
      <c r="A7090" s="1">
        <f>DATE(2013,6,18)</f>
        <v>41443</v>
      </c>
      <c r="B7090" t="s">
        <v>11</v>
      </c>
      <c r="C7090" t="s">
        <v>6</v>
      </c>
      <c r="D7090" s="3">
        <v>6591.9892</v>
      </c>
      <c r="E7090" s="3">
        <v>0</v>
      </c>
      <c r="F7090" t="s">
        <v>45</v>
      </c>
      <c r="G7090" s="3">
        <f t="shared" si="840"/>
        <v>-6591.9892</v>
      </c>
      <c r="H7090" s="3">
        <f t="shared" si="841"/>
        <v>6591.9892</v>
      </c>
      <c r="I7090" s="5" t="str">
        <f t="shared" si="842"/>
        <v>016</v>
      </c>
      <c r="J7090" s="5" t="str">
        <f t="shared" si="843"/>
        <v>2100</v>
      </c>
      <c r="K7090" s="5" t="str">
        <f t="shared" si="844"/>
        <v>000</v>
      </c>
      <c r="L7090" s="5">
        <f t="shared" si="845"/>
        <v>6</v>
      </c>
      <c r="M7090" s="5">
        <f t="shared" si="846"/>
        <v>2013</v>
      </c>
    </row>
    <row r="7091" spans="1:13" ht="15" x14ac:dyDescent="0.25">
      <c r="A7091" s="1">
        <f>DATE(2013,6,18)</f>
        <v>41443</v>
      </c>
      <c r="B7091" t="s">
        <v>12</v>
      </c>
      <c r="C7091" t="s">
        <v>8</v>
      </c>
      <c r="D7091" s="3">
        <v>1624.7963999999999</v>
      </c>
      <c r="E7091" s="3">
        <v>0</v>
      </c>
      <c r="F7091" t="s">
        <v>45</v>
      </c>
      <c r="G7091" s="3">
        <f t="shared" si="840"/>
        <v>-1624.7963999999999</v>
      </c>
      <c r="H7091" s="3">
        <f t="shared" si="841"/>
        <v>1624.7963999999999</v>
      </c>
      <c r="I7091" s="5" t="str">
        <f t="shared" si="842"/>
        <v>016</v>
      </c>
      <c r="J7091" s="5" t="str">
        <f t="shared" si="843"/>
        <v>2210</v>
      </c>
      <c r="K7091" s="5" t="str">
        <f t="shared" si="844"/>
        <v>000</v>
      </c>
      <c r="L7091" s="5">
        <f t="shared" si="845"/>
        <v>6</v>
      </c>
      <c r="M7091" s="5">
        <f t="shared" si="846"/>
        <v>2013</v>
      </c>
    </row>
    <row r="7092" spans="1:13" ht="15" x14ac:dyDescent="0.25">
      <c r="A7092" s="1">
        <f>DATE(2013,6,18)</f>
        <v>41443</v>
      </c>
      <c r="B7092" t="s">
        <v>13</v>
      </c>
      <c r="C7092" t="s">
        <v>9</v>
      </c>
      <c r="D7092" s="3">
        <v>700.03440000000001</v>
      </c>
      <c r="E7092" s="3">
        <v>0</v>
      </c>
      <c r="F7092" t="s">
        <v>45</v>
      </c>
      <c r="G7092" s="3">
        <f t="shared" si="840"/>
        <v>-700.03440000000001</v>
      </c>
      <c r="H7092" s="3">
        <f t="shared" si="841"/>
        <v>700.03440000000001</v>
      </c>
      <c r="I7092" s="5" t="str">
        <f t="shared" si="842"/>
        <v>016</v>
      </c>
      <c r="J7092" s="5" t="str">
        <f t="shared" si="843"/>
        <v>2220</v>
      </c>
      <c r="K7092" s="5" t="str">
        <f t="shared" si="844"/>
        <v>000</v>
      </c>
      <c r="L7092" s="5">
        <f t="shared" si="845"/>
        <v>6</v>
      </c>
      <c r="M7092" s="5">
        <f t="shared" si="846"/>
        <v>2013</v>
      </c>
    </row>
    <row r="7093" spans="1:13" ht="15" x14ac:dyDescent="0.25">
      <c r="A7093" s="1">
        <f>DATE(2013,6,18)</f>
        <v>41443</v>
      </c>
      <c r="B7093" t="s">
        <v>14</v>
      </c>
      <c r="C7093" t="s">
        <v>10</v>
      </c>
      <c r="D7093" s="3">
        <v>112.456</v>
      </c>
      <c r="E7093" s="3">
        <v>0</v>
      </c>
      <c r="F7093" t="s">
        <v>45</v>
      </c>
      <c r="G7093" s="3">
        <f t="shared" si="840"/>
        <v>-112.456</v>
      </c>
      <c r="H7093" s="3">
        <f t="shared" si="841"/>
        <v>112.456</v>
      </c>
      <c r="I7093" s="5" t="str">
        <f t="shared" si="842"/>
        <v>016</v>
      </c>
      <c r="J7093" s="5" t="str">
        <f t="shared" si="843"/>
        <v>2230</v>
      </c>
      <c r="K7093" s="5" t="str">
        <f t="shared" si="844"/>
        <v>000</v>
      </c>
      <c r="L7093" s="5">
        <f t="shared" si="845"/>
        <v>6</v>
      </c>
      <c r="M7093" s="5">
        <f t="shared" si="846"/>
        <v>2013</v>
      </c>
    </row>
    <row r="7094" spans="1:13" ht="15" x14ac:dyDescent="0.25">
      <c r="A7094" s="1">
        <f>DATE(2013,6,19)</f>
        <v>41444</v>
      </c>
      <c r="B7094" t="s">
        <v>11</v>
      </c>
      <c r="C7094" t="s">
        <v>6</v>
      </c>
      <c r="D7094" s="3">
        <v>3651.5994000000001</v>
      </c>
      <c r="E7094" s="3">
        <v>0</v>
      </c>
      <c r="F7094" t="s">
        <v>45</v>
      </c>
      <c r="G7094" s="3">
        <f t="shared" si="840"/>
        <v>-3651.5994000000001</v>
      </c>
      <c r="H7094" s="3">
        <f t="shared" si="841"/>
        <v>3651.5994000000001</v>
      </c>
      <c r="I7094" s="5" t="str">
        <f t="shared" si="842"/>
        <v>016</v>
      </c>
      <c r="J7094" s="5" t="str">
        <f t="shared" si="843"/>
        <v>2100</v>
      </c>
      <c r="K7094" s="5" t="str">
        <f t="shared" si="844"/>
        <v>000</v>
      </c>
      <c r="L7094" s="5">
        <f t="shared" si="845"/>
        <v>6</v>
      </c>
      <c r="M7094" s="5">
        <f t="shared" si="846"/>
        <v>2013</v>
      </c>
    </row>
    <row r="7095" spans="1:13" ht="15" x14ac:dyDescent="0.25">
      <c r="A7095" s="1">
        <f>DATE(2013,6,19)</f>
        <v>41444</v>
      </c>
      <c r="B7095" t="s">
        <v>12</v>
      </c>
      <c r="C7095" t="s">
        <v>8</v>
      </c>
      <c r="D7095" s="3">
        <v>952.14210000000003</v>
      </c>
      <c r="E7095" s="3">
        <v>0</v>
      </c>
      <c r="F7095" t="s">
        <v>45</v>
      </c>
      <c r="G7095" s="3">
        <f t="shared" si="840"/>
        <v>-952.14210000000003</v>
      </c>
      <c r="H7095" s="3">
        <f t="shared" si="841"/>
        <v>952.14210000000003</v>
      </c>
      <c r="I7095" s="5" t="str">
        <f t="shared" si="842"/>
        <v>016</v>
      </c>
      <c r="J7095" s="5" t="str">
        <f t="shared" si="843"/>
        <v>2210</v>
      </c>
      <c r="K7095" s="5" t="str">
        <f t="shared" si="844"/>
        <v>000</v>
      </c>
      <c r="L7095" s="5">
        <f t="shared" si="845"/>
        <v>6</v>
      </c>
      <c r="M7095" s="5">
        <f t="shared" si="846"/>
        <v>2013</v>
      </c>
    </row>
    <row r="7096" spans="1:13" ht="15" x14ac:dyDescent="0.25">
      <c r="A7096" s="1">
        <f>DATE(2013,6,19)</f>
        <v>41444</v>
      </c>
      <c r="B7096" t="s">
        <v>13</v>
      </c>
      <c r="C7096" t="s">
        <v>9</v>
      </c>
      <c r="D7096" s="3">
        <v>243.77759999999998</v>
      </c>
      <c r="E7096" s="3">
        <v>0</v>
      </c>
      <c r="F7096" t="s">
        <v>45</v>
      </c>
      <c r="G7096" s="3">
        <f t="shared" si="840"/>
        <v>-243.77759999999998</v>
      </c>
      <c r="H7096" s="3">
        <f t="shared" si="841"/>
        <v>243.77759999999998</v>
      </c>
      <c r="I7096" s="5" t="str">
        <f t="shared" si="842"/>
        <v>016</v>
      </c>
      <c r="J7096" s="5" t="str">
        <f t="shared" si="843"/>
        <v>2220</v>
      </c>
      <c r="K7096" s="5" t="str">
        <f t="shared" si="844"/>
        <v>000</v>
      </c>
      <c r="L7096" s="5">
        <f t="shared" si="845"/>
        <v>6</v>
      </c>
      <c r="M7096" s="5">
        <f t="shared" si="846"/>
        <v>2013</v>
      </c>
    </row>
    <row r="7097" spans="1:13" ht="15" x14ac:dyDescent="0.25">
      <c r="A7097" s="1">
        <f>DATE(2013,6,19)</f>
        <v>41444</v>
      </c>
      <c r="B7097" t="s">
        <v>14</v>
      </c>
      <c r="C7097" t="s">
        <v>10</v>
      </c>
      <c r="D7097" s="3">
        <v>104.99049999999998</v>
      </c>
      <c r="E7097" s="3">
        <v>0</v>
      </c>
      <c r="F7097" t="s">
        <v>45</v>
      </c>
      <c r="G7097" s="3">
        <f t="shared" si="840"/>
        <v>-104.99049999999998</v>
      </c>
      <c r="H7097" s="3">
        <f t="shared" si="841"/>
        <v>104.99049999999998</v>
      </c>
      <c r="I7097" s="5" t="str">
        <f t="shared" si="842"/>
        <v>016</v>
      </c>
      <c r="J7097" s="5" t="str">
        <f t="shared" si="843"/>
        <v>2230</v>
      </c>
      <c r="K7097" s="5" t="str">
        <f t="shared" si="844"/>
        <v>000</v>
      </c>
      <c r="L7097" s="5">
        <f t="shared" si="845"/>
        <v>6</v>
      </c>
      <c r="M7097" s="5">
        <f t="shared" si="846"/>
        <v>2013</v>
      </c>
    </row>
    <row r="7098" spans="1:13" ht="15" x14ac:dyDescent="0.25">
      <c r="A7098" s="1">
        <f>DATE(2013,6,20)</f>
        <v>41445</v>
      </c>
      <c r="B7098" t="s">
        <v>11</v>
      </c>
      <c r="C7098" t="s">
        <v>6</v>
      </c>
      <c r="D7098" s="3">
        <v>2828.0358000000001</v>
      </c>
      <c r="E7098" s="3">
        <v>0</v>
      </c>
      <c r="F7098" t="s">
        <v>45</v>
      </c>
      <c r="G7098" s="3">
        <f t="shared" si="840"/>
        <v>-2828.0358000000001</v>
      </c>
      <c r="H7098" s="3">
        <f t="shared" si="841"/>
        <v>2828.0358000000001</v>
      </c>
      <c r="I7098" s="5" t="str">
        <f t="shared" si="842"/>
        <v>016</v>
      </c>
      <c r="J7098" s="5" t="str">
        <f t="shared" si="843"/>
        <v>2100</v>
      </c>
      <c r="K7098" s="5" t="str">
        <f t="shared" si="844"/>
        <v>000</v>
      </c>
      <c r="L7098" s="5">
        <f t="shared" si="845"/>
        <v>6</v>
      </c>
      <c r="M7098" s="5">
        <f t="shared" si="846"/>
        <v>2013</v>
      </c>
    </row>
    <row r="7099" spans="1:13" ht="15" x14ac:dyDescent="0.25">
      <c r="A7099" s="1">
        <f>DATE(2013,6,20)</f>
        <v>41445</v>
      </c>
      <c r="B7099" t="s">
        <v>12</v>
      </c>
      <c r="C7099" t="s">
        <v>8</v>
      </c>
      <c r="D7099" s="3">
        <v>639.03680000000008</v>
      </c>
      <c r="E7099" s="3">
        <v>0</v>
      </c>
      <c r="F7099" t="s">
        <v>45</v>
      </c>
      <c r="G7099" s="3">
        <f t="shared" si="840"/>
        <v>-639.03680000000008</v>
      </c>
      <c r="H7099" s="3">
        <f t="shared" si="841"/>
        <v>639.03680000000008</v>
      </c>
      <c r="I7099" s="5" t="str">
        <f t="shared" si="842"/>
        <v>016</v>
      </c>
      <c r="J7099" s="5" t="str">
        <f t="shared" si="843"/>
        <v>2210</v>
      </c>
      <c r="K7099" s="5" t="str">
        <f t="shared" si="844"/>
        <v>000</v>
      </c>
      <c r="L7099" s="5">
        <f t="shared" si="845"/>
        <v>6</v>
      </c>
      <c r="M7099" s="5">
        <f t="shared" si="846"/>
        <v>2013</v>
      </c>
    </row>
    <row r="7100" spans="1:13" ht="15" x14ac:dyDescent="0.25">
      <c r="A7100" s="1">
        <f>DATE(2013,6,20)</f>
        <v>41445</v>
      </c>
      <c r="B7100" t="s">
        <v>13</v>
      </c>
      <c r="C7100" t="s">
        <v>9</v>
      </c>
      <c r="D7100" s="3">
        <v>204.6035</v>
      </c>
      <c r="E7100" s="3">
        <v>0</v>
      </c>
      <c r="F7100" t="s">
        <v>45</v>
      </c>
      <c r="G7100" s="3">
        <f t="shared" si="840"/>
        <v>-204.6035</v>
      </c>
      <c r="H7100" s="3">
        <f t="shared" si="841"/>
        <v>204.6035</v>
      </c>
      <c r="I7100" s="5" t="str">
        <f t="shared" si="842"/>
        <v>016</v>
      </c>
      <c r="J7100" s="5" t="str">
        <f t="shared" si="843"/>
        <v>2220</v>
      </c>
      <c r="K7100" s="5" t="str">
        <f t="shared" si="844"/>
        <v>000</v>
      </c>
      <c r="L7100" s="5">
        <f t="shared" si="845"/>
        <v>6</v>
      </c>
      <c r="M7100" s="5">
        <f t="shared" si="846"/>
        <v>2013</v>
      </c>
    </row>
    <row r="7101" spans="1:13" ht="15" x14ac:dyDescent="0.25">
      <c r="A7101" s="1">
        <f>DATE(2013,6,20)</f>
        <v>41445</v>
      </c>
      <c r="B7101" t="s">
        <v>14</v>
      </c>
      <c r="C7101" t="s">
        <v>10</v>
      </c>
      <c r="D7101" s="3">
        <v>48.948599999999992</v>
      </c>
      <c r="E7101" s="3">
        <v>0</v>
      </c>
      <c r="F7101" t="s">
        <v>45</v>
      </c>
      <c r="G7101" s="3">
        <f t="shared" si="840"/>
        <v>-48.948599999999992</v>
      </c>
      <c r="H7101" s="3">
        <f t="shared" si="841"/>
        <v>48.948599999999992</v>
      </c>
      <c r="I7101" s="5" t="str">
        <f t="shared" si="842"/>
        <v>016</v>
      </c>
      <c r="J7101" s="5" t="str">
        <f t="shared" si="843"/>
        <v>2230</v>
      </c>
      <c r="K7101" s="5" t="str">
        <f t="shared" si="844"/>
        <v>000</v>
      </c>
      <c r="L7101" s="5">
        <f t="shared" si="845"/>
        <v>6</v>
      </c>
      <c r="M7101" s="5">
        <f t="shared" si="846"/>
        <v>2013</v>
      </c>
    </row>
    <row r="7102" spans="1:13" ht="15" x14ac:dyDescent="0.25">
      <c r="A7102" s="1">
        <f>DATE(2013,6,21)</f>
        <v>41446</v>
      </c>
      <c r="B7102" t="s">
        <v>11</v>
      </c>
      <c r="C7102" t="s">
        <v>6</v>
      </c>
      <c r="D7102" s="3">
        <v>6235.4931999999999</v>
      </c>
      <c r="E7102" s="3">
        <v>0</v>
      </c>
      <c r="F7102" t="s">
        <v>45</v>
      </c>
      <c r="G7102" s="3">
        <f t="shared" si="840"/>
        <v>-6235.4931999999999</v>
      </c>
      <c r="H7102" s="3">
        <f t="shared" si="841"/>
        <v>6235.4931999999999</v>
      </c>
      <c r="I7102" s="5" t="str">
        <f t="shared" si="842"/>
        <v>016</v>
      </c>
      <c r="J7102" s="5" t="str">
        <f t="shared" si="843"/>
        <v>2100</v>
      </c>
      <c r="K7102" s="5" t="str">
        <f t="shared" si="844"/>
        <v>000</v>
      </c>
      <c r="L7102" s="5">
        <f t="shared" si="845"/>
        <v>6</v>
      </c>
      <c r="M7102" s="5">
        <f t="shared" si="846"/>
        <v>2013</v>
      </c>
    </row>
    <row r="7103" spans="1:13" ht="15" x14ac:dyDescent="0.25">
      <c r="A7103" s="1">
        <f>DATE(2013,6,21)</f>
        <v>41446</v>
      </c>
      <c r="B7103" t="s">
        <v>12</v>
      </c>
      <c r="C7103" t="s">
        <v>8</v>
      </c>
      <c r="D7103" s="3">
        <v>1470.7368000000001</v>
      </c>
      <c r="E7103" s="3">
        <v>0</v>
      </c>
      <c r="F7103" t="s">
        <v>45</v>
      </c>
      <c r="G7103" s="3">
        <f t="shared" si="840"/>
        <v>-1470.7368000000001</v>
      </c>
      <c r="H7103" s="3">
        <f t="shared" si="841"/>
        <v>1470.7368000000001</v>
      </c>
      <c r="I7103" s="5" t="str">
        <f t="shared" si="842"/>
        <v>016</v>
      </c>
      <c r="J7103" s="5" t="str">
        <f t="shared" si="843"/>
        <v>2210</v>
      </c>
      <c r="K7103" s="5" t="str">
        <f t="shared" si="844"/>
        <v>000</v>
      </c>
      <c r="L7103" s="5">
        <f t="shared" si="845"/>
        <v>6</v>
      </c>
      <c r="M7103" s="5">
        <f t="shared" si="846"/>
        <v>2013</v>
      </c>
    </row>
    <row r="7104" spans="1:13" ht="15" x14ac:dyDescent="0.25">
      <c r="A7104" s="1">
        <f>DATE(2013,6,21)</f>
        <v>41446</v>
      </c>
      <c r="B7104" t="s">
        <v>13</v>
      </c>
      <c r="C7104" t="s">
        <v>9</v>
      </c>
      <c r="D7104" s="3">
        <v>159.06150000000002</v>
      </c>
      <c r="E7104" s="3">
        <v>0</v>
      </c>
      <c r="F7104" t="s">
        <v>45</v>
      </c>
      <c r="G7104" s="3">
        <f t="shared" si="840"/>
        <v>-159.06150000000002</v>
      </c>
      <c r="H7104" s="3">
        <f t="shared" si="841"/>
        <v>159.06150000000002</v>
      </c>
      <c r="I7104" s="5" t="str">
        <f t="shared" si="842"/>
        <v>016</v>
      </c>
      <c r="J7104" s="5" t="str">
        <f t="shared" si="843"/>
        <v>2220</v>
      </c>
      <c r="K7104" s="5" t="str">
        <f t="shared" si="844"/>
        <v>000</v>
      </c>
      <c r="L7104" s="5">
        <f t="shared" si="845"/>
        <v>6</v>
      </c>
      <c r="M7104" s="5">
        <f t="shared" si="846"/>
        <v>2013</v>
      </c>
    </row>
    <row r="7105" spans="1:13" ht="15" x14ac:dyDescent="0.25">
      <c r="A7105" s="1">
        <f>DATE(2013,6,21)</f>
        <v>41446</v>
      </c>
      <c r="B7105" t="s">
        <v>14</v>
      </c>
      <c r="C7105" t="s">
        <v>10</v>
      </c>
      <c r="D7105" s="3">
        <v>118.77</v>
      </c>
      <c r="E7105" s="3">
        <v>0</v>
      </c>
      <c r="F7105" t="s">
        <v>45</v>
      </c>
      <c r="G7105" s="3">
        <f t="shared" si="840"/>
        <v>-118.77</v>
      </c>
      <c r="H7105" s="3">
        <f t="shared" si="841"/>
        <v>118.77</v>
      </c>
      <c r="I7105" s="5" t="str">
        <f t="shared" si="842"/>
        <v>016</v>
      </c>
      <c r="J7105" s="5" t="str">
        <f t="shared" si="843"/>
        <v>2230</v>
      </c>
      <c r="K7105" s="5" t="str">
        <f t="shared" si="844"/>
        <v>000</v>
      </c>
      <c r="L7105" s="5">
        <f t="shared" si="845"/>
        <v>6</v>
      </c>
      <c r="M7105" s="5">
        <f t="shared" si="846"/>
        <v>2013</v>
      </c>
    </row>
    <row r="7106" spans="1:13" ht="15" x14ac:dyDescent="0.25">
      <c r="A7106" s="1">
        <f>DATE(2013,6,22)</f>
        <v>41447</v>
      </c>
      <c r="B7106" t="s">
        <v>11</v>
      </c>
      <c r="C7106" t="s">
        <v>6</v>
      </c>
      <c r="D7106" s="3">
        <v>9085.8768</v>
      </c>
      <c r="E7106" s="3">
        <v>0</v>
      </c>
      <c r="F7106" t="s">
        <v>45</v>
      </c>
      <c r="G7106" s="3">
        <f t="shared" ref="G7106:G7169" si="847">E7106-D7106</f>
        <v>-9085.8768</v>
      </c>
      <c r="H7106" s="3">
        <f t="shared" ref="H7106:H7169" si="848">ABS(G7106)</f>
        <v>9085.8768</v>
      </c>
      <c r="I7106" s="5" t="str">
        <f t="shared" ref="I7106:I7169" si="849">MID(B7106,1,3)</f>
        <v>016</v>
      </c>
      <c r="J7106" s="5" t="str">
        <f t="shared" ref="J7106:J7169" si="850">MID(B7106,5,4)</f>
        <v>2100</v>
      </c>
      <c r="K7106" s="5" t="str">
        <f t="shared" ref="K7106:K7169" si="851">MID(B7106,10,3)</f>
        <v>000</v>
      </c>
      <c r="L7106" s="5">
        <f t="shared" ref="L7106:L7169" si="852">MONTH(A7106)</f>
        <v>6</v>
      </c>
      <c r="M7106" s="5">
        <f t="shared" ref="M7106:M7169" si="853">YEAR(A7106)</f>
        <v>2013</v>
      </c>
    </row>
    <row r="7107" spans="1:13" ht="15" x14ac:dyDescent="0.25">
      <c r="A7107" s="1">
        <f>DATE(2013,6,22)</f>
        <v>41447</v>
      </c>
      <c r="B7107" t="s">
        <v>12</v>
      </c>
      <c r="C7107" t="s">
        <v>8</v>
      </c>
      <c r="D7107" s="3">
        <v>2521.3049999999998</v>
      </c>
      <c r="E7107" s="3">
        <v>0</v>
      </c>
      <c r="F7107" t="s">
        <v>45</v>
      </c>
      <c r="G7107" s="3">
        <f t="shared" si="847"/>
        <v>-2521.3049999999998</v>
      </c>
      <c r="H7107" s="3">
        <f t="shared" si="848"/>
        <v>2521.3049999999998</v>
      </c>
      <c r="I7107" s="5" t="str">
        <f t="shared" si="849"/>
        <v>016</v>
      </c>
      <c r="J7107" s="5" t="str">
        <f t="shared" si="850"/>
        <v>2210</v>
      </c>
      <c r="K7107" s="5" t="str">
        <f t="shared" si="851"/>
        <v>000</v>
      </c>
      <c r="L7107" s="5">
        <f t="shared" si="852"/>
        <v>6</v>
      </c>
      <c r="M7107" s="5">
        <f t="shared" si="853"/>
        <v>2013</v>
      </c>
    </row>
    <row r="7108" spans="1:13" ht="15" x14ac:dyDescent="0.25">
      <c r="A7108" s="1">
        <f>DATE(2013,6,22)</f>
        <v>41447</v>
      </c>
      <c r="B7108" t="s">
        <v>13</v>
      </c>
      <c r="C7108" t="s">
        <v>9</v>
      </c>
      <c r="D7108" s="3">
        <v>369.06320000000005</v>
      </c>
      <c r="E7108" s="3">
        <v>0</v>
      </c>
      <c r="F7108" t="s">
        <v>45</v>
      </c>
      <c r="G7108" s="3">
        <f t="shared" si="847"/>
        <v>-369.06320000000005</v>
      </c>
      <c r="H7108" s="3">
        <f t="shared" si="848"/>
        <v>369.06320000000005</v>
      </c>
      <c r="I7108" s="5" t="str">
        <f t="shared" si="849"/>
        <v>016</v>
      </c>
      <c r="J7108" s="5" t="str">
        <f t="shared" si="850"/>
        <v>2220</v>
      </c>
      <c r="K7108" s="5" t="str">
        <f t="shared" si="851"/>
        <v>000</v>
      </c>
      <c r="L7108" s="5">
        <f t="shared" si="852"/>
        <v>6</v>
      </c>
      <c r="M7108" s="5">
        <f t="shared" si="853"/>
        <v>2013</v>
      </c>
    </row>
    <row r="7109" spans="1:13" ht="15" x14ac:dyDescent="0.25">
      <c r="A7109" s="1">
        <f>DATE(2013,6,22)</f>
        <v>41447</v>
      </c>
      <c r="B7109" t="s">
        <v>14</v>
      </c>
      <c r="C7109" t="s">
        <v>10</v>
      </c>
      <c r="D7109" s="3">
        <v>233.85509999999999</v>
      </c>
      <c r="E7109" s="3">
        <v>0</v>
      </c>
      <c r="F7109" t="s">
        <v>45</v>
      </c>
      <c r="G7109" s="3">
        <f t="shared" si="847"/>
        <v>-233.85509999999999</v>
      </c>
      <c r="H7109" s="3">
        <f t="shared" si="848"/>
        <v>233.85509999999999</v>
      </c>
      <c r="I7109" s="5" t="str">
        <f t="shared" si="849"/>
        <v>016</v>
      </c>
      <c r="J7109" s="5" t="str">
        <f t="shared" si="850"/>
        <v>2230</v>
      </c>
      <c r="K7109" s="5" t="str">
        <f t="shared" si="851"/>
        <v>000</v>
      </c>
      <c r="L7109" s="5">
        <f t="shared" si="852"/>
        <v>6</v>
      </c>
      <c r="M7109" s="5">
        <f t="shared" si="853"/>
        <v>2013</v>
      </c>
    </row>
    <row r="7110" spans="1:13" ht="15" x14ac:dyDescent="0.25">
      <c r="A7110" s="1">
        <f>DATE(2013,6,23)</f>
        <v>41448</v>
      </c>
      <c r="B7110" t="s">
        <v>11</v>
      </c>
      <c r="C7110" t="s">
        <v>6</v>
      </c>
      <c r="D7110" s="3">
        <v>4906.1000999999997</v>
      </c>
      <c r="E7110" s="3">
        <v>0</v>
      </c>
      <c r="F7110" t="s">
        <v>45</v>
      </c>
      <c r="G7110" s="3">
        <f t="shared" si="847"/>
        <v>-4906.1000999999997</v>
      </c>
      <c r="H7110" s="3">
        <f t="shared" si="848"/>
        <v>4906.1000999999997</v>
      </c>
      <c r="I7110" s="5" t="str">
        <f t="shared" si="849"/>
        <v>016</v>
      </c>
      <c r="J7110" s="5" t="str">
        <f t="shared" si="850"/>
        <v>2100</v>
      </c>
      <c r="K7110" s="5" t="str">
        <f t="shared" si="851"/>
        <v>000</v>
      </c>
      <c r="L7110" s="5">
        <f t="shared" si="852"/>
        <v>6</v>
      </c>
      <c r="M7110" s="5">
        <f t="shared" si="853"/>
        <v>2013</v>
      </c>
    </row>
    <row r="7111" spans="1:13" ht="15" x14ac:dyDescent="0.25">
      <c r="A7111" s="1">
        <f>DATE(2013,6,23)</f>
        <v>41448</v>
      </c>
      <c r="B7111" t="s">
        <v>12</v>
      </c>
      <c r="C7111" t="s">
        <v>8</v>
      </c>
      <c r="D7111" s="3">
        <v>1302.0129999999999</v>
      </c>
      <c r="E7111" s="3">
        <v>0</v>
      </c>
      <c r="F7111" t="s">
        <v>45</v>
      </c>
      <c r="G7111" s="3">
        <f t="shared" si="847"/>
        <v>-1302.0129999999999</v>
      </c>
      <c r="H7111" s="3">
        <f t="shared" si="848"/>
        <v>1302.0129999999999</v>
      </c>
      <c r="I7111" s="5" t="str">
        <f t="shared" si="849"/>
        <v>016</v>
      </c>
      <c r="J7111" s="5" t="str">
        <f t="shared" si="850"/>
        <v>2210</v>
      </c>
      <c r="K7111" s="5" t="str">
        <f t="shared" si="851"/>
        <v>000</v>
      </c>
      <c r="L7111" s="5">
        <f t="shared" si="852"/>
        <v>6</v>
      </c>
      <c r="M7111" s="5">
        <f t="shared" si="853"/>
        <v>2013</v>
      </c>
    </row>
    <row r="7112" spans="1:13" ht="15" x14ac:dyDescent="0.25">
      <c r="A7112" s="1">
        <f>DATE(2013,6,23)</f>
        <v>41448</v>
      </c>
      <c r="B7112" t="s">
        <v>13</v>
      </c>
      <c r="C7112" t="s">
        <v>9</v>
      </c>
      <c r="D7112" s="3">
        <v>175.98890000000003</v>
      </c>
      <c r="E7112" s="3">
        <v>0</v>
      </c>
      <c r="F7112" t="s">
        <v>45</v>
      </c>
      <c r="G7112" s="3">
        <f t="shared" si="847"/>
        <v>-175.98890000000003</v>
      </c>
      <c r="H7112" s="3">
        <f t="shared" si="848"/>
        <v>175.98890000000003</v>
      </c>
      <c r="I7112" s="5" t="str">
        <f t="shared" si="849"/>
        <v>016</v>
      </c>
      <c r="J7112" s="5" t="str">
        <f t="shared" si="850"/>
        <v>2220</v>
      </c>
      <c r="K7112" s="5" t="str">
        <f t="shared" si="851"/>
        <v>000</v>
      </c>
      <c r="L7112" s="5">
        <f t="shared" si="852"/>
        <v>6</v>
      </c>
      <c r="M7112" s="5">
        <f t="shared" si="853"/>
        <v>2013</v>
      </c>
    </row>
    <row r="7113" spans="1:13" ht="15" x14ac:dyDescent="0.25">
      <c r="A7113" s="1">
        <f>DATE(2013,6,23)</f>
        <v>41448</v>
      </c>
      <c r="B7113" t="s">
        <v>14</v>
      </c>
      <c r="C7113" t="s">
        <v>10</v>
      </c>
      <c r="D7113" s="3">
        <v>122.47560000000001</v>
      </c>
      <c r="E7113" s="3">
        <v>0</v>
      </c>
      <c r="F7113" t="s">
        <v>45</v>
      </c>
      <c r="G7113" s="3">
        <f t="shared" si="847"/>
        <v>-122.47560000000001</v>
      </c>
      <c r="H7113" s="3">
        <f t="shared" si="848"/>
        <v>122.47560000000001</v>
      </c>
      <c r="I7113" s="5" t="str">
        <f t="shared" si="849"/>
        <v>016</v>
      </c>
      <c r="J7113" s="5" t="str">
        <f t="shared" si="850"/>
        <v>2230</v>
      </c>
      <c r="K7113" s="5" t="str">
        <f t="shared" si="851"/>
        <v>000</v>
      </c>
      <c r="L7113" s="5">
        <f t="shared" si="852"/>
        <v>6</v>
      </c>
      <c r="M7113" s="5">
        <f t="shared" si="853"/>
        <v>2013</v>
      </c>
    </row>
    <row r="7114" spans="1:13" ht="15" x14ac:dyDescent="0.25">
      <c r="A7114" s="1">
        <f>DATE(2013,6,17)</f>
        <v>41442</v>
      </c>
      <c r="B7114" t="s">
        <v>15</v>
      </c>
      <c r="C7114" t="s">
        <v>6</v>
      </c>
      <c r="D7114" s="3">
        <v>6308.8455000000004</v>
      </c>
      <c r="E7114" s="3">
        <v>0</v>
      </c>
      <c r="F7114" t="s">
        <v>45</v>
      </c>
      <c r="G7114" s="3">
        <f t="shared" si="847"/>
        <v>-6308.8455000000004</v>
      </c>
      <c r="H7114" s="3">
        <f t="shared" si="848"/>
        <v>6308.8455000000004</v>
      </c>
      <c r="I7114" s="5" t="str">
        <f t="shared" si="849"/>
        <v>017</v>
      </c>
      <c r="J7114" s="5" t="str">
        <f t="shared" si="850"/>
        <v>2100</v>
      </c>
      <c r="K7114" s="5" t="str">
        <f t="shared" si="851"/>
        <v>000</v>
      </c>
      <c r="L7114" s="5">
        <f t="shared" si="852"/>
        <v>6</v>
      </c>
      <c r="M7114" s="5">
        <f t="shared" si="853"/>
        <v>2013</v>
      </c>
    </row>
    <row r="7115" spans="1:13" ht="15" x14ac:dyDescent="0.25">
      <c r="A7115" s="1">
        <f>DATE(2013,6,17)</f>
        <v>41442</v>
      </c>
      <c r="B7115" t="s">
        <v>16</v>
      </c>
      <c r="C7115" t="s">
        <v>8</v>
      </c>
      <c r="D7115" s="3">
        <v>688.87699999999995</v>
      </c>
      <c r="E7115" s="3">
        <v>0</v>
      </c>
      <c r="F7115" t="s">
        <v>45</v>
      </c>
      <c r="G7115" s="3">
        <f t="shared" si="847"/>
        <v>-688.87699999999995</v>
      </c>
      <c r="H7115" s="3">
        <f t="shared" si="848"/>
        <v>688.87699999999995</v>
      </c>
      <c r="I7115" s="5" t="str">
        <f t="shared" si="849"/>
        <v>017</v>
      </c>
      <c r="J7115" s="5" t="str">
        <f t="shared" si="850"/>
        <v>2210</v>
      </c>
      <c r="K7115" s="5" t="str">
        <f t="shared" si="851"/>
        <v>000</v>
      </c>
      <c r="L7115" s="5">
        <f t="shared" si="852"/>
        <v>6</v>
      </c>
      <c r="M7115" s="5">
        <f t="shared" si="853"/>
        <v>2013</v>
      </c>
    </row>
    <row r="7116" spans="1:13" ht="15" x14ac:dyDescent="0.25">
      <c r="A7116" s="1">
        <f>DATE(2013,6,17)</f>
        <v>41442</v>
      </c>
      <c r="B7116" t="s">
        <v>17</v>
      </c>
      <c r="C7116" t="s">
        <v>9</v>
      </c>
      <c r="D7116" s="3">
        <v>277.40010000000001</v>
      </c>
      <c r="E7116" s="3">
        <v>0</v>
      </c>
      <c r="F7116" t="s">
        <v>45</v>
      </c>
      <c r="G7116" s="3">
        <f t="shared" si="847"/>
        <v>-277.40010000000001</v>
      </c>
      <c r="H7116" s="3">
        <f t="shared" si="848"/>
        <v>277.40010000000001</v>
      </c>
      <c r="I7116" s="5" t="str">
        <f t="shared" si="849"/>
        <v>017</v>
      </c>
      <c r="J7116" s="5" t="str">
        <f t="shared" si="850"/>
        <v>2220</v>
      </c>
      <c r="K7116" s="5" t="str">
        <f t="shared" si="851"/>
        <v>000</v>
      </c>
      <c r="L7116" s="5">
        <f t="shared" si="852"/>
        <v>6</v>
      </c>
      <c r="M7116" s="5">
        <f t="shared" si="853"/>
        <v>2013</v>
      </c>
    </row>
    <row r="7117" spans="1:13" ht="15" x14ac:dyDescent="0.25">
      <c r="A7117" s="1">
        <f>DATE(2013,6,17)</f>
        <v>41442</v>
      </c>
      <c r="B7117" t="s">
        <v>18</v>
      </c>
      <c r="C7117" t="s">
        <v>10</v>
      </c>
      <c r="D7117" s="3">
        <v>31.546400000000002</v>
      </c>
      <c r="E7117" s="3">
        <v>0</v>
      </c>
      <c r="F7117" t="s">
        <v>45</v>
      </c>
      <c r="G7117" s="3">
        <f t="shared" si="847"/>
        <v>-31.546400000000002</v>
      </c>
      <c r="H7117" s="3">
        <f t="shared" si="848"/>
        <v>31.546400000000002</v>
      </c>
      <c r="I7117" s="5" t="str">
        <f t="shared" si="849"/>
        <v>017</v>
      </c>
      <c r="J7117" s="5" t="str">
        <f t="shared" si="850"/>
        <v>2230</v>
      </c>
      <c r="K7117" s="5" t="str">
        <f t="shared" si="851"/>
        <v>000</v>
      </c>
      <c r="L7117" s="5">
        <f t="shared" si="852"/>
        <v>6</v>
      </c>
      <c r="M7117" s="5">
        <f t="shared" si="853"/>
        <v>2013</v>
      </c>
    </row>
    <row r="7118" spans="1:13" ht="15" x14ac:dyDescent="0.25">
      <c r="A7118" s="1">
        <f>DATE(2013,6,18)</f>
        <v>41443</v>
      </c>
      <c r="B7118" t="s">
        <v>15</v>
      </c>
      <c r="C7118" t="s">
        <v>6</v>
      </c>
      <c r="D7118" s="3">
        <v>4537.9026000000003</v>
      </c>
      <c r="E7118" s="3">
        <v>0</v>
      </c>
      <c r="F7118" t="s">
        <v>45</v>
      </c>
      <c r="G7118" s="3">
        <f t="shared" si="847"/>
        <v>-4537.9026000000003</v>
      </c>
      <c r="H7118" s="3">
        <f t="shared" si="848"/>
        <v>4537.9026000000003</v>
      </c>
      <c r="I7118" s="5" t="str">
        <f t="shared" si="849"/>
        <v>017</v>
      </c>
      <c r="J7118" s="5" t="str">
        <f t="shared" si="850"/>
        <v>2100</v>
      </c>
      <c r="K7118" s="5" t="str">
        <f t="shared" si="851"/>
        <v>000</v>
      </c>
      <c r="L7118" s="5">
        <f t="shared" si="852"/>
        <v>6</v>
      </c>
      <c r="M7118" s="5">
        <f t="shared" si="853"/>
        <v>2013</v>
      </c>
    </row>
    <row r="7119" spans="1:13" ht="15" x14ac:dyDescent="0.25">
      <c r="A7119" s="1">
        <f>DATE(2013,6,18)</f>
        <v>41443</v>
      </c>
      <c r="B7119" t="s">
        <v>16</v>
      </c>
      <c r="C7119" t="s">
        <v>8</v>
      </c>
      <c r="D7119" s="3">
        <v>2119.4991999999997</v>
      </c>
      <c r="E7119" s="3">
        <v>0</v>
      </c>
      <c r="F7119" t="s">
        <v>45</v>
      </c>
      <c r="G7119" s="3">
        <f t="shared" si="847"/>
        <v>-2119.4991999999997</v>
      </c>
      <c r="H7119" s="3">
        <f t="shared" si="848"/>
        <v>2119.4991999999997</v>
      </c>
      <c r="I7119" s="5" t="str">
        <f t="shared" si="849"/>
        <v>017</v>
      </c>
      <c r="J7119" s="5" t="str">
        <f t="shared" si="850"/>
        <v>2210</v>
      </c>
      <c r="K7119" s="5" t="str">
        <f t="shared" si="851"/>
        <v>000</v>
      </c>
      <c r="L7119" s="5">
        <f t="shared" si="852"/>
        <v>6</v>
      </c>
      <c r="M7119" s="5">
        <f t="shared" si="853"/>
        <v>2013</v>
      </c>
    </row>
    <row r="7120" spans="1:13" ht="15" x14ac:dyDescent="0.25">
      <c r="A7120" s="1">
        <f>DATE(2013,6,18)</f>
        <v>41443</v>
      </c>
      <c r="B7120" t="s">
        <v>17</v>
      </c>
      <c r="C7120" t="s">
        <v>9</v>
      </c>
      <c r="D7120" s="3">
        <v>435.51200000000006</v>
      </c>
      <c r="E7120" s="3">
        <v>0</v>
      </c>
      <c r="F7120" t="s">
        <v>45</v>
      </c>
      <c r="G7120" s="3">
        <f t="shared" si="847"/>
        <v>-435.51200000000006</v>
      </c>
      <c r="H7120" s="3">
        <f t="shared" si="848"/>
        <v>435.51200000000006</v>
      </c>
      <c r="I7120" s="5" t="str">
        <f t="shared" si="849"/>
        <v>017</v>
      </c>
      <c r="J7120" s="5" t="str">
        <f t="shared" si="850"/>
        <v>2220</v>
      </c>
      <c r="K7120" s="5" t="str">
        <f t="shared" si="851"/>
        <v>000</v>
      </c>
      <c r="L7120" s="5">
        <f t="shared" si="852"/>
        <v>6</v>
      </c>
      <c r="M7120" s="5">
        <f t="shared" si="853"/>
        <v>2013</v>
      </c>
    </row>
    <row r="7121" spans="1:13" ht="15" x14ac:dyDescent="0.25">
      <c r="A7121" s="1">
        <f>DATE(2013,6,18)</f>
        <v>41443</v>
      </c>
      <c r="B7121" t="s">
        <v>18</v>
      </c>
      <c r="C7121" t="s">
        <v>10</v>
      </c>
      <c r="D7121" s="3">
        <v>199.0625</v>
      </c>
      <c r="E7121" s="3">
        <v>0</v>
      </c>
      <c r="F7121" t="s">
        <v>45</v>
      </c>
      <c r="G7121" s="3">
        <f t="shared" si="847"/>
        <v>-199.0625</v>
      </c>
      <c r="H7121" s="3">
        <f t="shared" si="848"/>
        <v>199.0625</v>
      </c>
      <c r="I7121" s="5" t="str">
        <f t="shared" si="849"/>
        <v>017</v>
      </c>
      <c r="J7121" s="5" t="str">
        <f t="shared" si="850"/>
        <v>2230</v>
      </c>
      <c r="K7121" s="5" t="str">
        <f t="shared" si="851"/>
        <v>000</v>
      </c>
      <c r="L7121" s="5">
        <f t="shared" si="852"/>
        <v>6</v>
      </c>
      <c r="M7121" s="5">
        <f t="shared" si="853"/>
        <v>2013</v>
      </c>
    </row>
    <row r="7122" spans="1:13" ht="15" x14ac:dyDescent="0.25">
      <c r="A7122" s="1">
        <f>DATE(2013,6,19)</f>
        <v>41444</v>
      </c>
      <c r="B7122" t="s">
        <v>15</v>
      </c>
      <c r="C7122" t="s">
        <v>6</v>
      </c>
      <c r="D7122" s="3">
        <v>7985.9507000000003</v>
      </c>
      <c r="E7122" s="3">
        <v>0</v>
      </c>
      <c r="F7122" t="s">
        <v>45</v>
      </c>
      <c r="G7122" s="3">
        <f t="shared" si="847"/>
        <v>-7985.9507000000003</v>
      </c>
      <c r="H7122" s="3">
        <f t="shared" si="848"/>
        <v>7985.9507000000003</v>
      </c>
      <c r="I7122" s="5" t="str">
        <f t="shared" si="849"/>
        <v>017</v>
      </c>
      <c r="J7122" s="5" t="str">
        <f t="shared" si="850"/>
        <v>2100</v>
      </c>
      <c r="K7122" s="5" t="str">
        <f t="shared" si="851"/>
        <v>000</v>
      </c>
      <c r="L7122" s="5">
        <f t="shared" si="852"/>
        <v>6</v>
      </c>
      <c r="M7122" s="5">
        <f t="shared" si="853"/>
        <v>2013</v>
      </c>
    </row>
    <row r="7123" spans="1:13" ht="15" x14ac:dyDescent="0.25">
      <c r="A7123" s="1">
        <f>DATE(2013,6,19)</f>
        <v>41444</v>
      </c>
      <c r="B7123" t="s">
        <v>16</v>
      </c>
      <c r="C7123" t="s">
        <v>8</v>
      </c>
      <c r="D7123" s="3">
        <v>1027.5705</v>
      </c>
      <c r="E7123" s="3">
        <v>0</v>
      </c>
      <c r="F7123" t="s">
        <v>45</v>
      </c>
      <c r="G7123" s="3">
        <f t="shared" si="847"/>
        <v>-1027.5705</v>
      </c>
      <c r="H7123" s="3">
        <f t="shared" si="848"/>
        <v>1027.5705</v>
      </c>
      <c r="I7123" s="5" t="str">
        <f t="shared" si="849"/>
        <v>017</v>
      </c>
      <c r="J7123" s="5" t="str">
        <f t="shared" si="850"/>
        <v>2210</v>
      </c>
      <c r="K7123" s="5" t="str">
        <f t="shared" si="851"/>
        <v>000</v>
      </c>
      <c r="L7123" s="5">
        <f t="shared" si="852"/>
        <v>6</v>
      </c>
      <c r="M7123" s="5">
        <f t="shared" si="853"/>
        <v>2013</v>
      </c>
    </row>
    <row r="7124" spans="1:13" ht="15" x14ac:dyDescent="0.25">
      <c r="A7124" s="1">
        <f>DATE(2013,6,19)</f>
        <v>41444</v>
      </c>
      <c r="B7124" t="s">
        <v>17</v>
      </c>
      <c r="C7124" t="s">
        <v>9</v>
      </c>
      <c r="D7124" s="3">
        <v>294.69760000000002</v>
      </c>
      <c r="E7124" s="3">
        <v>0</v>
      </c>
      <c r="F7124" t="s">
        <v>45</v>
      </c>
      <c r="G7124" s="3">
        <f t="shared" si="847"/>
        <v>-294.69760000000002</v>
      </c>
      <c r="H7124" s="3">
        <f t="shared" si="848"/>
        <v>294.69760000000002</v>
      </c>
      <c r="I7124" s="5" t="str">
        <f t="shared" si="849"/>
        <v>017</v>
      </c>
      <c r="J7124" s="5" t="str">
        <f t="shared" si="850"/>
        <v>2220</v>
      </c>
      <c r="K7124" s="5" t="str">
        <f t="shared" si="851"/>
        <v>000</v>
      </c>
      <c r="L7124" s="5">
        <f t="shared" si="852"/>
        <v>6</v>
      </c>
      <c r="M7124" s="5">
        <f t="shared" si="853"/>
        <v>2013</v>
      </c>
    </row>
    <row r="7125" spans="1:13" ht="15" x14ac:dyDescent="0.25">
      <c r="A7125" s="1">
        <f>DATE(2013,6,19)</f>
        <v>41444</v>
      </c>
      <c r="B7125" t="s">
        <v>18</v>
      </c>
      <c r="C7125" t="s">
        <v>10</v>
      </c>
      <c r="D7125" s="3">
        <v>103.86919999999999</v>
      </c>
      <c r="E7125" s="3">
        <v>0</v>
      </c>
      <c r="F7125" t="s">
        <v>45</v>
      </c>
      <c r="G7125" s="3">
        <f t="shared" si="847"/>
        <v>-103.86919999999999</v>
      </c>
      <c r="H7125" s="3">
        <f t="shared" si="848"/>
        <v>103.86919999999999</v>
      </c>
      <c r="I7125" s="5" t="str">
        <f t="shared" si="849"/>
        <v>017</v>
      </c>
      <c r="J7125" s="5" t="str">
        <f t="shared" si="850"/>
        <v>2230</v>
      </c>
      <c r="K7125" s="5" t="str">
        <f t="shared" si="851"/>
        <v>000</v>
      </c>
      <c r="L7125" s="5">
        <f t="shared" si="852"/>
        <v>6</v>
      </c>
      <c r="M7125" s="5">
        <f t="shared" si="853"/>
        <v>2013</v>
      </c>
    </row>
    <row r="7126" spans="1:13" ht="15" x14ac:dyDescent="0.25">
      <c r="A7126" s="1">
        <f>DATE(2013,6,20)</f>
        <v>41445</v>
      </c>
      <c r="B7126" t="s">
        <v>15</v>
      </c>
      <c r="C7126" t="s">
        <v>6</v>
      </c>
      <c r="D7126" s="3">
        <v>7967.2152000000006</v>
      </c>
      <c r="E7126" s="3">
        <v>0</v>
      </c>
      <c r="F7126" t="s">
        <v>45</v>
      </c>
      <c r="G7126" s="3">
        <f t="shared" si="847"/>
        <v>-7967.2152000000006</v>
      </c>
      <c r="H7126" s="3">
        <f t="shared" si="848"/>
        <v>7967.2152000000006</v>
      </c>
      <c r="I7126" s="5" t="str">
        <f t="shared" si="849"/>
        <v>017</v>
      </c>
      <c r="J7126" s="5" t="str">
        <f t="shared" si="850"/>
        <v>2100</v>
      </c>
      <c r="K7126" s="5" t="str">
        <f t="shared" si="851"/>
        <v>000</v>
      </c>
      <c r="L7126" s="5">
        <f t="shared" si="852"/>
        <v>6</v>
      </c>
      <c r="M7126" s="5">
        <f t="shared" si="853"/>
        <v>2013</v>
      </c>
    </row>
    <row r="7127" spans="1:13" ht="15" x14ac:dyDescent="0.25">
      <c r="A7127" s="1">
        <f>DATE(2013,6,20)</f>
        <v>41445</v>
      </c>
      <c r="B7127" t="s">
        <v>16</v>
      </c>
      <c r="C7127" t="s">
        <v>8</v>
      </c>
      <c r="D7127" s="3">
        <v>1362.1272000000001</v>
      </c>
      <c r="E7127" s="3">
        <v>0</v>
      </c>
      <c r="F7127" t="s">
        <v>45</v>
      </c>
      <c r="G7127" s="3">
        <f t="shared" si="847"/>
        <v>-1362.1272000000001</v>
      </c>
      <c r="H7127" s="3">
        <f t="shared" si="848"/>
        <v>1362.1272000000001</v>
      </c>
      <c r="I7127" s="5" t="str">
        <f t="shared" si="849"/>
        <v>017</v>
      </c>
      <c r="J7127" s="5" t="str">
        <f t="shared" si="850"/>
        <v>2210</v>
      </c>
      <c r="K7127" s="5" t="str">
        <f t="shared" si="851"/>
        <v>000</v>
      </c>
      <c r="L7127" s="5">
        <f t="shared" si="852"/>
        <v>6</v>
      </c>
      <c r="M7127" s="5">
        <f t="shared" si="853"/>
        <v>2013</v>
      </c>
    </row>
    <row r="7128" spans="1:13" ht="15" x14ac:dyDescent="0.25">
      <c r="A7128" s="1">
        <f>DATE(2013,6,20)</f>
        <v>41445</v>
      </c>
      <c r="B7128" t="s">
        <v>17</v>
      </c>
      <c r="C7128" t="s">
        <v>9</v>
      </c>
      <c r="D7128" s="3">
        <v>605.89409999999998</v>
      </c>
      <c r="E7128" s="3">
        <v>0</v>
      </c>
      <c r="F7128" t="s">
        <v>45</v>
      </c>
      <c r="G7128" s="3">
        <f t="shared" si="847"/>
        <v>-605.89409999999998</v>
      </c>
      <c r="H7128" s="3">
        <f t="shared" si="848"/>
        <v>605.89409999999998</v>
      </c>
      <c r="I7128" s="5" t="str">
        <f t="shared" si="849"/>
        <v>017</v>
      </c>
      <c r="J7128" s="5" t="str">
        <f t="shared" si="850"/>
        <v>2220</v>
      </c>
      <c r="K7128" s="5" t="str">
        <f t="shared" si="851"/>
        <v>000</v>
      </c>
      <c r="L7128" s="5">
        <f t="shared" si="852"/>
        <v>6</v>
      </c>
      <c r="M7128" s="5">
        <f t="shared" si="853"/>
        <v>2013</v>
      </c>
    </row>
    <row r="7129" spans="1:13" ht="15" x14ac:dyDescent="0.25">
      <c r="A7129" s="1">
        <f>DATE(2013,6,20)</f>
        <v>41445</v>
      </c>
      <c r="B7129" t="s">
        <v>18</v>
      </c>
      <c r="C7129" t="s">
        <v>10</v>
      </c>
      <c r="D7129" s="3">
        <v>183.85640000000001</v>
      </c>
      <c r="E7129" s="3">
        <v>0</v>
      </c>
      <c r="F7129" t="s">
        <v>45</v>
      </c>
      <c r="G7129" s="3">
        <f t="shared" si="847"/>
        <v>-183.85640000000001</v>
      </c>
      <c r="H7129" s="3">
        <f t="shared" si="848"/>
        <v>183.85640000000001</v>
      </c>
      <c r="I7129" s="5" t="str">
        <f t="shared" si="849"/>
        <v>017</v>
      </c>
      <c r="J7129" s="5" t="str">
        <f t="shared" si="850"/>
        <v>2230</v>
      </c>
      <c r="K7129" s="5" t="str">
        <f t="shared" si="851"/>
        <v>000</v>
      </c>
      <c r="L7129" s="5">
        <f t="shared" si="852"/>
        <v>6</v>
      </c>
      <c r="M7129" s="5">
        <f t="shared" si="853"/>
        <v>2013</v>
      </c>
    </row>
    <row r="7130" spans="1:13" ht="15" x14ac:dyDescent="0.25">
      <c r="A7130" s="1">
        <f>DATE(2013,6,21)</f>
        <v>41446</v>
      </c>
      <c r="B7130" t="s">
        <v>15</v>
      </c>
      <c r="C7130" t="s">
        <v>6</v>
      </c>
      <c r="D7130" s="3">
        <v>8270.2103999999999</v>
      </c>
      <c r="E7130" s="3">
        <v>0</v>
      </c>
      <c r="F7130" t="s">
        <v>45</v>
      </c>
      <c r="G7130" s="3">
        <f t="shared" si="847"/>
        <v>-8270.2103999999999</v>
      </c>
      <c r="H7130" s="3">
        <f t="shared" si="848"/>
        <v>8270.2103999999999</v>
      </c>
      <c r="I7130" s="5" t="str">
        <f t="shared" si="849"/>
        <v>017</v>
      </c>
      <c r="J7130" s="5" t="str">
        <f t="shared" si="850"/>
        <v>2100</v>
      </c>
      <c r="K7130" s="5" t="str">
        <f t="shared" si="851"/>
        <v>000</v>
      </c>
      <c r="L7130" s="5">
        <f t="shared" si="852"/>
        <v>6</v>
      </c>
      <c r="M7130" s="5">
        <f t="shared" si="853"/>
        <v>2013</v>
      </c>
    </row>
    <row r="7131" spans="1:13" ht="15" x14ac:dyDescent="0.25">
      <c r="A7131" s="1">
        <f>DATE(2013,6,21)</f>
        <v>41446</v>
      </c>
      <c r="B7131" t="s">
        <v>16</v>
      </c>
      <c r="C7131" t="s">
        <v>8</v>
      </c>
      <c r="D7131" s="3">
        <v>2384.1728999999996</v>
      </c>
      <c r="E7131" s="3">
        <v>0</v>
      </c>
      <c r="F7131" t="s">
        <v>45</v>
      </c>
      <c r="G7131" s="3">
        <f t="shared" si="847"/>
        <v>-2384.1728999999996</v>
      </c>
      <c r="H7131" s="3">
        <f t="shared" si="848"/>
        <v>2384.1728999999996</v>
      </c>
      <c r="I7131" s="5" t="str">
        <f t="shared" si="849"/>
        <v>017</v>
      </c>
      <c r="J7131" s="5" t="str">
        <f t="shared" si="850"/>
        <v>2210</v>
      </c>
      <c r="K7131" s="5" t="str">
        <f t="shared" si="851"/>
        <v>000</v>
      </c>
      <c r="L7131" s="5">
        <f t="shared" si="852"/>
        <v>6</v>
      </c>
      <c r="M7131" s="5">
        <f t="shared" si="853"/>
        <v>2013</v>
      </c>
    </row>
    <row r="7132" spans="1:13" ht="15" x14ac:dyDescent="0.25">
      <c r="A7132" s="1">
        <f>DATE(2013,6,21)</f>
        <v>41446</v>
      </c>
      <c r="B7132" t="s">
        <v>17</v>
      </c>
      <c r="C7132" t="s">
        <v>9</v>
      </c>
      <c r="D7132" s="3">
        <v>361.26</v>
      </c>
      <c r="E7132" s="3">
        <v>0</v>
      </c>
      <c r="F7132" t="s">
        <v>45</v>
      </c>
      <c r="G7132" s="3">
        <f t="shared" si="847"/>
        <v>-361.26</v>
      </c>
      <c r="H7132" s="3">
        <f t="shared" si="848"/>
        <v>361.26</v>
      </c>
      <c r="I7132" s="5" t="str">
        <f t="shared" si="849"/>
        <v>017</v>
      </c>
      <c r="J7132" s="5" t="str">
        <f t="shared" si="850"/>
        <v>2220</v>
      </c>
      <c r="K7132" s="5" t="str">
        <f t="shared" si="851"/>
        <v>000</v>
      </c>
      <c r="L7132" s="5">
        <f t="shared" si="852"/>
        <v>6</v>
      </c>
      <c r="M7132" s="5">
        <f t="shared" si="853"/>
        <v>2013</v>
      </c>
    </row>
    <row r="7133" spans="1:13" ht="15" x14ac:dyDescent="0.25">
      <c r="A7133" s="1">
        <f>DATE(2013,6,21)</f>
        <v>41446</v>
      </c>
      <c r="B7133" t="s">
        <v>18</v>
      </c>
      <c r="C7133" t="s">
        <v>10</v>
      </c>
      <c r="D7133" s="3">
        <v>80.567999999999998</v>
      </c>
      <c r="E7133" s="3">
        <v>0</v>
      </c>
      <c r="F7133" t="s">
        <v>45</v>
      </c>
      <c r="G7133" s="3">
        <f t="shared" si="847"/>
        <v>-80.567999999999998</v>
      </c>
      <c r="H7133" s="3">
        <f t="shared" si="848"/>
        <v>80.567999999999998</v>
      </c>
      <c r="I7133" s="5" t="str">
        <f t="shared" si="849"/>
        <v>017</v>
      </c>
      <c r="J7133" s="5" t="str">
        <f t="shared" si="850"/>
        <v>2230</v>
      </c>
      <c r="K7133" s="5" t="str">
        <f t="shared" si="851"/>
        <v>000</v>
      </c>
      <c r="L7133" s="5">
        <f t="shared" si="852"/>
        <v>6</v>
      </c>
      <c r="M7133" s="5">
        <f t="shared" si="853"/>
        <v>2013</v>
      </c>
    </row>
    <row r="7134" spans="1:13" ht="15" x14ac:dyDescent="0.25">
      <c r="A7134" s="1">
        <f>DATE(2013,6,22)</f>
        <v>41447</v>
      </c>
      <c r="B7134" t="s">
        <v>15</v>
      </c>
      <c r="C7134" t="s">
        <v>6</v>
      </c>
      <c r="D7134" s="3">
        <v>8403.768</v>
      </c>
      <c r="E7134" s="3">
        <v>0</v>
      </c>
      <c r="F7134" t="s">
        <v>45</v>
      </c>
      <c r="G7134" s="3">
        <f t="shared" si="847"/>
        <v>-8403.768</v>
      </c>
      <c r="H7134" s="3">
        <f t="shared" si="848"/>
        <v>8403.768</v>
      </c>
      <c r="I7134" s="5" t="str">
        <f t="shared" si="849"/>
        <v>017</v>
      </c>
      <c r="J7134" s="5" t="str">
        <f t="shared" si="850"/>
        <v>2100</v>
      </c>
      <c r="K7134" s="5" t="str">
        <f t="shared" si="851"/>
        <v>000</v>
      </c>
      <c r="L7134" s="5">
        <f t="shared" si="852"/>
        <v>6</v>
      </c>
      <c r="M7134" s="5">
        <f t="shared" si="853"/>
        <v>2013</v>
      </c>
    </row>
    <row r="7135" spans="1:13" ht="15" x14ac:dyDescent="0.25">
      <c r="A7135" s="1">
        <f>DATE(2013,6,22)</f>
        <v>41447</v>
      </c>
      <c r="B7135" t="s">
        <v>16</v>
      </c>
      <c r="C7135" t="s">
        <v>8</v>
      </c>
      <c r="D7135" s="3">
        <v>2822.6802000000002</v>
      </c>
      <c r="E7135" s="3">
        <v>0</v>
      </c>
      <c r="F7135" t="s">
        <v>45</v>
      </c>
      <c r="G7135" s="3">
        <f t="shared" si="847"/>
        <v>-2822.6802000000002</v>
      </c>
      <c r="H7135" s="3">
        <f t="shared" si="848"/>
        <v>2822.6802000000002</v>
      </c>
      <c r="I7135" s="5" t="str">
        <f t="shared" si="849"/>
        <v>017</v>
      </c>
      <c r="J7135" s="5" t="str">
        <f t="shared" si="850"/>
        <v>2210</v>
      </c>
      <c r="K7135" s="5" t="str">
        <f t="shared" si="851"/>
        <v>000</v>
      </c>
      <c r="L7135" s="5">
        <f t="shared" si="852"/>
        <v>6</v>
      </c>
      <c r="M7135" s="5">
        <f t="shared" si="853"/>
        <v>2013</v>
      </c>
    </row>
    <row r="7136" spans="1:13" ht="15" x14ac:dyDescent="0.25">
      <c r="A7136" s="1">
        <f>DATE(2013,6,22)</f>
        <v>41447</v>
      </c>
      <c r="B7136" t="s">
        <v>17</v>
      </c>
      <c r="C7136" t="s">
        <v>9</v>
      </c>
      <c r="D7136" s="3">
        <v>330.7484</v>
      </c>
      <c r="E7136" s="3">
        <v>0</v>
      </c>
      <c r="F7136" t="s">
        <v>45</v>
      </c>
      <c r="G7136" s="3">
        <f t="shared" si="847"/>
        <v>-330.7484</v>
      </c>
      <c r="H7136" s="3">
        <f t="shared" si="848"/>
        <v>330.7484</v>
      </c>
      <c r="I7136" s="5" t="str">
        <f t="shared" si="849"/>
        <v>017</v>
      </c>
      <c r="J7136" s="5" t="str">
        <f t="shared" si="850"/>
        <v>2220</v>
      </c>
      <c r="K7136" s="5" t="str">
        <f t="shared" si="851"/>
        <v>000</v>
      </c>
      <c r="L7136" s="5">
        <f t="shared" si="852"/>
        <v>6</v>
      </c>
      <c r="M7136" s="5">
        <f t="shared" si="853"/>
        <v>2013</v>
      </c>
    </row>
    <row r="7137" spans="1:13" ht="15" x14ac:dyDescent="0.25">
      <c r="A7137" s="1">
        <f>DATE(2013,6,22)</f>
        <v>41447</v>
      </c>
      <c r="B7137" t="s">
        <v>18</v>
      </c>
      <c r="C7137" t="s">
        <v>10</v>
      </c>
      <c r="D7137" s="3">
        <v>51.219000000000001</v>
      </c>
      <c r="E7137" s="3">
        <v>0</v>
      </c>
      <c r="F7137" t="s">
        <v>45</v>
      </c>
      <c r="G7137" s="3">
        <f t="shared" si="847"/>
        <v>-51.219000000000001</v>
      </c>
      <c r="H7137" s="3">
        <f t="shared" si="848"/>
        <v>51.219000000000001</v>
      </c>
      <c r="I7137" s="5" t="str">
        <f t="shared" si="849"/>
        <v>017</v>
      </c>
      <c r="J7137" s="5" t="str">
        <f t="shared" si="850"/>
        <v>2230</v>
      </c>
      <c r="K7137" s="5" t="str">
        <f t="shared" si="851"/>
        <v>000</v>
      </c>
      <c r="L7137" s="5">
        <f t="shared" si="852"/>
        <v>6</v>
      </c>
      <c r="M7137" s="5">
        <f t="shared" si="853"/>
        <v>2013</v>
      </c>
    </row>
    <row r="7138" spans="1:13" ht="15" x14ac:dyDescent="0.25">
      <c r="A7138" s="1">
        <f>DATE(2013,6,23)</f>
        <v>41448</v>
      </c>
      <c r="B7138" t="s">
        <v>15</v>
      </c>
      <c r="C7138" t="s">
        <v>6</v>
      </c>
      <c r="D7138" s="3">
        <v>5269.0679999999993</v>
      </c>
      <c r="E7138" s="3">
        <v>0</v>
      </c>
      <c r="F7138" t="s">
        <v>45</v>
      </c>
      <c r="G7138" s="3">
        <f t="shared" si="847"/>
        <v>-5269.0679999999993</v>
      </c>
      <c r="H7138" s="3">
        <f t="shared" si="848"/>
        <v>5269.0679999999993</v>
      </c>
      <c r="I7138" s="5" t="str">
        <f t="shared" si="849"/>
        <v>017</v>
      </c>
      <c r="J7138" s="5" t="str">
        <f t="shared" si="850"/>
        <v>2100</v>
      </c>
      <c r="K7138" s="5" t="str">
        <f t="shared" si="851"/>
        <v>000</v>
      </c>
      <c r="L7138" s="5">
        <f t="shared" si="852"/>
        <v>6</v>
      </c>
      <c r="M7138" s="5">
        <f t="shared" si="853"/>
        <v>2013</v>
      </c>
    </row>
    <row r="7139" spans="1:13" ht="15" x14ac:dyDescent="0.25">
      <c r="A7139" s="1">
        <f>DATE(2013,6,23)</f>
        <v>41448</v>
      </c>
      <c r="B7139" t="s">
        <v>16</v>
      </c>
      <c r="C7139" t="s">
        <v>8</v>
      </c>
      <c r="D7139" s="3">
        <v>1292.2668000000001</v>
      </c>
      <c r="E7139" s="3">
        <v>0</v>
      </c>
      <c r="F7139" t="s">
        <v>45</v>
      </c>
      <c r="G7139" s="3">
        <f t="shared" si="847"/>
        <v>-1292.2668000000001</v>
      </c>
      <c r="H7139" s="3">
        <f t="shared" si="848"/>
        <v>1292.2668000000001</v>
      </c>
      <c r="I7139" s="5" t="str">
        <f t="shared" si="849"/>
        <v>017</v>
      </c>
      <c r="J7139" s="5" t="str">
        <f t="shared" si="850"/>
        <v>2210</v>
      </c>
      <c r="K7139" s="5" t="str">
        <f t="shared" si="851"/>
        <v>000</v>
      </c>
      <c r="L7139" s="5">
        <f t="shared" si="852"/>
        <v>6</v>
      </c>
      <c r="M7139" s="5">
        <f t="shared" si="853"/>
        <v>2013</v>
      </c>
    </row>
    <row r="7140" spans="1:13" ht="15" x14ac:dyDescent="0.25">
      <c r="A7140" s="1">
        <f>DATE(2013,6,23)</f>
        <v>41448</v>
      </c>
      <c r="B7140" t="s">
        <v>17</v>
      </c>
      <c r="C7140" t="s">
        <v>9</v>
      </c>
      <c r="D7140" s="3">
        <v>251.38740000000001</v>
      </c>
      <c r="E7140" s="3">
        <v>0</v>
      </c>
      <c r="F7140" t="s">
        <v>45</v>
      </c>
      <c r="G7140" s="3">
        <f t="shared" si="847"/>
        <v>-251.38740000000001</v>
      </c>
      <c r="H7140" s="3">
        <f t="shared" si="848"/>
        <v>251.38740000000001</v>
      </c>
      <c r="I7140" s="5" t="str">
        <f t="shared" si="849"/>
        <v>017</v>
      </c>
      <c r="J7140" s="5" t="str">
        <f t="shared" si="850"/>
        <v>2220</v>
      </c>
      <c r="K7140" s="5" t="str">
        <f t="shared" si="851"/>
        <v>000</v>
      </c>
      <c r="L7140" s="5">
        <f t="shared" si="852"/>
        <v>6</v>
      </c>
      <c r="M7140" s="5">
        <f t="shared" si="853"/>
        <v>2013</v>
      </c>
    </row>
    <row r="7141" spans="1:13" ht="15" x14ac:dyDescent="0.25">
      <c r="A7141" s="1">
        <f>DATE(2013,6,23)</f>
        <v>41448</v>
      </c>
      <c r="B7141" t="s">
        <v>18</v>
      </c>
      <c r="C7141" t="s">
        <v>10</v>
      </c>
      <c r="D7141" s="3">
        <v>99.164400000000015</v>
      </c>
      <c r="E7141" s="3">
        <v>0</v>
      </c>
      <c r="F7141" t="s">
        <v>45</v>
      </c>
      <c r="G7141" s="3">
        <f t="shared" si="847"/>
        <v>-99.164400000000015</v>
      </c>
      <c r="H7141" s="3">
        <f t="shared" si="848"/>
        <v>99.164400000000015</v>
      </c>
      <c r="I7141" s="5" t="str">
        <f t="shared" si="849"/>
        <v>017</v>
      </c>
      <c r="J7141" s="5" t="str">
        <f t="shared" si="850"/>
        <v>2230</v>
      </c>
      <c r="K7141" s="5" t="str">
        <f t="shared" si="851"/>
        <v>000</v>
      </c>
      <c r="L7141" s="5">
        <f t="shared" si="852"/>
        <v>6</v>
      </c>
      <c r="M7141" s="5">
        <f t="shared" si="853"/>
        <v>2013</v>
      </c>
    </row>
    <row r="7142" spans="1:13" ht="15" x14ac:dyDescent="0.25">
      <c r="A7142" s="1">
        <f>DATE(2013,6,17)</f>
        <v>41442</v>
      </c>
      <c r="B7142" t="s">
        <v>19</v>
      </c>
      <c r="C7142" t="s">
        <v>6</v>
      </c>
      <c r="D7142" s="3">
        <v>5904.2253999999994</v>
      </c>
      <c r="E7142" s="3">
        <v>0</v>
      </c>
      <c r="F7142" t="s">
        <v>45</v>
      </c>
      <c r="G7142" s="3">
        <f t="shared" si="847"/>
        <v>-5904.2253999999994</v>
      </c>
      <c r="H7142" s="3">
        <f t="shared" si="848"/>
        <v>5904.2253999999994</v>
      </c>
      <c r="I7142" s="5" t="str">
        <f t="shared" si="849"/>
        <v>018</v>
      </c>
      <c r="J7142" s="5" t="str">
        <f t="shared" si="850"/>
        <v>2100</v>
      </c>
      <c r="K7142" s="5" t="str">
        <f t="shared" si="851"/>
        <v>000</v>
      </c>
      <c r="L7142" s="5">
        <f t="shared" si="852"/>
        <v>6</v>
      </c>
      <c r="M7142" s="5">
        <f t="shared" si="853"/>
        <v>2013</v>
      </c>
    </row>
    <row r="7143" spans="1:13" ht="15" x14ac:dyDescent="0.25">
      <c r="A7143" s="1">
        <f>DATE(2013,6,17)</f>
        <v>41442</v>
      </c>
      <c r="B7143" t="s">
        <v>20</v>
      </c>
      <c r="C7143" t="s">
        <v>8</v>
      </c>
      <c r="D7143" s="3">
        <v>1134.9013</v>
      </c>
      <c r="E7143" s="3">
        <v>0</v>
      </c>
      <c r="F7143" t="s">
        <v>45</v>
      </c>
      <c r="G7143" s="3">
        <f t="shared" si="847"/>
        <v>-1134.9013</v>
      </c>
      <c r="H7143" s="3">
        <f t="shared" si="848"/>
        <v>1134.9013</v>
      </c>
      <c r="I7143" s="5" t="str">
        <f t="shared" si="849"/>
        <v>018</v>
      </c>
      <c r="J7143" s="5" t="str">
        <f t="shared" si="850"/>
        <v>2210</v>
      </c>
      <c r="K7143" s="5" t="str">
        <f t="shared" si="851"/>
        <v>000</v>
      </c>
      <c r="L7143" s="5">
        <f t="shared" si="852"/>
        <v>6</v>
      </c>
      <c r="M7143" s="5">
        <f t="shared" si="853"/>
        <v>2013</v>
      </c>
    </row>
    <row r="7144" spans="1:13" ht="15" x14ac:dyDescent="0.25">
      <c r="A7144" s="1">
        <f>DATE(2013,6,17)</f>
        <v>41442</v>
      </c>
      <c r="B7144" t="s">
        <v>21</v>
      </c>
      <c r="C7144" t="s">
        <v>9</v>
      </c>
      <c r="D7144" s="3">
        <v>269.892</v>
      </c>
      <c r="E7144" s="3">
        <v>0</v>
      </c>
      <c r="F7144" t="s">
        <v>45</v>
      </c>
      <c r="G7144" s="3">
        <f t="shared" si="847"/>
        <v>-269.892</v>
      </c>
      <c r="H7144" s="3">
        <f t="shared" si="848"/>
        <v>269.892</v>
      </c>
      <c r="I7144" s="5" t="str">
        <f t="shared" si="849"/>
        <v>018</v>
      </c>
      <c r="J7144" s="5" t="str">
        <f t="shared" si="850"/>
        <v>2220</v>
      </c>
      <c r="K7144" s="5" t="str">
        <f t="shared" si="851"/>
        <v>000</v>
      </c>
      <c r="L7144" s="5">
        <f t="shared" si="852"/>
        <v>6</v>
      </c>
      <c r="M7144" s="5">
        <f t="shared" si="853"/>
        <v>2013</v>
      </c>
    </row>
    <row r="7145" spans="1:13" ht="15" x14ac:dyDescent="0.25">
      <c r="A7145" s="1">
        <f>DATE(2013,6,17)</f>
        <v>41442</v>
      </c>
      <c r="B7145" t="s">
        <v>22</v>
      </c>
      <c r="C7145" t="s">
        <v>10</v>
      </c>
      <c r="D7145" s="3">
        <v>46.921600000000005</v>
      </c>
      <c r="E7145" s="3">
        <v>0</v>
      </c>
      <c r="F7145" t="s">
        <v>45</v>
      </c>
      <c r="G7145" s="3">
        <f t="shared" si="847"/>
        <v>-46.921600000000005</v>
      </c>
      <c r="H7145" s="3">
        <f t="shared" si="848"/>
        <v>46.921600000000005</v>
      </c>
      <c r="I7145" s="5" t="str">
        <f t="shared" si="849"/>
        <v>018</v>
      </c>
      <c r="J7145" s="5" t="str">
        <f t="shared" si="850"/>
        <v>2230</v>
      </c>
      <c r="K7145" s="5" t="str">
        <f t="shared" si="851"/>
        <v>000</v>
      </c>
      <c r="L7145" s="5">
        <f t="shared" si="852"/>
        <v>6</v>
      </c>
      <c r="M7145" s="5">
        <f t="shared" si="853"/>
        <v>2013</v>
      </c>
    </row>
    <row r="7146" spans="1:13" ht="15" x14ac:dyDescent="0.25">
      <c r="A7146" s="1">
        <f>DATE(2013,6,18)</f>
        <v>41443</v>
      </c>
      <c r="B7146" t="s">
        <v>19</v>
      </c>
      <c r="C7146" t="s">
        <v>6</v>
      </c>
      <c r="D7146" s="3">
        <v>6286.7699999999995</v>
      </c>
      <c r="E7146" s="3">
        <v>0</v>
      </c>
      <c r="F7146" t="s">
        <v>45</v>
      </c>
      <c r="G7146" s="3">
        <f t="shared" si="847"/>
        <v>-6286.7699999999995</v>
      </c>
      <c r="H7146" s="3">
        <f t="shared" si="848"/>
        <v>6286.7699999999995</v>
      </c>
      <c r="I7146" s="5" t="str">
        <f t="shared" si="849"/>
        <v>018</v>
      </c>
      <c r="J7146" s="5" t="str">
        <f t="shared" si="850"/>
        <v>2100</v>
      </c>
      <c r="K7146" s="5" t="str">
        <f t="shared" si="851"/>
        <v>000</v>
      </c>
      <c r="L7146" s="5">
        <f t="shared" si="852"/>
        <v>6</v>
      </c>
      <c r="M7146" s="5">
        <f t="shared" si="853"/>
        <v>2013</v>
      </c>
    </row>
    <row r="7147" spans="1:13" ht="15" x14ac:dyDescent="0.25">
      <c r="A7147" s="1">
        <f>DATE(2013,6,18)</f>
        <v>41443</v>
      </c>
      <c r="B7147" t="s">
        <v>20</v>
      </c>
      <c r="C7147" t="s">
        <v>8</v>
      </c>
      <c r="D7147" s="3">
        <v>831.22149999999988</v>
      </c>
      <c r="E7147" s="3">
        <v>0</v>
      </c>
      <c r="F7147" t="s">
        <v>45</v>
      </c>
      <c r="G7147" s="3">
        <f t="shared" si="847"/>
        <v>-831.22149999999988</v>
      </c>
      <c r="H7147" s="3">
        <f t="shared" si="848"/>
        <v>831.22149999999988</v>
      </c>
      <c r="I7147" s="5" t="str">
        <f t="shared" si="849"/>
        <v>018</v>
      </c>
      <c r="J7147" s="5" t="str">
        <f t="shared" si="850"/>
        <v>2210</v>
      </c>
      <c r="K7147" s="5" t="str">
        <f t="shared" si="851"/>
        <v>000</v>
      </c>
      <c r="L7147" s="5">
        <f t="shared" si="852"/>
        <v>6</v>
      </c>
      <c r="M7147" s="5">
        <f t="shared" si="853"/>
        <v>2013</v>
      </c>
    </row>
    <row r="7148" spans="1:13" ht="15" x14ac:dyDescent="0.25">
      <c r="A7148" s="1">
        <f>DATE(2013,6,18)</f>
        <v>41443</v>
      </c>
      <c r="B7148" t="s">
        <v>21</v>
      </c>
      <c r="C7148" t="s">
        <v>9</v>
      </c>
      <c r="D7148" s="3">
        <v>255.11760000000001</v>
      </c>
      <c r="E7148" s="3">
        <v>0</v>
      </c>
      <c r="F7148" t="s">
        <v>45</v>
      </c>
      <c r="G7148" s="3">
        <f t="shared" si="847"/>
        <v>-255.11760000000001</v>
      </c>
      <c r="H7148" s="3">
        <f t="shared" si="848"/>
        <v>255.11760000000001</v>
      </c>
      <c r="I7148" s="5" t="str">
        <f t="shared" si="849"/>
        <v>018</v>
      </c>
      <c r="J7148" s="5" t="str">
        <f t="shared" si="850"/>
        <v>2220</v>
      </c>
      <c r="K7148" s="5" t="str">
        <f t="shared" si="851"/>
        <v>000</v>
      </c>
      <c r="L7148" s="5">
        <f t="shared" si="852"/>
        <v>6</v>
      </c>
      <c r="M7148" s="5">
        <f t="shared" si="853"/>
        <v>2013</v>
      </c>
    </row>
    <row r="7149" spans="1:13" ht="15" x14ac:dyDescent="0.25">
      <c r="A7149" s="1">
        <f>DATE(2013,6,18)</f>
        <v>41443</v>
      </c>
      <c r="B7149" t="s">
        <v>22</v>
      </c>
      <c r="C7149" t="s">
        <v>10</v>
      </c>
      <c r="D7149" s="3">
        <v>31.718399999999995</v>
      </c>
      <c r="E7149" s="3">
        <v>0</v>
      </c>
      <c r="F7149" t="s">
        <v>45</v>
      </c>
      <c r="G7149" s="3">
        <f t="shared" si="847"/>
        <v>-31.718399999999995</v>
      </c>
      <c r="H7149" s="3">
        <f t="shared" si="848"/>
        <v>31.718399999999995</v>
      </c>
      <c r="I7149" s="5" t="str">
        <f t="shared" si="849"/>
        <v>018</v>
      </c>
      <c r="J7149" s="5" t="str">
        <f t="shared" si="850"/>
        <v>2230</v>
      </c>
      <c r="K7149" s="5" t="str">
        <f t="shared" si="851"/>
        <v>000</v>
      </c>
      <c r="L7149" s="5">
        <f t="shared" si="852"/>
        <v>6</v>
      </c>
      <c r="M7149" s="5">
        <f t="shared" si="853"/>
        <v>2013</v>
      </c>
    </row>
    <row r="7150" spans="1:13" ht="15" x14ac:dyDescent="0.25">
      <c r="A7150" s="1">
        <f>DATE(2013,6,19)</f>
        <v>41444</v>
      </c>
      <c r="B7150" t="s">
        <v>19</v>
      </c>
      <c r="C7150" t="s">
        <v>6</v>
      </c>
      <c r="D7150" s="3">
        <v>4593.6099999999997</v>
      </c>
      <c r="E7150" s="3">
        <v>0</v>
      </c>
      <c r="F7150" t="s">
        <v>45</v>
      </c>
      <c r="G7150" s="3">
        <f t="shared" si="847"/>
        <v>-4593.6099999999997</v>
      </c>
      <c r="H7150" s="3">
        <f t="shared" si="848"/>
        <v>4593.6099999999997</v>
      </c>
      <c r="I7150" s="5" t="str">
        <f t="shared" si="849"/>
        <v>018</v>
      </c>
      <c r="J7150" s="5" t="str">
        <f t="shared" si="850"/>
        <v>2100</v>
      </c>
      <c r="K7150" s="5" t="str">
        <f t="shared" si="851"/>
        <v>000</v>
      </c>
      <c r="L7150" s="5">
        <f t="shared" si="852"/>
        <v>6</v>
      </c>
      <c r="M7150" s="5">
        <f t="shared" si="853"/>
        <v>2013</v>
      </c>
    </row>
    <row r="7151" spans="1:13" ht="15" x14ac:dyDescent="0.25">
      <c r="A7151" s="1">
        <f>DATE(2013,6,19)</f>
        <v>41444</v>
      </c>
      <c r="B7151" t="s">
        <v>20</v>
      </c>
      <c r="C7151" t="s">
        <v>8</v>
      </c>
      <c r="D7151" s="3">
        <v>956.38019999999983</v>
      </c>
      <c r="E7151" s="3">
        <v>0</v>
      </c>
      <c r="F7151" t="s">
        <v>45</v>
      </c>
      <c r="G7151" s="3">
        <f t="shared" si="847"/>
        <v>-956.38019999999983</v>
      </c>
      <c r="H7151" s="3">
        <f t="shared" si="848"/>
        <v>956.38019999999983</v>
      </c>
      <c r="I7151" s="5" t="str">
        <f t="shared" si="849"/>
        <v>018</v>
      </c>
      <c r="J7151" s="5" t="str">
        <f t="shared" si="850"/>
        <v>2210</v>
      </c>
      <c r="K7151" s="5" t="str">
        <f t="shared" si="851"/>
        <v>000</v>
      </c>
      <c r="L7151" s="5">
        <f t="shared" si="852"/>
        <v>6</v>
      </c>
      <c r="M7151" s="5">
        <f t="shared" si="853"/>
        <v>2013</v>
      </c>
    </row>
    <row r="7152" spans="1:13" ht="15" x14ac:dyDescent="0.25">
      <c r="A7152" s="1">
        <f>DATE(2013,6,19)</f>
        <v>41444</v>
      </c>
      <c r="B7152" t="s">
        <v>21</v>
      </c>
      <c r="C7152" t="s">
        <v>9</v>
      </c>
      <c r="D7152" s="3">
        <v>205.5361</v>
      </c>
      <c r="E7152" s="3">
        <v>0</v>
      </c>
      <c r="F7152" t="s">
        <v>45</v>
      </c>
      <c r="G7152" s="3">
        <f t="shared" si="847"/>
        <v>-205.5361</v>
      </c>
      <c r="H7152" s="3">
        <f t="shared" si="848"/>
        <v>205.5361</v>
      </c>
      <c r="I7152" s="5" t="str">
        <f t="shared" si="849"/>
        <v>018</v>
      </c>
      <c r="J7152" s="5" t="str">
        <f t="shared" si="850"/>
        <v>2220</v>
      </c>
      <c r="K7152" s="5" t="str">
        <f t="shared" si="851"/>
        <v>000</v>
      </c>
      <c r="L7152" s="5">
        <f t="shared" si="852"/>
        <v>6</v>
      </c>
      <c r="M7152" s="5">
        <f t="shared" si="853"/>
        <v>2013</v>
      </c>
    </row>
    <row r="7153" spans="1:13" ht="15" x14ac:dyDescent="0.25">
      <c r="A7153" s="1">
        <f>DATE(2013,6,19)</f>
        <v>41444</v>
      </c>
      <c r="B7153" t="s">
        <v>22</v>
      </c>
      <c r="C7153" t="s">
        <v>10</v>
      </c>
      <c r="D7153" s="3">
        <v>65.497599999999991</v>
      </c>
      <c r="E7153" s="3">
        <v>0</v>
      </c>
      <c r="F7153" t="s">
        <v>45</v>
      </c>
      <c r="G7153" s="3">
        <f t="shared" si="847"/>
        <v>-65.497599999999991</v>
      </c>
      <c r="H7153" s="3">
        <f t="shared" si="848"/>
        <v>65.497599999999991</v>
      </c>
      <c r="I7153" s="5" t="str">
        <f t="shared" si="849"/>
        <v>018</v>
      </c>
      <c r="J7153" s="5" t="str">
        <f t="shared" si="850"/>
        <v>2230</v>
      </c>
      <c r="K7153" s="5" t="str">
        <f t="shared" si="851"/>
        <v>000</v>
      </c>
      <c r="L7153" s="5">
        <f t="shared" si="852"/>
        <v>6</v>
      </c>
      <c r="M7153" s="5">
        <f t="shared" si="853"/>
        <v>2013</v>
      </c>
    </row>
    <row r="7154" spans="1:13" ht="15" x14ac:dyDescent="0.25">
      <c r="A7154" s="1">
        <f>DATE(2013,6,20)</f>
        <v>41445</v>
      </c>
      <c r="B7154" t="s">
        <v>19</v>
      </c>
      <c r="C7154" t="s">
        <v>6</v>
      </c>
      <c r="D7154" s="3">
        <v>5591.0010000000011</v>
      </c>
      <c r="E7154" s="3">
        <v>0</v>
      </c>
      <c r="F7154" t="s">
        <v>45</v>
      </c>
      <c r="G7154" s="3">
        <f t="shared" si="847"/>
        <v>-5591.0010000000011</v>
      </c>
      <c r="H7154" s="3">
        <f t="shared" si="848"/>
        <v>5591.0010000000011</v>
      </c>
      <c r="I7154" s="5" t="str">
        <f t="shared" si="849"/>
        <v>018</v>
      </c>
      <c r="J7154" s="5" t="str">
        <f t="shared" si="850"/>
        <v>2100</v>
      </c>
      <c r="K7154" s="5" t="str">
        <f t="shared" si="851"/>
        <v>000</v>
      </c>
      <c r="L7154" s="5">
        <f t="shared" si="852"/>
        <v>6</v>
      </c>
      <c r="M7154" s="5">
        <f t="shared" si="853"/>
        <v>2013</v>
      </c>
    </row>
    <row r="7155" spans="1:13" ht="15" x14ac:dyDescent="0.25">
      <c r="A7155" s="1">
        <f>DATE(2013,6,20)</f>
        <v>41445</v>
      </c>
      <c r="B7155" t="s">
        <v>20</v>
      </c>
      <c r="C7155" t="s">
        <v>8</v>
      </c>
      <c r="D7155" s="3">
        <v>1416.9666</v>
      </c>
      <c r="E7155" s="3">
        <v>0</v>
      </c>
      <c r="F7155" t="s">
        <v>45</v>
      </c>
      <c r="G7155" s="3">
        <f t="shared" si="847"/>
        <v>-1416.9666</v>
      </c>
      <c r="H7155" s="3">
        <f t="shared" si="848"/>
        <v>1416.9666</v>
      </c>
      <c r="I7155" s="5" t="str">
        <f t="shared" si="849"/>
        <v>018</v>
      </c>
      <c r="J7155" s="5" t="str">
        <f t="shared" si="850"/>
        <v>2210</v>
      </c>
      <c r="K7155" s="5" t="str">
        <f t="shared" si="851"/>
        <v>000</v>
      </c>
      <c r="L7155" s="5">
        <f t="shared" si="852"/>
        <v>6</v>
      </c>
      <c r="M7155" s="5">
        <f t="shared" si="853"/>
        <v>2013</v>
      </c>
    </row>
    <row r="7156" spans="1:13" ht="15" x14ac:dyDescent="0.25">
      <c r="A7156" s="1">
        <f>DATE(2013,6,20)</f>
        <v>41445</v>
      </c>
      <c r="B7156" t="s">
        <v>21</v>
      </c>
      <c r="C7156" t="s">
        <v>9</v>
      </c>
      <c r="D7156" s="3">
        <v>217.55399999999997</v>
      </c>
      <c r="E7156" s="3">
        <v>0</v>
      </c>
      <c r="F7156" t="s">
        <v>45</v>
      </c>
      <c r="G7156" s="3">
        <f t="shared" si="847"/>
        <v>-217.55399999999997</v>
      </c>
      <c r="H7156" s="3">
        <f t="shared" si="848"/>
        <v>217.55399999999997</v>
      </c>
      <c r="I7156" s="5" t="str">
        <f t="shared" si="849"/>
        <v>018</v>
      </c>
      <c r="J7156" s="5" t="str">
        <f t="shared" si="850"/>
        <v>2220</v>
      </c>
      <c r="K7156" s="5" t="str">
        <f t="shared" si="851"/>
        <v>000</v>
      </c>
      <c r="L7156" s="5">
        <f t="shared" si="852"/>
        <v>6</v>
      </c>
      <c r="M7156" s="5">
        <f t="shared" si="853"/>
        <v>2013</v>
      </c>
    </row>
    <row r="7157" spans="1:13" ht="15" x14ac:dyDescent="0.25">
      <c r="A7157" s="1">
        <f>DATE(2013,6,20)</f>
        <v>41445</v>
      </c>
      <c r="B7157" t="s">
        <v>22</v>
      </c>
      <c r="C7157" t="s">
        <v>10</v>
      </c>
      <c r="D7157" s="3">
        <v>56.832599999999999</v>
      </c>
      <c r="E7157" s="3">
        <v>0</v>
      </c>
      <c r="F7157" t="s">
        <v>45</v>
      </c>
      <c r="G7157" s="3">
        <f t="shared" si="847"/>
        <v>-56.832599999999999</v>
      </c>
      <c r="H7157" s="3">
        <f t="shared" si="848"/>
        <v>56.832599999999999</v>
      </c>
      <c r="I7157" s="5" t="str">
        <f t="shared" si="849"/>
        <v>018</v>
      </c>
      <c r="J7157" s="5" t="str">
        <f t="shared" si="850"/>
        <v>2230</v>
      </c>
      <c r="K7157" s="5" t="str">
        <f t="shared" si="851"/>
        <v>000</v>
      </c>
      <c r="L7157" s="5">
        <f t="shared" si="852"/>
        <v>6</v>
      </c>
      <c r="M7157" s="5">
        <f t="shared" si="853"/>
        <v>2013</v>
      </c>
    </row>
    <row r="7158" spans="1:13" ht="15" x14ac:dyDescent="0.25">
      <c r="A7158" s="1">
        <f>DATE(2013,6,21)</f>
        <v>41446</v>
      </c>
      <c r="B7158" t="s">
        <v>19</v>
      </c>
      <c r="C7158" t="s">
        <v>6</v>
      </c>
      <c r="D7158" s="3">
        <v>9465.1712000000007</v>
      </c>
      <c r="E7158" s="3">
        <v>0</v>
      </c>
      <c r="F7158" t="s">
        <v>45</v>
      </c>
      <c r="G7158" s="3">
        <f t="shared" si="847"/>
        <v>-9465.1712000000007</v>
      </c>
      <c r="H7158" s="3">
        <f t="shared" si="848"/>
        <v>9465.1712000000007</v>
      </c>
      <c r="I7158" s="5" t="str">
        <f t="shared" si="849"/>
        <v>018</v>
      </c>
      <c r="J7158" s="5" t="str">
        <f t="shared" si="850"/>
        <v>2100</v>
      </c>
      <c r="K7158" s="5" t="str">
        <f t="shared" si="851"/>
        <v>000</v>
      </c>
      <c r="L7158" s="5">
        <f t="shared" si="852"/>
        <v>6</v>
      </c>
      <c r="M7158" s="5">
        <f t="shared" si="853"/>
        <v>2013</v>
      </c>
    </row>
    <row r="7159" spans="1:13" ht="15" x14ac:dyDescent="0.25">
      <c r="A7159" s="1">
        <f>DATE(2013,6,21)</f>
        <v>41446</v>
      </c>
      <c r="B7159" t="s">
        <v>20</v>
      </c>
      <c r="C7159" t="s">
        <v>8</v>
      </c>
      <c r="D7159" s="3">
        <v>3002.3090999999999</v>
      </c>
      <c r="E7159" s="3">
        <v>0</v>
      </c>
      <c r="F7159" t="s">
        <v>45</v>
      </c>
      <c r="G7159" s="3">
        <f t="shared" si="847"/>
        <v>-3002.3090999999999</v>
      </c>
      <c r="H7159" s="3">
        <f t="shared" si="848"/>
        <v>3002.3090999999999</v>
      </c>
      <c r="I7159" s="5" t="str">
        <f t="shared" si="849"/>
        <v>018</v>
      </c>
      <c r="J7159" s="5" t="str">
        <f t="shared" si="850"/>
        <v>2210</v>
      </c>
      <c r="K7159" s="5" t="str">
        <f t="shared" si="851"/>
        <v>000</v>
      </c>
      <c r="L7159" s="5">
        <f t="shared" si="852"/>
        <v>6</v>
      </c>
      <c r="M7159" s="5">
        <f t="shared" si="853"/>
        <v>2013</v>
      </c>
    </row>
    <row r="7160" spans="1:13" ht="15" x14ac:dyDescent="0.25">
      <c r="A7160" s="1">
        <f>DATE(2013,6,21)</f>
        <v>41446</v>
      </c>
      <c r="B7160" t="s">
        <v>21</v>
      </c>
      <c r="C7160" t="s">
        <v>9</v>
      </c>
      <c r="D7160" s="3">
        <v>782.51880000000006</v>
      </c>
      <c r="E7160" s="3">
        <v>0</v>
      </c>
      <c r="F7160" t="s">
        <v>45</v>
      </c>
      <c r="G7160" s="3">
        <f t="shared" si="847"/>
        <v>-782.51880000000006</v>
      </c>
      <c r="H7160" s="3">
        <f t="shared" si="848"/>
        <v>782.51880000000006</v>
      </c>
      <c r="I7160" s="5" t="str">
        <f t="shared" si="849"/>
        <v>018</v>
      </c>
      <c r="J7160" s="5" t="str">
        <f t="shared" si="850"/>
        <v>2220</v>
      </c>
      <c r="K7160" s="5" t="str">
        <f t="shared" si="851"/>
        <v>000</v>
      </c>
      <c r="L7160" s="5">
        <f t="shared" si="852"/>
        <v>6</v>
      </c>
      <c r="M7160" s="5">
        <f t="shared" si="853"/>
        <v>2013</v>
      </c>
    </row>
    <row r="7161" spans="1:13" ht="15" x14ac:dyDescent="0.25">
      <c r="A7161" s="1">
        <f>DATE(2013,6,21)</f>
        <v>41446</v>
      </c>
      <c r="B7161" t="s">
        <v>22</v>
      </c>
      <c r="C7161" t="s">
        <v>10</v>
      </c>
      <c r="D7161" s="3">
        <v>135.13999999999999</v>
      </c>
      <c r="E7161" s="3">
        <v>0</v>
      </c>
      <c r="F7161" t="s">
        <v>45</v>
      </c>
      <c r="G7161" s="3">
        <f t="shared" si="847"/>
        <v>-135.13999999999999</v>
      </c>
      <c r="H7161" s="3">
        <f t="shared" si="848"/>
        <v>135.13999999999999</v>
      </c>
      <c r="I7161" s="5" t="str">
        <f t="shared" si="849"/>
        <v>018</v>
      </c>
      <c r="J7161" s="5" t="str">
        <f t="shared" si="850"/>
        <v>2230</v>
      </c>
      <c r="K7161" s="5" t="str">
        <f t="shared" si="851"/>
        <v>000</v>
      </c>
      <c r="L7161" s="5">
        <f t="shared" si="852"/>
        <v>6</v>
      </c>
      <c r="M7161" s="5">
        <f t="shared" si="853"/>
        <v>2013</v>
      </c>
    </row>
    <row r="7162" spans="1:13" ht="15" x14ac:dyDescent="0.25">
      <c r="A7162" s="1">
        <f>DATE(2013,6,22)</f>
        <v>41447</v>
      </c>
      <c r="B7162" t="s">
        <v>19</v>
      </c>
      <c r="C7162" t="s">
        <v>6</v>
      </c>
      <c r="D7162" s="3">
        <v>13183.114</v>
      </c>
      <c r="E7162" s="3">
        <v>0</v>
      </c>
      <c r="F7162" t="s">
        <v>45</v>
      </c>
      <c r="G7162" s="3">
        <f t="shared" si="847"/>
        <v>-13183.114</v>
      </c>
      <c r="H7162" s="3">
        <f t="shared" si="848"/>
        <v>13183.114</v>
      </c>
      <c r="I7162" s="5" t="str">
        <f t="shared" si="849"/>
        <v>018</v>
      </c>
      <c r="J7162" s="5" t="str">
        <f t="shared" si="850"/>
        <v>2100</v>
      </c>
      <c r="K7162" s="5" t="str">
        <f t="shared" si="851"/>
        <v>000</v>
      </c>
      <c r="L7162" s="5">
        <f t="shared" si="852"/>
        <v>6</v>
      </c>
      <c r="M7162" s="5">
        <f t="shared" si="853"/>
        <v>2013</v>
      </c>
    </row>
    <row r="7163" spans="1:13" ht="15" x14ac:dyDescent="0.25">
      <c r="A7163" s="1">
        <f>DATE(2013,6,22)</f>
        <v>41447</v>
      </c>
      <c r="B7163" t="s">
        <v>20</v>
      </c>
      <c r="C7163" t="s">
        <v>8</v>
      </c>
      <c r="D7163" s="3">
        <v>3572.6064000000001</v>
      </c>
      <c r="E7163" s="3">
        <v>0</v>
      </c>
      <c r="F7163" t="s">
        <v>45</v>
      </c>
      <c r="G7163" s="3">
        <f t="shared" si="847"/>
        <v>-3572.6064000000001</v>
      </c>
      <c r="H7163" s="3">
        <f t="shared" si="848"/>
        <v>3572.6064000000001</v>
      </c>
      <c r="I7163" s="5" t="str">
        <f t="shared" si="849"/>
        <v>018</v>
      </c>
      <c r="J7163" s="5" t="str">
        <f t="shared" si="850"/>
        <v>2210</v>
      </c>
      <c r="K7163" s="5" t="str">
        <f t="shared" si="851"/>
        <v>000</v>
      </c>
      <c r="L7163" s="5">
        <f t="shared" si="852"/>
        <v>6</v>
      </c>
      <c r="M7163" s="5">
        <f t="shared" si="853"/>
        <v>2013</v>
      </c>
    </row>
    <row r="7164" spans="1:13" ht="15" x14ac:dyDescent="0.25">
      <c r="A7164" s="1">
        <f>DATE(2013,6,22)</f>
        <v>41447</v>
      </c>
      <c r="B7164" t="s">
        <v>21</v>
      </c>
      <c r="C7164" t="s">
        <v>9</v>
      </c>
      <c r="D7164" s="3">
        <v>580.20479999999998</v>
      </c>
      <c r="E7164" s="3">
        <v>0</v>
      </c>
      <c r="F7164" t="s">
        <v>45</v>
      </c>
      <c r="G7164" s="3">
        <f t="shared" si="847"/>
        <v>-580.20479999999998</v>
      </c>
      <c r="H7164" s="3">
        <f t="shared" si="848"/>
        <v>580.20479999999998</v>
      </c>
      <c r="I7164" s="5" t="str">
        <f t="shared" si="849"/>
        <v>018</v>
      </c>
      <c r="J7164" s="5" t="str">
        <f t="shared" si="850"/>
        <v>2220</v>
      </c>
      <c r="K7164" s="5" t="str">
        <f t="shared" si="851"/>
        <v>000</v>
      </c>
      <c r="L7164" s="5">
        <f t="shared" si="852"/>
        <v>6</v>
      </c>
      <c r="M7164" s="5">
        <f t="shared" si="853"/>
        <v>2013</v>
      </c>
    </row>
    <row r="7165" spans="1:13" ht="15" x14ac:dyDescent="0.25">
      <c r="A7165" s="1">
        <f>DATE(2013,6,22)</f>
        <v>41447</v>
      </c>
      <c r="B7165" t="s">
        <v>22</v>
      </c>
      <c r="C7165" t="s">
        <v>10</v>
      </c>
      <c r="D7165" s="3">
        <v>68.001900000000006</v>
      </c>
      <c r="E7165" s="3">
        <v>0</v>
      </c>
      <c r="F7165" t="s">
        <v>45</v>
      </c>
      <c r="G7165" s="3">
        <f t="shared" si="847"/>
        <v>-68.001900000000006</v>
      </c>
      <c r="H7165" s="3">
        <f t="shared" si="848"/>
        <v>68.001900000000006</v>
      </c>
      <c r="I7165" s="5" t="str">
        <f t="shared" si="849"/>
        <v>018</v>
      </c>
      <c r="J7165" s="5" t="str">
        <f t="shared" si="850"/>
        <v>2230</v>
      </c>
      <c r="K7165" s="5" t="str">
        <f t="shared" si="851"/>
        <v>000</v>
      </c>
      <c r="L7165" s="5">
        <f t="shared" si="852"/>
        <v>6</v>
      </c>
      <c r="M7165" s="5">
        <f t="shared" si="853"/>
        <v>2013</v>
      </c>
    </row>
    <row r="7166" spans="1:13" ht="15" x14ac:dyDescent="0.25">
      <c r="A7166" s="1">
        <f>DATE(2013,6,23)</f>
        <v>41448</v>
      </c>
      <c r="B7166" t="s">
        <v>19</v>
      </c>
      <c r="C7166" t="s">
        <v>6</v>
      </c>
      <c r="D7166" s="3">
        <v>8213.4822000000004</v>
      </c>
      <c r="E7166" s="3">
        <v>0</v>
      </c>
      <c r="F7166" t="s">
        <v>45</v>
      </c>
      <c r="G7166" s="3">
        <f t="shared" si="847"/>
        <v>-8213.4822000000004</v>
      </c>
      <c r="H7166" s="3">
        <f t="shared" si="848"/>
        <v>8213.4822000000004</v>
      </c>
      <c r="I7166" s="5" t="str">
        <f t="shared" si="849"/>
        <v>018</v>
      </c>
      <c r="J7166" s="5" t="str">
        <f t="shared" si="850"/>
        <v>2100</v>
      </c>
      <c r="K7166" s="5" t="str">
        <f t="shared" si="851"/>
        <v>000</v>
      </c>
      <c r="L7166" s="5">
        <f t="shared" si="852"/>
        <v>6</v>
      </c>
      <c r="M7166" s="5">
        <f t="shared" si="853"/>
        <v>2013</v>
      </c>
    </row>
    <row r="7167" spans="1:13" ht="15" x14ac:dyDescent="0.25">
      <c r="A7167" s="1">
        <f>DATE(2013,6,23)</f>
        <v>41448</v>
      </c>
      <c r="B7167" t="s">
        <v>20</v>
      </c>
      <c r="C7167" t="s">
        <v>8</v>
      </c>
      <c r="D7167" s="3">
        <v>1113.6033</v>
      </c>
      <c r="E7167" s="3">
        <v>0</v>
      </c>
      <c r="F7167" t="s">
        <v>45</v>
      </c>
      <c r="G7167" s="3">
        <f t="shared" si="847"/>
        <v>-1113.6033</v>
      </c>
      <c r="H7167" s="3">
        <f t="shared" si="848"/>
        <v>1113.6033</v>
      </c>
      <c r="I7167" s="5" t="str">
        <f t="shared" si="849"/>
        <v>018</v>
      </c>
      <c r="J7167" s="5" t="str">
        <f t="shared" si="850"/>
        <v>2210</v>
      </c>
      <c r="K7167" s="5" t="str">
        <f t="shared" si="851"/>
        <v>000</v>
      </c>
      <c r="L7167" s="5">
        <f t="shared" si="852"/>
        <v>6</v>
      </c>
      <c r="M7167" s="5">
        <f t="shared" si="853"/>
        <v>2013</v>
      </c>
    </row>
    <row r="7168" spans="1:13" ht="15" x14ac:dyDescent="0.25">
      <c r="A7168" s="1">
        <f>DATE(2013,6,23)</f>
        <v>41448</v>
      </c>
      <c r="B7168" t="s">
        <v>21</v>
      </c>
      <c r="C7168" t="s">
        <v>9</v>
      </c>
      <c r="D7168" s="3">
        <v>347.536</v>
      </c>
      <c r="E7168" s="3">
        <v>0</v>
      </c>
      <c r="F7168" t="s">
        <v>45</v>
      </c>
      <c r="G7168" s="3">
        <f t="shared" si="847"/>
        <v>-347.536</v>
      </c>
      <c r="H7168" s="3">
        <f t="shared" si="848"/>
        <v>347.536</v>
      </c>
      <c r="I7168" s="5" t="str">
        <f t="shared" si="849"/>
        <v>018</v>
      </c>
      <c r="J7168" s="5" t="str">
        <f t="shared" si="850"/>
        <v>2220</v>
      </c>
      <c r="K7168" s="5" t="str">
        <f t="shared" si="851"/>
        <v>000</v>
      </c>
      <c r="L7168" s="5">
        <f t="shared" si="852"/>
        <v>6</v>
      </c>
      <c r="M7168" s="5">
        <f t="shared" si="853"/>
        <v>2013</v>
      </c>
    </row>
    <row r="7169" spans="1:13" ht="15" x14ac:dyDescent="0.25">
      <c r="A7169" s="1">
        <f>DATE(2013,6,23)</f>
        <v>41448</v>
      </c>
      <c r="B7169" t="s">
        <v>22</v>
      </c>
      <c r="C7169" t="s">
        <v>10</v>
      </c>
      <c r="D7169" s="3">
        <v>96.282000000000011</v>
      </c>
      <c r="E7169" s="3">
        <v>0</v>
      </c>
      <c r="F7169" t="s">
        <v>45</v>
      </c>
      <c r="G7169" s="3">
        <f t="shared" si="847"/>
        <v>-96.282000000000011</v>
      </c>
      <c r="H7169" s="3">
        <f t="shared" si="848"/>
        <v>96.282000000000011</v>
      </c>
      <c r="I7169" s="5" t="str">
        <f t="shared" si="849"/>
        <v>018</v>
      </c>
      <c r="J7169" s="5" t="str">
        <f t="shared" si="850"/>
        <v>2230</v>
      </c>
      <c r="K7169" s="5" t="str">
        <f t="shared" si="851"/>
        <v>000</v>
      </c>
      <c r="L7169" s="5">
        <f t="shared" si="852"/>
        <v>6</v>
      </c>
      <c r="M7169" s="5">
        <f t="shared" si="853"/>
        <v>2013</v>
      </c>
    </row>
    <row r="7170" spans="1:13" ht="15" x14ac:dyDescent="0.25">
      <c r="A7170" s="1">
        <f t="shared" ref="A7170:A7173" si="854">DATE(2013,6,24)</f>
        <v>41449</v>
      </c>
      <c r="B7170" t="s">
        <v>11</v>
      </c>
      <c r="C7170" t="s">
        <v>6</v>
      </c>
      <c r="D7170" s="3">
        <v>2313.7365999999997</v>
      </c>
      <c r="E7170" s="3">
        <v>0</v>
      </c>
      <c r="F7170" t="s">
        <v>45</v>
      </c>
      <c r="G7170" s="3">
        <f t="shared" ref="G7170:G7233" si="855">E7170-D7170</f>
        <v>-2313.7365999999997</v>
      </c>
      <c r="H7170" s="3">
        <f t="shared" ref="H7170:H7233" si="856">ABS(G7170)</f>
        <v>2313.7365999999997</v>
      </c>
      <c r="I7170" s="5" t="str">
        <f t="shared" ref="I7170:I7233" si="857">MID(B7170,1,3)</f>
        <v>016</v>
      </c>
      <c r="J7170" s="5" t="str">
        <f t="shared" ref="J7170:J7233" si="858">MID(B7170,5,4)</f>
        <v>2100</v>
      </c>
      <c r="K7170" s="5" t="str">
        <f t="shared" ref="K7170:K7233" si="859">MID(B7170,10,3)</f>
        <v>000</v>
      </c>
      <c r="L7170" s="5">
        <f t="shared" ref="L7170:L7233" si="860">MONTH(A7170)</f>
        <v>6</v>
      </c>
      <c r="M7170" s="5">
        <f t="shared" ref="M7170:M7233" si="861">YEAR(A7170)</f>
        <v>2013</v>
      </c>
    </row>
    <row r="7171" spans="1:13" ht="15" x14ac:dyDescent="0.25">
      <c r="A7171" s="1">
        <f t="shared" si="854"/>
        <v>41449</v>
      </c>
      <c r="B7171" t="s">
        <v>12</v>
      </c>
      <c r="C7171" t="s">
        <v>8</v>
      </c>
      <c r="D7171" s="3">
        <v>463.11840000000007</v>
      </c>
      <c r="E7171" s="3">
        <v>0</v>
      </c>
      <c r="F7171" t="s">
        <v>45</v>
      </c>
      <c r="G7171" s="3">
        <f t="shared" si="855"/>
        <v>-463.11840000000007</v>
      </c>
      <c r="H7171" s="3">
        <f t="shared" si="856"/>
        <v>463.11840000000007</v>
      </c>
      <c r="I7171" s="5" t="str">
        <f t="shared" si="857"/>
        <v>016</v>
      </c>
      <c r="J7171" s="5" t="str">
        <f t="shared" si="858"/>
        <v>2210</v>
      </c>
      <c r="K7171" s="5" t="str">
        <f t="shared" si="859"/>
        <v>000</v>
      </c>
      <c r="L7171" s="5">
        <f t="shared" si="860"/>
        <v>6</v>
      </c>
      <c r="M7171" s="5">
        <f t="shared" si="861"/>
        <v>2013</v>
      </c>
    </row>
    <row r="7172" spans="1:13" ht="15" x14ac:dyDescent="0.25">
      <c r="A7172" s="1">
        <f t="shared" si="854"/>
        <v>41449</v>
      </c>
      <c r="B7172" t="s">
        <v>13</v>
      </c>
      <c r="C7172" t="s">
        <v>9</v>
      </c>
      <c r="D7172" s="3">
        <v>140.72400000000002</v>
      </c>
      <c r="E7172" s="3">
        <v>0</v>
      </c>
      <c r="F7172" t="s">
        <v>45</v>
      </c>
      <c r="G7172" s="3">
        <f t="shared" si="855"/>
        <v>-140.72400000000002</v>
      </c>
      <c r="H7172" s="3">
        <f t="shared" si="856"/>
        <v>140.72400000000002</v>
      </c>
      <c r="I7172" s="5" t="str">
        <f t="shared" si="857"/>
        <v>016</v>
      </c>
      <c r="J7172" s="5" t="str">
        <f t="shared" si="858"/>
        <v>2220</v>
      </c>
      <c r="K7172" s="5" t="str">
        <f t="shared" si="859"/>
        <v>000</v>
      </c>
      <c r="L7172" s="5">
        <f t="shared" si="860"/>
        <v>6</v>
      </c>
      <c r="M7172" s="5">
        <f t="shared" si="861"/>
        <v>2013</v>
      </c>
    </row>
    <row r="7173" spans="1:13" ht="15" x14ac:dyDescent="0.25">
      <c r="A7173" s="1">
        <f t="shared" si="854"/>
        <v>41449</v>
      </c>
      <c r="B7173" t="s">
        <v>14</v>
      </c>
      <c r="C7173" t="s">
        <v>10</v>
      </c>
      <c r="D7173" s="3">
        <v>61.148999999999994</v>
      </c>
      <c r="E7173" s="3">
        <v>0</v>
      </c>
      <c r="F7173" t="s">
        <v>45</v>
      </c>
      <c r="G7173" s="3">
        <f t="shared" si="855"/>
        <v>-61.148999999999994</v>
      </c>
      <c r="H7173" s="3">
        <f t="shared" si="856"/>
        <v>61.148999999999994</v>
      </c>
      <c r="I7173" s="5" t="str">
        <f t="shared" si="857"/>
        <v>016</v>
      </c>
      <c r="J7173" s="5" t="str">
        <f t="shared" si="858"/>
        <v>2230</v>
      </c>
      <c r="K7173" s="5" t="str">
        <f t="shared" si="859"/>
        <v>000</v>
      </c>
      <c r="L7173" s="5">
        <f t="shared" si="860"/>
        <v>6</v>
      </c>
      <c r="M7173" s="5">
        <f t="shared" si="861"/>
        <v>2013</v>
      </c>
    </row>
    <row r="7174" spans="1:13" ht="15" x14ac:dyDescent="0.25">
      <c r="A7174" s="1">
        <f>DATE(2013,6,25)</f>
        <v>41450</v>
      </c>
      <c r="B7174" t="s">
        <v>11</v>
      </c>
      <c r="C7174" t="s">
        <v>6</v>
      </c>
      <c r="D7174" s="3">
        <v>7353.0828000000001</v>
      </c>
      <c r="E7174" s="3">
        <v>0</v>
      </c>
      <c r="F7174" t="s">
        <v>45</v>
      </c>
      <c r="G7174" s="3">
        <f t="shared" si="855"/>
        <v>-7353.0828000000001</v>
      </c>
      <c r="H7174" s="3">
        <f t="shared" si="856"/>
        <v>7353.0828000000001</v>
      </c>
      <c r="I7174" s="5" t="str">
        <f t="shared" si="857"/>
        <v>016</v>
      </c>
      <c r="J7174" s="5" t="str">
        <f t="shared" si="858"/>
        <v>2100</v>
      </c>
      <c r="K7174" s="5" t="str">
        <f t="shared" si="859"/>
        <v>000</v>
      </c>
      <c r="L7174" s="5">
        <f t="shared" si="860"/>
        <v>6</v>
      </c>
      <c r="M7174" s="5">
        <f t="shared" si="861"/>
        <v>2013</v>
      </c>
    </row>
    <row r="7175" spans="1:13" ht="15" x14ac:dyDescent="0.25">
      <c r="A7175" s="1">
        <f>DATE(2013,6,25)</f>
        <v>41450</v>
      </c>
      <c r="B7175" t="s">
        <v>12</v>
      </c>
      <c r="C7175" t="s">
        <v>8</v>
      </c>
      <c r="D7175" s="3">
        <v>2909.3490000000002</v>
      </c>
      <c r="E7175" s="3">
        <v>0</v>
      </c>
      <c r="F7175" t="s">
        <v>45</v>
      </c>
      <c r="G7175" s="3">
        <f t="shared" si="855"/>
        <v>-2909.3490000000002</v>
      </c>
      <c r="H7175" s="3">
        <f t="shared" si="856"/>
        <v>2909.3490000000002</v>
      </c>
      <c r="I7175" s="5" t="str">
        <f t="shared" si="857"/>
        <v>016</v>
      </c>
      <c r="J7175" s="5" t="str">
        <f t="shared" si="858"/>
        <v>2210</v>
      </c>
      <c r="K7175" s="5" t="str">
        <f t="shared" si="859"/>
        <v>000</v>
      </c>
      <c r="L7175" s="5">
        <f t="shared" si="860"/>
        <v>6</v>
      </c>
      <c r="M7175" s="5">
        <f t="shared" si="861"/>
        <v>2013</v>
      </c>
    </row>
    <row r="7176" spans="1:13" ht="15" x14ac:dyDescent="0.25">
      <c r="A7176" s="1">
        <f>DATE(2013,6,25)</f>
        <v>41450</v>
      </c>
      <c r="B7176" t="s">
        <v>13</v>
      </c>
      <c r="C7176" t="s">
        <v>9</v>
      </c>
      <c r="D7176" s="3">
        <v>954.91779999999994</v>
      </c>
      <c r="E7176" s="3">
        <v>0</v>
      </c>
      <c r="F7176" t="s">
        <v>45</v>
      </c>
      <c r="G7176" s="3">
        <f t="shared" si="855"/>
        <v>-954.91779999999994</v>
      </c>
      <c r="H7176" s="3">
        <f t="shared" si="856"/>
        <v>954.91779999999994</v>
      </c>
      <c r="I7176" s="5" t="str">
        <f t="shared" si="857"/>
        <v>016</v>
      </c>
      <c r="J7176" s="5" t="str">
        <f t="shared" si="858"/>
        <v>2220</v>
      </c>
      <c r="K7176" s="5" t="str">
        <f t="shared" si="859"/>
        <v>000</v>
      </c>
      <c r="L7176" s="5">
        <f t="shared" si="860"/>
        <v>6</v>
      </c>
      <c r="M7176" s="5">
        <f t="shared" si="861"/>
        <v>2013</v>
      </c>
    </row>
    <row r="7177" spans="1:13" ht="15" x14ac:dyDescent="0.25">
      <c r="A7177" s="1">
        <f>DATE(2013,6,25)</f>
        <v>41450</v>
      </c>
      <c r="B7177" t="s">
        <v>14</v>
      </c>
      <c r="C7177" t="s">
        <v>10</v>
      </c>
      <c r="D7177" s="3">
        <v>156.37639999999999</v>
      </c>
      <c r="E7177" s="3">
        <v>0</v>
      </c>
      <c r="F7177" t="s">
        <v>45</v>
      </c>
      <c r="G7177" s="3">
        <f t="shared" si="855"/>
        <v>-156.37639999999999</v>
      </c>
      <c r="H7177" s="3">
        <f t="shared" si="856"/>
        <v>156.37639999999999</v>
      </c>
      <c r="I7177" s="5" t="str">
        <f t="shared" si="857"/>
        <v>016</v>
      </c>
      <c r="J7177" s="5" t="str">
        <f t="shared" si="858"/>
        <v>2230</v>
      </c>
      <c r="K7177" s="5" t="str">
        <f t="shared" si="859"/>
        <v>000</v>
      </c>
      <c r="L7177" s="5">
        <f t="shared" si="860"/>
        <v>6</v>
      </c>
      <c r="M7177" s="5">
        <f t="shared" si="861"/>
        <v>2013</v>
      </c>
    </row>
    <row r="7178" spans="1:13" ht="15" x14ac:dyDescent="0.25">
      <c r="A7178" s="1">
        <f>DATE(2013,6,26)</f>
        <v>41451</v>
      </c>
      <c r="B7178" t="s">
        <v>11</v>
      </c>
      <c r="C7178" t="s">
        <v>6</v>
      </c>
      <c r="D7178" s="3">
        <v>2848.1862999999998</v>
      </c>
      <c r="E7178" s="3">
        <v>0</v>
      </c>
      <c r="F7178" t="s">
        <v>45</v>
      </c>
      <c r="G7178" s="3">
        <f t="shared" si="855"/>
        <v>-2848.1862999999998</v>
      </c>
      <c r="H7178" s="3">
        <f t="shared" si="856"/>
        <v>2848.1862999999998</v>
      </c>
      <c r="I7178" s="5" t="str">
        <f t="shared" si="857"/>
        <v>016</v>
      </c>
      <c r="J7178" s="5" t="str">
        <f t="shared" si="858"/>
        <v>2100</v>
      </c>
      <c r="K7178" s="5" t="str">
        <f t="shared" si="859"/>
        <v>000</v>
      </c>
      <c r="L7178" s="5">
        <f t="shared" si="860"/>
        <v>6</v>
      </c>
      <c r="M7178" s="5">
        <f t="shared" si="861"/>
        <v>2013</v>
      </c>
    </row>
    <row r="7179" spans="1:13" ht="15" x14ac:dyDescent="0.25">
      <c r="A7179" s="1">
        <f>DATE(2013,6,26)</f>
        <v>41451</v>
      </c>
      <c r="B7179" t="s">
        <v>12</v>
      </c>
      <c r="C7179" t="s">
        <v>8</v>
      </c>
      <c r="D7179" s="3">
        <v>597.71280000000002</v>
      </c>
      <c r="E7179" s="3">
        <v>0</v>
      </c>
      <c r="F7179" t="s">
        <v>45</v>
      </c>
      <c r="G7179" s="3">
        <f t="shared" si="855"/>
        <v>-597.71280000000002</v>
      </c>
      <c r="H7179" s="3">
        <f t="shared" si="856"/>
        <v>597.71280000000002</v>
      </c>
      <c r="I7179" s="5" t="str">
        <f t="shared" si="857"/>
        <v>016</v>
      </c>
      <c r="J7179" s="5" t="str">
        <f t="shared" si="858"/>
        <v>2210</v>
      </c>
      <c r="K7179" s="5" t="str">
        <f t="shared" si="859"/>
        <v>000</v>
      </c>
      <c r="L7179" s="5">
        <f t="shared" si="860"/>
        <v>6</v>
      </c>
      <c r="M7179" s="5">
        <f t="shared" si="861"/>
        <v>2013</v>
      </c>
    </row>
    <row r="7180" spans="1:13" ht="15" x14ac:dyDescent="0.25">
      <c r="A7180" s="1">
        <f>DATE(2013,6,26)</f>
        <v>41451</v>
      </c>
      <c r="B7180" t="s">
        <v>13</v>
      </c>
      <c r="C7180" t="s">
        <v>9</v>
      </c>
      <c r="D7180" s="3">
        <v>132.93600000000001</v>
      </c>
      <c r="E7180" s="3">
        <v>0</v>
      </c>
      <c r="F7180" t="s">
        <v>45</v>
      </c>
      <c r="G7180" s="3">
        <f t="shared" si="855"/>
        <v>-132.93600000000001</v>
      </c>
      <c r="H7180" s="3">
        <f t="shared" si="856"/>
        <v>132.93600000000001</v>
      </c>
      <c r="I7180" s="5" t="str">
        <f t="shared" si="857"/>
        <v>016</v>
      </c>
      <c r="J7180" s="5" t="str">
        <f t="shared" si="858"/>
        <v>2220</v>
      </c>
      <c r="K7180" s="5" t="str">
        <f t="shared" si="859"/>
        <v>000</v>
      </c>
      <c r="L7180" s="5">
        <f t="shared" si="860"/>
        <v>6</v>
      </c>
      <c r="M7180" s="5">
        <f t="shared" si="861"/>
        <v>2013</v>
      </c>
    </row>
    <row r="7181" spans="1:13" ht="15" x14ac:dyDescent="0.25">
      <c r="A7181" s="1">
        <f>DATE(2013,6,26)</f>
        <v>41451</v>
      </c>
      <c r="B7181" t="s">
        <v>14</v>
      </c>
      <c r="C7181" t="s">
        <v>10</v>
      </c>
      <c r="D7181" s="3">
        <v>54.404000000000011</v>
      </c>
      <c r="E7181" s="3">
        <v>0</v>
      </c>
      <c r="F7181" t="s">
        <v>45</v>
      </c>
      <c r="G7181" s="3">
        <f t="shared" si="855"/>
        <v>-54.404000000000011</v>
      </c>
      <c r="H7181" s="3">
        <f t="shared" si="856"/>
        <v>54.404000000000011</v>
      </c>
      <c r="I7181" s="5" t="str">
        <f t="shared" si="857"/>
        <v>016</v>
      </c>
      <c r="J7181" s="5" t="str">
        <f t="shared" si="858"/>
        <v>2230</v>
      </c>
      <c r="K7181" s="5" t="str">
        <f t="shared" si="859"/>
        <v>000</v>
      </c>
      <c r="L7181" s="5">
        <f t="shared" si="860"/>
        <v>6</v>
      </c>
      <c r="M7181" s="5">
        <f t="shared" si="861"/>
        <v>2013</v>
      </c>
    </row>
    <row r="7182" spans="1:13" ht="15" x14ac:dyDescent="0.25">
      <c r="A7182" s="1">
        <f>DATE(2013,6,27)</f>
        <v>41452</v>
      </c>
      <c r="B7182" t="s">
        <v>11</v>
      </c>
      <c r="C7182" t="s">
        <v>6</v>
      </c>
      <c r="D7182" s="3">
        <v>3589.7043000000003</v>
      </c>
      <c r="E7182" s="3">
        <v>0</v>
      </c>
      <c r="F7182" t="s">
        <v>45</v>
      </c>
      <c r="G7182" s="3">
        <f t="shared" si="855"/>
        <v>-3589.7043000000003</v>
      </c>
      <c r="H7182" s="3">
        <f t="shared" si="856"/>
        <v>3589.7043000000003</v>
      </c>
      <c r="I7182" s="5" t="str">
        <f t="shared" si="857"/>
        <v>016</v>
      </c>
      <c r="J7182" s="5" t="str">
        <f t="shared" si="858"/>
        <v>2100</v>
      </c>
      <c r="K7182" s="5" t="str">
        <f t="shared" si="859"/>
        <v>000</v>
      </c>
      <c r="L7182" s="5">
        <f t="shared" si="860"/>
        <v>6</v>
      </c>
      <c r="M7182" s="5">
        <f t="shared" si="861"/>
        <v>2013</v>
      </c>
    </row>
    <row r="7183" spans="1:13" ht="15" x14ac:dyDescent="0.25">
      <c r="A7183" s="1">
        <f>DATE(2013,6,27)</f>
        <v>41452</v>
      </c>
      <c r="B7183" t="s">
        <v>12</v>
      </c>
      <c r="C7183" t="s">
        <v>8</v>
      </c>
      <c r="D7183" s="3">
        <v>934.13059999999984</v>
      </c>
      <c r="E7183" s="3">
        <v>0</v>
      </c>
      <c r="F7183" t="s">
        <v>45</v>
      </c>
      <c r="G7183" s="3">
        <f t="shared" si="855"/>
        <v>-934.13059999999984</v>
      </c>
      <c r="H7183" s="3">
        <f t="shared" si="856"/>
        <v>934.13059999999984</v>
      </c>
      <c r="I7183" s="5" t="str">
        <f t="shared" si="857"/>
        <v>016</v>
      </c>
      <c r="J7183" s="5" t="str">
        <f t="shared" si="858"/>
        <v>2210</v>
      </c>
      <c r="K7183" s="5" t="str">
        <f t="shared" si="859"/>
        <v>000</v>
      </c>
      <c r="L7183" s="5">
        <f t="shared" si="860"/>
        <v>6</v>
      </c>
      <c r="M7183" s="5">
        <f t="shared" si="861"/>
        <v>2013</v>
      </c>
    </row>
    <row r="7184" spans="1:13" ht="15" x14ac:dyDescent="0.25">
      <c r="A7184" s="1">
        <f>DATE(2013,6,27)</f>
        <v>41452</v>
      </c>
      <c r="B7184" t="s">
        <v>13</v>
      </c>
      <c r="C7184" t="s">
        <v>9</v>
      </c>
      <c r="D7184" s="3">
        <v>192.57750000000001</v>
      </c>
      <c r="E7184" s="3">
        <v>0</v>
      </c>
      <c r="F7184" t="s">
        <v>45</v>
      </c>
      <c r="G7184" s="3">
        <f t="shared" si="855"/>
        <v>-192.57750000000001</v>
      </c>
      <c r="H7184" s="3">
        <f t="shared" si="856"/>
        <v>192.57750000000001</v>
      </c>
      <c r="I7184" s="5" t="str">
        <f t="shared" si="857"/>
        <v>016</v>
      </c>
      <c r="J7184" s="5" t="str">
        <f t="shared" si="858"/>
        <v>2220</v>
      </c>
      <c r="K7184" s="5" t="str">
        <f t="shared" si="859"/>
        <v>000</v>
      </c>
      <c r="L7184" s="5">
        <f t="shared" si="860"/>
        <v>6</v>
      </c>
      <c r="M7184" s="5">
        <f t="shared" si="861"/>
        <v>2013</v>
      </c>
    </row>
    <row r="7185" spans="1:13" ht="15" x14ac:dyDescent="0.25">
      <c r="A7185" s="1">
        <f>DATE(2013,6,27)</f>
        <v>41452</v>
      </c>
      <c r="B7185" t="s">
        <v>14</v>
      </c>
      <c r="C7185" t="s">
        <v>10</v>
      </c>
      <c r="D7185" s="3">
        <v>121.595</v>
      </c>
      <c r="E7185" s="3">
        <v>0</v>
      </c>
      <c r="F7185" t="s">
        <v>45</v>
      </c>
      <c r="G7185" s="3">
        <f t="shared" si="855"/>
        <v>-121.595</v>
      </c>
      <c r="H7185" s="3">
        <f t="shared" si="856"/>
        <v>121.595</v>
      </c>
      <c r="I7185" s="5" t="str">
        <f t="shared" si="857"/>
        <v>016</v>
      </c>
      <c r="J7185" s="5" t="str">
        <f t="shared" si="858"/>
        <v>2230</v>
      </c>
      <c r="K7185" s="5" t="str">
        <f t="shared" si="859"/>
        <v>000</v>
      </c>
      <c r="L7185" s="5">
        <f t="shared" si="860"/>
        <v>6</v>
      </c>
      <c r="M7185" s="5">
        <f t="shared" si="861"/>
        <v>2013</v>
      </c>
    </row>
    <row r="7186" spans="1:13" ht="15" x14ac:dyDescent="0.25">
      <c r="A7186" s="1">
        <f>DATE(2013,6,28)</f>
        <v>41453</v>
      </c>
      <c r="B7186" t="s">
        <v>11</v>
      </c>
      <c r="C7186" t="s">
        <v>6</v>
      </c>
      <c r="D7186" s="3">
        <v>4605.2728000000006</v>
      </c>
      <c r="E7186" s="3">
        <v>0</v>
      </c>
      <c r="F7186" t="s">
        <v>45</v>
      </c>
      <c r="G7186" s="3">
        <f t="shared" si="855"/>
        <v>-4605.2728000000006</v>
      </c>
      <c r="H7186" s="3">
        <f t="shared" si="856"/>
        <v>4605.2728000000006</v>
      </c>
      <c r="I7186" s="5" t="str">
        <f t="shared" si="857"/>
        <v>016</v>
      </c>
      <c r="J7186" s="5" t="str">
        <f t="shared" si="858"/>
        <v>2100</v>
      </c>
      <c r="K7186" s="5" t="str">
        <f t="shared" si="859"/>
        <v>000</v>
      </c>
      <c r="L7186" s="5">
        <f t="shared" si="860"/>
        <v>6</v>
      </c>
      <c r="M7186" s="5">
        <f t="shared" si="861"/>
        <v>2013</v>
      </c>
    </row>
    <row r="7187" spans="1:13" ht="15" x14ac:dyDescent="0.25">
      <c r="A7187" s="1">
        <f>DATE(2013,6,28)</f>
        <v>41453</v>
      </c>
      <c r="B7187" t="s">
        <v>12</v>
      </c>
      <c r="C7187" t="s">
        <v>8</v>
      </c>
      <c r="D7187" s="3">
        <v>1601.5719999999999</v>
      </c>
      <c r="E7187" s="3">
        <v>0</v>
      </c>
      <c r="F7187" t="s">
        <v>45</v>
      </c>
      <c r="G7187" s="3">
        <f t="shared" si="855"/>
        <v>-1601.5719999999999</v>
      </c>
      <c r="H7187" s="3">
        <f t="shared" si="856"/>
        <v>1601.5719999999999</v>
      </c>
      <c r="I7187" s="5" t="str">
        <f t="shared" si="857"/>
        <v>016</v>
      </c>
      <c r="J7187" s="5" t="str">
        <f t="shared" si="858"/>
        <v>2210</v>
      </c>
      <c r="K7187" s="5" t="str">
        <f t="shared" si="859"/>
        <v>000</v>
      </c>
      <c r="L7187" s="5">
        <f t="shared" si="860"/>
        <v>6</v>
      </c>
      <c r="M7187" s="5">
        <f t="shared" si="861"/>
        <v>2013</v>
      </c>
    </row>
    <row r="7188" spans="1:13" ht="15" x14ac:dyDescent="0.25">
      <c r="A7188" s="1">
        <f>DATE(2013,6,28)</f>
        <v>41453</v>
      </c>
      <c r="B7188" t="s">
        <v>13</v>
      </c>
      <c r="C7188" t="s">
        <v>9</v>
      </c>
      <c r="D7188" s="3">
        <v>314.041</v>
      </c>
      <c r="E7188" s="3">
        <v>0</v>
      </c>
      <c r="F7188" t="s">
        <v>45</v>
      </c>
      <c r="G7188" s="3">
        <f t="shared" si="855"/>
        <v>-314.041</v>
      </c>
      <c r="H7188" s="3">
        <f t="shared" si="856"/>
        <v>314.041</v>
      </c>
      <c r="I7188" s="5" t="str">
        <f t="shared" si="857"/>
        <v>016</v>
      </c>
      <c r="J7188" s="5" t="str">
        <f t="shared" si="858"/>
        <v>2220</v>
      </c>
      <c r="K7188" s="5" t="str">
        <f t="shared" si="859"/>
        <v>000</v>
      </c>
      <c r="L7188" s="5">
        <f t="shared" si="860"/>
        <v>6</v>
      </c>
      <c r="M7188" s="5">
        <f t="shared" si="861"/>
        <v>2013</v>
      </c>
    </row>
    <row r="7189" spans="1:13" ht="15" x14ac:dyDescent="0.25">
      <c r="A7189" s="1">
        <f>DATE(2013,6,28)</f>
        <v>41453</v>
      </c>
      <c r="B7189" t="s">
        <v>14</v>
      </c>
      <c r="C7189" t="s">
        <v>10</v>
      </c>
      <c r="D7189" s="3">
        <v>185.74709999999999</v>
      </c>
      <c r="E7189" s="3">
        <v>0</v>
      </c>
      <c r="F7189" t="s">
        <v>45</v>
      </c>
      <c r="G7189" s="3">
        <f t="shared" si="855"/>
        <v>-185.74709999999999</v>
      </c>
      <c r="H7189" s="3">
        <f t="shared" si="856"/>
        <v>185.74709999999999</v>
      </c>
      <c r="I7189" s="5" t="str">
        <f t="shared" si="857"/>
        <v>016</v>
      </c>
      <c r="J7189" s="5" t="str">
        <f t="shared" si="858"/>
        <v>2230</v>
      </c>
      <c r="K7189" s="5" t="str">
        <f t="shared" si="859"/>
        <v>000</v>
      </c>
      <c r="L7189" s="5">
        <f t="shared" si="860"/>
        <v>6</v>
      </c>
      <c r="M7189" s="5">
        <f t="shared" si="861"/>
        <v>2013</v>
      </c>
    </row>
    <row r="7190" spans="1:13" ht="15" x14ac:dyDescent="0.25">
      <c r="A7190" s="1">
        <f>DATE(2013,6,29)</f>
        <v>41454</v>
      </c>
      <c r="B7190" t="s">
        <v>11</v>
      </c>
      <c r="C7190" t="s">
        <v>6</v>
      </c>
      <c r="D7190" s="3">
        <v>5924.5416999999998</v>
      </c>
      <c r="E7190" s="3">
        <v>0</v>
      </c>
      <c r="F7190" t="s">
        <v>45</v>
      </c>
      <c r="G7190" s="3">
        <f t="shared" si="855"/>
        <v>-5924.5416999999998</v>
      </c>
      <c r="H7190" s="3">
        <f t="shared" si="856"/>
        <v>5924.5416999999998</v>
      </c>
      <c r="I7190" s="5" t="str">
        <f t="shared" si="857"/>
        <v>016</v>
      </c>
      <c r="J7190" s="5" t="str">
        <f t="shared" si="858"/>
        <v>2100</v>
      </c>
      <c r="K7190" s="5" t="str">
        <f t="shared" si="859"/>
        <v>000</v>
      </c>
      <c r="L7190" s="5">
        <f t="shared" si="860"/>
        <v>6</v>
      </c>
      <c r="M7190" s="5">
        <f t="shared" si="861"/>
        <v>2013</v>
      </c>
    </row>
    <row r="7191" spans="1:13" ht="15" x14ac:dyDescent="0.25">
      <c r="A7191" s="1">
        <f>DATE(2013,6,29)</f>
        <v>41454</v>
      </c>
      <c r="B7191" t="s">
        <v>12</v>
      </c>
      <c r="C7191" t="s">
        <v>8</v>
      </c>
      <c r="D7191" s="3">
        <v>1354.4561999999999</v>
      </c>
      <c r="E7191" s="3">
        <v>0</v>
      </c>
      <c r="F7191" t="s">
        <v>45</v>
      </c>
      <c r="G7191" s="3">
        <f t="shared" si="855"/>
        <v>-1354.4561999999999</v>
      </c>
      <c r="H7191" s="3">
        <f t="shared" si="856"/>
        <v>1354.4561999999999</v>
      </c>
      <c r="I7191" s="5" t="str">
        <f t="shared" si="857"/>
        <v>016</v>
      </c>
      <c r="J7191" s="5" t="str">
        <f t="shared" si="858"/>
        <v>2210</v>
      </c>
      <c r="K7191" s="5" t="str">
        <f t="shared" si="859"/>
        <v>000</v>
      </c>
      <c r="L7191" s="5">
        <f t="shared" si="860"/>
        <v>6</v>
      </c>
      <c r="M7191" s="5">
        <f t="shared" si="861"/>
        <v>2013</v>
      </c>
    </row>
    <row r="7192" spans="1:13" ht="15" x14ac:dyDescent="0.25">
      <c r="A7192" s="1">
        <f>DATE(2013,6,29)</f>
        <v>41454</v>
      </c>
      <c r="B7192" t="s">
        <v>13</v>
      </c>
      <c r="C7192" t="s">
        <v>9</v>
      </c>
      <c r="D7192" s="3">
        <v>355.07120000000003</v>
      </c>
      <c r="E7192" s="3">
        <v>0</v>
      </c>
      <c r="F7192" t="s">
        <v>45</v>
      </c>
      <c r="G7192" s="3">
        <f t="shared" si="855"/>
        <v>-355.07120000000003</v>
      </c>
      <c r="H7192" s="3">
        <f t="shared" si="856"/>
        <v>355.07120000000003</v>
      </c>
      <c r="I7192" s="5" t="str">
        <f t="shared" si="857"/>
        <v>016</v>
      </c>
      <c r="J7192" s="5" t="str">
        <f t="shared" si="858"/>
        <v>2220</v>
      </c>
      <c r="K7192" s="5" t="str">
        <f t="shared" si="859"/>
        <v>000</v>
      </c>
      <c r="L7192" s="5">
        <f t="shared" si="860"/>
        <v>6</v>
      </c>
      <c r="M7192" s="5">
        <f t="shared" si="861"/>
        <v>2013</v>
      </c>
    </row>
    <row r="7193" spans="1:13" ht="15" x14ac:dyDescent="0.25">
      <c r="A7193" s="1">
        <f>DATE(2013,6,29)</f>
        <v>41454</v>
      </c>
      <c r="B7193" t="s">
        <v>14</v>
      </c>
      <c r="C7193" t="s">
        <v>10</v>
      </c>
      <c r="D7193" s="3">
        <v>43.749200000000002</v>
      </c>
      <c r="E7193" s="3">
        <v>0</v>
      </c>
      <c r="F7193" t="s">
        <v>45</v>
      </c>
      <c r="G7193" s="3">
        <f t="shared" si="855"/>
        <v>-43.749200000000002</v>
      </c>
      <c r="H7193" s="3">
        <f t="shared" si="856"/>
        <v>43.749200000000002</v>
      </c>
      <c r="I7193" s="5" t="str">
        <f t="shared" si="857"/>
        <v>016</v>
      </c>
      <c r="J7193" s="5" t="str">
        <f t="shared" si="858"/>
        <v>2230</v>
      </c>
      <c r="K7193" s="5" t="str">
        <f t="shared" si="859"/>
        <v>000</v>
      </c>
      <c r="L7193" s="5">
        <f t="shared" si="860"/>
        <v>6</v>
      </c>
      <c r="M7193" s="5">
        <f t="shared" si="861"/>
        <v>2013</v>
      </c>
    </row>
    <row r="7194" spans="1:13" ht="15" x14ac:dyDescent="0.25">
      <c r="A7194" s="1">
        <f>DATE(2013,6,30)</f>
        <v>41455</v>
      </c>
      <c r="B7194" t="s">
        <v>11</v>
      </c>
      <c r="C7194" t="s">
        <v>6</v>
      </c>
      <c r="D7194" s="3">
        <v>5634.3468000000003</v>
      </c>
      <c r="E7194" s="3">
        <v>0</v>
      </c>
      <c r="F7194" t="s">
        <v>45</v>
      </c>
      <c r="G7194" s="3">
        <f t="shared" si="855"/>
        <v>-5634.3468000000003</v>
      </c>
      <c r="H7194" s="3">
        <f t="shared" si="856"/>
        <v>5634.3468000000003</v>
      </c>
      <c r="I7194" s="5" t="str">
        <f t="shared" si="857"/>
        <v>016</v>
      </c>
      <c r="J7194" s="5" t="str">
        <f t="shared" si="858"/>
        <v>2100</v>
      </c>
      <c r="K7194" s="5" t="str">
        <f t="shared" si="859"/>
        <v>000</v>
      </c>
      <c r="L7194" s="5">
        <f t="shared" si="860"/>
        <v>6</v>
      </c>
      <c r="M7194" s="5">
        <f t="shared" si="861"/>
        <v>2013</v>
      </c>
    </row>
    <row r="7195" spans="1:13" ht="15" x14ac:dyDescent="0.25">
      <c r="A7195" s="1">
        <f>DATE(2013,6,30)</f>
        <v>41455</v>
      </c>
      <c r="B7195" t="s">
        <v>12</v>
      </c>
      <c r="C7195" t="s">
        <v>8</v>
      </c>
      <c r="D7195" s="3">
        <v>1043.2296000000001</v>
      </c>
      <c r="E7195" s="3">
        <v>0</v>
      </c>
      <c r="F7195" t="s">
        <v>45</v>
      </c>
      <c r="G7195" s="3">
        <f t="shared" si="855"/>
        <v>-1043.2296000000001</v>
      </c>
      <c r="H7195" s="3">
        <f t="shared" si="856"/>
        <v>1043.2296000000001</v>
      </c>
      <c r="I7195" s="5" t="str">
        <f t="shared" si="857"/>
        <v>016</v>
      </c>
      <c r="J7195" s="5" t="str">
        <f t="shared" si="858"/>
        <v>2210</v>
      </c>
      <c r="K7195" s="5" t="str">
        <f t="shared" si="859"/>
        <v>000</v>
      </c>
      <c r="L7195" s="5">
        <f t="shared" si="860"/>
        <v>6</v>
      </c>
      <c r="M7195" s="5">
        <f t="shared" si="861"/>
        <v>2013</v>
      </c>
    </row>
    <row r="7196" spans="1:13" ht="15" x14ac:dyDescent="0.25">
      <c r="A7196" s="1">
        <f>DATE(2013,6,30)</f>
        <v>41455</v>
      </c>
      <c r="B7196" t="s">
        <v>13</v>
      </c>
      <c r="C7196" t="s">
        <v>9</v>
      </c>
      <c r="D7196" s="3">
        <v>158.3194</v>
      </c>
      <c r="E7196" s="3">
        <v>0</v>
      </c>
      <c r="F7196" t="s">
        <v>45</v>
      </c>
      <c r="G7196" s="3">
        <f t="shared" si="855"/>
        <v>-158.3194</v>
      </c>
      <c r="H7196" s="3">
        <f t="shared" si="856"/>
        <v>158.3194</v>
      </c>
      <c r="I7196" s="5" t="str">
        <f t="shared" si="857"/>
        <v>016</v>
      </c>
      <c r="J7196" s="5" t="str">
        <f t="shared" si="858"/>
        <v>2220</v>
      </c>
      <c r="K7196" s="5" t="str">
        <f t="shared" si="859"/>
        <v>000</v>
      </c>
      <c r="L7196" s="5">
        <f t="shared" si="860"/>
        <v>6</v>
      </c>
      <c r="M7196" s="5">
        <f t="shared" si="861"/>
        <v>2013</v>
      </c>
    </row>
    <row r="7197" spans="1:13" ht="15" x14ac:dyDescent="0.25">
      <c r="A7197" s="1">
        <f>DATE(2013,6,30)</f>
        <v>41455</v>
      </c>
      <c r="B7197" t="s">
        <v>14</v>
      </c>
      <c r="C7197" t="s">
        <v>10</v>
      </c>
      <c r="D7197" s="3">
        <v>75.314400000000006</v>
      </c>
      <c r="E7197" s="3">
        <v>0</v>
      </c>
      <c r="F7197" t="s">
        <v>45</v>
      </c>
      <c r="G7197" s="3">
        <f t="shared" si="855"/>
        <v>-75.314400000000006</v>
      </c>
      <c r="H7197" s="3">
        <f t="shared" si="856"/>
        <v>75.314400000000006</v>
      </c>
      <c r="I7197" s="5" t="str">
        <f t="shared" si="857"/>
        <v>016</v>
      </c>
      <c r="J7197" s="5" t="str">
        <f t="shared" si="858"/>
        <v>2230</v>
      </c>
      <c r="K7197" s="5" t="str">
        <f t="shared" si="859"/>
        <v>000</v>
      </c>
      <c r="L7197" s="5">
        <f t="shared" si="860"/>
        <v>6</v>
      </c>
      <c r="M7197" s="5">
        <f t="shared" si="861"/>
        <v>2013</v>
      </c>
    </row>
    <row r="7198" spans="1:13" ht="15" x14ac:dyDescent="0.25">
      <c r="A7198" s="1">
        <f>DATE(2013,6,24)</f>
        <v>41449</v>
      </c>
      <c r="B7198" t="s">
        <v>15</v>
      </c>
      <c r="C7198" t="s">
        <v>6</v>
      </c>
      <c r="D7198" s="3">
        <v>3823.8984000000005</v>
      </c>
      <c r="E7198" s="3">
        <v>0</v>
      </c>
      <c r="F7198" t="s">
        <v>45</v>
      </c>
      <c r="G7198" s="3">
        <f t="shared" si="855"/>
        <v>-3823.8984000000005</v>
      </c>
      <c r="H7198" s="3">
        <f t="shared" si="856"/>
        <v>3823.8984000000005</v>
      </c>
      <c r="I7198" s="5" t="str">
        <f t="shared" si="857"/>
        <v>017</v>
      </c>
      <c r="J7198" s="5" t="str">
        <f t="shared" si="858"/>
        <v>2100</v>
      </c>
      <c r="K7198" s="5" t="str">
        <f t="shared" si="859"/>
        <v>000</v>
      </c>
      <c r="L7198" s="5">
        <f t="shared" si="860"/>
        <v>6</v>
      </c>
      <c r="M7198" s="5">
        <f t="shared" si="861"/>
        <v>2013</v>
      </c>
    </row>
    <row r="7199" spans="1:13" ht="15" x14ac:dyDescent="0.25">
      <c r="A7199" s="1">
        <f>DATE(2013,6,24)</f>
        <v>41449</v>
      </c>
      <c r="B7199" t="s">
        <v>16</v>
      </c>
      <c r="C7199" t="s">
        <v>8</v>
      </c>
      <c r="D7199" s="3">
        <v>934.8818</v>
      </c>
      <c r="E7199" s="3">
        <v>0</v>
      </c>
      <c r="F7199" t="s">
        <v>45</v>
      </c>
      <c r="G7199" s="3">
        <f t="shared" si="855"/>
        <v>-934.8818</v>
      </c>
      <c r="H7199" s="3">
        <f t="shared" si="856"/>
        <v>934.8818</v>
      </c>
      <c r="I7199" s="5" t="str">
        <f t="shared" si="857"/>
        <v>017</v>
      </c>
      <c r="J7199" s="5" t="str">
        <f t="shared" si="858"/>
        <v>2210</v>
      </c>
      <c r="K7199" s="5" t="str">
        <f t="shared" si="859"/>
        <v>000</v>
      </c>
      <c r="L7199" s="5">
        <f t="shared" si="860"/>
        <v>6</v>
      </c>
      <c r="M7199" s="5">
        <f t="shared" si="861"/>
        <v>2013</v>
      </c>
    </row>
    <row r="7200" spans="1:13" ht="15" x14ac:dyDescent="0.25">
      <c r="A7200" s="1">
        <f>DATE(2013,6,24)</f>
        <v>41449</v>
      </c>
      <c r="B7200" t="s">
        <v>17</v>
      </c>
      <c r="C7200" t="s">
        <v>9</v>
      </c>
      <c r="D7200" s="3">
        <v>158.98979999999997</v>
      </c>
      <c r="E7200" s="3">
        <v>0</v>
      </c>
      <c r="F7200" t="s">
        <v>45</v>
      </c>
      <c r="G7200" s="3">
        <f t="shared" si="855"/>
        <v>-158.98979999999997</v>
      </c>
      <c r="H7200" s="3">
        <f t="shared" si="856"/>
        <v>158.98979999999997</v>
      </c>
      <c r="I7200" s="5" t="str">
        <f t="shared" si="857"/>
        <v>017</v>
      </c>
      <c r="J7200" s="5" t="str">
        <f t="shared" si="858"/>
        <v>2220</v>
      </c>
      <c r="K7200" s="5" t="str">
        <f t="shared" si="859"/>
        <v>000</v>
      </c>
      <c r="L7200" s="5">
        <f t="shared" si="860"/>
        <v>6</v>
      </c>
      <c r="M7200" s="5">
        <f t="shared" si="861"/>
        <v>2013</v>
      </c>
    </row>
    <row r="7201" spans="1:13" ht="15" x14ac:dyDescent="0.25">
      <c r="A7201" s="1">
        <f>DATE(2013,6,24)</f>
        <v>41449</v>
      </c>
      <c r="B7201" t="s">
        <v>18</v>
      </c>
      <c r="C7201" t="s">
        <v>10</v>
      </c>
      <c r="D7201" s="3">
        <v>68.662199999999984</v>
      </c>
      <c r="E7201" s="3">
        <v>0</v>
      </c>
      <c r="F7201" t="s">
        <v>45</v>
      </c>
      <c r="G7201" s="3">
        <f t="shared" si="855"/>
        <v>-68.662199999999984</v>
      </c>
      <c r="H7201" s="3">
        <f t="shared" si="856"/>
        <v>68.662199999999984</v>
      </c>
      <c r="I7201" s="5" t="str">
        <f t="shared" si="857"/>
        <v>017</v>
      </c>
      <c r="J7201" s="5" t="str">
        <f t="shared" si="858"/>
        <v>2230</v>
      </c>
      <c r="K7201" s="5" t="str">
        <f t="shared" si="859"/>
        <v>000</v>
      </c>
      <c r="L7201" s="5">
        <f t="shared" si="860"/>
        <v>6</v>
      </c>
      <c r="M7201" s="5">
        <f t="shared" si="861"/>
        <v>2013</v>
      </c>
    </row>
    <row r="7202" spans="1:13" ht="15" x14ac:dyDescent="0.25">
      <c r="A7202" s="1">
        <f>DATE(2013,6,25)</f>
        <v>41450</v>
      </c>
      <c r="B7202" t="s">
        <v>15</v>
      </c>
      <c r="C7202" t="s">
        <v>6</v>
      </c>
      <c r="D7202" s="3">
        <v>5290.3296</v>
      </c>
      <c r="E7202" s="3">
        <v>0</v>
      </c>
      <c r="F7202" t="s">
        <v>45</v>
      </c>
      <c r="G7202" s="3">
        <f t="shared" si="855"/>
        <v>-5290.3296</v>
      </c>
      <c r="H7202" s="3">
        <f t="shared" si="856"/>
        <v>5290.3296</v>
      </c>
      <c r="I7202" s="5" t="str">
        <f t="shared" si="857"/>
        <v>017</v>
      </c>
      <c r="J7202" s="5" t="str">
        <f t="shared" si="858"/>
        <v>2100</v>
      </c>
      <c r="K7202" s="5" t="str">
        <f t="shared" si="859"/>
        <v>000</v>
      </c>
      <c r="L7202" s="5">
        <f t="shared" si="860"/>
        <v>6</v>
      </c>
      <c r="M7202" s="5">
        <f t="shared" si="861"/>
        <v>2013</v>
      </c>
    </row>
    <row r="7203" spans="1:13" ht="15" x14ac:dyDescent="0.25">
      <c r="A7203" s="1">
        <f>DATE(2013,6,25)</f>
        <v>41450</v>
      </c>
      <c r="B7203" t="s">
        <v>16</v>
      </c>
      <c r="C7203" t="s">
        <v>8</v>
      </c>
      <c r="D7203" s="3">
        <v>1439.8184000000001</v>
      </c>
      <c r="E7203" s="3">
        <v>0</v>
      </c>
      <c r="F7203" t="s">
        <v>45</v>
      </c>
      <c r="G7203" s="3">
        <f t="shared" si="855"/>
        <v>-1439.8184000000001</v>
      </c>
      <c r="H7203" s="3">
        <f t="shared" si="856"/>
        <v>1439.8184000000001</v>
      </c>
      <c r="I7203" s="5" t="str">
        <f t="shared" si="857"/>
        <v>017</v>
      </c>
      <c r="J7203" s="5" t="str">
        <f t="shared" si="858"/>
        <v>2210</v>
      </c>
      <c r="K7203" s="5" t="str">
        <f t="shared" si="859"/>
        <v>000</v>
      </c>
      <c r="L7203" s="5">
        <f t="shared" si="860"/>
        <v>6</v>
      </c>
      <c r="M7203" s="5">
        <f t="shared" si="861"/>
        <v>2013</v>
      </c>
    </row>
    <row r="7204" spans="1:13" ht="15" x14ac:dyDescent="0.25">
      <c r="A7204" s="1">
        <f>DATE(2013,6,25)</f>
        <v>41450</v>
      </c>
      <c r="B7204" t="s">
        <v>17</v>
      </c>
      <c r="C7204" t="s">
        <v>9</v>
      </c>
      <c r="D7204" s="3">
        <v>494.24699999999996</v>
      </c>
      <c r="E7204" s="3">
        <v>0</v>
      </c>
      <c r="F7204" t="s">
        <v>45</v>
      </c>
      <c r="G7204" s="3">
        <f t="shared" si="855"/>
        <v>-494.24699999999996</v>
      </c>
      <c r="H7204" s="3">
        <f t="shared" si="856"/>
        <v>494.24699999999996</v>
      </c>
      <c r="I7204" s="5" t="str">
        <f t="shared" si="857"/>
        <v>017</v>
      </c>
      <c r="J7204" s="5" t="str">
        <f t="shared" si="858"/>
        <v>2220</v>
      </c>
      <c r="K7204" s="5" t="str">
        <f t="shared" si="859"/>
        <v>000</v>
      </c>
      <c r="L7204" s="5">
        <f t="shared" si="860"/>
        <v>6</v>
      </c>
      <c r="M7204" s="5">
        <f t="shared" si="861"/>
        <v>2013</v>
      </c>
    </row>
    <row r="7205" spans="1:13" ht="15" x14ac:dyDescent="0.25">
      <c r="A7205" s="1">
        <f>DATE(2013,6,25)</f>
        <v>41450</v>
      </c>
      <c r="B7205" t="s">
        <v>18</v>
      </c>
      <c r="C7205" t="s">
        <v>10</v>
      </c>
      <c r="D7205" s="3">
        <v>191.04599999999999</v>
      </c>
      <c r="E7205" s="3">
        <v>0</v>
      </c>
      <c r="F7205" t="s">
        <v>45</v>
      </c>
      <c r="G7205" s="3">
        <f t="shared" si="855"/>
        <v>-191.04599999999999</v>
      </c>
      <c r="H7205" s="3">
        <f t="shared" si="856"/>
        <v>191.04599999999999</v>
      </c>
      <c r="I7205" s="5" t="str">
        <f t="shared" si="857"/>
        <v>017</v>
      </c>
      <c r="J7205" s="5" t="str">
        <f t="shared" si="858"/>
        <v>2230</v>
      </c>
      <c r="K7205" s="5" t="str">
        <f t="shared" si="859"/>
        <v>000</v>
      </c>
      <c r="L7205" s="5">
        <f t="shared" si="860"/>
        <v>6</v>
      </c>
      <c r="M7205" s="5">
        <f t="shared" si="861"/>
        <v>2013</v>
      </c>
    </row>
    <row r="7206" spans="1:13" ht="15" x14ac:dyDescent="0.25">
      <c r="A7206" s="1">
        <f>DATE(2013,6,26)</f>
        <v>41451</v>
      </c>
      <c r="B7206" t="s">
        <v>15</v>
      </c>
      <c r="C7206" t="s">
        <v>6</v>
      </c>
      <c r="D7206" s="3">
        <v>7303.0601999999999</v>
      </c>
      <c r="E7206" s="3">
        <v>0</v>
      </c>
      <c r="F7206" t="s">
        <v>45</v>
      </c>
      <c r="G7206" s="3">
        <f t="shared" si="855"/>
        <v>-7303.0601999999999</v>
      </c>
      <c r="H7206" s="3">
        <f t="shared" si="856"/>
        <v>7303.0601999999999</v>
      </c>
      <c r="I7206" s="5" t="str">
        <f t="shared" si="857"/>
        <v>017</v>
      </c>
      <c r="J7206" s="5" t="str">
        <f t="shared" si="858"/>
        <v>2100</v>
      </c>
      <c r="K7206" s="5" t="str">
        <f t="shared" si="859"/>
        <v>000</v>
      </c>
      <c r="L7206" s="5">
        <f t="shared" si="860"/>
        <v>6</v>
      </c>
      <c r="M7206" s="5">
        <f t="shared" si="861"/>
        <v>2013</v>
      </c>
    </row>
    <row r="7207" spans="1:13" ht="15" x14ac:dyDescent="0.25">
      <c r="A7207" s="1">
        <f>DATE(2013,6,26)</f>
        <v>41451</v>
      </c>
      <c r="B7207" t="s">
        <v>16</v>
      </c>
      <c r="C7207" t="s">
        <v>8</v>
      </c>
      <c r="D7207" s="3">
        <v>1827.9878000000001</v>
      </c>
      <c r="E7207" s="3">
        <v>0</v>
      </c>
      <c r="F7207" t="s">
        <v>45</v>
      </c>
      <c r="G7207" s="3">
        <f t="shared" si="855"/>
        <v>-1827.9878000000001</v>
      </c>
      <c r="H7207" s="3">
        <f t="shared" si="856"/>
        <v>1827.9878000000001</v>
      </c>
      <c r="I7207" s="5" t="str">
        <f t="shared" si="857"/>
        <v>017</v>
      </c>
      <c r="J7207" s="5" t="str">
        <f t="shared" si="858"/>
        <v>2210</v>
      </c>
      <c r="K7207" s="5" t="str">
        <f t="shared" si="859"/>
        <v>000</v>
      </c>
      <c r="L7207" s="5">
        <f t="shared" si="860"/>
        <v>6</v>
      </c>
      <c r="M7207" s="5">
        <f t="shared" si="861"/>
        <v>2013</v>
      </c>
    </row>
    <row r="7208" spans="1:13" ht="15" x14ac:dyDescent="0.25">
      <c r="A7208" s="1">
        <f>DATE(2013,6,26)</f>
        <v>41451</v>
      </c>
      <c r="B7208" t="s">
        <v>17</v>
      </c>
      <c r="C7208" t="s">
        <v>9</v>
      </c>
      <c r="D7208" s="3">
        <v>383.05919999999998</v>
      </c>
      <c r="E7208" s="3">
        <v>0</v>
      </c>
      <c r="F7208" t="s">
        <v>45</v>
      </c>
      <c r="G7208" s="3">
        <f t="shared" si="855"/>
        <v>-383.05919999999998</v>
      </c>
      <c r="H7208" s="3">
        <f t="shared" si="856"/>
        <v>383.05919999999998</v>
      </c>
      <c r="I7208" s="5" t="str">
        <f t="shared" si="857"/>
        <v>017</v>
      </c>
      <c r="J7208" s="5" t="str">
        <f t="shared" si="858"/>
        <v>2220</v>
      </c>
      <c r="K7208" s="5" t="str">
        <f t="shared" si="859"/>
        <v>000</v>
      </c>
      <c r="L7208" s="5">
        <f t="shared" si="860"/>
        <v>6</v>
      </c>
      <c r="M7208" s="5">
        <f t="shared" si="861"/>
        <v>2013</v>
      </c>
    </row>
    <row r="7209" spans="1:13" ht="15" x14ac:dyDescent="0.25">
      <c r="A7209" s="1">
        <f>DATE(2013,6,26)</f>
        <v>41451</v>
      </c>
      <c r="B7209" t="s">
        <v>18</v>
      </c>
      <c r="C7209" t="s">
        <v>10</v>
      </c>
      <c r="D7209" s="3">
        <v>138.83760000000001</v>
      </c>
      <c r="E7209" s="3">
        <v>0</v>
      </c>
      <c r="F7209" t="s">
        <v>45</v>
      </c>
      <c r="G7209" s="3">
        <f t="shared" si="855"/>
        <v>-138.83760000000001</v>
      </c>
      <c r="H7209" s="3">
        <f t="shared" si="856"/>
        <v>138.83760000000001</v>
      </c>
      <c r="I7209" s="5" t="str">
        <f t="shared" si="857"/>
        <v>017</v>
      </c>
      <c r="J7209" s="5" t="str">
        <f t="shared" si="858"/>
        <v>2230</v>
      </c>
      <c r="K7209" s="5" t="str">
        <f t="shared" si="859"/>
        <v>000</v>
      </c>
      <c r="L7209" s="5">
        <f t="shared" si="860"/>
        <v>6</v>
      </c>
      <c r="M7209" s="5">
        <f t="shared" si="861"/>
        <v>2013</v>
      </c>
    </row>
    <row r="7210" spans="1:13" ht="15" x14ac:dyDescent="0.25">
      <c r="A7210" s="1">
        <f>DATE(2013,6,27)</f>
        <v>41452</v>
      </c>
      <c r="B7210" t="s">
        <v>15</v>
      </c>
      <c r="C7210" t="s">
        <v>6</v>
      </c>
      <c r="D7210" s="3">
        <v>7337.3549999999996</v>
      </c>
      <c r="E7210" s="3">
        <v>0</v>
      </c>
      <c r="F7210" t="s">
        <v>45</v>
      </c>
      <c r="G7210" s="3">
        <f t="shared" si="855"/>
        <v>-7337.3549999999996</v>
      </c>
      <c r="H7210" s="3">
        <f t="shared" si="856"/>
        <v>7337.3549999999996</v>
      </c>
      <c r="I7210" s="5" t="str">
        <f t="shared" si="857"/>
        <v>017</v>
      </c>
      <c r="J7210" s="5" t="str">
        <f t="shared" si="858"/>
        <v>2100</v>
      </c>
      <c r="K7210" s="5" t="str">
        <f t="shared" si="859"/>
        <v>000</v>
      </c>
      <c r="L7210" s="5">
        <f t="shared" si="860"/>
        <v>6</v>
      </c>
      <c r="M7210" s="5">
        <f t="shared" si="861"/>
        <v>2013</v>
      </c>
    </row>
    <row r="7211" spans="1:13" ht="15" x14ac:dyDescent="0.25">
      <c r="A7211" s="1">
        <f>DATE(2013,6,27)</f>
        <v>41452</v>
      </c>
      <c r="B7211" t="s">
        <v>16</v>
      </c>
      <c r="C7211" t="s">
        <v>8</v>
      </c>
      <c r="D7211" s="3">
        <v>2399.9535000000001</v>
      </c>
      <c r="E7211" s="3">
        <v>0</v>
      </c>
      <c r="F7211" t="s">
        <v>45</v>
      </c>
      <c r="G7211" s="3">
        <f t="shared" si="855"/>
        <v>-2399.9535000000001</v>
      </c>
      <c r="H7211" s="3">
        <f t="shared" si="856"/>
        <v>2399.9535000000001</v>
      </c>
      <c r="I7211" s="5" t="str">
        <f t="shared" si="857"/>
        <v>017</v>
      </c>
      <c r="J7211" s="5" t="str">
        <f t="shared" si="858"/>
        <v>2210</v>
      </c>
      <c r="K7211" s="5" t="str">
        <f t="shared" si="859"/>
        <v>000</v>
      </c>
      <c r="L7211" s="5">
        <f t="shared" si="860"/>
        <v>6</v>
      </c>
      <c r="M7211" s="5">
        <f t="shared" si="861"/>
        <v>2013</v>
      </c>
    </row>
    <row r="7212" spans="1:13" ht="15" x14ac:dyDescent="0.25">
      <c r="A7212" s="1">
        <f>DATE(2013,6,27)</f>
        <v>41452</v>
      </c>
      <c r="B7212" t="s">
        <v>17</v>
      </c>
      <c r="C7212" t="s">
        <v>9</v>
      </c>
      <c r="D7212" s="3">
        <v>836.10630000000003</v>
      </c>
      <c r="E7212" s="3">
        <v>0</v>
      </c>
      <c r="F7212" t="s">
        <v>45</v>
      </c>
      <c r="G7212" s="3">
        <f t="shared" si="855"/>
        <v>-836.10630000000003</v>
      </c>
      <c r="H7212" s="3">
        <f t="shared" si="856"/>
        <v>836.10630000000003</v>
      </c>
      <c r="I7212" s="5" t="str">
        <f t="shared" si="857"/>
        <v>017</v>
      </c>
      <c r="J7212" s="5" t="str">
        <f t="shared" si="858"/>
        <v>2220</v>
      </c>
      <c r="K7212" s="5" t="str">
        <f t="shared" si="859"/>
        <v>000</v>
      </c>
      <c r="L7212" s="5">
        <f t="shared" si="860"/>
        <v>6</v>
      </c>
      <c r="M7212" s="5">
        <f t="shared" si="861"/>
        <v>2013</v>
      </c>
    </row>
    <row r="7213" spans="1:13" ht="15" x14ac:dyDescent="0.25">
      <c r="A7213" s="1">
        <f>DATE(2013,6,27)</f>
        <v>41452</v>
      </c>
      <c r="B7213" t="s">
        <v>18</v>
      </c>
      <c r="C7213" t="s">
        <v>10</v>
      </c>
      <c r="D7213" s="3">
        <v>133.52670000000001</v>
      </c>
      <c r="E7213" s="3">
        <v>0</v>
      </c>
      <c r="F7213" t="s">
        <v>45</v>
      </c>
      <c r="G7213" s="3">
        <f t="shared" si="855"/>
        <v>-133.52670000000001</v>
      </c>
      <c r="H7213" s="3">
        <f t="shared" si="856"/>
        <v>133.52670000000001</v>
      </c>
      <c r="I7213" s="5" t="str">
        <f t="shared" si="857"/>
        <v>017</v>
      </c>
      <c r="J7213" s="5" t="str">
        <f t="shared" si="858"/>
        <v>2230</v>
      </c>
      <c r="K7213" s="5" t="str">
        <f t="shared" si="859"/>
        <v>000</v>
      </c>
      <c r="L7213" s="5">
        <f t="shared" si="860"/>
        <v>6</v>
      </c>
      <c r="M7213" s="5">
        <f t="shared" si="861"/>
        <v>2013</v>
      </c>
    </row>
    <row r="7214" spans="1:13" ht="15" x14ac:dyDescent="0.25">
      <c r="A7214" s="1">
        <f>DATE(2013,6,28)</f>
        <v>41453</v>
      </c>
      <c r="B7214" t="s">
        <v>15</v>
      </c>
      <c r="C7214" t="s">
        <v>6</v>
      </c>
      <c r="D7214" s="3">
        <v>9819.4856999999993</v>
      </c>
      <c r="E7214" s="3">
        <v>0</v>
      </c>
      <c r="F7214" t="s">
        <v>45</v>
      </c>
      <c r="G7214" s="3">
        <f t="shared" si="855"/>
        <v>-9819.4856999999993</v>
      </c>
      <c r="H7214" s="3">
        <f t="shared" si="856"/>
        <v>9819.4856999999993</v>
      </c>
      <c r="I7214" s="5" t="str">
        <f t="shared" si="857"/>
        <v>017</v>
      </c>
      <c r="J7214" s="5" t="str">
        <f t="shared" si="858"/>
        <v>2100</v>
      </c>
      <c r="K7214" s="5" t="str">
        <f t="shared" si="859"/>
        <v>000</v>
      </c>
      <c r="L7214" s="5">
        <f t="shared" si="860"/>
        <v>6</v>
      </c>
      <c r="M7214" s="5">
        <f t="shared" si="861"/>
        <v>2013</v>
      </c>
    </row>
    <row r="7215" spans="1:13" ht="15" x14ac:dyDescent="0.25">
      <c r="A7215" s="1">
        <f>DATE(2013,6,28)</f>
        <v>41453</v>
      </c>
      <c r="B7215" t="s">
        <v>16</v>
      </c>
      <c r="C7215" t="s">
        <v>8</v>
      </c>
      <c r="D7215" s="3">
        <v>2719.558</v>
      </c>
      <c r="E7215" s="3">
        <v>0</v>
      </c>
      <c r="F7215" t="s">
        <v>45</v>
      </c>
      <c r="G7215" s="3">
        <f t="shared" si="855"/>
        <v>-2719.558</v>
      </c>
      <c r="H7215" s="3">
        <f t="shared" si="856"/>
        <v>2719.558</v>
      </c>
      <c r="I7215" s="5" t="str">
        <f t="shared" si="857"/>
        <v>017</v>
      </c>
      <c r="J7215" s="5" t="str">
        <f t="shared" si="858"/>
        <v>2210</v>
      </c>
      <c r="K7215" s="5" t="str">
        <f t="shared" si="859"/>
        <v>000</v>
      </c>
      <c r="L7215" s="5">
        <f t="shared" si="860"/>
        <v>6</v>
      </c>
      <c r="M7215" s="5">
        <f t="shared" si="861"/>
        <v>2013</v>
      </c>
    </row>
    <row r="7216" spans="1:13" ht="15" x14ac:dyDescent="0.25">
      <c r="A7216" s="1">
        <f>DATE(2013,6,28)</f>
        <v>41453</v>
      </c>
      <c r="B7216" t="s">
        <v>17</v>
      </c>
      <c r="C7216" t="s">
        <v>9</v>
      </c>
      <c r="D7216" s="3">
        <v>560.19690000000003</v>
      </c>
      <c r="E7216" s="3">
        <v>0</v>
      </c>
      <c r="F7216" t="s">
        <v>45</v>
      </c>
      <c r="G7216" s="3">
        <f t="shared" si="855"/>
        <v>-560.19690000000003</v>
      </c>
      <c r="H7216" s="3">
        <f t="shared" si="856"/>
        <v>560.19690000000003</v>
      </c>
      <c r="I7216" s="5" t="str">
        <f t="shared" si="857"/>
        <v>017</v>
      </c>
      <c r="J7216" s="5" t="str">
        <f t="shared" si="858"/>
        <v>2220</v>
      </c>
      <c r="K7216" s="5" t="str">
        <f t="shared" si="859"/>
        <v>000</v>
      </c>
      <c r="L7216" s="5">
        <f t="shared" si="860"/>
        <v>6</v>
      </c>
      <c r="M7216" s="5">
        <f t="shared" si="861"/>
        <v>2013</v>
      </c>
    </row>
    <row r="7217" spans="1:13" ht="15" x14ac:dyDescent="0.25">
      <c r="A7217" s="1">
        <f>DATE(2013,6,28)</f>
        <v>41453</v>
      </c>
      <c r="B7217" t="s">
        <v>18</v>
      </c>
      <c r="C7217" t="s">
        <v>10</v>
      </c>
      <c r="D7217" s="3">
        <v>142.45999999999998</v>
      </c>
      <c r="E7217" s="3">
        <v>0</v>
      </c>
      <c r="F7217" t="s">
        <v>45</v>
      </c>
      <c r="G7217" s="3">
        <f t="shared" si="855"/>
        <v>-142.45999999999998</v>
      </c>
      <c r="H7217" s="3">
        <f t="shared" si="856"/>
        <v>142.45999999999998</v>
      </c>
      <c r="I7217" s="5" t="str">
        <f t="shared" si="857"/>
        <v>017</v>
      </c>
      <c r="J7217" s="5" t="str">
        <f t="shared" si="858"/>
        <v>2230</v>
      </c>
      <c r="K7217" s="5" t="str">
        <f t="shared" si="859"/>
        <v>000</v>
      </c>
      <c r="L7217" s="5">
        <f t="shared" si="860"/>
        <v>6</v>
      </c>
      <c r="M7217" s="5">
        <f t="shared" si="861"/>
        <v>2013</v>
      </c>
    </row>
    <row r="7218" spans="1:13" ht="15" x14ac:dyDescent="0.25">
      <c r="A7218" s="1">
        <f>DATE(2013,6,29)</f>
        <v>41454</v>
      </c>
      <c r="B7218" t="s">
        <v>15</v>
      </c>
      <c r="C7218" t="s">
        <v>6</v>
      </c>
      <c r="D7218" s="3">
        <v>6800.7019</v>
      </c>
      <c r="E7218" s="3">
        <v>0</v>
      </c>
      <c r="F7218" t="s">
        <v>45</v>
      </c>
      <c r="G7218" s="3">
        <f t="shared" si="855"/>
        <v>-6800.7019</v>
      </c>
      <c r="H7218" s="3">
        <f t="shared" si="856"/>
        <v>6800.7019</v>
      </c>
      <c r="I7218" s="5" t="str">
        <f t="shared" si="857"/>
        <v>017</v>
      </c>
      <c r="J7218" s="5" t="str">
        <f t="shared" si="858"/>
        <v>2100</v>
      </c>
      <c r="K7218" s="5" t="str">
        <f t="shared" si="859"/>
        <v>000</v>
      </c>
      <c r="L7218" s="5">
        <f t="shared" si="860"/>
        <v>6</v>
      </c>
      <c r="M7218" s="5">
        <f t="shared" si="861"/>
        <v>2013</v>
      </c>
    </row>
    <row r="7219" spans="1:13" ht="15" x14ac:dyDescent="0.25">
      <c r="A7219" s="1">
        <f>DATE(2013,6,29)</f>
        <v>41454</v>
      </c>
      <c r="B7219" t="s">
        <v>16</v>
      </c>
      <c r="C7219" t="s">
        <v>8</v>
      </c>
      <c r="D7219" s="3">
        <v>1695.8447999999999</v>
      </c>
      <c r="E7219" s="3">
        <v>0</v>
      </c>
      <c r="F7219" t="s">
        <v>45</v>
      </c>
      <c r="G7219" s="3">
        <f t="shared" si="855"/>
        <v>-1695.8447999999999</v>
      </c>
      <c r="H7219" s="3">
        <f t="shared" si="856"/>
        <v>1695.8447999999999</v>
      </c>
      <c r="I7219" s="5" t="str">
        <f t="shared" si="857"/>
        <v>017</v>
      </c>
      <c r="J7219" s="5" t="str">
        <f t="shared" si="858"/>
        <v>2210</v>
      </c>
      <c r="K7219" s="5" t="str">
        <f t="shared" si="859"/>
        <v>000</v>
      </c>
      <c r="L7219" s="5">
        <f t="shared" si="860"/>
        <v>6</v>
      </c>
      <c r="M7219" s="5">
        <f t="shared" si="861"/>
        <v>2013</v>
      </c>
    </row>
    <row r="7220" spans="1:13" ht="15" x14ac:dyDescent="0.25">
      <c r="A7220" s="1">
        <f>DATE(2013,6,29)</f>
        <v>41454</v>
      </c>
      <c r="B7220" t="s">
        <v>17</v>
      </c>
      <c r="C7220" t="s">
        <v>9</v>
      </c>
      <c r="D7220" s="3">
        <v>328.34159999999997</v>
      </c>
      <c r="E7220" s="3">
        <v>0</v>
      </c>
      <c r="F7220" t="s">
        <v>45</v>
      </c>
      <c r="G7220" s="3">
        <f t="shared" si="855"/>
        <v>-328.34159999999997</v>
      </c>
      <c r="H7220" s="3">
        <f t="shared" si="856"/>
        <v>328.34159999999997</v>
      </c>
      <c r="I7220" s="5" t="str">
        <f t="shared" si="857"/>
        <v>017</v>
      </c>
      <c r="J7220" s="5" t="str">
        <f t="shared" si="858"/>
        <v>2220</v>
      </c>
      <c r="K7220" s="5" t="str">
        <f t="shared" si="859"/>
        <v>000</v>
      </c>
      <c r="L7220" s="5">
        <f t="shared" si="860"/>
        <v>6</v>
      </c>
      <c r="M7220" s="5">
        <f t="shared" si="861"/>
        <v>2013</v>
      </c>
    </row>
    <row r="7221" spans="1:13" ht="15" x14ac:dyDescent="0.25">
      <c r="A7221" s="1">
        <f>DATE(2013,6,29)</f>
        <v>41454</v>
      </c>
      <c r="B7221" t="s">
        <v>18</v>
      </c>
      <c r="C7221" t="s">
        <v>10</v>
      </c>
      <c r="D7221" s="3">
        <v>56.02239999999999</v>
      </c>
      <c r="E7221" s="3">
        <v>0</v>
      </c>
      <c r="F7221" t="s">
        <v>45</v>
      </c>
      <c r="G7221" s="3">
        <f t="shared" si="855"/>
        <v>-56.02239999999999</v>
      </c>
      <c r="H7221" s="3">
        <f t="shared" si="856"/>
        <v>56.02239999999999</v>
      </c>
      <c r="I7221" s="5" t="str">
        <f t="shared" si="857"/>
        <v>017</v>
      </c>
      <c r="J7221" s="5" t="str">
        <f t="shared" si="858"/>
        <v>2230</v>
      </c>
      <c r="K7221" s="5" t="str">
        <f t="shared" si="859"/>
        <v>000</v>
      </c>
      <c r="L7221" s="5">
        <f t="shared" si="860"/>
        <v>6</v>
      </c>
      <c r="M7221" s="5">
        <f t="shared" si="861"/>
        <v>2013</v>
      </c>
    </row>
    <row r="7222" spans="1:13" ht="15" x14ac:dyDescent="0.25">
      <c r="A7222" s="1">
        <f>DATE(2013,6,30)</f>
        <v>41455</v>
      </c>
      <c r="B7222" t="s">
        <v>15</v>
      </c>
      <c r="C7222" t="s">
        <v>6</v>
      </c>
      <c r="D7222" s="3">
        <v>6643.9364000000005</v>
      </c>
      <c r="E7222" s="3">
        <v>0</v>
      </c>
      <c r="F7222" t="s">
        <v>45</v>
      </c>
      <c r="G7222" s="3">
        <f t="shared" si="855"/>
        <v>-6643.9364000000005</v>
      </c>
      <c r="H7222" s="3">
        <f t="shared" si="856"/>
        <v>6643.9364000000005</v>
      </c>
      <c r="I7222" s="5" t="str">
        <f t="shared" si="857"/>
        <v>017</v>
      </c>
      <c r="J7222" s="5" t="str">
        <f t="shared" si="858"/>
        <v>2100</v>
      </c>
      <c r="K7222" s="5" t="str">
        <f t="shared" si="859"/>
        <v>000</v>
      </c>
      <c r="L7222" s="5">
        <f t="shared" si="860"/>
        <v>6</v>
      </c>
      <c r="M7222" s="5">
        <f t="shared" si="861"/>
        <v>2013</v>
      </c>
    </row>
    <row r="7223" spans="1:13" ht="15" x14ac:dyDescent="0.25">
      <c r="A7223" s="1">
        <f>DATE(2013,6,30)</f>
        <v>41455</v>
      </c>
      <c r="B7223" t="s">
        <v>16</v>
      </c>
      <c r="C7223" t="s">
        <v>8</v>
      </c>
      <c r="D7223" s="3">
        <v>951.98400000000004</v>
      </c>
      <c r="E7223" s="3">
        <v>0</v>
      </c>
      <c r="F7223" t="s">
        <v>45</v>
      </c>
      <c r="G7223" s="3">
        <f t="shared" si="855"/>
        <v>-951.98400000000004</v>
      </c>
      <c r="H7223" s="3">
        <f t="shared" si="856"/>
        <v>951.98400000000004</v>
      </c>
      <c r="I7223" s="5" t="str">
        <f t="shared" si="857"/>
        <v>017</v>
      </c>
      <c r="J7223" s="5" t="str">
        <f t="shared" si="858"/>
        <v>2210</v>
      </c>
      <c r="K7223" s="5" t="str">
        <f t="shared" si="859"/>
        <v>000</v>
      </c>
      <c r="L7223" s="5">
        <f t="shared" si="860"/>
        <v>6</v>
      </c>
      <c r="M7223" s="5">
        <f t="shared" si="861"/>
        <v>2013</v>
      </c>
    </row>
    <row r="7224" spans="1:13" ht="15" x14ac:dyDescent="0.25">
      <c r="A7224" s="1">
        <f>DATE(2013,6,30)</f>
        <v>41455</v>
      </c>
      <c r="B7224" t="s">
        <v>17</v>
      </c>
      <c r="C7224" t="s">
        <v>9</v>
      </c>
      <c r="D7224" s="3">
        <v>294.32800000000003</v>
      </c>
      <c r="E7224" s="3">
        <v>0</v>
      </c>
      <c r="F7224" t="s">
        <v>45</v>
      </c>
      <c r="G7224" s="3">
        <f t="shared" si="855"/>
        <v>-294.32800000000003</v>
      </c>
      <c r="H7224" s="3">
        <f t="shared" si="856"/>
        <v>294.32800000000003</v>
      </c>
      <c r="I7224" s="5" t="str">
        <f t="shared" si="857"/>
        <v>017</v>
      </c>
      <c r="J7224" s="5" t="str">
        <f t="shared" si="858"/>
        <v>2220</v>
      </c>
      <c r="K7224" s="5" t="str">
        <f t="shared" si="859"/>
        <v>000</v>
      </c>
      <c r="L7224" s="5">
        <f t="shared" si="860"/>
        <v>6</v>
      </c>
      <c r="M7224" s="5">
        <f t="shared" si="861"/>
        <v>2013</v>
      </c>
    </row>
    <row r="7225" spans="1:13" ht="15" x14ac:dyDescent="0.25">
      <c r="A7225" s="1">
        <f>DATE(2013,6,30)</f>
        <v>41455</v>
      </c>
      <c r="B7225" t="s">
        <v>18</v>
      </c>
      <c r="C7225" t="s">
        <v>10</v>
      </c>
      <c r="D7225" s="3">
        <v>110.02680000000001</v>
      </c>
      <c r="E7225" s="3">
        <v>0</v>
      </c>
      <c r="F7225" t="s">
        <v>45</v>
      </c>
      <c r="G7225" s="3">
        <f t="shared" si="855"/>
        <v>-110.02680000000001</v>
      </c>
      <c r="H7225" s="3">
        <f t="shared" si="856"/>
        <v>110.02680000000001</v>
      </c>
      <c r="I7225" s="5" t="str">
        <f t="shared" si="857"/>
        <v>017</v>
      </c>
      <c r="J7225" s="5" t="str">
        <f t="shared" si="858"/>
        <v>2230</v>
      </c>
      <c r="K7225" s="5" t="str">
        <f t="shared" si="859"/>
        <v>000</v>
      </c>
      <c r="L7225" s="5">
        <f t="shared" si="860"/>
        <v>6</v>
      </c>
      <c r="M7225" s="5">
        <f t="shared" si="861"/>
        <v>2013</v>
      </c>
    </row>
    <row r="7226" spans="1:13" ht="15" x14ac:dyDescent="0.25">
      <c r="A7226" s="1">
        <f>DATE(2013,6,24)</f>
        <v>41449</v>
      </c>
      <c r="B7226" t="s">
        <v>19</v>
      </c>
      <c r="C7226" t="s">
        <v>6</v>
      </c>
      <c r="D7226" s="3">
        <v>3560.0320000000002</v>
      </c>
      <c r="E7226" s="3">
        <v>0</v>
      </c>
      <c r="F7226" t="s">
        <v>45</v>
      </c>
      <c r="G7226" s="3">
        <f t="shared" si="855"/>
        <v>-3560.0320000000002</v>
      </c>
      <c r="H7226" s="3">
        <f t="shared" si="856"/>
        <v>3560.0320000000002</v>
      </c>
      <c r="I7226" s="5" t="str">
        <f t="shared" si="857"/>
        <v>018</v>
      </c>
      <c r="J7226" s="5" t="str">
        <f t="shared" si="858"/>
        <v>2100</v>
      </c>
      <c r="K7226" s="5" t="str">
        <f t="shared" si="859"/>
        <v>000</v>
      </c>
      <c r="L7226" s="5">
        <f t="shared" si="860"/>
        <v>6</v>
      </c>
      <c r="M7226" s="5">
        <f t="shared" si="861"/>
        <v>2013</v>
      </c>
    </row>
    <row r="7227" spans="1:13" ht="15" x14ac:dyDescent="0.25">
      <c r="A7227" s="1">
        <f>DATE(2013,6,24)</f>
        <v>41449</v>
      </c>
      <c r="B7227" t="s">
        <v>20</v>
      </c>
      <c r="C7227" t="s">
        <v>8</v>
      </c>
      <c r="D7227" s="3">
        <v>633.05200000000013</v>
      </c>
      <c r="E7227" s="3">
        <v>0</v>
      </c>
      <c r="F7227" t="s">
        <v>45</v>
      </c>
      <c r="G7227" s="3">
        <f t="shared" si="855"/>
        <v>-633.05200000000013</v>
      </c>
      <c r="H7227" s="3">
        <f t="shared" si="856"/>
        <v>633.05200000000013</v>
      </c>
      <c r="I7227" s="5" t="str">
        <f t="shared" si="857"/>
        <v>018</v>
      </c>
      <c r="J7227" s="5" t="str">
        <f t="shared" si="858"/>
        <v>2210</v>
      </c>
      <c r="K7227" s="5" t="str">
        <f t="shared" si="859"/>
        <v>000</v>
      </c>
      <c r="L7227" s="5">
        <f t="shared" si="860"/>
        <v>6</v>
      </c>
      <c r="M7227" s="5">
        <f t="shared" si="861"/>
        <v>2013</v>
      </c>
    </row>
    <row r="7228" spans="1:13" ht="15" x14ac:dyDescent="0.25">
      <c r="A7228" s="1">
        <f>DATE(2013,6,24)</f>
        <v>41449</v>
      </c>
      <c r="B7228" t="s">
        <v>21</v>
      </c>
      <c r="C7228" t="s">
        <v>9</v>
      </c>
      <c r="D7228" s="3">
        <v>190.20960000000002</v>
      </c>
      <c r="E7228" s="3">
        <v>0</v>
      </c>
      <c r="F7228" t="s">
        <v>45</v>
      </c>
      <c r="G7228" s="3">
        <f t="shared" si="855"/>
        <v>-190.20960000000002</v>
      </c>
      <c r="H7228" s="3">
        <f t="shared" si="856"/>
        <v>190.20960000000002</v>
      </c>
      <c r="I7228" s="5" t="str">
        <f t="shared" si="857"/>
        <v>018</v>
      </c>
      <c r="J7228" s="5" t="str">
        <f t="shared" si="858"/>
        <v>2220</v>
      </c>
      <c r="K7228" s="5" t="str">
        <f t="shared" si="859"/>
        <v>000</v>
      </c>
      <c r="L7228" s="5">
        <f t="shared" si="860"/>
        <v>6</v>
      </c>
      <c r="M7228" s="5">
        <f t="shared" si="861"/>
        <v>2013</v>
      </c>
    </row>
    <row r="7229" spans="1:13" ht="15" x14ac:dyDescent="0.25">
      <c r="A7229" s="1">
        <f>DATE(2013,6,24)</f>
        <v>41449</v>
      </c>
      <c r="B7229" t="s">
        <v>22</v>
      </c>
      <c r="C7229" t="s">
        <v>10</v>
      </c>
      <c r="D7229" s="3">
        <v>40.252200000000002</v>
      </c>
      <c r="E7229" s="3">
        <v>0</v>
      </c>
      <c r="F7229" t="s">
        <v>45</v>
      </c>
      <c r="G7229" s="3">
        <f t="shared" si="855"/>
        <v>-40.252200000000002</v>
      </c>
      <c r="H7229" s="3">
        <f t="shared" si="856"/>
        <v>40.252200000000002</v>
      </c>
      <c r="I7229" s="5" t="str">
        <f t="shared" si="857"/>
        <v>018</v>
      </c>
      <c r="J7229" s="5" t="str">
        <f t="shared" si="858"/>
        <v>2230</v>
      </c>
      <c r="K7229" s="5" t="str">
        <f t="shared" si="859"/>
        <v>000</v>
      </c>
      <c r="L7229" s="5">
        <f t="shared" si="860"/>
        <v>6</v>
      </c>
      <c r="M7229" s="5">
        <f t="shared" si="861"/>
        <v>2013</v>
      </c>
    </row>
    <row r="7230" spans="1:13" ht="15" x14ac:dyDescent="0.25">
      <c r="A7230" s="1">
        <f>DATE(2013,6,25)</f>
        <v>41450</v>
      </c>
      <c r="B7230" t="s">
        <v>19</v>
      </c>
      <c r="C7230" t="s">
        <v>6</v>
      </c>
      <c r="D7230" s="3">
        <v>3533.4242999999997</v>
      </c>
      <c r="E7230" s="3">
        <v>0</v>
      </c>
      <c r="F7230" t="s">
        <v>45</v>
      </c>
      <c r="G7230" s="3">
        <f t="shared" si="855"/>
        <v>-3533.4242999999997</v>
      </c>
      <c r="H7230" s="3">
        <f t="shared" si="856"/>
        <v>3533.4242999999997</v>
      </c>
      <c r="I7230" s="5" t="str">
        <f t="shared" si="857"/>
        <v>018</v>
      </c>
      <c r="J7230" s="5" t="str">
        <f t="shared" si="858"/>
        <v>2100</v>
      </c>
      <c r="K7230" s="5" t="str">
        <f t="shared" si="859"/>
        <v>000</v>
      </c>
      <c r="L7230" s="5">
        <f t="shared" si="860"/>
        <v>6</v>
      </c>
      <c r="M7230" s="5">
        <f t="shared" si="861"/>
        <v>2013</v>
      </c>
    </row>
    <row r="7231" spans="1:13" ht="15" x14ac:dyDescent="0.25">
      <c r="A7231" s="1">
        <f>DATE(2013,6,25)</f>
        <v>41450</v>
      </c>
      <c r="B7231" t="s">
        <v>20</v>
      </c>
      <c r="C7231" t="s">
        <v>8</v>
      </c>
      <c r="D7231" s="3">
        <v>709.65899999999988</v>
      </c>
      <c r="E7231" s="3">
        <v>0</v>
      </c>
      <c r="F7231" t="s">
        <v>45</v>
      </c>
      <c r="G7231" s="3">
        <f t="shared" si="855"/>
        <v>-709.65899999999988</v>
      </c>
      <c r="H7231" s="3">
        <f t="shared" si="856"/>
        <v>709.65899999999988</v>
      </c>
      <c r="I7231" s="5" t="str">
        <f t="shared" si="857"/>
        <v>018</v>
      </c>
      <c r="J7231" s="5" t="str">
        <f t="shared" si="858"/>
        <v>2210</v>
      </c>
      <c r="K7231" s="5" t="str">
        <f t="shared" si="859"/>
        <v>000</v>
      </c>
      <c r="L7231" s="5">
        <f t="shared" si="860"/>
        <v>6</v>
      </c>
      <c r="M7231" s="5">
        <f t="shared" si="861"/>
        <v>2013</v>
      </c>
    </row>
    <row r="7232" spans="1:13" ht="15" x14ac:dyDescent="0.25">
      <c r="A7232" s="1">
        <f>DATE(2013,6,25)</f>
        <v>41450</v>
      </c>
      <c r="B7232" t="s">
        <v>21</v>
      </c>
      <c r="C7232" t="s">
        <v>9</v>
      </c>
      <c r="D7232" s="3">
        <v>309.82319999999999</v>
      </c>
      <c r="E7232" s="3">
        <v>0</v>
      </c>
      <c r="F7232" t="s">
        <v>45</v>
      </c>
      <c r="G7232" s="3">
        <f t="shared" si="855"/>
        <v>-309.82319999999999</v>
      </c>
      <c r="H7232" s="3">
        <f t="shared" si="856"/>
        <v>309.82319999999999</v>
      </c>
      <c r="I7232" s="5" t="str">
        <f t="shared" si="857"/>
        <v>018</v>
      </c>
      <c r="J7232" s="5" t="str">
        <f t="shared" si="858"/>
        <v>2220</v>
      </c>
      <c r="K7232" s="5" t="str">
        <f t="shared" si="859"/>
        <v>000</v>
      </c>
      <c r="L7232" s="5">
        <f t="shared" si="860"/>
        <v>6</v>
      </c>
      <c r="M7232" s="5">
        <f t="shared" si="861"/>
        <v>2013</v>
      </c>
    </row>
    <row r="7233" spans="1:13" ht="15" x14ac:dyDescent="0.25">
      <c r="A7233" s="1">
        <f>DATE(2013,6,25)</f>
        <v>41450</v>
      </c>
      <c r="B7233" t="s">
        <v>22</v>
      </c>
      <c r="C7233" t="s">
        <v>10</v>
      </c>
      <c r="D7233" s="3">
        <v>79.6053</v>
      </c>
      <c r="E7233" s="3">
        <v>0</v>
      </c>
      <c r="F7233" t="s">
        <v>45</v>
      </c>
      <c r="G7233" s="3">
        <f t="shared" si="855"/>
        <v>-79.6053</v>
      </c>
      <c r="H7233" s="3">
        <f t="shared" si="856"/>
        <v>79.6053</v>
      </c>
      <c r="I7233" s="5" t="str">
        <f t="shared" si="857"/>
        <v>018</v>
      </c>
      <c r="J7233" s="5" t="str">
        <f t="shared" si="858"/>
        <v>2230</v>
      </c>
      <c r="K7233" s="5" t="str">
        <f t="shared" si="859"/>
        <v>000</v>
      </c>
      <c r="L7233" s="5">
        <f t="shared" si="860"/>
        <v>6</v>
      </c>
      <c r="M7233" s="5">
        <f t="shared" si="861"/>
        <v>2013</v>
      </c>
    </row>
    <row r="7234" spans="1:13" ht="15" x14ac:dyDescent="0.25">
      <c r="A7234" s="1">
        <f>DATE(2013,6,26)</f>
        <v>41451</v>
      </c>
      <c r="B7234" t="s">
        <v>19</v>
      </c>
      <c r="C7234" t="s">
        <v>6</v>
      </c>
      <c r="D7234" s="3">
        <v>5492.0168000000003</v>
      </c>
      <c r="E7234" s="3">
        <v>0</v>
      </c>
      <c r="F7234" t="s">
        <v>45</v>
      </c>
      <c r="G7234" s="3">
        <f t="shared" ref="G7234:G7297" si="862">E7234-D7234</f>
        <v>-5492.0168000000003</v>
      </c>
      <c r="H7234" s="3">
        <f t="shared" ref="H7234:H7297" si="863">ABS(G7234)</f>
        <v>5492.0168000000003</v>
      </c>
      <c r="I7234" s="5" t="str">
        <f t="shared" ref="I7234:I7297" si="864">MID(B7234,1,3)</f>
        <v>018</v>
      </c>
      <c r="J7234" s="5" t="str">
        <f t="shared" ref="J7234:J7297" si="865">MID(B7234,5,4)</f>
        <v>2100</v>
      </c>
      <c r="K7234" s="5" t="str">
        <f t="shared" ref="K7234:K7297" si="866">MID(B7234,10,3)</f>
        <v>000</v>
      </c>
      <c r="L7234" s="5">
        <f t="shared" ref="L7234:L7297" si="867">MONTH(A7234)</f>
        <v>6</v>
      </c>
      <c r="M7234" s="5">
        <f t="shared" ref="M7234:M7297" si="868">YEAR(A7234)</f>
        <v>2013</v>
      </c>
    </row>
    <row r="7235" spans="1:13" ht="15" x14ac:dyDescent="0.25">
      <c r="A7235" s="1">
        <f>DATE(2013,6,26)</f>
        <v>41451</v>
      </c>
      <c r="B7235" t="s">
        <v>20</v>
      </c>
      <c r="C7235" t="s">
        <v>8</v>
      </c>
      <c r="D7235" s="3">
        <v>883.74329999999986</v>
      </c>
      <c r="E7235" s="3">
        <v>0</v>
      </c>
      <c r="F7235" t="s">
        <v>45</v>
      </c>
      <c r="G7235" s="3">
        <f t="shared" si="862"/>
        <v>-883.74329999999986</v>
      </c>
      <c r="H7235" s="3">
        <f t="shared" si="863"/>
        <v>883.74329999999986</v>
      </c>
      <c r="I7235" s="5" t="str">
        <f t="shared" si="864"/>
        <v>018</v>
      </c>
      <c r="J7235" s="5" t="str">
        <f t="shared" si="865"/>
        <v>2210</v>
      </c>
      <c r="K7235" s="5" t="str">
        <f t="shared" si="866"/>
        <v>000</v>
      </c>
      <c r="L7235" s="5">
        <f t="shared" si="867"/>
        <v>6</v>
      </c>
      <c r="M7235" s="5">
        <f t="shared" si="868"/>
        <v>2013</v>
      </c>
    </row>
    <row r="7236" spans="1:13" ht="15" x14ac:dyDescent="0.25">
      <c r="A7236" s="1">
        <f>DATE(2013,6,26)</f>
        <v>41451</v>
      </c>
      <c r="B7236" t="s">
        <v>21</v>
      </c>
      <c r="C7236" t="s">
        <v>9</v>
      </c>
      <c r="D7236" s="3">
        <v>451.80099999999999</v>
      </c>
      <c r="E7236" s="3">
        <v>0</v>
      </c>
      <c r="F7236" t="s">
        <v>45</v>
      </c>
      <c r="G7236" s="3">
        <f t="shared" si="862"/>
        <v>-451.80099999999999</v>
      </c>
      <c r="H7236" s="3">
        <f t="shared" si="863"/>
        <v>451.80099999999999</v>
      </c>
      <c r="I7236" s="5" t="str">
        <f t="shared" si="864"/>
        <v>018</v>
      </c>
      <c r="J7236" s="5" t="str">
        <f t="shared" si="865"/>
        <v>2220</v>
      </c>
      <c r="K7236" s="5" t="str">
        <f t="shared" si="866"/>
        <v>000</v>
      </c>
      <c r="L7236" s="5">
        <f t="shared" si="867"/>
        <v>6</v>
      </c>
      <c r="M7236" s="5">
        <f t="shared" si="868"/>
        <v>2013</v>
      </c>
    </row>
    <row r="7237" spans="1:13" ht="15" x14ac:dyDescent="0.25">
      <c r="A7237" s="1">
        <f>DATE(2013,6,26)</f>
        <v>41451</v>
      </c>
      <c r="B7237" t="s">
        <v>22</v>
      </c>
      <c r="C7237" t="s">
        <v>10</v>
      </c>
      <c r="D7237" s="3">
        <v>69.292299999999997</v>
      </c>
      <c r="E7237" s="3">
        <v>0</v>
      </c>
      <c r="F7237" t="s">
        <v>45</v>
      </c>
      <c r="G7237" s="3">
        <f t="shared" si="862"/>
        <v>-69.292299999999997</v>
      </c>
      <c r="H7237" s="3">
        <f t="shared" si="863"/>
        <v>69.292299999999997</v>
      </c>
      <c r="I7237" s="5" t="str">
        <f t="shared" si="864"/>
        <v>018</v>
      </c>
      <c r="J7237" s="5" t="str">
        <f t="shared" si="865"/>
        <v>2230</v>
      </c>
      <c r="K7237" s="5" t="str">
        <f t="shared" si="866"/>
        <v>000</v>
      </c>
      <c r="L7237" s="5">
        <f t="shared" si="867"/>
        <v>6</v>
      </c>
      <c r="M7237" s="5">
        <f t="shared" si="868"/>
        <v>2013</v>
      </c>
    </row>
    <row r="7238" spans="1:13" ht="15" x14ac:dyDescent="0.25">
      <c r="A7238" s="1">
        <f>DATE(2013,6,27)</f>
        <v>41452</v>
      </c>
      <c r="B7238" t="s">
        <v>19</v>
      </c>
      <c r="C7238" t="s">
        <v>6</v>
      </c>
      <c r="D7238" s="3">
        <v>5310.5236999999997</v>
      </c>
      <c r="E7238" s="3">
        <v>0</v>
      </c>
      <c r="F7238" t="s">
        <v>45</v>
      </c>
      <c r="G7238" s="3">
        <f t="shared" si="862"/>
        <v>-5310.5236999999997</v>
      </c>
      <c r="H7238" s="3">
        <f t="shared" si="863"/>
        <v>5310.5236999999997</v>
      </c>
      <c r="I7238" s="5" t="str">
        <f t="shared" si="864"/>
        <v>018</v>
      </c>
      <c r="J7238" s="5" t="str">
        <f t="shared" si="865"/>
        <v>2100</v>
      </c>
      <c r="K7238" s="5" t="str">
        <f t="shared" si="866"/>
        <v>000</v>
      </c>
      <c r="L7238" s="5">
        <f t="shared" si="867"/>
        <v>6</v>
      </c>
      <c r="M7238" s="5">
        <f t="shared" si="868"/>
        <v>2013</v>
      </c>
    </row>
    <row r="7239" spans="1:13" ht="15" x14ac:dyDescent="0.25">
      <c r="A7239" s="1">
        <f>DATE(2013,6,27)</f>
        <v>41452</v>
      </c>
      <c r="B7239" t="s">
        <v>20</v>
      </c>
      <c r="C7239" t="s">
        <v>8</v>
      </c>
      <c r="D7239" s="3">
        <v>1264.7103</v>
      </c>
      <c r="E7239" s="3">
        <v>0</v>
      </c>
      <c r="F7239" t="s">
        <v>45</v>
      </c>
      <c r="G7239" s="3">
        <f t="shared" si="862"/>
        <v>-1264.7103</v>
      </c>
      <c r="H7239" s="3">
        <f t="shared" si="863"/>
        <v>1264.7103</v>
      </c>
      <c r="I7239" s="5" t="str">
        <f t="shared" si="864"/>
        <v>018</v>
      </c>
      <c r="J7239" s="5" t="str">
        <f t="shared" si="865"/>
        <v>2210</v>
      </c>
      <c r="K7239" s="5" t="str">
        <f t="shared" si="866"/>
        <v>000</v>
      </c>
      <c r="L7239" s="5">
        <f t="shared" si="867"/>
        <v>6</v>
      </c>
      <c r="M7239" s="5">
        <f t="shared" si="868"/>
        <v>2013</v>
      </c>
    </row>
    <row r="7240" spans="1:13" ht="15" x14ac:dyDescent="0.25">
      <c r="A7240" s="1">
        <f>DATE(2013,6,27)</f>
        <v>41452</v>
      </c>
      <c r="B7240" t="s">
        <v>21</v>
      </c>
      <c r="C7240" t="s">
        <v>9</v>
      </c>
      <c r="D7240" s="3">
        <v>425.48869999999999</v>
      </c>
      <c r="E7240" s="3">
        <v>0</v>
      </c>
      <c r="F7240" t="s">
        <v>45</v>
      </c>
      <c r="G7240" s="3">
        <f t="shared" si="862"/>
        <v>-425.48869999999999</v>
      </c>
      <c r="H7240" s="3">
        <f t="shared" si="863"/>
        <v>425.48869999999999</v>
      </c>
      <c r="I7240" s="5" t="str">
        <f t="shared" si="864"/>
        <v>018</v>
      </c>
      <c r="J7240" s="5" t="str">
        <f t="shared" si="865"/>
        <v>2220</v>
      </c>
      <c r="K7240" s="5" t="str">
        <f t="shared" si="866"/>
        <v>000</v>
      </c>
      <c r="L7240" s="5">
        <f t="shared" si="867"/>
        <v>6</v>
      </c>
      <c r="M7240" s="5">
        <f t="shared" si="868"/>
        <v>2013</v>
      </c>
    </row>
    <row r="7241" spans="1:13" ht="15" x14ac:dyDescent="0.25">
      <c r="A7241" s="1">
        <f>DATE(2013,6,27)</f>
        <v>41452</v>
      </c>
      <c r="B7241" t="s">
        <v>22</v>
      </c>
      <c r="C7241" t="s">
        <v>10</v>
      </c>
      <c r="D7241" s="3">
        <v>54.924199999999999</v>
      </c>
      <c r="E7241" s="3">
        <v>0</v>
      </c>
      <c r="F7241" t="s">
        <v>45</v>
      </c>
      <c r="G7241" s="3">
        <f t="shared" si="862"/>
        <v>-54.924199999999999</v>
      </c>
      <c r="H7241" s="3">
        <f t="shared" si="863"/>
        <v>54.924199999999999</v>
      </c>
      <c r="I7241" s="5" t="str">
        <f t="shared" si="864"/>
        <v>018</v>
      </c>
      <c r="J7241" s="5" t="str">
        <f t="shared" si="865"/>
        <v>2230</v>
      </c>
      <c r="K7241" s="5" t="str">
        <f t="shared" si="866"/>
        <v>000</v>
      </c>
      <c r="L7241" s="5">
        <f t="shared" si="867"/>
        <v>6</v>
      </c>
      <c r="M7241" s="5">
        <f t="shared" si="868"/>
        <v>2013</v>
      </c>
    </row>
    <row r="7242" spans="1:13" ht="15" x14ac:dyDescent="0.25">
      <c r="A7242" s="1">
        <f>DATE(2013,6,28)</f>
        <v>41453</v>
      </c>
      <c r="B7242" t="s">
        <v>19</v>
      </c>
      <c r="C7242" t="s">
        <v>6</v>
      </c>
      <c r="D7242" s="3">
        <v>8213.7909999999993</v>
      </c>
      <c r="E7242" s="3">
        <v>0</v>
      </c>
      <c r="F7242" t="s">
        <v>45</v>
      </c>
      <c r="G7242" s="3">
        <f t="shared" si="862"/>
        <v>-8213.7909999999993</v>
      </c>
      <c r="H7242" s="3">
        <f t="shared" si="863"/>
        <v>8213.7909999999993</v>
      </c>
      <c r="I7242" s="5" t="str">
        <f t="shared" si="864"/>
        <v>018</v>
      </c>
      <c r="J7242" s="5" t="str">
        <f t="shared" si="865"/>
        <v>2100</v>
      </c>
      <c r="K7242" s="5" t="str">
        <f t="shared" si="866"/>
        <v>000</v>
      </c>
      <c r="L7242" s="5">
        <f t="shared" si="867"/>
        <v>6</v>
      </c>
      <c r="M7242" s="5">
        <f t="shared" si="868"/>
        <v>2013</v>
      </c>
    </row>
    <row r="7243" spans="1:13" ht="15" x14ac:dyDescent="0.25">
      <c r="A7243" s="1">
        <f>DATE(2013,6,28)</f>
        <v>41453</v>
      </c>
      <c r="B7243" t="s">
        <v>20</v>
      </c>
      <c r="C7243" t="s">
        <v>8</v>
      </c>
      <c r="D7243" s="3">
        <v>2467.3308000000002</v>
      </c>
      <c r="E7243" s="3">
        <v>0</v>
      </c>
      <c r="F7243" t="s">
        <v>45</v>
      </c>
      <c r="G7243" s="3">
        <f t="shared" si="862"/>
        <v>-2467.3308000000002</v>
      </c>
      <c r="H7243" s="3">
        <f t="shared" si="863"/>
        <v>2467.3308000000002</v>
      </c>
      <c r="I7243" s="5" t="str">
        <f t="shared" si="864"/>
        <v>018</v>
      </c>
      <c r="J7243" s="5" t="str">
        <f t="shared" si="865"/>
        <v>2210</v>
      </c>
      <c r="K7243" s="5" t="str">
        <f t="shared" si="866"/>
        <v>000</v>
      </c>
      <c r="L7243" s="5">
        <f t="shared" si="867"/>
        <v>6</v>
      </c>
      <c r="M7243" s="5">
        <f t="shared" si="868"/>
        <v>2013</v>
      </c>
    </row>
    <row r="7244" spans="1:13" ht="15" x14ac:dyDescent="0.25">
      <c r="A7244" s="1">
        <f>DATE(2013,6,28)</f>
        <v>41453</v>
      </c>
      <c r="B7244" t="s">
        <v>21</v>
      </c>
      <c r="C7244" t="s">
        <v>9</v>
      </c>
      <c r="D7244" s="3">
        <v>686.56459999999993</v>
      </c>
      <c r="E7244" s="3">
        <v>0</v>
      </c>
      <c r="F7244" t="s">
        <v>45</v>
      </c>
      <c r="G7244" s="3">
        <f t="shared" si="862"/>
        <v>-686.56459999999993</v>
      </c>
      <c r="H7244" s="3">
        <f t="shared" si="863"/>
        <v>686.56459999999993</v>
      </c>
      <c r="I7244" s="5" t="str">
        <f t="shared" si="864"/>
        <v>018</v>
      </c>
      <c r="J7244" s="5" t="str">
        <f t="shared" si="865"/>
        <v>2220</v>
      </c>
      <c r="K7244" s="5" t="str">
        <f t="shared" si="866"/>
        <v>000</v>
      </c>
      <c r="L7244" s="5">
        <f t="shared" si="867"/>
        <v>6</v>
      </c>
      <c r="M7244" s="5">
        <f t="shared" si="868"/>
        <v>2013</v>
      </c>
    </row>
    <row r="7245" spans="1:13" ht="15" x14ac:dyDescent="0.25">
      <c r="A7245" s="1">
        <f>DATE(2013,6,28)</f>
        <v>41453</v>
      </c>
      <c r="B7245" t="s">
        <v>22</v>
      </c>
      <c r="C7245" t="s">
        <v>10</v>
      </c>
      <c r="D7245" s="3">
        <v>104.05199999999999</v>
      </c>
      <c r="E7245" s="3">
        <v>0</v>
      </c>
      <c r="F7245" t="s">
        <v>45</v>
      </c>
      <c r="G7245" s="3">
        <f t="shared" si="862"/>
        <v>-104.05199999999999</v>
      </c>
      <c r="H7245" s="3">
        <f t="shared" si="863"/>
        <v>104.05199999999999</v>
      </c>
      <c r="I7245" s="5" t="str">
        <f t="shared" si="864"/>
        <v>018</v>
      </c>
      <c r="J7245" s="5" t="str">
        <f t="shared" si="865"/>
        <v>2230</v>
      </c>
      <c r="K7245" s="5" t="str">
        <f t="shared" si="866"/>
        <v>000</v>
      </c>
      <c r="L7245" s="5">
        <f t="shared" si="867"/>
        <v>6</v>
      </c>
      <c r="M7245" s="5">
        <f t="shared" si="868"/>
        <v>2013</v>
      </c>
    </row>
    <row r="7246" spans="1:13" ht="15" x14ac:dyDescent="0.25">
      <c r="A7246" s="1">
        <f>DATE(2013,6,29)</f>
        <v>41454</v>
      </c>
      <c r="B7246" t="s">
        <v>19</v>
      </c>
      <c r="C7246" t="s">
        <v>6</v>
      </c>
      <c r="D7246" s="3">
        <v>10691.915999999999</v>
      </c>
      <c r="E7246" s="3">
        <v>0</v>
      </c>
      <c r="F7246" t="s">
        <v>45</v>
      </c>
      <c r="G7246" s="3">
        <f t="shared" si="862"/>
        <v>-10691.915999999999</v>
      </c>
      <c r="H7246" s="3">
        <f t="shared" si="863"/>
        <v>10691.915999999999</v>
      </c>
      <c r="I7246" s="5" t="str">
        <f t="shared" si="864"/>
        <v>018</v>
      </c>
      <c r="J7246" s="5" t="str">
        <f t="shared" si="865"/>
        <v>2100</v>
      </c>
      <c r="K7246" s="5" t="str">
        <f t="shared" si="866"/>
        <v>000</v>
      </c>
      <c r="L7246" s="5">
        <f t="shared" si="867"/>
        <v>6</v>
      </c>
      <c r="M7246" s="5">
        <f t="shared" si="868"/>
        <v>2013</v>
      </c>
    </row>
    <row r="7247" spans="1:13" ht="15" x14ac:dyDescent="0.25">
      <c r="A7247" s="1">
        <f>DATE(2013,6,29)</f>
        <v>41454</v>
      </c>
      <c r="B7247" t="s">
        <v>20</v>
      </c>
      <c r="C7247" t="s">
        <v>8</v>
      </c>
      <c r="D7247" s="3">
        <v>2796.8616000000002</v>
      </c>
      <c r="E7247" s="3">
        <v>0</v>
      </c>
      <c r="F7247" t="s">
        <v>45</v>
      </c>
      <c r="G7247" s="3">
        <f t="shared" si="862"/>
        <v>-2796.8616000000002</v>
      </c>
      <c r="H7247" s="3">
        <f t="shared" si="863"/>
        <v>2796.8616000000002</v>
      </c>
      <c r="I7247" s="5" t="str">
        <f t="shared" si="864"/>
        <v>018</v>
      </c>
      <c r="J7247" s="5" t="str">
        <f t="shared" si="865"/>
        <v>2210</v>
      </c>
      <c r="K7247" s="5" t="str">
        <f t="shared" si="866"/>
        <v>000</v>
      </c>
      <c r="L7247" s="5">
        <f t="shared" si="867"/>
        <v>6</v>
      </c>
      <c r="M7247" s="5">
        <f t="shared" si="868"/>
        <v>2013</v>
      </c>
    </row>
    <row r="7248" spans="1:13" ht="15" x14ac:dyDescent="0.25">
      <c r="A7248" s="1">
        <f>DATE(2013,6,29)</f>
        <v>41454</v>
      </c>
      <c r="B7248" t="s">
        <v>21</v>
      </c>
      <c r="C7248" t="s">
        <v>9</v>
      </c>
      <c r="D7248" s="3">
        <v>578.37599999999998</v>
      </c>
      <c r="E7248" s="3">
        <v>0</v>
      </c>
      <c r="F7248" t="s">
        <v>45</v>
      </c>
      <c r="G7248" s="3">
        <f t="shared" si="862"/>
        <v>-578.37599999999998</v>
      </c>
      <c r="H7248" s="3">
        <f t="shared" si="863"/>
        <v>578.37599999999998</v>
      </c>
      <c r="I7248" s="5" t="str">
        <f t="shared" si="864"/>
        <v>018</v>
      </c>
      <c r="J7248" s="5" t="str">
        <f t="shared" si="865"/>
        <v>2220</v>
      </c>
      <c r="K7248" s="5" t="str">
        <f t="shared" si="866"/>
        <v>000</v>
      </c>
      <c r="L7248" s="5">
        <f t="shared" si="867"/>
        <v>6</v>
      </c>
      <c r="M7248" s="5">
        <f t="shared" si="868"/>
        <v>2013</v>
      </c>
    </row>
    <row r="7249" spans="1:13" ht="15" x14ac:dyDescent="0.25">
      <c r="A7249" s="1">
        <f>DATE(2013,6,29)</f>
        <v>41454</v>
      </c>
      <c r="B7249" t="s">
        <v>22</v>
      </c>
      <c r="C7249" t="s">
        <v>10</v>
      </c>
      <c r="D7249" s="3">
        <v>34.839999999999996</v>
      </c>
      <c r="E7249" s="3">
        <v>0</v>
      </c>
      <c r="F7249" t="s">
        <v>45</v>
      </c>
      <c r="G7249" s="3">
        <f t="shared" si="862"/>
        <v>-34.839999999999996</v>
      </c>
      <c r="H7249" s="3">
        <f t="shared" si="863"/>
        <v>34.839999999999996</v>
      </c>
      <c r="I7249" s="5" t="str">
        <f t="shared" si="864"/>
        <v>018</v>
      </c>
      <c r="J7249" s="5" t="str">
        <f t="shared" si="865"/>
        <v>2230</v>
      </c>
      <c r="K7249" s="5" t="str">
        <f t="shared" si="866"/>
        <v>000</v>
      </c>
      <c r="L7249" s="5">
        <f t="shared" si="867"/>
        <v>6</v>
      </c>
      <c r="M7249" s="5">
        <f t="shared" si="868"/>
        <v>2013</v>
      </c>
    </row>
    <row r="7250" spans="1:13" ht="15" x14ac:dyDescent="0.25">
      <c r="A7250" s="1">
        <f>DATE(2013,6,30)</f>
        <v>41455</v>
      </c>
      <c r="B7250" t="s">
        <v>19</v>
      </c>
      <c r="C7250" t="s">
        <v>6</v>
      </c>
      <c r="D7250" s="3">
        <v>11726.928000000002</v>
      </c>
      <c r="E7250" s="3">
        <v>0</v>
      </c>
      <c r="F7250" t="s">
        <v>45</v>
      </c>
      <c r="G7250" s="3">
        <f t="shared" si="862"/>
        <v>-11726.928000000002</v>
      </c>
      <c r="H7250" s="3">
        <f t="shared" si="863"/>
        <v>11726.928000000002</v>
      </c>
      <c r="I7250" s="5" t="str">
        <f t="shared" si="864"/>
        <v>018</v>
      </c>
      <c r="J7250" s="5" t="str">
        <f t="shared" si="865"/>
        <v>2100</v>
      </c>
      <c r="K7250" s="5" t="str">
        <f t="shared" si="866"/>
        <v>000</v>
      </c>
      <c r="L7250" s="5">
        <f t="shared" si="867"/>
        <v>6</v>
      </c>
      <c r="M7250" s="5">
        <f t="shared" si="868"/>
        <v>2013</v>
      </c>
    </row>
    <row r="7251" spans="1:13" ht="15" x14ac:dyDescent="0.25">
      <c r="A7251" s="1">
        <f>DATE(2013,6,30)</f>
        <v>41455</v>
      </c>
      <c r="B7251" t="s">
        <v>20</v>
      </c>
      <c r="C7251" t="s">
        <v>8</v>
      </c>
      <c r="D7251" s="3">
        <v>1386.615</v>
      </c>
      <c r="E7251" s="3">
        <v>0</v>
      </c>
      <c r="F7251" t="s">
        <v>45</v>
      </c>
      <c r="G7251" s="3">
        <f t="shared" si="862"/>
        <v>-1386.615</v>
      </c>
      <c r="H7251" s="3">
        <f t="shared" si="863"/>
        <v>1386.615</v>
      </c>
      <c r="I7251" s="5" t="str">
        <f t="shared" si="864"/>
        <v>018</v>
      </c>
      <c r="J7251" s="5" t="str">
        <f t="shared" si="865"/>
        <v>2210</v>
      </c>
      <c r="K7251" s="5" t="str">
        <f t="shared" si="866"/>
        <v>000</v>
      </c>
      <c r="L7251" s="5">
        <f t="shared" si="867"/>
        <v>6</v>
      </c>
      <c r="M7251" s="5">
        <f t="shared" si="868"/>
        <v>2013</v>
      </c>
    </row>
    <row r="7252" spans="1:13" ht="15" x14ac:dyDescent="0.25">
      <c r="A7252" s="1">
        <f>DATE(2013,6,30)</f>
        <v>41455</v>
      </c>
      <c r="B7252" t="s">
        <v>21</v>
      </c>
      <c r="C7252" t="s">
        <v>9</v>
      </c>
      <c r="D7252" s="3">
        <v>257.024</v>
      </c>
      <c r="E7252" s="3">
        <v>0</v>
      </c>
      <c r="F7252" t="s">
        <v>45</v>
      </c>
      <c r="G7252" s="3">
        <f t="shared" si="862"/>
        <v>-257.024</v>
      </c>
      <c r="H7252" s="3">
        <f t="shared" si="863"/>
        <v>257.024</v>
      </c>
      <c r="I7252" s="5" t="str">
        <f t="shared" si="864"/>
        <v>018</v>
      </c>
      <c r="J7252" s="5" t="str">
        <f t="shared" si="865"/>
        <v>2220</v>
      </c>
      <c r="K7252" s="5" t="str">
        <f t="shared" si="866"/>
        <v>000</v>
      </c>
      <c r="L7252" s="5">
        <f t="shared" si="867"/>
        <v>6</v>
      </c>
      <c r="M7252" s="5">
        <f t="shared" si="868"/>
        <v>2013</v>
      </c>
    </row>
    <row r="7253" spans="1:13" ht="15" x14ac:dyDescent="0.25">
      <c r="A7253" s="1">
        <f>DATE(2013,6,30)</f>
        <v>41455</v>
      </c>
      <c r="B7253" t="s">
        <v>22</v>
      </c>
      <c r="C7253" t="s">
        <v>10</v>
      </c>
      <c r="D7253" s="3">
        <v>150.518</v>
      </c>
      <c r="E7253" s="3">
        <v>0</v>
      </c>
      <c r="F7253" t="s">
        <v>45</v>
      </c>
      <c r="G7253" s="3">
        <f t="shared" si="862"/>
        <v>-150.518</v>
      </c>
      <c r="H7253" s="3">
        <f t="shared" si="863"/>
        <v>150.518</v>
      </c>
      <c r="I7253" s="5" t="str">
        <f t="shared" si="864"/>
        <v>018</v>
      </c>
      <c r="J7253" s="5" t="str">
        <f t="shared" si="865"/>
        <v>2230</v>
      </c>
      <c r="K7253" s="5" t="str">
        <f t="shared" si="866"/>
        <v>000</v>
      </c>
      <c r="L7253" s="5">
        <f t="shared" si="867"/>
        <v>6</v>
      </c>
      <c r="M7253" s="5">
        <f t="shared" si="868"/>
        <v>2013</v>
      </c>
    </row>
    <row r="7254" spans="1:13" ht="15" x14ac:dyDescent="0.25">
      <c r="A7254" s="1">
        <f>DATE(2013,7,1)</f>
        <v>41456</v>
      </c>
      <c r="B7254" t="s">
        <v>11</v>
      </c>
      <c r="C7254" t="s">
        <v>6</v>
      </c>
      <c r="D7254" s="3">
        <v>3946.0456000000004</v>
      </c>
      <c r="E7254" s="3">
        <v>0</v>
      </c>
      <c r="F7254" t="s">
        <v>45</v>
      </c>
      <c r="G7254" s="3">
        <f t="shared" si="862"/>
        <v>-3946.0456000000004</v>
      </c>
      <c r="H7254" s="3">
        <f t="shared" si="863"/>
        <v>3946.0456000000004</v>
      </c>
      <c r="I7254" s="5" t="str">
        <f t="shared" si="864"/>
        <v>016</v>
      </c>
      <c r="J7254" s="5" t="str">
        <f t="shared" si="865"/>
        <v>2100</v>
      </c>
      <c r="K7254" s="5" t="str">
        <f t="shared" si="866"/>
        <v>000</v>
      </c>
      <c r="L7254" s="5">
        <f t="shared" si="867"/>
        <v>7</v>
      </c>
      <c r="M7254" s="5">
        <f t="shared" si="868"/>
        <v>2013</v>
      </c>
    </row>
    <row r="7255" spans="1:13" ht="15" x14ac:dyDescent="0.25">
      <c r="A7255" s="1">
        <f>DATE(2013,7,1)</f>
        <v>41456</v>
      </c>
      <c r="B7255" t="s">
        <v>12</v>
      </c>
      <c r="C7255" t="s">
        <v>8</v>
      </c>
      <c r="D7255" s="3">
        <v>879.98470000000009</v>
      </c>
      <c r="E7255" s="3">
        <v>0</v>
      </c>
      <c r="F7255" t="s">
        <v>45</v>
      </c>
      <c r="G7255" s="3">
        <f t="shared" si="862"/>
        <v>-879.98470000000009</v>
      </c>
      <c r="H7255" s="3">
        <f t="shared" si="863"/>
        <v>879.98470000000009</v>
      </c>
      <c r="I7255" s="5" t="str">
        <f t="shared" si="864"/>
        <v>016</v>
      </c>
      <c r="J7255" s="5" t="str">
        <f t="shared" si="865"/>
        <v>2210</v>
      </c>
      <c r="K7255" s="5" t="str">
        <f t="shared" si="866"/>
        <v>000</v>
      </c>
      <c r="L7255" s="5">
        <f t="shared" si="867"/>
        <v>7</v>
      </c>
      <c r="M7255" s="5">
        <f t="shared" si="868"/>
        <v>2013</v>
      </c>
    </row>
    <row r="7256" spans="1:13" ht="15" x14ac:dyDescent="0.25">
      <c r="A7256" s="1">
        <f>DATE(2013,7,1)</f>
        <v>41456</v>
      </c>
      <c r="B7256" t="s">
        <v>13</v>
      </c>
      <c r="C7256" t="s">
        <v>9</v>
      </c>
      <c r="D7256" s="3">
        <v>190.30870000000002</v>
      </c>
      <c r="E7256" s="3">
        <v>0</v>
      </c>
      <c r="F7256" t="s">
        <v>45</v>
      </c>
      <c r="G7256" s="3">
        <f t="shared" si="862"/>
        <v>-190.30870000000002</v>
      </c>
      <c r="H7256" s="3">
        <f t="shared" si="863"/>
        <v>190.30870000000002</v>
      </c>
      <c r="I7256" s="5" t="str">
        <f t="shared" si="864"/>
        <v>016</v>
      </c>
      <c r="J7256" s="5" t="str">
        <f t="shared" si="865"/>
        <v>2220</v>
      </c>
      <c r="K7256" s="5" t="str">
        <f t="shared" si="866"/>
        <v>000</v>
      </c>
      <c r="L7256" s="5">
        <f t="shared" si="867"/>
        <v>7</v>
      </c>
      <c r="M7256" s="5">
        <f t="shared" si="868"/>
        <v>2013</v>
      </c>
    </row>
    <row r="7257" spans="1:13" ht="15" x14ac:dyDescent="0.25">
      <c r="A7257" s="1">
        <f>DATE(2013,7,1)</f>
        <v>41456</v>
      </c>
      <c r="B7257" t="s">
        <v>14</v>
      </c>
      <c r="C7257" t="s">
        <v>10</v>
      </c>
      <c r="D7257" s="3">
        <v>68.339200000000005</v>
      </c>
      <c r="E7257" s="3">
        <v>0</v>
      </c>
      <c r="F7257" t="s">
        <v>45</v>
      </c>
      <c r="G7257" s="3">
        <f t="shared" si="862"/>
        <v>-68.339200000000005</v>
      </c>
      <c r="H7257" s="3">
        <f t="shared" si="863"/>
        <v>68.339200000000005</v>
      </c>
      <c r="I7257" s="5" t="str">
        <f t="shared" si="864"/>
        <v>016</v>
      </c>
      <c r="J7257" s="5" t="str">
        <f t="shared" si="865"/>
        <v>2230</v>
      </c>
      <c r="K7257" s="5" t="str">
        <f t="shared" si="866"/>
        <v>000</v>
      </c>
      <c r="L7257" s="5">
        <f t="shared" si="867"/>
        <v>7</v>
      </c>
      <c r="M7257" s="5">
        <f t="shared" si="868"/>
        <v>2013</v>
      </c>
    </row>
    <row r="7258" spans="1:13" ht="15" x14ac:dyDescent="0.25">
      <c r="A7258" s="1">
        <f>DATE(2013,7,2)</f>
        <v>41457</v>
      </c>
      <c r="B7258" t="s">
        <v>11</v>
      </c>
      <c r="C7258" t="s">
        <v>6</v>
      </c>
      <c r="D7258" s="3">
        <v>8358.3755000000001</v>
      </c>
      <c r="E7258" s="3">
        <v>0</v>
      </c>
      <c r="F7258" t="s">
        <v>45</v>
      </c>
      <c r="G7258" s="3">
        <f t="shared" si="862"/>
        <v>-8358.3755000000001</v>
      </c>
      <c r="H7258" s="3">
        <f t="shared" si="863"/>
        <v>8358.3755000000001</v>
      </c>
      <c r="I7258" s="5" t="str">
        <f t="shared" si="864"/>
        <v>016</v>
      </c>
      <c r="J7258" s="5" t="str">
        <f t="shared" si="865"/>
        <v>2100</v>
      </c>
      <c r="K7258" s="5" t="str">
        <f t="shared" si="866"/>
        <v>000</v>
      </c>
      <c r="L7258" s="5">
        <f t="shared" si="867"/>
        <v>7</v>
      </c>
      <c r="M7258" s="5">
        <f t="shared" si="868"/>
        <v>2013</v>
      </c>
    </row>
    <row r="7259" spans="1:13" ht="15" x14ac:dyDescent="0.25">
      <c r="A7259" s="1">
        <f>DATE(2013,7,2)</f>
        <v>41457</v>
      </c>
      <c r="B7259" t="s">
        <v>12</v>
      </c>
      <c r="C7259" t="s">
        <v>8</v>
      </c>
      <c r="D7259" s="3">
        <v>2258.3824</v>
      </c>
      <c r="E7259" s="3">
        <v>0</v>
      </c>
      <c r="F7259" t="s">
        <v>45</v>
      </c>
      <c r="G7259" s="3">
        <f t="shared" si="862"/>
        <v>-2258.3824</v>
      </c>
      <c r="H7259" s="3">
        <f t="shared" si="863"/>
        <v>2258.3824</v>
      </c>
      <c r="I7259" s="5" t="str">
        <f t="shared" si="864"/>
        <v>016</v>
      </c>
      <c r="J7259" s="5" t="str">
        <f t="shared" si="865"/>
        <v>2210</v>
      </c>
      <c r="K7259" s="5" t="str">
        <f t="shared" si="866"/>
        <v>000</v>
      </c>
      <c r="L7259" s="5">
        <f t="shared" si="867"/>
        <v>7</v>
      </c>
      <c r="M7259" s="5">
        <f t="shared" si="868"/>
        <v>2013</v>
      </c>
    </row>
    <row r="7260" spans="1:13" ht="15" x14ac:dyDescent="0.25">
      <c r="A7260" s="1">
        <f>DATE(2013,7,2)</f>
        <v>41457</v>
      </c>
      <c r="B7260" t="s">
        <v>13</v>
      </c>
      <c r="C7260" t="s">
        <v>9</v>
      </c>
      <c r="D7260" s="3">
        <v>673.01609999999994</v>
      </c>
      <c r="E7260" s="3">
        <v>0</v>
      </c>
      <c r="F7260" t="s">
        <v>45</v>
      </c>
      <c r="G7260" s="3">
        <f t="shared" si="862"/>
        <v>-673.01609999999994</v>
      </c>
      <c r="H7260" s="3">
        <f t="shared" si="863"/>
        <v>673.01609999999994</v>
      </c>
      <c r="I7260" s="5" t="str">
        <f t="shared" si="864"/>
        <v>016</v>
      </c>
      <c r="J7260" s="5" t="str">
        <f t="shared" si="865"/>
        <v>2220</v>
      </c>
      <c r="K7260" s="5" t="str">
        <f t="shared" si="866"/>
        <v>000</v>
      </c>
      <c r="L7260" s="5">
        <f t="shared" si="867"/>
        <v>7</v>
      </c>
      <c r="M7260" s="5">
        <f t="shared" si="868"/>
        <v>2013</v>
      </c>
    </row>
    <row r="7261" spans="1:13" ht="15" x14ac:dyDescent="0.25">
      <c r="A7261" s="1">
        <f>DATE(2013,7,2)</f>
        <v>41457</v>
      </c>
      <c r="B7261" t="s">
        <v>14</v>
      </c>
      <c r="C7261" t="s">
        <v>10</v>
      </c>
      <c r="D7261" s="3">
        <v>130.05369999999999</v>
      </c>
      <c r="E7261" s="3">
        <v>0</v>
      </c>
      <c r="F7261" t="s">
        <v>45</v>
      </c>
      <c r="G7261" s="3">
        <f t="shared" si="862"/>
        <v>-130.05369999999999</v>
      </c>
      <c r="H7261" s="3">
        <f t="shared" si="863"/>
        <v>130.05369999999999</v>
      </c>
      <c r="I7261" s="5" t="str">
        <f t="shared" si="864"/>
        <v>016</v>
      </c>
      <c r="J7261" s="5" t="str">
        <f t="shared" si="865"/>
        <v>2230</v>
      </c>
      <c r="K7261" s="5" t="str">
        <f t="shared" si="866"/>
        <v>000</v>
      </c>
      <c r="L7261" s="5">
        <f t="shared" si="867"/>
        <v>7</v>
      </c>
      <c r="M7261" s="5">
        <f t="shared" si="868"/>
        <v>2013</v>
      </c>
    </row>
    <row r="7262" spans="1:13" ht="15" x14ac:dyDescent="0.25">
      <c r="A7262" s="1">
        <f>DATE(2013,7,3)</f>
        <v>41458</v>
      </c>
      <c r="B7262" t="s">
        <v>11</v>
      </c>
      <c r="C7262" t="s">
        <v>6</v>
      </c>
      <c r="D7262" s="3">
        <v>3317.8405000000002</v>
      </c>
      <c r="E7262" s="3">
        <v>0</v>
      </c>
      <c r="F7262" t="s">
        <v>45</v>
      </c>
      <c r="G7262" s="3">
        <f t="shared" si="862"/>
        <v>-3317.8405000000002</v>
      </c>
      <c r="H7262" s="3">
        <f t="shared" si="863"/>
        <v>3317.8405000000002</v>
      </c>
      <c r="I7262" s="5" t="str">
        <f t="shared" si="864"/>
        <v>016</v>
      </c>
      <c r="J7262" s="5" t="str">
        <f t="shared" si="865"/>
        <v>2100</v>
      </c>
      <c r="K7262" s="5" t="str">
        <f t="shared" si="866"/>
        <v>000</v>
      </c>
      <c r="L7262" s="5">
        <f t="shared" si="867"/>
        <v>7</v>
      </c>
      <c r="M7262" s="5">
        <f t="shared" si="868"/>
        <v>2013</v>
      </c>
    </row>
    <row r="7263" spans="1:13" ht="15" x14ac:dyDescent="0.25">
      <c r="A7263" s="1">
        <f>DATE(2013,7,3)</f>
        <v>41458</v>
      </c>
      <c r="B7263" t="s">
        <v>12</v>
      </c>
      <c r="C7263" t="s">
        <v>8</v>
      </c>
      <c r="D7263" s="3">
        <v>1516.3908999999999</v>
      </c>
      <c r="E7263" s="3">
        <v>0</v>
      </c>
      <c r="F7263" t="s">
        <v>45</v>
      </c>
      <c r="G7263" s="3">
        <f t="shared" si="862"/>
        <v>-1516.3908999999999</v>
      </c>
      <c r="H7263" s="3">
        <f t="shared" si="863"/>
        <v>1516.3908999999999</v>
      </c>
      <c r="I7263" s="5" t="str">
        <f t="shared" si="864"/>
        <v>016</v>
      </c>
      <c r="J7263" s="5" t="str">
        <f t="shared" si="865"/>
        <v>2210</v>
      </c>
      <c r="K7263" s="5" t="str">
        <f t="shared" si="866"/>
        <v>000</v>
      </c>
      <c r="L7263" s="5">
        <f t="shared" si="867"/>
        <v>7</v>
      </c>
      <c r="M7263" s="5">
        <f t="shared" si="868"/>
        <v>2013</v>
      </c>
    </row>
    <row r="7264" spans="1:13" ht="15" x14ac:dyDescent="0.25">
      <c r="A7264" s="1">
        <f>DATE(2013,7,3)</f>
        <v>41458</v>
      </c>
      <c r="B7264" t="s">
        <v>13</v>
      </c>
      <c r="C7264" t="s">
        <v>9</v>
      </c>
      <c r="D7264" s="3">
        <v>284.60699999999997</v>
      </c>
      <c r="E7264" s="3">
        <v>0</v>
      </c>
      <c r="F7264" t="s">
        <v>45</v>
      </c>
      <c r="G7264" s="3">
        <f t="shared" si="862"/>
        <v>-284.60699999999997</v>
      </c>
      <c r="H7264" s="3">
        <f t="shared" si="863"/>
        <v>284.60699999999997</v>
      </c>
      <c r="I7264" s="5" t="str">
        <f t="shared" si="864"/>
        <v>016</v>
      </c>
      <c r="J7264" s="5" t="str">
        <f t="shared" si="865"/>
        <v>2220</v>
      </c>
      <c r="K7264" s="5" t="str">
        <f t="shared" si="866"/>
        <v>000</v>
      </c>
      <c r="L7264" s="5">
        <f t="shared" si="867"/>
        <v>7</v>
      </c>
      <c r="M7264" s="5">
        <f t="shared" si="868"/>
        <v>2013</v>
      </c>
    </row>
    <row r="7265" spans="1:13" ht="15" x14ac:dyDescent="0.25">
      <c r="A7265" s="1">
        <f>DATE(2013,7,3)</f>
        <v>41458</v>
      </c>
      <c r="B7265" t="s">
        <v>14</v>
      </c>
      <c r="C7265" t="s">
        <v>10</v>
      </c>
      <c r="D7265" s="3">
        <v>51.704999999999998</v>
      </c>
      <c r="E7265" s="3">
        <v>0</v>
      </c>
      <c r="F7265" t="s">
        <v>45</v>
      </c>
      <c r="G7265" s="3">
        <f t="shared" si="862"/>
        <v>-51.704999999999998</v>
      </c>
      <c r="H7265" s="3">
        <f t="shared" si="863"/>
        <v>51.704999999999998</v>
      </c>
      <c r="I7265" s="5" t="str">
        <f t="shared" si="864"/>
        <v>016</v>
      </c>
      <c r="J7265" s="5" t="str">
        <f t="shared" si="865"/>
        <v>2230</v>
      </c>
      <c r="K7265" s="5" t="str">
        <f t="shared" si="866"/>
        <v>000</v>
      </c>
      <c r="L7265" s="5">
        <f t="shared" si="867"/>
        <v>7</v>
      </c>
      <c r="M7265" s="5">
        <f t="shared" si="868"/>
        <v>2013</v>
      </c>
    </row>
    <row r="7266" spans="1:13" ht="15" x14ac:dyDescent="0.25">
      <c r="A7266" s="1">
        <f>DATE(2013,7,4)</f>
        <v>41459</v>
      </c>
      <c r="B7266" t="s">
        <v>11</v>
      </c>
      <c r="C7266" t="s">
        <v>6</v>
      </c>
      <c r="D7266" s="3">
        <v>3769.74</v>
      </c>
      <c r="E7266" s="3">
        <v>0</v>
      </c>
      <c r="F7266" t="s">
        <v>45</v>
      </c>
      <c r="G7266" s="3">
        <f t="shared" si="862"/>
        <v>-3769.74</v>
      </c>
      <c r="H7266" s="3">
        <f t="shared" si="863"/>
        <v>3769.74</v>
      </c>
      <c r="I7266" s="5" t="str">
        <f t="shared" si="864"/>
        <v>016</v>
      </c>
      <c r="J7266" s="5" t="str">
        <f t="shared" si="865"/>
        <v>2100</v>
      </c>
      <c r="K7266" s="5" t="str">
        <f t="shared" si="866"/>
        <v>000</v>
      </c>
      <c r="L7266" s="5">
        <f t="shared" si="867"/>
        <v>7</v>
      </c>
      <c r="M7266" s="5">
        <f t="shared" si="868"/>
        <v>2013</v>
      </c>
    </row>
    <row r="7267" spans="1:13" ht="15" x14ac:dyDescent="0.25">
      <c r="A7267" s="1">
        <f>DATE(2013,7,4)</f>
        <v>41459</v>
      </c>
      <c r="B7267" t="s">
        <v>12</v>
      </c>
      <c r="C7267" t="s">
        <v>8</v>
      </c>
      <c r="D7267" s="3">
        <v>1197.9780000000001</v>
      </c>
      <c r="E7267" s="3">
        <v>0</v>
      </c>
      <c r="F7267" t="s">
        <v>45</v>
      </c>
      <c r="G7267" s="3">
        <f t="shared" si="862"/>
        <v>-1197.9780000000001</v>
      </c>
      <c r="H7267" s="3">
        <f t="shared" si="863"/>
        <v>1197.9780000000001</v>
      </c>
      <c r="I7267" s="5" t="str">
        <f t="shared" si="864"/>
        <v>016</v>
      </c>
      <c r="J7267" s="5" t="str">
        <f t="shared" si="865"/>
        <v>2210</v>
      </c>
      <c r="K7267" s="5" t="str">
        <f t="shared" si="866"/>
        <v>000</v>
      </c>
      <c r="L7267" s="5">
        <f t="shared" si="867"/>
        <v>7</v>
      </c>
      <c r="M7267" s="5">
        <f t="shared" si="868"/>
        <v>2013</v>
      </c>
    </row>
    <row r="7268" spans="1:13" ht="15" x14ac:dyDescent="0.25">
      <c r="A7268" s="1">
        <f>DATE(2013,7,4)</f>
        <v>41459</v>
      </c>
      <c r="B7268" t="s">
        <v>13</v>
      </c>
      <c r="C7268" t="s">
        <v>9</v>
      </c>
      <c r="D7268" s="3">
        <v>253.24</v>
      </c>
      <c r="E7268" s="3">
        <v>0</v>
      </c>
      <c r="F7268" t="s">
        <v>45</v>
      </c>
      <c r="G7268" s="3">
        <f t="shared" si="862"/>
        <v>-253.24</v>
      </c>
      <c r="H7268" s="3">
        <f t="shared" si="863"/>
        <v>253.24</v>
      </c>
      <c r="I7268" s="5" t="str">
        <f t="shared" si="864"/>
        <v>016</v>
      </c>
      <c r="J7268" s="5" t="str">
        <f t="shared" si="865"/>
        <v>2220</v>
      </c>
      <c r="K7268" s="5" t="str">
        <f t="shared" si="866"/>
        <v>000</v>
      </c>
      <c r="L7268" s="5">
        <f t="shared" si="867"/>
        <v>7</v>
      </c>
      <c r="M7268" s="5">
        <f t="shared" si="868"/>
        <v>2013</v>
      </c>
    </row>
    <row r="7269" spans="1:13" ht="15" x14ac:dyDescent="0.25">
      <c r="A7269" s="1">
        <f>DATE(2013,7,4)</f>
        <v>41459</v>
      </c>
      <c r="B7269" t="s">
        <v>14</v>
      </c>
      <c r="C7269" t="s">
        <v>10</v>
      </c>
      <c r="D7269" s="3">
        <v>87.651200000000003</v>
      </c>
      <c r="E7269" s="3">
        <v>0</v>
      </c>
      <c r="F7269" t="s">
        <v>45</v>
      </c>
      <c r="G7269" s="3">
        <f t="shared" si="862"/>
        <v>-87.651200000000003</v>
      </c>
      <c r="H7269" s="3">
        <f t="shared" si="863"/>
        <v>87.651200000000003</v>
      </c>
      <c r="I7269" s="5" t="str">
        <f t="shared" si="864"/>
        <v>016</v>
      </c>
      <c r="J7269" s="5" t="str">
        <f t="shared" si="865"/>
        <v>2230</v>
      </c>
      <c r="K7269" s="5" t="str">
        <f t="shared" si="866"/>
        <v>000</v>
      </c>
      <c r="L7269" s="5">
        <f t="shared" si="867"/>
        <v>7</v>
      </c>
      <c r="M7269" s="5">
        <f t="shared" si="868"/>
        <v>2013</v>
      </c>
    </row>
    <row r="7270" spans="1:13" ht="15" x14ac:dyDescent="0.25">
      <c r="A7270" s="1">
        <f>DATE(2013,7,5)</f>
        <v>41460</v>
      </c>
      <c r="B7270" t="s">
        <v>11</v>
      </c>
      <c r="C7270" t="s">
        <v>6</v>
      </c>
      <c r="D7270" s="3">
        <v>5997.9680000000008</v>
      </c>
      <c r="E7270" s="3">
        <v>0</v>
      </c>
      <c r="F7270" t="s">
        <v>45</v>
      </c>
      <c r="G7270" s="3">
        <f t="shared" si="862"/>
        <v>-5997.9680000000008</v>
      </c>
      <c r="H7270" s="3">
        <f t="shared" si="863"/>
        <v>5997.9680000000008</v>
      </c>
      <c r="I7270" s="5" t="str">
        <f t="shared" si="864"/>
        <v>016</v>
      </c>
      <c r="J7270" s="5" t="str">
        <f t="shared" si="865"/>
        <v>2100</v>
      </c>
      <c r="K7270" s="5" t="str">
        <f t="shared" si="866"/>
        <v>000</v>
      </c>
      <c r="L7270" s="5">
        <f t="shared" si="867"/>
        <v>7</v>
      </c>
      <c r="M7270" s="5">
        <f t="shared" si="868"/>
        <v>2013</v>
      </c>
    </row>
    <row r="7271" spans="1:13" ht="15" x14ac:dyDescent="0.25">
      <c r="A7271" s="1">
        <f>DATE(2013,7,5)</f>
        <v>41460</v>
      </c>
      <c r="B7271" t="s">
        <v>12</v>
      </c>
      <c r="C7271" t="s">
        <v>8</v>
      </c>
      <c r="D7271" s="3">
        <v>1092.1489999999999</v>
      </c>
      <c r="E7271" s="3">
        <v>0</v>
      </c>
      <c r="F7271" t="s">
        <v>45</v>
      </c>
      <c r="G7271" s="3">
        <f t="shared" si="862"/>
        <v>-1092.1489999999999</v>
      </c>
      <c r="H7271" s="3">
        <f t="shared" si="863"/>
        <v>1092.1489999999999</v>
      </c>
      <c r="I7271" s="5" t="str">
        <f t="shared" si="864"/>
        <v>016</v>
      </c>
      <c r="J7271" s="5" t="str">
        <f t="shared" si="865"/>
        <v>2210</v>
      </c>
      <c r="K7271" s="5" t="str">
        <f t="shared" si="866"/>
        <v>000</v>
      </c>
      <c r="L7271" s="5">
        <f t="shared" si="867"/>
        <v>7</v>
      </c>
      <c r="M7271" s="5">
        <f t="shared" si="868"/>
        <v>2013</v>
      </c>
    </row>
    <row r="7272" spans="1:13" ht="15" x14ac:dyDescent="0.25">
      <c r="A7272" s="1">
        <f>DATE(2013,7,5)</f>
        <v>41460</v>
      </c>
      <c r="B7272" t="s">
        <v>13</v>
      </c>
      <c r="C7272" t="s">
        <v>9</v>
      </c>
      <c r="D7272" s="3">
        <v>218.52599999999998</v>
      </c>
      <c r="E7272" s="3">
        <v>0</v>
      </c>
      <c r="F7272" t="s">
        <v>45</v>
      </c>
      <c r="G7272" s="3">
        <f t="shared" si="862"/>
        <v>-218.52599999999998</v>
      </c>
      <c r="H7272" s="3">
        <f t="shared" si="863"/>
        <v>218.52599999999998</v>
      </c>
      <c r="I7272" s="5" t="str">
        <f t="shared" si="864"/>
        <v>016</v>
      </c>
      <c r="J7272" s="5" t="str">
        <f t="shared" si="865"/>
        <v>2220</v>
      </c>
      <c r="K7272" s="5" t="str">
        <f t="shared" si="866"/>
        <v>000</v>
      </c>
      <c r="L7272" s="5">
        <f t="shared" si="867"/>
        <v>7</v>
      </c>
      <c r="M7272" s="5">
        <f t="shared" si="868"/>
        <v>2013</v>
      </c>
    </row>
    <row r="7273" spans="1:13" ht="15" x14ac:dyDescent="0.25">
      <c r="A7273" s="1">
        <f>DATE(2013,7,5)</f>
        <v>41460</v>
      </c>
      <c r="B7273" t="s">
        <v>14</v>
      </c>
      <c r="C7273" t="s">
        <v>10</v>
      </c>
      <c r="D7273" s="3">
        <v>114.15160000000002</v>
      </c>
      <c r="E7273" s="3">
        <v>0</v>
      </c>
      <c r="F7273" t="s">
        <v>45</v>
      </c>
      <c r="G7273" s="3">
        <f t="shared" si="862"/>
        <v>-114.15160000000002</v>
      </c>
      <c r="H7273" s="3">
        <f t="shared" si="863"/>
        <v>114.15160000000002</v>
      </c>
      <c r="I7273" s="5" t="str">
        <f t="shared" si="864"/>
        <v>016</v>
      </c>
      <c r="J7273" s="5" t="str">
        <f t="shared" si="865"/>
        <v>2230</v>
      </c>
      <c r="K7273" s="5" t="str">
        <f t="shared" si="866"/>
        <v>000</v>
      </c>
      <c r="L7273" s="5">
        <f t="shared" si="867"/>
        <v>7</v>
      </c>
      <c r="M7273" s="5">
        <f t="shared" si="868"/>
        <v>2013</v>
      </c>
    </row>
    <row r="7274" spans="1:13" ht="15" x14ac:dyDescent="0.25">
      <c r="A7274" s="1">
        <f>DATE(2013,7,6)</f>
        <v>41461</v>
      </c>
      <c r="B7274" t="s">
        <v>11</v>
      </c>
      <c r="C7274" t="s">
        <v>6</v>
      </c>
      <c r="D7274" s="3">
        <v>4774.8904000000002</v>
      </c>
      <c r="E7274" s="3">
        <v>0</v>
      </c>
      <c r="F7274" t="s">
        <v>45</v>
      </c>
      <c r="G7274" s="3">
        <f t="shared" si="862"/>
        <v>-4774.8904000000002</v>
      </c>
      <c r="H7274" s="3">
        <f t="shared" si="863"/>
        <v>4774.8904000000002</v>
      </c>
      <c r="I7274" s="5" t="str">
        <f t="shared" si="864"/>
        <v>016</v>
      </c>
      <c r="J7274" s="5" t="str">
        <f t="shared" si="865"/>
        <v>2100</v>
      </c>
      <c r="K7274" s="5" t="str">
        <f t="shared" si="866"/>
        <v>000</v>
      </c>
      <c r="L7274" s="5">
        <f t="shared" si="867"/>
        <v>7</v>
      </c>
      <c r="M7274" s="5">
        <f t="shared" si="868"/>
        <v>2013</v>
      </c>
    </row>
    <row r="7275" spans="1:13" ht="15" x14ac:dyDescent="0.25">
      <c r="A7275" s="1">
        <f>DATE(2013,7,6)</f>
        <v>41461</v>
      </c>
      <c r="B7275" t="s">
        <v>12</v>
      </c>
      <c r="C7275" t="s">
        <v>8</v>
      </c>
      <c r="D7275" s="3">
        <v>1862.0822999999998</v>
      </c>
      <c r="E7275" s="3">
        <v>0</v>
      </c>
      <c r="F7275" t="s">
        <v>45</v>
      </c>
      <c r="G7275" s="3">
        <f t="shared" si="862"/>
        <v>-1862.0822999999998</v>
      </c>
      <c r="H7275" s="3">
        <f t="shared" si="863"/>
        <v>1862.0822999999998</v>
      </c>
      <c r="I7275" s="5" t="str">
        <f t="shared" si="864"/>
        <v>016</v>
      </c>
      <c r="J7275" s="5" t="str">
        <f t="shared" si="865"/>
        <v>2210</v>
      </c>
      <c r="K7275" s="5" t="str">
        <f t="shared" si="866"/>
        <v>000</v>
      </c>
      <c r="L7275" s="5">
        <f t="shared" si="867"/>
        <v>7</v>
      </c>
      <c r="M7275" s="5">
        <f t="shared" si="868"/>
        <v>2013</v>
      </c>
    </row>
    <row r="7276" spans="1:13" ht="15" x14ac:dyDescent="0.25">
      <c r="A7276" s="1">
        <f>DATE(2013,7,6)</f>
        <v>41461</v>
      </c>
      <c r="B7276" t="s">
        <v>13</v>
      </c>
      <c r="C7276" t="s">
        <v>9</v>
      </c>
      <c r="D7276" s="3">
        <v>284.7704</v>
      </c>
      <c r="E7276" s="3">
        <v>0</v>
      </c>
      <c r="F7276" t="s">
        <v>45</v>
      </c>
      <c r="G7276" s="3">
        <f t="shared" si="862"/>
        <v>-284.7704</v>
      </c>
      <c r="H7276" s="3">
        <f t="shared" si="863"/>
        <v>284.7704</v>
      </c>
      <c r="I7276" s="5" t="str">
        <f t="shared" si="864"/>
        <v>016</v>
      </c>
      <c r="J7276" s="5" t="str">
        <f t="shared" si="865"/>
        <v>2220</v>
      </c>
      <c r="K7276" s="5" t="str">
        <f t="shared" si="866"/>
        <v>000</v>
      </c>
      <c r="L7276" s="5">
        <f t="shared" si="867"/>
        <v>7</v>
      </c>
      <c r="M7276" s="5">
        <f t="shared" si="868"/>
        <v>2013</v>
      </c>
    </row>
    <row r="7277" spans="1:13" ht="15" x14ac:dyDescent="0.25">
      <c r="A7277" s="1">
        <f>DATE(2013,7,6)</f>
        <v>41461</v>
      </c>
      <c r="B7277" t="s">
        <v>14</v>
      </c>
      <c r="C7277" t="s">
        <v>10</v>
      </c>
      <c r="D7277" s="3">
        <v>74.9375</v>
      </c>
      <c r="E7277" s="3">
        <v>0</v>
      </c>
      <c r="F7277" t="s">
        <v>45</v>
      </c>
      <c r="G7277" s="3">
        <f t="shared" si="862"/>
        <v>-74.9375</v>
      </c>
      <c r="H7277" s="3">
        <f t="shared" si="863"/>
        <v>74.9375</v>
      </c>
      <c r="I7277" s="5" t="str">
        <f t="shared" si="864"/>
        <v>016</v>
      </c>
      <c r="J7277" s="5" t="str">
        <f t="shared" si="865"/>
        <v>2230</v>
      </c>
      <c r="K7277" s="5" t="str">
        <f t="shared" si="866"/>
        <v>000</v>
      </c>
      <c r="L7277" s="5">
        <f t="shared" si="867"/>
        <v>7</v>
      </c>
      <c r="M7277" s="5">
        <f t="shared" si="868"/>
        <v>2013</v>
      </c>
    </row>
    <row r="7278" spans="1:13" ht="15" x14ac:dyDescent="0.25">
      <c r="A7278" s="1">
        <f>DATE(2013,7,7)</f>
        <v>41462</v>
      </c>
      <c r="B7278" t="s">
        <v>11</v>
      </c>
      <c r="C7278" t="s">
        <v>6</v>
      </c>
      <c r="D7278" s="3">
        <v>6897.7363000000005</v>
      </c>
      <c r="E7278" s="3">
        <v>0</v>
      </c>
      <c r="F7278" t="s">
        <v>45</v>
      </c>
      <c r="G7278" s="3">
        <f t="shared" si="862"/>
        <v>-6897.7363000000005</v>
      </c>
      <c r="H7278" s="3">
        <f t="shared" si="863"/>
        <v>6897.7363000000005</v>
      </c>
      <c r="I7278" s="5" t="str">
        <f t="shared" si="864"/>
        <v>016</v>
      </c>
      <c r="J7278" s="5" t="str">
        <f t="shared" si="865"/>
        <v>2100</v>
      </c>
      <c r="K7278" s="5" t="str">
        <f t="shared" si="866"/>
        <v>000</v>
      </c>
      <c r="L7278" s="5">
        <f t="shared" si="867"/>
        <v>7</v>
      </c>
      <c r="M7278" s="5">
        <f t="shared" si="868"/>
        <v>2013</v>
      </c>
    </row>
    <row r="7279" spans="1:13" ht="15" x14ac:dyDescent="0.25">
      <c r="A7279" s="1">
        <f>DATE(2013,7,7)</f>
        <v>41462</v>
      </c>
      <c r="B7279" t="s">
        <v>12</v>
      </c>
      <c r="C7279" t="s">
        <v>8</v>
      </c>
      <c r="D7279" s="3">
        <v>1284.9459999999999</v>
      </c>
      <c r="E7279" s="3">
        <v>0</v>
      </c>
      <c r="F7279" t="s">
        <v>45</v>
      </c>
      <c r="G7279" s="3">
        <f t="shared" si="862"/>
        <v>-1284.9459999999999</v>
      </c>
      <c r="H7279" s="3">
        <f t="shared" si="863"/>
        <v>1284.9459999999999</v>
      </c>
      <c r="I7279" s="5" t="str">
        <f t="shared" si="864"/>
        <v>016</v>
      </c>
      <c r="J7279" s="5" t="str">
        <f t="shared" si="865"/>
        <v>2210</v>
      </c>
      <c r="K7279" s="5" t="str">
        <f t="shared" si="866"/>
        <v>000</v>
      </c>
      <c r="L7279" s="5">
        <f t="shared" si="867"/>
        <v>7</v>
      </c>
      <c r="M7279" s="5">
        <f t="shared" si="868"/>
        <v>2013</v>
      </c>
    </row>
    <row r="7280" spans="1:13" ht="15" x14ac:dyDescent="0.25">
      <c r="A7280" s="1">
        <f>DATE(2013,7,7)</f>
        <v>41462</v>
      </c>
      <c r="B7280" t="s">
        <v>13</v>
      </c>
      <c r="C7280" t="s">
        <v>9</v>
      </c>
      <c r="D7280" s="3">
        <v>281.0136</v>
      </c>
      <c r="E7280" s="3">
        <v>0</v>
      </c>
      <c r="F7280" t="s">
        <v>45</v>
      </c>
      <c r="G7280" s="3">
        <f t="shared" si="862"/>
        <v>-281.0136</v>
      </c>
      <c r="H7280" s="3">
        <f t="shared" si="863"/>
        <v>281.0136</v>
      </c>
      <c r="I7280" s="5" t="str">
        <f t="shared" si="864"/>
        <v>016</v>
      </c>
      <c r="J7280" s="5" t="str">
        <f t="shared" si="865"/>
        <v>2220</v>
      </c>
      <c r="K7280" s="5" t="str">
        <f t="shared" si="866"/>
        <v>000</v>
      </c>
      <c r="L7280" s="5">
        <f t="shared" si="867"/>
        <v>7</v>
      </c>
      <c r="M7280" s="5">
        <f t="shared" si="868"/>
        <v>2013</v>
      </c>
    </row>
    <row r="7281" spans="1:13" ht="15" x14ac:dyDescent="0.25">
      <c r="A7281" s="1">
        <f>DATE(2013,7,7)</f>
        <v>41462</v>
      </c>
      <c r="B7281" t="s">
        <v>14</v>
      </c>
      <c r="C7281" t="s">
        <v>10</v>
      </c>
      <c r="D7281" s="3">
        <v>161.83860000000001</v>
      </c>
      <c r="E7281" s="3">
        <v>0</v>
      </c>
      <c r="F7281" t="s">
        <v>45</v>
      </c>
      <c r="G7281" s="3">
        <f t="shared" si="862"/>
        <v>-161.83860000000001</v>
      </c>
      <c r="H7281" s="3">
        <f t="shared" si="863"/>
        <v>161.83860000000001</v>
      </c>
      <c r="I7281" s="5" t="str">
        <f t="shared" si="864"/>
        <v>016</v>
      </c>
      <c r="J7281" s="5" t="str">
        <f t="shared" si="865"/>
        <v>2230</v>
      </c>
      <c r="K7281" s="5" t="str">
        <f t="shared" si="866"/>
        <v>000</v>
      </c>
      <c r="L7281" s="5">
        <f t="shared" si="867"/>
        <v>7</v>
      </c>
      <c r="M7281" s="5">
        <f t="shared" si="868"/>
        <v>2013</v>
      </c>
    </row>
    <row r="7282" spans="1:13" ht="15" x14ac:dyDescent="0.25">
      <c r="A7282" s="1">
        <f>DATE(2013,7,1)</f>
        <v>41456</v>
      </c>
      <c r="B7282" t="s">
        <v>15</v>
      </c>
      <c r="C7282" t="s">
        <v>6</v>
      </c>
      <c r="D7282" s="3">
        <v>4305.1320000000005</v>
      </c>
      <c r="E7282" s="3">
        <v>0</v>
      </c>
      <c r="F7282" t="s">
        <v>45</v>
      </c>
      <c r="G7282" s="3">
        <f t="shared" si="862"/>
        <v>-4305.1320000000005</v>
      </c>
      <c r="H7282" s="3">
        <f t="shared" si="863"/>
        <v>4305.1320000000005</v>
      </c>
      <c r="I7282" s="5" t="str">
        <f t="shared" si="864"/>
        <v>017</v>
      </c>
      <c r="J7282" s="5" t="str">
        <f t="shared" si="865"/>
        <v>2100</v>
      </c>
      <c r="K7282" s="5" t="str">
        <f t="shared" si="866"/>
        <v>000</v>
      </c>
      <c r="L7282" s="5">
        <f t="shared" si="867"/>
        <v>7</v>
      </c>
      <c r="M7282" s="5">
        <f t="shared" si="868"/>
        <v>2013</v>
      </c>
    </row>
    <row r="7283" spans="1:13" ht="15" x14ac:dyDescent="0.25">
      <c r="A7283" s="1">
        <f>DATE(2013,7,1)</f>
        <v>41456</v>
      </c>
      <c r="B7283" t="s">
        <v>16</v>
      </c>
      <c r="C7283" t="s">
        <v>8</v>
      </c>
      <c r="D7283" s="3">
        <v>1075.4562000000001</v>
      </c>
      <c r="E7283" s="3">
        <v>0</v>
      </c>
      <c r="F7283" t="s">
        <v>45</v>
      </c>
      <c r="G7283" s="3">
        <f t="shared" si="862"/>
        <v>-1075.4562000000001</v>
      </c>
      <c r="H7283" s="3">
        <f t="shared" si="863"/>
        <v>1075.4562000000001</v>
      </c>
      <c r="I7283" s="5" t="str">
        <f t="shared" si="864"/>
        <v>017</v>
      </c>
      <c r="J7283" s="5" t="str">
        <f t="shared" si="865"/>
        <v>2210</v>
      </c>
      <c r="K7283" s="5" t="str">
        <f t="shared" si="866"/>
        <v>000</v>
      </c>
      <c r="L7283" s="5">
        <f t="shared" si="867"/>
        <v>7</v>
      </c>
      <c r="M7283" s="5">
        <f t="shared" si="868"/>
        <v>2013</v>
      </c>
    </row>
    <row r="7284" spans="1:13" ht="15" x14ac:dyDescent="0.25">
      <c r="A7284" s="1">
        <f>DATE(2013,7,1)</f>
        <v>41456</v>
      </c>
      <c r="B7284" t="s">
        <v>17</v>
      </c>
      <c r="C7284" t="s">
        <v>9</v>
      </c>
      <c r="D7284" s="3">
        <v>167.47900000000001</v>
      </c>
      <c r="E7284" s="3">
        <v>0</v>
      </c>
      <c r="F7284" t="s">
        <v>45</v>
      </c>
      <c r="G7284" s="3">
        <f t="shared" si="862"/>
        <v>-167.47900000000001</v>
      </c>
      <c r="H7284" s="3">
        <f t="shared" si="863"/>
        <v>167.47900000000001</v>
      </c>
      <c r="I7284" s="5" t="str">
        <f t="shared" si="864"/>
        <v>017</v>
      </c>
      <c r="J7284" s="5" t="str">
        <f t="shared" si="865"/>
        <v>2220</v>
      </c>
      <c r="K7284" s="5" t="str">
        <f t="shared" si="866"/>
        <v>000</v>
      </c>
      <c r="L7284" s="5">
        <f t="shared" si="867"/>
        <v>7</v>
      </c>
      <c r="M7284" s="5">
        <f t="shared" si="868"/>
        <v>2013</v>
      </c>
    </row>
    <row r="7285" spans="1:13" ht="15" x14ac:dyDescent="0.25">
      <c r="A7285" s="1">
        <f>DATE(2013,7,1)</f>
        <v>41456</v>
      </c>
      <c r="B7285" t="s">
        <v>18</v>
      </c>
      <c r="C7285" t="s">
        <v>10</v>
      </c>
      <c r="D7285" s="3">
        <v>60.83</v>
      </c>
      <c r="E7285" s="3">
        <v>0</v>
      </c>
      <c r="F7285" t="s">
        <v>45</v>
      </c>
      <c r="G7285" s="3">
        <f t="shared" si="862"/>
        <v>-60.83</v>
      </c>
      <c r="H7285" s="3">
        <f t="shared" si="863"/>
        <v>60.83</v>
      </c>
      <c r="I7285" s="5" t="str">
        <f t="shared" si="864"/>
        <v>017</v>
      </c>
      <c r="J7285" s="5" t="str">
        <f t="shared" si="865"/>
        <v>2230</v>
      </c>
      <c r="K7285" s="5" t="str">
        <f t="shared" si="866"/>
        <v>000</v>
      </c>
      <c r="L7285" s="5">
        <f t="shared" si="867"/>
        <v>7</v>
      </c>
      <c r="M7285" s="5">
        <f t="shared" si="868"/>
        <v>2013</v>
      </c>
    </row>
    <row r="7286" spans="1:13" ht="15" x14ac:dyDescent="0.25">
      <c r="A7286" s="1">
        <f>DATE(2013,7,2)</f>
        <v>41457</v>
      </c>
      <c r="B7286" t="s">
        <v>15</v>
      </c>
      <c r="C7286" t="s">
        <v>6</v>
      </c>
      <c r="D7286" s="3">
        <v>6052.884</v>
      </c>
      <c r="E7286" s="3">
        <v>0</v>
      </c>
      <c r="F7286" t="s">
        <v>45</v>
      </c>
      <c r="G7286" s="3">
        <f t="shared" si="862"/>
        <v>-6052.884</v>
      </c>
      <c r="H7286" s="3">
        <f t="shared" si="863"/>
        <v>6052.884</v>
      </c>
      <c r="I7286" s="5" t="str">
        <f t="shared" si="864"/>
        <v>017</v>
      </c>
      <c r="J7286" s="5" t="str">
        <f t="shared" si="865"/>
        <v>2100</v>
      </c>
      <c r="K7286" s="5" t="str">
        <f t="shared" si="866"/>
        <v>000</v>
      </c>
      <c r="L7286" s="5">
        <f t="shared" si="867"/>
        <v>7</v>
      </c>
      <c r="M7286" s="5">
        <f t="shared" si="868"/>
        <v>2013</v>
      </c>
    </row>
    <row r="7287" spans="1:13" ht="15" x14ac:dyDescent="0.25">
      <c r="A7287" s="1">
        <f>DATE(2013,7,2)</f>
        <v>41457</v>
      </c>
      <c r="B7287" t="s">
        <v>16</v>
      </c>
      <c r="C7287" t="s">
        <v>8</v>
      </c>
      <c r="D7287" s="3">
        <v>1686.828</v>
      </c>
      <c r="E7287" s="3">
        <v>0</v>
      </c>
      <c r="F7287" t="s">
        <v>45</v>
      </c>
      <c r="G7287" s="3">
        <f t="shared" si="862"/>
        <v>-1686.828</v>
      </c>
      <c r="H7287" s="3">
        <f t="shared" si="863"/>
        <v>1686.828</v>
      </c>
      <c r="I7287" s="5" t="str">
        <f t="shared" si="864"/>
        <v>017</v>
      </c>
      <c r="J7287" s="5" t="str">
        <f t="shared" si="865"/>
        <v>2210</v>
      </c>
      <c r="K7287" s="5" t="str">
        <f t="shared" si="866"/>
        <v>000</v>
      </c>
      <c r="L7287" s="5">
        <f t="shared" si="867"/>
        <v>7</v>
      </c>
      <c r="M7287" s="5">
        <f t="shared" si="868"/>
        <v>2013</v>
      </c>
    </row>
    <row r="7288" spans="1:13" ht="15" x14ac:dyDescent="0.25">
      <c r="A7288" s="1">
        <f>DATE(2013,7,2)</f>
        <v>41457</v>
      </c>
      <c r="B7288" t="s">
        <v>17</v>
      </c>
      <c r="C7288" t="s">
        <v>9</v>
      </c>
      <c r="D7288" s="3">
        <v>653.92920000000004</v>
      </c>
      <c r="E7288" s="3">
        <v>0</v>
      </c>
      <c r="F7288" t="s">
        <v>45</v>
      </c>
      <c r="G7288" s="3">
        <f t="shared" si="862"/>
        <v>-653.92920000000004</v>
      </c>
      <c r="H7288" s="3">
        <f t="shared" si="863"/>
        <v>653.92920000000004</v>
      </c>
      <c r="I7288" s="5" t="str">
        <f t="shared" si="864"/>
        <v>017</v>
      </c>
      <c r="J7288" s="5" t="str">
        <f t="shared" si="865"/>
        <v>2220</v>
      </c>
      <c r="K7288" s="5" t="str">
        <f t="shared" si="866"/>
        <v>000</v>
      </c>
      <c r="L7288" s="5">
        <f t="shared" si="867"/>
        <v>7</v>
      </c>
      <c r="M7288" s="5">
        <f t="shared" si="868"/>
        <v>2013</v>
      </c>
    </row>
    <row r="7289" spans="1:13" ht="15" x14ac:dyDescent="0.25">
      <c r="A7289" s="1">
        <f>DATE(2013,7,2)</f>
        <v>41457</v>
      </c>
      <c r="B7289" t="s">
        <v>18</v>
      </c>
      <c r="C7289" t="s">
        <v>10</v>
      </c>
      <c r="D7289" s="3">
        <v>12.9048</v>
      </c>
      <c r="E7289" s="3">
        <v>0</v>
      </c>
      <c r="F7289" t="s">
        <v>45</v>
      </c>
      <c r="G7289" s="3">
        <f t="shared" si="862"/>
        <v>-12.9048</v>
      </c>
      <c r="H7289" s="3">
        <f t="shared" si="863"/>
        <v>12.9048</v>
      </c>
      <c r="I7289" s="5" t="str">
        <f t="shared" si="864"/>
        <v>017</v>
      </c>
      <c r="J7289" s="5" t="str">
        <f t="shared" si="865"/>
        <v>2230</v>
      </c>
      <c r="K7289" s="5" t="str">
        <f t="shared" si="866"/>
        <v>000</v>
      </c>
      <c r="L7289" s="5">
        <f t="shared" si="867"/>
        <v>7</v>
      </c>
      <c r="M7289" s="5">
        <f t="shared" si="868"/>
        <v>2013</v>
      </c>
    </row>
    <row r="7290" spans="1:13" ht="15" x14ac:dyDescent="0.25">
      <c r="A7290" s="1">
        <f>DATE(2013,7,3)</f>
        <v>41458</v>
      </c>
      <c r="B7290" t="s">
        <v>15</v>
      </c>
      <c r="C7290" t="s">
        <v>6</v>
      </c>
      <c r="D7290" s="3">
        <v>5093.1408000000001</v>
      </c>
      <c r="E7290" s="3">
        <v>0</v>
      </c>
      <c r="F7290" t="s">
        <v>45</v>
      </c>
      <c r="G7290" s="3">
        <f t="shared" si="862"/>
        <v>-5093.1408000000001</v>
      </c>
      <c r="H7290" s="3">
        <f t="shared" si="863"/>
        <v>5093.1408000000001</v>
      </c>
      <c r="I7290" s="5" t="str">
        <f t="shared" si="864"/>
        <v>017</v>
      </c>
      <c r="J7290" s="5" t="str">
        <f t="shared" si="865"/>
        <v>2100</v>
      </c>
      <c r="K7290" s="5" t="str">
        <f t="shared" si="866"/>
        <v>000</v>
      </c>
      <c r="L7290" s="5">
        <f t="shared" si="867"/>
        <v>7</v>
      </c>
      <c r="M7290" s="5">
        <f t="shared" si="868"/>
        <v>2013</v>
      </c>
    </row>
    <row r="7291" spans="1:13" ht="15" x14ac:dyDescent="0.25">
      <c r="A7291" s="1">
        <f>DATE(2013,7,3)</f>
        <v>41458</v>
      </c>
      <c r="B7291" t="s">
        <v>16</v>
      </c>
      <c r="C7291" t="s">
        <v>8</v>
      </c>
      <c r="D7291" s="3">
        <v>1550.0927999999999</v>
      </c>
      <c r="E7291" s="3">
        <v>0</v>
      </c>
      <c r="F7291" t="s">
        <v>45</v>
      </c>
      <c r="G7291" s="3">
        <f t="shared" si="862"/>
        <v>-1550.0927999999999</v>
      </c>
      <c r="H7291" s="3">
        <f t="shared" si="863"/>
        <v>1550.0927999999999</v>
      </c>
      <c r="I7291" s="5" t="str">
        <f t="shared" si="864"/>
        <v>017</v>
      </c>
      <c r="J7291" s="5" t="str">
        <f t="shared" si="865"/>
        <v>2210</v>
      </c>
      <c r="K7291" s="5" t="str">
        <f t="shared" si="866"/>
        <v>000</v>
      </c>
      <c r="L7291" s="5">
        <f t="shared" si="867"/>
        <v>7</v>
      </c>
      <c r="M7291" s="5">
        <f t="shared" si="868"/>
        <v>2013</v>
      </c>
    </row>
    <row r="7292" spans="1:13" ht="15" x14ac:dyDescent="0.25">
      <c r="A7292" s="1">
        <f>DATE(2013,7,3)</f>
        <v>41458</v>
      </c>
      <c r="B7292" t="s">
        <v>17</v>
      </c>
      <c r="C7292" t="s">
        <v>9</v>
      </c>
      <c r="D7292" s="3">
        <v>284.99480000000005</v>
      </c>
      <c r="E7292" s="3">
        <v>0</v>
      </c>
      <c r="F7292" t="s">
        <v>45</v>
      </c>
      <c r="G7292" s="3">
        <f t="shared" si="862"/>
        <v>-284.99480000000005</v>
      </c>
      <c r="H7292" s="3">
        <f t="shared" si="863"/>
        <v>284.99480000000005</v>
      </c>
      <c r="I7292" s="5" t="str">
        <f t="shared" si="864"/>
        <v>017</v>
      </c>
      <c r="J7292" s="5" t="str">
        <f t="shared" si="865"/>
        <v>2220</v>
      </c>
      <c r="K7292" s="5" t="str">
        <f t="shared" si="866"/>
        <v>000</v>
      </c>
      <c r="L7292" s="5">
        <f t="shared" si="867"/>
        <v>7</v>
      </c>
      <c r="M7292" s="5">
        <f t="shared" si="868"/>
        <v>2013</v>
      </c>
    </row>
    <row r="7293" spans="1:13" ht="15" x14ac:dyDescent="0.25">
      <c r="A7293" s="1">
        <f>DATE(2013,7,3)</f>
        <v>41458</v>
      </c>
      <c r="B7293" t="s">
        <v>18</v>
      </c>
      <c r="C7293" t="s">
        <v>10</v>
      </c>
      <c r="D7293" s="3">
        <v>49.142599999999995</v>
      </c>
      <c r="E7293" s="3">
        <v>0</v>
      </c>
      <c r="F7293" t="s">
        <v>45</v>
      </c>
      <c r="G7293" s="3">
        <f t="shared" si="862"/>
        <v>-49.142599999999995</v>
      </c>
      <c r="H7293" s="3">
        <f t="shared" si="863"/>
        <v>49.142599999999995</v>
      </c>
      <c r="I7293" s="5" t="str">
        <f t="shared" si="864"/>
        <v>017</v>
      </c>
      <c r="J7293" s="5" t="str">
        <f t="shared" si="865"/>
        <v>2230</v>
      </c>
      <c r="K7293" s="5" t="str">
        <f t="shared" si="866"/>
        <v>000</v>
      </c>
      <c r="L7293" s="5">
        <f t="shared" si="867"/>
        <v>7</v>
      </c>
      <c r="M7293" s="5">
        <f t="shared" si="868"/>
        <v>2013</v>
      </c>
    </row>
    <row r="7294" spans="1:13" ht="15" x14ac:dyDescent="0.25">
      <c r="A7294" s="1">
        <f>DATE(2013,7,4)</f>
        <v>41459</v>
      </c>
      <c r="B7294" t="s">
        <v>15</v>
      </c>
      <c r="C7294" t="s">
        <v>6</v>
      </c>
      <c r="D7294" s="3">
        <v>6304.1268</v>
      </c>
      <c r="E7294" s="3">
        <v>0</v>
      </c>
      <c r="F7294" t="s">
        <v>45</v>
      </c>
      <c r="G7294" s="3">
        <f t="shared" si="862"/>
        <v>-6304.1268</v>
      </c>
      <c r="H7294" s="3">
        <f t="shared" si="863"/>
        <v>6304.1268</v>
      </c>
      <c r="I7294" s="5" t="str">
        <f t="shared" si="864"/>
        <v>017</v>
      </c>
      <c r="J7294" s="5" t="str">
        <f t="shared" si="865"/>
        <v>2100</v>
      </c>
      <c r="K7294" s="5" t="str">
        <f t="shared" si="866"/>
        <v>000</v>
      </c>
      <c r="L7294" s="5">
        <f t="shared" si="867"/>
        <v>7</v>
      </c>
      <c r="M7294" s="5">
        <f t="shared" si="868"/>
        <v>2013</v>
      </c>
    </row>
    <row r="7295" spans="1:13" ht="15" x14ac:dyDescent="0.25">
      <c r="A7295" s="1">
        <f>DATE(2013,7,4)</f>
        <v>41459</v>
      </c>
      <c r="B7295" t="s">
        <v>16</v>
      </c>
      <c r="C7295" t="s">
        <v>8</v>
      </c>
      <c r="D7295" s="3">
        <v>1175.1080000000002</v>
      </c>
      <c r="E7295" s="3">
        <v>0</v>
      </c>
      <c r="F7295" t="s">
        <v>45</v>
      </c>
      <c r="G7295" s="3">
        <f t="shared" si="862"/>
        <v>-1175.1080000000002</v>
      </c>
      <c r="H7295" s="3">
        <f t="shared" si="863"/>
        <v>1175.1080000000002</v>
      </c>
      <c r="I7295" s="5" t="str">
        <f t="shared" si="864"/>
        <v>017</v>
      </c>
      <c r="J7295" s="5" t="str">
        <f t="shared" si="865"/>
        <v>2210</v>
      </c>
      <c r="K7295" s="5" t="str">
        <f t="shared" si="866"/>
        <v>000</v>
      </c>
      <c r="L7295" s="5">
        <f t="shared" si="867"/>
        <v>7</v>
      </c>
      <c r="M7295" s="5">
        <f t="shared" si="868"/>
        <v>2013</v>
      </c>
    </row>
    <row r="7296" spans="1:13" ht="15" x14ac:dyDescent="0.25">
      <c r="A7296" s="1">
        <f>DATE(2013,7,4)</f>
        <v>41459</v>
      </c>
      <c r="B7296" t="s">
        <v>17</v>
      </c>
      <c r="C7296" t="s">
        <v>9</v>
      </c>
      <c r="D7296" s="3">
        <v>289.2765</v>
      </c>
      <c r="E7296" s="3">
        <v>0</v>
      </c>
      <c r="F7296" t="s">
        <v>45</v>
      </c>
      <c r="G7296" s="3">
        <f t="shared" si="862"/>
        <v>-289.2765</v>
      </c>
      <c r="H7296" s="3">
        <f t="shared" si="863"/>
        <v>289.2765</v>
      </c>
      <c r="I7296" s="5" t="str">
        <f t="shared" si="864"/>
        <v>017</v>
      </c>
      <c r="J7296" s="5" t="str">
        <f t="shared" si="865"/>
        <v>2220</v>
      </c>
      <c r="K7296" s="5" t="str">
        <f t="shared" si="866"/>
        <v>000</v>
      </c>
      <c r="L7296" s="5">
        <f t="shared" si="867"/>
        <v>7</v>
      </c>
      <c r="M7296" s="5">
        <f t="shared" si="868"/>
        <v>2013</v>
      </c>
    </row>
    <row r="7297" spans="1:13" ht="15" x14ac:dyDescent="0.25">
      <c r="A7297" s="1">
        <f>DATE(2013,7,4)</f>
        <v>41459</v>
      </c>
      <c r="B7297" t="s">
        <v>18</v>
      </c>
      <c r="C7297" t="s">
        <v>10</v>
      </c>
      <c r="D7297" s="3">
        <v>100.47629999999999</v>
      </c>
      <c r="E7297" s="3">
        <v>0</v>
      </c>
      <c r="F7297" t="s">
        <v>45</v>
      </c>
      <c r="G7297" s="3">
        <f t="shared" si="862"/>
        <v>-100.47629999999999</v>
      </c>
      <c r="H7297" s="3">
        <f t="shared" si="863"/>
        <v>100.47629999999999</v>
      </c>
      <c r="I7297" s="5" t="str">
        <f t="shared" si="864"/>
        <v>017</v>
      </c>
      <c r="J7297" s="5" t="str">
        <f t="shared" si="865"/>
        <v>2230</v>
      </c>
      <c r="K7297" s="5" t="str">
        <f t="shared" si="866"/>
        <v>000</v>
      </c>
      <c r="L7297" s="5">
        <f t="shared" si="867"/>
        <v>7</v>
      </c>
      <c r="M7297" s="5">
        <f t="shared" si="868"/>
        <v>2013</v>
      </c>
    </row>
    <row r="7298" spans="1:13" ht="15" x14ac:dyDescent="0.25">
      <c r="A7298" s="1">
        <f>DATE(2013,7,5)</f>
        <v>41460</v>
      </c>
      <c r="B7298" t="s">
        <v>15</v>
      </c>
      <c r="C7298" t="s">
        <v>6</v>
      </c>
      <c r="D7298" s="3">
        <v>7570.4198999999999</v>
      </c>
      <c r="E7298" s="3">
        <v>0</v>
      </c>
      <c r="F7298" t="s">
        <v>45</v>
      </c>
      <c r="G7298" s="3">
        <f t="shared" ref="G7298:G7361" si="869">E7298-D7298</f>
        <v>-7570.4198999999999</v>
      </c>
      <c r="H7298" s="3">
        <f t="shared" ref="H7298:H7361" si="870">ABS(G7298)</f>
        <v>7570.4198999999999</v>
      </c>
      <c r="I7298" s="5" t="str">
        <f t="shared" ref="I7298:I7361" si="871">MID(B7298,1,3)</f>
        <v>017</v>
      </c>
      <c r="J7298" s="5" t="str">
        <f t="shared" ref="J7298:J7361" si="872">MID(B7298,5,4)</f>
        <v>2100</v>
      </c>
      <c r="K7298" s="5" t="str">
        <f t="shared" ref="K7298:K7361" si="873">MID(B7298,10,3)</f>
        <v>000</v>
      </c>
      <c r="L7298" s="5">
        <f t="shared" ref="L7298:L7361" si="874">MONTH(A7298)</f>
        <v>7</v>
      </c>
      <c r="M7298" s="5">
        <f t="shared" ref="M7298:M7361" si="875">YEAR(A7298)</f>
        <v>2013</v>
      </c>
    </row>
    <row r="7299" spans="1:13" ht="15" x14ac:dyDescent="0.25">
      <c r="A7299" s="1">
        <f>DATE(2013,7,5)</f>
        <v>41460</v>
      </c>
      <c r="B7299" t="s">
        <v>16</v>
      </c>
      <c r="C7299" t="s">
        <v>8</v>
      </c>
      <c r="D7299" s="3">
        <v>1408.8233999999998</v>
      </c>
      <c r="E7299" s="3">
        <v>0</v>
      </c>
      <c r="F7299" t="s">
        <v>45</v>
      </c>
      <c r="G7299" s="3">
        <f t="shared" si="869"/>
        <v>-1408.8233999999998</v>
      </c>
      <c r="H7299" s="3">
        <f t="shared" si="870"/>
        <v>1408.8233999999998</v>
      </c>
      <c r="I7299" s="5" t="str">
        <f t="shared" si="871"/>
        <v>017</v>
      </c>
      <c r="J7299" s="5" t="str">
        <f t="shared" si="872"/>
        <v>2210</v>
      </c>
      <c r="K7299" s="5" t="str">
        <f t="shared" si="873"/>
        <v>000</v>
      </c>
      <c r="L7299" s="5">
        <f t="shared" si="874"/>
        <v>7</v>
      </c>
      <c r="M7299" s="5">
        <f t="shared" si="875"/>
        <v>2013</v>
      </c>
    </row>
    <row r="7300" spans="1:13" ht="15" x14ac:dyDescent="0.25">
      <c r="A7300" s="1">
        <f>DATE(2013,7,5)</f>
        <v>41460</v>
      </c>
      <c r="B7300" t="s">
        <v>17</v>
      </c>
      <c r="C7300" t="s">
        <v>9</v>
      </c>
      <c r="D7300" s="3">
        <v>509.49120000000005</v>
      </c>
      <c r="E7300" s="3">
        <v>0</v>
      </c>
      <c r="F7300" t="s">
        <v>45</v>
      </c>
      <c r="G7300" s="3">
        <f t="shared" si="869"/>
        <v>-509.49120000000005</v>
      </c>
      <c r="H7300" s="3">
        <f t="shared" si="870"/>
        <v>509.49120000000005</v>
      </c>
      <c r="I7300" s="5" t="str">
        <f t="shared" si="871"/>
        <v>017</v>
      </c>
      <c r="J7300" s="5" t="str">
        <f t="shared" si="872"/>
        <v>2220</v>
      </c>
      <c r="K7300" s="5" t="str">
        <f t="shared" si="873"/>
        <v>000</v>
      </c>
      <c r="L7300" s="5">
        <f t="shared" si="874"/>
        <v>7</v>
      </c>
      <c r="M7300" s="5">
        <f t="shared" si="875"/>
        <v>2013</v>
      </c>
    </row>
    <row r="7301" spans="1:13" ht="15" x14ac:dyDescent="0.25">
      <c r="A7301" s="1">
        <f>DATE(2013,7,5)</f>
        <v>41460</v>
      </c>
      <c r="B7301" t="s">
        <v>18</v>
      </c>
      <c r="C7301" t="s">
        <v>10</v>
      </c>
      <c r="D7301" s="3">
        <v>104.181</v>
      </c>
      <c r="E7301" s="3">
        <v>0</v>
      </c>
      <c r="F7301" t="s">
        <v>45</v>
      </c>
      <c r="G7301" s="3">
        <f t="shared" si="869"/>
        <v>-104.181</v>
      </c>
      <c r="H7301" s="3">
        <f t="shared" si="870"/>
        <v>104.181</v>
      </c>
      <c r="I7301" s="5" t="str">
        <f t="shared" si="871"/>
        <v>017</v>
      </c>
      <c r="J7301" s="5" t="str">
        <f t="shared" si="872"/>
        <v>2230</v>
      </c>
      <c r="K7301" s="5" t="str">
        <f t="shared" si="873"/>
        <v>000</v>
      </c>
      <c r="L7301" s="5">
        <f t="shared" si="874"/>
        <v>7</v>
      </c>
      <c r="M7301" s="5">
        <f t="shared" si="875"/>
        <v>2013</v>
      </c>
    </row>
    <row r="7302" spans="1:13" ht="15" x14ac:dyDescent="0.25">
      <c r="A7302" s="1">
        <f>DATE(2013,7,6)</f>
        <v>41461</v>
      </c>
      <c r="B7302" t="s">
        <v>15</v>
      </c>
      <c r="C7302" t="s">
        <v>6</v>
      </c>
      <c r="D7302" s="3">
        <v>6745.4759999999997</v>
      </c>
      <c r="E7302" s="3">
        <v>0</v>
      </c>
      <c r="F7302" t="s">
        <v>45</v>
      </c>
      <c r="G7302" s="3">
        <f t="shared" si="869"/>
        <v>-6745.4759999999997</v>
      </c>
      <c r="H7302" s="3">
        <f t="shared" si="870"/>
        <v>6745.4759999999997</v>
      </c>
      <c r="I7302" s="5" t="str">
        <f t="shared" si="871"/>
        <v>017</v>
      </c>
      <c r="J7302" s="5" t="str">
        <f t="shared" si="872"/>
        <v>2100</v>
      </c>
      <c r="K7302" s="5" t="str">
        <f t="shared" si="873"/>
        <v>000</v>
      </c>
      <c r="L7302" s="5">
        <f t="shared" si="874"/>
        <v>7</v>
      </c>
      <c r="M7302" s="5">
        <f t="shared" si="875"/>
        <v>2013</v>
      </c>
    </row>
    <row r="7303" spans="1:13" ht="15" x14ac:dyDescent="0.25">
      <c r="A7303" s="1">
        <f>DATE(2013,7,6)</f>
        <v>41461</v>
      </c>
      <c r="B7303" t="s">
        <v>16</v>
      </c>
      <c r="C7303" t="s">
        <v>8</v>
      </c>
      <c r="D7303" s="3">
        <v>2268.3969000000002</v>
      </c>
      <c r="E7303" s="3">
        <v>0</v>
      </c>
      <c r="F7303" t="s">
        <v>45</v>
      </c>
      <c r="G7303" s="3">
        <f t="shared" si="869"/>
        <v>-2268.3969000000002</v>
      </c>
      <c r="H7303" s="3">
        <f t="shared" si="870"/>
        <v>2268.3969000000002</v>
      </c>
      <c r="I7303" s="5" t="str">
        <f t="shared" si="871"/>
        <v>017</v>
      </c>
      <c r="J7303" s="5" t="str">
        <f t="shared" si="872"/>
        <v>2210</v>
      </c>
      <c r="K7303" s="5" t="str">
        <f t="shared" si="873"/>
        <v>000</v>
      </c>
      <c r="L7303" s="5">
        <f t="shared" si="874"/>
        <v>7</v>
      </c>
      <c r="M7303" s="5">
        <f t="shared" si="875"/>
        <v>2013</v>
      </c>
    </row>
    <row r="7304" spans="1:13" ht="15" x14ac:dyDescent="0.25">
      <c r="A7304" s="1">
        <f>DATE(2013,7,6)</f>
        <v>41461</v>
      </c>
      <c r="B7304" t="s">
        <v>17</v>
      </c>
      <c r="C7304" t="s">
        <v>9</v>
      </c>
      <c r="D7304" s="3">
        <v>424.86750000000001</v>
      </c>
      <c r="E7304" s="3">
        <v>0</v>
      </c>
      <c r="F7304" t="s">
        <v>45</v>
      </c>
      <c r="G7304" s="3">
        <f t="shared" si="869"/>
        <v>-424.86750000000001</v>
      </c>
      <c r="H7304" s="3">
        <f t="shared" si="870"/>
        <v>424.86750000000001</v>
      </c>
      <c r="I7304" s="5" t="str">
        <f t="shared" si="871"/>
        <v>017</v>
      </c>
      <c r="J7304" s="5" t="str">
        <f t="shared" si="872"/>
        <v>2220</v>
      </c>
      <c r="K7304" s="5" t="str">
        <f t="shared" si="873"/>
        <v>000</v>
      </c>
      <c r="L7304" s="5">
        <f t="shared" si="874"/>
        <v>7</v>
      </c>
      <c r="M7304" s="5">
        <f t="shared" si="875"/>
        <v>2013</v>
      </c>
    </row>
    <row r="7305" spans="1:13" ht="15" x14ac:dyDescent="0.25">
      <c r="A7305" s="1">
        <f>DATE(2013,7,6)</f>
        <v>41461</v>
      </c>
      <c r="B7305" t="s">
        <v>18</v>
      </c>
      <c r="C7305" t="s">
        <v>10</v>
      </c>
      <c r="D7305" s="3">
        <v>215.5472</v>
      </c>
      <c r="E7305" s="3">
        <v>0</v>
      </c>
      <c r="F7305" t="s">
        <v>45</v>
      </c>
      <c r="G7305" s="3">
        <f t="shared" si="869"/>
        <v>-215.5472</v>
      </c>
      <c r="H7305" s="3">
        <f t="shared" si="870"/>
        <v>215.5472</v>
      </c>
      <c r="I7305" s="5" t="str">
        <f t="shared" si="871"/>
        <v>017</v>
      </c>
      <c r="J7305" s="5" t="str">
        <f t="shared" si="872"/>
        <v>2230</v>
      </c>
      <c r="K7305" s="5" t="str">
        <f t="shared" si="873"/>
        <v>000</v>
      </c>
      <c r="L7305" s="5">
        <f t="shared" si="874"/>
        <v>7</v>
      </c>
      <c r="M7305" s="5">
        <f t="shared" si="875"/>
        <v>2013</v>
      </c>
    </row>
    <row r="7306" spans="1:13" ht="15" x14ac:dyDescent="0.25">
      <c r="A7306" s="1">
        <f>DATE(2013,7,7)</f>
        <v>41462</v>
      </c>
      <c r="B7306" t="s">
        <v>15</v>
      </c>
      <c r="C7306" t="s">
        <v>6</v>
      </c>
      <c r="D7306" s="3">
        <v>5478.1289999999999</v>
      </c>
      <c r="E7306" s="3">
        <v>0</v>
      </c>
      <c r="F7306" t="s">
        <v>45</v>
      </c>
      <c r="G7306" s="3">
        <f t="shared" si="869"/>
        <v>-5478.1289999999999</v>
      </c>
      <c r="H7306" s="3">
        <f t="shared" si="870"/>
        <v>5478.1289999999999</v>
      </c>
      <c r="I7306" s="5" t="str">
        <f t="shared" si="871"/>
        <v>017</v>
      </c>
      <c r="J7306" s="5" t="str">
        <f t="shared" si="872"/>
        <v>2100</v>
      </c>
      <c r="K7306" s="5" t="str">
        <f t="shared" si="873"/>
        <v>000</v>
      </c>
      <c r="L7306" s="5">
        <f t="shared" si="874"/>
        <v>7</v>
      </c>
      <c r="M7306" s="5">
        <f t="shared" si="875"/>
        <v>2013</v>
      </c>
    </row>
    <row r="7307" spans="1:13" ht="15" x14ac:dyDescent="0.25">
      <c r="A7307" s="1">
        <f>DATE(2013,7,7)</f>
        <v>41462</v>
      </c>
      <c r="B7307" t="s">
        <v>16</v>
      </c>
      <c r="C7307" t="s">
        <v>8</v>
      </c>
      <c r="D7307" s="3">
        <v>1301.6528000000001</v>
      </c>
      <c r="E7307" s="3">
        <v>0</v>
      </c>
      <c r="F7307" t="s">
        <v>45</v>
      </c>
      <c r="G7307" s="3">
        <f t="shared" si="869"/>
        <v>-1301.6528000000001</v>
      </c>
      <c r="H7307" s="3">
        <f t="shared" si="870"/>
        <v>1301.6528000000001</v>
      </c>
      <c r="I7307" s="5" t="str">
        <f t="shared" si="871"/>
        <v>017</v>
      </c>
      <c r="J7307" s="5" t="str">
        <f t="shared" si="872"/>
        <v>2210</v>
      </c>
      <c r="K7307" s="5" t="str">
        <f t="shared" si="873"/>
        <v>000</v>
      </c>
      <c r="L7307" s="5">
        <f t="shared" si="874"/>
        <v>7</v>
      </c>
      <c r="M7307" s="5">
        <f t="shared" si="875"/>
        <v>2013</v>
      </c>
    </row>
    <row r="7308" spans="1:13" ht="15" x14ac:dyDescent="0.25">
      <c r="A7308" s="1">
        <f>DATE(2013,7,7)</f>
        <v>41462</v>
      </c>
      <c r="B7308" t="s">
        <v>17</v>
      </c>
      <c r="C7308" t="s">
        <v>9</v>
      </c>
      <c r="D7308" s="3">
        <v>163.99799999999999</v>
      </c>
      <c r="E7308" s="3">
        <v>0</v>
      </c>
      <c r="F7308" t="s">
        <v>45</v>
      </c>
      <c r="G7308" s="3">
        <f t="shared" si="869"/>
        <v>-163.99799999999999</v>
      </c>
      <c r="H7308" s="3">
        <f t="shared" si="870"/>
        <v>163.99799999999999</v>
      </c>
      <c r="I7308" s="5" t="str">
        <f t="shared" si="871"/>
        <v>017</v>
      </c>
      <c r="J7308" s="5" t="str">
        <f t="shared" si="872"/>
        <v>2220</v>
      </c>
      <c r="K7308" s="5" t="str">
        <f t="shared" si="873"/>
        <v>000</v>
      </c>
      <c r="L7308" s="5">
        <f t="shared" si="874"/>
        <v>7</v>
      </c>
      <c r="M7308" s="5">
        <f t="shared" si="875"/>
        <v>2013</v>
      </c>
    </row>
    <row r="7309" spans="1:13" ht="15" x14ac:dyDescent="0.25">
      <c r="A7309" s="1">
        <f>DATE(2013,7,7)</f>
        <v>41462</v>
      </c>
      <c r="B7309" t="s">
        <v>18</v>
      </c>
      <c r="C7309" t="s">
        <v>10</v>
      </c>
      <c r="D7309" s="3">
        <v>51.921299999999995</v>
      </c>
      <c r="E7309" s="3">
        <v>0</v>
      </c>
      <c r="F7309" t="s">
        <v>45</v>
      </c>
      <c r="G7309" s="3">
        <f t="shared" si="869"/>
        <v>-51.921299999999995</v>
      </c>
      <c r="H7309" s="3">
        <f t="shared" si="870"/>
        <v>51.921299999999995</v>
      </c>
      <c r="I7309" s="5" t="str">
        <f t="shared" si="871"/>
        <v>017</v>
      </c>
      <c r="J7309" s="5" t="str">
        <f t="shared" si="872"/>
        <v>2230</v>
      </c>
      <c r="K7309" s="5" t="str">
        <f t="shared" si="873"/>
        <v>000</v>
      </c>
      <c r="L7309" s="5">
        <f t="shared" si="874"/>
        <v>7</v>
      </c>
      <c r="M7309" s="5">
        <f t="shared" si="875"/>
        <v>2013</v>
      </c>
    </row>
    <row r="7310" spans="1:13" ht="15" x14ac:dyDescent="0.25">
      <c r="A7310" s="1">
        <f>DATE(2013,7,1)</f>
        <v>41456</v>
      </c>
      <c r="B7310" t="s">
        <v>19</v>
      </c>
      <c r="C7310" t="s">
        <v>6</v>
      </c>
      <c r="D7310" s="3">
        <v>4853.6866</v>
      </c>
      <c r="E7310" s="3">
        <v>0</v>
      </c>
      <c r="F7310" t="s">
        <v>45</v>
      </c>
      <c r="G7310" s="3">
        <f t="shared" si="869"/>
        <v>-4853.6866</v>
      </c>
      <c r="H7310" s="3">
        <f t="shared" si="870"/>
        <v>4853.6866</v>
      </c>
      <c r="I7310" s="5" t="str">
        <f t="shared" si="871"/>
        <v>018</v>
      </c>
      <c r="J7310" s="5" t="str">
        <f t="shared" si="872"/>
        <v>2100</v>
      </c>
      <c r="K7310" s="5" t="str">
        <f t="shared" si="873"/>
        <v>000</v>
      </c>
      <c r="L7310" s="5">
        <f t="shared" si="874"/>
        <v>7</v>
      </c>
      <c r="M7310" s="5">
        <f t="shared" si="875"/>
        <v>2013</v>
      </c>
    </row>
    <row r="7311" spans="1:13" ht="15" x14ac:dyDescent="0.25">
      <c r="A7311" s="1">
        <f>DATE(2013,7,1)</f>
        <v>41456</v>
      </c>
      <c r="B7311" t="s">
        <v>20</v>
      </c>
      <c r="C7311" t="s">
        <v>8</v>
      </c>
      <c r="D7311" s="3">
        <v>579.88980000000004</v>
      </c>
      <c r="E7311" s="3">
        <v>0</v>
      </c>
      <c r="F7311" t="s">
        <v>45</v>
      </c>
      <c r="G7311" s="3">
        <f t="shared" si="869"/>
        <v>-579.88980000000004</v>
      </c>
      <c r="H7311" s="3">
        <f t="shared" si="870"/>
        <v>579.88980000000004</v>
      </c>
      <c r="I7311" s="5" t="str">
        <f t="shared" si="871"/>
        <v>018</v>
      </c>
      <c r="J7311" s="5" t="str">
        <f t="shared" si="872"/>
        <v>2210</v>
      </c>
      <c r="K7311" s="5" t="str">
        <f t="shared" si="873"/>
        <v>000</v>
      </c>
      <c r="L7311" s="5">
        <f t="shared" si="874"/>
        <v>7</v>
      </c>
      <c r="M7311" s="5">
        <f t="shared" si="875"/>
        <v>2013</v>
      </c>
    </row>
    <row r="7312" spans="1:13" ht="15" x14ac:dyDescent="0.25">
      <c r="A7312" s="1">
        <f>DATE(2013,7,1)</f>
        <v>41456</v>
      </c>
      <c r="B7312" t="s">
        <v>21</v>
      </c>
      <c r="C7312" t="s">
        <v>9</v>
      </c>
      <c r="D7312" s="3">
        <v>187.4229</v>
      </c>
      <c r="E7312" s="3">
        <v>0</v>
      </c>
      <c r="F7312" t="s">
        <v>45</v>
      </c>
      <c r="G7312" s="3">
        <f t="shared" si="869"/>
        <v>-187.4229</v>
      </c>
      <c r="H7312" s="3">
        <f t="shared" si="870"/>
        <v>187.4229</v>
      </c>
      <c r="I7312" s="5" t="str">
        <f t="shared" si="871"/>
        <v>018</v>
      </c>
      <c r="J7312" s="5" t="str">
        <f t="shared" si="872"/>
        <v>2220</v>
      </c>
      <c r="K7312" s="5" t="str">
        <f t="shared" si="873"/>
        <v>000</v>
      </c>
      <c r="L7312" s="5">
        <f t="shared" si="874"/>
        <v>7</v>
      </c>
      <c r="M7312" s="5">
        <f t="shared" si="875"/>
        <v>2013</v>
      </c>
    </row>
    <row r="7313" spans="1:13" ht="15" x14ac:dyDescent="0.25">
      <c r="A7313" s="1">
        <f>DATE(2013,7,1)</f>
        <v>41456</v>
      </c>
      <c r="B7313" t="s">
        <v>22</v>
      </c>
      <c r="C7313" t="s">
        <v>10</v>
      </c>
      <c r="D7313" s="3">
        <v>16.3386</v>
      </c>
      <c r="E7313" s="3">
        <v>0</v>
      </c>
      <c r="F7313" t="s">
        <v>45</v>
      </c>
      <c r="G7313" s="3">
        <f t="shared" si="869"/>
        <v>-16.3386</v>
      </c>
      <c r="H7313" s="3">
        <f t="shared" si="870"/>
        <v>16.3386</v>
      </c>
      <c r="I7313" s="5" t="str">
        <f t="shared" si="871"/>
        <v>018</v>
      </c>
      <c r="J7313" s="5" t="str">
        <f t="shared" si="872"/>
        <v>2230</v>
      </c>
      <c r="K7313" s="5" t="str">
        <f t="shared" si="873"/>
        <v>000</v>
      </c>
      <c r="L7313" s="5">
        <f t="shared" si="874"/>
        <v>7</v>
      </c>
      <c r="M7313" s="5">
        <f t="shared" si="875"/>
        <v>2013</v>
      </c>
    </row>
    <row r="7314" spans="1:13" ht="15" x14ac:dyDescent="0.25">
      <c r="A7314" s="1">
        <f>DATE(2013,7,2)</f>
        <v>41457</v>
      </c>
      <c r="B7314" t="s">
        <v>19</v>
      </c>
      <c r="C7314" t="s">
        <v>6</v>
      </c>
      <c r="D7314" s="3">
        <v>4851.0150000000003</v>
      </c>
      <c r="E7314" s="3">
        <v>0</v>
      </c>
      <c r="F7314" t="s">
        <v>45</v>
      </c>
      <c r="G7314" s="3">
        <f t="shared" si="869"/>
        <v>-4851.0150000000003</v>
      </c>
      <c r="H7314" s="3">
        <f t="shared" si="870"/>
        <v>4851.0150000000003</v>
      </c>
      <c r="I7314" s="5" t="str">
        <f t="shared" si="871"/>
        <v>018</v>
      </c>
      <c r="J7314" s="5" t="str">
        <f t="shared" si="872"/>
        <v>2100</v>
      </c>
      <c r="K7314" s="5" t="str">
        <f t="shared" si="873"/>
        <v>000</v>
      </c>
      <c r="L7314" s="5">
        <f t="shared" si="874"/>
        <v>7</v>
      </c>
      <c r="M7314" s="5">
        <f t="shared" si="875"/>
        <v>2013</v>
      </c>
    </row>
    <row r="7315" spans="1:13" ht="15" x14ac:dyDescent="0.25">
      <c r="A7315" s="1">
        <f>DATE(2013,7,2)</f>
        <v>41457</v>
      </c>
      <c r="B7315" t="s">
        <v>20</v>
      </c>
      <c r="C7315" t="s">
        <v>8</v>
      </c>
      <c r="D7315" s="3">
        <v>839.75199999999995</v>
      </c>
      <c r="E7315" s="3">
        <v>0</v>
      </c>
      <c r="F7315" t="s">
        <v>45</v>
      </c>
      <c r="G7315" s="3">
        <f t="shared" si="869"/>
        <v>-839.75199999999995</v>
      </c>
      <c r="H7315" s="3">
        <f t="shared" si="870"/>
        <v>839.75199999999995</v>
      </c>
      <c r="I7315" s="5" t="str">
        <f t="shared" si="871"/>
        <v>018</v>
      </c>
      <c r="J7315" s="5" t="str">
        <f t="shared" si="872"/>
        <v>2210</v>
      </c>
      <c r="K7315" s="5" t="str">
        <f t="shared" si="873"/>
        <v>000</v>
      </c>
      <c r="L7315" s="5">
        <f t="shared" si="874"/>
        <v>7</v>
      </c>
      <c r="M7315" s="5">
        <f t="shared" si="875"/>
        <v>2013</v>
      </c>
    </row>
    <row r="7316" spans="1:13" ht="15" x14ac:dyDescent="0.25">
      <c r="A7316" s="1">
        <f>DATE(2013,7,2)</f>
        <v>41457</v>
      </c>
      <c r="B7316" t="s">
        <v>21</v>
      </c>
      <c r="C7316" t="s">
        <v>9</v>
      </c>
      <c r="D7316" s="3">
        <v>350.149</v>
      </c>
      <c r="E7316" s="3">
        <v>0</v>
      </c>
      <c r="F7316" t="s">
        <v>45</v>
      </c>
      <c r="G7316" s="3">
        <f t="shared" si="869"/>
        <v>-350.149</v>
      </c>
      <c r="H7316" s="3">
        <f t="shared" si="870"/>
        <v>350.149</v>
      </c>
      <c r="I7316" s="5" t="str">
        <f t="shared" si="871"/>
        <v>018</v>
      </c>
      <c r="J7316" s="5" t="str">
        <f t="shared" si="872"/>
        <v>2220</v>
      </c>
      <c r="K7316" s="5" t="str">
        <f t="shared" si="873"/>
        <v>000</v>
      </c>
      <c r="L7316" s="5">
        <f t="shared" si="874"/>
        <v>7</v>
      </c>
      <c r="M7316" s="5">
        <f t="shared" si="875"/>
        <v>2013</v>
      </c>
    </row>
    <row r="7317" spans="1:13" ht="15" x14ac:dyDescent="0.25">
      <c r="A7317" s="1">
        <f>DATE(2013,7,2)</f>
        <v>41457</v>
      </c>
      <c r="B7317" t="s">
        <v>22</v>
      </c>
      <c r="C7317" t="s">
        <v>10</v>
      </c>
      <c r="D7317" s="3">
        <v>21.865200000000002</v>
      </c>
      <c r="E7317" s="3">
        <v>0</v>
      </c>
      <c r="F7317" t="s">
        <v>45</v>
      </c>
      <c r="G7317" s="3">
        <f t="shared" si="869"/>
        <v>-21.865200000000002</v>
      </c>
      <c r="H7317" s="3">
        <f t="shared" si="870"/>
        <v>21.865200000000002</v>
      </c>
      <c r="I7317" s="5" t="str">
        <f t="shared" si="871"/>
        <v>018</v>
      </c>
      <c r="J7317" s="5" t="str">
        <f t="shared" si="872"/>
        <v>2230</v>
      </c>
      <c r="K7317" s="5" t="str">
        <f t="shared" si="873"/>
        <v>000</v>
      </c>
      <c r="L7317" s="5">
        <f t="shared" si="874"/>
        <v>7</v>
      </c>
      <c r="M7317" s="5">
        <f t="shared" si="875"/>
        <v>2013</v>
      </c>
    </row>
    <row r="7318" spans="1:13" ht="15" x14ac:dyDescent="0.25">
      <c r="A7318" s="1">
        <f>DATE(2013,7,3)</f>
        <v>41458</v>
      </c>
      <c r="B7318" t="s">
        <v>19</v>
      </c>
      <c r="C7318" t="s">
        <v>6</v>
      </c>
      <c r="D7318" s="3">
        <v>6843.2111999999997</v>
      </c>
      <c r="E7318" s="3">
        <v>0</v>
      </c>
      <c r="F7318" t="s">
        <v>45</v>
      </c>
      <c r="G7318" s="3">
        <f t="shared" si="869"/>
        <v>-6843.2111999999997</v>
      </c>
      <c r="H7318" s="3">
        <f t="shared" si="870"/>
        <v>6843.2111999999997</v>
      </c>
      <c r="I7318" s="5" t="str">
        <f t="shared" si="871"/>
        <v>018</v>
      </c>
      <c r="J7318" s="5" t="str">
        <f t="shared" si="872"/>
        <v>2100</v>
      </c>
      <c r="K7318" s="5" t="str">
        <f t="shared" si="873"/>
        <v>000</v>
      </c>
      <c r="L7318" s="5">
        <f t="shared" si="874"/>
        <v>7</v>
      </c>
      <c r="M7318" s="5">
        <f t="shared" si="875"/>
        <v>2013</v>
      </c>
    </row>
    <row r="7319" spans="1:13" ht="15" x14ac:dyDescent="0.25">
      <c r="A7319" s="1">
        <f>DATE(2013,7,3)</f>
        <v>41458</v>
      </c>
      <c r="B7319" t="s">
        <v>20</v>
      </c>
      <c r="C7319" t="s">
        <v>8</v>
      </c>
      <c r="D7319" s="3">
        <v>1380.06</v>
      </c>
      <c r="E7319" s="3">
        <v>0</v>
      </c>
      <c r="F7319" t="s">
        <v>45</v>
      </c>
      <c r="G7319" s="3">
        <f t="shared" si="869"/>
        <v>-1380.06</v>
      </c>
      <c r="H7319" s="3">
        <f t="shared" si="870"/>
        <v>1380.06</v>
      </c>
      <c r="I7319" s="5" t="str">
        <f t="shared" si="871"/>
        <v>018</v>
      </c>
      <c r="J7319" s="5" t="str">
        <f t="shared" si="872"/>
        <v>2210</v>
      </c>
      <c r="K7319" s="5" t="str">
        <f t="shared" si="873"/>
        <v>000</v>
      </c>
      <c r="L7319" s="5">
        <f t="shared" si="874"/>
        <v>7</v>
      </c>
      <c r="M7319" s="5">
        <f t="shared" si="875"/>
        <v>2013</v>
      </c>
    </row>
    <row r="7320" spans="1:13" ht="15" x14ac:dyDescent="0.25">
      <c r="A7320" s="1">
        <f>DATE(2013,7,3)</f>
        <v>41458</v>
      </c>
      <c r="B7320" t="s">
        <v>21</v>
      </c>
      <c r="C7320" t="s">
        <v>9</v>
      </c>
      <c r="D7320" s="3">
        <v>350.15170000000001</v>
      </c>
      <c r="E7320" s="3">
        <v>0</v>
      </c>
      <c r="F7320" t="s">
        <v>45</v>
      </c>
      <c r="G7320" s="3">
        <f t="shared" si="869"/>
        <v>-350.15170000000001</v>
      </c>
      <c r="H7320" s="3">
        <f t="shared" si="870"/>
        <v>350.15170000000001</v>
      </c>
      <c r="I7320" s="5" t="str">
        <f t="shared" si="871"/>
        <v>018</v>
      </c>
      <c r="J7320" s="5" t="str">
        <f t="shared" si="872"/>
        <v>2220</v>
      </c>
      <c r="K7320" s="5" t="str">
        <f t="shared" si="873"/>
        <v>000</v>
      </c>
      <c r="L7320" s="5">
        <f t="shared" si="874"/>
        <v>7</v>
      </c>
      <c r="M7320" s="5">
        <f t="shared" si="875"/>
        <v>2013</v>
      </c>
    </row>
    <row r="7321" spans="1:13" ht="15" x14ac:dyDescent="0.25">
      <c r="A7321" s="1">
        <f>DATE(2013,7,3)</f>
        <v>41458</v>
      </c>
      <c r="B7321" t="s">
        <v>22</v>
      </c>
      <c r="C7321" t="s">
        <v>10</v>
      </c>
      <c r="D7321" s="3">
        <v>28.831199999999995</v>
      </c>
      <c r="E7321" s="3">
        <v>0</v>
      </c>
      <c r="F7321" t="s">
        <v>45</v>
      </c>
      <c r="G7321" s="3">
        <f t="shared" si="869"/>
        <v>-28.831199999999995</v>
      </c>
      <c r="H7321" s="3">
        <f t="shared" si="870"/>
        <v>28.831199999999995</v>
      </c>
      <c r="I7321" s="5" t="str">
        <f t="shared" si="871"/>
        <v>018</v>
      </c>
      <c r="J7321" s="5" t="str">
        <f t="shared" si="872"/>
        <v>2230</v>
      </c>
      <c r="K7321" s="5" t="str">
        <f t="shared" si="873"/>
        <v>000</v>
      </c>
      <c r="L7321" s="5">
        <f t="shared" si="874"/>
        <v>7</v>
      </c>
      <c r="M7321" s="5">
        <f t="shared" si="875"/>
        <v>2013</v>
      </c>
    </row>
    <row r="7322" spans="1:13" ht="15" x14ac:dyDescent="0.25">
      <c r="A7322" s="1">
        <f>DATE(2013,7,4)</f>
        <v>41459</v>
      </c>
      <c r="B7322" t="s">
        <v>19</v>
      </c>
      <c r="C7322" t="s">
        <v>6</v>
      </c>
      <c r="D7322" s="3">
        <v>8267.7706999999991</v>
      </c>
      <c r="E7322" s="3">
        <v>0</v>
      </c>
      <c r="F7322" t="s">
        <v>45</v>
      </c>
      <c r="G7322" s="3">
        <f t="shared" si="869"/>
        <v>-8267.7706999999991</v>
      </c>
      <c r="H7322" s="3">
        <f t="shared" si="870"/>
        <v>8267.7706999999991</v>
      </c>
      <c r="I7322" s="5" t="str">
        <f t="shared" si="871"/>
        <v>018</v>
      </c>
      <c r="J7322" s="5" t="str">
        <f t="shared" si="872"/>
        <v>2100</v>
      </c>
      <c r="K7322" s="5" t="str">
        <f t="shared" si="873"/>
        <v>000</v>
      </c>
      <c r="L7322" s="5">
        <f t="shared" si="874"/>
        <v>7</v>
      </c>
      <c r="M7322" s="5">
        <f t="shared" si="875"/>
        <v>2013</v>
      </c>
    </row>
    <row r="7323" spans="1:13" ht="15" x14ac:dyDescent="0.25">
      <c r="A7323" s="1">
        <f>DATE(2013,7,4)</f>
        <v>41459</v>
      </c>
      <c r="B7323" t="s">
        <v>20</v>
      </c>
      <c r="C7323" t="s">
        <v>8</v>
      </c>
      <c r="D7323" s="3">
        <v>1349.0182000000002</v>
      </c>
      <c r="E7323" s="3">
        <v>0</v>
      </c>
      <c r="F7323" t="s">
        <v>45</v>
      </c>
      <c r="G7323" s="3">
        <f t="shared" si="869"/>
        <v>-1349.0182000000002</v>
      </c>
      <c r="H7323" s="3">
        <f t="shared" si="870"/>
        <v>1349.0182000000002</v>
      </c>
      <c r="I7323" s="5" t="str">
        <f t="shared" si="871"/>
        <v>018</v>
      </c>
      <c r="J7323" s="5" t="str">
        <f t="shared" si="872"/>
        <v>2210</v>
      </c>
      <c r="K7323" s="5" t="str">
        <f t="shared" si="873"/>
        <v>000</v>
      </c>
      <c r="L7323" s="5">
        <f t="shared" si="874"/>
        <v>7</v>
      </c>
      <c r="M7323" s="5">
        <f t="shared" si="875"/>
        <v>2013</v>
      </c>
    </row>
    <row r="7324" spans="1:13" ht="15" x14ac:dyDescent="0.25">
      <c r="A7324" s="1">
        <f>DATE(2013,7,4)</f>
        <v>41459</v>
      </c>
      <c r="B7324" t="s">
        <v>21</v>
      </c>
      <c r="C7324" t="s">
        <v>9</v>
      </c>
      <c r="D7324" s="3">
        <v>307.16840000000002</v>
      </c>
      <c r="E7324" s="3">
        <v>0</v>
      </c>
      <c r="F7324" t="s">
        <v>45</v>
      </c>
      <c r="G7324" s="3">
        <f t="shared" si="869"/>
        <v>-307.16840000000002</v>
      </c>
      <c r="H7324" s="3">
        <f t="shared" si="870"/>
        <v>307.16840000000002</v>
      </c>
      <c r="I7324" s="5" t="str">
        <f t="shared" si="871"/>
        <v>018</v>
      </c>
      <c r="J7324" s="5" t="str">
        <f t="shared" si="872"/>
        <v>2220</v>
      </c>
      <c r="K7324" s="5" t="str">
        <f t="shared" si="873"/>
        <v>000</v>
      </c>
      <c r="L7324" s="5">
        <f t="shared" si="874"/>
        <v>7</v>
      </c>
      <c r="M7324" s="5">
        <f t="shared" si="875"/>
        <v>2013</v>
      </c>
    </row>
    <row r="7325" spans="1:13" ht="15" x14ac:dyDescent="0.25">
      <c r="A7325" s="1">
        <f>DATE(2013,7,4)</f>
        <v>41459</v>
      </c>
      <c r="B7325" t="s">
        <v>22</v>
      </c>
      <c r="C7325" t="s">
        <v>10</v>
      </c>
      <c r="D7325" s="3">
        <v>15.808000000000002</v>
      </c>
      <c r="E7325" s="3">
        <v>0</v>
      </c>
      <c r="F7325" t="s">
        <v>45</v>
      </c>
      <c r="G7325" s="3">
        <f t="shared" si="869"/>
        <v>-15.808000000000002</v>
      </c>
      <c r="H7325" s="3">
        <f t="shared" si="870"/>
        <v>15.808000000000002</v>
      </c>
      <c r="I7325" s="5" t="str">
        <f t="shared" si="871"/>
        <v>018</v>
      </c>
      <c r="J7325" s="5" t="str">
        <f t="shared" si="872"/>
        <v>2230</v>
      </c>
      <c r="K7325" s="5" t="str">
        <f t="shared" si="873"/>
        <v>000</v>
      </c>
      <c r="L7325" s="5">
        <f t="shared" si="874"/>
        <v>7</v>
      </c>
      <c r="M7325" s="5">
        <f t="shared" si="875"/>
        <v>2013</v>
      </c>
    </row>
    <row r="7326" spans="1:13" ht="15" x14ac:dyDescent="0.25">
      <c r="A7326" s="1">
        <f>DATE(2013,7,5)</f>
        <v>41460</v>
      </c>
      <c r="B7326" t="s">
        <v>19</v>
      </c>
      <c r="C7326" t="s">
        <v>6</v>
      </c>
      <c r="D7326" s="3">
        <v>12037.7894</v>
      </c>
      <c r="E7326" s="3">
        <v>0</v>
      </c>
      <c r="F7326" t="s">
        <v>45</v>
      </c>
      <c r="G7326" s="3">
        <f t="shared" si="869"/>
        <v>-12037.7894</v>
      </c>
      <c r="H7326" s="3">
        <f t="shared" si="870"/>
        <v>12037.7894</v>
      </c>
      <c r="I7326" s="5" t="str">
        <f t="shared" si="871"/>
        <v>018</v>
      </c>
      <c r="J7326" s="5" t="str">
        <f t="shared" si="872"/>
        <v>2100</v>
      </c>
      <c r="K7326" s="5" t="str">
        <f t="shared" si="873"/>
        <v>000</v>
      </c>
      <c r="L7326" s="5">
        <f t="shared" si="874"/>
        <v>7</v>
      </c>
      <c r="M7326" s="5">
        <f t="shared" si="875"/>
        <v>2013</v>
      </c>
    </row>
    <row r="7327" spans="1:13" ht="15" x14ac:dyDescent="0.25">
      <c r="A7327" s="1">
        <f>DATE(2013,7,5)</f>
        <v>41460</v>
      </c>
      <c r="B7327" t="s">
        <v>20</v>
      </c>
      <c r="C7327" t="s">
        <v>8</v>
      </c>
      <c r="D7327" s="3">
        <v>2666.2262999999998</v>
      </c>
      <c r="E7327" s="3">
        <v>0</v>
      </c>
      <c r="F7327" t="s">
        <v>45</v>
      </c>
      <c r="G7327" s="3">
        <f t="shared" si="869"/>
        <v>-2666.2262999999998</v>
      </c>
      <c r="H7327" s="3">
        <f t="shared" si="870"/>
        <v>2666.2262999999998</v>
      </c>
      <c r="I7327" s="5" t="str">
        <f t="shared" si="871"/>
        <v>018</v>
      </c>
      <c r="J7327" s="5" t="str">
        <f t="shared" si="872"/>
        <v>2210</v>
      </c>
      <c r="K7327" s="5" t="str">
        <f t="shared" si="873"/>
        <v>000</v>
      </c>
      <c r="L7327" s="5">
        <f t="shared" si="874"/>
        <v>7</v>
      </c>
      <c r="M7327" s="5">
        <f t="shared" si="875"/>
        <v>2013</v>
      </c>
    </row>
    <row r="7328" spans="1:13" ht="15" x14ac:dyDescent="0.25">
      <c r="A7328" s="1">
        <f>DATE(2013,7,5)</f>
        <v>41460</v>
      </c>
      <c r="B7328" t="s">
        <v>21</v>
      </c>
      <c r="C7328" t="s">
        <v>9</v>
      </c>
      <c r="D7328" s="3">
        <v>582.41960000000006</v>
      </c>
      <c r="E7328" s="3">
        <v>0</v>
      </c>
      <c r="F7328" t="s">
        <v>45</v>
      </c>
      <c r="G7328" s="3">
        <f t="shared" si="869"/>
        <v>-582.41960000000006</v>
      </c>
      <c r="H7328" s="3">
        <f t="shared" si="870"/>
        <v>582.41960000000006</v>
      </c>
      <c r="I7328" s="5" t="str">
        <f t="shared" si="871"/>
        <v>018</v>
      </c>
      <c r="J7328" s="5" t="str">
        <f t="shared" si="872"/>
        <v>2220</v>
      </c>
      <c r="K7328" s="5" t="str">
        <f t="shared" si="873"/>
        <v>000</v>
      </c>
      <c r="L7328" s="5">
        <f t="shared" si="874"/>
        <v>7</v>
      </c>
      <c r="M7328" s="5">
        <f t="shared" si="875"/>
        <v>2013</v>
      </c>
    </row>
    <row r="7329" spans="1:13" ht="15" x14ac:dyDescent="0.25">
      <c r="A7329" s="1">
        <f>DATE(2013,7,5)</f>
        <v>41460</v>
      </c>
      <c r="B7329" t="s">
        <v>22</v>
      </c>
      <c r="C7329" t="s">
        <v>10</v>
      </c>
      <c r="D7329" s="3">
        <v>40.846400000000003</v>
      </c>
      <c r="E7329" s="3">
        <v>0</v>
      </c>
      <c r="F7329" t="s">
        <v>45</v>
      </c>
      <c r="G7329" s="3">
        <f t="shared" si="869"/>
        <v>-40.846400000000003</v>
      </c>
      <c r="H7329" s="3">
        <f t="shared" si="870"/>
        <v>40.846400000000003</v>
      </c>
      <c r="I7329" s="5" t="str">
        <f t="shared" si="871"/>
        <v>018</v>
      </c>
      <c r="J7329" s="5" t="str">
        <f t="shared" si="872"/>
        <v>2230</v>
      </c>
      <c r="K7329" s="5" t="str">
        <f t="shared" si="873"/>
        <v>000</v>
      </c>
      <c r="L7329" s="5">
        <f t="shared" si="874"/>
        <v>7</v>
      </c>
      <c r="M7329" s="5">
        <f t="shared" si="875"/>
        <v>2013</v>
      </c>
    </row>
    <row r="7330" spans="1:13" ht="15" x14ac:dyDescent="0.25">
      <c r="A7330" s="1">
        <f>DATE(2013,7,6)</f>
        <v>41461</v>
      </c>
      <c r="B7330" t="s">
        <v>19</v>
      </c>
      <c r="C7330" t="s">
        <v>6</v>
      </c>
      <c r="D7330" s="3">
        <v>11800.2384</v>
      </c>
      <c r="E7330" s="3">
        <v>0</v>
      </c>
      <c r="F7330" t="s">
        <v>45</v>
      </c>
      <c r="G7330" s="3">
        <f t="shared" si="869"/>
        <v>-11800.2384</v>
      </c>
      <c r="H7330" s="3">
        <f t="shared" si="870"/>
        <v>11800.2384</v>
      </c>
      <c r="I7330" s="5" t="str">
        <f t="shared" si="871"/>
        <v>018</v>
      </c>
      <c r="J7330" s="5" t="str">
        <f t="shared" si="872"/>
        <v>2100</v>
      </c>
      <c r="K7330" s="5" t="str">
        <f t="shared" si="873"/>
        <v>000</v>
      </c>
      <c r="L7330" s="5">
        <f t="shared" si="874"/>
        <v>7</v>
      </c>
      <c r="M7330" s="5">
        <f t="shared" si="875"/>
        <v>2013</v>
      </c>
    </row>
    <row r="7331" spans="1:13" ht="15" x14ac:dyDescent="0.25">
      <c r="A7331" s="1">
        <f>DATE(2013,7,6)</f>
        <v>41461</v>
      </c>
      <c r="B7331" t="s">
        <v>20</v>
      </c>
      <c r="C7331" t="s">
        <v>8</v>
      </c>
      <c r="D7331" s="3">
        <v>2084.4450000000002</v>
      </c>
      <c r="E7331" s="3">
        <v>0</v>
      </c>
      <c r="F7331" t="s">
        <v>45</v>
      </c>
      <c r="G7331" s="3">
        <f t="shared" si="869"/>
        <v>-2084.4450000000002</v>
      </c>
      <c r="H7331" s="3">
        <f t="shared" si="870"/>
        <v>2084.4450000000002</v>
      </c>
      <c r="I7331" s="5" t="str">
        <f t="shared" si="871"/>
        <v>018</v>
      </c>
      <c r="J7331" s="5" t="str">
        <f t="shared" si="872"/>
        <v>2210</v>
      </c>
      <c r="K7331" s="5" t="str">
        <f t="shared" si="873"/>
        <v>000</v>
      </c>
      <c r="L7331" s="5">
        <f t="shared" si="874"/>
        <v>7</v>
      </c>
      <c r="M7331" s="5">
        <f t="shared" si="875"/>
        <v>2013</v>
      </c>
    </row>
    <row r="7332" spans="1:13" ht="15" x14ac:dyDescent="0.25">
      <c r="A7332" s="1">
        <f>DATE(2013,7,6)</f>
        <v>41461</v>
      </c>
      <c r="B7332" t="s">
        <v>21</v>
      </c>
      <c r="C7332" t="s">
        <v>9</v>
      </c>
      <c r="D7332" s="3">
        <v>760.66679999999997</v>
      </c>
      <c r="E7332" s="3">
        <v>0</v>
      </c>
      <c r="F7332" t="s">
        <v>45</v>
      </c>
      <c r="G7332" s="3">
        <f t="shared" si="869"/>
        <v>-760.66679999999997</v>
      </c>
      <c r="H7332" s="3">
        <f t="shared" si="870"/>
        <v>760.66679999999997</v>
      </c>
      <c r="I7332" s="5" t="str">
        <f t="shared" si="871"/>
        <v>018</v>
      </c>
      <c r="J7332" s="5" t="str">
        <f t="shared" si="872"/>
        <v>2220</v>
      </c>
      <c r="K7332" s="5" t="str">
        <f t="shared" si="873"/>
        <v>000</v>
      </c>
      <c r="L7332" s="5">
        <f t="shared" si="874"/>
        <v>7</v>
      </c>
      <c r="M7332" s="5">
        <f t="shared" si="875"/>
        <v>2013</v>
      </c>
    </row>
    <row r="7333" spans="1:13" ht="15" x14ac:dyDescent="0.25">
      <c r="A7333" s="1">
        <f>DATE(2013,7,6)</f>
        <v>41461</v>
      </c>
      <c r="B7333" t="s">
        <v>22</v>
      </c>
      <c r="C7333" t="s">
        <v>10</v>
      </c>
      <c r="D7333" s="3">
        <v>50.667700000000004</v>
      </c>
      <c r="E7333" s="3">
        <v>0</v>
      </c>
      <c r="F7333" t="s">
        <v>45</v>
      </c>
      <c r="G7333" s="3">
        <f t="shared" si="869"/>
        <v>-50.667700000000004</v>
      </c>
      <c r="H7333" s="3">
        <f t="shared" si="870"/>
        <v>50.667700000000004</v>
      </c>
      <c r="I7333" s="5" t="str">
        <f t="shared" si="871"/>
        <v>018</v>
      </c>
      <c r="J7333" s="5" t="str">
        <f t="shared" si="872"/>
        <v>2230</v>
      </c>
      <c r="K7333" s="5" t="str">
        <f t="shared" si="873"/>
        <v>000</v>
      </c>
      <c r="L7333" s="5">
        <f t="shared" si="874"/>
        <v>7</v>
      </c>
      <c r="M7333" s="5">
        <f t="shared" si="875"/>
        <v>2013</v>
      </c>
    </row>
    <row r="7334" spans="1:13" ht="15" x14ac:dyDescent="0.25">
      <c r="A7334" s="1">
        <f>DATE(2013,7,7)</f>
        <v>41462</v>
      </c>
      <c r="B7334" t="s">
        <v>19</v>
      </c>
      <c r="C7334" t="s">
        <v>6</v>
      </c>
      <c r="D7334" s="3">
        <v>8205.7569999999996</v>
      </c>
      <c r="E7334" s="3">
        <v>0</v>
      </c>
      <c r="F7334" t="s">
        <v>45</v>
      </c>
      <c r="G7334" s="3">
        <f t="shared" si="869"/>
        <v>-8205.7569999999996</v>
      </c>
      <c r="H7334" s="3">
        <f t="shared" si="870"/>
        <v>8205.7569999999996</v>
      </c>
      <c r="I7334" s="5" t="str">
        <f t="shared" si="871"/>
        <v>018</v>
      </c>
      <c r="J7334" s="5" t="str">
        <f t="shared" si="872"/>
        <v>2100</v>
      </c>
      <c r="K7334" s="5" t="str">
        <f t="shared" si="873"/>
        <v>000</v>
      </c>
      <c r="L7334" s="5">
        <f t="shared" si="874"/>
        <v>7</v>
      </c>
      <c r="M7334" s="5">
        <f t="shared" si="875"/>
        <v>2013</v>
      </c>
    </row>
    <row r="7335" spans="1:13" ht="15" x14ac:dyDescent="0.25">
      <c r="A7335" s="1">
        <f>DATE(2013,7,7)</f>
        <v>41462</v>
      </c>
      <c r="B7335" t="s">
        <v>20</v>
      </c>
      <c r="C7335" t="s">
        <v>8</v>
      </c>
      <c r="D7335" s="3">
        <v>1613.6849999999999</v>
      </c>
      <c r="E7335" s="3">
        <v>0</v>
      </c>
      <c r="F7335" t="s">
        <v>45</v>
      </c>
      <c r="G7335" s="3">
        <f t="shared" si="869"/>
        <v>-1613.6849999999999</v>
      </c>
      <c r="H7335" s="3">
        <f t="shared" si="870"/>
        <v>1613.6849999999999</v>
      </c>
      <c r="I7335" s="5" t="str">
        <f t="shared" si="871"/>
        <v>018</v>
      </c>
      <c r="J7335" s="5" t="str">
        <f t="shared" si="872"/>
        <v>2210</v>
      </c>
      <c r="K7335" s="5" t="str">
        <f t="shared" si="873"/>
        <v>000</v>
      </c>
      <c r="L7335" s="5">
        <f t="shared" si="874"/>
        <v>7</v>
      </c>
      <c r="M7335" s="5">
        <f t="shared" si="875"/>
        <v>2013</v>
      </c>
    </row>
    <row r="7336" spans="1:13" ht="15" x14ac:dyDescent="0.25">
      <c r="A7336" s="1">
        <f>DATE(2013,7,7)</f>
        <v>41462</v>
      </c>
      <c r="B7336" t="s">
        <v>21</v>
      </c>
      <c r="C7336" t="s">
        <v>9</v>
      </c>
      <c r="D7336" s="3">
        <v>218.59200000000001</v>
      </c>
      <c r="E7336" s="3">
        <v>0</v>
      </c>
      <c r="F7336" t="s">
        <v>45</v>
      </c>
      <c r="G7336" s="3">
        <f t="shared" si="869"/>
        <v>-218.59200000000001</v>
      </c>
      <c r="H7336" s="3">
        <f t="shared" si="870"/>
        <v>218.59200000000001</v>
      </c>
      <c r="I7336" s="5" t="str">
        <f t="shared" si="871"/>
        <v>018</v>
      </c>
      <c r="J7336" s="5" t="str">
        <f t="shared" si="872"/>
        <v>2220</v>
      </c>
      <c r="K7336" s="5" t="str">
        <f t="shared" si="873"/>
        <v>000</v>
      </c>
      <c r="L7336" s="5">
        <f t="shared" si="874"/>
        <v>7</v>
      </c>
      <c r="M7336" s="5">
        <f t="shared" si="875"/>
        <v>2013</v>
      </c>
    </row>
    <row r="7337" spans="1:13" ht="15" x14ac:dyDescent="0.25">
      <c r="A7337" s="1">
        <f>DATE(2013,7,7)</f>
        <v>41462</v>
      </c>
      <c r="B7337" t="s">
        <v>22</v>
      </c>
      <c r="C7337" t="s">
        <v>10</v>
      </c>
      <c r="D7337" s="3">
        <v>82.133200000000002</v>
      </c>
      <c r="E7337" s="3">
        <v>0</v>
      </c>
      <c r="F7337" t="s">
        <v>45</v>
      </c>
      <c r="G7337" s="3">
        <f t="shared" si="869"/>
        <v>-82.133200000000002</v>
      </c>
      <c r="H7337" s="3">
        <f t="shared" si="870"/>
        <v>82.133200000000002</v>
      </c>
      <c r="I7337" s="5" t="str">
        <f t="shared" si="871"/>
        <v>018</v>
      </c>
      <c r="J7337" s="5" t="str">
        <f t="shared" si="872"/>
        <v>2230</v>
      </c>
      <c r="K7337" s="5" t="str">
        <f t="shared" si="873"/>
        <v>000</v>
      </c>
      <c r="L7337" s="5">
        <f t="shared" si="874"/>
        <v>7</v>
      </c>
      <c r="M7337" s="5">
        <f t="shared" si="875"/>
        <v>2013</v>
      </c>
    </row>
    <row r="7338" spans="1:13" ht="15" x14ac:dyDescent="0.25">
      <c r="A7338" s="1">
        <f>DATE(2013,7,8)</f>
        <v>41463</v>
      </c>
      <c r="B7338" t="s">
        <v>11</v>
      </c>
      <c r="C7338" t="s">
        <v>6</v>
      </c>
      <c r="D7338" s="3">
        <v>2250.1772000000001</v>
      </c>
      <c r="E7338" s="3">
        <v>0</v>
      </c>
      <c r="F7338" t="s">
        <v>45</v>
      </c>
      <c r="G7338" s="3">
        <f t="shared" si="869"/>
        <v>-2250.1772000000001</v>
      </c>
      <c r="H7338" s="3">
        <f t="shared" si="870"/>
        <v>2250.1772000000001</v>
      </c>
      <c r="I7338" s="5" t="str">
        <f t="shared" si="871"/>
        <v>016</v>
      </c>
      <c r="J7338" s="5" t="str">
        <f t="shared" si="872"/>
        <v>2100</v>
      </c>
      <c r="K7338" s="5" t="str">
        <f t="shared" si="873"/>
        <v>000</v>
      </c>
      <c r="L7338" s="5">
        <f t="shared" si="874"/>
        <v>7</v>
      </c>
      <c r="M7338" s="5">
        <f t="shared" si="875"/>
        <v>2013</v>
      </c>
    </row>
    <row r="7339" spans="1:13" ht="15" x14ac:dyDescent="0.25">
      <c r="A7339" s="1">
        <f>DATE(2013,7,8)</f>
        <v>41463</v>
      </c>
      <c r="B7339" t="s">
        <v>12</v>
      </c>
      <c r="C7339" t="s">
        <v>8</v>
      </c>
      <c r="D7339" s="3">
        <v>398.88720000000001</v>
      </c>
      <c r="E7339" s="3">
        <v>0</v>
      </c>
      <c r="F7339" t="s">
        <v>45</v>
      </c>
      <c r="G7339" s="3">
        <f t="shared" si="869"/>
        <v>-398.88720000000001</v>
      </c>
      <c r="H7339" s="3">
        <f t="shared" si="870"/>
        <v>398.88720000000001</v>
      </c>
      <c r="I7339" s="5" t="str">
        <f t="shared" si="871"/>
        <v>016</v>
      </c>
      <c r="J7339" s="5" t="str">
        <f t="shared" si="872"/>
        <v>2210</v>
      </c>
      <c r="K7339" s="5" t="str">
        <f t="shared" si="873"/>
        <v>000</v>
      </c>
      <c r="L7339" s="5">
        <f t="shared" si="874"/>
        <v>7</v>
      </c>
      <c r="M7339" s="5">
        <f t="shared" si="875"/>
        <v>2013</v>
      </c>
    </row>
    <row r="7340" spans="1:13" ht="15" x14ac:dyDescent="0.25">
      <c r="A7340" s="1">
        <f>DATE(2013,7,8)</f>
        <v>41463</v>
      </c>
      <c r="B7340" t="s">
        <v>13</v>
      </c>
      <c r="C7340" t="s">
        <v>9</v>
      </c>
      <c r="D7340" s="3">
        <v>72.578800000000001</v>
      </c>
      <c r="E7340" s="3">
        <v>0</v>
      </c>
      <c r="F7340" t="s">
        <v>45</v>
      </c>
      <c r="G7340" s="3">
        <f t="shared" si="869"/>
        <v>-72.578800000000001</v>
      </c>
      <c r="H7340" s="3">
        <f t="shared" si="870"/>
        <v>72.578800000000001</v>
      </c>
      <c r="I7340" s="5" t="str">
        <f t="shared" si="871"/>
        <v>016</v>
      </c>
      <c r="J7340" s="5" t="str">
        <f t="shared" si="872"/>
        <v>2220</v>
      </c>
      <c r="K7340" s="5" t="str">
        <f t="shared" si="873"/>
        <v>000</v>
      </c>
      <c r="L7340" s="5">
        <f t="shared" si="874"/>
        <v>7</v>
      </c>
      <c r="M7340" s="5">
        <f t="shared" si="875"/>
        <v>2013</v>
      </c>
    </row>
    <row r="7341" spans="1:13" ht="15" x14ac:dyDescent="0.25">
      <c r="A7341" s="1">
        <f>DATE(2013,7,8)</f>
        <v>41463</v>
      </c>
      <c r="B7341" t="s">
        <v>14</v>
      </c>
      <c r="C7341" t="s">
        <v>10</v>
      </c>
      <c r="D7341" s="3">
        <v>109.5857</v>
      </c>
      <c r="E7341" s="3">
        <v>0</v>
      </c>
      <c r="F7341" t="s">
        <v>45</v>
      </c>
      <c r="G7341" s="3">
        <f t="shared" si="869"/>
        <v>-109.5857</v>
      </c>
      <c r="H7341" s="3">
        <f t="shared" si="870"/>
        <v>109.5857</v>
      </c>
      <c r="I7341" s="5" t="str">
        <f t="shared" si="871"/>
        <v>016</v>
      </c>
      <c r="J7341" s="5" t="str">
        <f t="shared" si="872"/>
        <v>2230</v>
      </c>
      <c r="K7341" s="5" t="str">
        <f t="shared" si="873"/>
        <v>000</v>
      </c>
      <c r="L7341" s="5">
        <f t="shared" si="874"/>
        <v>7</v>
      </c>
      <c r="M7341" s="5">
        <f t="shared" si="875"/>
        <v>2013</v>
      </c>
    </row>
    <row r="7342" spans="1:13" ht="15" x14ac:dyDescent="0.25">
      <c r="A7342" s="1">
        <f>DATE(2013,7,9)</f>
        <v>41464</v>
      </c>
      <c r="B7342" t="s">
        <v>11</v>
      </c>
      <c r="C7342" t="s">
        <v>6</v>
      </c>
      <c r="D7342" s="3">
        <v>6879.4055999999991</v>
      </c>
      <c r="E7342" s="3">
        <v>0</v>
      </c>
      <c r="F7342" t="s">
        <v>45</v>
      </c>
      <c r="G7342" s="3">
        <f t="shared" si="869"/>
        <v>-6879.4055999999991</v>
      </c>
      <c r="H7342" s="3">
        <f t="shared" si="870"/>
        <v>6879.4055999999991</v>
      </c>
      <c r="I7342" s="5" t="str">
        <f t="shared" si="871"/>
        <v>016</v>
      </c>
      <c r="J7342" s="5" t="str">
        <f t="shared" si="872"/>
        <v>2100</v>
      </c>
      <c r="K7342" s="5" t="str">
        <f t="shared" si="873"/>
        <v>000</v>
      </c>
      <c r="L7342" s="5">
        <f t="shared" si="874"/>
        <v>7</v>
      </c>
      <c r="M7342" s="5">
        <f t="shared" si="875"/>
        <v>2013</v>
      </c>
    </row>
    <row r="7343" spans="1:13" ht="15" x14ac:dyDescent="0.25">
      <c r="A7343" s="1">
        <f>DATE(2013,7,9)</f>
        <v>41464</v>
      </c>
      <c r="B7343" t="s">
        <v>12</v>
      </c>
      <c r="C7343" t="s">
        <v>8</v>
      </c>
      <c r="D7343" s="3">
        <v>1972.68</v>
      </c>
      <c r="E7343" s="3">
        <v>0</v>
      </c>
      <c r="F7343" t="s">
        <v>45</v>
      </c>
      <c r="G7343" s="3">
        <f t="shared" si="869"/>
        <v>-1972.68</v>
      </c>
      <c r="H7343" s="3">
        <f t="shared" si="870"/>
        <v>1972.68</v>
      </c>
      <c r="I7343" s="5" t="str">
        <f t="shared" si="871"/>
        <v>016</v>
      </c>
      <c r="J7343" s="5" t="str">
        <f t="shared" si="872"/>
        <v>2210</v>
      </c>
      <c r="K7343" s="5" t="str">
        <f t="shared" si="873"/>
        <v>000</v>
      </c>
      <c r="L7343" s="5">
        <f t="shared" si="874"/>
        <v>7</v>
      </c>
      <c r="M7343" s="5">
        <f t="shared" si="875"/>
        <v>2013</v>
      </c>
    </row>
    <row r="7344" spans="1:13" ht="15" x14ac:dyDescent="0.25">
      <c r="A7344" s="1">
        <f>DATE(2013,7,9)</f>
        <v>41464</v>
      </c>
      <c r="B7344" t="s">
        <v>13</v>
      </c>
      <c r="C7344" t="s">
        <v>9</v>
      </c>
      <c r="D7344" s="3">
        <v>1116.6207000000002</v>
      </c>
      <c r="E7344" s="3">
        <v>0</v>
      </c>
      <c r="F7344" t="s">
        <v>45</v>
      </c>
      <c r="G7344" s="3">
        <f t="shared" si="869"/>
        <v>-1116.6207000000002</v>
      </c>
      <c r="H7344" s="3">
        <f t="shared" si="870"/>
        <v>1116.6207000000002</v>
      </c>
      <c r="I7344" s="5" t="str">
        <f t="shared" si="871"/>
        <v>016</v>
      </c>
      <c r="J7344" s="5" t="str">
        <f t="shared" si="872"/>
        <v>2220</v>
      </c>
      <c r="K7344" s="5" t="str">
        <f t="shared" si="873"/>
        <v>000</v>
      </c>
      <c r="L7344" s="5">
        <f t="shared" si="874"/>
        <v>7</v>
      </c>
      <c r="M7344" s="5">
        <f t="shared" si="875"/>
        <v>2013</v>
      </c>
    </row>
    <row r="7345" spans="1:13" ht="15" x14ac:dyDescent="0.25">
      <c r="A7345" s="1">
        <f>DATE(2013,7,9)</f>
        <v>41464</v>
      </c>
      <c r="B7345" t="s">
        <v>14</v>
      </c>
      <c r="C7345" t="s">
        <v>10</v>
      </c>
      <c r="D7345" s="3">
        <v>107.52719999999999</v>
      </c>
      <c r="E7345" s="3">
        <v>0</v>
      </c>
      <c r="F7345" t="s">
        <v>45</v>
      </c>
      <c r="G7345" s="3">
        <f t="shared" si="869"/>
        <v>-107.52719999999999</v>
      </c>
      <c r="H7345" s="3">
        <f t="shared" si="870"/>
        <v>107.52719999999999</v>
      </c>
      <c r="I7345" s="5" t="str">
        <f t="shared" si="871"/>
        <v>016</v>
      </c>
      <c r="J7345" s="5" t="str">
        <f t="shared" si="872"/>
        <v>2230</v>
      </c>
      <c r="K7345" s="5" t="str">
        <f t="shared" si="873"/>
        <v>000</v>
      </c>
      <c r="L7345" s="5">
        <f t="shared" si="874"/>
        <v>7</v>
      </c>
      <c r="M7345" s="5">
        <f t="shared" si="875"/>
        <v>2013</v>
      </c>
    </row>
    <row r="7346" spans="1:13" ht="15" x14ac:dyDescent="0.25">
      <c r="A7346" s="1">
        <f>DATE(2013,7,10)</f>
        <v>41465</v>
      </c>
      <c r="B7346" t="s">
        <v>11</v>
      </c>
      <c r="C7346" t="s">
        <v>6</v>
      </c>
      <c r="D7346" s="3">
        <v>2393.4592000000002</v>
      </c>
      <c r="E7346" s="3">
        <v>0</v>
      </c>
      <c r="F7346" t="s">
        <v>45</v>
      </c>
      <c r="G7346" s="3">
        <f t="shared" si="869"/>
        <v>-2393.4592000000002</v>
      </c>
      <c r="H7346" s="3">
        <f t="shared" si="870"/>
        <v>2393.4592000000002</v>
      </c>
      <c r="I7346" s="5" t="str">
        <f t="shared" si="871"/>
        <v>016</v>
      </c>
      <c r="J7346" s="5" t="str">
        <f t="shared" si="872"/>
        <v>2100</v>
      </c>
      <c r="K7346" s="5" t="str">
        <f t="shared" si="873"/>
        <v>000</v>
      </c>
      <c r="L7346" s="5">
        <f t="shared" si="874"/>
        <v>7</v>
      </c>
      <c r="M7346" s="5">
        <f t="shared" si="875"/>
        <v>2013</v>
      </c>
    </row>
    <row r="7347" spans="1:13" ht="15" x14ac:dyDescent="0.25">
      <c r="A7347" s="1">
        <f>DATE(2013,7,10)</f>
        <v>41465</v>
      </c>
      <c r="B7347" t="s">
        <v>12</v>
      </c>
      <c r="C7347" t="s">
        <v>8</v>
      </c>
      <c r="D7347" s="3">
        <v>447.98150000000004</v>
      </c>
      <c r="E7347" s="3">
        <v>0</v>
      </c>
      <c r="F7347" t="s">
        <v>45</v>
      </c>
      <c r="G7347" s="3">
        <f t="shared" si="869"/>
        <v>-447.98150000000004</v>
      </c>
      <c r="H7347" s="3">
        <f t="shared" si="870"/>
        <v>447.98150000000004</v>
      </c>
      <c r="I7347" s="5" t="str">
        <f t="shared" si="871"/>
        <v>016</v>
      </c>
      <c r="J7347" s="5" t="str">
        <f t="shared" si="872"/>
        <v>2210</v>
      </c>
      <c r="K7347" s="5" t="str">
        <f t="shared" si="873"/>
        <v>000</v>
      </c>
      <c r="L7347" s="5">
        <f t="shared" si="874"/>
        <v>7</v>
      </c>
      <c r="M7347" s="5">
        <f t="shared" si="875"/>
        <v>2013</v>
      </c>
    </row>
    <row r="7348" spans="1:13" ht="15" x14ac:dyDescent="0.25">
      <c r="A7348" s="1">
        <f>DATE(2013,7,10)</f>
        <v>41465</v>
      </c>
      <c r="B7348" t="s">
        <v>13</v>
      </c>
      <c r="C7348" t="s">
        <v>9</v>
      </c>
      <c r="D7348" s="3">
        <v>83.869699999999995</v>
      </c>
      <c r="E7348" s="3">
        <v>0</v>
      </c>
      <c r="F7348" t="s">
        <v>45</v>
      </c>
      <c r="G7348" s="3">
        <f t="shared" si="869"/>
        <v>-83.869699999999995</v>
      </c>
      <c r="H7348" s="3">
        <f t="shared" si="870"/>
        <v>83.869699999999995</v>
      </c>
      <c r="I7348" s="5" t="str">
        <f t="shared" si="871"/>
        <v>016</v>
      </c>
      <c r="J7348" s="5" t="str">
        <f t="shared" si="872"/>
        <v>2220</v>
      </c>
      <c r="K7348" s="5" t="str">
        <f t="shared" si="873"/>
        <v>000</v>
      </c>
      <c r="L7348" s="5">
        <f t="shared" si="874"/>
        <v>7</v>
      </c>
      <c r="M7348" s="5">
        <f t="shared" si="875"/>
        <v>2013</v>
      </c>
    </row>
    <row r="7349" spans="1:13" ht="15" x14ac:dyDescent="0.25">
      <c r="A7349" s="1">
        <f>DATE(2013,7,10)</f>
        <v>41465</v>
      </c>
      <c r="B7349" t="s">
        <v>14</v>
      </c>
      <c r="C7349" t="s">
        <v>10</v>
      </c>
      <c r="D7349" s="3">
        <v>68.563599999999994</v>
      </c>
      <c r="E7349" s="3">
        <v>0</v>
      </c>
      <c r="F7349" t="s">
        <v>45</v>
      </c>
      <c r="G7349" s="3">
        <f t="shared" si="869"/>
        <v>-68.563599999999994</v>
      </c>
      <c r="H7349" s="3">
        <f t="shared" si="870"/>
        <v>68.563599999999994</v>
      </c>
      <c r="I7349" s="5" t="str">
        <f t="shared" si="871"/>
        <v>016</v>
      </c>
      <c r="J7349" s="5" t="str">
        <f t="shared" si="872"/>
        <v>2230</v>
      </c>
      <c r="K7349" s="5" t="str">
        <f t="shared" si="873"/>
        <v>000</v>
      </c>
      <c r="L7349" s="5">
        <f t="shared" si="874"/>
        <v>7</v>
      </c>
      <c r="M7349" s="5">
        <f t="shared" si="875"/>
        <v>2013</v>
      </c>
    </row>
    <row r="7350" spans="1:13" ht="15" x14ac:dyDescent="0.25">
      <c r="A7350" s="1">
        <f>DATE(2013,7,11)</f>
        <v>41466</v>
      </c>
      <c r="B7350" t="s">
        <v>11</v>
      </c>
      <c r="C7350" t="s">
        <v>6</v>
      </c>
      <c r="D7350" s="3">
        <v>3491.7973999999999</v>
      </c>
      <c r="E7350" s="3">
        <v>0</v>
      </c>
      <c r="F7350" t="s">
        <v>45</v>
      </c>
      <c r="G7350" s="3">
        <f t="shared" si="869"/>
        <v>-3491.7973999999999</v>
      </c>
      <c r="H7350" s="3">
        <f t="shared" si="870"/>
        <v>3491.7973999999999</v>
      </c>
      <c r="I7350" s="5" t="str">
        <f t="shared" si="871"/>
        <v>016</v>
      </c>
      <c r="J7350" s="5" t="str">
        <f t="shared" si="872"/>
        <v>2100</v>
      </c>
      <c r="K7350" s="5" t="str">
        <f t="shared" si="873"/>
        <v>000</v>
      </c>
      <c r="L7350" s="5">
        <f t="shared" si="874"/>
        <v>7</v>
      </c>
      <c r="M7350" s="5">
        <f t="shared" si="875"/>
        <v>2013</v>
      </c>
    </row>
    <row r="7351" spans="1:13" ht="15" x14ac:dyDescent="0.25">
      <c r="A7351" s="1">
        <f>DATE(2013,7,11)</f>
        <v>41466</v>
      </c>
      <c r="B7351" t="s">
        <v>12</v>
      </c>
      <c r="C7351" t="s">
        <v>8</v>
      </c>
      <c r="D7351" s="3">
        <v>687.14</v>
      </c>
      <c r="E7351" s="3">
        <v>0</v>
      </c>
      <c r="F7351" t="s">
        <v>45</v>
      </c>
      <c r="G7351" s="3">
        <f t="shared" si="869"/>
        <v>-687.14</v>
      </c>
      <c r="H7351" s="3">
        <f t="shared" si="870"/>
        <v>687.14</v>
      </c>
      <c r="I7351" s="5" t="str">
        <f t="shared" si="871"/>
        <v>016</v>
      </c>
      <c r="J7351" s="5" t="str">
        <f t="shared" si="872"/>
        <v>2210</v>
      </c>
      <c r="K7351" s="5" t="str">
        <f t="shared" si="873"/>
        <v>000</v>
      </c>
      <c r="L7351" s="5">
        <f t="shared" si="874"/>
        <v>7</v>
      </c>
      <c r="M7351" s="5">
        <f t="shared" si="875"/>
        <v>2013</v>
      </c>
    </row>
    <row r="7352" spans="1:13" ht="15" x14ac:dyDescent="0.25">
      <c r="A7352" s="1">
        <f>DATE(2013,7,11)</f>
        <v>41466</v>
      </c>
      <c r="B7352" t="s">
        <v>13</v>
      </c>
      <c r="C7352" t="s">
        <v>9</v>
      </c>
      <c r="D7352" s="3">
        <v>102.19560000000001</v>
      </c>
      <c r="E7352" s="3">
        <v>0</v>
      </c>
      <c r="F7352" t="s">
        <v>45</v>
      </c>
      <c r="G7352" s="3">
        <f t="shared" si="869"/>
        <v>-102.19560000000001</v>
      </c>
      <c r="H7352" s="3">
        <f t="shared" si="870"/>
        <v>102.19560000000001</v>
      </c>
      <c r="I7352" s="5" t="str">
        <f t="shared" si="871"/>
        <v>016</v>
      </c>
      <c r="J7352" s="5" t="str">
        <f t="shared" si="872"/>
        <v>2220</v>
      </c>
      <c r="K7352" s="5" t="str">
        <f t="shared" si="873"/>
        <v>000</v>
      </c>
      <c r="L7352" s="5">
        <f t="shared" si="874"/>
        <v>7</v>
      </c>
      <c r="M7352" s="5">
        <f t="shared" si="875"/>
        <v>2013</v>
      </c>
    </row>
    <row r="7353" spans="1:13" ht="15" x14ac:dyDescent="0.25">
      <c r="A7353" s="1">
        <f>DATE(2013,7,11)</f>
        <v>41466</v>
      </c>
      <c r="B7353" t="s">
        <v>14</v>
      </c>
      <c r="C7353" t="s">
        <v>10</v>
      </c>
      <c r="D7353" s="3">
        <v>59.6676</v>
      </c>
      <c r="E7353" s="3">
        <v>0</v>
      </c>
      <c r="F7353" t="s">
        <v>45</v>
      </c>
      <c r="G7353" s="3">
        <f t="shared" si="869"/>
        <v>-59.6676</v>
      </c>
      <c r="H7353" s="3">
        <f t="shared" si="870"/>
        <v>59.6676</v>
      </c>
      <c r="I7353" s="5" t="str">
        <f t="shared" si="871"/>
        <v>016</v>
      </c>
      <c r="J7353" s="5" t="str">
        <f t="shared" si="872"/>
        <v>2230</v>
      </c>
      <c r="K7353" s="5" t="str">
        <f t="shared" si="873"/>
        <v>000</v>
      </c>
      <c r="L7353" s="5">
        <f t="shared" si="874"/>
        <v>7</v>
      </c>
      <c r="M7353" s="5">
        <f t="shared" si="875"/>
        <v>2013</v>
      </c>
    </row>
    <row r="7354" spans="1:13" ht="15" x14ac:dyDescent="0.25">
      <c r="A7354" s="1">
        <f>DATE(2013,7,12)</f>
        <v>41467</v>
      </c>
      <c r="B7354" t="s">
        <v>11</v>
      </c>
      <c r="C7354" t="s">
        <v>6</v>
      </c>
      <c r="D7354" s="3">
        <v>4025.9856000000004</v>
      </c>
      <c r="E7354" s="3">
        <v>0</v>
      </c>
      <c r="F7354" t="s">
        <v>45</v>
      </c>
      <c r="G7354" s="3">
        <f t="shared" si="869"/>
        <v>-4025.9856000000004</v>
      </c>
      <c r="H7354" s="3">
        <f t="shared" si="870"/>
        <v>4025.9856000000004</v>
      </c>
      <c r="I7354" s="5" t="str">
        <f t="shared" si="871"/>
        <v>016</v>
      </c>
      <c r="J7354" s="5" t="str">
        <f t="shared" si="872"/>
        <v>2100</v>
      </c>
      <c r="K7354" s="5" t="str">
        <f t="shared" si="873"/>
        <v>000</v>
      </c>
      <c r="L7354" s="5">
        <f t="shared" si="874"/>
        <v>7</v>
      </c>
      <c r="M7354" s="5">
        <f t="shared" si="875"/>
        <v>2013</v>
      </c>
    </row>
    <row r="7355" spans="1:13" ht="15" x14ac:dyDescent="0.25">
      <c r="A7355" s="1">
        <f>DATE(2013,7,12)</f>
        <v>41467</v>
      </c>
      <c r="B7355" t="s">
        <v>12</v>
      </c>
      <c r="C7355" t="s">
        <v>8</v>
      </c>
      <c r="D7355" s="3">
        <v>1712.7329999999999</v>
      </c>
      <c r="E7355" s="3">
        <v>0</v>
      </c>
      <c r="F7355" t="s">
        <v>45</v>
      </c>
      <c r="G7355" s="3">
        <f t="shared" si="869"/>
        <v>-1712.7329999999999</v>
      </c>
      <c r="H7355" s="3">
        <f t="shared" si="870"/>
        <v>1712.7329999999999</v>
      </c>
      <c r="I7355" s="5" t="str">
        <f t="shared" si="871"/>
        <v>016</v>
      </c>
      <c r="J7355" s="5" t="str">
        <f t="shared" si="872"/>
        <v>2210</v>
      </c>
      <c r="K7355" s="5" t="str">
        <f t="shared" si="873"/>
        <v>000</v>
      </c>
      <c r="L7355" s="5">
        <f t="shared" si="874"/>
        <v>7</v>
      </c>
      <c r="M7355" s="5">
        <f t="shared" si="875"/>
        <v>2013</v>
      </c>
    </row>
    <row r="7356" spans="1:13" ht="15" x14ac:dyDescent="0.25">
      <c r="A7356" s="1">
        <f>DATE(2013,7,12)</f>
        <v>41467</v>
      </c>
      <c r="B7356" t="s">
        <v>13</v>
      </c>
      <c r="C7356" t="s">
        <v>9</v>
      </c>
      <c r="D7356" s="3">
        <v>216.83130000000003</v>
      </c>
      <c r="E7356" s="3">
        <v>0</v>
      </c>
      <c r="F7356" t="s">
        <v>45</v>
      </c>
      <c r="G7356" s="3">
        <f t="shared" si="869"/>
        <v>-216.83130000000003</v>
      </c>
      <c r="H7356" s="3">
        <f t="shared" si="870"/>
        <v>216.83130000000003</v>
      </c>
      <c r="I7356" s="5" t="str">
        <f t="shared" si="871"/>
        <v>016</v>
      </c>
      <c r="J7356" s="5" t="str">
        <f t="shared" si="872"/>
        <v>2220</v>
      </c>
      <c r="K7356" s="5" t="str">
        <f t="shared" si="873"/>
        <v>000</v>
      </c>
      <c r="L7356" s="5">
        <f t="shared" si="874"/>
        <v>7</v>
      </c>
      <c r="M7356" s="5">
        <f t="shared" si="875"/>
        <v>2013</v>
      </c>
    </row>
    <row r="7357" spans="1:13" ht="15" x14ac:dyDescent="0.25">
      <c r="A7357" s="1">
        <f>DATE(2013,7,12)</f>
        <v>41467</v>
      </c>
      <c r="B7357" t="s">
        <v>14</v>
      </c>
      <c r="C7357" t="s">
        <v>10</v>
      </c>
      <c r="D7357" s="3">
        <v>103.9285</v>
      </c>
      <c r="E7357" s="3">
        <v>0</v>
      </c>
      <c r="F7357" t="s">
        <v>45</v>
      </c>
      <c r="G7357" s="3">
        <f t="shared" si="869"/>
        <v>-103.9285</v>
      </c>
      <c r="H7357" s="3">
        <f t="shared" si="870"/>
        <v>103.9285</v>
      </c>
      <c r="I7357" s="5" t="str">
        <f t="shared" si="871"/>
        <v>016</v>
      </c>
      <c r="J7357" s="5" t="str">
        <f t="shared" si="872"/>
        <v>2230</v>
      </c>
      <c r="K7357" s="5" t="str">
        <f t="shared" si="873"/>
        <v>000</v>
      </c>
      <c r="L7357" s="5">
        <f t="shared" si="874"/>
        <v>7</v>
      </c>
      <c r="M7357" s="5">
        <f t="shared" si="875"/>
        <v>2013</v>
      </c>
    </row>
    <row r="7358" spans="1:13" ht="15" x14ac:dyDescent="0.25">
      <c r="A7358" s="1">
        <f>DATE(2013,7,13)</f>
        <v>41468</v>
      </c>
      <c r="B7358" t="s">
        <v>11</v>
      </c>
      <c r="C7358" t="s">
        <v>6</v>
      </c>
      <c r="D7358" s="3">
        <v>6113.9584000000004</v>
      </c>
      <c r="E7358" s="3">
        <v>0</v>
      </c>
      <c r="F7358" t="s">
        <v>45</v>
      </c>
      <c r="G7358" s="3">
        <f t="shared" si="869"/>
        <v>-6113.9584000000004</v>
      </c>
      <c r="H7358" s="3">
        <f t="shared" si="870"/>
        <v>6113.9584000000004</v>
      </c>
      <c r="I7358" s="5" t="str">
        <f t="shared" si="871"/>
        <v>016</v>
      </c>
      <c r="J7358" s="5" t="str">
        <f t="shared" si="872"/>
        <v>2100</v>
      </c>
      <c r="K7358" s="5" t="str">
        <f t="shared" si="873"/>
        <v>000</v>
      </c>
      <c r="L7358" s="5">
        <f t="shared" si="874"/>
        <v>7</v>
      </c>
      <c r="M7358" s="5">
        <f t="shared" si="875"/>
        <v>2013</v>
      </c>
    </row>
    <row r="7359" spans="1:13" ht="15" x14ac:dyDescent="0.25">
      <c r="A7359" s="1">
        <f>DATE(2013,7,13)</f>
        <v>41468</v>
      </c>
      <c r="B7359" t="s">
        <v>12</v>
      </c>
      <c r="C7359" t="s">
        <v>8</v>
      </c>
      <c r="D7359" s="3">
        <v>1702.845</v>
      </c>
      <c r="E7359" s="3">
        <v>0</v>
      </c>
      <c r="F7359" t="s">
        <v>45</v>
      </c>
      <c r="G7359" s="3">
        <f t="shared" si="869"/>
        <v>-1702.845</v>
      </c>
      <c r="H7359" s="3">
        <f t="shared" si="870"/>
        <v>1702.845</v>
      </c>
      <c r="I7359" s="5" t="str">
        <f t="shared" si="871"/>
        <v>016</v>
      </c>
      <c r="J7359" s="5" t="str">
        <f t="shared" si="872"/>
        <v>2210</v>
      </c>
      <c r="K7359" s="5" t="str">
        <f t="shared" si="873"/>
        <v>000</v>
      </c>
      <c r="L7359" s="5">
        <f t="shared" si="874"/>
        <v>7</v>
      </c>
      <c r="M7359" s="5">
        <f t="shared" si="875"/>
        <v>2013</v>
      </c>
    </row>
    <row r="7360" spans="1:13" ht="15" x14ac:dyDescent="0.25">
      <c r="A7360" s="1">
        <f>DATE(2013,7,13)</f>
        <v>41468</v>
      </c>
      <c r="B7360" t="s">
        <v>13</v>
      </c>
      <c r="C7360" t="s">
        <v>9</v>
      </c>
      <c r="D7360" s="3">
        <v>292.23079999999999</v>
      </c>
      <c r="E7360" s="3">
        <v>0</v>
      </c>
      <c r="F7360" t="s">
        <v>45</v>
      </c>
      <c r="G7360" s="3">
        <f t="shared" si="869"/>
        <v>-292.23079999999999</v>
      </c>
      <c r="H7360" s="3">
        <f t="shared" si="870"/>
        <v>292.23079999999999</v>
      </c>
      <c r="I7360" s="5" t="str">
        <f t="shared" si="871"/>
        <v>016</v>
      </c>
      <c r="J7360" s="5" t="str">
        <f t="shared" si="872"/>
        <v>2220</v>
      </c>
      <c r="K7360" s="5" t="str">
        <f t="shared" si="873"/>
        <v>000</v>
      </c>
      <c r="L7360" s="5">
        <f t="shared" si="874"/>
        <v>7</v>
      </c>
      <c r="M7360" s="5">
        <f t="shared" si="875"/>
        <v>2013</v>
      </c>
    </row>
    <row r="7361" spans="1:13" ht="15" x14ac:dyDescent="0.25">
      <c r="A7361" s="1">
        <f>DATE(2013,7,13)</f>
        <v>41468</v>
      </c>
      <c r="B7361" t="s">
        <v>14</v>
      </c>
      <c r="C7361" t="s">
        <v>10</v>
      </c>
      <c r="D7361" s="3">
        <v>122.53289999999998</v>
      </c>
      <c r="E7361" s="3">
        <v>0</v>
      </c>
      <c r="F7361" t="s">
        <v>45</v>
      </c>
      <c r="G7361" s="3">
        <f t="shared" si="869"/>
        <v>-122.53289999999998</v>
      </c>
      <c r="H7361" s="3">
        <f t="shared" si="870"/>
        <v>122.53289999999998</v>
      </c>
      <c r="I7361" s="5" t="str">
        <f t="shared" si="871"/>
        <v>016</v>
      </c>
      <c r="J7361" s="5" t="str">
        <f t="shared" si="872"/>
        <v>2230</v>
      </c>
      <c r="K7361" s="5" t="str">
        <f t="shared" si="873"/>
        <v>000</v>
      </c>
      <c r="L7361" s="5">
        <f t="shared" si="874"/>
        <v>7</v>
      </c>
      <c r="M7361" s="5">
        <f t="shared" si="875"/>
        <v>2013</v>
      </c>
    </row>
    <row r="7362" spans="1:13" ht="15" x14ac:dyDescent="0.25">
      <c r="A7362" s="1">
        <f>DATE(2013,7,14)</f>
        <v>41469</v>
      </c>
      <c r="B7362" t="s">
        <v>11</v>
      </c>
      <c r="C7362" t="s">
        <v>6</v>
      </c>
      <c r="D7362" s="3">
        <v>5604.1596</v>
      </c>
      <c r="E7362" s="3">
        <v>0</v>
      </c>
      <c r="F7362" t="s">
        <v>45</v>
      </c>
      <c r="G7362" s="3">
        <f t="shared" ref="G7362:G7425" si="876">E7362-D7362</f>
        <v>-5604.1596</v>
      </c>
      <c r="H7362" s="3">
        <f t="shared" ref="H7362:H7425" si="877">ABS(G7362)</f>
        <v>5604.1596</v>
      </c>
      <c r="I7362" s="5" t="str">
        <f t="shared" ref="I7362:I7425" si="878">MID(B7362,1,3)</f>
        <v>016</v>
      </c>
      <c r="J7362" s="5" t="str">
        <f t="shared" ref="J7362:J7425" si="879">MID(B7362,5,4)</f>
        <v>2100</v>
      </c>
      <c r="K7362" s="5" t="str">
        <f t="shared" ref="K7362:K7425" si="880">MID(B7362,10,3)</f>
        <v>000</v>
      </c>
      <c r="L7362" s="5">
        <f t="shared" ref="L7362:L7425" si="881">MONTH(A7362)</f>
        <v>7</v>
      </c>
      <c r="M7362" s="5">
        <f t="shared" ref="M7362:M7425" si="882">YEAR(A7362)</f>
        <v>2013</v>
      </c>
    </row>
    <row r="7363" spans="1:13" ht="15" x14ac:dyDescent="0.25">
      <c r="A7363" s="1">
        <f>DATE(2013,7,14)</f>
        <v>41469</v>
      </c>
      <c r="B7363" t="s">
        <v>12</v>
      </c>
      <c r="C7363" t="s">
        <v>8</v>
      </c>
      <c r="D7363" s="3">
        <v>1542.3155999999999</v>
      </c>
      <c r="E7363" s="3">
        <v>0</v>
      </c>
      <c r="F7363" t="s">
        <v>45</v>
      </c>
      <c r="G7363" s="3">
        <f t="shared" si="876"/>
        <v>-1542.3155999999999</v>
      </c>
      <c r="H7363" s="3">
        <f t="shared" si="877"/>
        <v>1542.3155999999999</v>
      </c>
      <c r="I7363" s="5" t="str">
        <f t="shared" si="878"/>
        <v>016</v>
      </c>
      <c r="J7363" s="5" t="str">
        <f t="shared" si="879"/>
        <v>2210</v>
      </c>
      <c r="K7363" s="5" t="str">
        <f t="shared" si="880"/>
        <v>000</v>
      </c>
      <c r="L7363" s="5">
        <f t="shared" si="881"/>
        <v>7</v>
      </c>
      <c r="M7363" s="5">
        <f t="shared" si="882"/>
        <v>2013</v>
      </c>
    </row>
    <row r="7364" spans="1:13" ht="15" x14ac:dyDescent="0.25">
      <c r="A7364" s="1">
        <f>DATE(2013,7,14)</f>
        <v>41469</v>
      </c>
      <c r="B7364" t="s">
        <v>13</v>
      </c>
      <c r="C7364" t="s">
        <v>9</v>
      </c>
      <c r="D7364" s="3">
        <v>212.81210000000002</v>
      </c>
      <c r="E7364" s="3">
        <v>0</v>
      </c>
      <c r="F7364" t="s">
        <v>45</v>
      </c>
      <c r="G7364" s="3">
        <f t="shared" si="876"/>
        <v>-212.81210000000002</v>
      </c>
      <c r="H7364" s="3">
        <f t="shared" si="877"/>
        <v>212.81210000000002</v>
      </c>
      <c r="I7364" s="5" t="str">
        <f t="shared" si="878"/>
        <v>016</v>
      </c>
      <c r="J7364" s="5" t="str">
        <f t="shared" si="879"/>
        <v>2220</v>
      </c>
      <c r="K7364" s="5" t="str">
        <f t="shared" si="880"/>
        <v>000</v>
      </c>
      <c r="L7364" s="5">
        <f t="shared" si="881"/>
        <v>7</v>
      </c>
      <c r="M7364" s="5">
        <f t="shared" si="882"/>
        <v>2013</v>
      </c>
    </row>
    <row r="7365" spans="1:13" ht="15" x14ac:dyDescent="0.25">
      <c r="A7365" s="1">
        <f>DATE(2013,7,14)</f>
        <v>41469</v>
      </c>
      <c r="B7365" t="s">
        <v>14</v>
      </c>
      <c r="C7365" t="s">
        <v>10</v>
      </c>
      <c r="D7365" s="3">
        <v>43.425900000000006</v>
      </c>
      <c r="E7365" s="3">
        <v>0</v>
      </c>
      <c r="F7365" t="s">
        <v>45</v>
      </c>
      <c r="G7365" s="3">
        <f t="shared" si="876"/>
        <v>-43.425900000000006</v>
      </c>
      <c r="H7365" s="3">
        <f t="shared" si="877"/>
        <v>43.425900000000006</v>
      </c>
      <c r="I7365" s="5" t="str">
        <f t="shared" si="878"/>
        <v>016</v>
      </c>
      <c r="J7365" s="5" t="str">
        <f t="shared" si="879"/>
        <v>2230</v>
      </c>
      <c r="K7365" s="5" t="str">
        <f t="shared" si="880"/>
        <v>000</v>
      </c>
      <c r="L7365" s="5">
        <f t="shared" si="881"/>
        <v>7</v>
      </c>
      <c r="M7365" s="5">
        <f t="shared" si="882"/>
        <v>2013</v>
      </c>
    </row>
    <row r="7366" spans="1:13" ht="15" x14ac:dyDescent="0.25">
      <c r="A7366" s="1">
        <f>DATE(2013,7,8)</f>
        <v>41463</v>
      </c>
      <c r="B7366" t="s">
        <v>15</v>
      </c>
      <c r="C7366" t="s">
        <v>6</v>
      </c>
      <c r="D7366" s="3">
        <v>4328.3306000000002</v>
      </c>
      <c r="E7366" s="3">
        <v>0</v>
      </c>
      <c r="F7366" t="s">
        <v>45</v>
      </c>
      <c r="G7366" s="3">
        <f t="shared" si="876"/>
        <v>-4328.3306000000002</v>
      </c>
      <c r="H7366" s="3">
        <f t="shared" si="877"/>
        <v>4328.3306000000002</v>
      </c>
      <c r="I7366" s="5" t="str">
        <f t="shared" si="878"/>
        <v>017</v>
      </c>
      <c r="J7366" s="5" t="str">
        <f t="shared" si="879"/>
        <v>2100</v>
      </c>
      <c r="K7366" s="5" t="str">
        <f t="shared" si="880"/>
        <v>000</v>
      </c>
      <c r="L7366" s="5">
        <f t="shared" si="881"/>
        <v>7</v>
      </c>
      <c r="M7366" s="5">
        <f t="shared" si="882"/>
        <v>2013</v>
      </c>
    </row>
    <row r="7367" spans="1:13" ht="15" x14ac:dyDescent="0.25">
      <c r="A7367" s="1">
        <f>DATE(2013,7,8)</f>
        <v>41463</v>
      </c>
      <c r="B7367" t="s">
        <v>16</v>
      </c>
      <c r="C7367" t="s">
        <v>8</v>
      </c>
      <c r="D7367" s="3">
        <v>1379.7729999999999</v>
      </c>
      <c r="E7367" s="3">
        <v>0</v>
      </c>
      <c r="F7367" t="s">
        <v>45</v>
      </c>
      <c r="G7367" s="3">
        <f t="shared" si="876"/>
        <v>-1379.7729999999999</v>
      </c>
      <c r="H7367" s="3">
        <f t="shared" si="877"/>
        <v>1379.7729999999999</v>
      </c>
      <c r="I7367" s="5" t="str">
        <f t="shared" si="878"/>
        <v>017</v>
      </c>
      <c r="J7367" s="5" t="str">
        <f t="shared" si="879"/>
        <v>2210</v>
      </c>
      <c r="K7367" s="5" t="str">
        <f t="shared" si="880"/>
        <v>000</v>
      </c>
      <c r="L7367" s="5">
        <f t="shared" si="881"/>
        <v>7</v>
      </c>
      <c r="M7367" s="5">
        <f t="shared" si="882"/>
        <v>2013</v>
      </c>
    </row>
    <row r="7368" spans="1:13" ht="15" x14ac:dyDescent="0.25">
      <c r="A7368" s="1">
        <f>DATE(2013,7,8)</f>
        <v>41463</v>
      </c>
      <c r="B7368" t="s">
        <v>17</v>
      </c>
      <c r="C7368" t="s">
        <v>9</v>
      </c>
      <c r="D7368" s="3">
        <v>439.58039999999994</v>
      </c>
      <c r="E7368" s="3">
        <v>0</v>
      </c>
      <c r="F7368" t="s">
        <v>45</v>
      </c>
      <c r="G7368" s="3">
        <f t="shared" si="876"/>
        <v>-439.58039999999994</v>
      </c>
      <c r="H7368" s="3">
        <f t="shared" si="877"/>
        <v>439.58039999999994</v>
      </c>
      <c r="I7368" s="5" t="str">
        <f t="shared" si="878"/>
        <v>017</v>
      </c>
      <c r="J7368" s="5" t="str">
        <f t="shared" si="879"/>
        <v>2220</v>
      </c>
      <c r="K7368" s="5" t="str">
        <f t="shared" si="880"/>
        <v>000</v>
      </c>
      <c r="L7368" s="5">
        <f t="shared" si="881"/>
        <v>7</v>
      </c>
      <c r="M7368" s="5">
        <f t="shared" si="882"/>
        <v>2013</v>
      </c>
    </row>
    <row r="7369" spans="1:13" ht="15" x14ac:dyDescent="0.25">
      <c r="A7369" s="1">
        <f>DATE(2013,7,8)</f>
        <v>41463</v>
      </c>
      <c r="B7369" t="s">
        <v>18</v>
      </c>
      <c r="C7369" t="s">
        <v>10</v>
      </c>
      <c r="D7369" s="3">
        <v>33.24</v>
      </c>
      <c r="E7369" s="3">
        <v>0</v>
      </c>
      <c r="F7369" t="s">
        <v>45</v>
      </c>
      <c r="G7369" s="3">
        <f t="shared" si="876"/>
        <v>-33.24</v>
      </c>
      <c r="H7369" s="3">
        <f t="shared" si="877"/>
        <v>33.24</v>
      </c>
      <c r="I7369" s="5" t="str">
        <f t="shared" si="878"/>
        <v>017</v>
      </c>
      <c r="J7369" s="5" t="str">
        <f t="shared" si="879"/>
        <v>2230</v>
      </c>
      <c r="K7369" s="5" t="str">
        <f t="shared" si="880"/>
        <v>000</v>
      </c>
      <c r="L7369" s="5">
        <f t="shared" si="881"/>
        <v>7</v>
      </c>
      <c r="M7369" s="5">
        <f t="shared" si="882"/>
        <v>2013</v>
      </c>
    </row>
    <row r="7370" spans="1:13" ht="15" x14ac:dyDescent="0.25">
      <c r="A7370" s="1">
        <f>DATE(2013,7,9)</f>
        <v>41464</v>
      </c>
      <c r="B7370" t="s">
        <v>15</v>
      </c>
      <c r="C7370" t="s">
        <v>6</v>
      </c>
      <c r="D7370" s="3">
        <v>6685.9192000000003</v>
      </c>
      <c r="E7370" s="3">
        <v>0</v>
      </c>
      <c r="F7370" t="s">
        <v>45</v>
      </c>
      <c r="G7370" s="3">
        <f t="shared" si="876"/>
        <v>-6685.9192000000003</v>
      </c>
      <c r="H7370" s="3">
        <f t="shared" si="877"/>
        <v>6685.9192000000003</v>
      </c>
      <c r="I7370" s="5" t="str">
        <f t="shared" si="878"/>
        <v>017</v>
      </c>
      <c r="J7370" s="5" t="str">
        <f t="shared" si="879"/>
        <v>2100</v>
      </c>
      <c r="K7370" s="5" t="str">
        <f t="shared" si="880"/>
        <v>000</v>
      </c>
      <c r="L7370" s="5">
        <f t="shared" si="881"/>
        <v>7</v>
      </c>
      <c r="M7370" s="5">
        <f t="shared" si="882"/>
        <v>2013</v>
      </c>
    </row>
    <row r="7371" spans="1:13" ht="15" x14ac:dyDescent="0.25">
      <c r="A7371" s="1">
        <f>DATE(2013,7,9)</f>
        <v>41464</v>
      </c>
      <c r="B7371" t="s">
        <v>16</v>
      </c>
      <c r="C7371" t="s">
        <v>8</v>
      </c>
      <c r="D7371" s="3">
        <v>1264.0168999999999</v>
      </c>
      <c r="E7371" s="3">
        <v>0</v>
      </c>
      <c r="F7371" t="s">
        <v>45</v>
      </c>
      <c r="G7371" s="3">
        <f t="shared" si="876"/>
        <v>-1264.0168999999999</v>
      </c>
      <c r="H7371" s="3">
        <f t="shared" si="877"/>
        <v>1264.0168999999999</v>
      </c>
      <c r="I7371" s="5" t="str">
        <f t="shared" si="878"/>
        <v>017</v>
      </c>
      <c r="J7371" s="5" t="str">
        <f t="shared" si="879"/>
        <v>2210</v>
      </c>
      <c r="K7371" s="5" t="str">
        <f t="shared" si="880"/>
        <v>000</v>
      </c>
      <c r="L7371" s="5">
        <f t="shared" si="881"/>
        <v>7</v>
      </c>
      <c r="M7371" s="5">
        <f t="shared" si="882"/>
        <v>2013</v>
      </c>
    </row>
    <row r="7372" spans="1:13" ht="15" x14ac:dyDescent="0.25">
      <c r="A7372" s="1">
        <f>DATE(2013,7,9)</f>
        <v>41464</v>
      </c>
      <c r="B7372" t="s">
        <v>17</v>
      </c>
      <c r="C7372" t="s">
        <v>9</v>
      </c>
      <c r="D7372" s="3">
        <v>479.79750000000001</v>
      </c>
      <c r="E7372" s="3">
        <v>0</v>
      </c>
      <c r="F7372" t="s">
        <v>45</v>
      </c>
      <c r="G7372" s="3">
        <f t="shared" si="876"/>
        <v>-479.79750000000001</v>
      </c>
      <c r="H7372" s="3">
        <f t="shared" si="877"/>
        <v>479.79750000000001</v>
      </c>
      <c r="I7372" s="5" t="str">
        <f t="shared" si="878"/>
        <v>017</v>
      </c>
      <c r="J7372" s="5" t="str">
        <f t="shared" si="879"/>
        <v>2220</v>
      </c>
      <c r="K7372" s="5" t="str">
        <f t="shared" si="880"/>
        <v>000</v>
      </c>
      <c r="L7372" s="5">
        <f t="shared" si="881"/>
        <v>7</v>
      </c>
      <c r="M7372" s="5">
        <f t="shared" si="882"/>
        <v>2013</v>
      </c>
    </row>
    <row r="7373" spans="1:13" ht="15" x14ac:dyDescent="0.25">
      <c r="A7373" s="1">
        <f>DATE(2013,7,9)</f>
        <v>41464</v>
      </c>
      <c r="B7373" t="s">
        <v>18</v>
      </c>
      <c r="C7373" t="s">
        <v>10</v>
      </c>
      <c r="D7373" s="3">
        <v>61.705600000000004</v>
      </c>
      <c r="E7373" s="3">
        <v>0</v>
      </c>
      <c r="F7373" t="s">
        <v>45</v>
      </c>
      <c r="G7373" s="3">
        <f t="shared" si="876"/>
        <v>-61.705600000000004</v>
      </c>
      <c r="H7373" s="3">
        <f t="shared" si="877"/>
        <v>61.705600000000004</v>
      </c>
      <c r="I7373" s="5" t="str">
        <f t="shared" si="878"/>
        <v>017</v>
      </c>
      <c r="J7373" s="5" t="str">
        <f t="shared" si="879"/>
        <v>2230</v>
      </c>
      <c r="K7373" s="5" t="str">
        <f t="shared" si="880"/>
        <v>000</v>
      </c>
      <c r="L7373" s="5">
        <f t="shared" si="881"/>
        <v>7</v>
      </c>
      <c r="M7373" s="5">
        <f t="shared" si="882"/>
        <v>2013</v>
      </c>
    </row>
    <row r="7374" spans="1:13" ht="15" x14ac:dyDescent="0.25">
      <c r="A7374" s="1">
        <f>DATE(2013,7,10)</f>
        <v>41465</v>
      </c>
      <c r="B7374" t="s">
        <v>15</v>
      </c>
      <c r="C7374" t="s">
        <v>6</v>
      </c>
      <c r="D7374" s="3">
        <v>5954.0027</v>
      </c>
      <c r="E7374" s="3">
        <v>0</v>
      </c>
      <c r="F7374" t="s">
        <v>45</v>
      </c>
      <c r="G7374" s="3">
        <f t="shared" si="876"/>
        <v>-5954.0027</v>
      </c>
      <c r="H7374" s="3">
        <f t="shared" si="877"/>
        <v>5954.0027</v>
      </c>
      <c r="I7374" s="5" t="str">
        <f t="shared" si="878"/>
        <v>017</v>
      </c>
      <c r="J7374" s="5" t="str">
        <f t="shared" si="879"/>
        <v>2100</v>
      </c>
      <c r="K7374" s="5" t="str">
        <f t="shared" si="880"/>
        <v>000</v>
      </c>
      <c r="L7374" s="5">
        <f t="shared" si="881"/>
        <v>7</v>
      </c>
      <c r="M7374" s="5">
        <f t="shared" si="882"/>
        <v>2013</v>
      </c>
    </row>
    <row r="7375" spans="1:13" ht="15" x14ac:dyDescent="0.25">
      <c r="A7375" s="1">
        <f>DATE(2013,7,10)</f>
        <v>41465</v>
      </c>
      <c r="B7375" t="s">
        <v>16</v>
      </c>
      <c r="C7375" t="s">
        <v>8</v>
      </c>
      <c r="D7375" s="3">
        <v>1590.5608</v>
      </c>
      <c r="E7375" s="3">
        <v>0</v>
      </c>
      <c r="F7375" t="s">
        <v>45</v>
      </c>
      <c r="G7375" s="3">
        <f t="shared" si="876"/>
        <v>-1590.5608</v>
      </c>
      <c r="H7375" s="3">
        <f t="shared" si="877"/>
        <v>1590.5608</v>
      </c>
      <c r="I7375" s="5" t="str">
        <f t="shared" si="878"/>
        <v>017</v>
      </c>
      <c r="J7375" s="5" t="str">
        <f t="shared" si="879"/>
        <v>2210</v>
      </c>
      <c r="K7375" s="5" t="str">
        <f t="shared" si="880"/>
        <v>000</v>
      </c>
      <c r="L7375" s="5">
        <f t="shared" si="881"/>
        <v>7</v>
      </c>
      <c r="M7375" s="5">
        <f t="shared" si="882"/>
        <v>2013</v>
      </c>
    </row>
    <row r="7376" spans="1:13" ht="15" x14ac:dyDescent="0.25">
      <c r="A7376" s="1">
        <f>DATE(2013,7,10)</f>
        <v>41465</v>
      </c>
      <c r="B7376" t="s">
        <v>17</v>
      </c>
      <c r="C7376" t="s">
        <v>9</v>
      </c>
      <c r="D7376" s="3">
        <v>548.37250000000006</v>
      </c>
      <c r="E7376" s="3">
        <v>0</v>
      </c>
      <c r="F7376" t="s">
        <v>45</v>
      </c>
      <c r="G7376" s="3">
        <f t="shared" si="876"/>
        <v>-548.37250000000006</v>
      </c>
      <c r="H7376" s="3">
        <f t="shared" si="877"/>
        <v>548.37250000000006</v>
      </c>
      <c r="I7376" s="5" t="str">
        <f t="shared" si="878"/>
        <v>017</v>
      </c>
      <c r="J7376" s="5" t="str">
        <f t="shared" si="879"/>
        <v>2220</v>
      </c>
      <c r="K7376" s="5" t="str">
        <f t="shared" si="880"/>
        <v>000</v>
      </c>
      <c r="L7376" s="5">
        <f t="shared" si="881"/>
        <v>7</v>
      </c>
      <c r="M7376" s="5">
        <f t="shared" si="882"/>
        <v>2013</v>
      </c>
    </row>
    <row r="7377" spans="1:13" ht="15" x14ac:dyDescent="0.25">
      <c r="A7377" s="1">
        <f>DATE(2013,7,10)</f>
        <v>41465</v>
      </c>
      <c r="B7377" t="s">
        <v>18</v>
      </c>
      <c r="C7377" t="s">
        <v>10</v>
      </c>
      <c r="D7377" s="3">
        <v>111.35239999999999</v>
      </c>
      <c r="E7377" s="3">
        <v>0</v>
      </c>
      <c r="F7377" t="s">
        <v>45</v>
      </c>
      <c r="G7377" s="3">
        <f t="shared" si="876"/>
        <v>-111.35239999999999</v>
      </c>
      <c r="H7377" s="3">
        <f t="shared" si="877"/>
        <v>111.35239999999999</v>
      </c>
      <c r="I7377" s="5" t="str">
        <f t="shared" si="878"/>
        <v>017</v>
      </c>
      <c r="J7377" s="5" t="str">
        <f t="shared" si="879"/>
        <v>2230</v>
      </c>
      <c r="K7377" s="5" t="str">
        <f t="shared" si="880"/>
        <v>000</v>
      </c>
      <c r="L7377" s="5">
        <f t="shared" si="881"/>
        <v>7</v>
      </c>
      <c r="M7377" s="5">
        <f t="shared" si="882"/>
        <v>2013</v>
      </c>
    </row>
    <row r="7378" spans="1:13" ht="15" x14ac:dyDescent="0.25">
      <c r="A7378" s="1">
        <f>DATE(2013,7,11)</f>
        <v>41466</v>
      </c>
      <c r="B7378" t="s">
        <v>15</v>
      </c>
      <c r="C7378" t="s">
        <v>6</v>
      </c>
      <c r="D7378" s="3">
        <v>8101.5108</v>
      </c>
      <c r="E7378" s="3">
        <v>0</v>
      </c>
      <c r="F7378" t="s">
        <v>45</v>
      </c>
      <c r="G7378" s="3">
        <f t="shared" si="876"/>
        <v>-8101.5108</v>
      </c>
      <c r="H7378" s="3">
        <f t="shared" si="877"/>
        <v>8101.5108</v>
      </c>
      <c r="I7378" s="5" t="str">
        <f t="shared" si="878"/>
        <v>017</v>
      </c>
      <c r="J7378" s="5" t="str">
        <f t="shared" si="879"/>
        <v>2100</v>
      </c>
      <c r="K7378" s="5" t="str">
        <f t="shared" si="880"/>
        <v>000</v>
      </c>
      <c r="L7378" s="5">
        <f t="shared" si="881"/>
        <v>7</v>
      </c>
      <c r="M7378" s="5">
        <f t="shared" si="882"/>
        <v>2013</v>
      </c>
    </row>
    <row r="7379" spans="1:13" ht="15" x14ac:dyDescent="0.25">
      <c r="A7379" s="1">
        <f>DATE(2013,7,11)</f>
        <v>41466</v>
      </c>
      <c r="B7379" t="s">
        <v>16</v>
      </c>
      <c r="C7379" t="s">
        <v>8</v>
      </c>
      <c r="D7379" s="3">
        <v>1930.9585999999997</v>
      </c>
      <c r="E7379" s="3">
        <v>0</v>
      </c>
      <c r="F7379" t="s">
        <v>45</v>
      </c>
      <c r="G7379" s="3">
        <f t="shared" si="876"/>
        <v>-1930.9585999999997</v>
      </c>
      <c r="H7379" s="3">
        <f t="shared" si="877"/>
        <v>1930.9585999999997</v>
      </c>
      <c r="I7379" s="5" t="str">
        <f t="shared" si="878"/>
        <v>017</v>
      </c>
      <c r="J7379" s="5" t="str">
        <f t="shared" si="879"/>
        <v>2210</v>
      </c>
      <c r="K7379" s="5" t="str">
        <f t="shared" si="880"/>
        <v>000</v>
      </c>
      <c r="L7379" s="5">
        <f t="shared" si="881"/>
        <v>7</v>
      </c>
      <c r="M7379" s="5">
        <f t="shared" si="882"/>
        <v>2013</v>
      </c>
    </row>
    <row r="7380" spans="1:13" ht="15" x14ac:dyDescent="0.25">
      <c r="A7380" s="1">
        <f>DATE(2013,7,11)</f>
        <v>41466</v>
      </c>
      <c r="B7380" t="s">
        <v>17</v>
      </c>
      <c r="C7380" t="s">
        <v>9</v>
      </c>
      <c r="D7380" s="3">
        <v>657.64139999999998</v>
      </c>
      <c r="E7380" s="3">
        <v>0</v>
      </c>
      <c r="F7380" t="s">
        <v>45</v>
      </c>
      <c r="G7380" s="3">
        <f t="shared" si="876"/>
        <v>-657.64139999999998</v>
      </c>
      <c r="H7380" s="3">
        <f t="shared" si="877"/>
        <v>657.64139999999998</v>
      </c>
      <c r="I7380" s="5" t="str">
        <f t="shared" si="878"/>
        <v>017</v>
      </c>
      <c r="J7380" s="5" t="str">
        <f t="shared" si="879"/>
        <v>2220</v>
      </c>
      <c r="K7380" s="5" t="str">
        <f t="shared" si="880"/>
        <v>000</v>
      </c>
      <c r="L7380" s="5">
        <f t="shared" si="881"/>
        <v>7</v>
      </c>
      <c r="M7380" s="5">
        <f t="shared" si="882"/>
        <v>2013</v>
      </c>
    </row>
    <row r="7381" spans="1:13" ht="15" x14ac:dyDescent="0.25">
      <c r="A7381" s="1">
        <f>DATE(2013,7,11)</f>
        <v>41466</v>
      </c>
      <c r="B7381" t="s">
        <v>18</v>
      </c>
      <c r="C7381" t="s">
        <v>10</v>
      </c>
      <c r="D7381" s="3">
        <v>108.80799999999999</v>
      </c>
      <c r="E7381" s="3">
        <v>0</v>
      </c>
      <c r="F7381" t="s">
        <v>45</v>
      </c>
      <c r="G7381" s="3">
        <f t="shared" si="876"/>
        <v>-108.80799999999999</v>
      </c>
      <c r="H7381" s="3">
        <f t="shared" si="877"/>
        <v>108.80799999999999</v>
      </c>
      <c r="I7381" s="5" t="str">
        <f t="shared" si="878"/>
        <v>017</v>
      </c>
      <c r="J7381" s="5" t="str">
        <f t="shared" si="879"/>
        <v>2230</v>
      </c>
      <c r="K7381" s="5" t="str">
        <f t="shared" si="880"/>
        <v>000</v>
      </c>
      <c r="L7381" s="5">
        <f t="shared" si="881"/>
        <v>7</v>
      </c>
      <c r="M7381" s="5">
        <f t="shared" si="882"/>
        <v>2013</v>
      </c>
    </row>
    <row r="7382" spans="1:13" ht="15" x14ac:dyDescent="0.25">
      <c r="A7382" s="1">
        <f>DATE(2013,7,12)</f>
        <v>41467</v>
      </c>
      <c r="B7382" t="s">
        <v>15</v>
      </c>
      <c r="C7382" t="s">
        <v>6</v>
      </c>
      <c r="D7382" s="3">
        <v>9160.5971999999983</v>
      </c>
      <c r="E7382" s="3">
        <v>0</v>
      </c>
      <c r="F7382" t="s">
        <v>45</v>
      </c>
      <c r="G7382" s="3">
        <f t="shared" si="876"/>
        <v>-9160.5971999999983</v>
      </c>
      <c r="H7382" s="3">
        <f t="shared" si="877"/>
        <v>9160.5971999999983</v>
      </c>
      <c r="I7382" s="5" t="str">
        <f t="shared" si="878"/>
        <v>017</v>
      </c>
      <c r="J7382" s="5" t="str">
        <f t="shared" si="879"/>
        <v>2100</v>
      </c>
      <c r="K7382" s="5" t="str">
        <f t="shared" si="880"/>
        <v>000</v>
      </c>
      <c r="L7382" s="5">
        <f t="shared" si="881"/>
        <v>7</v>
      </c>
      <c r="M7382" s="5">
        <f t="shared" si="882"/>
        <v>2013</v>
      </c>
    </row>
    <row r="7383" spans="1:13" ht="15" x14ac:dyDescent="0.25">
      <c r="A7383" s="1">
        <f>DATE(2013,7,12)</f>
        <v>41467</v>
      </c>
      <c r="B7383" t="s">
        <v>16</v>
      </c>
      <c r="C7383" t="s">
        <v>8</v>
      </c>
      <c r="D7383" s="3">
        <v>2410.0063</v>
      </c>
      <c r="E7383" s="3">
        <v>0</v>
      </c>
      <c r="F7383" t="s">
        <v>45</v>
      </c>
      <c r="G7383" s="3">
        <f t="shared" si="876"/>
        <v>-2410.0063</v>
      </c>
      <c r="H7383" s="3">
        <f t="shared" si="877"/>
        <v>2410.0063</v>
      </c>
      <c r="I7383" s="5" t="str">
        <f t="shared" si="878"/>
        <v>017</v>
      </c>
      <c r="J7383" s="5" t="str">
        <f t="shared" si="879"/>
        <v>2210</v>
      </c>
      <c r="K7383" s="5" t="str">
        <f t="shared" si="880"/>
        <v>000</v>
      </c>
      <c r="L7383" s="5">
        <f t="shared" si="881"/>
        <v>7</v>
      </c>
      <c r="M7383" s="5">
        <f t="shared" si="882"/>
        <v>2013</v>
      </c>
    </row>
    <row r="7384" spans="1:13" ht="15" x14ac:dyDescent="0.25">
      <c r="A7384" s="1">
        <f>DATE(2013,7,12)</f>
        <v>41467</v>
      </c>
      <c r="B7384" t="s">
        <v>17</v>
      </c>
      <c r="C7384" t="s">
        <v>9</v>
      </c>
      <c r="D7384" s="3">
        <v>556.28820000000007</v>
      </c>
      <c r="E7384" s="3">
        <v>0</v>
      </c>
      <c r="F7384" t="s">
        <v>45</v>
      </c>
      <c r="G7384" s="3">
        <f t="shared" si="876"/>
        <v>-556.28820000000007</v>
      </c>
      <c r="H7384" s="3">
        <f t="shared" si="877"/>
        <v>556.28820000000007</v>
      </c>
      <c r="I7384" s="5" t="str">
        <f t="shared" si="878"/>
        <v>017</v>
      </c>
      <c r="J7384" s="5" t="str">
        <f t="shared" si="879"/>
        <v>2220</v>
      </c>
      <c r="K7384" s="5" t="str">
        <f t="shared" si="880"/>
        <v>000</v>
      </c>
      <c r="L7384" s="5">
        <f t="shared" si="881"/>
        <v>7</v>
      </c>
      <c r="M7384" s="5">
        <f t="shared" si="882"/>
        <v>2013</v>
      </c>
    </row>
    <row r="7385" spans="1:13" ht="15" x14ac:dyDescent="0.25">
      <c r="A7385" s="1">
        <f>DATE(2013,7,12)</f>
        <v>41467</v>
      </c>
      <c r="B7385" t="s">
        <v>18</v>
      </c>
      <c r="C7385" t="s">
        <v>10</v>
      </c>
      <c r="D7385" s="3">
        <v>68.474800000000002</v>
      </c>
      <c r="E7385" s="3">
        <v>0</v>
      </c>
      <c r="F7385" t="s">
        <v>45</v>
      </c>
      <c r="G7385" s="3">
        <f t="shared" si="876"/>
        <v>-68.474800000000002</v>
      </c>
      <c r="H7385" s="3">
        <f t="shared" si="877"/>
        <v>68.474800000000002</v>
      </c>
      <c r="I7385" s="5" t="str">
        <f t="shared" si="878"/>
        <v>017</v>
      </c>
      <c r="J7385" s="5" t="str">
        <f t="shared" si="879"/>
        <v>2230</v>
      </c>
      <c r="K7385" s="5" t="str">
        <f t="shared" si="880"/>
        <v>000</v>
      </c>
      <c r="L7385" s="5">
        <f t="shared" si="881"/>
        <v>7</v>
      </c>
      <c r="M7385" s="5">
        <f t="shared" si="882"/>
        <v>2013</v>
      </c>
    </row>
    <row r="7386" spans="1:13" ht="15" x14ac:dyDescent="0.25">
      <c r="A7386" s="1">
        <f>DATE(2013,7,13)</f>
        <v>41468</v>
      </c>
      <c r="B7386" t="s">
        <v>15</v>
      </c>
      <c r="C7386" t="s">
        <v>6</v>
      </c>
      <c r="D7386" s="3">
        <v>7642.7532999999994</v>
      </c>
      <c r="E7386" s="3">
        <v>0</v>
      </c>
      <c r="F7386" t="s">
        <v>45</v>
      </c>
      <c r="G7386" s="3">
        <f t="shared" si="876"/>
        <v>-7642.7532999999994</v>
      </c>
      <c r="H7386" s="3">
        <f t="shared" si="877"/>
        <v>7642.7532999999994</v>
      </c>
      <c r="I7386" s="5" t="str">
        <f t="shared" si="878"/>
        <v>017</v>
      </c>
      <c r="J7386" s="5" t="str">
        <f t="shared" si="879"/>
        <v>2100</v>
      </c>
      <c r="K7386" s="5" t="str">
        <f t="shared" si="880"/>
        <v>000</v>
      </c>
      <c r="L7386" s="5">
        <f t="shared" si="881"/>
        <v>7</v>
      </c>
      <c r="M7386" s="5">
        <f t="shared" si="882"/>
        <v>2013</v>
      </c>
    </row>
    <row r="7387" spans="1:13" ht="15" x14ac:dyDescent="0.25">
      <c r="A7387" s="1">
        <f>DATE(2013,7,13)</f>
        <v>41468</v>
      </c>
      <c r="B7387" t="s">
        <v>16</v>
      </c>
      <c r="C7387" t="s">
        <v>8</v>
      </c>
      <c r="D7387" s="3">
        <v>1313.8400000000001</v>
      </c>
      <c r="E7387" s="3">
        <v>0</v>
      </c>
      <c r="F7387" t="s">
        <v>45</v>
      </c>
      <c r="G7387" s="3">
        <f t="shared" si="876"/>
        <v>-1313.8400000000001</v>
      </c>
      <c r="H7387" s="3">
        <f t="shared" si="877"/>
        <v>1313.8400000000001</v>
      </c>
      <c r="I7387" s="5" t="str">
        <f t="shared" si="878"/>
        <v>017</v>
      </c>
      <c r="J7387" s="5" t="str">
        <f t="shared" si="879"/>
        <v>2210</v>
      </c>
      <c r="K7387" s="5" t="str">
        <f t="shared" si="880"/>
        <v>000</v>
      </c>
      <c r="L7387" s="5">
        <f t="shared" si="881"/>
        <v>7</v>
      </c>
      <c r="M7387" s="5">
        <f t="shared" si="882"/>
        <v>2013</v>
      </c>
    </row>
    <row r="7388" spans="1:13" ht="15" x14ac:dyDescent="0.25">
      <c r="A7388" s="1">
        <f>DATE(2013,7,13)</f>
        <v>41468</v>
      </c>
      <c r="B7388" t="s">
        <v>17</v>
      </c>
      <c r="C7388" t="s">
        <v>9</v>
      </c>
      <c r="D7388" s="3">
        <v>273.084</v>
      </c>
      <c r="E7388" s="3">
        <v>0</v>
      </c>
      <c r="F7388" t="s">
        <v>45</v>
      </c>
      <c r="G7388" s="3">
        <f t="shared" si="876"/>
        <v>-273.084</v>
      </c>
      <c r="H7388" s="3">
        <f t="shared" si="877"/>
        <v>273.084</v>
      </c>
      <c r="I7388" s="5" t="str">
        <f t="shared" si="878"/>
        <v>017</v>
      </c>
      <c r="J7388" s="5" t="str">
        <f t="shared" si="879"/>
        <v>2220</v>
      </c>
      <c r="K7388" s="5" t="str">
        <f t="shared" si="880"/>
        <v>000</v>
      </c>
      <c r="L7388" s="5">
        <f t="shared" si="881"/>
        <v>7</v>
      </c>
      <c r="M7388" s="5">
        <f t="shared" si="882"/>
        <v>2013</v>
      </c>
    </row>
    <row r="7389" spans="1:13" ht="15" x14ac:dyDescent="0.25">
      <c r="A7389" s="1">
        <f>DATE(2013,7,13)</f>
        <v>41468</v>
      </c>
      <c r="B7389" t="s">
        <v>18</v>
      </c>
      <c r="C7389" t="s">
        <v>10</v>
      </c>
      <c r="D7389" s="3">
        <v>42.426000000000002</v>
      </c>
      <c r="E7389" s="3">
        <v>0</v>
      </c>
      <c r="F7389" t="s">
        <v>45</v>
      </c>
      <c r="G7389" s="3">
        <f t="shared" si="876"/>
        <v>-42.426000000000002</v>
      </c>
      <c r="H7389" s="3">
        <f t="shared" si="877"/>
        <v>42.426000000000002</v>
      </c>
      <c r="I7389" s="5" t="str">
        <f t="shared" si="878"/>
        <v>017</v>
      </c>
      <c r="J7389" s="5" t="str">
        <f t="shared" si="879"/>
        <v>2230</v>
      </c>
      <c r="K7389" s="5" t="str">
        <f t="shared" si="880"/>
        <v>000</v>
      </c>
      <c r="L7389" s="5">
        <f t="shared" si="881"/>
        <v>7</v>
      </c>
      <c r="M7389" s="5">
        <f t="shared" si="882"/>
        <v>2013</v>
      </c>
    </row>
    <row r="7390" spans="1:13" ht="15" x14ac:dyDescent="0.25">
      <c r="A7390" s="1">
        <f>DATE(2013,7,14)</f>
        <v>41469</v>
      </c>
      <c r="B7390" t="s">
        <v>15</v>
      </c>
      <c r="C7390" t="s">
        <v>6</v>
      </c>
      <c r="D7390" s="3">
        <v>4993.076</v>
      </c>
      <c r="E7390" s="3">
        <v>0</v>
      </c>
      <c r="F7390" t="s">
        <v>45</v>
      </c>
      <c r="G7390" s="3">
        <f t="shared" si="876"/>
        <v>-4993.076</v>
      </c>
      <c r="H7390" s="3">
        <f t="shared" si="877"/>
        <v>4993.076</v>
      </c>
      <c r="I7390" s="5" t="str">
        <f t="shared" si="878"/>
        <v>017</v>
      </c>
      <c r="J7390" s="5" t="str">
        <f t="shared" si="879"/>
        <v>2100</v>
      </c>
      <c r="K7390" s="5" t="str">
        <f t="shared" si="880"/>
        <v>000</v>
      </c>
      <c r="L7390" s="5">
        <f t="shared" si="881"/>
        <v>7</v>
      </c>
      <c r="M7390" s="5">
        <f t="shared" si="882"/>
        <v>2013</v>
      </c>
    </row>
    <row r="7391" spans="1:13" ht="15" x14ac:dyDescent="0.25">
      <c r="A7391" s="1">
        <f>DATE(2013,7,14)</f>
        <v>41469</v>
      </c>
      <c r="B7391" t="s">
        <v>16</v>
      </c>
      <c r="C7391" t="s">
        <v>8</v>
      </c>
      <c r="D7391" s="3">
        <v>1155.3672000000001</v>
      </c>
      <c r="E7391" s="3">
        <v>0</v>
      </c>
      <c r="F7391" t="s">
        <v>45</v>
      </c>
      <c r="G7391" s="3">
        <f t="shared" si="876"/>
        <v>-1155.3672000000001</v>
      </c>
      <c r="H7391" s="3">
        <f t="shared" si="877"/>
        <v>1155.3672000000001</v>
      </c>
      <c r="I7391" s="5" t="str">
        <f t="shared" si="878"/>
        <v>017</v>
      </c>
      <c r="J7391" s="5" t="str">
        <f t="shared" si="879"/>
        <v>2210</v>
      </c>
      <c r="K7391" s="5" t="str">
        <f t="shared" si="880"/>
        <v>000</v>
      </c>
      <c r="L7391" s="5">
        <f t="shared" si="881"/>
        <v>7</v>
      </c>
      <c r="M7391" s="5">
        <f t="shared" si="882"/>
        <v>2013</v>
      </c>
    </row>
    <row r="7392" spans="1:13" ht="15" x14ac:dyDescent="0.25">
      <c r="A7392" s="1">
        <f>DATE(2013,7,14)</f>
        <v>41469</v>
      </c>
      <c r="B7392" t="s">
        <v>17</v>
      </c>
      <c r="C7392" t="s">
        <v>9</v>
      </c>
      <c r="D7392" s="3">
        <v>216.46949999999998</v>
      </c>
      <c r="E7392" s="3">
        <v>0</v>
      </c>
      <c r="F7392" t="s">
        <v>45</v>
      </c>
      <c r="G7392" s="3">
        <f t="shared" si="876"/>
        <v>-216.46949999999998</v>
      </c>
      <c r="H7392" s="3">
        <f t="shared" si="877"/>
        <v>216.46949999999998</v>
      </c>
      <c r="I7392" s="5" t="str">
        <f t="shared" si="878"/>
        <v>017</v>
      </c>
      <c r="J7392" s="5" t="str">
        <f t="shared" si="879"/>
        <v>2220</v>
      </c>
      <c r="K7392" s="5" t="str">
        <f t="shared" si="880"/>
        <v>000</v>
      </c>
      <c r="L7392" s="5">
        <f t="shared" si="881"/>
        <v>7</v>
      </c>
      <c r="M7392" s="5">
        <f t="shared" si="882"/>
        <v>2013</v>
      </c>
    </row>
    <row r="7393" spans="1:13" ht="15" x14ac:dyDescent="0.25">
      <c r="A7393" s="1">
        <f>DATE(2013,7,14)</f>
        <v>41469</v>
      </c>
      <c r="B7393" t="s">
        <v>18</v>
      </c>
      <c r="C7393" t="s">
        <v>10</v>
      </c>
      <c r="D7393" s="3">
        <v>60.515099999999997</v>
      </c>
      <c r="E7393" s="3">
        <v>0</v>
      </c>
      <c r="F7393" t="s">
        <v>45</v>
      </c>
      <c r="G7393" s="3">
        <f t="shared" si="876"/>
        <v>-60.515099999999997</v>
      </c>
      <c r="H7393" s="3">
        <f t="shared" si="877"/>
        <v>60.515099999999997</v>
      </c>
      <c r="I7393" s="5" t="str">
        <f t="shared" si="878"/>
        <v>017</v>
      </c>
      <c r="J7393" s="5" t="str">
        <f t="shared" si="879"/>
        <v>2230</v>
      </c>
      <c r="K7393" s="5" t="str">
        <f t="shared" si="880"/>
        <v>000</v>
      </c>
      <c r="L7393" s="5">
        <f t="shared" si="881"/>
        <v>7</v>
      </c>
      <c r="M7393" s="5">
        <f t="shared" si="882"/>
        <v>2013</v>
      </c>
    </row>
    <row r="7394" spans="1:13" ht="15" x14ac:dyDescent="0.25">
      <c r="A7394" s="1">
        <f>DATE(2013,7,8)</f>
        <v>41463</v>
      </c>
      <c r="B7394" t="s">
        <v>19</v>
      </c>
      <c r="C7394" t="s">
        <v>6</v>
      </c>
      <c r="D7394" s="3">
        <v>5071.1025999999993</v>
      </c>
      <c r="E7394" s="3">
        <v>0</v>
      </c>
      <c r="F7394" t="s">
        <v>45</v>
      </c>
      <c r="G7394" s="3">
        <f t="shared" si="876"/>
        <v>-5071.1025999999993</v>
      </c>
      <c r="H7394" s="3">
        <f t="shared" si="877"/>
        <v>5071.1025999999993</v>
      </c>
      <c r="I7394" s="5" t="str">
        <f t="shared" si="878"/>
        <v>018</v>
      </c>
      <c r="J7394" s="5" t="str">
        <f t="shared" si="879"/>
        <v>2100</v>
      </c>
      <c r="K7394" s="5" t="str">
        <f t="shared" si="880"/>
        <v>000</v>
      </c>
      <c r="L7394" s="5">
        <f t="shared" si="881"/>
        <v>7</v>
      </c>
      <c r="M7394" s="5">
        <f t="shared" si="882"/>
        <v>2013</v>
      </c>
    </row>
    <row r="7395" spans="1:13" ht="15" x14ac:dyDescent="0.25">
      <c r="A7395" s="1">
        <f>DATE(2013,7,8)</f>
        <v>41463</v>
      </c>
      <c r="B7395" t="s">
        <v>20</v>
      </c>
      <c r="C7395" t="s">
        <v>8</v>
      </c>
      <c r="D7395" s="3">
        <v>796.84140000000002</v>
      </c>
      <c r="E7395" s="3">
        <v>0</v>
      </c>
      <c r="F7395" t="s">
        <v>45</v>
      </c>
      <c r="G7395" s="3">
        <f t="shared" si="876"/>
        <v>-796.84140000000002</v>
      </c>
      <c r="H7395" s="3">
        <f t="shared" si="877"/>
        <v>796.84140000000002</v>
      </c>
      <c r="I7395" s="5" t="str">
        <f t="shared" si="878"/>
        <v>018</v>
      </c>
      <c r="J7395" s="5" t="str">
        <f t="shared" si="879"/>
        <v>2210</v>
      </c>
      <c r="K7395" s="5" t="str">
        <f t="shared" si="880"/>
        <v>000</v>
      </c>
      <c r="L7395" s="5">
        <f t="shared" si="881"/>
        <v>7</v>
      </c>
      <c r="M7395" s="5">
        <f t="shared" si="882"/>
        <v>2013</v>
      </c>
    </row>
    <row r="7396" spans="1:13" ht="15" x14ac:dyDescent="0.25">
      <c r="A7396" s="1">
        <f>DATE(2013,7,8)</f>
        <v>41463</v>
      </c>
      <c r="B7396" t="s">
        <v>21</v>
      </c>
      <c r="C7396" t="s">
        <v>9</v>
      </c>
      <c r="D7396" s="3">
        <v>223.2216</v>
      </c>
      <c r="E7396" s="3">
        <v>0</v>
      </c>
      <c r="F7396" t="s">
        <v>45</v>
      </c>
      <c r="G7396" s="3">
        <f t="shared" si="876"/>
        <v>-223.2216</v>
      </c>
      <c r="H7396" s="3">
        <f t="shared" si="877"/>
        <v>223.2216</v>
      </c>
      <c r="I7396" s="5" t="str">
        <f t="shared" si="878"/>
        <v>018</v>
      </c>
      <c r="J7396" s="5" t="str">
        <f t="shared" si="879"/>
        <v>2220</v>
      </c>
      <c r="K7396" s="5" t="str">
        <f t="shared" si="880"/>
        <v>000</v>
      </c>
      <c r="L7396" s="5">
        <f t="shared" si="881"/>
        <v>7</v>
      </c>
      <c r="M7396" s="5">
        <f t="shared" si="882"/>
        <v>2013</v>
      </c>
    </row>
    <row r="7397" spans="1:13" ht="15" x14ac:dyDescent="0.25">
      <c r="A7397" s="1">
        <f>DATE(2013,7,8)</f>
        <v>41463</v>
      </c>
      <c r="B7397" t="s">
        <v>22</v>
      </c>
      <c r="C7397" t="s">
        <v>10</v>
      </c>
      <c r="D7397" s="3">
        <v>26.761500000000002</v>
      </c>
      <c r="E7397" s="3">
        <v>0</v>
      </c>
      <c r="F7397" t="s">
        <v>45</v>
      </c>
      <c r="G7397" s="3">
        <f t="shared" si="876"/>
        <v>-26.761500000000002</v>
      </c>
      <c r="H7397" s="3">
        <f t="shared" si="877"/>
        <v>26.761500000000002</v>
      </c>
      <c r="I7397" s="5" t="str">
        <f t="shared" si="878"/>
        <v>018</v>
      </c>
      <c r="J7397" s="5" t="str">
        <f t="shared" si="879"/>
        <v>2230</v>
      </c>
      <c r="K7397" s="5" t="str">
        <f t="shared" si="880"/>
        <v>000</v>
      </c>
      <c r="L7397" s="5">
        <f t="shared" si="881"/>
        <v>7</v>
      </c>
      <c r="M7397" s="5">
        <f t="shared" si="882"/>
        <v>2013</v>
      </c>
    </row>
    <row r="7398" spans="1:13" ht="15" x14ac:dyDescent="0.25">
      <c r="A7398" s="1">
        <f>DATE(2013,7,9)</f>
        <v>41464</v>
      </c>
      <c r="B7398" t="s">
        <v>19</v>
      </c>
      <c r="C7398" t="s">
        <v>6</v>
      </c>
      <c r="D7398" s="3">
        <v>3785.7518999999998</v>
      </c>
      <c r="E7398" s="3">
        <v>0</v>
      </c>
      <c r="F7398" t="s">
        <v>45</v>
      </c>
      <c r="G7398" s="3">
        <f t="shared" si="876"/>
        <v>-3785.7518999999998</v>
      </c>
      <c r="H7398" s="3">
        <f t="shared" si="877"/>
        <v>3785.7518999999998</v>
      </c>
      <c r="I7398" s="5" t="str">
        <f t="shared" si="878"/>
        <v>018</v>
      </c>
      <c r="J7398" s="5" t="str">
        <f t="shared" si="879"/>
        <v>2100</v>
      </c>
      <c r="K7398" s="5" t="str">
        <f t="shared" si="880"/>
        <v>000</v>
      </c>
      <c r="L7398" s="5">
        <f t="shared" si="881"/>
        <v>7</v>
      </c>
      <c r="M7398" s="5">
        <f t="shared" si="882"/>
        <v>2013</v>
      </c>
    </row>
    <row r="7399" spans="1:13" ht="15" x14ac:dyDescent="0.25">
      <c r="A7399" s="1">
        <f>DATE(2013,7,9)</f>
        <v>41464</v>
      </c>
      <c r="B7399" t="s">
        <v>20</v>
      </c>
      <c r="C7399" t="s">
        <v>8</v>
      </c>
      <c r="D7399" s="3">
        <v>797.33949999999993</v>
      </c>
      <c r="E7399" s="3">
        <v>0</v>
      </c>
      <c r="F7399" t="s">
        <v>45</v>
      </c>
      <c r="G7399" s="3">
        <f t="shared" si="876"/>
        <v>-797.33949999999993</v>
      </c>
      <c r="H7399" s="3">
        <f t="shared" si="877"/>
        <v>797.33949999999993</v>
      </c>
      <c r="I7399" s="5" t="str">
        <f t="shared" si="878"/>
        <v>018</v>
      </c>
      <c r="J7399" s="5" t="str">
        <f t="shared" si="879"/>
        <v>2210</v>
      </c>
      <c r="K7399" s="5" t="str">
        <f t="shared" si="880"/>
        <v>000</v>
      </c>
      <c r="L7399" s="5">
        <f t="shared" si="881"/>
        <v>7</v>
      </c>
      <c r="M7399" s="5">
        <f t="shared" si="882"/>
        <v>2013</v>
      </c>
    </row>
    <row r="7400" spans="1:13" ht="15" x14ac:dyDescent="0.25">
      <c r="A7400" s="1">
        <f>DATE(2013,7,9)</f>
        <v>41464</v>
      </c>
      <c r="B7400" t="s">
        <v>21</v>
      </c>
      <c r="C7400" t="s">
        <v>9</v>
      </c>
      <c r="D7400" s="3">
        <v>282.76650000000001</v>
      </c>
      <c r="E7400" s="3">
        <v>0</v>
      </c>
      <c r="F7400" t="s">
        <v>45</v>
      </c>
      <c r="G7400" s="3">
        <f t="shared" si="876"/>
        <v>-282.76650000000001</v>
      </c>
      <c r="H7400" s="3">
        <f t="shared" si="877"/>
        <v>282.76650000000001</v>
      </c>
      <c r="I7400" s="5" t="str">
        <f t="shared" si="878"/>
        <v>018</v>
      </c>
      <c r="J7400" s="5" t="str">
        <f t="shared" si="879"/>
        <v>2220</v>
      </c>
      <c r="K7400" s="5" t="str">
        <f t="shared" si="880"/>
        <v>000</v>
      </c>
      <c r="L7400" s="5">
        <f t="shared" si="881"/>
        <v>7</v>
      </c>
      <c r="M7400" s="5">
        <f t="shared" si="882"/>
        <v>2013</v>
      </c>
    </row>
    <row r="7401" spans="1:13" ht="15" x14ac:dyDescent="0.25">
      <c r="A7401" s="1">
        <f>DATE(2013,7,10)</f>
        <v>41465</v>
      </c>
      <c r="B7401" t="s">
        <v>19</v>
      </c>
      <c r="C7401" t="s">
        <v>6</v>
      </c>
      <c r="D7401" s="3">
        <v>4643.5024000000003</v>
      </c>
      <c r="E7401" s="3">
        <v>0</v>
      </c>
      <c r="F7401" t="s">
        <v>45</v>
      </c>
      <c r="G7401" s="3">
        <f t="shared" si="876"/>
        <v>-4643.5024000000003</v>
      </c>
      <c r="H7401" s="3">
        <f t="shared" si="877"/>
        <v>4643.5024000000003</v>
      </c>
      <c r="I7401" s="5" t="str">
        <f t="shared" si="878"/>
        <v>018</v>
      </c>
      <c r="J7401" s="5" t="str">
        <f t="shared" si="879"/>
        <v>2100</v>
      </c>
      <c r="K7401" s="5" t="str">
        <f t="shared" si="880"/>
        <v>000</v>
      </c>
      <c r="L7401" s="5">
        <f t="shared" si="881"/>
        <v>7</v>
      </c>
      <c r="M7401" s="5">
        <f t="shared" si="882"/>
        <v>2013</v>
      </c>
    </row>
    <row r="7402" spans="1:13" ht="15" x14ac:dyDescent="0.25">
      <c r="A7402" s="1">
        <f>DATE(2013,7,10)</f>
        <v>41465</v>
      </c>
      <c r="B7402" t="s">
        <v>20</v>
      </c>
      <c r="C7402" t="s">
        <v>8</v>
      </c>
      <c r="D7402" s="3">
        <v>763.68050000000005</v>
      </c>
      <c r="E7402" s="3">
        <v>0</v>
      </c>
      <c r="F7402" t="s">
        <v>45</v>
      </c>
      <c r="G7402" s="3">
        <f t="shared" si="876"/>
        <v>-763.68050000000005</v>
      </c>
      <c r="H7402" s="3">
        <f t="shared" si="877"/>
        <v>763.68050000000005</v>
      </c>
      <c r="I7402" s="5" t="str">
        <f t="shared" si="878"/>
        <v>018</v>
      </c>
      <c r="J7402" s="5" t="str">
        <f t="shared" si="879"/>
        <v>2210</v>
      </c>
      <c r="K7402" s="5" t="str">
        <f t="shared" si="880"/>
        <v>000</v>
      </c>
      <c r="L7402" s="5">
        <f t="shared" si="881"/>
        <v>7</v>
      </c>
      <c r="M7402" s="5">
        <f t="shared" si="882"/>
        <v>2013</v>
      </c>
    </row>
    <row r="7403" spans="1:13" ht="15" x14ac:dyDescent="0.25">
      <c r="A7403" s="1">
        <f>DATE(2013,7,10)</f>
        <v>41465</v>
      </c>
      <c r="B7403" t="s">
        <v>21</v>
      </c>
      <c r="C7403" t="s">
        <v>9</v>
      </c>
      <c r="D7403" s="3">
        <v>385.66079999999999</v>
      </c>
      <c r="E7403" s="3">
        <v>0</v>
      </c>
      <c r="F7403" t="s">
        <v>45</v>
      </c>
      <c r="G7403" s="3">
        <f t="shared" si="876"/>
        <v>-385.66079999999999</v>
      </c>
      <c r="H7403" s="3">
        <f t="shared" si="877"/>
        <v>385.66079999999999</v>
      </c>
      <c r="I7403" s="5" t="str">
        <f t="shared" si="878"/>
        <v>018</v>
      </c>
      <c r="J7403" s="5" t="str">
        <f t="shared" si="879"/>
        <v>2220</v>
      </c>
      <c r="K7403" s="5" t="str">
        <f t="shared" si="880"/>
        <v>000</v>
      </c>
      <c r="L7403" s="5">
        <f t="shared" si="881"/>
        <v>7</v>
      </c>
      <c r="M7403" s="5">
        <f t="shared" si="882"/>
        <v>2013</v>
      </c>
    </row>
    <row r="7404" spans="1:13" ht="15" x14ac:dyDescent="0.25">
      <c r="A7404" s="1">
        <f>DATE(2013,7,10)</f>
        <v>41465</v>
      </c>
      <c r="B7404" t="s">
        <v>22</v>
      </c>
      <c r="C7404" t="s">
        <v>10</v>
      </c>
      <c r="D7404" s="3">
        <v>48.191600000000008</v>
      </c>
      <c r="E7404" s="3">
        <v>0</v>
      </c>
      <c r="F7404" t="s">
        <v>45</v>
      </c>
      <c r="G7404" s="3">
        <f t="shared" si="876"/>
        <v>-48.191600000000008</v>
      </c>
      <c r="H7404" s="3">
        <f t="shared" si="877"/>
        <v>48.191600000000008</v>
      </c>
      <c r="I7404" s="5" t="str">
        <f t="shared" si="878"/>
        <v>018</v>
      </c>
      <c r="J7404" s="5" t="str">
        <f t="shared" si="879"/>
        <v>2230</v>
      </c>
      <c r="K7404" s="5" t="str">
        <f t="shared" si="880"/>
        <v>000</v>
      </c>
      <c r="L7404" s="5">
        <f t="shared" si="881"/>
        <v>7</v>
      </c>
      <c r="M7404" s="5">
        <f t="shared" si="882"/>
        <v>2013</v>
      </c>
    </row>
    <row r="7405" spans="1:13" ht="15" x14ac:dyDescent="0.25">
      <c r="A7405" s="1">
        <f>DATE(2013,7,11)</f>
        <v>41466</v>
      </c>
      <c r="B7405" t="s">
        <v>19</v>
      </c>
      <c r="C7405" t="s">
        <v>6</v>
      </c>
      <c r="D7405" s="3">
        <v>5287.7055</v>
      </c>
      <c r="E7405" s="3">
        <v>0</v>
      </c>
      <c r="F7405" t="s">
        <v>45</v>
      </c>
      <c r="G7405" s="3">
        <f t="shared" si="876"/>
        <v>-5287.7055</v>
      </c>
      <c r="H7405" s="3">
        <f t="shared" si="877"/>
        <v>5287.7055</v>
      </c>
      <c r="I7405" s="5" t="str">
        <f t="shared" si="878"/>
        <v>018</v>
      </c>
      <c r="J7405" s="5" t="str">
        <f t="shared" si="879"/>
        <v>2100</v>
      </c>
      <c r="K7405" s="5" t="str">
        <f t="shared" si="880"/>
        <v>000</v>
      </c>
      <c r="L7405" s="5">
        <f t="shared" si="881"/>
        <v>7</v>
      </c>
      <c r="M7405" s="5">
        <f t="shared" si="882"/>
        <v>2013</v>
      </c>
    </row>
    <row r="7406" spans="1:13" ht="15" x14ac:dyDescent="0.25">
      <c r="A7406" s="1">
        <f>DATE(2013,7,11)</f>
        <v>41466</v>
      </c>
      <c r="B7406" t="s">
        <v>20</v>
      </c>
      <c r="C7406" t="s">
        <v>8</v>
      </c>
      <c r="D7406" s="3">
        <v>1191.664</v>
      </c>
      <c r="E7406" s="3">
        <v>0</v>
      </c>
      <c r="F7406" t="s">
        <v>45</v>
      </c>
      <c r="G7406" s="3">
        <f t="shared" si="876"/>
        <v>-1191.664</v>
      </c>
      <c r="H7406" s="3">
        <f t="shared" si="877"/>
        <v>1191.664</v>
      </c>
      <c r="I7406" s="5" t="str">
        <f t="shared" si="878"/>
        <v>018</v>
      </c>
      <c r="J7406" s="5" t="str">
        <f t="shared" si="879"/>
        <v>2210</v>
      </c>
      <c r="K7406" s="5" t="str">
        <f t="shared" si="880"/>
        <v>000</v>
      </c>
      <c r="L7406" s="5">
        <f t="shared" si="881"/>
        <v>7</v>
      </c>
      <c r="M7406" s="5">
        <f t="shared" si="882"/>
        <v>2013</v>
      </c>
    </row>
    <row r="7407" spans="1:13" ht="15" x14ac:dyDescent="0.25">
      <c r="A7407" s="1">
        <f>DATE(2013,7,11)</f>
        <v>41466</v>
      </c>
      <c r="B7407" t="s">
        <v>21</v>
      </c>
      <c r="C7407" t="s">
        <v>9</v>
      </c>
      <c r="D7407" s="3">
        <v>355.83699999999999</v>
      </c>
      <c r="E7407" s="3">
        <v>0</v>
      </c>
      <c r="F7407" t="s">
        <v>45</v>
      </c>
      <c r="G7407" s="3">
        <f t="shared" si="876"/>
        <v>-355.83699999999999</v>
      </c>
      <c r="H7407" s="3">
        <f t="shared" si="877"/>
        <v>355.83699999999999</v>
      </c>
      <c r="I7407" s="5" t="str">
        <f t="shared" si="878"/>
        <v>018</v>
      </c>
      <c r="J7407" s="5" t="str">
        <f t="shared" si="879"/>
        <v>2220</v>
      </c>
      <c r="K7407" s="5" t="str">
        <f t="shared" si="880"/>
        <v>000</v>
      </c>
      <c r="L7407" s="5">
        <f t="shared" si="881"/>
        <v>7</v>
      </c>
      <c r="M7407" s="5">
        <f t="shared" si="882"/>
        <v>2013</v>
      </c>
    </row>
    <row r="7408" spans="1:13" ht="15" x14ac:dyDescent="0.25">
      <c r="A7408" s="1">
        <f>DATE(2013,7,11)</f>
        <v>41466</v>
      </c>
      <c r="B7408" t="s">
        <v>22</v>
      </c>
      <c r="C7408" t="s">
        <v>10</v>
      </c>
      <c r="D7408" s="3">
        <v>8.4505999999999997</v>
      </c>
      <c r="E7408" s="3">
        <v>0</v>
      </c>
      <c r="F7408" t="s">
        <v>45</v>
      </c>
      <c r="G7408" s="3">
        <f t="shared" si="876"/>
        <v>-8.4505999999999997</v>
      </c>
      <c r="H7408" s="3">
        <f t="shared" si="877"/>
        <v>8.4505999999999997</v>
      </c>
      <c r="I7408" s="5" t="str">
        <f t="shared" si="878"/>
        <v>018</v>
      </c>
      <c r="J7408" s="5" t="str">
        <f t="shared" si="879"/>
        <v>2230</v>
      </c>
      <c r="K7408" s="5" t="str">
        <f t="shared" si="880"/>
        <v>000</v>
      </c>
      <c r="L7408" s="5">
        <f t="shared" si="881"/>
        <v>7</v>
      </c>
      <c r="M7408" s="5">
        <f t="shared" si="882"/>
        <v>2013</v>
      </c>
    </row>
    <row r="7409" spans="1:13" ht="15" x14ac:dyDescent="0.25">
      <c r="A7409" s="1">
        <f>DATE(2013,7,12)</f>
        <v>41467</v>
      </c>
      <c r="B7409" t="s">
        <v>19</v>
      </c>
      <c r="C7409" t="s">
        <v>6</v>
      </c>
      <c r="D7409" s="3">
        <v>9768.5818999999992</v>
      </c>
      <c r="E7409" s="3">
        <v>0</v>
      </c>
      <c r="F7409" t="s">
        <v>45</v>
      </c>
      <c r="G7409" s="3">
        <f t="shared" si="876"/>
        <v>-9768.5818999999992</v>
      </c>
      <c r="H7409" s="3">
        <f t="shared" si="877"/>
        <v>9768.5818999999992</v>
      </c>
      <c r="I7409" s="5" t="str">
        <f t="shared" si="878"/>
        <v>018</v>
      </c>
      <c r="J7409" s="5" t="str">
        <f t="shared" si="879"/>
        <v>2100</v>
      </c>
      <c r="K7409" s="5" t="str">
        <f t="shared" si="880"/>
        <v>000</v>
      </c>
      <c r="L7409" s="5">
        <f t="shared" si="881"/>
        <v>7</v>
      </c>
      <c r="M7409" s="5">
        <f t="shared" si="882"/>
        <v>2013</v>
      </c>
    </row>
    <row r="7410" spans="1:13" ht="15" x14ac:dyDescent="0.25">
      <c r="A7410" s="1">
        <f>DATE(2013,7,12)</f>
        <v>41467</v>
      </c>
      <c r="B7410" t="s">
        <v>20</v>
      </c>
      <c r="C7410" t="s">
        <v>8</v>
      </c>
      <c r="D7410" s="3">
        <v>3178.6573000000003</v>
      </c>
      <c r="E7410" s="3">
        <v>0</v>
      </c>
      <c r="F7410" t="s">
        <v>45</v>
      </c>
      <c r="G7410" s="3">
        <f t="shared" si="876"/>
        <v>-3178.6573000000003</v>
      </c>
      <c r="H7410" s="3">
        <f t="shared" si="877"/>
        <v>3178.6573000000003</v>
      </c>
      <c r="I7410" s="5" t="str">
        <f t="shared" si="878"/>
        <v>018</v>
      </c>
      <c r="J7410" s="5" t="str">
        <f t="shared" si="879"/>
        <v>2210</v>
      </c>
      <c r="K7410" s="5" t="str">
        <f t="shared" si="880"/>
        <v>000</v>
      </c>
      <c r="L7410" s="5">
        <f t="shared" si="881"/>
        <v>7</v>
      </c>
      <c r="M7410" s="5">
        <f t="shared" si="882"/>
        <v>2013</v>
      </c>
    </row>
    <row r="7411" spans="1:13" ht="15" x14ac:dyDescent="0.25">
      <c r="A7411" s="1">
        <f>DATE(2013,7,12)</f>
        <v>41467</v>
      </c>
      <c r="B7411" t="s">
        <v>21</v>
      </c>
      <c r="C7411" t="s">
        <v>9</v>
      </c>
      <c r="D7411" s="3">
        <v>682.19100000000003</v>
      </c>
      <c r="E7411" s="3">
        <v>0</v>
      </c>
      <c r="F7411" t="s">
        <v>45</v>
      </c>
      <c r="G7411" s="3">
        <f t="shared" si="876"/>
        <v>-682.19100000000003</v>
      </c>
      <c r="H7411" s="3">
        <f t="shared" si="877"/>
        <v>682.19100000000003</v>
      </c>
      <c r="I7411" s="5" t="str">
        <f t="shared" si="878"/>
        <v>018</v>
      </c>
      <c r="J7411" s="5" t="str">
        <f t="shared" si="879"/>
        <v>2220</v>
      </c>
      <c r="K7411" s="5" t="str">
        <f t="shared" si="880"/>
        <v>000</v>
      </c>
      <c r="L7411" s="5">
        <f t="shared" si="881"/>
        <v>7</v>
      </c>
      <c r="M7411" s="5">
        <f t="shared" si="882"/>
        <v>2013</v>
      </c>
    </row>
    <row r="7412" spans="1:13" ht="15" x14ac:dyDescent="0.25">
      <c r="A7412" s="1">
        <f>DATE(2013,7,12)</f>
        <v>41467</v>
      </c>
      <c r="B7412" t="s">
        <v>22</v>
      </c>
      <c r="C7412" t="s">
        <v>10</v>
      </c>
      <c r="D7412" s="3">
        <v>196.4872</v>
      </c>
      <c r="E7412" s="3">
        <v>0</v>
      </c>
      <c r="F7412" t="s">
        <v>45</v>
      </c>
      <c r="G7412" s="3">
        <f t="shared" si="876"/>
        <v>-196.4872</v>
      </c>
      <c r="H7412" s="3">
        <f t="shared" si="877"/>
        <v>196.4872</v>
      </c>
      <c r="I7412" s="5" t="str">
        <f t="shared" si="878"/>
        <v>018</v>
      </c>
      <c r="J7412" s="5" t="str">
        <f t="shared" si="879"/>
        <v>2230</v>
      </c>
      <c r="K7412" s="5" t="str">
        <f t="shared" si="880"/>
        <v>000</v>
      </c>
      <c r="L7412" s="5">
        <f t="shared" si="881"/>
        <v>7</v>
      </c>
      <c r="M7412" s="5">
        <f t="shared" si="882"/>
        <v>2013</v>
      </c>
    </row>
    <row r="7413" spans="1:13" ht="15" x14ac:dyDescent="0.25">
      <c r="A7413" s="1">
        <f>DATE(2013,7,13)</f>
        <v>41468</v>
      </c>
      <c r="B7413" t="s">
        <v>19</v>
      </c>
      <c r="C7413" t="s">
        <v>6</v>
      </c>
      <c r="D7413" s="3">
        <v>16046.238600000001</v>
      </c>
      <c r="E7413" s="3">
        <v>0</v>
      </c>
      <c r="F7413" t="s">
        <v>45</v>
      </c>
      <c r="G7413" s="3">
        <f t="shared" si="876"/>
        <v>-16046.238600000001</v>
      </c>
      <c r="H7413" s="3">
        <f t="shared" si="877"/>
        <v>16046.238600000001</v>
      </c>
      <c r="I7413" s="5" t="str">
        <f t="shared" si="878"/>
        <v>018</v>
      </c>
      <c r="J7413" s="5" t="str">
        <f t="shared" si="879"/>
        <v>2100</v>
      </c>
      <c r="K7413" s="5" t="str">
        <f t="shared" si="880"/>
        <v>000</v>
      </c>
      <c r="L7413" s="5">
        <f t="shared" si="881"/>
        <v>7</v>
      </c>
      <c r="M7413" s="5">
        <f t="shared" si="882"/>
        <v>2013</v>
      </c>
    </row>
    <row r="7414" spans="1:13" ht="15" x14ac:dyDescent="0.25">
      <c r="A7414" s="1">
        <f>DATE(2013,7,13)</f>
        <v>41468</v>
      </c>
      <c r="B7414" t="s">
        <v>20</v>
      </c>
      <c r="C7414" t="s">
        <v>8</v>
      </c>
      <c r="D7414" s="3">
        <v>3153.7862</v>
      </c>
      <c r="E7414" s="3">
        <v>0</v>
      </c>
      <c r="F7414" t="s">
        <v>45</v>
      </c>
      <c r="G7414" s="3">
        <f t="shared" si="876"/>
        <v>-3153.7862</v>
      </c>
      <c r="H7414" s="3">
        <f t="shared" si="877"/>
        <v>3153.7862</v>
      </c>
      <c r="I7414" s="5" t="str">
        <f t="shared" si="878"/>
        <v>018</v>
      </c>
      <c r="J7414" s="5" t="str">
        <f t="shared" si="879"/>
        <v>2210</v>
      </c>
      <c r="K7414" s="5" t="str">
        <f t="shared" si="880"/>
        <v>000</v>
      </c>
      <c r="L7414" s="5">
        <f t="shared" si="881"/>
        <v>7</v>
      </c>
      <c r="M7414" s="5">
        <f t="shared" si="882"/>
        <v>2013</v>
      </c>
    </row>
    <row r="7415" spans="1:13" ht="15" x14ac:dyDescent="0.25">
      <c r="A7415" s="1">
        <f>DATE(2013,7,13)</f>
        <v>41468</v>
      </c>
      <c r="B7415" t="s">
        <v>21</v>
      </c>
      <c r="C7415" t="s">
        <v>9</v>
      </c>
      <c r="D7415" s="3">
        <v>812.05599999999993</v>
      </c>
      <c r="E7415" s="3">
        <v>0</v>
      </c>
      <c r="F7415" t="s">
        <v>45</v>
      </c>
      <c r="G7415" s="3">
        <f t="shared" si="876"/>
        <v>-812.05599999999993</v>
      </c>
      <c r="H7415" s="3">
        <f t="shared" si="877"/>
        <v>812.05599999999993</v>
      </c>
      <c r="I7415" s="5" t="str">
        <f t="shared" si="878"/>
        <v>018</v>
      </c>
      <c r="J7415" s="5" t="str">
        <f t="shared" si="879"/>
        <v>2220</v>
      </c>
      <c r="K7415" s="5" t="str">
        <f t="shared" si="880"/>
        <v>000</v>
      </c>
      <c r="L7415" s="5">
        <f t="shared" si="881"/>
        <v>7</v>
      </c>
      <c r="M7415" s="5">
        <f t="shared" si="882"/>
        <v>2013</v>
      </c>
    </row>
    <row r="7416" spans="1:13" ht="15" x14ac:dyDescent="0.25">
      <c r="A7416" s="1">
        <f>DATE(2013,7,13)</f>
        <v>41468</v>
      </c>
      <c r="B7416" t="s">
        <v>22</v>
      </c>
      <c r="C7416" t="s">
        <v>10</v>
      </c>
      <c r="D7416" s="3">
        <v>95.602500000000006</v>
      </c>
      <c r="E7416" s="3">
        <v>0</v>
      </c>
      <c r="F7416" t="s">
        <v>45</v>
      </c>
      <c r="G7416" s="3">
        <f t="shared" si="876"/>
        <v>-95.602500000000006</v>
      </c>
      <c r="H7416" s="3">
        <f t="shared" si="877"/>
        <v>95.602500000000006</v>
      </c>
      <c r="I7416" s="5" t="str">
        <f t="shared" si="878"/>
        <v>018</v>
      </c>
      <c r="J7416" s="5" t="str">
        <f t="shared" si="879"/>
        <v>2230</v>
      </c>
      <c r="K7416" s="5" t="str">
        <f t="shared" si="880"/>
        <v>000</v>
      </c>
      <c r="L7416" s="5">
        <f t="shared" si="881"/>
        <v>7</v>
      </c>
      <c r="M7416" s="5">
        <f t="shared" si="882"/>
        <v>2013</v>
      </c>
    </row>
    <row r="7417" spans="1:13" ht="15" x14ac:dyDescent="0.25">
      <c r="A7417" s="1">
        <f>DATE(2013,7,14)</f>
        <v>41469</v>
      </c>
      <c r="B7417" t="s">
        <v>19</v>
      </c>
      <c r="C7417" t="s">
        <v>6</v>
      </c>
      <c r="D7417" s="3">
        <v>13418.5695</v>
      </c>
      <c r="E7417" s="3">
        <v>0</v>
      </c>
      <c r="F7417" t="s">
        <v>45</v>
      </c>
      <c r="G7417" s="3">
        <f t="shared" si="876"/>
        <v>-13418.5695</v>
      </c>
      <c r="H7417" s="3">
        <f t="shared" si="877"/>
        <v>13418.5695</v>
      </c>
      <c r="I7417" s="5" t="str">
        <f t="shared" si="878"/>
        <v>018</v>
      </c>
      <c r="J7417" s="5" t="str">
        <f t="shared" si="879"/>
        <v>2100</v>
      </c>
      <c r="K7417" s="5" t="str">
        <f t="shared" si="880"/>
        <v>000</v>
      </c>
      <c r="L7417" s="5">
        <f t="shared" si="881"/>
        <v>7</v>
      </c>
      <c r="M7417" s="5">
        <f t="shared" si="882"/>
        <v>2013</v>
      </c>
    </row>
    <row r="7418" spans="1:13" ht="15" x14ac:dyDescent="0.25">
      <c r="A7418" s="1">
        <f>DATE(2013,7,14)</f>
        <v>41469</v>
      </c>
      <c r="B7418" t="s">
        <v>20</v>
      </c>
      <c r="C7418" t="s">
        <v>8</v>
      </c>
      <c r="D7418" s="3">
        <v>2250.8213000000001</v>
      </c>
      <c r="E7418" s="3">
        <v>0</v>
      </c>
      <c r="F7418" t="s">
        <v>45</v>
      </c>
      <c r="G7418" s="3">
        <f t="shared" si="876"/>
        <v>-2250.8213000000001</v>
      </c>
      <c r="H7418" s="3">
        <f t="shared" si="877"/>
        <v>2250.8213000000001</v>
      </c>
      <c r="I7418" s="5" t="str">
        <f t="shared" si="878"/>
        <v>018</v>
      </c>
      <c r="J7418" s="5" t="str">
        <f t="shared" si="879"/>
        <v>2210</v>
      </c>
      <c r="K7418" s="5" t="str">
        <f t="shared" si="880"/>
        <v>000</v>
      </c>
      <c r="L7418" s="5">
        <f t="shared" si="881"/>
        <v>7</v>
      </c>
      <c r="M7418" s="5">
        <f t="shared" si="882"/>
        <v>2013</v>
      </c>
    </row>
    <row r="7419" spans="1:13" ht="15" x14ac:dyDescent="0.25">
      <c r="A7419" s="1">
        <f>DATE(2013,7,14)</f>
        <v>41469</v>
      </c>
      <c r="B7419" t="s">
        <v>21</v>
      </c>
      <c r="C7419" t="s">
        <v>9</v>
      </c>
      <c r="D7419" s="3">
        <v>416.78699999999998</v>
      </c>
      <c r="E7419" s="3">
        <v>0</v>
      </c>
      <c r="F7419" t="s">
        <v>45</v>
      </c>
      <c r="G7419" s="3">
        <f t="shared" si="876"/>
        <v>-416.78699999999998</v>
      </c>
      <c r="H7419" s="3">
        <f t="shared" si="877"/>
        <v>416.78699999999998</v>
      </c>
      <c r="I7419" s="5" t="str">
        <f t="shared" si="878"/>
        <v>018</v>
      </c>
      <c r="J7419" s="5" t="str">
        <f t="shared" si="879"/>
        <v>2220</v>
      </c>
      <c r="K7419" s="5" t="str">
        <f t="shared" si="880"/>
        <v>000</v>
      </c>
      <c r="L7419" s="5">
        <f t="shared" si="881"/>
        <v>7</v>
      </c>
      <c r="M7419" s="5">
        <f t="shared" si="882"/>
        <v>2013</v>
      </c>
    </row>
    <row r="7420" spans="1:13" ht="15" x14ac:dyDescent="0.25">
      <c r="A7420" s="1">
        <f>DATE(2013,7,14)</f>
        <v>41469</v>
      </c>
      <c r="B7420" t="s">
        <v>22</v>
      </c>
      <c r="C7420" t="s">
        <v>10</v>
      </c>
      <c r="D7420" s="3">
        <v>25.157000000000004</v>
      </c>
      <c r="E7420" s="3">
        <v>0</v>
      </c>
      <c r="F7420" t="s">
        <v>45</v>
      </c>
      <c r="G7420" s="3">
        <f t="shared" si="876"/>
        <v>-25.157000000000004</v>
      </c>
      <c r="H7420" s="3">
        <f t="shared" si="877"/>
        <v>25.157000000000004</v>
      </c>
      <c r="I7420" s="5" t="str">
        <f t="shared" si="878"/>
        <v>018</v>
      </c>
      <c r="J7420" s="5" t="str">
        <f t="shared" si="879"/>
        <v>2230</v>
      </c>
      <c r="K7420" s="5" t="str">
        <f t="shared" si="880"/>
        <v>000</v>
      </c>
      <c r="L7420" s="5">
        <f t="shared" si="881"/>
        <v>7</v>
      </c>
      <c r="M7420" s="5">
        <f t="shared" si="882"/>
        <v>2013</v>
      </c>
    </row>
    <row r="7421" spans="1:13" ht="15" x14ac:dyDescent="0.25">
      <c r="A7421" s="1">
        <f>DATE(2013,7,15)</f>
        <v>41470</v>
      </c>
      <c r="B7421" t="s">
        <v>11</v>
      </c>
      <c r="C7421" t="s">
        <v>6</v>
      </c>
      <c r="D7421" s="3">
        <v>3657.9239999999995</v>
      </c>
      <c r="E7421" s="3">
        <v>0</v>
      </c>
      <c r="F7421" t="s">
        <v>45</v>
      </c>
      <c r="G7421" s="3">
        <f t="shared" si="876"/>
        <v>-3657.9239999999995</v>
      </c>
      <c r="H7421" s="3">
        <f t="shared" si="877"/>
        <v>3657.9239999999995</v>
      </c>
      <c r="I7421" s="5" t="str">
        <f t="shared" si="878"/>
        <v>016</v>
      </c>
      <c r="J7421" s="5" t="str">
        <f t="shared" si="879"/>
        <v>2100</v>
      </c>
      <c r="K7421" s="5" t="str">
        <f t="shared" si="880"/>
        <v>000</v>
      </c>
      <c r="L7421" s="5">
        <f t="shared" si="881"/>
        <v>7</v>
      </c>
      <c r="M7421" s="5">
        <f t="shared" si="882"/>
        <v>2013</v>
      </c>
    </row>
    <row r="7422" spans="1:13" ht="15" x14ac:dyDescent="0.25">
      <c r="A7422" s="1">
        <f>DATE(2013,7,15)</f>
        <v>41470</v>
      </c>
      <c r="B7422" t="s">
        <v>12</v>
      </c>
      <c r="C7422" t="s">
        <v>8</v>
      </c>
      <c r="D7422" s="3">
        <v>694.20039999999995</v>
      </c>
      <c r="E7422" s="3">
        <v>0</v>
      </c>
      <c r="F7422" t="s">
        <v>45</v>
      </c>
      <c r="G7422" s="3">
        <f t="shared" si="876"/>
        <v>-694.20039999999995</v>
      </c>
      <c r="H7422" s="3">
        <f t="shared" si="877"/>
        <v>694.20039999999995</v>
      </c>
      <c r="I7422" s="5" t="str">
        <f t="shared" si="878"/>
        <v>016</v>
      </c>
      <c r="J7422" s="5" t="str">
        <f t="shared" si="879"/>
        <v>2210</v>
      </c>
      <c r="K7422" s="5" t="str">
        <f t="shared" si="880"/>
        <v>000</v>
      </c>
      <c r="L7422" s="5">
        <f t="shared" si="881"/>
        <v>7</v>
      </c>
      <c r="M7422" s="5">
        <f t="shared" si="882"/>
        <v>2013</v>
      </c>
    </row>
    <row r="7423" spans="1:13" ht="15" x14ac:dyDescent="0.25">
      <c r="A7423" s="1">
        <f>DATE(2013,7,15)</f>
        <v>41470</v>
      </c>
      <c r="B7423" t="s">
        <v>13</v>
      </c>
      <c r="C7423" t="s">
        <v>9</v>
      </c>
      <c r="D7423" s="3">
        <v>167.04</v>
      </c>
      <c r="E7423" s="3">
        <v>0</v>
      </c>
      <c r="F7423" t="s">
        <v>45</v>
      </c>
      <c r="G7423" s="3">
        <f t="shared" si="876"/>
        <v>-167.04</v>
      </c>
      <c r="H7423" s="3">
        <f t="shared" si="877"/>
        <v>167.04</v>
      </c>
      <c r="I7423" s="5" t="str">
        <f t="shared" si="878"/>
        <v>016</v>
      </c>
      <c r="J7423" s="5" t="str">
        <f t="shared" si="879"/>
        <v>2220</v>
      </c>
      <c r="K7423" s="5" t="str">
        <f t="shared" si="880"/>
        <v>000</v>
      </c>
      <c r="L7423" s="5">
        <f t="shared" si="881"/>
        <v>7</v>
      </c>
      <c r="M7423" s="5">
        <f t="shared" si="882"/>
        <v>2013</v>
      </c>
    </row>
    <row r="7424" spans="1:13" ht="15" x14ac:dyDescent="0.25">
      <c r="A7424" s="1">
        <f>DATE(2013,7,15)</f>
        <v>41470</v>
      </c>
      <c r="B7424" t="s">
        <v>14</v>
      </c>
      <c r="C7424" t="s">
        <v>10</v>
      </c>
      <c r="D7424" s="3">
        <v>27.231799999999996</v>
      </c>
      <c r="E7424" s="3">
        <v>0</v>
      </c>
      <c r="F7424" t="s">
        <v>45</v>
      </c>
      <c r="G7424" s="3">
        <f t="shared" si="876"/>
        <v>-27.231799999999996</v>
      </c>
      <c r="H7424" s="3">
        <f t="shared" si="877"/>
        <v>27.231799999999996</v>
      </c>
      <c r="I7424" s="5" t="str">
        <f t="shared" si="878"/>
        <v>016</v>
      </c>
      <c r="J7424" s="5" t="str">
        <f t="shared" si="879"/>
        <v>2230</v>
      </c>
      <c r="K7424" s="5" t="str">
        <f t="shared" si="880"/>
        <v>000</v>
      </c>
      <c r="L7424" s="5">
        <f t="shared" si="881"/>
        <v>7</v>
      </c>
      <c r="M7424" s="5">
        <f t="shared" si="882"/>
        <v>2013</v>
      </c>
    </row>
    <row r="7425" spans="1:13" ht="15" x14ac:dyDescent="0.25">
      <c r="A7425" s="1">
        <f>DATE(2013,7,16)</f>
        <v>41471</v>
      </c>
      <c r="B7425" t="s">
        <v>11</v>
      </c>
      <c r="C7425" t="s">
        <v>6</v>
      </c>
      <c r="D7425" s="3">
        <v>7892.5</v>
      </c>
      <c r="E7425" s="3">
        <v>0</v>
      </c>
      <c r="F7425" t="s">
        <v>45</v>
      </c>
      <c r="G7425" s="3">
        <f t="shared" si="876"/>
        <v>-7892.5</v>
      </c>
      <c r="H7425" s="3">
        <f t="shared" si="877"/>
        <v>7892.5</v>
      </c>
      <c r="I7425" s="5" t="str">
        <f t="shared" si="878"/>
        <v>016</v>
      </c>
      <c r="J7425" s="5" t="str">
        <f t="shared" si="879"/>
        <v>2100</v>
      </c>
      <c r="K7425" s="5" t="str">
        <f t="shared" si="880"/>
        <v>000</v>
      </c>
      <c r="L7425" s="5">
        <f t="shared" si="881"/>
        <v>7</v>
      </c>
      <c r="M7425" s="5">
        <f t="shared" si="882"/>
        <v>2013</v>
      </c>
    </row>
    <row r="7426" spans="1:13" ht="15" x14ac:dyDescent="0.25">
      <c r="A7426" s="1">
        <f>DATE(2013,7,16)</f>
        <v>41471</v>
      </c>
      <c r="B7426" t="s">
        <v>12</v>
      </c>
      <c r="C7426" t="s">
        <v>8</v>
      </c>
      <c r="D7426" s="3">
        <v>3330.6555000000003</v>
      </c>
      <c r="E7426" s="3">
        <v>0</v>
      </c>
      <c r="F7426" t="s">
        <v>45</v>
      </c>
      <c r="G7426" s="3">
        <f t="shared" ref="G7426:G7489" si="883">E7426-D7426</f>
        <v>-3330.6555000000003</v>
      </c>
      <c r="H7426" s="3">
        <f t="shared" ref="H7426:H7489" si="884">ABS(G7426)</f>
        <v>3330.6555000000003</v>
      </c>
      <c r="I7426" s="5" t="str">
        <f t="shared" ref="I7426:I7489" si="885">MID(B7426,1,3)</f>
        <v>016</v>
      </c>
      <c r="J7426" s="5" t="str">
        <f t="shared" ref="J7426:J7489" si="886">MID(B7426,5,4)</f>
        <v>2210</v>
      </c>
      <c r="K7426" s="5" t="str">
        <f t="shared" ref="K7426:K7489" si="887">MID(B7426,10,3)</f>
        <v>000</v>
      </c>
      <c r="L7426" s="5">
        <f t="shared" ref="L7426:L7489" si="888">MONTH(A7426)</f>
        <v>7</v>
      </c>
      <c r="M7426" s="5">
        <f t="shared" ref="M7426:M7489" si="889">YEAR(A7426)</f>
        <v>2013</v>
      </c>
    </row>
    <row r="7427" spans="1:13" ht="15" x14ac:dyDescent="0.25">
      <c r="A7427" s="1">
        <f>DATE(2013,7,16)</f>
        <v>41471</v>
      </c>
      <c r="B7427" t="s">
        <v>13</v>
      </c>
      <c r="C7427" t="s">
        <v>9</v>
      </c>
      <c r="D7427" s="3">
        <v>776.79200000000003</v>
      </c>
      <c r="E7427" s="3">
        <v>0</v>
      </c>
      <c r="F7427" t="s">
        <v>45</v>
      </c>
      <c r="G7427" s="3">
        <f t="shared" si="883"/>
        <v>-776.79200000000003</v>
      </c>
      <c r="H7427" s="3">
        <f t="shared" si="884"/>
        <v>776.79200000000003</v>
      </c>
      <c r="I7427" s="5" t="str">
        <f t="shared" si="885"/>
        <v>016</v>
      </c>
      <c r="J7427" s="5" t="str">
        <f t="shared" si="886"/>
        <v>2220</v>
      </c>
      <c r="K7427" s="5" t="str">
        <f t="shared" si="887"/>
        <v>000</v>
      </c>
      <c r="L7427" s="5">
        <f t="shared" si="888"/>
        <v>7</v>
      </c>
      <c r="M7427" s="5">
        <f t="shared" si="889"/>
        <v>2013</v>
      </c>
    </row>
    <row r="7428" spans="1:13" ht="15" x14ac:dyDescent="0.25">
      <c r="A7428" s="1">
        <f>DATE(2013,7,16)</f>
        <v>41471</v>
      </c>
      <c r="B7428" t="s">
        <v>14</v>
      </c>
      <c r="C7428" t="s">
        <v>10</v>
      </c>
      <c r="D7428" s="3">
        <v>145.36079999999998</v>
      </c>
      <c r="E7428" s="3">
        <v>0</v>
      </c>
      <c r="F7428" t="s">
        <v>45</v>
      </c>
      <c r="G7428" s="3">
        <f t="shared" si="883"/>
        <v>-145.36079999999998</v>
      </c>
      <c r="H7428" s="3">
        <f t="shared" si="884"/>
        <v>145.36079999999998</v>
      </c>
      <c r="I7428" s="5" t="str">
        <f t="shared" si="885"/>
        <v>016</v>
      </c>
      <c r="J7428" s="5" t="str">
        <f t="shared" si="886"/>
        <v>2230</v>
      </c>
      <c r="K7428" s="5" t="str">
        <f t="shared" si="887"/>
        <v>000</v>
      </c>
      <c r="L7428" s="5">
        <f t="shared" si="888"/>
        <v>7</v>
      </c>
      <c r="M7428" s="5">
        <f t="shared" si="889"/>
        <v>2013</v>
      </c>
    </row>
    <row r="7429" spans="1:13" ht="15" x14ac:dyDescent="0.25">
      <c r="A7429" s="1">
        <f t="shared" ref="A7429:A7432" si="890">DATE(2013,7,17)</f>
        <v>41472</v>
      </c>
      <c r="B7429" t="s">
        <v>11</v>
      </c>
      <c r="C7429" t="s">
        <v>6</v>
      </c>
      <c r="D7429" s="3">
        <v>2429.5463999999997</v>
      </c>
      <c r="E7429" s="3">
        <v>0</v>
      </c>
      <c r="F7429" t="s">
        <v>45</v>
      </c>
      <c r="G7429" s="3">
        <f t="shared" si="883"/>
        <v>-2429.5463999999997</v>
      </c>
      <c r="H7429" s="3">
        <f t="shared" si="884"/>
        <v>2429.5463999999997</v>
      </c>
      <c r="I7429" s="5" t="str">
        <f t="shared" si="885"/>
        <v>016</v>
      </c>
      <c r="J7429" s="5" t="str">
        <f t="shared" si="886"/>
        <v>2100</v>
      </c>
      <c r="K7429" s="5" t="str">
        <f t="shared" si="887"/>
        <v>000</v>
      </c>
      <c r="L7429" s="5">
        <f t="shared" si="888"/>
        <v>7</v>
      </c>
      <c r="M7429" s="5">
        <f t="shared" si="889"/>
        <v>2013</v>
      </c>
    </row>
    <row r="7430" spans="1:13" ht="15" x14ac:dyDescent="0.25">
      <c r="A7430" s="1">
        <f t="shared" si="890"/>
        <v>41472</v>
      </c>
      <c r="B7430" t="s">
        <v>12</v>
      </c>
      <c r="C7430" t="s">
        <v>8</v>
      </c>
      <c r="D7430" s="3">
        <v>536.63760000000002</v>
      </c>
      <c r="E7430" s="3">
        <v>0</v>
      </c>
      <c r="F7430" t="s">
        <v>45</v>
      </c>
      <c r="G7430" s="3">
        <f t="shared" si="883"/>
        <v>-536.63760000000002</v>
      </c>
      <c r="H7430" s="3">
        <f t="shared" si="884"/>
        <v>536.63760000000002</v>
      </c>
      <c r="I7430" s="5" t="str">
        <f t="shared" si="885"/>
        <v>016</v>
      </c>
      <c r="J7430" s="5" t="str">
        <f t="shared" si="886"/>
        <v>2210</v>
      </c>
      <c r="K7430" s="5" t="str">
        <f t="shared" si="887"/>
        <v>000</v>
      </c>
      <c r="L7430" s="5">
        <f t="shared" si="888"/>
        <v>7</v>
      </c>
      <c r="M7430" s="5">
        <f t="shared" si="889"/>
        <v>2013</v>
      </c>
    </row>
    <row r="7431" spans="1:13" ht="15" x14ac:dyDescent="0.25">
      <c r="A7431" s="1">
        <f t="shared" si="890"/>
        <v>41472</v>
      </c>
      <c r="B7431" t="s">
        <v>13</v>
      </c>
      <c r="C7431" t="s">
        <v>9</v>
      </c>
      <c r="D7431" s="3">
        <v>120.8296</v>
      </c>
      <c r="E7431" s="3">
        <v>0</v>
      </c>
      <c r="F7431" t="s">
        <v>45</v>
      </c>
      <c r="G7431" s="3">
        <f t="shared" si="883"/>
        <v>-120.8296</v>
      </c>
      <c r="H7431" s="3">
        <f t="shared" si="884"/>
        <v>120.8296</v>
      </c>
      <c r="I7431" s="5" t="str">
        <f t="shared" si="885"/>
        <v>016</v>
      </c>
      <c r="J7431" s="5" t="str">
        <f t="shared" si="886"/>
        <v>2220</v>
      </c>
      <c r="K7431" s="5" t="str">
        <f t="shared" si="887"/>
        <v>000</v>
      </c>
      <c r="L7431" s="5">
        <f t="shared" si="888"/>
        <v>7</v>
      </c>
      <c r="M7431" s="5">
        <f t="shared" si="889"/>
        <v>2013</v>
      </c>
    </row>
    <row r="7432" spans="1:13" ht="15" x14ac:dyDescent="0.25">
      <c r="A7432" s="1">
        <f t="shared" si="890"/>
        <v>41472</v>
      </c>
      <c r="B7432" t="s">
        <v>14</v>
      </c>
      <c r="C7432" t="s">
        <v>10</v>
      </c>
      <c r="D7432" s="3">
        <v>44.125499999999995</v>
      </c>
      <c r="E7432" s="3">
        <v>0</v>
      </c>
      <c r="F7432" t="s">
        <v>45</v>
      </c>
      <c r="G7432" s="3">
        <f t="shared" si="883"/>
        <v>-44.125499999999995</v>
      </c>
      <c r="H7432" s="3">
        <f t="shared" si="884"/>
        <v>44.125499999999995</v>
      </c>
      <c r="I7432" s="5" t="str">
        <f t="shared" si="885"/>
        <v>016</v>
      </c>
      <c r="J7432" s="5" t="str">
        <f t="shared" si="886"/>
        <v>2230</v>
      </c>
      <c r="K7432" s="5" t="str">
        <f t="shared" si="887"/>
        <v>000</v>
      </c>
      <c r="L7432" s="5">
        <f t="shared" si="888"/>
        <v>7</v>
      </c>
      <c r="M7432" s="5">
        <f t="shared" si="889"/>
        <v>2013</v>
      </c>
    </row>
    <row r="7433" spans="1:13" ht="15" x14ac:dyDescent="0.25">
      <c r="A7433" s="1">
        <f>DATE(2013,7,18)</f>
        <v>41473</v>
      </c>
      <c r="B7433" t="s">
        <v>11</v>
      </c>
      <c r="C7433" t="s">
        <v>6</v>
      </c>
      <c r="D7433" s="3">
        <v>2271.7314999999999</v>
      </c>
      <c r="E7433" s="3">
        <v>0</v>
      </c>
      <c r="F7433" t="s">
        <v>45</v>
      </c>
      <c r="G7433" s="3">
        <f t="shared" si="883"/>
        <v>-2271.7314999999999</v>
      </c>
      <c r="H7433" s="3">
        <f t="shared" si="884"/>
        <v>2271.7314999999999</v>
      </c>
      <c r="I7433" s="5" t="str">
        <f t="shared" si="885"/>
        <v>016</v>
      </c>
      <c r="J7433" s="5" t="str">
        <f t="shared" si="886"/>
        <v>2100</v>
      </c>
      <c r="K7433" s="5" t="str">
        <f t="shared" si="887"/>
        <v>000</v>
      </c>
      <c r="L7433" s="5">
        <f t="shared" si="888"/>
        <v>7</v>
      </c>
      <c r="M7433" s="5">
        <f t="shared" si="889"/>
        <v>2013</v>
      </c>
    </row>
    <row r="7434" spans="1:13" ht="15" x14ac:dyDescent="0.25">
      <c r="A7434" s="1">
        <f>DATE(2013,7,18)</f>
        <v>41473</v>
      </c>
      <c r="B7434" t="s">
        <v>12</v>
      </c>
      <c r="C7434" t="s">
        <v>8</v>
      </c>
      <c r="D7434" s="3">
        <v>675.90599999999995</v>
      </c>
      <c r="E7434" s="3">
        <v>0</v>
      </c>
      <c r="F7434" t="s">
        <v>45</v>
      </c>
      <c r="G7434" s="3">
        <f t="shared" si="883"/>
        <v>-675.90599999999995</v>
      </c>
      <c r="H7434" s="3">
        <f t="shared" si="884"/>
        <v>675.90599999999995</v>
      </c>
      <c r="I7434" s="5" t="str">
        <f t="shared" si="885"/>
        <v>016</v>
      </c>
      <c r="J7434" s="5" t="str">
        <f t="shared" si="886"/>
        <v>2210</v>
      </c>
      <c r="K7434" s="5" t="str">
        <f t="shared" si="887"/>
        <v>000</v>
      </c>
      <c r="L7434" s="5">
        <f t="shared" si="888"/>
        <v>7</v>
      </c>
      <c r="M7434" s="5">
        <f t="shared" si="889"/>
        <v>2013</v>
      </c>
    </row>
    <row r="7435" spans="1:13" ht="15" x14ac:dyDescent="0.25">
      <c r="A7435" s="1">
        <f>DATE(2013,7,18)</f>
        <v>41473</v>
      </c>
      <c r="B7435" t="s">
        <v>13</v>
      </c>
      <c r="C7435" t="s">
        <v>9</v>
      </c>
      <c r="D7435" s="3">
        <v>153.16320000000002</v>
      </c>
      <c r="E7435" s="3">
        <v>0</v>
      </c>
      <c r="F7435" t="s">
        <v>45</v>
      </c>
      <c r="G7435" s="3">
        <f t="shared" si="883"/>
        <v>-153.16320000000002</v>
      </c>
      <c r="H7435" s="3">
        <f t="shared" si="884"/>
        <v>153.16320000000002</v>
      </c>
      <c r="I7435" s="5" t="str">
        <f t="shared" si="885"/>
        <v>016</v>
      </c>
      <c r="J7435" s="5" t="str">
        <f t="shared" si="886"/>
        <v>2220</v>
      </c>
      <c r="K7435" s="5" t="str">
        <f t="shared" si="887"/>
        <v>000</v>
      </c>
      <c r="L7435" s="5">
        <f t="shared" si="888"/>
        <v>7</v>
      </c>
      <c r="M7435" s="5">
        <f t="shared" si="889"/>
        <v>2013</v>
      </c>
    </row>
    <row r="7436" spans="1:13" ht="15" x14ac:dyDescent="0.25">
      <c r="A7436" s="1">
        <f>DATE(2013,7,18)</f>
        <v>41473</v>
      </c>
      <c r="B7436" t="s">
        <v>14</v>
      </c>
      <c r="C7436" t="s">
        <v>10</v>
      </c>
      <c r="D7436" s="3">
        <v>80.246999999999986</v>
      </c>
      <c r="E7436" s="3">
        <v>0</v>
      </c>
      <c r="F7436" t="s">
        <v>45</v>
      </c>
      <c r="G7436" s="3">
        <f t="shared" si="883"/>
        <v>-80.246999999999986</v>
      </c>
      <c r="H7436" s="3">
        <f t="shared" si="884"/>
        <v>80.246999999999986</v>
      </c>
      <c r="I7436" s="5" t="str">
        <f t="shared" si="885"/>
        <v>016</v>
      </c>
      <c r="J7436" s="5" t="str">
        <f t="shared" si="886"/>
        <v>2230</v>
      </c>
      <c r="K7436" s="5" t="str">
        <f t="shared" si="887"/>
        <v>000</v>
      </c>
      <c r="L7436" s="5">
        <f t="shared" si="888"/>
        <v>7</v>
      </c>
      <c r="M7436" s="5">
        <f t="shared" si="889"/>
        <v>2013</v>
      </c>
    </row>
    <row r="7437" spans="1:13" ht="15" x14ac:dyDescent="0.25">
      <c r="A7437" s="1">
        <f>DATE(2013,7,19)</f>
        <v>41474</v>
      </c>
      <c r="B7437" t="s">
        <v>11</v>
      </c>
      <c r="C7437" t="s">
        <v>6</v>
      </c>
      <c r="D7437" s="3">
        <v>6960.3963000000003</v>
      </c>
      <c r="E7437" s="3">
        <v>0</v>
      </c>
      <c r="F7437" t="s">
        <v>45</v>
      </c>
      <c r="G7437" s="3">
        <f t="shared" si="883"/>
        <v>-6960.3963000000003</v>
      </c>
      <c r="H7437" s="3">
        <f t="shared" si="884"/>
        <v>6960.3963000000003</v>
      </c>
      <c r="I7437" s="5" t="str">
        <f t="shared" si="885"/>
        <v>016</v>
      </c>
      <c r="J7437" s="5" t="str">
        <f t="shared" si="886"/>
        <v>2100</v>
      </c>
      <c r="K7437" s="5" t="str">
        <f t="shared" si="887"/>
        <v>000</v>
      </c>
      <c r="L7437" s="5">
        <f t="shared" si="888"/>
        <v>7</v>
      </c>
      <c r="M7437" s="5">
        <f t="shared" si="889"/>
        <v>2013</v>
      </c>
    </row>
    <row r="7438" spans="1:13" ht="15" x14ac:dyDescent="0.25">
      <c r="A7438" s="1">
        <f>DATE(2013,7,19)</f>
        <v>41474</v>
      </c>
      <c r="B7438" t="s">
        <v>12</v>
      </c>
      <c r="C7438" t="s">
        <v>8</v>
      </c>
      <c r="D7438" s="3">
        <v>1706.7982000000002</v>
      </c>
      <c r="E7438" s="3">
        <v>0</v>
      </c>
      <c r="F7438" t="s">
        <v>45</v>
      </c>
      <c r="G7438" s="3">
        <f t="shared" si="883"/>
        <v>-1706.7982000000002</v>
      </c>
      <c r="H7438" s="3">
        <f t="shared" si="884"/>
        <v>1706.7982000000002</v>
      </c>
      <c r="I7438" s="5" t="str">
        <f t="shared" si="885"/>
        <v>016</v>
      </c>
      <c r="J7438" s="5" t="str">
        <f t="shared" si="886"/>
        <v>2210</v>
      </c>
      <c r="K7438" s="5" t="str">
        <f t="shared" si="887"/>
        <v>000</v>
      </c>
      <c r="L7438" s="5">
        <f t="shared" si="888"/>
        <v>7</v>
      </c>
      <c r="M7438" s="5">
        <f t="shared" si="889"/>
        <v>2013</v>
      </c>
    </row>
    <row r="7439" spans="1:13" ht="15" x14ac:dyDescent="0.25">
      <c r="A7439" s="1">
        <f>DATE(2013,7,19)</f>
        <v>41474</v>
      </c>
      <c r="B7439" t="s">
        <v>13</v>
      </c>
      <c r="C7439" t="s">
        <v>9</v>
      </c>
      <c r="D7439" s="3">
        <v>384.78000000000003</v>
      </c>
      <c r="E7439" s="3">
        <v>0</v>
      </c>
      <c r="F7439" t="s">
        <v>45</v>
      </c>
      <c r="G7439" s="3">
        <f t="shared" si="883"/>
        <v>-384.78000000000003</v>
      </c>
      <c r="H7439" s="3">
        <f t="shared" si="884"/>
        <v>384.78000000000003</v>
      </c>
      <c r="I7439" s="5" t="str">
        <f t="shared" si="885"/>
        <v>016</v>
      </c>
      <c r="J7439" s="5" t="str">
        <f t="shared" si="886"/>
        <v>2220</v>
      </c>
      <c r="K7439" s="5" t="str">
        <f t="shared" si="887"/>
        <v>000</v>
      </c>
      <c r="L7439" s="5">
        <f t="shared" si="888"/>
        <v>7</v>
      </c>
      <c r="M7439" s="5">
        <f t="shared" si="889"/>
        <v>2013</v>
      </c>
    </row>
    <row r="7440" spans="1:13" ht="15" x14ac:dyDescent="0.25">
      <c r="A7440" s="1">
        <f>DATE(2013,7,19)</f>
        <v>41474</v>
      </c>
      <c r="B7440" t="s">
        <v>14</v>
      </c>
      <c r="C7440" t="s">
        <v>10</v>
      </c>
      <c r="D7440" s="3">
        <v>122.32000000000001</v>
      </c>
      <c r="E7440" s="3">
        <v>0</v>
      </c>
      <c r="F7440" t="s">
        <v>45</v>
      </c>
      <c r="G7440" s="3">
        <f t="shared" si="883"/>
        <v>-122.32000000000001</v>
      </c>
      <c r="H7440" s="3">
        <f t="shared" si="884"/>
        <v>122.32000000000001</v>
      </c>
      <c r="I7440" s="5" t="str">
        <f t="shared" si="885"/>
        <v>016</v>
      </c>
      <c r="J7440" s="5" t="str">
        <f t="shared" si="886"/>
        <v>2230</v>
      </c>
      <c r="K7440" s="5" t="str">
        <f t="shared" si="887"/>
        <v>000</v>
      </c>
      <c r="L7440" s="5">
        <f t="shared" si="888"/>
        <v>7</v>
      </c>
      <c r="M7440" s="5">
        <f t="shared" si="889"/>
        <v>2013</v>
      </c>
    </row>
    <row r="7441" spans="1:13" ht="15" x14ac:dyDescent="0.25">
      <c r="A7441" s="1">
        <f>DATE(2013,7,20)</f>
        <v>41475</v>
      </c>
      <c r="B7441" t="s">
        <v>11</v>
      </c>
      <c r="C7441" t="s">
        <v>6</v>
      </c>
      <c r="D7441" s="3">
        <v>5719.4941999999992</v>
      </c>
      <c r="E7441" s="3">
        <v>0</v>
      </c>
      <c r="F7441" t="s">
        <v>45</v>
      </c>
      <c r="G7441" s="3">
        <f t="shared" si="883"/>
        <v>-5719.4941999999992</v>
      </c>
      <c r="H7441" s="3">
        <f t="shared" si="884"/>
        <v>5719.4941999999992</v>
      </c>
      <c r="I7441" s="5" t="str">
        <f t="shared" si="885"/>
        <v>016</v>
      </c>
      <c r="J7441" s="5" t="str">
        <f t="shared" si="886"/>
        <v>2100</v>
      </c>
      <c r="K7441" s="5" t="str">
        <f t="shared" si="887"/>
        <v>000</v>
      </c>
      <c r="L7441" s="5">
        <f t="shared" si="888"/>
        <v>7</v>
      </c>
      <c r="M7441" s="5">
        <f t="shared" si="889"/>
        <v>2013</v>
      </c>
    </row>
    <row r="7442" spans="1:13" ht="15" x14ac:dyDescent="0.25">
      <c r="A7442" s="1">
        <f>DATE(2013,7,20)</f>
        <v>41475</v>
      </c>
      <c r="B7442" t="s">
        <v>12</v>
      </c>
      <c r="C7442" t="s">
        <v>8</v>
      </c>
      <c r="D7442" s="3">
        <v>2571.8889999999997</v>
      </c>
      <c r="E7442" s="3">
        <v>0</v>
      </c>
      <c r="F7442" t="s">
        <v>45</v>
      </c>
      <c r="G7442" s="3">
        <f t="shared" si="883"/>
        <v>-2571.8889999999997</v>
      </c>
      <c r="H7442" s="3">
        <f t="shared" si="884"/>
        <v>2571.8889999999997</v>
      </c>
      <c r="I7442" s="5" t="str">
        <f t="shared" si="885"/>
        <v>016</v>
      </c>
      <c r="J7442" s="5" t="str">
        <f t="shared" si="886"/>
        <v>2210</v>
      </c>
      <c r="K7442" s="5" t="str">
        <f t="shared" si="887"/>
        <v>000</v>
      </c>
      <c r="L7442" s="5">
        <f t="shared" si="888"/>
        <v>7</v>
      </c>
      <c r="M7442" s="5">
        <f t="shared" si="889"/>
        <v>2013</v>
      </c>
    </row>
    <row r="7443" spans="1:13" ht="15" x14ac:dyDescent="0.25">
      <c r="A7443" s="1">
        <f>DATE(2013,7,20)</f>
        <v>41475</v>
      </c>
      <c r="B7443" t="s">
        <v>13</v>
      </c>
      <c r="C7443" t="s">
        <v>9</v>
      </c>
      <c r="D7443" s="3">
        <v>551.08409999999992</v>
      </c>
      <c r="E7443" s="3">
        <v>0</v>
      </c>
      <c r="F7443" t="s">
        <v>45</v>
      </c>
      <c r="G7443" s="3">
        <f t="shared" si="883"/>
        <v>-551.08409999999992</v>
      </c>
      <c r="H7443" s="3">
        <f t="shared" si="884"/>
        <v>551.08409999999992</v>
      </c>
      <c r="I7443" s="5" t="str">
        <f t="shared" si="885"/>
        <v>016</v>
      </c>
      <c r="J7443" s="5" t="str">
        <f t="shared" si="886"/>
        <v>2220</v>
      </c>
      <c r="K7443" s="5" t="str">
        <f t="shared" si="887"/>
        <v>000</v>
      </c>
      <c r="L7443" s="5">
        <f t="shared" si="888"/>
        <v>7</v>
      </c>
      <c r="M7443" s="5">
        <f t="shared" si="889"/>
        <v>2013</v>
      </c>
    </row>
    <row r="7444" spans="1:13" ht="15" x14ac:dyDescent="0.25">
      <c r="A7444" s="1">
        <f>DATE(2013,7,20)</f>
        <v>41475</v>
      </c>
      <c r="B7444" t="s">
        <v>14</v>
      </c>
      <c r="C7444" t="s">
        <v>10</v>
      </c>
      <c r="D7444" s="3">
        <v>90.175600000000003</v>
      </c>
      <c r="E7444" s="3">
        <v>0</v>
      </c>
      <c r="F7444" t="s">
        <v>45</v>
      </c>
      <c r="G7444" s="3">
        <f t="shared" si="883"/>
        <v>-90.175600000000003</v>
      </c>
      <c r="H7444" s="3">
        <f t="shared" si="884"/>
        <v>90.175600000000003</v>
      </c>
      <c r="I7444" s="5" t="str">
        <f t="shared" si="885"/>
        <v>016</v>
      </c>
      <c r="J7444" s="5" t="str">
        <f t="shared" si="886"/>
        <v>2230</v>
      </c>
      <c r="K7444" s="5" t="str">
        <f t="shared" si="887"/>
        <v>000</v>
      </c>
      <c r="L7444" s="5">
        <f t="shared" si="888"/>
        <v>7</v>
      </c>
      <c r="M7444" s="5">
        <f t="shared" si="889"/>
        <v>2013</v>
      </c>
    </row>
    <row r="7445" spans="1:13" ht="15" x14ac:dyDescent="0.25">
      <c r="A7445" s="1">
        <f t="shared" ref="A7445:A7448" si="891">DATE(2013,7,21)</f>
        <v>41476</v>
      </c>
      <c r="B7445" t="s">
        <v>11</v>
      </c>
      <c r="C7445" t="s">
        <v>6</v>
      </c>
      <c r="D7445" s="3">
        <v>5083.4637000000002</v>
      </c>
      <c r="E7445" s="3">
        <v>0</v>
      </c>
      <c r="F7445" t="s">
        <v>45</v>
      </c>
      <c r="G7445" s="3">
        <f t="shared" si="883"/>
        <v>-5083.4637000000002</v>
      </c>
      <c r="H7445" s="3">
        <f t="shared" si="884"/>
        <v>5083.4637000000002</v>
      </c>
      <c r="I7445" s="5" t="str">
        <f t="shared" si="885"/>
        <v>016</v>
      </c>
      <c r="J7445" s="5" t="str">
        <f t="shared" si="886"/>
        <v>2100</v>
      </c>
      <c r="K7445" s="5" t="str">
        <f t="shared" si="887"/>
        <v>000</v>
      </c>
      <c r="L7445" s="5">
        <f t="shared" si="888"/>
        <v>7</v>
      </c>
      <c r="M7445" s="5">
        <f t="shared" si="889"/>
        <v>2013</v>
      </c>
    </row>
    <row r="7446" spans="1:13" ht="15" x14ac:dyDescent="0.25">
      <c r="A7446" s="1">
        <f t="shared" si="891"/>
        <v>41476</v>
      </c>
      <c r="B7446" t="s">
        <v>12</v>
      </c>
      <c r="C7446" t="s">
        <v>8</v>
      </c>
      <c r="D7446" s="3">
        <v>685.95839999999998</v>
      </c>
      <c r="E7446" s="3">
        <v>0</v>
      </c>
      <c r="F7446" t="s">
        <v>45</v>
      </c>
      <c r="G7446" s="3">
        <f t="shared" si="883"/>
        <v>-685.95839999999998</v>
      </c>
      <c r="H7446" s="3">
        <f t="shared" si="884"/>
        <v>685.95839999999998</v>
      </c>
      <c r="I7446" s="5" t="str">
        <f t="shared" si="885"/>
        <v>016</v>
      </c>
      <c r="J7446" s="5" t="str">
        <f t="shared" si="886"/>
        <v>2210</v>
      </c>
      <c r="K7446" s="5" t="str">
        <f t="shared" si="887"/>
        <v>000</v>
      </c>
      <c r="L7446" s="5">
        <f t="shared" si="888"/>
        <v>7</v>
      </c>
      <c r="M7446" s="5">
        <f t="shared" si="889"/>
        <v>2013</v>
      </c>
    </row>
    <row r="7447" spans="1:13" ht="15" x14ac:dyDescent="0.25">
      <c r="A7447" s="1">
        <f t="shared" si="891"/>
        <v>41476</v>
      </c>
      <c r="B7447" t="s">
        <v>13</v>
      </c>
      <c r="C7447" t="s">
        <v>9</v>
      </c>
      <c r="D7447" s="3">
        <v>164.81300000000002</v>
      </c>
      <c r="E7447" s="3">
        <v>0</v>
      </c>
      <c r="F7447" t="s">
        <v>45</v>
      </c>
      <c r="G7447" s="3">
        <f t="shared" si="883"/>
        <v>-164.81300000000002</v>
      </c>
      <c r="H7447" s="3">
        <f t="shared" si="884"/>
        <v>164.81300000000002</v>
      </c>
      <c r="I7447" s="5" t="str">
        <f t="shared" si="885"/>
        <v>016</v>
      </c>
      <c r="J7447" s="5" t="str">
        <f t="shared" si="886"/>
        <v>2220</v>
      </c>
      <c r="K7447" s="5" t="str">
        <f t="shared" si="887"/>
        <v>000</v>
      </c>
      <c r="L7447" s="5">
        <f t="shared" si="888"/>
        <v>7</v>
      </c>
      <c r="M7447" s="5">
        <f t="shared" si="889"/>
        <v>2013</v>
      </c>
    </row>
    <row r="7448" spans="1:13" ht="15" x14ac:dyDescent="0.25">
      <c r="A7448" s="1">
        <f t="shared" si="891"/>
        <v>41476</v>
      </c>
      <c r="B7448" t="s">
        <v>14</v>
      </c>
      <c r="C7448" t="s">
        <v>10</v>
      </c>
      <c r="D7448" s="3">
        <v>59.008799999999994</v>
      </c>
      <c r="E7448" s="3">
        <v>0</v>
      </c>
      <c r="F7448" t="s">
        <v>45</v>
      </c>
      <c r="G7448" s="3">
        <f t="shared" si="883"/>
        <v>-59.008799999999994</v>
      </c>
      <c r="H7448" s="3">
        <f t="shared" si="884"/>
        <v>59.008799999999994</v>
      </c>
      <c r="I7448" s="5" t="str">
        <f t="shared" si="885"/>
        <v>016</v>
      </c>
      <c r="J7448" s="5" t="str">
        <f t="shared" si="886"/>
        <v>2230</v>
      </c>
      <c r="K7448" s="5" t="str">
        <f t="shared" si="887"/>
        <v>000</v>
      </c>
      <c r="L7448" s="5">
        <f t="shared" si="888"/>
        <v>7</v>
      </c>
      <c r="M7448" s="5">
        <f t="shared" si="889"/>
        <v>2013</v>
      </c>
    </row>
    <row r="7449" spans="1:13" ht="15" x14ac:dyDescent="0.25">
      <c r="A7449" s="1">
        <f>DATE(2013,7,15)</f>
        <v>41470</v>
      </c>
      <c r="B7449" t="s">
        <v>15</v>
      </c>
      <c r="C7449" t="s">
        <v>6</v>
      </c>
      <c r="D7449" s="3">
        <v>4210.6122000000005</v>
      </c>
      <c r="E7449" s="3">
        <v>0</v>
      </c>
      <c r="F7449" t="s">
        <v>45</v>
      </c>
      <c r="G7449" s="3">
        <f t="shared" si="883"/>
        <v>-4210.6122000000005</v>
      </c>
      <c r="H7449" s="3">
        <f t="shared" si="884"/>
        <v>4210.6122000000005</v>
      </c>
      <c r="I7449" s="5" t="str">
        <f t="shared" si="885"/>
        <v>017</v>
      </c>
      <c r="J7449" s="5" t="str">
        <f t="shared" si="886"/>
        <v>2100</v>
      </c>
      <c r="K7449" s="5" t="str">
        <f t="shared" si="887"/>
        <v>000</v>
      </c>
      <c r="L7449" s="5">
        <f t="shared" si="888"/>
        <v>7</v>
      </c>
      <c r="M7449" s="5">
        <f t="shared" si="889"/>
        <v>2013</v>
      </c>
    </row>
    <row r="7450" spans="1:13" ht="15" x14ac:dyDescent="0.25">
      <c r="A7450" s="1">
        <f>DATE(2013,7,15)</f>
        <v>41470</v>
      </c>
      <c r="B7450" t="s">
        <v>16</v>
      </c>
      <c r="C7450" t="s">
        <v>8</v>
      </c>
      <c r="D7450" s="3">
        <v>1367.8117</v>
      </c>
      <c r="E7450" s="3">
        <v>0</v>
      </c>
      <c r="F7450" t="s">
        <v>45</v>
      </c>
      <c r="G7450" s="3">
        <f t="shared" si="883"/>
        <v>-1367.8117</v>
      </c>
      <c r="H7450" s="3">
        <f t="shared" si="884"/>
        <v>1367.8117</v>
      </c>
      <c r="I7450" s="5" t="str">
        <f t="shared" si="885"/>
        <v>017</v>
      </c>
      <c r="J7450" s="5" t="str">
        <f t="shared" si="886"/>
        <v>2210</v>
      </c>
      <c r="K7450" s="5" t="str">
        <f t="shared" si="887"/>
        <v>000</v>
      </c>
      <c r="L7450" s="5">
        <f t="shared" si="888"/>
        <v>7</v>
      </c>
      <c r="M7450" s="5">
        <f t="shared" si="889"/>
        <v>2013</v>
      </c>
    </row>
    <row r="7451" spans="1:13" ht="15" x14ac:dyDescent="0.25">
      <c r="A7451" s="1">
        <f>DATE(2013,7,15)</f>
        <v>41470</v>
      </c>
      <c r="B7451" t="s">
        <v>17</v>
      </c>
      <c r="C7451" t="s">
        <v>9</v>
      </c>
      <c r="D7451" s="3">
        <v>386.72789999999998</v>
      </c>
      <c r="E7451" s="3">
        <v>0</v>
      </c>
      <c r="F7451" t="s">
        <v>45</v>
      </c>
      <c r="G7451" s="3">
        <f t="shared" si="883"/>
        <v>-386.72789999999998</v>
      </c>
      <c r="H7451" s="3">
        <f t="shared" si="884"/>
        <v>386.72789999999998</v>
      </c>
      <c r="I7451" s="5" t="str">
        <f t="shared" si="885"/>
        <v>017</v>
      </c>
      <c r="J7451" s="5" t="str">
        <f t="shared" si="886"/>
        <v>2220</v>
      </c>
      <c r="K7451" s="5" t="str">
        <f t="shared" si="887"/>
        <v>000</v>
      </c>
      <c r="L7451" s="5">
        <f t="shared" si="888"/>
        <v>7</v>
      </c>
      <c r="M7451" s="5">
        <f t="shared" si="889"/>
        <v>2013</v>
      </c>
    </row>
    <row r="7452" spans="1:13" ht="15" x14ac:dyDescent="0.25">
      <c r="A7452" s="1">
        <f>DATE(2013,7,15)</f>
        <v>41470</v>
      </c>
      <c r="B7452" t="s">
        <v>18</v>
      </c>
      <c r="C7452" t="s">
        <v>10</v>
      </c>
      <c r="D7452" s="3">
        <v>120.91860000000001</v>
      </c>
      <c r="E7452" s="3">
        <v>0</v>
      </c>
      <c r="F7452" t="s">
        <v>45</v>
      </c>
      <c r="G7452" s="3">
        <f t="shared" si="883"/>
        <v>-120.91860000000001</v>
      </c>
      <c r="H7452" s="3">
        <f t="shared" si="884"/>
        <v>120.91860000000001</v>
      </c>
      <c r="I7452" s="5" t="str">
        <f t="shared" si="885"/>
        <v>017</v>
      </c>
      <c r="J7452" s="5" t="str">
        <f t="shared" si="886"/>
        <v>2230</v>
      </c>
      <c r="K7452" s="5" t="str">
        <f t="shared" si="887"/>
        <v>000</v>
      </c>
      <c r="L7452" s="5">
        <f t="shared" si="888"/>
        <v>7</v>
      </c>
      <c r="M7452" s="5">
        <f t="shared" si="889"/>
        <v>2013</v>
      </c>
    </row>
    <row r="7453" spans="1:13" ht="15" x14ac:dyDescent="0.25">
      <c r="A7453" s="1">
        <f>DATE(2013,7,16)</f>
        <v>41471</v>
      </c>
      <c r="B7453" t="s">
        <v>15</v>
      </c>
      <c r="C7453" t="s">
        <v>6</v>
      </c>
      <c r="D7453" s="3">
        <v>8297.0872999999992</v>
      </c>
      <c r="E7453" s="3">
        <v>0</v>
      </c>
      <c r="F7453" t="s">
        <v>45</v>
      </c>
      <c r="G7453" s="3">
        <f t="shared" si="883"/>
        <v>-8297.0872999999992</v>
      </c>
      <c r="H7453" s="3">
        <f t="shared" si="884"/>
        <v>8297.0872999999992</v>
      </c>
      <c r="I7453" s="5" t="str">
        <f t="shared" si="885"/>
        <v>017</v>
      </c>
      <c r="J7453" s="5" t="str">
        <f t="shared" si="886"/>
        <v>2100</v>
      </c>
      <c r="K7453" s="5" t="str">
        <f t="shared" si="887"/>
        <v>000</v>
      </c>
      <c r="L7453" s="5">
        <f t="shared" si="888"/>
        <v>7</v>
      </c>
      <c r="M7453" s="5">
        <f t="shared" si="889"/>
        <v>2013</v>
      </c>
    </row>
    <row r="7454" spans="1:13" ht="15" x14ac:dyDescent="0.25">
      <c r="A7454" s="1">
        <f>DATE(2013,7,16)</f>
        <v>41471</v>
      </c>
      <c r="B7454" t="s">
        <v>16</v>
      </c>
      <c r="C7454" t="s">
        <v>8</v>
      </c>
      <c r="D7454" s="3">
        <v>1632.8766000000001</v>
      </c>
      <c r="E7454" s="3">
        <v>0</v>
      </c>
      <c r="F7454" t="s">
        <v>45</v>
      </c>
      <c r="G7454" s="3">
        <f t="shared" si="883"/>
        <v>-1632.8766000000001</v>
      </c>
      <c r="H7454" s="3">
        <f t="shared" si="884"/>
        <v>1632.8766000000001</v>
      </c>
      <c r="I7454" s="5" t="str">
        <f t="shared" si="885"/>
        <v>017</v>
      </c>
      <c r="J7454" s="5" t="str">
        <f t="shared" si="886"/>
        <v>2210</v>
      </c>
      <c r="K7454" s="5" t="str">
        <f t="shared" si="887"/>
        <v>000</v>
      </c>
      <c r="L7454" s="5">
        <f t="shared" si="888"/>
        <v>7</v>
      </c>
      <c r="M7454" s="5">
        <f t="shared" si="889"/>
        <v>2013</v>
      </c>
    </row>
    <row r="7455" spans="1:13" ht="15" x14ac:dyDescent="0.25">
      <c r="A7455" s="1">
        <f>DATE(2013,7,16)</f>
        <v>41471</v>
      </c>
      <c r="B7455" t="s">
        <v>17</v>
      </c>
      <c r="C7455" t="s">
        <v>9</v>
      </c>
      <c r="D7455" s="3">
        <v>838.22019999999998</v>
      </c>
      <c r="E7455" s="3">
        <v>0</v>
      </c>
      <c r="F7455" t="s">
        <v>45</v>
      </c>
      <c r="G7455" s="3">
        <f t="shared" si="883"/>
        <v>-838.22019999999998</v>
      </c>
      <c r="H7455" s="3">
        <f t="shared" si="884"/>
        <v>838.22019999999998</v>
      </c>
      <c r="I7455" s="5" t="str">
        <f t="shared" si="885"/>
        <v>017</v>
      </c>
      <c r="J7455" s="5" t="str">
        <f t="shared" si="886"/>
        <v>2220</v>
      </c>
      <c r="K7455" s="5" t="str">
        <f t="shared" si="887"/>
        <v>000</v>
      </c>
      <c r="L7455" s="5">
        <f t="shared" si="888"/>
        <v>7</v>
      </c>
      <c r="M7455" s="5">
        <f t="shared" si="889"/>
        <v>2013</v>
      </c>
    </row>
    <row r="7456" spans="1:13" ht="15" x14ac:dyDescent="0.25">
      <c r="A7456" s="1">
        <f>DATE(2013,7,16)</f>
        <v>41471</v>
      </c>
      <c r="B7456" t="s">
        <v>18</v>
      </c>
      <c r="C7456" t="s">
        <v>10</v>
      </c>
      <c r="D7456" s="3">
        <v>195.12520000000001</v>
      </c>
      <c r="E7456" s="3">
        <v>0</v>
      </c>
      <c r="F7456" t="s">
        <v>45</v>
      </c>
      <c r="G7456" s="3">
        <f t="shared" si="883"/>
        <v>-195.12520000000001</v>
      </c>
      <c r="H7456" s="3">
        <f t="shared" si="884"/>
        <v>195.12520000000001</v>
      </c>
      <c r="I7456" s="5" t="str">
        <f t="shared" si="885"/>
        <v>017</v>
      </c>
      <c r="J7456" s="5" t="str">
        <f t="shared" si="886"/>
        <v>2230</v>
      </c>
      <c r="K7456" s="5" t="str">
        <f t="shared" si="887"/>
        <v>000</v>
      </c>
      <c r="L7456" s="5">
        <f t="shared" si="888"/>
        <v>7</v>
      </c>
      <c r="M7456" s="5">
        <f t="shared" si="889"/>
        <v>2013</v>
      </c>
    </row>
    <row r="7457" spans="1:13" ht="15" x14ac:dyDescent="0.25">
      <c r="A7457" s="1">
        <f>DATE(2013,7,17)</f>
        <v>41472</v>
      </c>
      <c r="B7457" t="s">
        <v>15</v>
      </c>
      <c r="C7457" t="s">
        <v>6</v>
      </c>
      <c r="D7457" s="3">
        <v>7691.2264000000005</v>
      </c>
      <c r="E7457" s="3">
        <v>0</v>
      </c>
      <c r="F7457" t="s">
        <v>45</v>
      </c>
      <c r="G7457" s="3">
        <f t="shared" si="883"/>
        <v>-7691.2264000000005</v>
      </c>
      <c r="H7457" s="3">
        <f t="shared" si="884"/>
        <v>7691.2264000000005</v>
      </c>
      <c r="I7457" s="5" t="str">
        <f t="shared" si="885"/>
        <v>017</v>
      </c>
      <c r="J7457" s="5" t="str">
        <f t="shared" si="886"/>
        <v>2100</v>
      </c>
      <c r="K7457" s="5" t="str">
        <f t="shared" si="887"/>
        <v>000</v>
      </c>
      <c r="L7457" s="5">
        <f t="shared" si="888"/>
        <v>7</v>
      </c>
      <c r="M7457" s="5">
        <f t="shared" si="889"/>
        <v>2013</v>
      </c>
    </row>
    <row r="7458" spans="1:13" ht="15" x14ac:dyDescent="0.25">
      <c r="A7458" s="1">
        <f>DATE(2013,7,17)</f>
        <v>41472</v>
      </c>
      <c r="B7458" t="s">
        <v>16</v>
      </c>
      <c r="C7458" t="s">
        <v>8</v>
      </c>
      <c r="D7458" s="3">
        <v>1513.0518</v>
      </c>
      <c r="E7458" s="3">
        <v>0</v>
      </c>
      <c r="F7458" t="s">
        <v>45</v>
      </c>
      <c r="G7458" s="3">
        <f t="shared" si="883"/>
        <v>-1513.0518</v>
      </c>
      <c r="H7458" s="3">
        <f t="shared" si="884"/>
        <v>1513.0518</v>
      </c>
      <c r="I7458" s="5" t="str">
        <f t="shared" si="885"/>
        <v>017</v>
      </c>
      <c r="J7458" s="5" t="str">
        <f t="shared" si="886"/>
        <v>2210</v>
      </c>
      <c r="K7458" s="5" t="str">
        <f t="shared" si="887"/>
        <v>000</v>
      </c>
      <c r="L7458" s="5">
        <f t="shared" si="888"/>
        <v>7</v>
      </c>
      <c r="M7458" s="5">
        <f t="shared" si="889"/>
        <v>2013</v>
      </c>
    </row>
    <row r="7459" spans="1:13" ht="15" x14ac:dyDescent="0.25">
      <c r="A7459" s="1">
        <f>DATE(2013,7,17)</f>
        <v>41472</v>
      </c>
      <c r="B7459" t="s">
        <v>17</v>
      </c>
      <c r="C7459" t="s">
        <v>9</v>
      </c>
      <c r="D7459" s="3">
        <v>762.02840000000015</v>
      </c>
      <c r="E7459" s="3">
        <v>0</v>
      </c>
      <c r="F7459" t="s">
        <v>45</v>
      </c>
      <c r="G7459" s="3">
        <f t="shared" si="883"/>
        <v>-762.02840000000015</v>
      </c>
      <c r="H7459" s="3">
        <f t="shared" si="884"/>
        <v>762.02840000000015</v>
      </c>
      <c r="I7459" s="5" t="str">
        <f t="shared" si="885"/>
        <v>017</v>
      </c>
      <c r="J7459" s="5" t="str">
        <f t="shared" si="886"/>
        <v>2220</v>
      </c>
      <c r="K7459" s="5" t="str">
        <f t="shared" si="887"/>
        <v>000</v>
      </c>
      <c r="L7459" s="5">
        <f t="shared" si="888"/>
        <v>7</v>
      </c>
      <c r="M7459" s="5">
        <f t="shared" si="889"/>
        <v>2013</v>
      </c>
    </row>
    <row r="7460" spans="1:13" ht="15" x14ac:dyDescent="0.25">
      <c r="A7460" s="1">
        <f>DATE(2013,7,17)</f>
        <v>41472</v>
      </c>
      <c r="B7460" t="s">
        <v>18</v>
      </c>
      <c r="C7460" t="s">
        <v>10</v>
      </c>
      <c r="D7460" s="3">
        <v>80.992800000000003</v>
      </c>
      <c r="E7460" s="3">
        <v>0</v>
      </c>
      <c r="F7460" t="s">
        <v>45</v>
      </c>
      <c r="G7460" s="3">
        <f t="shared" si="883"/>
        <v>-80.992800000000003</v>
      </c>
      <c r="H7460" s="3">
        <f t="shared" si="884"/>
        <v>80.992800000000003</v>
      </c>
      <c r="I7460" s="5" t="str">
        <f t="shared" si="885"/>
        <v>017</v>
      </c>
      <c r="J7460" s="5" t="str">
        <f t="shared" si="886"/>
        <v>2230</v>
      </c>
      <c r="K7460" s="5" t="str">
        <f t="shared" si="887"/>
        <v>000</v>
      </c>
      <c r="L7460" s="5">
        <f t="shared" si="888"/>
        <v>7</v>
      </c>
      <c r="M7460" s="5">
        <f t="shared" si="889"/>
        <v>2013</v>
      </c>
    </row>
    <row r="7461" spans="1:13" ht="15" x14ac:dyDescent="0.25">
      <c r="A7461" s="1">
        <f>DATE(2013,7,18)</f>
        <v>41473</v>
      </c>
      <c r="B7461" t="s">
        <v>15</v>
      </c>
      <c r="C7461" t="s">
        <v>6</v>
      </c>
      <c r="D7461" s="3">
        <v>4966.7438999999995</v>
      </c>
      <c r="E7461" s="3">
        <v>0</v>
      </c>
      <c r="F7461" t="s">
        <v>45</v>
      </c>
      <c r="G7461" s="3">
        <f t="shared" si="883"/>
        <v>-4966.7438999999995</v>
      </c>
      <c r="H7461" s="3">
        <f t="shared" si="884"/>
        <v>4966.7438999999995</v>
      </c>
      <c r="I7461" s="5" t="str">
        <f t="shared" si="885"/>
        <v>017</v>
      </c>
      <c r="J7461" s="5" t="str">
        <f t="shared" si="886"/>
        <v>2100</v>
      </c>
      <c r="K7461" s="5" t="str">
        <f t="shared" si="887"/>
        <v>000</v>
      </c>
      <c r="L7461" s="5">
        <f t="shared" si="888"/>
        <v>7</v>
      </c>
      <c r="M7461" s="5">
        <f t="shared" si="889"/>
        <v>2013</v>
      </c>
    </row>
    <row r="7462" spans="1:13" ht="15" x14ac:dyDescent="0.25">
      <c r="A7462" s="1">
        <f>DATE(2013,7,18)</f>
        <v>41473</v>
      </c>
      <c r="B7462" t="s">
        <v>16</v>
      </c>
      <c r="C7462" t="s">
        <v>8</v>
      </c>
      <c r="D7462" s="3">
        <v>1357.9520000000002</v>
      </c>
      <c r="E7462" s="3">
        <v>0</v>
      </c>
      <c r="F7462" t="s">
        <v>45</v>
      </c>
      <c r="G7462" s="3">
        <f t="shared" si="883"/>
        <v>-1357.9520000000002</v>
      </c>
      <c r="H7462" s="3">
        <f t="shared" si="884"/>
        <v>1357.9520000000002</v>
      </c>
      <c r="I7462" s="5" t="str">
        <f t="shared" si="885"/>
        <v>017</v>
      </c>
      <c r="J7462" s="5" t="str">
        <f t="shared" si="886"/>
        <v>2210</v>
      </c>
      <c r="K7462" s="5" t="str">
        <f t="shared" si="887"/>
        <v>000</v>
      </c>
      <c r="L7462" s="5">
        <f t="shared" si="888"/>
        <v>7</v>
      </c>
      <c r="M7462" s="5">
        <f t="shared" si="889"/>
        <v>2013</v>
      </c>
    </row>
    <row r="7463" spans="1:13" ht="15" x14ac:dyDescent="0.25">
      <c r="A7463" s="1">
        <f>DATE(2013,7,18)</f>
        <v>41473</v>
      </c>
      <c r="B7463" t="s">
        <v>17</v>
      </c>
      <c r="C7463" t="s">
        <v>9</v>
      </c>
      <c r="D7463" s="3">
        <v>654.33759999999995</v>
      </c>
      <c r="E7463" s="3">
        <v>0</v>
      </c>
      <c r="F7463" t="s">
        <v>45</v>
      </c>
      <c r="G7463" s="3">
        <f t="shared" si="883"/>
        <v>-654.33759999999995</v>
      </c>
      <c r="H7463" s="3">
        <f t="shared" si="884"/>
        <v>654.33759999999995</v>
      </c>
      <c r="I7463" s="5" t="str">
        <f t="shared" si="885"/>
        <v>017</v>
      </c>
      <c r="J7463" s="5" t="str">
        <f t="shared" si="886"/>
        <v>2220</v>
      </c>
      <c r="K7463" s="5" t="str">
        <f t="shared" si="887"/>
        <v>000</v>
      </c>
      <c r="L7463" s="5">
        <f t="shared" si="888"/>
        <v>7</v>
      </c>
      <c r="M7463" s="5">
        <f t="shared" si="889"/>
        <v>2013</v>
      </c>
    </row>
    <row r="7464" spans="1:13" ht="15" x14ac:dyDescent="0.25">
      <c r="A7464" s="1">
        <f>DATE(2013,7,18)</f>
        <v>41473</v>
      </c>
      <c r="B7464" t="s">
        <v>18</v>
      </c>
      <c r="C7464" t="s">
        <v>10</v>
      </c>
      <c r="D7464" s="3">
        <v>169.24179999999998</v>
      </c>
      <c r="E7464" s="3">
        <v>0</v>
      </c>
      <c r="F7464" t="s">
        <v>45</v>
      </c>
      <c r="G7464" s="3">
        <f t="shared" si="883"/>
        <v>-169.24179999999998</v>
      </c>
      <c r="H7464" s="3">
        <f t="shared" si="884"/>
        <v>169.24179999999998</v>
      </c>
      <c r="I7464" s="5" t="str">
        <f t="shared" si="885"/>
        <v>017</v>
      </c>
      <c r="J7464" s="5" t="str">
        <f t="shared" si="886"/>
        <v>2230</v>
      </c>
      <c r="K7464" s="5" t="str">
        <f t="shared" si="887"/>
        <v>000</v>
      </c>
      <c r="L7464" s="5">
        <f t="shared" si="888"/>
        <v>7</v>
      </c>
      <c r="M7464" s="5">
        <f t="shared" si="889"/>
        <v>2013</v>
      </c>
    </row>
    <row r="7465" spans="1:13" ht="15" x14ac:dyDescent="0.25">
      <c r="A7465" s="1">
        <f>DATE(2013,7,19)</f>
        <v>41474</v>
      </c>
      <c r="B7465" t="s">
        <v>15</v>
      </c>
      <c r="C7465" t="s">
        <v>6</v>
      </c>
      <c r="D7465" s="3">
        <v>10541.903399999999</v>
      </c>
      <c r="E7465" s="3">
        <v>0</v>
      </c>
      <c r="F7465" t="s">
        <v>45</v>
      </c>
      <c r="G7465" s="3">
        <f t="shared" si="883"/>
        <v>-10541.903399999999</v>
      </c>
      <c r="H7465" s="3">
        <f t="shared" si="884"/>
        <v>10541.903399999999</v>
      </c>
      <c r="I7465" s="5" t="str">
        <f t="shared" si="885"/>
        <v>017</v>
      </c>
      <c r="J7465" s="5" t="str">
        <f t="shared" si="886"/>
        <v>2100</v>
      </c>
      <c r="K7465" s="5" t="str">
        <f t="shared" si="887"/>
        <v>000</v>
      </c>
      <c r="L7465" s="5">
        <f t="shared" si="888"/>
        <v>7</v>
      </c>
      <c r="M7465" s="5">
        <f t="shared" si="889"/>
        <v>2013</v>
      </c>
    </row>
    <row r="7466" spans="1:13" ht="15" x14ac:dyDescent="0.25">
      <c r="A7466" s="1">
        <f>DATE(2013,7,19)</f>
        <v>41474</v>
      </c>
      <c r="B7466" t="s">
        <v>16</v>
      </c>
      <c r="C7466" t="s">
        <v>8</v>
      </c>
      <c r="D7466" s="3">
        <v>2173.0842000000002</v>
      </c>
      <c r="E7466" s="3">
        <v>0</v>
      </c>
      <c r="F7466" t="s">
        <v>45</v>
      </c>
      <c r="G7466" s="3">
        <f t="shared" si="883"/>
        <v>-2173.0842000000002</v>
      </c>
      <c r="H7466" s="3">
        <f t="shared" si="884"/>
        <v>2173.0842000000002</v>
      </c>
      <c r="I7466" s="5" t="str">
        <f t="shared" si="885"/>
        <v>017</v>
      </c>
      <c r="J7466" s="5" t="str">
        <f t="shared" si="886"/>
        <v>2210</v>
      </c>
      <c r="K7466" s="5" t="str">
        <f t="shared" si="887"/>
        <v>000</v>
      </c>
      <c r="L7466" s="5">
        <f t="shared" si="888"/>
        <v>7</v>
      </c>
      <c r="M7466" s="5">
        <f t="shared" si="889"/>
        <v>2013</v>
      </c>
    </row>
    <row r="7467" spans="1:13" ht="15" x14ac:dyDescent="0.25">
      <c r="A7467" s="1">
        <f>DATE(2013,7,19)</f>
        <v>41474</v>
      </c>
      <c r="B7467" t="s">
        <v>17</v>
      </c>
      <c r="C7467" t="s">
        <v>9</v>
      </c>
      <c r="D7467" s="3">
        <v>413.91160000000002</v>
      </c>
      <c r="E7467" s="3">
        <v>0</v>
      </c>
      <c r="F7467" t="s">
        <v>45</v>
      </c>
      <c r="G7467" s="3">
        <f t="shared" si="883"/>
        <v>-413.91160000000002</v>
      </c>
      <c r="H7467" s="3">
        <f t="shared" si="884"/>
        <v>413.91160000000002</v>
      </c>
      <c r="I7467" s="5" t="str">
        <f t="shared" si="885"/>
        <v>017</v>
      </c>
      <c r="J7467" s="5" t="str">
        <f t="shared" si="886"/>
        <v>2220</v>
      </c>
      <c r="K7467" s="5" t="str">
        <f t="shared" si="887"/>
        <v>000</v>
      </c>
      <c r="L7467" s="5">
        <f t="shared" si="888"/>
        <v>7</v>
      </c>
      <c r="M7467" s="5">
        <f t="shared" si="889"/>
        <v>2013</v>
      </c>
    </row>
    <row r="7468" spans="1:13" ht="15" x14ac:dyDescent="0.25">
      <c r="A7468" s="1">
        <f>DATE(2013,7,19)</f>
        <v>41474</v>
      </c>
      <c r="B7468" t="s">
        <v>18</v>
      </c>
      <c r="C7468" t="s">
        <v>10</v>
      </c>
      <c r="D7468" s="3">
        <v>66.039300000000011</v>
      </c>
      <c r="E7468" s="3">
        <v>0</v>
      </c>
      <c r="F7468" t="s">
        <v>45</v>
      </c>
      <c r="G7468" s="3">
        <f t="shared" si="883"/>
        <v>-66.039300000000011</v>
      </c>
      <c r="H7468" s="3">
        <f t="shared" si="884"/>
        <v>66.039300000000011</v>
      </c>
      <c r="I7468" s="5" t="str">
        <f t="shared" si="885"/>
        <v>017</v>
      </c>
      <c r="J7468" s="5" t="str">
        <f t="shared" si="886"/>
        <v>2230</v>
      </c>
      <c r="K7468" s="5" t="str">
        <f t="shared" si="887"/>
        <v>000</v>
      </c>
      <c r="L7468" s="5">
        <f t="shared" si="888"/>
        <v>7</v>
      </c>
      <c r="M7468" s="5">
        <f t="shared" si="889"/>
        <v>2013</v>
      </c>
    </row>
    <row r="7469" spans="1:13" ht="15" x14ac:dyDescent="0.25">
      <c r="A7469" s="1">
        <f>DATE(2013,7,20)</f>
        <v>41475</v>
      </c>
      <c r="B7469" t="s">
        <v>15</v>
      </c>
      <c r="C7469" t="s">
        <v>6</v>
      </c>
      <c r="D7469" s="3">
        <v>5403.7682999999997</v>
      </c>
      <c r="E7469" s="3">
        <v>0</v>
      </c>
      <c r="F7469" t="s">
        <v>45</v>
      </c>
      <c r="G7469" s="3">
        <f t="shared" si="883"/>
        <v>-5403.7682999999997</v>
      </c>
      <c r="H7469" s="3">
        <f t="shared" si="884"/>
        <v>5403.7682999999997</v>
      </c>
      <c r="I7469" s="5" t="str">
        <f t="shared" si="885"/>
        <v>017</v>
      </c>
      <c r="J7469" s="5" t="str">
        <f t="shared" si="886"/>
        <v>2100</v>
      </c>
      <c r="K7469" s="5" t="str">
        <f t="shared" si="887"/>
        <v>000</v>
      </c>
      <c r="L7469" s="5">
        <f t="shared" si="888"/>
        <v>7</v>
      </c>
      <c r="M7469" s="5">
        <f t="shared" si="889"/>
        <v>2013</v>
      </c>
    </row>
    <row r="7470" spans="1:13" ht="15" x14ac:dyDescent="0.25">
      <c r="A7470" s="1">
        <f>DATE(2013,7,20)</f>
        <v>41475</v>
      </c>
      <c r="B7470" t="s">
        <v>16</v>
      </c>
      <c r="C7470" t="s">
        <v>8</v>
      </c>
      <c r="D7470" s="3">
        <v>1131.5248000000001</v>
      </c>
      <c r="E7470" s="3">
        <v>0</v>
      </c>
      <c r="F7470" t="s">
        <v>45</v>
      </c>
      <c r="G7470" s="3">
        <f t="shared" si="883"/>
        <v>-1131.5248000000001</v>
      </c>
      <c r="H7470" s="3">
        <f t="shared" si="884"/>
        <v>1131.5248000000001</v>
      </c>
      <c r="I7470" s="5" t="str">
        <f t="shared" si="885"/>
        <v>017</v>
      </c>
      <c r="J7470" s="5" t="str">
        <f t="shared" si="886"/>
        <v>2210</v>
      </c>
      <c r="K7470" s="5" t="str">
        <f t="shared" si="887"/>
        <v>000</v>
      </c>
      <c r="L7470" s="5">
        <f t="shared" si="888"/>
        <v>7</v>
      </c>
      <c r="M7470" s="5">
        <f t="shared" si="889"/>
        <v>2013</v>
      </c>
    </row>
    <row r="7471" spans="1:13" ht="15" x14ac:dyDescent="0.25">
      <c r="A7471" s="1">
        <f>DATE(2013,7,20)</f>
        <v>41475</v>
      </c>
      <c r="B7471" t="s">
        <v>17</v>
      </c>
      <c r="C7471" t="s">
        <v>9</v>
      </c>
      <c r="D7471" s="3">
        <v>225.50400000000002</v>
      </c>
      <c r="E7471" s="3">
        <v>0</v>
      </c>
      <c r="F7471" t="s">
        <v>45</v>
      </c>
      <c r="G7471" s="3">
        <f t="shared" si="883"/>
        <v>-225.50400000000002</v>
      </c>
      <c r="H7471" s="3">
        <f t="shared" si="884"/>
        <v>225.50400000000002</v>
      </c>
      <c r="I7471" s="5" t="str">
        <f t="shared" si="885"/>
        <v>017</v>
      </c>
      <c r="J7471" s="5" t="str">
        <f t="shared" si="886"/>
        <v>2220</v>
      </c>
      <c r="K7471" s="5" t="str">
        <f t="shared" si="887"/>
        <v>000</v>
      </c>
      <c r="L7471" s="5">
        <f t="shared" si="888"/>
        <v>7</v>
      </c>
      <c r="M7471" s="5">
        <f t="shared" si="889"/>
        <v>2013</v>
      </c>
    </row>
    <row r="7472" spans="1:13" ht="15" x14ac:dyDescent="0.25">
      <c r="A7472" s="1">
        <f>DATE(2013,7,20)</f>
        <v>41475</v>
      </c>
      <c r="B7472" t="s">
        <v>18</v>
      </c>
      <c r="C7472" t="s">
        <v>10</v>
      </c>
      <c r="D7472" s="3">
        <v>106.26870000000001</v>
      </c>
      <c r="E7472" s="3">
        <v>0</v>
      </c>
      <c r="F7472" t="s">
        <v>45</v>
      </c>
      <c r="G7472" s="3">
        <f t="shared" si="883"/>
        <v>-106.26870000000001</v>
      </c>
      <c r="H7472" s="3">
        <f t="shared" si="884"/>
        <v>106.26870000000001</v>
      </c>
      <c r="I7472" s="5" t="str">
        <f t="shared" si="885"/>
        <v>017</v>
      </c>
      <c r="J7472" s="5" t="str">
        <f t="shared" si="886"/>
        <v>2230</v>
      </c>
      <c r="K7472" s="5" t="str">
        <f t="shared" si="887"/>
        <v>000</v>
      </c>
      <c r="L7472" s="5">
        <f t="shared" si="888"/>
        <v>7</v>
      </c>
      <c r="M7472" s="5">
        <f t="shared" si="889"/>
        <v>2013</v>
      </c>
    </row>
    <row r="7473" spans="1:13" ht="15" x14ac:dyDescent="0.25">
      <c r="A7473" s="1">
        <f>DATE(2013,7,21)</f>
        <v>41476</v>
      </c>
      <c r="B7473" t="s">
        <v>15</v>
      </c>
      <c r="C7473" t="s">
        <v>6</v>
      </c>
      <c r="D7473" s="3">
        <v>5418.8324999999995</v>
      </c>
      <c r="E7473" s="3">
        <v>0</v>
      </c>
      <c r="F7473" t="s">
        <v>45</v>
      </c>
      <c r="G7473" s="3">
        <f t="shared" si="883"/>
        <v>-5418.8324999999995</v>
      </c>
      <c r="H7473" s="3">
        <f t="shared" si="884"/>
        <v>5418.8324999999995</v>
      </c>
      <c r="I7473" s="5" t="str">
        <f t="shared" si="885"/>
        <v>017</v>
      </c>
      <c r="J7473" s="5" t="str">
        <f t="shared" si="886"/>
        <v>2100</v>
      </c>
      <c r="K7473" s="5" t="str">
        <f t="shared" si="887"/>
        <v>000</v>
      </c>
      <c r="L7473" s="5">
        <f t="shared" si="888"/>
        <v>7</v>
      </c>
      <c r="M7473" s="5">
        <f t="shared" si="889"/>
        <v>2013</v>
      </c>
    </row>
    <row r="7474" spans="1:13" ht="15" x14ac:dyDescent="0.25">
      <c r="A7474" s="1">
        <f>DATE(2013,7,21)</f>
        <v>41476</v>
      </c>
      <c r="B7474" t="s">
        <v>16</v>
      </c>
      <c r="C7474" t="s">
        <v>8</v>
      </c>
      <c r="D7474" s="3">
        <v>1303.8813</v>
      </c>
      <c r="E7474" s="3">
        <v>0</v>
      </c>
      <c r="F7474" t="s">
        <v>45</v>
      </c>
      <c r="G7474" s="3">
        <f t="shared" si="883"/>
        <v>-1303.8813</v>
      </c>
      <c r="H7474" s="3">
        <f t="shared" si="884"/>
        <v>1303.8813</v>
      </c>
      <c r="I7474" s="5" t="str">
        <f t="shared" si="885"/>
        <v>017</v>
      </c>
      <c r="J7474" s="5" t="str">
        <f t="shared" si="886"/>
        <v>2210</v>
      </c>
      <c r="K7474" s="5" t="str">
        <f t="shared" si="887"/>
        <v>000</v>
      </c>
      <c r="L7474" s="5">
        <f t="shared" si="888"/>
        <v>7</v>
      </c>
      <c r="M7474" s="5">
        <f t="shared" si="889"/>
        <v>2013</v>
      </c>
    </row>
    <row r="7475" spans="1:13" ht="15" x14ac:dyDescent="0.25">
      <c r="A7475" s="1">
        <f>DATE(2013,7,21)</f>
        <v>41476</v>
      </c>
      <c r="B7475" t="s">
        <v>17</v>
      </c>
      <c r="C7475" t="s">
        <v>9</v>
      </c>
      <c r="D7475" s="3">
        <v>303.24120000000005</v>
      </c>
      <c r="E7475" s="3">
        <v>0</v>
      </c>
      <c r="F7475" t="s">
        <v>45</v>
      </c>
      <c r="G7475" s="3">
        <f t="shared" si="883"/>
        <v>-303.24120000000005</v>
      </c>
      <c r="H7475" s="3">
        <f t="shared" si="884"/>
        <v>303.24120000000005</v>
      </c>
      <c r="I7475" s="5" t="str">
        <f t="shared" si="885"/>
        <v>017</v>
      </c>
      <c r="J7475" s="5" t="str">
        <f t="shared" si="886"/>
        <v>2220</v>
      </c>
      <c r="K7475" s="5" t="str">
        <f t="shared" si="887"/>
        <v>000</v>
      </c>
      <c r="L7475" s="5">
        <f t="shared" si="888"/>
        <v>7</v>
      </c>
      <c r="M7475" s="5">
        <f t="shared" si="889"/>
        <v>2013</v>
      </c>
    </row>
    <row r="7476" spans="1:13" ht="15" x14ac:dyDescent="0.25">
      <c r="A7476" s="1">
        <f>DATE(2013,7,21)</f>
        <v>41476</v>
      </c>
      <c r="B7476" t="s">
        <v>18</v>
      </c>
      <c r="C7476" t="s">
        <v>10</v>
      </c>
      <c r="D7476" s="3">
        <v>67.065299999999993</v>
      </c>
      <c r="E7476" s="3">
        <v>0</v>
      </c>
      <c r="F7476" t="s">
        <v>45</v>
      </c>
      <c r="G7476" s="3">
        <f t="shared" si="883"/>
        <v>-67.065299999999993</v>
      </c>
      <c r="H7476" s="3">
        <f t="shared" si="884"/>
        <v>67.065299999999993</v>
      </c>
      <c r="I7476" s="5" t="str">
        <f t="shared" si="885"/>
        <v>017</v>
      </c>
      <c r="J7476" s="5" t="str">
        <f t="shared" si="886"/>
        <v>2230</v>
      </c>
      <c r="K7476" s="5" t="str">
        <f t="shared" si="887"/>
        <v>000</v>
      </c>
      <c r="L7476" s="5">
        <f t="shared" si="888"/>
        <v>7</v>
      </c>
      <c r="M7476" s="5">
        <f t="shared" si="889"/>
        <v>2013</v>
      </c>
    </row>
    <row r="7477" spans="1:13" ht="15" x14ac:dyDescent="0.25">
      <c r="A7477" s="1">
        <f>DATE(2013,7,15)</f>
        <v>41470</v>
      </c>
      <c r="B7477" t="s">
        <v>19</v>
      </c>
      <c r="C7477" t="s">
        <v>6</v>
      </c>
      <c r="D7477" s="3">
        <v>4881.7223999999997</v>
      </c>
      <c r="E7477" s="3">
        <v>0</v>
      </c>
      <c r="F7477" t="s">
        <v>45</v>
      </c>
      <c r="G7477" s="3">
        <f t="shared" si="883"/>
        <v>-4881.7223999999997</v>
      </c>
      <c r="H7477" s="3">
        <f t="shared" si="884"/>
        <v>4881.7223999999997</v>
      </c>
      <c r="I7477" s="5" t="str">
        <f t="shared" si="885"/>
        <v>018</v>
      </c>
      <c r="J7477" s="5" t="str">
        <f t="shared" si="886"/>
        <v>2100</v>
      </c>
      <c r="K7477" s="5" t="str">
        <f t="shared" si="887"/>
        <v>000</v>
      </c>
      <c r="L7477" s="5">
        <f t="shared" si="888"/>
        <v>7</v>
      </c>
      <c r="M7477" s="5">
        <f t="shared" si="889"/>
        <v>2013</v>
      </c>
    </row>
    <row r="7478" spans="1:13" ht="15" x14ac:dyDescent="0.25">
      <c r="A7478" s="1">
        <f>DATE(2013,7,15)</f>
        <v>41470</v>
      </c>
      <c r="B7478" t="s">
        <v>20</v>
      </c>
      <c r="C7478" t="s">
        <v>8</v>
      </c>
      <c r="D7478" s="3">
        <v>737.10450000000014</v>
      </c>
      <c r="E7478" s="3">
        <v>0</v>
      </c>
      <c r="F7478" t="s">
        <v>45</v>
      </c>
      <c r="G7478" s="3">
        <f t="shared" si="883"/>
        <v>-737.10450000000014</v>
      </c>
      <c r="H7478" s="3">
        <f t="shared" si="884"/>
        <v>737.10450000000014</v>
      </c>
      <c r="I7478" s="5" t="str">
        <f t="shared" si="885"/>
        <v>018</v>
      </c>
      <c r="J7478" s="5" t="str">
        <f t="shared" si="886"/>
        <v>2210</v>
      </c>
      <c r="K7478" s="5" t="str">
        <f t="shared" si="887"/>
        <v>000</v>
      </c>
      <c r="L7478" s="5">
        <f t="shared" si="888"/>
        <v>7</v>
      </c>
      <c r="M7478" s="5">
        <f t="shared" si="889"/>
        <v>2013</v>
      </c>
    </row>
    <row r="7479" spans="1:13" ht="15" x14ac:dyDescent="0.25">
      <c r="A7479" s="1">
        <f>DATE(2013,7,15)</f>
        <v>41470</v>
      </c>
      <c r="B7479" t="s">
        <v>21</v>
      </c>
      <c r="C7479" t="s">
        <v>9</v>
      </c>
      <c r="D7479" s="3">
        <v>193.79859999999999</v>
      </c>
      <c r="E7479" s="3">
        <v>0</v>
      </c>
      <c r="F7479" t="s">
        <v>45</v>
      </c>
      <c r="G7479" s="3">
        <f t="shared" si="883"/>
        <v>-193.79859999999999</v>
      </c>
      <c r="H7479" s="3">
        <f t="shared" si="884"/>
        <v>193.79859999999999</v>
      </c>
      <c r="I7479" s="5" t="str">
        <f t="shared" si="885"/>
        <v>018</v>
      </c>
      <c r="J7479" s="5" t="str">
        <f t="shared" si="886"/>
        <v>2220</v>
      </c>
      <c r="K7479" s="5" t="str">
        <f t="shared" si="887"/>
        <v>000</v>
      </c>
      <c r="L7479" s="5">
        <f t="shared" si="888"/>
        <v>7</v>
      </c>
      <c r="M7479" s="5">
        <f t="shared" si="889"/>
        <v>2013</v>
      </c>
    </row>
    <row r="7480" spans="1:13" ht="15" x14ac:dyDescent="0.25">
      <c r="A7480" s="1">
        <f>DATE(2013,7,15)</f>
        <v>41470</v>
      </c>
      <c r="B7480" t="s">
        <v>22</v>
      </c>
      <c r="C7480" t="s">
        <v>10</v>
      </c>
      <c r="D7480" s="3">
        <v>26.991</v>
      </c>
      <c r="E7480" s="3">
        <v>0</v>
      </c>
      <c r="F7480" t="s">
        <v>45</v>
      </c>
      <c r="G7480" s="3">
        <f t="shared" si="883"/>
        <v>-26.991</v>
      </c>
      <c r="H7480" s="3">
        <f t="shared" si="884"/>
        <v>26.991</v>
      </c>
      <c r="I7480" s="5" t="str">
        <f t="shared" si="885"/>
        <v>018</v>
      </c>
      <c r="J7480" s="5" t="str">
        <f t="shared" si="886"/>
        <v>2230</v>
      </c>
      <c r="K7480" s="5" t="str">
        <f t="shared" si="887"/>
        <v>000</v>
      </c>
      <c r="L7480" s="5">
        <f t="shared" si="888"/>
        <v>7</v>
      </c>
      <c r="M7480" s="5">
        <f t="shared" si="889"/>
        <v>2013</v>
      </c>
    </row>
    <row r="7481" spans="1:13" ht="15" x14ac:dyDescent="0.25">
      <c r="A7481" s="1">
        <f>DATE(2013,7,16)</f>
        <v>41471</v>
      </c>
      <c r="B7481" t="s">
        <v>19</v>
      </c>
      <c r="C7481" t="s">
        <v>6</v>
      </c>
      <c r="D7481" s="3">
        <v>4653.009</v>
      </c>
      <c r="E7481" s="3">
        <v>0</v>
      </c>
      <c r="F7481" t="s">
        <v>45</v>
      </c>
      <c r="G7481" s="3">
        <f t="shared" si="883"/>
        <v>-4653.009</v>
      </c>
      <c r="H7481" s="3">
        <f t="shared" si="884"/>
        <v>4653.009</v>
      </c>
      <c r="I7481" s="5" t="str">
        <f t="shared" si="885"/>
        <v>018</v>
      </c>
      <c r="J7481" s="5" t="str">
        <f t="shared" si="886"/>
        <v>2100</v>
      </c>
      <c r="K7481" s="5" t="str">
        <f t="shared" si="887"/>
        <v>000</v>
      </c>
      <c r="L7481" s="5">
        <f t="shared" si="888"/>
        <v>7</v>
      </c>
      <c r="M7481" s="5">
        <f t="shared" si="889"/>
        <v>2013</v>
      </c>
    </row>
    <row r="7482" spans="1:13" ht="15" x14ac:dyDescent="0.25">
      <c r="A7482" s="1">
        <f>DATE(2013,7,16)</f>
        <v>41471</v>
      </c>
      <c r="B7482" t="s">
        <v>20</v>
      </c>
      <c r="C7482" t="s">
        <v>8</v>
      </c>
      <c r="D7482" s="3">
        <v>1081.7760000000001</v>
      </c>
      <c r="E7482" s="3">
        <v>0</v>
      </c>
      <c r="F7482" t="s">
        <v>45</v>
      </c>
      <c r="G7482" s="3">
        <f t="shared" si="883"/>
        <v>-1081.7760000000001</v>
      </c>
      <c r="H7482" s="3">
        <f t="shared" si="884"/>
        <v>1081.7760000000001</v>
      </c>
      <c r="I7482" s="5" t="str">
        <f t="shared" si="885"/>
        <v>018</v>
      </c>
      <c r="J7482" s="5" t="str">
        <f t="shared" si="886"/>
        <v>2210</v>
      </c>
      <c r="K7482" s="5" t="str">
        <f t="shared" si="887"/>
        <v>000</v>
      </c>
      <c r="L7482" s="5">
        <f t="shared" si="888"/>
        <v>7</v>
      </c>
      <c r="M7482" s="5">
        <f t="shared" si="889"/>
        <v>2013</v>
      </c>
    </row>
    <row r="7483" spans="1:13" ht="15" x14ac:dyDescent="0.25">
      <c r="A7483" s="1">
        <f>DATE(2013,7,16)</f>
        <v>41471</v>
      </c>
      <c r="B7483" t="s">
        <v>21</v>
      </c>
      <c r="C7483" t="s">
        <v>9</v>
      </c>
      <c r="D7483" s="3">
        <v>324.80760000000004</v>
      </c>
      <c r="E7483" s="3">
        <v>0</v>
      </c>
      <c r="F7483" t="s">
        <v>45</v>
      </c>
      <c r="G7483" s="3">
        <f t="shared" si="883"/>
        <v>-324.80760000000004</v>
      </c>
      <c r="H7483" s="3">
        <f t="shared" si="884"/>
        <v>324.80760000000004</v>
      </c>
      <c r="I7483" s="5" t="str">
        <f t="shared" si="885"/>
        <v>018</v>
      </c>
      <c r="J7483" s="5" t="str">
        <f t="shared" si="886"/>
        <v>2220</v>
      </c>
      <c r="K7483" s="5" t="str">
        <f t="shared" si="887"/>
        <v>000</v>
      </c>
      <c r="L7483" s="5">
        <f t="shared" si="888"/>
        <v>7</v>
      </c>
      <c r="M7483" s="5">
        <f t="shared" si="889"/>
        <v>2013</v>
      </c>
    </row>
    <row r="7484" spans="1:13" ht="15" x14ac:dyDescent="0.25">
      <c r="A7484" s="1">
        <f>DATE(2013,7,16)</f>
        <v>41471</v>
      </c>
      <c r="B7484" t="s">
        <v>22</v>
      </c>
      <c r="C7484" t="s">
        <v>10</v>
      </c>
      <c r="D7484" s="3">
        <v>36.325999999999993</v>
      </c>
      <c r="E7484" s="3">
        <v>0</v>
      </c>
      <c r="F7484" t="s">
        <v>45</v>
      </c>
      <c r="G7484" s="3">
        <f t="shared" si="883"/>
        <v>-36.325999999999993</v>
      </c>
      <c r="H7484" s="3">
        <f t="shared" si="884"/>
        <v>36.325999999999993</v>
      </c>
      <c r="I7484" s="5" t="str">
        <f t="shared" si="885"/>
        <v>018</v>
      </c>
      <c r="J7484" s="5" t="str">
        <f t="shared" si="886"/>
        <v>2230</v>
      </c>
      <c r="K7484" s="5" t="str">
        <f t="shared" si="887"/>
        <v>000</v>
      </c>
      <c r="L7484" s="5">
        <f t="shared" si="888"/>
        <v>7</v>
      </c>
      <c r="M7484" s="5">
        <f t="shared" si="889"/>
        <v>2013</v>
      </c>
    </row>
    <row r="7485" spans="1:13" ht="15" x14ac:dyDescent="0.25">
      <c r="A7485" s="1">
        <f>DATE(2013,7,17)</f>
        <v>41472</v>
      </c>
      <c r="B7485" t="s">
        <v>19</v>
      </c>
      <c r="C7485" t="s">
        <v>6</v>
      </c>
      <c r="D7485" s="3">
        <v>4160.8168000000005</v>
      </c>
      <c r="E7485" s="3">
        <v>0</v>
      </c>
      <c r="F7485" t="s">
        <v>45</v>
      </c>
      <c r="G7485" s="3">
        <f t="shared" si="883"/>
        <v>-4160.8168000000005</v>
      </c>
      <c r="H7485" s="3">
        <f t="shared" si="884"/>
        <v>4160.8168000000005</v>
      </c>
      <c r="I7485" s="5" t="str">
        <f t="shared" si="885"/>
        <v>018</v>
      </c>
      <c r="J7485" s="5" t="str">
        <f t="shared" si="886"/>
        <v>2100</v>
      </c>
      <c r="K7485" s="5" t="str">
        <f t="shared" si="887"/>
        <v>000</v>
      </c>
      <c r="L7485" s="5">
        <f t="shared" si="888"/>
        <v>7</v>
      </c>
      <c r="M7485" s="5">
        <f t="shared" si="889"/>
        <v>2013</v>
      </c>
    </row>
    <row r="7486" spans="1:13" ht="15" x14ac:dyDescent="0.25">
      <c r="A7486" s="1">
        <f>DATE(2013,7,17)</f>
        <v>41472</v>
      </c>
      <c r="B7486" t="s">
        <v>20</v>
      </c>
      <c r="C7486" t="s">
        <v>8</v>
      </c>
      <c r="D7486" s="3">
        <v>1122.3784000000001</v>
      </c>
      <c r="E7486" s="3">
        <v>0</v>
      </c>
      <c r="F7486" t="s">
        <v>45</v>
      </c>
      <c r="G7486" s="3">
        <f t="shared" si="883"/>
        <v>-1122.3784000000001</v>
      </c>
      <c r="H7486" s="3">
        <f t="shared" si="884"/>
        <v>1122.3784000000001</v>
      </c>
      <c r="I7486" s="5" t="str">
        <f t="shared" si="885"/>
        <v>018</v>
      </c>
      <c r="J7486" s="5" t="str">
        <f t="shared" si="886"/>
        <v>2210</v>
      </c>
      <c r="K7486" s="5" t="str">
        <f t="shared" si="887"/>
        <v>000</v>
      </c>
      <c r="L7486" s="5">
        <f t="shared" si="888"/>
        <v>7</v>
      </c>
      <c r="M7486" s="5">
        <f t="shared" si="889"/>
        <v>2013</v>
      </c>
    </row>
    <row r="7487" spans="1:13" ht="15" x14ac:dyDescent="0.25">
      <c r="A7487" s="1">
        <f>DATE(2013,7,17)</f>
        <v>41472</v>
      </c>
      <c r="B7487" t="s">
        <v>21</v>
      </c>
      <c r="C7487" t="s">
        <v>9</v>
      </c>
      <c r="D7487" s="3">
        <v>251.38960000000003</v>
      </c>
      <c r="E7487" s="3">
        <v>0</v>
      </c>
      <c r="F7487" t="s">
        <v>45</v>
      </c>
      <c r="G7487" s="3">
        <f t="shared" si="883"/>
        <v>-251.38960000000003</v>
      </c>
      <c r="H7487" s="3">
        <f t="shared" si="884"/>
        <v>251.38960000000003</v>
      </c>
      <c r="I7487" s="5" t="str">
        <f t="shared" si="885"/>
        <v>018</v>
      </c>
      <c r="J7487" s="5" t="str">
        <f t="shared" si="886"/>
        <v>2220</v>
      </c>
      <c r="K7487" s="5" t="str">
        <f t="shared" si="887"/>
        <v>000</v>
      </c>
      <c r="L7487" s="5">
        <f t="shared" si="888"/>
        <v>7</v>
      </c>
      <c r="M7487" s="5">
        <f t="shared" si="889"/>
        <v>2013</v>
      </c>
    </row>
    <row r="7488" spans="1:13" ht="15" x14ac:dyDescent="0.25">
      <c r="A7488" s="1">
        <f>DATE(2013,7,17)</f>
        <v>41472</v>
      </c>
      <c r="B7488" t="s">
        <v>22</v>
      </c>
      <c r="C7488" t="s">
        <v>10</v>
      </c>
      <c r="D7488" s="3">
        <v>37.665199999999999</v>
      </c>
      <c r="E7488" s="3">
        <v>0</v>
      </c>
      <c r="F7488" t="s">
        <v>45</v>
      </c>
      <c r="G7488" s="3">
        <f t="shared" si="883"/>
        <v>-37.665199999999999</v>
      </c>
      <c r="H7488" s="3">
        <f t="shared" si="884"/>
        <v>37.665199999999999</v>
      </c>
      <c r="I7488" s="5" t="str">
        <f t="shared" si="885"/>
        <v>018</v>
      </c>
      <c r="J7488" s="5" t="str">
        <f t="shared" si="886"/>
        <v>2230</v>
      </c>
      <c r="K7488" s="5" t="str">
        <f t="shared" si="887"/>
        <v>000</v>
      </c>
      <c r="L7488" s="5">
        <f t="shared" si="888"/>
        <v>7</v>
      </c>
      <c r="M7488" s="5">
        <f t="shared" si="889"/>
        <v>2013</v>
      </c>
    </row>
    <row r="7489" spans="1:13" ht="15" x14ac:dyDescent="0.25">
      <c r="A7489" s="1">
        <f>DATE(2013,7,18)</f>
        <v>41473</v>
      </c>
      <c r="B7489" t="s">
        <v>19</v>
      </c>
      <c r="C7489" t="s">
        <v>6</v>
      </c>
      <c r="D7489" s="3">
        <v>4616.2542999999996</v>
      </c>
      <c r="E7489" s="3">
        <v>0</v>
      </c>
      <c r="F7489" t="s">
        <v>45</v>
      </c>
      <c r="G7489" s="3">
        <f t="shared" si="883"/>
        <v>-4616.2542999999996</v>
      </c>
      <c r="H7489" s="3">
        <f t="shared" si="884"/>
        <v>4616.2542999999996</v>
      </c>
      <c r="I7489" s="5" t="str">
        <f t="shared" si="885"/>
        <v>018</v>
      </c>
      <c r="J7489" s="5" t="str">
        <f t="shared" si="886"/>
        <v>2100</v>
      </c>
      <c r="K7489" s="5" t="str">
        <f t="shared" si="887"/>
        <v>000</v>
      </c>
      <c r="L7489" s="5">
        <f t="shared" si="888"/>
        <v>7</v>
      </c>
      <c r="M7489" s="5">
        <f t="shared" si="889"/>
        <v>2013</v>
      </c>
    </row>
    <row r="7490" spans="1:13" ht="15" x14ac:dyDescent="0.25">
      <c r="A7490" s="1">
        <f>DATE(2013,7,18)</f>
        <v>41473</v>
      </c>
      <c r="B7490" t="s">
        <v>20</v>
      </c>
      <c r="C7490" t="s">
        <v>8</v>
      </c>
      <c r="D7490" s="3">
        <v>1112.3904</v>
      </c>
      <c r="E7490" s="3">
        <v>0</v>
      </c>
      <c r="F7490" t="s">
        <v>45</v>
      </c>
      <c r="G7490" s="3">
        <f t="shared" ref="G7490:G7553" si="892">E7490-D7490</f>
        <v>-1112.3904</v>
      </c>
      <c r="H7490" s="3">
        <f t="shared" ref="H7490:H7553" si="893">ABS(G7490)</f>
        <v>1112.3904</v>
      </c>
      <c r="I7490" s="5" t="str">
        <f t="shared" ref="I7490:I7553" si="894">MID(B7490,1,3)</f>
        <v>018</v>
      </c>
      <c r="J7490" s="5" t="str">
        <f t="shared" ref="J7490:J7553" si="895">MID(B7490,5,4)</f>
        <v>2210</v>
      </c>
      <c r="K7490" s="5" t="str">
        <f t="shared" ref="K7490:K7553" si="896">MID(B7490,10,3)</f>
        <v>000</v>
      </c>
      <c r="L7490" s="5">
        <f t="shared" ref="L7490:L7553" si="897">MONTH(A7490)</f>
        <v>7</v>
      </c>
      <c r="M7490" s="5">
        <f t="shared" ref="M7490:M7553" si="898">YEAR(A7490)</f>
        <v>2013</v>
      </c>
    </row>
    <row r="7491" spans="1:13" ht="15" x14ac:dyDescent="0.25">
      <c r="A7491" s="1">
        <f>DATE(2013,7,18)</f>
        <v>41473</v>
      </c>
      <c r="B7491" t="s">
        <v>21</v>
      </c>
      <c r="C7491" t="s">
        <v>9</v>
      </c>
      <c r="D7491" s="3">
        <v>383.65230000000003</v>
      </c>
      <c r="E7491" s="3">
        <v>0</v>
      </c>
      <c r="F7491" t="s">
        <v>45</v>
      </c>
      <c r="G7491" s="3">
        <f t="shared" si="892"/>
        <v>-383.65230000000003</v>
      </c>
      <c r="H7491" s="3">
        <f t="shared" si="893"/>
        <v>383.65230000000003</v>
      </c>
      <c r="I7491" s="5" t="str">
        <f t="shared" si="894"/>
        <v>018</v>
      </c>
      <c r="J7491" s="5" t="str">
        <f t="shared" si="895"/>
        <v>2220</v>
      </c>
      <c r="K7491" s="5" t="str">
        <f t="shared" si="896"/>
        <v>000</v>
      </c>
      <c r="L7491" s="5">
        <f t="shared" si="897"/>
        <v>7</v>
      </c>
      <c r="M7491" s="5">
        <f t="shared" si="898"/>
        <v>2013</v>
      </c>
    </row>
    <row r="7492" spans="1:13" ht="15" x14ac:dyDescent="0.25">
      <c r="A7492" s="1">
        <f>DATE(2013,7,18)</f>
        <v>41473</v>
      </c>
      <c r="B7492" t="s">
        <v>22</v>
      </c>
      <c r="C7492" t="s">
        <v>10</v>
      </c>
      <c r="D7492" s="3">
        <v>61.170200000000001</v>
      </c>
      <c r="E7492" s="3">
        <v>0</v>
      </c>
      <c r="F7492" t="s">
        <v>45</v>
      </c>
      <c r="G7492" s="3">
        <f t="shared" si="892"/>
        <v>-61.170200000000001</v>
      </c>
      <c r="H7492" s="3">
        <f t="shared" si="893"/>
        <v>61.170200000000001</v>
      </c>
      <c r="I7492" s="5" t="str">
        <f t="shared" si="894"/>
        <v>018</v>
      </c>
      <c r="J7492" s="5" t="str">
        <f t="shared" si="895"/>
        <v>2230</v>
      </c>
      <c r="K7492" s="5" t="str">
        <f t="shared" si="896"/>
        <v>000</v>
      </c>
      <c r="L7492" s="5">
        <f t="shared" si="897"/>
        <v>7</v>
      </c>
      <c r="M7492" s="5">
        <f t="shared" si="898"/>
        <v>2013</v>
      </c>
    </row>
    <row r="7493" spans="1:13" ht="15" x14ac:dyDescent="0.25">
      <c r="A7493" s="1">
        <f>DATE(2013,7,19)</f>
        <v>41474</v>
      </c>
      <c r="B7493" t="s">
        <v>19</v>
      </c>
      <c r="C7493" t="s">
        <v>6</v>
      </c>
      <c r="D7493" s="3">
        <v>6455.0915000000005</v>
      </c>
      <c r="E7493" s="3">
        <v>0</v>
      </c>
      <c r="F7493" t="s">
        <v>45</v>
      </c>
      <c r="G7493" s="3">
        <f t="shared" si="892"/>
        <v>-6455.0915000000005</v>
      </c>
      <c r="H7493" s="3">
        <f t="shared" si="893"/>
        <v>6455.0915000000005</v>
      </c>
      <c r="I7493" s="5" t="str">
        <f t="shared" si="894"/>
        <v>018</v>
      </c>
      <c r="J7493" s="5" t="str">
        <f t="shared" si="895"/>
        <v>2100</v>
      </c>
      <c r="K7493" s="5" t="str">
        <f t="shared" si="896"/>
        <v>000</v>
      </c>
      <c r="L7493" s="5">
        <f t="shared" si="897"/>
        <v>7</v>
      </c>
      <c r="M7493" s="5">
        <f t="shared" si="898"/>
        <v>2013</v>
      </c>
    </row>
    <row r="7494" spans="1:13" ht="15" x14ac:dyDescent="0.25">
      <c r="A7494" s="1">
        <f>DATE(2013,7,19)</f>
        <v>41474</v>
      </c>
      <c r="B7494" t="s">
        <v>20</v>
      </c>
      <c r="C7494" t="s">
        <v>8</v>
      </c>
      <c r="D7494" s="3">
        <v>2120.3910000000001</v>
      </c>
      <c r="E7494" s="3">
        <v>0</v>
      </c>
      <c r="F7494" t="s">
        <v>45</v>
      </c>
      <c r="G7494" s="3">
        <f t="shared" si="892"/>
        <v>-2120.3910000000001</v>
      </c>
      <c r="H7494" s="3">
        <f t="shared" si="893"/>
        <v>2120.3910000000001</v>
      </c>
      <c r="I7494" s="5" t="str">
        <f t="shared" si="894"/>
        <v>018</v>
      </c>
      <c r="J7494" s="5" t="str">
        <f t="shared" si="895"/>
        <v>2210</v>
      </c>
      <c r="K7494" s="5" t="str">
        <f t="shared" si="896"/>
        <v>000</v>
      </c>
      <c r="L7494" s="5">
        <f t="shared" si="897"/>
        <v>7</v>
      </c>
      <c r="M7494" s="5">
        <f t="shared" si="898"/>
        <v>2013</v>
      </c>
    </row>
    <row r="7495" spans="1:13" ht="15" x14ac:dyDescent="0.25">
      <c r="A7495" s="1">
        <f>DATE(2013,7,19)</f>
        <v>41474</v>
      </c>
      <c r="B7495" t="s">
        <v>21</v>
      </c>
      <c r="C7495" t="s">
        <v>9</v>
      </c>
      <c r="D7495" s="3">
        <v>688.125</v>
      </c>
      <c r="E7495" s="3">
        <v>0</v>
      </c>
      <c r="F7495" t="s">
        <v>45</v>
      </c>
      <c r="G7495" s="3">
        <f t="shared" si="892"/>
        <v>-688.125</v>
      </c>
      <c r="H7495" s="3">
        <f t="shared" si="893"/>
        <v>688.125</v>
      </c>
      <c r="I7495" s="5" t="str">
        <f t="shared" si="894"/>
        <v>018</v>
      </c>
      <c r="J7495" s="5" t="str">
        <f t="shared" si="895"/>
        <v>2220</v>
      </c>
      <c r="K7495" s="5" t="str">
        <f t="shared" si="896"/>
        <v>000</v>
      </c>
      <c r="L7495" s="5">
        <f t="shared" si="897"/>
        <v>7</v>
      </c>
      <c r="M7495" s="5">
        <f t="shared" si="898"/>
        <v>2013</v>
      </c>
    </row>
    <row r="7496" spans="1:13" ht="15" x14ac:dyDescent="0.25">
      <c r="A7496" s="1">
        <f>DATE(2013,7,19)</f>
        <v>41474</v>
      </c>
      <c r="B7496" t="s">
        <v>22</v>
      </c>
      <c r="C7496" t="s">
        <v>10</v>
      </c>
      <c r="D7496" s="3">
        <v>78.856800000000007</v>
      </c>
      <c r="E7496" s="3">
        <v>0</v>
      </c>
      <c r="F7496" t="s">
        <v>45</v>
      </c>
      <c r="G7496" s="3">
        <f t="shared" si="892"/>
        <v>-78.856800000000007</v>
      </c>
      <c r="H7496" s="3">
        <f t="shared" si="893"/>
        <v>78.856800000000007</v>
      </c>
      <c r="I7496" s="5" t="str">
        <f t="shared" si="894"/>
        <v>018</v>
      </c>
      <c r="J7496" s="5" t="str">
        <f t="shared" si="895"/>
        <v>2230</v>
      </c>
      <c r="K7496" s="5" t="str">
        <f t="shared" si="896"/>
        <v>000</v>
      </c>
      <c r="L7496" s="5">
        <f t="shared" si="897"/>
        <v>7</v>
      </c>
      <c r="M7496" s="5">
        <f t="shared" si="898"/>
        <v>2013</v>
      </c>
    </row>
    <row r="7497" spans="1:13" ht="15" x14ac:dyDescent="0.25">
      <c r="A7497" s="1">
        <f>DATE(2013,7,20)</f>
        <v>41475</v>
      </c>
      <c r="B7497" t="s">
        <v>19</v>
      </c>
      <c r="C7497" t="s">
        <v>6</v>
      </c>
      <c r="D7497" s="3">
        <v>14424.731100000003</v>
      </c>
      <c r="E7497" s="3">
        <v>0</v>
      </c>
      <c r="F7497" t="s">
        <v>45</v>
      </c>
      <c r="G7497" s="3">
        <f t="shared" si="892"/>
        <v>-14424.731100000003</v>
      </c>
      <c r="H7497" s="3">
        <f t="shared" si="893"/>
        <v>14424.731100000003</v>
      </c>
      <c r="I7497" s="5" t="str">
        <f t="shared" si="894"/>
        <v>018</v>
      </c>
      <c r="J7497" s="5" t="str">
        <f t="shared" si="895"/>
        <v>2100</v>
      </c>
      <c r="K7497" s="5" t="str">
        <f t="shared" si="896"/>
        <v>000</v>
      </c>
      <c r="L7497" s="5">
        <f t="shared" si="897"/>
        <v>7</v>
      </c>
      <c r="M7497" s="5">
        <f t="shared" si="898"/>
        <v>2013</v>
      </c>
    </row>
    <row r="7498" spans="1:13" ht="15" x14ac:dyDescent="0.25">
      <c r="A7498" s="1">
        <f>DATE(2013,7,20)</f>
        <v>41475</v>
      </c>
      <c r="B7498" t="s">
        <v>20</v>
      </c>
      <c r="C7498" t="s">
        <v>8</v>
      </c>
      <c r="D7498" s="3">
        <v>4038.7438000000002</v>
      </c>
      <c r="E7498" s="3">
        <v>0</v>
      </c>
      <c r="F7498" t="s">
        <v>45</v>
      </c>
      <c r="G7498" s="3">
        <f t="shared" si="892"/>
        <v>-4038.7438000000002</v>
      </c>
      <c r="H7498" s="3">
        <f t="shared" si="893"/>
        <v>4038.7438000000002</v>
      </c>
      <c r="I7498" s="5" t="str">
        <f t="shared" si="894"/>
        <v>018</v>
      </c>
      <c r="J7498" s="5" t="str">
        <f t="shared" si="895"/>
        <v>2210</v>
      </c>
      <c r="K7498" s="5" t="str">
        <f t="shared" si="896"/>
        <v>000</v>
      </c>
      <c r="L7498" s="5">
        <f t="shared" si="897"/>
        <v>7</v>
      </c>
      <c r="M7498" s="5">
        <f t="shared" si="898"/>
        <v>2013</v>
      </c>
    </row>
    <row r="7499" spans="1:13" ht="15" x14ac:dyDescent="0.25">
      <c r="A7499" s="1">
        <f>DATE(2013,7,20)</f>
        <v>41475</v>
      </c>
      <c r="B7499" t="s">
        <v>21</v>
      </c>
      <c r="C7499" t="s">
        <v>9</v>
      </c>
      <c r="D7499" s="3">
        <v>785.34599999999989</v>
      </c>
      <c r="E7499" s="3">
        <v>0</v>
      </c>
      <c r="F7499" t="s">
        <v>45</v>
      </c>
      <c r="G7499" s="3">
        <f t="shared" si="892"/>
        <v>-785.34599999999989</v>
      </c>
      <c r="H7499" s="3">
        <f t="shared" si="893"/>
        <v>785.34599999999989</v>
      </c>
      <c r="I7499" s="5" t="str">
        <f t="shared" si="894"/>
        <v>018</v>
      </c>
      <c r="J7499" s="5" t="str">
        <f t="shared" si="895"/>
        <v>2220</v>
      </c>
      <c r="K7499" s="5" t="str">
        <f t="shared" si="896"/>
        <v>000</v>
      </c>
      <c r="L7499" s="5">
        <f t="shared" si="897"/>
        <v>7</v>
      </c>
      <c r="M7499" s="5">
        <f t="shared" si="898"/>
        <v>2013</v>
      </c>
    </row>
    <row r="7500" spans="1:13" ht="15" x14ac:dyDescent="0.25">
      <c r="A7500" s="1">
        <f>DATE(2013,7,20)</f>
        <v>41475</v>
      </c>
      <c r="B7500" t="s">
        <v>22</v>
      </c>
      <c r="C7500" t="s">
        <v>10</v>
      </c>
      <c r="D7500" s="3">
        <v>48.333599999999997</v>
      </c>
      <c r="E7500" s="3">
        <v>0</v>
      </c>
      <c r="F7500" t="s">
        <v>45</v>
      </c>
      <c r="G7500" s="3">
        <f t="shared" si="892"/>
        <v>-48.333599999999997</v>
      </c>
      <c r="H7500" s="3">
        <f t="shared" si="893"/>
        <v>48.333599999999997</v>
      </c>
      <c r="I7500" s="5" t="str">
        <f t="shared" si="894"/>
        <v>018</v>
      </c>
      <c r="J7500" s="5" t="str">
        <f t="shared" si="895"/>
        <v>2230</v>
      </c>
      <c r="K7500" s="5" t="str">
        <f t="shared" si="896"/>
        <v>000</v>
      </c>
      <c r="L7500" s="5">
        <f t="shared" si="897"/>
        <v>7</v>
      </c>
      <c r="M7500" s="5">
        <f t="shared" si="898"/>
        <v>2013</v>
      </c>
    </row>
    <row r="7501" spans="1:13" ht="15" x14ac:dyDescent="0.25">
      <c r="A7501" s="1">
        <f>DATE(2013,7,21)</f>
        <v>41476</v>
      </c>
      <c r="B7501" t="s">
        <v>19</v>
      </c>
      <c r="C7501" t="s">
        <v>6</v>
      </c>
      <c r="D7501" s="3">
        <v>11018.103999999999</v>
      </c>
      <c r="E7501" s="3">
        <v>0</v>
      </c>
      <c r="F7501" t="s">
        <v>45</v>
      </c>
      <c r="G7501" s="3">
        <f t="shared" si="892"/>
        <v>-11018.103999999999</v>
      </c>
      <c r="H7501" s="3">
        <f t="shared" si="893"/>
        <v>11018.103999999999</v>
      </c>
      <c r="I7501" s="5" t="str">
        <f t="shared" si="894"/>
        <v>018</v>
      </c>
      <c r="J7501" s="5" t="str">
        <f t="shared" si="895"/>
        <v>2100</v>
      </c>
      <c r="K7501" s="5" t="str">
        <f t="shared" si="896"/>
        <v>000</v>
      </c>
      <c r="L7501" s="5">
        <f t="shared" si="897"/>
        <v>7</v>
      </c>
      <c r="M7501" s="5">
        <f t="shared" si="898"/>
        <v>2013</v>
      </c>
    </row>
    <row r="7502" spans="1:13" ht="15" x14ac:dyDescent="0.25">
      <c r="A7502" s="1">
        <f>DATE(2013,7,21)</f>
        <v>41476</v>
      </c>
      <c r="B7502" t="s">
        <v>20</v>
      </c>
      <c r="C7502" t="s">
        <v>8</v>
      </c>
      <c r="D7502" s="3">
        <v>1151.3238000000001</v>
      </c>
      <c r="E7502" s="3">
        <v>0</v>
      </c>
      <c r="F7502" t="s">
        <v>45</v>
      </c>
      <c r="G7502" s="3">
        <f t="shared" si="892"/>
        <v>-1151.3238000000001</v>
      </c>
      <c r="H7502" s="3">
        <f t="shared" si="893"/>
        <v>1151.3238000000001</v>
      </c>
      <c r="I7502" s="5" t="str">
        <f t="shared" si="894"/>
        <v>018</v>
      </c>
      <c r="J7502" s="5" t="str">
        <f t="shared" si="895"/>
        <v>2210</v>
      </c>
      <c r="K7502" s="5" t="str">
        <f t="shared" si="896"/>
        <v>000</v>
      </c>
      <c r="L7502" s="5">
        <f t="shared" si="897"/>
        <v>7</v>
      </c>
      <c r="M7502" s="5">
        <f t="shared" si="898"/>
        <v>2013</v>
      </c>
    </row>
    <row r="7503" spans="1:13" ht="15" x14ac:dyDescent="0.25">
      <c r="A7503" s="1">
        <f>DATE(2013,7,21)</f>
        <v>41476</v>
      </c>
      <c r="B7503" t="s">
        <v>21</v>
      </c>
      <c r="C7503" t="s">
        <v>9</v>
      </c>
      <c r="D7503" s="3">
        <v>352.90300000000002</v>
      </c>
      <c r="E7503" s="3">
        <v>0</v>
      </c>
      <c r="F7503" t="s">
        <v>45</v>
      </c>
      <c r="G7503" s="3">
        <f t="shared" si="892"/>
        <v>-352.90300000000002</v>
      </c>
      <c r="H7503" s="3">
        <f t="shared" si="893"/>
        <v>352.90300000000002</v>
      </c>
      <c r="I7503" s="5" t="str">
        <f t="shared" si="894"/>
        <v>018</v>
      </c>
      <c r="J7503" s="5" t="str">
        <f t="shared" si="895"/>
        <v>2220</v>
      </c>
      <c r="K7503" s="5" t="str">
        <f t="shared" si="896"/>
        <v>000</v>
      </c>
      <c r="L7503" s="5">
        <f t="shared" si="897"/>
        <v>7</v>
      </c>
      <c r="M7503" s="5">
        <f t="shared" si="898"/>
        <v>2013</v>
      </c>
    </row>
    <row r="7504" spans="1:13" ht="15" x14ac:dyDescent="0.25">
      <c r="A7504" s="1">
        <f>DATE(2013,7,21)</f>
        <v>41476</v>
      </c>
      <c r="B7504" t="s">
        <v>22</v>
      </c>
      <c r="C7504" t="s">
        <v>10</v>
      </c>
      <c r="D7504" s="3">
        <v>69.663399999999996</v>
      </c>
      <c r="E7504" s="3">
        <v>0</v>
      </c>
      <c r="F7504" t="s">
        <v>45</v>
      </c>
      <c r="G7504" s="3">
        <f t="shared" si="892"/>
        <v>-69.663399999999996</v>
      </c>
      <c r="H7504" s="3">
        <f t="shared" si="893"/>
        <v>69.663399999999996</v>
      </c>
      <c r="I7504" s="5" t="str">
        <f t="shared" si="894"/>
        <v>018</v>
      </c>
      <c r="J7504" s="5" t="str">
        <f t="shared" si="895"/>
        <v>2230</v>
      </c>
      <c r="K7504" s="5" t="str">
        <f t="shared" si="896"/>
        <v>000</v>
      </c>
      <c r="L7504" s="5">
        <f t="shared" si="897"/>
        <v>7</v>
      </c>
      <c r="M7504" s="5">
        <f t="shared" si="898"/>
        <v>2013</v>
      </c>
    </row>
    <row r="7505" spans="1:13" ht="15" x14ac:dyDescent="0.25">
      <c r="A7505" s="1">
        <f>DATE(2013,7,15)</f>
        <v>41470</v>
      </c>
      <c r="B7505" t="s">
        <v>23</v>
      </c>
      <c r="C7505" t="s">
        <v>6</v>
      </c>
      <c r="D7505" s="3">
        <v>4701.7483999999995</v>
      </c>
      <c r="E7505" s="3">
        <v>0</v>
      </c>
      <c r="F7505" t="s">
        <v>45</v>
      </c>
      <c r="G7505" s="3">
        <f t="shared" si="892"/>
        <v>-4701.7483999999995</v>
      </c>
      <c r="H7505" s="3">
        <f t="shared" si="893"/>
        <v>4701.7483999999995</v>
      </c>
      <c r="I7505" s="5" t="str">
        <f t="shared" si="894"/>
        <v>019</v>
      </c>
      <c r="J7505" s="5" t="str">
        <f t="shared" si="895"/>
        <v>2100</v>
      </c>
      <c r="K7505" s="5" t="str">
        <f t="shared" si="896"/>
        <v>000</v>
      </c>
      <c r="L7505" s="5">
        <f t="shared" si="897"/>
        <v>7</v>
      </c>
      <c r="M7505" s="5">
        <f t="shared" si="898"/>
        <v>2013</v>
      </c>
    </row>
    <row r="7506" spans="1:13" ht="15" x14ac:dyDescent="0.25">
      <c r="A7506" s="1">
        <f>DATE(2013,7,15)</f>
        <v>41470</v>
      </c>
      <c r="B7506" t="s">
        <v>24</v>
      </c>
      <c r="C7506" t="s">
        <v>8</v>
      </c>
      <c r="D7506" s="3">
        <v>1062.72</v>
      </c>
      <c r="E7506" s="3">
        <v>0</v>
      </c>
      <c r="F7506" t="s">
        <v>45</v>
      </c>
      <c r="G7506" s="3">
        <f t="shared" si="892"/>
        <v>-1062.72</v>
      </c>
      <c r="H7506" s="3">
        <f t="shared" si="893"/>
        <v>1062.72</v>
      </c>
      <c r="I7506" s="5" t="str">
        <f t="shared" si="894"/>
        <v>019</v>
      </c>
      <c r="J7506" s="5" t="str">
        <f t="shared" si="895"/>
        <v>2210</v>
      </c>
      <c r="K7506" s="5" t="str">
        <f t="shared" si="896"/>
        <v>000</v>
      </c>
      <c r="L7506" s="5">
        <f t="shared" si="897"/>
        <v>7</v>
      </c>
      <c r="M7506" s="5">
        <f t="shared" si="898"/>
        <v>2013</v>
      </c>
    </row>
    <row r="7507" spans="1:13" ht="15" x14ac:dyDescent="0.25">
      <c r="A7507" s="1">
        <f>DATE(2013,7,15)</f>
        <v>41470</v>
      </c>
      <c r="B7507" t="s">
        <v>25</v>
      </c>
      <c r="C7507" t="s">
        <v>9</v>
      </c>
      <c r="D7507" s="3">
        <v>243.51599999999999</v>
      </c>
      <c r="E7507" s="3">
        <v>0</v>
      </c>
      <c r="F7507" t="s">
        <v>45</v>
      </c>
      <c r="G7507" s="3">
        <f t="shared" si="892"/>
        <v>-243.51599999999999</v>
      </c>
      <c r="H7507" s="3">
        <f t="shared" si="893"/>
        <v>243.51599999999999</v>
      </c>
      <c r="I7507" s="5" t="str">
        <f t="shared" si="894"/>
        <v>019</v>
      </c>
      <c r="J7507" s="5" t="str">
        <f t="shared" si="895"/>
        <v>2220</v>
      </c>
      <c r="K7507" s="5" t="str">
        <f t="shared" si="896"/>
        <v>000</v>
      </c>
      <c r="L7507" s="5">
        <f t="shared" si="897"/>
        <v>7</v>
      </c>
      <c r="M7507" s="5">
        <f t="shared" si="898"/>
        <v>2013</v>
      </c>
    </row>
    <row r="7508" spans="1:13" ht="15" x14ac:dyDescent="0.25">
      <c r="A7508" s="1">
        <f>DATE(2013,7,15)</f>
        <v>41470</v>
      </c>
      <c r="B7508" t="s">
        <v>26</v>
      </c>
      <c r="C7508" t="s">
        <v>10</v>
      </c>
      <c r="D7508" s="3">
        <v>41.315300000000001</v>
      </c>
      <c r="E7508" s="3">
        <v>0</v>
      </c>
      <c r="F7508" t="s">
        <v>45</v>
      </c>
      <c r="G7508" s="3">
        <f t="shared" si="892"/>
        <v>-41.315300000000001</v>
      </c>
      <c r="H7508" s="3">
        <f t="shared" si="893"/>
        <v>41.315300000000001</v>
      </c>
      <c r="I7508" s="5" t="str">
        <f t="shared" si="894"/>
        <v>019</v>
      </c>
      <c r="J7508" s="5" t="str">
        <f t="shared" si="895"/>
        <v>2230</v>
      </c>
      <c r="K7508" s="5" t="str">
        <f t="shared" si="896"/>
        <v>000</v>
      </c>
      <c r="L7508" s="5">
        <f t="shared" si="897"/>
        <v>7</v>
      </c>
      <c r="M7508" s="5">
        <f t="shared" si="898"/>
        <v>2013</v>
      </c>
    </row>
    <row r="7509" spans="1:13" ht="15" x14ac:dyDescent="0.25">
      <c r="A7509" s="1">
        <f>DATE(2013,7,16)</f>
        <v>41471</v>
      </c>
      <c r="B7509" t="s">
        <v>23</v>
      </c>
      <c r="C7509" t="s">
        <v>6</v>
      </c>
      <c r="D7509" s="3">
        <v>5853.5727999999999</v>
      </c>
      <c r="E7509" s="3">
        <v>0</v>
      </c>
      <c r="F7509" t="s">
        <v>45</v>
      </c>
      <c r="G7509" s="3">
        <f t="shared" si="892"/>
        <v>-5853.5727999999999</v>
      </c>
      <c r="H7509" s="3">
        <f t="shared" si="893"/>
        <v>5853.5727999999999</v>
      </c>
      <c r="I7509" s="5" t="str">
        <f t="shared" si="894"/>
        <v>019</v>
      </c>
      <c r="J7509" s="5" t="str">
        <f t="shared" si="895"/>
        <v>2100</v>
      </c>
      <c r="K7509" s="5" t="str">
        <f t="shared" si="896"/>
        <v>000</v>
      </c>
      <c r="L7509" s="5">
        <f t="shared" si="897"/>
        <v>7</v>
      </c>
      <c r="M7509" s="5">
        <f t="shared" si="898"/>
        <v>2013</v>
      </c>
    </row>
    <row r="7510" spans="1:13" ht="15" x14ac:dyDescent="0.25">
      <c r="A7510" s="1">
        <f>DATE(2013,7,16)</f>
        <v>41471</v>
      </c>
      <c r="B7510" t="s">
        <v>24</v>
      </c>
      <c r="C7510" t="s">
        <v>8</v>
      </c>
      <c r="D7510" s="3">
        <v>2278.2669999999998</v>
      </c>
      <c r="E7510" s="3">
        <v>0</v>
      </c>
      <c r="F7510" t="s">
        <v>45</v>
      </c>
      <c r="G7510" s="3">
        <f t="shared" si="892"/>
        <v>-2278.2669999999998</v>
      </c>
      <c r="H7510" s="3">
        <f t="shared" si="893"/>
        <v>2278.2669999999998</v>
      </c>
      <c r="I7510" s="5" t="str">
        <f t="shared" si="894"/>
        <v>019</v>
      </c>
      <c r="J7510" s="5" t="str">
        <f t="shared" si="895"/>
        <v>2210</v>
      </c>
      <c r="K7510" s="5" t="str">
        <f t="shared" si="896"/>
        <v>000</v>
      </c>
      <c r="L7510" s="5">
        <f t="shared" si="897"/>
        <v>7</v>
      </c>
      <c r="M7510" s="5">
        <f t="shared" si="898"/>
        <v>2013</v>
      </c>
    </row>
    <row r="7511" spans="1:13" ht="15" x14ac:dyDescent="0.25">
      <c r="A7511" s="1">
        <f>DATE(2013,7,16)</f>
        <v>41471</v>
      </c>
      <c r="B7511" t="s">
        <v>25</v>
      </c>
      <c r="C7511" t="s">
        <v>9</v>
      </c>
      <c r="D7511" s="3">
        <v>261.65750000000003</v>
      </c>
      <c r="E7511" s="3">
        <v>0</v>
      </c>
      <c r="F7511" t="s">
        <v>45</v>
      </c>
      <c r="G7511" s="3">
        <f t="shared" si="892"/>
        <v>-261.65750000000003</v>
      </c>
      <c r="H7511" s="3">
        <f t="shared" si="893"/>
        <v>261.65750000000003</v>
      </c>
      <c r="I7511" s="5" t="str">
        <f t="shared" si="894"/>
        <v>019</v>
      </c>
      <c r="J7511" s="5" t="str">
        <f t="shared" si="895"/>
        <v>2220</v>
      </c>
      <c r="K7511" s="5" t="str">
        <f t="shared" si="896"/>
        <v>000</v>
      </c>
      <c r="L7511" s="5">
        <f t="shared" si="897"/>
        <v>7</v>
      </c>
      <c r="M7511" s="5">
        <f t="shared" si="898"/>
        <v>2013</v>
      </c>
    </row>
    <row r="7512" spans="1:13" ht="15" x14ac:dyDescent="0.25">
      <c r="A7512" s="1">
        <f>DATE(2013,7,16)</f>
        <v>41471</v>
      </c>
      <c r="B7512" t="s">
        <v>26</v>
      </c>
      <c r="C7512" t="s">
        <v>10</v>
      </c>
      <c r="D7512" s="3">
        <v>112.366</v>
      </c>
      <c r="E7512" s="3">
        <v>0</v>
      </c>
      <c r="F7512" t="s">
        <v>45</v>
      </c>
      <c r="G7512" s="3">
        <f t="shared" si="892"/>
        <v>-112.366</v>
      </c>
      <c r="H7512" s="3">
        <f t="shared" si="893"/>
        <v>112.366</v>
      </c>
      <c r="I7512" s="5" t="str">
        <f t="shared" si="894"/>
        <v>019</v>
      </c>
      <c r="J7512" s="5" t="str">
        <f t="shared" si="895"/>
        <v>2230</v>
      </c>
      <c r="K7512" s="5" t="str">
        <f t="shared" si="896"/>
        <v>000</v>
      </c>
      <c r="L7512" s="5">
        <f t="shared" si="897"/>
        <v>7</v>
      </c>
      <c r="M7512" s="5">
        <f t="shared" si="898"/>
        <v>2013</v>
      </c>
    </row>
    <row r="7513" spans="1:13" ht="15" x14ac:dyDescent="0.25">
      <c r="A7513" s="1">
        <f>DATE(2013,7,17)</f>
        <v>41472</v>
      </c>
      <c r="B7513" t="s">
        <v>23</v>
      </c>
      <c r="C7513" t="s">
        <v>6</v>
      </c>
      <c r="D7513" s="3">
        <v>4750.2302</v>
      </c>
      <c r="E7513" s="3">
        <v>0</v>
      </c>
      <c r="F7513" t="s">
        <v>45</v>
      </c>
      <c r="G7513" s="3">
        <f t="shared" si="892"/>
        <v>-4750.2302</v>
      </c>
      <c r="H7513" s="3">
        <f t="shared" si="893"/>
        <v>4750.2302</v>
      </c>
      <c r="I7513" s="5" t="str">
        <f t="shared" si="894"/>
        <v>019</v>
      </c>
      <c r="J7513" s="5" t="str">
        <f t="shared" si="895"/>
        <v>2100</v>
      </c>
      <c r="K7513" s="5" t="str">
        <f t="shared" si="896"/>
        <v>000</v>
      </c>
      <c r="L7513" s="5">
        <f t="shared" si="897"/>
        <v>7</v>
      </c>
      <c r="M7513" s="5">
        <f t="shared" si="898"/>
        <v>2013</v>
      </c>
    </row>
    <row r="7514" spans="1:13" ht="15" x14ac:dyDescent="0.25">
      <c r="A7514" s="1">
        <f>DATE(2013,7,17)</f>
        <v>41472</v>
      </c>
      <c r="B7514" t="s">
        <v>24</v>
      </c>
      <c r="C7514" t="s">
        <v>8</v>
      </c>
      <c r="D7514" s="3">
        <v>1001.0454</v>
      </c>
      <c r="E7514" s="3">
        <v>0</v>
      </c>
      <c r="F7514" t="s">
        <v>45</v>
      </c>
      <c r="G7514" s="3">
        <f t="shared" si="892"/>
        <v>-1001.0454</v>
      </c>
      <c r="H7514" s="3">
        <f t="shared" si="893"/>
        <v>1001.0454</v>
      </c>
      <c r="I7514" s="5" t="str">
        <f t="shared" si="894"/>
        <v>019</v>
      </c>
      <c r="J7514" s="5" t="str">
        <f t="shared" si="895"/>
        <v>2210</v>
      </c>
      <c r="K7514" s="5" t="str">
        <f t="shared" si="896"/>
        <v>000</v>
      </c>
      <c r="L7514" s="5">
        <f t="shared" si="897"/>
        <v>7</v>
      </c>
      <c r="M7514" s="5">
        <f t="shared" si="898"/>
        <v>2013</v>
      </c>
    </row>
    <row r="7515" spans="1:13" ht="15" x14ac:dyDescent="0.25">
      <c r="A7515" s="1">
        <f>DATE(2013,7,17)</f>
        <v>41472</v>
      </c>
      <c r="B7515" t="s">
        <v>25</v>
      </c>
      <c r="C7515" t="s">
        <v>9</v>
      </c>
      <c r="D7515" s="3">
        <v>293.16160000000002</v>
      </c>
      <c r="E7515" s="3">
        <v>0</v>
      </c>
      <c r="F7515" t="s">
        <v>45</v>
      </c>
      <c r="G7515" s="3">
        <f t="shared" si="892"/>
        <v>-293.16160000000002</v>
      </c>
      <c r="H7515" s="3">
        <f t="shared" si="893"/>
        <v>293.16160000000002</v>
      </c>
      <c r="I7515" s="5" t="str">
        <f t="shared" si="894"/>
        <v>019</v>
      </c>
      <c r="J7515" s="5" t="str">
        <f t="shared" si="895"/>
        <v>2220</v>
      </c>
      <c r="K7515" s="5" t="str">
        <f t="shared" si="896"/>
        <v>000</v>
      </c>
      <c r="L7515" s="5">
        <f t="shared" si="897"/>
        <v>7</v>
      </c>
      <c r="M7515" s="5">
        <f t="shared" si="898"/>
        <v>2013</v>
      </c>
    </row>
    <row r="7516" spans="1:13" ht="15" x14ac:dyDescent="0.25">
      <c r="A7516" s="1">
        <f>DATE(2013,7,17)</f>
        <v>41472</v>
      </c>
      <c r="B7516" t="s">
        <v>26</v>
      </c>
      <c r="C7516" t="s">
        <v>10</v>
      </c>
      <c r="D7516" s="3">
        <v>35.562599999999996</v>
      </c>
      <c r="E7516" s="3">
        <v>0</v>
      </c>
      <c r="F7516" t="s">
        <v>45</v>
      </c>
      <c r="G7516" s="3">
        <f t="shared" si="892"/>
        <v>-35.562599999999996</v>
      </c>
      <c r="H7516" s="3">
        <f t="shared" si="893"/>
        <v>35.562599999999996</v>
      </c>
      <c r="I7516" s="5" t="str">
        <f t="shared" si="894"/>
        <v>019</v>
      </c>
      <c r="J7516" s="5" t="str">
        <f t="shared" si="895"/>
        <v>2230</v>
      </c>
      <c r="K7516" s="5" t="str">
        <f t="shared" si="896"/>
        <v>000</v>
      </c>
      <c r="L7516" s="5">
        <f t="shared" si="897"/>
        <v>7</v>
      </c>
      <c r="M7516" s="5">
        <f t="shared" si="898"/>
        <v>2013</v>
      </c>
    </row>
    <row r="7517" spans="1:13" ht="15" x14ac:dyDescent="0.25">
      <c r="A7517" s="1">
        <f>DATE(2013,7,18)</f>
        <v>41473</v>
      </c>
      <c r="B7517" t="s">
        <v>23</v>
      </c>
      <c r="C7517" t="s">
        <v>6</v>
      </c>
      <c r="D7517" s="3">
        <v>4307.4075000000003</v>
      </c>
      <c r="E7517" s="3">
        <v>0</v>
      </c>
      <c r="F7517" t="s">
        <v>45</v>
      </c>
      <c r="G7517" s="3">
        <f t="shared" si="892"/>
        <v>-4307.4075000000003</v>
      </c>
      <c r="H7517" s="3">
        <f t="shared" si="893"/>
        <v>4307.4075000000003</v>
      </c>
      <c r="I7517" s="5" t="str">
        <f t="shared" si="894"/>
        <v>019</v>
      </c>
      <c r="J7517" s="5" t="str">
        <f t="shared" si="895"/>
        <v>2100</v>
      </c>
      <c r="K7517" s="5" t="str">
        <f t="shared" si="896"/>
        <v>000</v>
      </c>
      <c r="L7517" s="5">
        <f t="shared" si="897"/>
        <v>7</v>
      </c>
      <c r="M7517" s="5">
        <f t="shared" si="898"/>
        <v>2013</v>
      </c>
    </row>
    <row r="7518" spans="1:13" ht="15" x14ac:dyDescent="0.25">
      <c r="A7518" s="1">
        <f>DATE(2013,7,18)</f>
        <v>41473</v>
      </c>
      <c r="B7518" t="s">
        <v>24</v>
      </c>
      <c r="C7518" t="s">
        <v>8</v>
      </c>
      <c r="D7518" s="3">
        <v>1601.6847999999998</v>
      </c>
      <c r="E7518" s="3">
        <v>0</v>
      </c>
      <c r="F7518" t="s">
        <v>45</v>
      </c>
      <c r="G7518" s="3">
        <f t="shared" si="892"/>
        <v>-1601.6847999999998</v>
      </c>
      <c r="H7518" s="3">
        <f t="shared" si="893"/>
        <v>1601.6847999999998</v>
      </c>
      <c r="I7518" s="5" t="str">
        <f t="shared" si="894"/>
        <v>019</v>
      </c>
      <c r="J7518" s="5" t="str">
        <f t="shared" si="895"/>
        <v>2210</v>
      </c>
      <c r="K7518" s="5" t="str">
        <f t="shared" si="896"/>
        <v>000</v>
      </c>
      <c r="L7518" s="5">
        <f t="shared" si="897"/>
        <v>7</v>
      </c>
      <c r="M7518" s="5">
        <f t="shared" si="898"/>
        <v>2013</v>
      </c>
    </row>
    <row r="7519" spans="1:13" ht="15" x14ac:dyDescent="0.25">
      <c r="A7519" s="1">
        <f>DATE(2013,7,18)</f>
        <v>41473</v>
      </c>
      <c r="B7519" t="s">
        <v>25</v>
      </c>
      <c r="C7519" t="s">
        <v>9</v>
      </c>
      <c r="D7519" s="3">
        <v>419.13900000000001</v>
      </c>
      <c r="E7519" s="3">
        <v>0</v>
      </c>
      <c r="F7519" t="s">
        <v>45</v>
      </c>
      <c r="G7519" s="3">
        <f t="shared" si="892"/>
        <v>-419.13900000000001</v>
      </c>
      <c r="H7519" s="3">
        <f t="shared" si="893"/>
        <v>419.13900000000001</v>
      </c>
      <c r="I7519" s="5" t="str">
        <f t="shared" si="894"/>
        <v>019</v>
      </c>
      <c r="J7519" s="5" t="str">
        <f t="shared" si="895"/>
        <v>2220</v>
      </c>
      <c r="K7519" s="5" t="str">
        <f t="shared" si="896"/>
        <v>000</v>
      </c>
      <c r="L7519" s="5">
        <f t="shared" si="897"/>
        <v>7</v>
      </c>
      <c r="M7519" s="5">
        <f t="shared" si="898"/>
        <v>2013</v>
      </c>
    </row>
    <row r="7520" spans="1:13" ht="15" x14ac:dyDescent="0.25">
      <c r="A7520" s="1">
        <f>DATE(2013,7,18)</f>
        <v>41473</v>
      </c>
      <c r="B7520" t="s">
        <v>26</v>
      </c>
      <c r="C7520" t="s">
        <v>10</v>
      </c>
      <c r="D7520" s="3">
        <v>63.134999999999998</v>
      </c>
      <c r="E7520" s="3">
        <v>0</v>
      </c>
      <c r="F7520" t="s">
        <v>45</v>
      </c>
      <c r="G7520" s="3">
        <f t="shared" si="892"/>
        <v>-63.134999999999998</v>
      </c>
      <c r="H7520" s="3">
        <f t="shared" si="893"/>
        <v>63.134999999999998</v>
      </c>
      <c r="I7520" s="5" t="str">
        <f t="shared" si="894"/>
        <v>019</v>
      </c>
      <c r="J7520" s="5" t="str">
        <f t="shared" si="895"/>
        <v>2230</v>
      </c>
      <c r="K7520" s="5" t="str">
        <f t="shared" si="896"/>
        <v>000</v>
      </c>
      <c r="L7520" s="5">
        <f t="shared" si="897"/>
        <v>7</v>
      </c>
      <c r="M7520" s="5">
        <f t="shared" si="898"/>
        <v>2013</v>
      </c>
    </row>
    <row r="7521" spans="1:13" ht="15" x14ac:dyDescent="0.25">
      <c r="A7521" s="1">
        <f>DATE(2013,7,19)</f>
        <v>41474</v>
      </c>
      <c r="B7521" t="s">
        <v>23</v>
      </c>
      <c r="C7521" t="s">
        <v>6</v>
      </c>
      <c r="D7521" s="3">
        <v>5598.0414000000001</v>
      </c>
      <c r="E7521" s="3">
        <v>0</v>
      </c>
      <c r="F7521" t="s">
        <v>45</v>
      </c>
      <c r="G7521" s="3">
        <f t="shared" si="892"/>
        <v>-5598.0414000000001</v>
      </c>
      <c r="H7521" s="3">
        <f t="shared" si="893"/>
        <v>5598.0414000000001</v>
      </c>
      <c r="I7521" s="5" t="str">
        <f t="shared" si="894"/>
        <v>019</v>
      </c>
      <c r="J7521" s="5" t="str">
        <f t="shared" si="895"/>
        <v>2100</v>
      </c>
      <c r="K7521" s="5" t="str">
        <f t="shared" si="896"/>
        <v>000</v>
      </c>
      <c r="L7521" s="5">
        <f t="shared" si="897"/>
        <v>7</v>
      </c>
      <c r="M7521" s="5">
        <f t="shared" si="898"/>
        <v>2013</v>
      </c>
    </row>
    <row r="7522" spans="1:13" ht="15" x14ac:dyDescent="0.25">
      <c r="A7522" s="1">
        <f>DATE(2013,7,19)</f>
        <v>41474</v>
      </c>
      <c r="B7522" t="s">
        <v>24</v>
      </c>
      <c r="C7522" t="s">
        <v>8</v>
      </c>
      <c r="D7522" s="3">
        <v>2583.4596999999999</v>
      </c>
      <c r="E7522" s="3">
        <v>0</v>
      </c>
      <c r="F7522" t="s">
        <v>45</v>
      </c>
      <c r="G7522" s="3">
        <f t="shared" si="892"/>
        <v>-2583.4596999999999</v>
      </c>
      <c r="H7522" s="3">
        <f t="shared" si="893"/>
        <v>2583.4596999999999</v>
      </c>
      <c r="I7522" s="5" t="str">
        <f t="shared" si="894"/>
        <v>019</v>
      </c>
      <c r="J7522" s="5" t="str">
        <f t="shared" si="895"/>
        <v>2210</v>
      </c>
      <c r="K7522" s="5" t="str">
        <f t="shared" si="896"/>
        <v>000</v>
      </c>
      <c r="L7522" s="5">
        <f t="shared" si="897"/>
        <v>7</v>
      </c>
      <c r="M7522" s="5">
        <f t="shared" si="898"/>
        <v>2013</v>
      </c>
    </row>
    <row r="7523" spans="1:13" ht="15" x14ac:dyDescent="0.25">
      <c r="A7523" s="1">
        <f>DATE(2013,7,19)</f>
        <v>41474</v>
      </c>
      <c r="B7523" t="s">
        <v>25</v>
      </c>
      <c r="C7523" t="s">
        <v>9</v>
      </c>
      <c r="D7523" s="3">
        <v>438.37200000000001</v>
      </c>
      <c r="E7523" s="3">
        <v>0</v>
      </c>
      <c r="F7523" t="s">
        <v>45</v>
      </c>
      <c r="G7523" s="3">
        <f t="shared" si="892"/>
        <v>-438.37200000000001</v>
      </c>
      <c r="H7523" s="3">
        <f t="shared" si="893"/>
        <v>438.37200000000001</v>
      </c>
      <c r="I7523" s="5" t="str">
        <f t="shared" si="894"/>
        <v>019</v>
      </c>
      <c r="J7523" s="5" t="str">
        <f t="shared" si="895"/>
        <v>2220</v>
      </c>
      <c r="K7523" s="5" t="str">
        <f t="shared" si="896"/>
        <v>000</v>
      </c>
      <c r="L7523" s="5">
        <f t="shared" si="897"/>
        <v>7</v>
      </c>
      <c r="M7523" s="5">
        <f t="shared" si="898"/>
        <v>2013</v>
      </c>
    </row>
    <row r="7524" spans="1:13" ht="15" x14ac:dyDescent="0.25">
      <c r="A7524" s="1">
        <f>DATE(2013,7,19)</f>
        <v>41474</v>
      </c>
      <c r="B7524" t="s">
        <v>26</v>
      </c>
      <c r="C7524" t="s">
        <v>10</v>
      </c>
      <c r="D7524" s="3">
        <v>75.114000000000004</v>
      </c>
      <c r="E7524" s="3">
        <v>0</v>
      </c>
      <c r="F7524" t="s">
        <v>45</v>
      </c>
      <c r="G7524" s="3">
        <f t="shared" si="892"/>
        <v>-75.114000000000004</v>
      </c>
      <c r="H7524" s="3">
        <f t="shared" si="893"/>
        <v>75.114000000000004</v>
      </c>
      <c r="I7524" s="5" t="str">
        <f t="shared" si="894"/>
        <v>019</v>
      </c>
      <c r="J7524" s="5" t="str">
        <f t="shared" si="895"/>
        <v>2230</v>
      </c>
      <c r="K7524" s="5" t="str">
        <f t="shared" si="896"/>
        <v>000</v>
      </c>
      <c r="L7524" s="5">
        <f t="shared" si="897"/>
        <v>7</v>
      </c>
      <c r="M7524" s="5">
        <f t="shared" si="898"/>
        <v>2013</v>
      </c>
    </row>
    <row r="7525" spans="1:13" ht="15" x14ac:dyDescent="0.25">
      <c r="A7525" s="1">
        <f>DATE(2013,7,20)</f>
        <v>41475</v>
      </c>
      <c r="B7525" t="s">
        <v>23</v>
      </c>
      <c r="C7525" t="s">
        <v>6</v>
      </c>
      <c r="D7525" s="3">
        <v>4805.2759999999998</v>
      </c>
      <c r="E7525" s="3">
        <v>0</v>
      </c>
      <c r="F7525" t="s">
        <v>45</v>
      </c>
      <c r="G7525" s="3">
        <f t="shared" si="892"/>
        <v>-4805.2759999999998</v>
      </c>
      <c r="H7525" s="3">
        <f t="shared" si="893"/>
        <v>4805.2759999999998</v>
      </c>
      <c r="I7525" s="5" t="str">
        <f t="shared" si="894"/>
        <v>019</v>
      </c>
      <c r="J7525" s="5" t="str">
        <f t="shared" si="895"/>
        <v>2100</v>
      </c>
      <c r="K7525" s="5" t="str">
        <f t="shared" si="896"/>
        <v>000</v>
      </c>
      <c r="L7525" s="5">
        <f t="shared" si="897"/>
        <v>7</v>
      </c>
      <c r="M7525" s="5">
        <f t="shared" si="898"/>
        <v>2013</v>
      </c>
    </row>
    <row r="7526" spans="1:13" ht="15" x14ac:dyDescent="0.25">
      <c r="A7526" s="1">
        <f>DATE(2013,7,20)</f>
        <v>41475</v>
      </c>
      <c r="B7526" t="s">
        <v>24</v>
      </c>
      <c r="C7526" t="s">
        <v>8</v>
      </c>
      <c r="D7526" s="3">
        <v>2479.8912</v>
      </c>
      <c r="E7526" s="3">
        <v>0</v>
      </c>
      <c r="F7526" t="s">
        <v>45</v>
      </c>
      <c r="G7526" s="3">
        <f t="shared" si="892"/>
        <v>-2479.8912</v>
      </c>
      <c r="H7526" s="3">
        <f t="shared" si="893"/>
        <v>2479.8912</v>
      </c>
      <c r="I7526" s="5" t="str">
        <f t="shared" si="894"/>
        <v>019</v>
      </c>
      <c r="J7526" s="5" t="str">
        <f t="shared" si="895"/>
        <v>2210</v>
      </c>
      <c r="K7526" s="5" t="str">
        <f t="shared" si="896"/>
        <v>000</v>
      </c>
      <c r="L7526" s="5">
        <f t="shared" si="897"/>
        <v>7</v>
      </c>
      <c r="M7526" s="5">
        <f t="shared" si="898"/>
        <v>2013</v>
      </c>
    </row>
    <row r="7527" spans="1:13" ht="15" x14ac:dyDescent="0.25">
      <c r="A7527" s="1">
        <f>DATE(2013,7,20)</f>
        <v>41475</v>
      </c>
      <c r="B7527" t="s">
        <v>25</v>
      </c>
      <c r="C7527" t="s">
        <v>9</v>
      </c>
      <c r="D7527" s="3">
        <v>372.32650000000001</v>
      </c>
      <c r="E7527" s="3">
        <v>0</v>
      </c>
      <c r="F7527" t="s">
        <v>45</v>
      </c>
      <c r="G7527" s="3">
        <f t="shared" si="892"/>
        <v>-372.32650000000001</v>
      </c>
      <c r="H7527" s="3">
        <f t="shared" si="893"/>
        <v>372.32650000000001</v>
      </c>
      <c r="I7527" s="5" t="str">
        <f t="shared" si="894"/>
        <v>019</v>
      </c>
      <c r="J7527" s="5" t="str">
        <f t="shared" si="895"/>
        <v>2220</v>
      </c>
      <c r="K7527" s="5" t="str">
        <f t="shared" si="896"/>
        <v>000</v>
      </c>
      <c r="L7527" s="5">
        <f t="shared" si="897"/>
        <v>7</v>
      </c>
      <c r="M7527" s="5">
        <f t="shared" si="898"/>
        <v>2013</v>
      </c>
    </row>
    <row r="7528" spans="1:13" ht="15" x14ac:dyDescent="0.25">
      <c r="A7528" s="1">
        <f>DATE(2013,7,20)</f>
        <v>41475</v>
      </c>
      <c r="B7528" t="s">
        <v>26</v>
      </c>
      <c r="C7528" t="s">
        <v>10</v>
      </c>
      <c r="D7528" s="3">
        <v>25.798500000000001</v>
      </c>
      <c r="E7528" s="3">
        <v>0</v>
      </c>
      <c r="F7528" t="s">
        <v>45</v>
      </c>
      <c r="G7528" s="3">
        <f t="shared" si="892"/>
        <v>-25.798500000000001</v>
      </c>
      <c r="H7528" s="3">
        <f t="shared" si="893"/>
        <v>25.798500000000001</v>
      </c>
      <c r="I7528" s="5" t="str">
        <f t="shared" si="894"/>
        <v>019</v>
      </c>
      <c r="J7528" s="5" t="str">
        <f t="shared" si="895"/>
        <v>2230</v>
      </c>
      <c r="K7528" s="5" t="str">
        <f t="shared" si="896"/>
        <v>000</v>
      </c>
      <c r="L7528" s="5">
        <f t="shared" si="897"/>
        <v>7</v>
      </c>
      <c r="M7528" s="5">
        <f t="shared" si="898"/>
        <v>2013</v>
      </c>
    </row>
    <row r="7529" spans="1:13" ht="15" x14ac:dyDescent="0.25">
      <c r="A7529" s="1">
        <f>DATE(2013,7,21)</f>
        <v>41476</v>
      </c>
      <c r="B7529" t="s">
        <v>23</v>
      </c>
      <c r="C7529" t="s">
        <v>6</v>
      </c>
      <c r="D7529" s="3">
        <v>4612.4791999999998</v>
      </c>
      <c r="E7529" s="3">
        <v>0</v>
      </c>
      <c r="F7529" t="s">
        <v>45</v>
      </c>
      <c r="G7529" s="3">
        <f t="shared" si="892"/>
        <v>-4612.4791999999998</v>
      </c>
      <c r="H7529" s="3">
        <f t="shared" si="893"/>
        <v>4612.4791999999998</v>
      </c>
      <c r="I7529" s="5" t="str">
        <f t="shared" si="894"/>
        <v>019</v>
      </c>
      <c r="J7529" s="5" t="str">
        <f t="shared" si="895"/>
        <v>2100</v>
      </c>
      <c r="K7529" s="5" t="str">
        <f t="shared" si="896"/>
        <v>000</v>
      </c>
      <c r="L7529" s="5">
        <f t="shared" si="897"/>
        <v>7</v>
      </c>
      <c r="M7529" s="5">
        <f t="shared" si="898"/>
        <v>2013</v>
      </c>
    </row>
    <row r="7530" spans="1:13" ht="15" x14ac:dyDescent="0.25">
      <c r="A7530" s="1">
        <f>DATE(2013,7,21)</f>
        <v>41476</v>
      </c>
      <c r="B7530" t="s">
        <v>24</v>
      </c>
      <c r="C7530" t="s">
        <v>8</v>
      </c>
      <c r="D7530" s="3">
        <v>1461.894</v>
      </c>
      <c r="E7530" s="3">
        <v>0</v>
      </c>
      <c r="F7530" t="s">
        <v>45</v>
      </c>
      <c r="G7530" s="3">
        <f t="shared" si="892"/>
        <v>-1461.894</v>
      </c>
      <c r="H7530" s="3">
        <f t="shared" si="893"/>
        <v>1461.894</v>
      </c>
      <c r="I7530" s="5" t="str">
        <f t="shared" si="894"/>
        <v>019</v>
      </c>
      <c r="J7530" s="5" t="str">
        <f t="shared" si="895"/>
        <v>2210</v>
      </c>
      <c r="K7530" s="5" t="str">
        <f t="shared" si="896"/>
        <v>000</v>
      </c>
      <c r="L7530" s="5">
        <f t="shared" si="897"/>
        <v>7</v>
      </c>
      <c r="M7530" s="5">
        <f t="shared" si="898"/>
        <v>2013</v>
      </c>
    </row>
    <row r="7531" spans="1:13" ht="15" x14ac:dyDescent="0.25">
      <c r="A7531" s="1">
        <f>DATE(2013,7,21)</f>
        <v>41476</v>
      </c>
      <c r="B7531" t="s">
        <v>25</v>
      </c>
      <c r="C7531" t="s">
        <v>9</v>
      </c>
      <c r="D7531" s="3">
        <v>303.67099999999999</v>
      </c>
      <c r="E7531" s="3">
        <v>0</v>
      </c>
      <c r="F7531" t="s">
        <v>45</v>
      </c>
      <c r="G7531" s="3">
        <f t="shared" si="892"/>
        <v>-303.67099999999999</v>
      </c>
      <c r="H7531" s="3">
        <f t="shared" si="893"/>
        <v>303.67099999999999</v>
      </c>
      <c r="I7531" s="5" t="str">
        <f t="shared" si="894"/>
        <v>019</v>
      </c>
      <c r="J7531" s="5" t="str">
        <f t="shared" si="895"/>
        <v>2220</v>
      </c>
      <c r="K7531" s="5" t="str">
        <f t="shared" si="896"/>
        <v>000</v>
      </c>
      <c r="L7531" s="5">
        <f t="shared" si="897"/>
        <v>7</v>
      </c>
      <c r="M7531" s="5">
        <f t="shared" si="898"/>
        <v>2013</v>
      </c>
    </row>
    <row r="7532" spans="1:13" ht="15" x14ac:dyDescent="0.25">
      <c r="A7532" s="1">
        <f>DATE(2013,7,21)</f>
        <v>41476</v>
      </c>
      <c r="B7532" t="s">
        <v>26</v>
      </c>
      <c r="C7532" t="s">
        <v>10</v>
      </c>
      <c r="D7532" s="3">
        <v>70.975799999999992</v>
      </c>
      <c r="E7532" s="3">
        <v>0</v>
      </c>
      <c r="F7532" t="s">
        <v>45</v>
      </c>
      <c r="G7532" s="3">
        <f t="shared" si="892"/>
        <v>-70.975799999999992</v>
      </c>
      <c r="H7532" s="3">
        <f t="shared" si="893"/>
        <v>70.975799999999992</v>
      </c>
      <c r="I7532" s="5" t="str">
        <f t="shared" si="894"/>
        <v>019</v>
      </c>
      <c r="J7532" s="5" t="str">
        <f t="shared" si="895"/>
        <v>2230</v>
      </c>
      <c r="K7532" s="5" t="str">
        <f t="shared" si="896"/>
        <v>000</v>
      </c>
      <c r="L7532" s="5">
        <f t="shared" si="897"/>
        <v>7</v>
      </c>
      <c r="M7532" s="5">
        <f t="shared" si="898"/>
        <v>2013</v>
      </c>
    </row>
    <row r="7533" spans="1:13" ht="15" x14ac:dyDescent="0.25">
      <c r="A7533" s="1">
        <f>DATE(2013,7,22)</f>
        <v>41477</v>
      </c>
      <c r="B7533" t="s">
        <v>11</v>
      </c>
      <c r="C7533" t="s">
        <v>6</v>
      </c>
      <c r="D7533" s="3">
        <v>1675.5907</v>
      </c>
      <c r="E7533" s="3">
        <v>0</v>
      </c>
      <c r="F7533" t="s">
        <v>45</v>
      </c>
      <c r="G7533" s="3">
        <f t="shared" si="892"/>
        <v>-1675.5907</v>
      </c>
      <c r="H7533" s="3">
        <f t="shared" si="893"/>
        <v>1675.5907</v>
      </c>
      <c r="I7533" s="5" t="str">
        <f t="shared" si="894"/>
        <v>016</v>
      </c>
      <c r="J7533" s="5" t="str">
        <f t="shared" si="895"/>
        <v>2100</v>
      </c>
      <c r="K7533" s="5" t="str">
        <f t="shared" si="896"/>
        <v>000</v>
      </c>
      <c r="L7533" s="5">
        <f t="shared" si="897"/>
        <v>7</v>
      </c>
      <c r="M7533" s="5">
        <f t="shared" si="898"/>
        <v>2013</v>
      </c>
    </row>
    <row r="7534" spans="1:13" ht="15" x14ac:dyDescent="0.25">
      <c r="A7534" s="1">
        <f>DATE(2013,7,22)</f>
        <v>41477</v>
      </c>
      <c r="B7534" t="s">
        <v>12</v>
      </c>
      <c r="C7534" t="s">
        <v>8</v>
      </c>
      <c r="D7534" s="3">
        <v>359.58780000000002</v>
      </c>
      <c r="E7534" s="3">
        <v>0</v>
      </c>
      <c r="F7534" t="s">
        <v>45</v>
      </c>
      <c r="G7534" s="3">
        <f t="shared" si="892"/>
        <v>-359.58780000000002</v>
      </c>
      <c r="H7534" s="3">
        <f t="shared" si="893"/>
        <v>359.58780000000002</v>
      </c>
      <c r="I7534" s="5" t="str">
        <f t="shared" si="894"/>
        <v>016</v>
      </c>
      <c r="J7534" s="5" t="str">
        <f t="shared" si="895"/>
        <v>2210</v>
      </c>
      <c r="K7534" s="5" t="str">
        <f t="shared" si="896"/>
        <v>000</v>
      </c>
      <c r="L7534" s="5">
        <f t="shared" si="897"/>
        <v>7</v>
      </c>
      <c r="M7534" s="5">
        <f t="shared" si="898"/>
        <v>2013</v>
      </c>
    </row>
    <row r="7535" spans="1:13" ht="15" x14ac:dyDescent="0.25">
      <c r="A7535" s="1">
        <f>DATE(2013,7,22)</f>
        <v>41477</v>
      </c>
      <c r="B7535" t="s">
        <v>13</v>
      </c>
      <c r="C7535" t="s">
        <v>9</v>
      </c>
      <c r="D7535" s="3">
        <v>70.707799999999992</v>
      </c>
      <c r="E7535" s="3">
        <v>0</v>
      </c>
      <c r="F7535" t="s">
        <v>45</v>
      </c>
      <c r="G7535" s="3">
        <f t="shared" si="892"/>
        <v>-70.707799999999992</v>
      </c>
      <c r="H7535" s="3">
        <f t="shared" si="893"/>
        <v>70.707799999999992</v>
      </c>
      <c r="I7535" s="5" t="str">
        <f t="shared" si="894"/>
        <v>016</v>
      </c>
      <c r="J7535" s="5" t="str">
        <f t="shared" si="895"/>
        <v>2220</v>
      </c>
      <c r="K7535" s="5" t="str">
        <f t="shared" si="896"/>
        <v>000</v>
      </c>
      <c r="L7535" s="5">
        <f t="shared" si="897"/>
        <v>7</v>
      </c>
      <c r="M7535" s="5">
        <f t="shared" si="898"/>
        <v>2013</v>
      </c>
    </row>
    <row r="7536" spans="1:13" ht="15" x14ac:dyDescent="0.25">
      <c r="A7536" s="1">
        <f>DATE(2013,7,22)</f>
        <v>41477</v>
      </c>
      <c r="B7536" t="s">
        <v>14</v>
      </c>
      <c r="C7536" t="s">
        <v>10</v>
      </c>
      <c r="D7536" s="3">
        <v>53.777599999999993</v>
      </c>
      <c r="E7536" s="3">
        <v>0</v>
      </c>
      <c r="F7536" t="s">
        <v>45</v>
      </c>
      <c r="G7536" s="3">
        <f t="shared" si="892"/>
        <v>-53.777599999999993</v>
      </c>
      <c r="H7536" s="3">
        <f t="shared" si="893"/>
        <v>53.777599999999993</v>
      </c>
      <c r="I7536" s="5" t="str">
        <f t="shared" si="894"/>
        <v>016</v>
      </c>
      <c r="J7536" s="5" t="str">
        <f t="shared" si="895"/>
        <v>2230</v>
      </c>
      <c r="K7536" s="5" t="str">
        <f t="shared" si="896"/>
        <v>000</v>
      </c>
      <c r="L7536" s="5">
        <f t="shared" si="897"/>
        <v>7</v>
      </c>
      <c r="M7536" s="5">
        <f t="shared" si="898"/>
        <v>2013</v>
      </c>
    </row>
    <row r="7537" spans="1:13" ht="15" x14ac:dyDescent="0.25">
      <c r="A7537" s="1">
        <f>DATE(2013,7,23)</f>
        <v>41478</v>
      </c>
      <c r="B7537" t="s">
        <v>11</v>
      </c>
      <c r="C7537" t="s">
        <v>6</v>
      </c>
      <c r="D7537" s="3">
        <v>5901.4475000000002</v>
      </c>
      <c r="E7537" s="3">
        <v>0</v>
      </c>
      <c r="F7537" t="s">
        <v>45</v>
      </c>
      <c r="G7537" s="3">
        <f t="shared" si="892"/>
        <v>-5901.4475000000002</v>
      </c>
      <c r="H7537" s="3">
        <f t="shared" si="893"/>
        <v>5901.4475000000002</v>
      </c>
      <c r="I7537" s="5" t="str">
        <f t="shared" si="894"/>
        <v>016</v>
      </c>
      <c r="J7537" s="5" t="str">
        <f t="shared" si="895"/>
        <v>2100</v>
      </c>
      <c r="K7537" s="5" t="str">
        <f t="shared" si="896"/>
        <v>000</v>
      </c>
      <c r="L7537" s="5">
        <f t="shared" si="897"/>
        <v>7</v>
      </c>
      <c r="M7537" s="5">
        <f t="shared" si="898"/>
        <v>2013</v>
      </c>
    </row>
    <row r="7538" spans="1:13" ht="15" x14ac:dyDescent="0.25">
      <c r="A7538" s="1">
        <f>DATE(2013,7,23)</f>
        <v>41478</v>
      </c>
      <c r="B7538" t="s">
        <v>12</v>
      </c>
      <c r="C7538" t="s">
        <v>8</v>
      </c>
      <c r="D7538" s="3">
        <v>2284.7346000000002</v>
      </c>
      <c r="E7538" s="3">
        <v>0</v>
      </c>
      <c r="F7538" t="s">
        <v>45</v>
      </c>
      <c r="G7538" s="3">
        <f t="shared" si="892"/>
        <v>-2284.7346000000002</v>
      </c>
      <c r="H7538" s="3">
        <f t="shared" si="893"/>
        <v>2284.7346000000002</v>
      </c>
      <c r="I7538" s="5" t="str">
        <f t="shared" si="894"/>
        <v>016</v>
      </c>
      <c r="J7538" s="5" t="str">
        <f t="shared" si="895"/>
        <v>2210</v>
      </c>
      <c r="K7538" s="5" t="str">
        <f t="shared" si="896"/>
        <v>000</v>
      </c>
      <c r="L7538" s="5">
        <f t="shared" si="897"/>
        <v>7</v>
      </c>
      <c r="M7538" s="5">
        <f t="shared" si="898"/>
        <v>2013</v>
      </c>
    </row>
    <row r="7539" spans="1:13" ht="15" x14ac:dyDescent="0.25">
      <c r="A7539" s="1">
        <f>DATE(2013,7,23)</f>
        <v>41478</v>
      </c>
      <c r="B7539" t="s">
        <v>13</v>
      </c>
      <c r="C7539" t="s">
        <v>9</v>
      </c>
      <c r="D7539" s="3">
        <v>781.47</v>
      </c>
      <c r="E7539" s="3">
        <v>0</v>
      </c>
      <c r="F7539" t="s">
        <v>45</v>
      </c>
      <c r="G7539" s="3">
        <f t="shared" si="892"/>
        <v>-781.47</v>
      </c>
      <c r="H7539" s="3">
        <f t="shared" si="893"/>
        <v>781.47</v>
      </c>
      <c r="I7539" s="5" t="str">
        <f t="shared" si="894"/>
        <v>016</v>
      </c>
      <c r="J7539" s="5" t="str">
        <f t="shared" si="895"/>
        <v>2220</v>
      </c>
      <c r="K7539" s="5" t="str">
        <f t="shared" si="896"/>
        <v>000</v>
      </c>
      <c r="L7539" s="5">
        <f t="shared" si="897"/>
        <v>7</v>
      </c>
      <c r="M7539" s="5">
        <f t="shared" si="898"/>
        <v>2013</v>
      </c>
    </row>
    <row r="7540" spans="1:13" ht="15" x14ac:dyDescent="0.25">
      <c r="A7540" s="1">
        <f>DATE(2013,7,23)</f>
        <v>41478</v>
      </c>
      <c r="B7540" t="s">
        <v>14</v>
      </c>
      <c r="C7540" t="s">
        <v>10</v>
      </c>
      <c r="D7540" s="3">
        <v>119.97719999999998</v>
      </c>
      <c r="E7540" s="3">
        <v>0</v>
      </c>
      <c r="F7540" t="s">
        <v>45</v>
      </c>
      <c r="G7540" s="3">
        <f t="shared" si="892"/>
        <v>-119.97719999999998</v>
      </c>
      <c r="H7540" s="3">
        <f t="shared" si="893"/>
        <v>119.97719999999998</v>
      </c>
      <c r="I7540" s="5" t="str">
        <f t="shared" si="894"/>
        <v>016</v>
      </c>
      <c r="J7540" s="5" t="str">
        <f t="shared" si="895"/>
        <v>2230</v>
      </c>
      <c r="K7540" s="5" t="str">
        <f t="shared" si="896"/>
        <v>000</v>
      </c>
      <c r="L7540" s="5">
        <f t="shared" si="897"/>
        <v>7</v>
      </c>
      <c r="M7540" s="5">
        <f t="shared" si="898"/>
        <v>2013</v>
      </c>
    </row>
    <row r="7541" spans="1:13" ht="15" x14ac:dyDescent="0.25">
      <c r="A7541" s="1">
        <f>DATE(2013,7,24)</f>
        <v>41479</v>
      </c>
      <c r="B7541" t="s">
        <v>11</v>
      </c>
      <c r="C7541" t="s">
        <v>6</v>
      </c>
      <c r="D7541" s="3">
        <v>2417.2485999999999</v>
      </c>
      <c r="E7541" s="3">
        <v>0</v>
      </c>
      <c r="F7541" t="s">
        <v>45</v>
      </c>
      <c r="G7541" s="3">
        <f t="shared" si="892"/>
        <v>-2417.2485999999999</v>
      </c>
      <c r="H7541" s="3">
        <f t="shared" si="893"/>
        <v>2417.2485999999999</v>
      </c>
      <c r="I7541" s="5" t="str">
        <f t="shared" si="894"/>
        <v>016</v>
      </c>
      <c r="J7541" s="5" t="str">
        <f t="shared" si="895"/>
        <v>2100</v>
      </c>
      <c r="K7541" s="5" t="str">
        <f t="shared" si="896"/>
        <v>000</v>
      </c>
      <c r="L7541" s="5">
        <f t="shared" si="897"/>
        <v>7</v>
      </c>
      <c r="M7541" s="5">
        <f t="shared" si="898"/>
        <v>2013</v>
      </c>
    </row>
    <row r="7542" spans="1:13" ht="15" x14ac:dyDescent="0.25">
      <c r="A7542" s="1">
        <f>DATE(2013,7,24)</f>
        <v>41479</v>
      </c>
      <c r="B7542" t="s">
        <v>12</v>
      </c>
      <c r="C7542" t="s">
        <v>8</v>
      </c>
      <c r="D7542" s="3">
        <v>813.35649999999998</v>
      </c>
      <c r="E7542" s="3">
        <v>0</v>
      </c>
      <c r="F7542" t="s">
        <v>45</v>
      </c>
      <c r="G7542" s="3">
        <f t="shared" si="892"/>
        <v>-813.35649999999998</v>
      </c>
      <c r="H7542" s="3">
        <f t="shared" si="893"/>
        <v>813.35649999999998</v>
      </c>
      <c r="I7542" s="5" t="str">
        <f t="shared" si="894"/>
        <v>016</v>
      </c>
      <c r="J7542" s="5" t="str">
        <f t="shared" si="895"/>
        <v>2210</v>
      </c>
      <c r="K7542" s="5" t="str">
        <f t="shared" si="896"/>
        <v>000</v>
      </c>
      <c r="L7542" s="5">
        <f t="shared" si="897"/>
        <v>7</v>
      </c>
      <c r="M7542" s="5">
        <f t="shared" si="898"/>
        <v>2013</v>
      </c>
    </row>
    <row r="7543" spans="1:13" ht="15" x14ac:dyDescent="0.25">
      <c r="A7543" s="1">
        <f>DATE(2013,7,24)</f>
        <v>41479</v>
      </c>
      <c r="B7543" t="s">
        <v>13</v>
      </c>
      <c r="C7543" t="s">
        <v>9</v>
      </c>
      <c r="D7543" s="3">
        <v>221.27399999999997</v>
      </c>
      <c r="E7543" s="3">
        <v>0</v>
      </c>
      <c r="F7543" t="s">
        <v>45</v>
      </c>
      <c r="G7543" s="3">
        <f t="shared" si="892"/>
        <v>-221.27399999999997</v>
      </c>
      <c r="H7543" s="3">
        <f t="shared" si="893"/>
        <v>221.27399999999997</v>
      </c>
      <c r="I7543" s="5" t="str">
        <f t="shared" si="894"/>
        <v>016</v>
      </c>
      <c r="J7543" s="5" t="str">
        <f t="shared" si="895"/>
        <v>2220</v>
      </c>
      <c r="K7543" s="5" t="str">
        <f t="shared" si="896"/>
        <v>000</v>
      </c>
      <c r="L7543" s="5">
        <f t="shared" si="897"/>
        <v>7</v>
      </c>
      <c r="M7543" s="5">
        <f t="shared" si="898"/>
        <v>2013</v>
      </c>
    </row>
    <row r="7544" spans="1:13" ht="15" x14ac:dyDescent="0.25">
      <c r="A7544" s="1">
        <f>DATE(2013,7,24)</f>
        <v>41479</v>
      </c>
      <c r="B7544" t="s">
        <v>14</v>
      </c>
      <c r="C7544" t="s">
        <v>10</v>
      </c>
      <c r="D7544" s="3">
        <v>29.887</v>
      </c>
      <c r="E7544" s="3">
        <v>0</v>
      </c>
      <c r="F7544" t="s">
        <v>45</v>
      </c>
      <c r="G7544" s="3">
        <f t="shared" si="892"/>
        <v>-29.887</v>
      </c>
      <c r="H7544" s="3">
        <f t="shared" si="893"/>
        <v>29.887</v>
      </c>
      <c r="I7544" s="5" t="str">
        <f t="shared" si="894"/>
        <v>016</v>
      </c>
      <c r="J7544" s="5" t="str">
        <f t="shared" si="895"/>
        <v>2230</v>
      </c>
      <c r="K7544" s="5" t="str">
        <f t="shared" si="896"/>
        <v>000</v>
      </c>
      <c r="L7544" s="5">
        <f t="shared" si="897"/>
        <v>7</v>
      </c>
      <c r="M7544" s="5">
        <f t="shared" si="898"/>
        <v>2013</v>
      </c>
    </row>
    <row r="7545" spans="1:13" ht="15" x14ac:dyDescent="0.25">
      <c r="A7545" s="1">
        <f>DATE(2013,7,25)</f>
        <v>41480</v>
      </c>
      <c r="B7545" t="s">
        <v>11</v>
      </c>
      <c r="C7545" t="s">
        <v>6</v>
      </c>
      <c r="D7545" s="3">
        <v>4639.7240000000002</v>
      </c>
      <c r="E7545" s="3">
        <v>0</v>
      </c>
      <c r="F7545" t="s">
        <v>45</v>
      </c>
      <c r="G7545" s="3">
        <f t="shared" si="892"/>
        <v>-4639.7240000000002</v>
      </c>
      <c r="H7545" s="3">
        <f t="shared" si="893"/>
        <v>4639.7240000000002</v>
      </c>
      <c r="I7545" s="5" t="str">
        <f t="shared" si="894"/>
        <v>016</v>
      </c>
      <c r="J7545" s="5" t="str">
        <f t="shared" si="895"/>
        <v>2100</v>
      </c>
      <c r="K7545" s="5" t="str">
        <f t="shared" si="896"/>
        <v>000</v>
      </c>
      <c r="L7545" s="5">
        <f t="shared" si="897"/>
        <v>7</v>
      </c>
      <c r="M7545" s="5">
        <f t="shared" si="898"/>
        <v>2013</v>
      </c>
    </row>
    <row r="7546" spans="1:13" ht="15" x14ac:dyDescent="0.25">
      <c r="A7546" s="1">
        <f>DATE(2013,7,25)</f>
        <v>41480</v>
      </c>
      <c r="B7546" t="s">
        <v>12</v>
      </c>
      <c r="C7546" t="s">
        <v>8</v>
      </c>
      <c r="D7546" s="3">
        <v>969.77250000000004</v>
      </c>
      <c r="E7546" s="3">
        <v>0</v>
      </c>
      <c r="F7546" t="s">
        <v>45</v>
      </c>
      <c r="G7546" s="3">
        <f t="shared" si="892"/>
        <v>-969.77250000000004</v>
      </c>
      <c r="H7546" s="3">
        <f t="shared" si="893"/>
        <v>969.77250000000004</v>
      </c>
      <c r="I7546" s="5" t="str">
        <f t="shared" si="894"/>
        <v>016</v>
      </c>
      <c r="J7546" s="5" t="str">
        <f t="shared" si="895"/>
        <v>2210</v>
      </c>
      <c r="K7546" s="5" t="str">
        <f t="shared" si="896"/>
        <v>000</v>
      </c>
      <c r="L7546" s="5">
        <f t="shared" si="897"/>
        <v>7</v>
      </c>
      <c r="M7546" s="5">
        <f t="shared" si="898"/>
        <v>2013</v>
      </c>
    </row>
    <row r="7547" spans="1:13" ht="15" x14ac:dyDescent="0.25">
      <c r="A7547" s="1">
        <f>DATE(2013,7,25)</f>
        <v>41480</v>
      </c>
      <c r="B7547" t="s">
        <v>13</v>
      </c>
      <c r="C7547" t="s">
        <v>9</v>
      </c>
      <c r="D7547" s="3">
        <v>279.04250000000002</v>
      </c>
      <c r="E7547" s="3">
        <v>0</v>
      </c>
      <c r="F7547" t="s">
        <v>45</v>
      </c>
      <c r="G7547" s="3">
        <f t="shared" si="892"/>
        <v>-279.04250000000002</v>
      </c>
      <c r="H7547" s="3">
        <f t="shared" si="893"/>
        <v>279.04250000000002</v>
      </c>
      <c r="I7547" s="5" t="str">
        <f t="shared" si="894"/>
        <v>016</v>
      </c>
      <c r="J7547" s="5" t="str">
        <f t="shared" si="895"/>
        <v>2220</v>
      </c>
      <c r="K7547" s="5" t="str">
        <f t="shared" si="896"/>
        <v>000</v>
      </c>
      <c r="L7547" s="5">
        <f t="shared" si="897"/>
        <v>7</v>
      </c>
      <c r="M7547" s="5">
        <f t="shared" si="898"/>
        <v>2013</v>
      </c>
    </row>
    <row r="7548" spans="1:13" ht="15" x14ac:dyDescent="0.25">
      <c r="A7548" s="1">
        <f>DATE(2013,7,25)</f>
        <v>41480</v>
      </c>
      <c r="B7548" t="s">
        <v>14</v>
      </c>
      <c r="C7548" t="s">
        <v>10</v>
      </c>
      <c r="D7548" s="3">
        <v>65.162399999999991</v>
      </c>
      <c r="E7548" s="3">
        <v>0</v>
      </c>
      <c r="F7548" t="s">
        <v>45</v>
      </c>
      <c r="G7548" s="3">
        <f t="shared" si="892"/>
        <v>-65.162399999999991</v>
      </c>
      <c r="H7548" s="3">
        <f t="shared" si="893"/>
        <v>65.162399999999991</v>
      </c>
      <c r="I7548" s="5" t="str">
        <f t="shared" si="894"/>
        <v>016</v>
      </c>
      <c r="J7548" s="5" t="str">
        <f t="shared" si="895"/>
        <v>2230</v>
      </c>
      <c r="K7548" s="5" t="str">
        <f t="shared" si="896"/>
        <v>000</v>
      </c>
      <c r="L7548" s="5">
        <f t="shared" si="897"/>
        <v>7</v>
      </c>
      <c r="M7548" s="5">
        <f t="shared" si="898"/>
        <v>2013</v>
      </c>
    </row>
    <row r="7549" spans="1:13" ht="15" x14ac:dyDescent="0.25">
      <c r="A7549" s="1">
        <f>DATE(2013,7,26)</f>
        <v>41481</v>
      </c>
      <c r="B7549" t="s">
        <v>11</v>
      </c>
      <c r="C7549" t="s">
        <v>6</v>
      </c>
      <c r="D7549" s="3">
        <v>5738.9714999999997</v>
      </c>
      <c r="E7549" s="3">
        <v>0</v>
      </c>
      <c r="F7549" t="s">
        <v>45</v>
      </c>
      <c r="G7549" s="3">
        <f t="shared" si="892"/>
        <v>-5738.9714999999997</v>
      </c>
      <c r="H7549" s="3">
        <f t="shared" si="893"/>
        <v>5738.9714999999997</v>
      </c>
      <c r="I7549" s="5" t="str">
        <f t="shared" si="894"/>
        <v>016</v>
      </c>
      <c r="J7549" s="5" t="str">
        <f t="shared" si="895"/>
        <v>2100</v>
      </c>
      <c r="K7549" s="5" t="str">
        <f t="shared" si="896"/>
        <v>000</v>
      </c>
      <c r="L7549" s="5">
        <f t="shared" si="897"/>
        <v>7</v>
      </c>
      <c r="M7549" s="5">
        <f t="shared" si="898"/>
        <v>2013</v>
      </c>
    </row>
    <row r="7550" spans="1:13" ht="15" x14ac:dyDescent="0.25">
      <c r="A7550" s="1">
        <f>DATE(2013,7,26)</f>
        <v>41481</v>
      </c>
      <c r="B7550" t="s">
        <v>12</v>
      </c>
      <c r="C7550" t="s">
        <v>8</v>
      </c>
      <c r="D7550" s="3">
        <v>1809.4183999999998</v>
      </c>
      <c r="E7550" s="3">
        <v>0</v>
      </c>
      <c r="F7550" t="s">
        <v>45</v>
      </c>
      <c r="G7550" s="3">
        <f t="shared" si="892"/>
        <v>-1809.4183999999998</v>
      </c>
      <c r="H7550" s="3">
        <f t="shared" si="893"/>
        <v>1809.4183999999998</v>
      </c>
      <c r="I7550" s="5" t="str">
        <f t="shared" si="894"/>
        <v>016</v>
      </c>
      <c r="J7550" s="5" t="str">
        <f t="shared" si="895"/>
        <v>2210</v>
      </c>
      <c r="K7550" s="5" t="str">
        <f t="shared" si="896"/>
        <v>000</v>
      </c>
      <c r="L7550" s="5">
        <f t="shared" si="897"/>
        <v>7</v>
      </c>
      <c r="M7550" s="5">
        <f t="shared" si="898"/>
        <v>2013</v>
      </c>
    </row>
    <row r="7551" spans="1:13" ht="15" x14ac:dyDescent="0.25">
      <c r="A7551" s="1">
        <f>DATE(2013,7,26)</f>
        <v>41481</v>
      </c>
      <c r="B7551" t="s">
        <v>13</v>
      </c>
      <c r="C7551" t="s">
        <v>9</v>
      </c>
      <c r="D7551" s="3">
        <v>234.41759999999999</v>
      </c>
      <c r="E7551" s="3">
        <v>0</v>
      </c>
      <c r="F7551" t="s">
        <v>45</v>
      </c>
      <c r="G7551" s="3">
        <f t="shared" si="892"/>
        <v>-234.41759999999999</v>
      </c>
      <c r="H7551" s="3">
        <f t="shared" si="893"/>
        <v>234.41759999999999</v>
      </c>
      <c r="I7551" s="5" t="str">
        <f t="shared" si="894"/>
        <v>016</v>
      </c>
      <c r="J7551" s="5" t="str">
        <f t="shared" si="895"/>
        <v>2220</v>
      </c>
      <c r="K7551" s="5" t="str">
        <f t="shared" si="896"/>
        <v>000</v>
      </c>
      <c r="L7551" s="5">
        <f t="shared" si="897"/>
        <v>7</v>
      </c>
      <c r="M7551" s="5">
        <f t="shared" si="898"/>
        <v>2013</v>
      </c>
    </row>
    <row r="7552" spans="1:13" ht="15" x14ac:dyDescent="0.25">
      <c r="A7552" s="1">
        <f>DATE(2013,7,26)</f>
        <v>41481</v>
      </c>
      <c r="B7552" t="s">
        <v>14</v>
      </c>
      <c r="C7552" t="s">
        <v>10</v>
      </c>
      <c r="D7552" s="3">
        <v>94.133499999999984</v>
      </c>
      <c r="E7552" s="3">
        <v>0</v>
      </c>
      <c r="F7552" t="s">
        <v>45</v>
      </c>
      <c r="G7552" s="3">
        <f t="shared" si="892"/>
        <v>-94.133499999999984</v>
      </c>
      <c r="H7552" s="3">
        <f t="shared" si="893"/>
        <v>94.133499999999984</v>
      </c>
      <c r="I7552" s="5" t="str">
        <f t="shared" si="894"/>
        <v>016</v>
      </c>
      <c r="J7552" s="5" t="str">
        <f t="shared" si="895"/>
        <v>2230</v>
      </c>
      <c r="K7552" s="5" t="str">
        <f t="shared" si="896"/>
        <v>000</v>
      </c>
      <c r="L7552" s="5">
        <f t="shared" si="897"/>
        <v>7</v>
      </c>
      <c r="M7552" s="5">
        <f t="shared" si="898"/>
        <v>2013</v>
      </c>
    </row>
    <row r="7553" spans="1:13" ht="15" x14ac:dyDescent="0.25">
      <c r="A7553" s="1">
        <f>DATE(2013,7,27)</f>
        <v>41482</v>
      </c>
      <c r="B7553" t="s">
        <v>11</v>
      </c>
      <c r="C7553" t="s">
        <v>6</v>
      </c>
      <c r="D7553" s="3">
        <v>9602.9939999999988</v>
      </c>
      <c r="E7553" s="3">
        <v>0</v>
      </c>
      <c r="F7553" t="s">
        <v>45</v>
      </c>
      <c r="G7553" s="3">
        <f t="shared" si="892"/>
        <v>-9602.9939999999988</v>
      </c>
      <c r="H7553" s="3">
        <f t="shared" si="893"/>
        <v>9602.9939999999988</v>
      </c>
      <c r="I7553" s="5" t="str">
        <f t="shared" si="894"/>
        <v>016</v>
      </c>
      <c r="J7553" s="5" t="str">
        <f t="shared" si="895"/>
        <v>2100</v>
      </c>
      <c r="K7553" s="5" t="str">
        <f t="shared" si="896"/>
        <v>000</v>
      </c>
      <c r="L7553" s="5">
        <f t="shared" si="897"/>
        <v>7</v>
      </c>
      <c r="M7553" s="5">
        <f t="shared" si="898"/>
        <v>2013</v>
      </c>
    </row>
    <row r="7554" spans="1:13" ht="15" x14ac:dyDescent="0.25">
      <c r="A7554" s="1">
        <f>DATE(2013,7,27)</f>
        <v>41482</v>
      </c>
      <c r="B7554" t="s">
        <v>12</v>
      </c>
      <c r="C7554" t="s">
        <v>8</v>
      </c>
      <c r="D7554" s="3">
        <v>3578.3323999999993</v>
      </c>
      <c r="E7554" s="3">
        <v>0</v>
      </c>
      <c r="F7554" t="s">
        <v>45</v>
      </c>
      <c r="G7554" s="3">
        <f t="shared" ref="G7554:G7617" si="899">E7554-D7554</f>
        <v>-3578.3323999999993</v>
      </c>
      <c r="H7554" s="3">
        <f t="shared" ref="H7554:H7617" si="900">ABS(G7554)</f>
        <v>3578.3323999999993</v>
      </c>
      <c r="I7554" s="5" t="str">
        <f t="shared" ref="I7554:I7617" si="901">MID(B7554,1,3)</f>
        <v>016</v>
      </c>
      <c r="J7554" s="5" t="str">
        <f t="shared" ref="J7554:J7617" si="902">MID(B7554,5,4)</f>
        <v>2210</v>
      </c>
      <c r="K7554" s="5" t="str">
        <f t="shared" ref="K7554:K7617" si="903">MID(B7554,10,3)</f>
        <v>000</v>
      </c>
      <c r="L7554" s="5">
        <f t="shared" ref="L7554:L7617" si="904">MONTH(A7554)</f>
        <v>7</v>
      </c>
      <c r="M7554" s="5">
        <f t="shared" ref="M7554:M7617" si="905">YEAR(A7554)</f>
        <v>2013</v>
      </c>
    </row>
    <row r="7555" spans="1:13" ht="15" x14ac:dyDescent="0.25">
      <c r="A7555" s="1">
        <f>DATE(2013,7,27)</f>
        <v>41482</v>
      </c>
      <c r="B7555" t="s">
        <v>13</v>
      </c>
      <c r="C7555" t="s">
        <v>9</v>
      </c>
      <c r="D7555" s="3">
        <v>634.74709999999993</v>
      </c>
      <c r="E7555" s="3">
        <v>0</v>
      </c>
      <c r="F7555" t="s">
        <v>45</v>
      </c>
      <c r="G7555" s="3">
        <f t="shared" si="899"/>
        <v>-634.74709999999993</v>
      </c>
      <c r="H7555" s="3">
        <f t="shared" si="900"/>
        <v>634.74709999999993</v>
      </c>
      <c r="I7555" s="5" t="str">
        <f t="shared" si="901"/>
        <v>016</v>
      </c>
      <c r="J7555" s="5" t="str">
        <f t="shared" si="902"/>
        <v>2220</v>
      </c>
      <c r="K7555" s="5" t="str">
        <f t="shared" si="903"/>
        <v>000</v>
      </c>
      <c r="L7555" s="5">
        <f t="shared" si="904"/>
        <v>7</v>
      </c>
      <c r="M7555" s="5">
        <f t="shared" si="905"/>
        <v>2013</v>
      </c>
    </row>
    <row r="7556" spans="1:13" ht="15" x14ac:dyDescent="0.25">
      <c r="A7556" s="1">
        <f>DATE(2013,7,27)</f>
        <v>41482</v>
      </c>
      <c r="B7556" t="s">
        <v>14</v>
      </c>
      <c r="C7556" t="s">
        <v>10</v>
      </c>
      <c r="D7556" s="3">
        <v>212.73559999999998</v>
      </c>
      <c r="E7556" s="3">
        <v>0</v>
      </c>
      <c r="F7556" t="s">
        <v>45</v>
      </c>
      <c r="G7556" s="3">
        <f t="shared" si="899"/>
        <v>-212.73559999999998</v>
      </c>
      <c r="H7556" s="3">
        <f t="shared" si="900"/>
        <v>212.73559999999998</v>
      </c>
      <c r="I7556" s="5" t="str">
        <f t="shared" si="901"/>
        <v>016</v>
      </c>
      <c r="J7556" s="5" t="str">
        <f t="shared" si="902"/>
        <v>2230</v>
      </c>
      <c r="K7556" s="5" t="str">
        <f t="shared" si="903"/>
        <v>000</v>
      </c>
      <c r="L7556" s="5">
        <f t="shared" si="904"/>
        <v>7</v>
      </c>
      <c r="M7556" s="5">
        <f t="shared" si="905"/>
        <v>2013</v>
      </c>
    </row>
    <row r="7557" spans="1:13" ht="15" x14ac:dyDescent="0.25">
      <c r="A7557" s="1">
        <f>DATE(2013,7,28)</f>
        <v>41483</v>
      </c>
      <c r="B7557" t="s">
        <v>11</v>
      </c>
      <c r="C7557" t="s">
        <v>6</v>
      </c>
      <c r="D7557" s="3">
        <v>4536.1008000000002</v>
      </c>
      <c r="E7557" s="3">
        <v>0</v>
      </c>
      <c r="F7557" t="s">
        <v>45</v>
      </c>
      <c r="G7557" s="3">
        <f t="shared" si="899"/>
        <v>-4536.1008000000002</v>
      </c>
      <c r="H7557" s="3">
        <f t="shared" si="900"/>
        <v>4536.1008000000002</v>
      </c>
      <c r="I7557" s="5" t="str">
        <f t="shared" si="901"/>
        <v>016</v>
      </c>
      <c r="J7557" s="5" t="str">
        <f t="shared" si="902"/>
        <v>2100</v>
      </c>
      <c r="K7557" s="5" t="str">
        <f t="shared" si="903"/>
        <v>000</v>
      </c>
      <c r="L7557" s="5">
        <f t="shared" si="904"/>
        <v>7</v>
      </c>
      <c r="M7557" s="5">
        <f t="shared" si="905"/>
        <v>2013</v>
      </c>
    </row>
    <row r="7558" spans="1:13" ht="15" x14ac:dyDescent="0.25">
      <c r="A7558" s="1">
        <f>DATE(2013,7,28)</f>
        <v>41483</v>
      </c>
      <c r="B7558" t="s">
        <v>12</v>
      </c>
      <c r="C7558" t="s">
        <v>8</v>
      </c>
      <c r="D7558" s="3">
        <v>821.74930000000006</v>
      </c>
      <c r="E7558" s="3">
        <v>0</v>
      </c>
      <c r="F7558" t="s">
        <v>45</v>
      </c>
      <c r="G7558" s="3">
        <f t="shared" si="899"/>
        <v>-821.74930000000006</v>
      </c>
      <c r="H7558" s="3">
        <f t="shared" si="900"/>
        <v>821.74930000000006</v>
      </c>
      <c r="I7558" s="5" t="str">
        <f t="shared" si="901"/>
        <v>016</v>
      </c>
      <c r="J7558" s="5" t="str">
        <f t="shared" si="902"/>
        <v>2210</v>
      </c>
      <c r="K7558" s="5" t="str">
        <f t="shared" si="903"/>
        <v>000</v>
      </c>
      <c r="L7558" s="5">
        <f t="shared" si="904"/>
        <v>7</v>
      </c>
      <c r="M7558" s="5">
        <f t="shared" si="905"/>
        <v>2013</v>
      </c>
    </row>
    <row r="7559" spans="1:13" ht="15" x14ac:dyDescent="0.25">
      <c r="A7559" s="1">
        <f>DATE(2013,7,28)</f>
        <v>41483</v>
      </c>
      <c r="B7559" t="s">
        <v>13</v>
      </c>
      <c r="C7559" t="s">
        <v>9</v>
      </c>
      <c r="D7559" s="3">
        <v>147.39680000000001</v>
      </c>
      <c r="E7559" s="3">
        <v>0</v>
      </c>
      <c r="F7559" t="s">
        <v>45</v>
      </c>
      <c r="G7559" s="3">
        <f t="shared" si="899"/>
        <v>-147.39680000000001</v>
      </c>
      <c r="H7559" s="3">
        <f t="shared" si="900"/>
        <v>147.39680000000001</v>
      </c>
      <c r="I7559" s="5" t="str">
        <f t="shared" si="901"/>
        <v>016</v>
      </c>
      <c r="J7559" s="5" t="str">
        <f t="shared" si="902"/>
        <v>2220</v>
      </c>
      <c r="K7559" s="5" t="str">
        <f t="shared" si="903"/>
        <v>000</v>
      </c>
      <c r="L7559" s="5">
        <f t="shared" si="904"/>
        <v>7</v>
      </c>
      <c r="M7559" s="5">
        <f t="shared" si="905"/>
        <v>2013</v>
      </c>
    </row>
    <row r="7560" spans="1:13" ht="15" x14ac:dyDescent="0.25">
      <c r="A7560" s="1">
        <f>DATE(2013,7,28)</f>
        <v>41483</v>
      </c>
      <c r="B7560" t="s">
        <v>14</v>
      </c>
      <c r="C7560" t="s">
        <v>10</v>
      </c>
      <c r="D7560" s="3">
        <v>34.010399999999997</v>
      </c>
      <c r="E7560" s="3">
        <v>0</v>
      </c>
      <c r="F7560" t="s">
        <v>45</v>
      </c>
      <c r="G7560" s="3">
        <f t="shared" si="899"/>
        <v>-34.010399999999997</v>
      </c>
      <c r="H7560" s="3">
        <f t="shared" si="900"/>
        <v>34.010399999999997</v>
      </c>
      <c r="I7560" s="5" t="str">
        <f t="shared" si="901"/>
        <v>016</v>
      </c>
      <c r="J7560" s="5" t="str">
        <f t="shared" si="902"/>
        <v>2230</v>
      </c>
      <c r="K7560" s="5" t="str">
        <f t="shared" si="903"/>
        <v>000</v>
      </c>
      <c r="L7560" s="5">
        <f t="shared" si="904"/>
        <v>7</v>
      </c>
      <c r="M7560" s="5">
        <f t="shared" si="905"/>
        <v>2013</v>
      </c>
    </row>
    <row r="7561" spans="1:13" ht="15" x14ac:dyDescent="0.25">
      <c r="A7561" s="1">
        <f>DATE(2013,7,22)</f>
        <v>41477</v>
      </c>
      <c r="B7561" t="s">
        <v>15</v>
      </c>
      <c r="C7561" t="s">
        <v>6</v>
      </c>
      <c r="D7561" s="3">
        <v>5805.3980000000001</v>
      </c>
      <c r="E7561" s="3">
        <v>0</v>
      </c>
      <c r="F7561" t="s">
        <v>45</v>
      </c>
      <c r="G7561" s="3">
        <f t="shared" si="899"/>
        <v>-5805.3980000000001</v>
      </c>
      <c r="H7561" s="3">
        <f t="shared" si="900"/>
        <v>5805.3980000000001</v>
      </c>
      <c r="I7561" s="5" t="str">
        <f t="shared" si="901"/>
        <v>017</v>
      </c>
      <c r="J7561" s="5" t="str">
        <f t="shared" si="902"/>
        <v>2100</v>
      </c>
      <c r="K7561" s="5" t="str">
        <f t="shared" si="903"/>
        <v>000</v>
      </c>
      <c r="L7561" s="5">
        <f t="shared" si="904"/>
        <v>7</v>
      </c>
      <c r="M7561" s="5">
        <f t="shared" si="905"/>
        <v>2013</v>
      </c>
    </row>
    <row r="7562" spans="1:13" ht="15" x14ac:dyDescent="0.25">
      <c r="A7562" s="1">
        <f>DATE(2013,7,22)</f>
        <v>41477</v>
      </c>
      <c r="B7562" t="s">
        <v>16</v>
      </c>
      <c r="C7562" t="s">
        <v>8</v>
      </c>
      <c r="D7562" s="3">
        <v>1521.5424</v>
      </c>
      <c r="E7562" s="3">
        <v>0</v>
      </c>
      <c r="F7562" t="s">
        <v>45</v>
      </c>
      <c r="G7562" s="3">
        <f t="shared" si="899"/>
        <v>-1521.5424</v>
      </c>
      <c r="H7562" s="3">
        <f t="shared" si="900"/>
        <v>1521.5424</v>
      </c>
      <c r="I7562" s="5" t="str">
        <f t="shared" si="901"/>
        <v>017</v>
      </c>
      <c r="J7562" s="5" t="str">
        <f t="shared" si="902"/>
        <v>2210</v>
      </c>
      <c r="K7562" s="5" t="str">
        <f t="shared" si="903"/>
        <v>000</v>
      </c>
      <c r="L7562" s="5">
        <f t="shared" si="904"/>
        <v>7</v>
      </c>
      <c r="M7562" s="5">
        <f t="shared" si="905"/>
        <v>2013</v>
      </c>
    </row>
    <row r="7563" spans="1:13" ht="15" x14ac:dyDescent="0.25">
      <c r="A7563" s="1">
        <f>DATE(2013,7,22)</f>
        <v>41477</v>
      </c>
      <c r="B7563" t="s">
        <v>17</v>
      </c>
      <c r="C7563" t="s">
        <v>9</v>
      </c>
      <c r="D7563" s="3">
        <v>566.19330000000002</v>
      </c>
      <c r="E7563" s="3">
        <v>0</v>
      </c>
      <c r="F7563" t="s">
        <v>45</v>
      </c>
      <c r="G7563" s="3">
        <f t="shared" si="899"/>
        <v>-566.19330000000002</v>
      </c>
      <c r="H7563" s="3">
        <f t="shared" si="900"/>
        <v>566.19330000000002</v>
      </c>
      <c r="I7563" s="5" t="str">
        <f t="shared" si="901"/>
        <v>017</v>
      </c>
      <c r="J7563" s="5" t="str">
        <f t="shared" si="902"/>
        <v>2220</v>
      </c>
      <c r="K7563" s="5" t="str">
        <f t="shared" si="903"/>
        <v>000</v>
      </c>
      <c r="L7563" s="5">
        <f t="shared" si="904"/>
        <v>7</v>
      </c>
      <c r="M7563" s="5">
        <f t="shared" si="905"/>
        <v>2013</v>
      </c>
    </row>
    <row r="7564" spans="1:13" ht="15" x14ac:dyDescent="0.25">
      <c r="A7564" s="1">
        <f>DATE(2013,7,22)</f>
        <v>41477</v>
      </c>
      <c r="B7564" t="s">
        <v>18</v>
      </c>
      <c r="C7564" t="s">
        <v>10</v>
      </c>
      <c r="D7564" s="3">
        <v>124.45299999999999</v>
      </c>
      <c r="E7564" s="3">
        <v>0</v>
      </c>
      <c r="F7564" t="s">
        <v>45</v>
      </c>
      <c r="G7564" s="3">
        <f t="shared" si="899"/>
        <v>-124.45299999999999</v>
      </c>
      <c r="H7564" s="3">
        <f t="shared" si="900"/>
        <v>124.45299999999999</v>
      </c>
      <c r="I7564" s="5" t="str">
        <f t="shared" si="901"/>
        <v>017</v>
      </c>
      <c r="J7564" s="5" t="str">
        <f t="shared" si="902"/>
        <v>2230</v>
      </c>
      <c r="K7564" s="5" t="str">
        <f t="shared" si="903"/>
        <v>000</v>
      </c>
      <c r="L7564" s="5">
        <f t="shared" si="904"/>
        <v>7</v>
      </c>
      <c r="M7564" s="5">
        <f t="shared" si="905"/>
        <v>2013</v>
      </c>
    </row>
    <row r="7565" spans="1:13" ht="15" x14ac:dyDescent="0.25">
      <c r="A7565" s="1">
        <f>DATE(2013,7,23)</f>
        <v>41478</v>
      </c>
      <c r="B7565" t="s">
        <v>15</v>
      </c>
      <c r="C7565" t="s">
        <v>6</v>
      </c>
      <c r="D7565" s="3">
        <v>7318.2993000000006</v>
      </c>
      <c r="E7565" s="3">
        <v>0</v>
      </c>
      <c r="F7565" t="s">
        <v>45</v>
      </c>
      <c r="G7565" s="3">
        <f t="shared" si="899"/>
        <v>-7318.2993000000006</v>
      </c>
      <c r="H7565" s="3">
        <f t="shared" si="900"/>
        <v>7318.2993000000006</v>
      </c>
      <c r="I7565" s="5" t="str">
        <f t="shared" si="901"/>
        <v>017</v>
      </c>
      <c r="J7565" s="5" t="str">
        <f t="shared" si="902"/>
        <v>2100</v>
      </c>
      <c r="K7565" s="5" t="str">
        <f t="shared" si="903"/>
        <v>000</v>
      </c>
      <c r="L7565" s="5">
        <f t="shared" si="904"/>
        <v>7</v>
      </c>
      <c r="M7565" s="5">
        <f t="shared" si="905"/>
        <v>2013</v>
      </c>
    </row>
    <row r="7566" spans="1:13" ht="15" x14ac:dyDescent="0.25">
      <c r="A7566" s="1">
        <f>DATE(2013,7,23)</f>
        <v>41478</v>
      </c>
      <c r="B7566" t="s">
        <v>16</v>
      </c>
      <c r="C7566" t="s">
        <v>8</v>
      </c>
      <c r="D7566" s="3">
        <v>1396.9998000000001</v>
      </c>
      <c r="E7566" s="3">
        <v>0</v>
      </c>
      <c r="F7566" t="s">
        <v>45</v>
      </c>
      <c r="G7566" s="3">
        <f t="shared" si="899"/>
        <v>-1396.9998000000001</v>
      </c>
      <c r="H7566" s="3">
        <f t="shared" si="900"/>
        <v>1396.9998000000001</v>
      </c>
      <c r="I7566" s="5" t="str">
        <f t="shared" si="901"/>
        <v>017</v>
      </c>
      <c r="J7566" s="5" t="str">
        <f t="shared" si="902"/>
        <v>2210</v>
      </c>
      <c r="K7566" s="5" t="str">
        <f t="shared" si="903"/>
        <v>000</v>
      </c>
      <c r="L7566" s="5">
        <f t="shared" si="904"/>
        <v>7</v>
      </c>
      <c r="M7566" s="5">
        <f t="shared" si="905"/>
        <v>2013</v>
      </c>
    </row>
    <row r="7567" spans="1:13" ht="15" x14ac:dyDescent="0.25">
      <c r="A7567" s="1">
        <f>DATE(2013,7,23)</f>
        <v>41478</v>
      </c>
      <c r="B7567" t="s">
        <v>17</v>
      </c>
      <c r="C7567" t="s">
        <v>9</v>
      </c>
      <c r="D7567" s="3">
        <v>438.34000000000003</v>
      </c>
      <c r="E7567" s="3">
        <v>0</v>
      </c>
      <c r="F7567" t="s">
        <v>45</v>
      </c>
      <c r="G7567" s="3">
        <f t="shared" si="899"/>
        <v>-438.34000000000003</v>
      </c>
      <c r="H7567" s="3">
        <f t="shared" si="900"/>
        <v>438.34000000000003</v>
      </c>
      <c r="I7567" s="5" t="str">
        <f t="shared" si="901"/>
        <v>017</v>
      </c>
      <c r="J7567" s="5" t="str">
        <f t="shared" si="902"/>
        <v>2220</v>
      </c>
      <c r="K7567" s="5" t="str">
        <f t="shared" si="903"/>
        <v>000</v>
      </c>
      <c r="L7567" s="5">
        <f t="shared" si="904"/>
        <v>7</v>
      </c>
      <c r="M7567" s="5">
        <f t="shared" si="905"/>
        <v>2013</v>
      </c>
    </row>
    <row r="7568" spans="1:13" ht="15" x14ac:dyDescent="0.25">
      <c r="A7568" s="1">
        <f>DATE(2013,7,23)</f>
        <v>41478</v>
      </c>
      <c r="B7568" t="s">
        <v>18</v>
      </c>
      <c r="C7568" t="s">
        <v>10</v>
      </c>
      <c r="D7568" s="3">
        <v>145.26719999999997</v>
      </c>
      <c r="E7568" s="3">
        <v>0</v>
      </c>
      <c r="F7568" t="s">
        <v>45</v>
      </c>
      <c r="G7568" s="3">
        <f t="shared" si="899"/>
        <v>-145.26719999999997</v>
      </c>
      <c r="H7568" s="3">
        <f t="shared" si="900"/>
        <v>145.26719999999997</v>
      </c>
      <c r="I7568" s="5" t="str">
        <f t="shared" si="901"/>
        <v>017</v>
      </c>
      <c r="J7568" s="5" t="str">
        <f t="shared" si="902"/>
        <v>2230</v>
      </c>
      <c r="K7568" s="5" t="str">
        <f t="shared" si="903"/>
        <v>000</v>
      </c>
      <c r="L7568" s="5">
        <f t="shared" si="904"/>
        <v>7</v>
      </c>
      <c r="M7568" s="5">
        <f t="shared" si="905"/>
        <v>2013</v>
      </c>
    </row>
    <row r="7569" spans="1:13" ht="15" x14ac:dyDescent="0.25">
      <c r="A7569" s="1">
        <f>DATE(2013,7,24)</f>
        <v>41479</v>
      </c>
      <c r="B7569" t="s">
        <v>15</v>
      </c>
      <c r="C7569" t="s">
        <v>6</v>
      </c>
      <c r="D7569" s="3">
        <v>6103.4064000000008</v>
      </c>
      <c r="E7569" s="3">
        <v>0</v>
      </c>
      <c r="F7569" t="s">
        <v>45</v>
      </c>
      <c r="G7569" s="3">
        <f t="shared" si="899"/>
        <v>-6103.4064000000008</v>
      </c>
      <c r="H7569" s="3">
        <f t="shared" si="900"/>
        <v>6103.4064000000008</v>
      </c>
      <c r="I7569" s="5" t="str">
        <f t="shared" si="901"/>
        <v>017</v>
      </c>
      <c r="J7569" s="5" t="str">
        <f t="shared" si="902"/>
        <v>2100</v>
      </c>
      <c r="K7569" s="5" t="str">
        <f t="shared" si="903"/>
        <v>000</v>
      </c>
      <c r="L7569" s="5">
        <f t="shared" si="904"/>
        <v>7</v>
      </c>
      <c r="M7569" s="5">
        <f t="shared" si="905"/>
        <v>2013</v>
      </c>
    </row>
    <row r="7570" spans="1:13" ht="15" x14ac:dyDescent="0.25">
      <c r="A7570" s="1">
        <f>DATE(2013,7,24)</f>
        <v>41479</v>
      </c>
      <c r="B7570" t="s">
        <v>16</v>
      </c>
      <c r="C7570" t="s">
        <v>8</v>
      </c>
      <c r="D7570" s="3">
        <v>2203.4565000000002</v>
      </c>
      <c r="E7570" s="3">
        <v>0</v>
      </c>
      <c r="F7570" t="s">
        <v>45</v>
      </c>
      <c r="G7570" s="3">
        <f t="shared" si="899"/>
        <v>-2203.4565000000002</v>
      </c>
      <c r="H7570" s="3">
        <f t="shared" si="900"/>
        <v>2203.4565000000002</v>
      </c>
      <c r="I7570" s="5" t="str">
        <f t="shared" si="901"/>
        <v>017</v>
      </c>
      <c r="J7570" s="5" t="str">
        <f t="shared" si="902"/>
        <v>2210</v>
      </c>
      <c r="K7570" s="5" t="str">
        <f t="shared" si="903"/>
        <v>000</v>
      </c>
      <c r="L7570" s="5">
        <f t="shared" si="904"/>
        <v>7</v>
      </c>
      <c r="M7570" s="5">
        <f t="shared" si="905"/>
        <v>2013</v>
      </c>
    </row>
    <row r="7571" spans="1:13" ht="15" x14ac:dyDescent="0.25">
      <c r="A7571" s="1">
        <f>DATE(2013,7,24)</f>
        <v>41479</v>
      </c>
      <c r="B7571" t="s">
        <v>17</v>
      </c>
      <c r="C7571" t="s">
        <v>9</v>
      </c>
      <c r="D7571" s="3">
        <v>988.42399999999998</v>
      </c>
      <c r="E7571" s="3">
        <v>0</v>
      </c>
      <c r="F7571" t="s">
        <v>45</v>
      </c>
      <c r="G7571" s="3">
        <f t="shared" si="899"/>
        <v>-988.42399999999998</v>
      </c>
      <c r="H7571" s="3">
        <f t="shared" si="900"/>
        <v>988.42399999999998</v>
      </c>
      <c r="I7571" s="5" t="str">
        <f t="shared" si="901"/>
        <v>017</v>
      </c>
      <c r="J7571" s="5" t="str">
        <f t="shared" si="902"/>
        <v>2220</v>
      </c>
      <c r="K7571" s="5" t="str">
        <f t="shared" si="903"/>
        <v>000</v>
      </c>
      <c r="L7571" s="5">
        <f t="shared" si="904"/>
        <v>7</v>
      </c>
      <c r="M7571" s="5">
        <f t="shared" si="905"/>
        <v>2013</v>
      </c>
    </row>
    <row r="7572" spans="1:13" ht="15" x14ac:dyDescent="0.25">
      <c r="A7572" s="1">
        <f>DATE(2013,7,24)</f>
        <v>41479</v>
      </c>
      <c r="B7572" t="s">
        <v>18</v>
      </c>
      <c r="C7572" t="s">
        <v>10</v>
      </c>
      <c r="D7572" s="3">
        <v>123.1276</v>
      </c>
      <c r="E7572" s="3">
        <v>0</v>
      </c>
      <c r="F7572" t="s">
        <v>45</v>
      </c>
      <c r="G7572" s="3">
        <f t="shared" si="899"/>
        <v>-123.1276</v>
      </c>
      <c r="H7572" s="3">
        <f t="shared" si="900"/>
        <v>123.1276</v>
      </c>
      <c r="I7572" s="5" t="str">
        <f t="shared" si="901"/>
        <v>017</v>
      </c>
      <c r="J7572" s="5" t="str">
        <f t="shared" si="902"/>
        <v>2230</v>
      </c>
      <c r="K7572" s="5" t="str">
        <f t="shared" si="903"/>
        <v>000</v>
      </c>
      <c r="L7572" s="5">
        <f t="shared" si="904"/>
        <v>7</v>
      </c>
      <c r="M7572" s="5">
        <f t="shared" si="905"/>
        <v>2013</v>
      </c>
    </row>
    <row r="7573" spans="1:13" ht="15" x14ac:dyDescent="0.25">
      <c r="A7573" s="1">
        <f>DATE(2013,7,25)</f>
        <v>41480</v>
      </c>
      <c r="B7573" t="s">
        <v>15</v>
      </c>
      <c r="C7573" t="s">
        <v>6</v>
      </c>
      <c r="D7573" s="3">
        <v>4506.6890000000003</v>
      </c>
      <c r="E7573" s="3">
        <v>0</v>
      </c>
      <c r="F7573" t="s">
        <v>45</v>
      </c>
      <c r="G7573" s="3">
        <f t="shared" si="899"/>
        <v>-4506.6890000000003</v>
      </c>
      <c r="H7573" s="3">
        <f t="shared" si="900"/>
        <v>4506.6890000000003</v>
      </c>
      <c r="I7573" s="5" t="str">
        <f t="shared" si="901"/>
        <v>017</v>
      </c>
      <c r="J7573" s="5" t="str">
        <f t="shared" si="902"/>
        <v>2100</v>
      </c>
      <c r="K7573" s="5" t="str">
        <f t="shared" si="903"/>
        <v>000</v>
      </c>
      <c r="L7573" s="5">
        <f t="shared" si="904"/>
        <v>7</v>
      </c>
      <c r="M7573" s="5">
        <f t="shared" si="905"/>
        <v>2013</v>
      </c>
    </row>
    <row r="7574" spans="1:13" ht="15" x14ac:dyDescent="0.25">
      <c r="A7574" s="1">
        <f>DATE(2013,7,25)</f>
        <v>41480</v>
      </c>
      <c r="B7574" t="s">
        <v>16</v>
      </c>
      <c r="C7574" t="s">
        <v>8</v>
      </c>
      <c r="D7574" s="3">
        <v>1826.6498000000001</v>
      </c>
      <c r="E7574" s="3">
        <v>0</v>
      </c>
      <c r="F7574" t="s">
        <v>45</v>
      </c>
      <c r="G7574" s="3">
        <f t="shared" si="899"/>
        <v>-1826.6498000000001</v>
      </c>
      <c r="H7574" s="3">
        <f t="shared" si="900"/>
        <v>1826.6498000000001</v>
      </c>
      <c r="I7574" s="5" t="str">
        <f t="shared" si="901"/>
        <v>017</v>
      </c>
      <c r="J7574" s="5" t="str">
        <f t="shared" si="902"/>
        <v>2210</v>
      </c>
      <c r="K7574" s="5" t="str">
        <f t="shared" si="903"/>
        <v>000</v>
      </c>
      <c r="L7574" s="5">
        <f t="shared" si="904"/>
        <v>7</v>
      </c>
      <c r="M7574" s="5">
        <f t="shared" si="905"/>
        <v>2013</v>
      </c>
    </row>
    <row r="7575" spans="1:13" ht="15" x14ac:dyDescent="0.25">
      <c r="A7575" s="1">
        <f>DATE(2013,7,25)</f>
        <v>41480</v>
      </c>
      <c r="B7575" t="s">
        <v>17</v>
      </c>
      <c r="C7575" t="s">
        <v>9</v>
      </c>
      <c r="D7575" s="3">
        <v>481.32049999999998</v>
      </c>
      <c r="E7575" s="3">
        <v>0</v>
      </c>
      <c r="F7575" t="s">
        <v>45</v>
      </c>
      <c r="G7575" s="3">
        <f t="shared" si="899"/>
        <v>-481.32049999999998</v>
      </c>
      <c r="H7575" s="3">
        <f t="shared" si="900"/>
        <v>481.32049999999998</v>
      </c>
      <c r="I7575" s="5" t="str">
        <f t="shared" si="901"/>
        <v>017</v>
      </c>
      <c r="J7575" s="5" t="str">
        <f t="shared" si="902"/>
        <v>2220</v>
      </c>
      <c r="K7575" s="5" t="str">
        <f t="shared" si="903"/>
        <v>000</v>
      </c>
      <c r="L7575" s="5">
        <f t="shared" si="904"/>
        <v>7</v>
      </c>
      <c r="M7575" s="5">
        <f t="shared" si="905"/>
        <v>2013</v>
      </c>
    </row>
    <row r="7576" spans="1:13" ht="15" x14ac:dyDescent="0.25">
      <c r="A7576" s="1">
        <f>DATE(2013,7,25)</f>
        <v>41480</v>
      </c>
      <c r="B7576" t="s">
        <v>18</v>
      </c>
      <c r="C7576" t="s">
        <v>10</v>
      </c>
      <c r="D7576" s="3">
        <v>146.39200000000002</v>
      </c>
      <c r="E7576" s="3">
        <v>0</v>
      </c>
      <c r="F7576" t="s">
        <v>45</v>
      </c>
      <c r="G7576" s="3">
        <f t="shared" si="899"/>
        <v>-146.39200000000002</v>
      </c>
      <c r="H7576" s="3">
        <f t="shared" si="900"/>
        <v>146.39200000000002</v>
      </c>
      <c r="I7576" s="5" t="str">
        <f t="shared" si="901"/>
        <v>017</v>
      </c>
      <c r="J7576" s="5" t="str">
        <f t="shared" si="902"/>
        <v>2230</v>
      </c>
      <c r="K7576" s="5" t="str">
        <f t="shared" si="903"/>
        <v>000</v>
      </c>
      <c r="L7576" s="5">
        <f t="shared" si="904"/>
        <v>7</v>
      </c>
      <c r="M7576" s="5">
        <f t="shared" si="905"/>
        <v>2013</v>
      </c>
    </row>
    <row r="7577" spans="1:13" ht="15" x14ac:dyDescent="0.25">
      <c r="A7577" s="1">
        <f>DATE(2013,7,26)</f>
        <v>41481</v>
      </c>
      <c r="B7577" t="s">
        <v>15</v>
      </c>
      <c r="C7577" t="s">
        <v>6</v>
      </c>
      <c r="D7577" s="3">
        <v>8087.8643999999995</v>
      </c>
      <c r="E7577" s="3">
        <v>0</v>
      </c>
      <c r="F7577" t="s">
        <v>45</v>
      </c>
      <c r="G7577" s="3">
        <f t="shared" si="899"/>
        <v>-8087.8643999999995</v>
      </c>
      <c r="H7577" s="3">
        <f t="shared" si="900"/>
        <v>8087.8643999999995</v>
      </c>
      <c r="I7577" s="5" t="str">
        <f t="shared" si="901"/>
        <v>017</v>
      </c>
      <c r="J7577" s="5" t="str">
        <f t="shared" si="902"/>
        <v>2100</v>
      </c>
      <c r="K7577" s="5" t="str">
        <f t="shared" si="903"/>
        <v>000</v>
      </c>
      <c r="L7577" s="5">
        <f t="shared" si="904"/>
        <v>7</v>
      </c>
      <c r="M7577" s="5">
        <f t="shared" si="905"/>
        <v>2013</v>
      </c>
    </row>
    <row r="7578" spans="1:13" ht="15" x14ac:dyDescent="0.25">
      <c r="A7578" s="1">
        <f>DATE(2013,7,26)</f>
        <v>41481</v>
      </c>
      <c r="B7578" t="s">
        <v>16</v>
      </c>
      <c r="C7578" t="s">
        <v>8</v>
      </c>
      <c r="D7578" s="3">
        <v>2724.3643999999999</v>
      </c>
      <c r="E7578" s="3">
        <v>0</v>
      </c>
      <c r="F7578" t="s">
        <v>45</v>
      </c>
      <c r="G7578" s="3">
        <f t="shared" si="899"/>
        <v>-2724.3643999999999</v>
      </c>
      <c r="H7578" s="3">
        <f t="shared" si="900"/>
        <v>2724.3643999999999</v>
      </c>
      <c r="I7578" s="5" t="str">
        <f t="shared" si="901"/>
        <v>017</v>
      </c>
      <c r="J7578" s="5" t="str">
        <f t="shared" si="902"/>
        <v>2210</v>
      </c>
      <c r="K7578" s="5" t="str">
        <f t="shared" si="903"/>
        <v>000</v>
      </c>
      <c r="L7578" s="5">
        <f t="shared" si="904"/>
        <v>7</v>
      </c>
      <c r="M7578" s="5">
        <f t="shared" si="905"/>
        <v>2013</v>
      </c>
    </row>
    <row r="7579" spans="1:13" ht="15" x14ac:dyDescent="0.25">
      <c r="A7579" s="1">
        <f>DATE(2013,7,26)</f>
        <v>41481</v>
      </c>
      <c r="B7579" t="s">
        <v>17</v>
      </c>
      <c r="C7579" t="s">
        <v>9</v>
      </c>
      <c r="D7579" s="3">
        <v>662.52420000000006</v>
      </c>
      <c r="E7579" s="3">
        <v>0</v>
      </c>
      <c r="F7579" t="s">
        <v>45</v>
      </c>
      <c r="G7579" s="3">
        <f t="shared" si="899"/>
        <v>-662.52420000000006</v>
      </c>
      <c r="H7579" s="3">
        <f t="shared" si="900"/>
        <v>662.52420000000006</v>
      </c>
      <c r="I7579" s="5" t="str">
        <f t="shared" si="901"/>
        <v>017</v>
      </c>
      <c r="J7579" s="5" t="str">
        <f t="shared" si="902"/>
        <v>2220</v>
      </c>
      <c r="K7579" s="5" t="str">
        <f t="shared" si="903"/>
        <v>000</v>
      </c>
      <c r="L7579" s="5">
        <f t="shared" si="904"/>
        <v>7</v>
      </c>
      <c r="M7579" s="5">
        <f t="shared" si="905"/>
        <v>2013</v>
      </c>
    </row>
    <row r="7580" spans="1:13" ht="15" x14ac:dyDescent="0.25">
      <c r="A7580" s="1">
        <f>DATE(2013,7,26)</f>
        <v>41481</v>
      </c>
      <c r="B7580" t="s">
        <v>18</v>
      </c>
      <c r="C7580" t="s">
        <v>10</v>
      </c>
      <c r="D7580" s="3">
        <v>61.684999999999995</v>
      </c>
      <c r="E7580" s="3">
        <v>0</v>
      </c>
      <c r="F7580" t="s">
        <v>45</v>
      </c>
      <c r="G7580" s="3">
        <f t="shared" si="899"/>
        <v>-61.684999999999995</v>
      </c>
      <c r="H7580" s="3">
        <f t="shared" si="900"/>
        <v>61.684999999999995</v>
      </c>
      <c r="I7580" s="5" t="str">
        <f t="shared" si="901"/>
        <v>017</v>
      </c>
      <c r="J7580" s="5" t="str">
        <f t="shared" si="902"/>
        <v>2230</v>
      </c>
      <c r="K7580" s="5" t="str">
        <f t="shared" si="903"/>
        <v>000</v>
      </c>
      <c r="L7580" s="5">
        <f t="shared" si="904"/>
        <v>7</v>
      </c>
      <c r="M7580" s="5">
        <f t="shared" si="905"/>
        <v>2013</v>
      </c>
    </row>
    <row r="7581" spans="1:13" ht="15" x14ac:dyDescent="0.25">
      <c r="A7581" s="1">
        <f>DATE(2013,7,27)</f>
        <v>41482</v>
      </c>
      <c r="B7581" t="s">
        <v>15</v>
      </c>
      <c r="C7581" t="s">
        <v>6</v>
      </c>
      <c r="D7581" s="3">
        <v>7731.061200000001</v>
      </c>
      <c r="E7581" s="3">
        <v>0</v>
      </c>
      <c r="F7581" t="s">
        <v>45</v>
      </c>
      <c r="G7581" s="3">
        <f t="shared" si="899"/>
        <v>-7731.061200000001</v>
      </c>
      <c r="H7581" s="3">
        <f t="shared" si="900"/>
        <v>7731.061200000001</v>
      </c>
      <c r="I7581" s="5" t="str">
        <f t="shared" si="901"/>
        <v>017</v>
      </c>
      <c r="J7581" s="5" t="str">
        <f t="shared" si="902"/>
        <v>2100</v>
      </c>
      <c r="K7581" s="5" t="str">
        <f t="shared" si="903"/>
        <v>000</v>
      </c>
      <c r="L7581" s="5">
        <f t="shared" si="904"/>
        <v>7</v>
      </c>
      <c r="M7581" s="5">
        <f t="shared" si="905"/>
        <v>2013</v>
      </c>
    </row>
    <row r="7582" spans="1:13" ht="15" x14ac:dyDescent="0.25">
      <c r="A7582" s="1">
        <f>DATE(2013,7,27)</f>
        <v>41482</v>
      </c>
      <c r="B7582" t="s">
        <v>16</v>
      </c>
      <c r="C7582" t="s">
        <v>8</v>
      </c>
      <c r="D7582" s="3">
        <v>2146.0289999999995</v>
      </c>
      <c r="E7582" s="3">
        <v>0</v>
      </c>
      <c r="F7582" t="s">
        <v>45</v>
      </c>
      <c r="G7582" s="3">
        <f t="shared" si="899"/>
        <v>-2146.0289999999995</v>
      </c>
      <c r="H7582" s="3">
        <f t="shared" si="900"/>
        <v>2146.0289999999995</v>
      </c>
      <c r="I7582" s="5" t="str">
        <f t="shared" si="901"/>
        <v>017</v>
      </c>
      <c r="J7582" s="5" t="str">
        <f t="shared" si="902"/>
        <v>2210</v>
      </c>
      <c r="K7582" s="5" t="str">
        <f t="shared" si="903"/>
        <v>000</v>
      </c>
      <c r="L7582" s="5">
        <f t="shared" si="904"/>
        <v>7</v>
      </c>
      <c r="M7582" s="5">
        <f t="shared" si="905"/>
        <v>2013</v>
      </c>
    </row>
    <row r="7583" spans="1:13" ht="15" x14ac:dyDescent="0.25">
      <c r="A7583" s="1">
        <f>DATE(2013,7,27)</f>
        <v>41482</v>
      </c>
      <c r="B7583" t="s">
        <v>17</v>
      </c>
      <c r="C7583" t="s">
        <v>9</v>
      </c>
      <c r="D7583" s="3">
        <v>380.23919999999998</v>
      </c>
      <c r="E7583" s="3">
        <v>0</v>
      </c>
      <c r="F7583" t="s">
        <v>45</v>
      </c>
      <c r="G7583" s="3">
        <f t="shared" si="899"/>
        <v>-380.23919999999998</v>
      </c>
      <c r="H7583" s="3">
        <f t="shared" si="900"/>
        <v>380.23919999999998</v>
      </c>
      <c r="I7583" s="5" t="str">
        <f t="shared" si="901"/>
        <v>017</v>
      </c>
      <c r="J7583" s="5" t="str">
        <f t="shared" si="902"/>
        <v>2220</v>
      </c>
      <c r="K7583" s="5" t="str">
        <f t="shared" si="903"/>
        <v>000</v>
      </c>
      <c r="L7583" s="5">
        <f t="shared" si="904"/>
        <v>7</v>
      </c>
      <c r="M7583" s="5">
        <f t="shared" si="905"/>
        <v>2013</v>
      </c>
    </row>
    <row r="7584" spans="1:13" ht="15" x14ac:dyDescent="0.25">
      <c r="A7584" s="1">
        <f>DATE(2013,7,27)</f>
        <v>41482</v>
      </c>
      <c r="B7584" t="s">
        <v>18</v>
      </c>
      <c r="C7584" t="s">
        <v>10</v>
      </c>
      <c r="D7584" s="3">
        <v>59.968899999999998</v>
      </c>
      <c r="E7584" s="3">
        <v>0</v>
      </c>
      <c r="F7584" t="s">
        <v>45</v>
      </c>
      <c r="G7584" s="3">
        <f t="shared" si="899"/>
        <v>-59.968899999999998</v>
      </c>
      <c r="H7584" s="3">
        <f t="shared" si="900"/>
        <v>59.968899999999998</v>
      </c>
      <c r="I7584" s="5" t="str">
        <f t="shared" si="901"/>
        <v>017</v>
      </c>
      <c r="J7584" s="5" t="str">
        <f t="shared" si="902"/>
        <v>2230</v>
      </c>
      <c r="K7584" s="5" t="str">
        <f t="shared" si="903"/>
        <v>000</v>
      </c>
      <c r="L7584" s="5">
        <f t="shared" si="904"/>
        <v>7</v>
      </c>
      <c r="M7584" s="5">
        <f t="shared" si="905"/>
        <v>2013</v>
      </c>
    </row>
    <row r="7585" spans="1:13" ht="15" x14ac:dyDescent="0.25">
      <c r="A7585" s="1">
        <f>DATE(2013,7,28)</f>
        <v>41483</v>
      </c>
      <c r="B7585" t="s">
        <v>15</v>
      </c>
      <c r="C7585" t="s">
        <v>6</v>
      </c>
      <c r="D7585" s="3">
        <v>3505.5636000000004</v>
      </c>
      <c r="E7585" s="3">
        <v>0</v>
      </c>
      <c r="F7585" t="s">
        <v>45</v>
      </c>
      <c r="G7585" s="3">
        <f t="shared" si="899"/>
        <v>-3505.5636000000004</v>
      </c>
      <c r="H7585" s="3">
        <f t="shared" si="900"/>
        <v>3505.5636000000004</v>
      </c>
      <c r="I7585" s="5" t="str">
        <f t="shared" si="901"/>
        <v>017</v>
      </c>
      <c r="J7585" s="5" t="str">
        <f t="shared" si="902"/>
        <v>2100</v>
      </c>
      <c r="K7585" s="5" t="str">
        <f t="shared" si="903"/>
        <v>000</v>
      </c>
      <c r="L7585" s="5">
        <f t="shared" si="904"/>
        <v>7</v>
      </c>
      <c r="M7585" s="5">
        <f t="shared" si="905"/>
        <v>2013</v>
      </c>
    </row>
    <row r="7586" spans="1:13" ht="15" x14ac:dyDescent="0.25">
      <c r="A7586" s="1">
        <f>DATE(2013,7,28)</f>
        <v>41483</v>
      </c>
      <c r="B7586" t="s">
        <v>16</v>
      </c>
      <c r="C7586" t="s">
        <v>8</v>
      </c>
      <c r="D7586" s="3">
        <v>959.63279999999997</v>
      </c>
      <c r="E7586" s="3">
        <v>0</v>
      </c>
      <c r="F7586" t="s">
        <v>45</v>
      </c>
      <c r="G7586" s="3">
        <f t="shared" si="899"/>
        <v>-959.63279999999997</v>
      </c>
      <c r="H7586" s="3">
        <f t="shared" si="900"/>
        <v>959.63279999999997</v>
      </c>
      <c r="I7586" s="5" t="str">
        <f t="shared" si="901"/>
        <v>017</v>
      </c>
      <c r="J7586" s="5" t="str">
        <f t="shared" si="902"/>
        <v>2210</v>
      </c>
      <c r="K7586" s="5" t="str">
        <f t="shared" si="903"/>
        <v>000</v>
      </c>
      <c r="L7586" s="5">
        <f t="shared" si="904"/>
        <v>7</v>
      </c>
      <c r="M7586" s="5">
        <f t="shared" si="905"/>
        <v>2013</v>
      </c>
    </row>
    <row r="7587" spans="1:13" ht="15" x14ac:dyDescent="0.25">
      <c r="A7587" s="1">
        <f>DATE(2013,7,28)</f>
        <v>41483</v>
      </c>
      <c r="B7587" t="s">
        <v>17</v>
      </c>
      <c r="C7587" t="s">
        <v>9</v>
      </c>
      <c r="D7587" s="3">
        <v>185.929</v>
      </c>
      <c r="E7587" s="3">
        <v>0</v>
      </c>
      <c r="F7587" t="s">
        <v>45</v>
      </c>
      <c r="G7587" s="3">
        <f t="shared" si="899"/>
        <v>-185.929</v>
      </c>
      <c r="H7587" s="3">
        <f t="shared" si="900"/>
        <v>185.929</v>
      </c>
      <c r="I7587" s="5" t="str">
        <f t="shared" si="901"/>
        <v>017</v>
      </c>
      <c r="J7587" s="5" t="str">
        <f t="shared" si="902"/>
        <v>2220</v>
      </c>
      <c r="K7587" s="5" t="str">
        <f t="shared" si="903"/>
        <v>000</v>
      </c>
      <c r="L7587" s="5">
        <f t="shared" si="904"/>
        <v>7</v>
      </c>
      <c r="M7587" s="5">
        <f t="shared" si="905"/>
        <v>2013</v>
      </c>
    </row>
    <row r="7588" spans="1:13" ht="15" x14ac:dyDescent="0.25">
      <c r="A7588" s="1">
        <f>DATE(2013,7,28)</f>
        <v>41483</v>
      </c>
      <c r="B7588" t="s">
        <v>18</v>
      </c>
      <c r="C7588" t="s">
        <v>10</v>
      </c>
      <c r="D7588" s="3">
        <v>61.308000000000007</v>
      </c>
      <c r="E7588" s="3">
        <v>0</v>
      </c>
      <c r="F7588" t="s">
        <v>45</v>
      </c>
      <c r="G7588" s="3">
        <f t="shared" si="899"/>
        <v>-61.308000000000007</v>
      </c>
      <c r="H7588" s="3">
        <f t="shared" si="900"/>
        <v>61.308000000000007</v>
      </c>
      <c r="I7588" s="5" t="str">
        <f t="shared" si="901"/>
        <v>017</v>
      </c>
      <c r="J7588" s="5" t="str">
        <f t="shared" si="902"/>
        <v>2230</v>
      </c>
      <c r="K7588" s="5" t="str">
        <f t="shared" si="903"/>
        <v>000</v>
      </c>
      <c r="L7588" s="5">
        <f t="shared" si="904"/>
        <v>7</v>
      </c>
      <c r="M7588" s="5">
        <f t="shared" si="905"/>
        <v>2013</v>
      </c>
    </row>
    <row r="7589" spans="1:13" ht="15" x14ac:dyDescent="0.25">
      <c r="A7589" s="1">
        <f>DATE(2013,7,22)</f>
        <v>41477</v>
      </c>
      <c r="B7589" t="s">
        <v>19</v>
      </c>
      <c r="C7589" t="s">
        <v>6</v>
      </c>
      <c r="D7589" s="3">
        <v>4639.4304000000002</v>
      </c>
      <c r="E7589" s="3">
        <v>0</v>
      </c>
      <c r="F7589" t="s">
        <v>45</v>
      </c>
      <c r="G7589" s="3">
        <f t="shared" si="899"/>
        <v>-4639.4304000000002</v>
      </c>
      <c r="H7589" s="3">
        <f t="shared" si="900"/>
        <v>4639.4304000000002</v>
      </c>
      <c r="I7589" s="5" t="str">
        <f t="shared" si="901"/>
        <v>018</v>
      </c>
      <c r="J7589" s="5" t="str">
        <f t="shared" si="902"/>
        <v>2100</v>
      </c>
      <c r="K7589" s="5" t="str">
        <f t="shared" si="903"/>
        <v>000</v>
      </c>
      <c r="L7589" s="5">
        <f t="shared" si="904"/>
        <v>7</v>
      </c>
      <c r="M7589" s="5">
        <f t="shared" si="905"/>
        <v>2013</v>
      </c>
    </row>
    <row r="7590" spans="1:13" ht="15" x14ac:dyDescent="0.25">
      <c r="A7590" s="1">
        <f>DATE(2013,7,22)</f>
        <v>41477</v>
      </c>
      <c r="B7590" t="s">
        <v>20</v>
      </c>
      <c r="C7590" t="s">
        <v>8</v>
      </c>
      <c r="D7590" s="3">
        <v>494.25900000000007</v>
      </c>
      <c r="E7590" s="3">
        <v>0</v>
      </c>
      <c r="F7590" t="s">
        <v>45</v>
      </c>
      <c r="G7590" s="3">
        <f t="shared" si="899"/>
        <v>-494.25900000000007</v>
      </c>
      <c r="H7590" s="3">
        <f t="shared" si="900"/>
        <v>494.25900000000007</v>
      </c>
      <c r="I7590" s="5" t="str">
        <f t="shared" si="901"/>
        <v>018</v>
      </c>
      <c r="J7590" s="5" t="str">
        <f t="shared" si="902"/>
        <v>2210</v>
      </c>
      <c r="K7590" s="5" t="str">
        <f t="shared" si="903"/>
        <v>000</v>
      </c>
      <c r="L7590" s="5">
        <f t="shared" si="904"/>
        <v>7</v>
      </c>
      <c r="M7590" s="5">
        <f t="shared" si="905"/>
        <v>2013</v>
      </c>
    </row>
    <row r="7591" spans="1:13" ht="15" x14ac:dyDescent="0.25">
      <c r="A7591" s="1">
        <f>DATE(2013,7,22)</f>
        <v>41477</v>
      </c>
      <c r="B7591" t="s">
        <v>21</v>
      </c>
      <c r="C7591" t="s">
        <v>9</v>
      </c>
      <c r="D7591" s="3">
        <v>235.14280000000002</v>
      </c>
      <c r="E7591" s="3">
        <v>0</v>
      </c>
      <c r="F7591" t="s">
        <v>45</v>
      </c>
      <c r="G7591" s="3">
        <f t="shared" si="899"/>
        <v>-235.14280000000002</v>
      </c>
      <c r="H7591" s="3">
        <f t="shared" si="900"/>
        <v>235.14280000000002</v>
      </c>
      <c r="I7591" s="5" t="str">
        <f t="shared" si="901"/>
        <v>018</v>
      </c>
      <c r="J7591" s="5" t="str">
        <f t="shared" si="902"/>
        <v>2220</v>
      </c>
      <c r="K7591" s="5" t="str">
        <f t="shared" si="903"/>
        <v>000</v>
      </c>
      <c r="L7591" s="5">
        <f t="shared" si="904"/>
        <v>7</v>
      </c>
      <c r="M7591" s="5">
        <f t="shared" si="905"/>
        <v>2013</v>
      </c>
    </row>
    <row r="7592" spans="1:13" ht="15" x14ac:dyDescent="0.25">
      <c r="A7592" s="1">
        <f>DATE(2013,7,23)</f>
        <v>41478</v>
      </c>
      <c r="B7592" t="s">
        <v>19</v>
      </c>
      <c r="C7592" t="s">
        <v>6</v>
      </c>
      <c r="D7592" s="3">
        <v>6194.6544000000004</v>
      </c>
      <c r="E7592" s="3">
        <v>0</v>
      </c>
      <c r="F7592" t="s">
        <v>45</v>
      </c>
      <c r="G7592" s="3">
        <f t="shared" si="899"/>
        <v>-6194.6544000000004</v>
      </c>
      <c r="H7592" s="3">
        <f t="shared" si="900"/>
        <v>6194.6544000000004</v>
      </c>
      <c r="I7592" s="5" t="str">
        <f t="shared" si="901"/>
        <v>018</v>
      </c>
      <c r="J7592" s="5" t="str">
        <f t="shared" si="902"/>
        <v>2100</v>
      </c>
      <c r="K7592" s="5" t="str">
        <f t="shared" si="903"/>
        <v>000</v>
      </c>
      <c r="L7592" s="5">
        <f t="shared" si="904"/>
        <v>7</v>
      </c>
      <c r="M7592" s="5">
        <f t="shared" si="905"/>
        <v>2013</v>
      </c>
    </row>
    <row r="7593" spans="1:13" ht="15" x14ac:dyDescent="0.25">
      <c r="A7593" s="1">
        <f>DATE(2013,7,23)</f>
        <v>41478</v>
      </c>
      <c r="B7593" t="s">
        <v>20</v>
      </c>
      <c r="C7593" t="s">
        <v>8</v>
      </c>
      <c r="D7593" s="3">
        <v>998.5397999999999</v>
      </c>
      <c r="E7593" s="3">
        <v>0</v>
      </c>
      <c r="F7593" t="s">
        <v>45</v>
      </c>
      <c r="G7593" s="3">
        <f t="shared" si="899"/>
        <v>-998.5397999999999</v>
      </c>
      <c r="H7593" s="3">
        <f t="shared" si="900"/>
        <v>998.5397999999999</v>
      </c>
      <c r="I7593" s="5" t="str">
        <f t="shared" si="901"/>
        <v>018</v>
      </c>
      <c r="J7593" s="5" t="str">
        <f t="shared" si="902"/>
        <v>2210</v>
      </c>
      <c r="K7593" s="5" t="str">
        <f t="shared" si="903"/>
        <v>000</v>
      </c>
      <c r="L7593" s="5">
        <f t="shared" si="904"/>
        <v>7</v>
      </c>
      <c r="M7593" s="5">
        <f t="shared" si="905"/>
        <v>2013</v>
      </c>
    </row>
    <row r="7594" spans="1:13" ht="15" x14ac:dyDescent="0.25">
      <c r="A7594" s="1">
        <f>DATE(2013,7,23)</f>
        <v>41478</v>
      </c>
      <c r="B7594" t="s">
        <v>21</v>
      </c>
      <c r="C7594" t="s">
        <v>9</v>
      </c>
      <c r="D7594" s="3">
        <v>244.90790000000001</v>
      </c>
      <c r="E7594" s="3">
        <v>0</v>
      </c>
      <c r="F7594" t="s">
        <v>45</v>
      </c>
      <c r="G7594" s="3">
        <f t="shared" si="899"/>
        <v>-244.90790000000001</v>
      </c>
      <c r="H7594" s="3">
        <f t="shared" si="900"/>
        <v>244.90790000000001</v>
      </c>
      <c r="I7594" s="5" t="str">
        <f t="shared" si="901"/>
        <v>018</v>
      </c>
      <c r="J7594" s="5" t="str">
        <f t="shared" si="902"/>
        <v>2220</v>
      </c>
      <c r="K7594" s="5" t="str">
        <f t="shared" si="903"/>
        <v>000</v>
      </c>
      <c r="L7594" s="5">
        <f t="shared" si="904"/>
        <v>7</v>
      </c>
      <c r="M7594" s="5">
        <f t="shared" si="905"/>
        <v>2013</v>
      </c>
    </row>
    <row r="7595" spans="1:13" ht="15" x14ac:dyDescent="0.25">
      <c r="A7595" s="1">
        <f>DATE(2013,7,23)</f>
        <v>41478</v>
      </c>
      <c r="B7595" t="s">
        <v>22</v>
      </c>
      <c r="C7595" t="s">
        <v>10</v>
      </c>
      <c r="D7595" s="3">
        <v>47.325800000000001</v>
      </c>
      <c r="E7595" s="3">
        <v>0</v>
      </c>
      <c r="F7595" t="s">
        <v>45</v>
      </c>
      <c r="G7595" s="3">
        <f t="shared" si="899"/>
        <v>-47.325800000000001</v>
      </c>
      <c r="H7595" s="3">
        <f t="shared" si="900"/>
        <v>47.325800000000001</v>
      </c>
      <c r="I7595" s="5" t="str">
        <f t="shared" si="901"/>
        <v>018</v>
      </c>
      <c r="J7595" s="5" t="str">
        <f t="shared" si="902"/>
        <v>2230</v>
      </c>
      <c r="K7595" s="5" t="str">
        <f t="shared" si="903"/>
        <v>000</v>
      </c>
      <c r="L7595" s="5">
        <f t="shared" si="904"/>
        <v>7</v>
      </c>
      <c r="M7595" s="5">
        <f t="shared" si="905"/>
        <v>2013</v>
      </c>
    </row>
    <row r="7596" spans="1:13" ht="15" x14ac:dyDescent="0.25">
      <c r="A7596" s="1">
        <f>DATE(2013,7,24)</f>
        <v>41479</v>
      </c>
      <c r="B7596" t="s">
        <v>19</v>
      </c>
      <c r="C7596" t="s">
        <v>6</v>
      </c>
      <c r="D7596" s="3">
        <v>5680.9282000000003</v>
      </c>
      <c r="E7596" s="3">
        <v>0</v>
      </c>
      <c r="F7596" t="s">
        <v>45</v>
      </c>
      <c r="G7596" s="3">
        <f t="shared" si="899"/>
        <v>-5680.9282000000003</v>
      </c>
      <c r="H7596" s="3">
        <f t="shared" si="900"/>
        <v>5680.9282000000003</v>
      </c>
      <c r="I7596" s="5" t="str">
        <f t="shared" si="901"/>
        <v>018</v>
      </c>
      <c r="J7596" s="5" t="str">
        <f t="shared" si="902"/>
        <v>2100</v>
      </c>
      <c r="K7596" s="5" t="str">
        <f t="shared" si="903"/>
        <v>000</v>
      </c>
      <c r="L7596" s="5">
        <f t="shared" si="904"/>
        <v>7</v>
      </c>
      <c r="M7596" s="5">
        <f t="shared" si="905"/>
        <v>2013</v>
      </c>
    </row>
    <row r="7597" spans="1:13" ht="15" x14ac:dyDescent="0.25">
      <c r="A7597" s="1">
        <f>DATE(2013,7,24)</f>
        <v>41479</v>
      </c>
      <c r="B7597" t="s">
        <v>20</v>
      </c>
      <c r="C7597" t="s">
        <v>8</v>
      </c>
      <c r="D7597" s="3">
        <v>1723.4888000000001</v>
      </c>
      <c r="E7597" s="3">
        <v>0</v>
      </c>
      <c r="F7597" t="s">
        <v>45</v>
      </c>
      <c r="G7597" s="3">
        <f t="shared" si="899"/>
        <v>-1723.4888000000001</v>
      </c>
      <c r="H7597" s="3">
        <f t="shared" si="900"/>
        <v>1723.4888000000001</v>
      </c>
      <c r="I7597" s="5" t="str">
        <f t="shared" si="901"/>
        <v>018</v>
      </c>
      <c r="J7597" s="5" t="str">
        <f t="shared" si="902"/>
        <v>2210</v>
      </c>
      <c r="K7597" s="5" t="str">
        <f t="shared" si="903"/>
        <v>000</v>
      </c>
      <c r="L7597" s="5">
        <f t="shared" si="904"/>
        <v>7</v>
      </c>
      <c r="M7597" s="5">
        <f t="shared" si="905"/>
        <v>2013</v>
      </c>
    </row>
    <row r="7598" spans="1:13" ht="15" x14ac:dyDescent="0.25">
      <c r="A7598" s="1">
        <f>DATE(2013,7,24)</f>
        <v>41479</v>
      </c>
      <c r="B7598" t="s">
        <v>21</v>
      </c>
      <c r="C7598" t="s">
        <v>9</v>
      </c>
      <c r="D7598" s="3">
        <v>267.50119999999998</v>
      </c>
      <c r="E7598" s="3">
        <v>0</v>
      </c>
      <c r="F7598" t="s">
        <v>45</v>
      </c>
      <c r="G7598" s="3">
        <f t="shared" si="899"/>
        <v>-267.50119999999998</v>
      </c>
      <c r="H7598" s="3">
        <f t="shared" si="900"/>
        <v>267.50119999999998</v>
      </c>
      <c r="I7598" s="5" t="str">
        <f t="shared" si="901"/>
        <v>018</v>
      </c>
      <c r="J7598" s="5" t="str">
        <f t="shared" si="902"/>
        <v>2220</v>
      </c>
      <c r="K7598" s="5" t="str">
        <f t="shared" si="903"/>
        <v>000</v>
      </c>
      <c r="L7598" s="5">
        <f t="shared" si="904"/>
        <v>7</v>
      </c>
      <c r="M7598" s="5">
        <f t="shared" si="905"/>
        <v>2013</v>
      </c>
    </row>
    <row r="7599" spans="1:13" ht="15" x14ac:dyDescent="0.25">
      <c r="A7599" s="1">
        <f>DATE(2013,7,24)</f>
        <v>41479</v>
      </c>
      <c r="B7599" t="s">
        <v>22</v>
      </c>
      <c r="C7599" t="s">
        <v>10</v>
      </c>
      <c r="D7599" s="3">
        <v>16.739100000000001</v>
      </c>
      <c r="E7599" s="3">
        <v>0</v>
      </c>
      <c r="F7599" t="s">
        <v>45</v>
      </c>
      <c r="G7599" s="3">
        <f t="shared" si="899"/>
        <v>-16.739100000000001</v>
      </c>
      <c r="H7599" s="3">
        <f t="shared" si="900"/>
        <v>16.739100000000001</v>
      </c>
      <c r="I7599" s="5" t="str">
        <f t="shared" si="901"/>
        <v>018</v>
      </c>
      <c r="J7599" s="5" t="str">
        <f t="shared" si="902"/>
        <v>2230</v>
      </c>
      <c r="K7599" s="5" t="str">
        <f t="shared" si="903"/>
        <v>000</v>
      </c>
      <c r="L7599" s="5">
        <f t="shared" si="904"/>
        <v>7</v>
      </c>
      <c r="M7599" s="5">
        <f t="shared" si="905"/>
        <v>2013</v>
      </c>
    </row>
    <row r="7600" spans="1:13" ht="15" x14ac:dyDescent="0.25">
      <c r="A7600" s="1">
        <f>DATE(2013,7,25)</f>
        <v>41480</v>
      </c>
      <c r="B7600" t="s">
        <v>19</v>
      </c>
      <c r="C7600" t="s">
        <v>6</v>
      </c>
      <c r="D7600" s="3">
        <v>7472.8932000000004</v>
      </c>
      <c r="E7600" s="3">
        <v>0</v>
      </c>
      <c r="F7600" t="s">
        <v>45</v>
      </c>
      <c r="G7600" s="3">
        <f t="shared" si="899"/>
        <v>-7472.8932000000004</v>
      </c>
      <c r="H7600" s="3">
        <f t="shared" si="900"/>
        <v>7472.8932000000004</v>
      </c>
      <c r="I7600" s="5" t="str">
        <f t="shared" si="901"/>
        <v>018</v>
      </c>
      <c r="J7600" s="5" t="str">
        <f t="shared" si="902"/>
        <v>2100</v>
      </c>
      <c r="K7600" s="5" t="str">
        <f t="shared" si="903"/>
        <v>000</v>
      </c>
      <c r="L7600" s="5">
        <f t="shared" si="904"/>
        <v>7</v>
      </c>
      <c r="M7600" s="5">
        <f t="shared" si="905"/>
        <v>2013</v>
      </c>
    </row>
    <row r="7601" spans="1:13" ht="15" x14ac:dyDescent="0.25">
      <c r="A7601" s="1">
        <f>DATE(2013,7,25)</f>
        <v>41480</v>
      </c>
      <c r="B7601" t="s">
        <v>20</v>
      </c>
      <c r="C7601" t="s">
        <v>8</v>
      </c>
      <c r="D7601" s="3">
        <v>1239.1028000000001</v>
      </c>
      <c r="E7601" s="3">
        <v>0</v>
      </c>
      <c r="F7601" t="s">
        <v>45</v>
      </c>
      <c r="G7601" s="3">
        <f t="shared" si="899"/>
        <v>-1239.1028000000001</v>
      </c>
      <c r="H7601" s="3">
        <f t="shared" si="900"/>
        <v>1239.1028000000001</v>
      </c>
      <c r="I7601" s="5" t="str">
        <f t="shared" si="901"/>
        <v>018</v>
      </c>
      <c r="J7601" s="5" t="str">
        <f t="shared" si="902"/>
        <v>2210</v>
      </c>
      <c r="K7601" s="5" t="str">
        <f t="shared" si="903"/>
        <v>000</v>
      </c>
      <c r="L7601" s="5">
        <f t="shared" si="904"/>
        <v>7</v>
      </c>
      <c r="M7601" s="5">
        <f t="shared" si="905"/>
        <v>2013</v>
      </c>
    </row>
    <row r="7602" spans="1:13" ht="15" x14ac:dyDescent="0.25">
      <c r="A7602" s="1">
        <f>DATE(2013,7,25)</f>
        <v>41480</v>
      </c>
      <c r="B7602" t="s">
        <v>21</v>
      </c>
      <c r="C7602" t="s">
        <v>9</v>
      </c>
      <c r="D7602" s="3">
        <v>321.2672</v>
      </c>
      <c r="E7602" s="3">
        <v>0</v>
      </c>
      <c r="F7602" t="s">
        <v>45</v>
      </c>
      <c r="G7602" s="3">
        <f t="shared" si="899"/>
        <v>-321.2672</v>
      </c>
      <c r="H7602" s="3">
        <f t="shared" si="900"/>
        <v>321.2672</v>
      </c>
      <c r="I7602" s="5" t="str">
        <f t="shared" si="901"/>
        <v>018</v>
      </c>
      <c r="J7602" s="5" t="str">
        <f t="shared" si="902"/>
        <v>2220</v>
      </c>
      <c r="K7602" s="5" t="str">
        <f t="shared" si="903"/>
        <v>000</v>
      </c>
      <c r="L7602" s="5">
        <f t="shared" si="904"/>
        <v>7</v>
      </c>
      <c r="M7602" s="5">
        <f t="shared" si="905"/>
        <v>2013</v>
      </c>
    </row>
    <row r="7603" spans="1:13" ht="15" x14ac:dyDescent="0.25">
      <c r="A7603" s="1">
        <f>DATE(2013,7,25)</f>
        <v>41480</v>
      </c>
      <c r="B7603" t="s">
        <v>22</v>
      </c>
      <c r="C7603" t="s">
        <v>10</v>
      </c>
      <c r="D7603" s="3">
        <v>48.079499999999996</v>
      </c>
      <c r="E7603" s="3">
        <v>0</v>
      </c>
      <c r="F7603" t="s">
        <v>45</v>
      </c>
      <c r="G7603" s="3">
        <f t="shared" si="899"/>
        <v>-48.079499999999996</v>
      </c>
      <c r="H7603" s="3">
        <f t="shared" si="900"/>
        <v>48.079499999999996</v>
      </c>
      <c r="I7603" s="5" t="str">
        <f t="shared" si="901"/>
        <v>018</v>
      </c>
      <c r="J7603" s="5" t="str">
        <f t="shared" si="902"/>
        <v>2230</v>
      </c>
      <c r="K7603" s="5" t="str">
        <f t="shared" si="903"/>
        <v>000</v>
      </c>
      <c r="L7603" s="5">
        <f t="shared" si="904"/>
        <v>7</v>
      </c>
      <c r="M7603" s="5">
        <f t="shared" si="905"/>
        <v>2013</v>
      </c>
    </row>
    <row r="7604" spans="1:13" ht="15" x14ac:dyDescent="0.25">
      <c r="A7604" s="1">
        <f>DATE(2013,7,26)</f>
        <v>41481</v>
      </c>
      <c r="B7604" t="s">
        <v>19</v>
      </c>
      <c r="C7604" t="s">
        <v>6</v>
      </c>
      <c r="D7604" s="3">
        <v>11186.829</v>
      </c>
      <c r="E7604" s="3">
        <v>0</v>
      </c>
      <c r="F7604" t="s">
        <v>45</v>
      </c>
      <c r="G7604" s="3">
        <f t="shared" si="899"/>
        <v>-11186.829</v>
      </c>
      <c r="H7604" s="3">
        <f t="shared" si="900"/>
        <v>11186.829</v>
      </c>
      <c r="I7604" s="5" t="str">
        <f t="shared" si="901"/>
        <v>018</v>
      </c>
      <c r="J7604" s="5" t="str">
        <f t="shared" si="902"/>
        <v>2100</v>
      </c>
      <c r="K7604" s="5" t="str">
        <f t="shared" si="903"/>
        <v>000</v>
      </c>
      <c r="L7604" s="5">
        <f t="shared" si="904"/>
        <v>7</v>
      </c>
      <c r="M7604" s="5">
        <f t="shared" si="905"/>
        <v>2013</v>
      </c>
    </row>
    <row r="7605" spans="1:13" ht="15" x14ac:dyDescent="0.25">
      <c r="A7605" s="1">
        <f>DATE(2013,7,26)</f>
        <v>41481</v>
      </c>
      <c r="B7605" t="s">
        <v>20</v>
      </c>
      <c r="C7605" t="s">
        <v>8</v>
      </c>
      <c r="D7605" s="3">
        <v>2257.4331000000002</v>
      </c>
      <c r="E7605" s="3">
        <v>0</v>
      </c>
      <c r="F7605" t="s">
        <v>45</v>
      </c>
      <c r="G7605" s="3">
        <f t="shared" si="899"/>
        <v>-2257.4331000000002</v>
      </c>
      <c r="H7605" s="3">
        <f t="shared" si="900"/>
        <v>2257.4331000000002</v>
      </c>
      <c r="I7605" s="5" t="str">
        <f t="shared" si="901"/>
        <v>018</v>
      </c>
      <c r="J7605" s="5" t="str">
        <f t="shared" si="902"/>
        <v>2210</v>
      </c>
      <c r="K7605" s="5" t="str">
        <f t="shared" si="903"/>
        <v>000</v>
      </c>
      <c r="L7605" s="5">
        <f t="shared" si="904"/>
        <v>7</v>
      </c>
      <c r="M7605" s="5">
        <f t="shared" si="905"/>
        <v>2013</v>
      </c>
    </row>
    <row r="7606" spans="1:13" ht="15" x14ac:dyDescent="0.25">
      <c r="A7606" s="1">
        <f>DATE(2013,7,26)</f>
        <v>41481</v>
      </c>
      <c r="B7606" t="s">
        <v>21</v>
      </c>
      <c r="C7606" t="s">
        <v>9</v>
      </c>
      <c r="D7606" s="3">
        <v>480.91550000000001</v>
      </c>
      <c r="E7606" s="3">
        <v>0</v>
      </c>
      <c r="F7606" t="s">
        <v>45</v>
      </c>
      <c r="G7606" s="3">
        <f t="shared" si="899"/>
        <v>-480.91550000000001</v>
      </c>
      <c r="H7606" s="3">
        <f t="shared" si="900"/>
        <v>480.91550000000001</v>
      </c>
      <c r="I7606" s="5" t="str">
        <f t="shared" si="901"/>
        <v>018</v>
      </c>
      <c r="J7606" s="5" t="str">
        <f t="shared" si="902"/>
        <v>2220</v>
      </c>
      <c r="K7606" s="5" t="str">
        <f t="shared" si="903"/>
        <v>000</v>
      </c>
      <c r="L7606" s="5">
        <f t="shared" si="904"/>
        <v>7</v>
      </c>
      <c r="M7606" s="5">
        <f t="shared" si="905"/>
        <v>2013</v>
      </c>
    </row>
    <row r="7607" spans="1:13" ht="15" x14ac:dyDescent="0.25">
      <c r="A7607" s="1">
        <f>DATE(2013,7,26)</f>
        <v>41481</v>
      </c>
      <c r="B7607" t="s">
        <v>22</v>
      </c>
      <c r="C7607" t="s">
        <v>10</v>
      </c>
      <c r="D7607" s="3">
        <v>61.565999999999995</v>
      </c>
      <c r="E7607" s="3">
        <v>0</v>
      </c>
      <c r="F7607" t="s">
        <v>45</v>
      </c>
      <c r="G7607" s="3">
        <f t="shared" si="899"/>
        <v>-61.565999999999995</v>
      </c>
      <c r="H7607" s="3">
        <f t="shared" si="900"/>
        <v>61.565999999999995</v>
      </c>
      <c r="I7607" s="5" t="str">
        <f t="shared" si="901"/>
        <v>018</v>
      </c>
      <c r="J7607" s="5" t="str">
        <f t="shared" si="902"/>
        <v>2230</v>
      </c>
      <c r="K7607" s="5" t="str">
        <f t="shared" si="903"/>
        <v>000</v>
      </c>
      <c r="L7607" s="5">
        <f t="shared" si="904"/>
        <v>7</v>
      </c>
      <c r="M7607" s="5">
        <f t="shared" si="905"/>
        <v>2013</v>
      </c>
    </row>
    <row r="7608" spans="1:13" ht="15" x14ac:dyDescent="0.25">
      <c r="A7608" s="1">
        <f>DATE(2013,7,27)</f>
        <v>41482</v>
      </c>
      <c r="B7608" t="s">
        <v>19</v>
      </c>
      <c r="C7608" t="s">
        <v>6</v>
      </c>
      <c r="D7608" s="3">
        <v>11425.2912</v>
      </c>
      <c r="E7608" s="3">
        <v>0</v>
      </c>
      <c r="F7608" t="s">
        <v>45</v>
      </c>
      <c r="G7608" s="3">
        <f t="shared" si="899"/>
        <v>-11425.2912</v>
      </c>
      <c r="H7608" s="3">
        <f t="shared" si="900"/>
        <v>11425.2912</v>
      </c>
      <c r="I7608" s="5" t="str">
        <f t="shared" si="901"/>
        <v>018</v>
      </c>
      <c r="J7608" s="5" t="str">
        <f t="shared" si="902"/>
        <v>2100</v>
      </c>
      <c r="K7608" s="5" t="str">
        <f t="shared" si="903"/>
        <v>000</v>
      </c>
      <c r="L7608" s="5">
        <f t="shared" si="904"/>
        <v>7</v>
      </c>
      <c r="M7608" s="5">
        <f t="shared" si="905"/>
        <v>2013</v>
      </c>
    </row>
    <row r="7609" spans="1:13" ht="15" x14ac:dyDescent="0.25">
      <c r="A7609" s="1">
        <f>DATE(2013,7,27)</f>
        <v>41482</v>
      </c>
      <c r="B7609" t="s">
        <v>20</v>
      </c>
      <c r="C7609" t="s">
        <v>8</v>
      </c>
      <c r="D7609" s="3">
        <v>2449.7883000000002</v>
      </c>
      <c r="E7609" s="3">
        <v>0</v>
      </c>
      <c r="F7609" t="s">
        <v>45</v>
      </c>
      <c r="G7609" s="3">
        <f t="shared" si="899"/>
        <v>-2449.7883000000002</v>
      </c>
      <c r="H7609" s="3">
        <f t="shared" si="900"/>
        <v>2449.7883000000002</v>
      </c>
      <c r="I7609" s="5" t="str">
        <f t="shared" si="901"/>
        <v>018</v>
      </c>
      <c r="J7609" s="5" t="str">
        <f t="shared" si="902"/>
        <v>2210</v>
      </c>
      <c r="K7609" s="5" t="str">
        <f t="shared" si="903"/>
        <v>000</v>
      </c>
      <c r="L7609" s="5">
        <f t="shared" si="904"/>
        <v>7</v>
      </c>
      <c r="M7609" s="5">
        <f t="shared" si="905"/>
        <v>2013</v>
      </c>
    </row>
    <row r="7610" spans="1:13" ht="15" x14ac:dyDescent="0.25">
      <c r="A7610" s="1">
        <f>DATE(2013,7,27)</f>
        <v>41482</v>
      </c>
      <c r="B7610" t="s">
        <v>21</v>
      </c>
      <c r="C7610" t="s">
        <v>9</v>
      </c>
      <c r="D7610" s="3">
        <v>715.26</v>
      </c>
      <c r="E7610" s="3">
        <v>0</v>
      </c>
      <c r="F7610" t="s">
        <v>45</v>
      </c>
      <c r="G7610" s="3">
        <f t="shared" si="899"/>
        <v>-715.26</v>
      </c>
      <c r="H7610" s="3">
        <f t="shared" si="900"/>
        <v>715.26</v>
      </c>
      <c r="I7610" s="5" t="str">
        <f t="shared" si="901"/>
        <v>018</v>
      </c>
      <c r="J7610" s="5" t="str">
        <f t="shared" si="902"/>
        <v>2220</v>
      </c>
      <c r="K7610" s="5" t="str">
        <f t="shared" si="903"/>
        <v>000</v>
      </c>
      <c r="L7610" s="5">
        <f t="shared" si="904"/>
        <v>7</v>
      </c>
      <c r="M7610" s="5">
        <f t="shared" si="905"/>
        <v>2013</v>
      </c>
    </row>
    <row r="7611" spans="1:13" ht="15" x14ac:dyDescent="0.25">
      <c r="A7611" s="1">
        <f>DATE(2013,7,27)</f>
        <v>41482</v>
      </c>
      <c r="B7611" t="s">
        <v>22</v>
      </c>
      <c r="C7611" t="s">
        <v>10</v>
      </c>
      <c r="D7611" s="3">
        <v>114.5355</v>
      </c>
      <c r="E7611" s="3">
        <v>0</v>
      </c>
      <c r="F7611" t="s">
        <v>45</v>
      </c>
      <c r="G7611" s="3">
        <f t="shared" si="899"/>
        <v>-114.5355</v>
      </c>
      <c r="H7611" s="3">
        <f t="shared" si="900"/>
        <v>114.5355</v>
      </c>
      <c r="I7611" s="5" t="str">
        <f t="shared" si="901"/>
        <v>018</v>
      </c>
      <c r="J7611" s="5" t="str">
        <f t="shared" si="902"/>
        <v>2230</v>
      </c>
      <c r="K7611" s="5" t="str">
        <f t="shared" si="903"/>
        <v>000</v>
      </c>
      <c r="L7611" s="5">
        <f t="shared" si="904"/>
        <v>7</v>
      </c>
      <c r="M7611" s="5">
        <f t="shared" si="905"/>
        <v>2013</v>
      </c>
    </row>
    <row r="7612" spans="1:13" ht="15" x14ac:dyDescent="0.25">
      <c r="A7612" s="1">
        <f>DATE(2013,7,28)</f>
        <v>41483</v>
      </c>
      <c r="B7612" t="s">
        <v>19</v>
      </c>
      <c r="C7612" t="s">
        <v>6</v>
      </c>
      <c r="D7612" s="3">
        <v>9679.1034</v>
      </c>
      <c r="E7612" s="3">
        <v>0</v>
      </c>
      <c r="F7612" t="s">
        <v>45</v>
      </c>
      <c r="G7612" s="3">
        <f t="shared" si="899"/>
        <v>-9679.1034</v>
      </c>
      <c r="H7612" s="3">
        <f t="shared" si="900"/>
        <v>9679.1034</v>
      </c>
      <c r="I7612" s="5" t="str">
        <f t="shared" si="901"/>
        <v>018</v>
      </c>
      <c r="J7612" s="5" t="str">
        <f t="shared" si="902"/>
        <v>2100</v>
      </c>
      <c r="K7612" s="5" t="str">
        <f t="shared" si="903"/>
        <v>000</v>
      </c>
      <c r="L7612" s="5">
        <f t="shared" si="904"/>
        <v>7</v>
      </c>
      <c r="M7612" s="5">
        <f t="shared" si="905"/>
        <v>2013</v>
      </c>
    </row>
    <row r="7613" spans="1:13" ht="15" x14ac:dyDescent="0.25">
      <c r="A7613" s="1">
        <f>DATE(2013,7,28)</f>
        <v>41483</v>
      </c>
      <c r="B7613" t="s">
        <v>20</v>
      </c>
      <c r="C7613" t="s">
        <v>8</v>
      </c>
      <c r="D7613" s="3">
        <v>1374.8449000000001</v>
      </c>
      <c r="E7613" s="3">
        <v>0</v>
      </c>
      <c r="F7613" t="s">
        <v>45</v>
      </c>
      <c r="G7613" s="3">
        <f t="shared" si="899"/>
        <v>-1374.8449000000001</v>
      </c>
      <c r="H7613" s="3">
        <f t="shared" si="900"/>
        <v>1374.8449000000001</v>
      </c>
      <c r="I7613" s="5" t="str">
        <f t="shared" si="901"/>
        <v>018</v>
      </c>
      <c r="J7613" s="5" t="str">
        <f t="shared" si="902"/>
        <v>2210</v>
      </c>
      <c r="K7613" s="5" t="str">
        <f t="shared" si="903"/>
        <v>000</v>
      </c>
      <c r="L7613" s="5">
        <f t="shared" si="904"/>
        <v>7</v>
      </c>
      <c r="M7613" s="5">
        <f t="shared" si="905"/>
        <v>2013</v>
      </c>
    </row>
    <row r="7614" spans="1:13" ht="15" x14ac:dyDescent="0.25">
      <c r="A7614" s="1">
        <f>DATE(2013,7,28)</f>
        <v>41483</v>
      </c>
      <c r="B7614" t="s">
        <v>21</v>
      </c>
      <c r="C7614" t="s">
        <v>9</v>
      </c>
      <c r="D7614" s="3">
        <v>251.89439999999999</v>
      </c>
      <c r="E7614" s="3">
        <v>0</v>
      </c>
      <c r="F7614" t="s">
        <v>45</v>
      </c>
      <c r="G7614" s="3">
        <f t="shared" si="899"/>
        <v>-251.89439999999999</v>
      </c>
      <c r="H7614" s="3">
        <f t="shared" si="900"/>
        <v>251.89439999999999</v>
      </c>
      <c r="I7614" s="5" t="str">
        <f t="shared" si="901"/>
        <v>018</v>
      </c>
      <c r="J7614" s="5" t="str">
        <f t="shared" si="902"/>
        <v>2220</v>
      </c>
      <c r="K7614" s="5" t="str">
        <f t="shared" si="903"/>
        <v>000</v>
      </c>
      <c r="L7614" s="5">
        <f t="shared" si="904"/>
        <v>7</v>
      </c>
      <c r="M7614" s="5">
        <f t="shared" si="905"/>
        <v>2013</v>
      </c>
    </row>
    <row r="7615" spans="1:13" ht="15" x14ac:dyDescent="0.25">
      <c r="A7615" s="1">
        <f>DATE(2013,7,28)</f>
        <v>41483</v>
      </c>
      <c r="B7615" t="s">
        <v>22</v>
      </c>
      <c r="C7615" t="s">
        <v>10</v>
      </c>
      <c r="D7615" s="3">
        <v>46.648000000000003</v>
      </c>
      <c r="E7615" s="3">
        <v>0</v>
      </c>
      <c r="F7615" t="s">
        <v>45</v>
      </c>
      <c r="G7615" s="3">
        <f t="shared" si="899"/>
        <v>-46.648000000000003</v>
      </c>
      <c r="H7615" s="3">
        <f t="shared" si="900"/>
        <v>46.648000000000003</v>
      </c>
      <c r="I7615" s="5" t="str">
        <f t="shared" si="901"/>
        <v>018</v>
      </c>
      <c r="J7615" s="5" t="str">
        <f t="shared" si="902"/>
        <v>2230</v>
      </c>
      <c r="K7615" s="5" t="str">
        <f t="shared" si="903"/>
        <v>000</v>
      </c>
      <c r="L7615" s="5">
        <f t="shared" si="904"/>
        <v>7</v>
      </c>
      <c r="M7615" s="5">
        <f t="shared" si="905"/>
        <v>2013</v>
      </c>
    </row>
    <row r="7616" spans="1:13" ht="15" x14ac:dyDescent="0.25">
      <c r="A7616" s="1">
        <f>DATE(2013,7,22)</f>
        <v>41477</v>
      </c>
      <c r="B7616" t="s">
        <v>23</v>
      </c>
      <c r="C7616" t="s">
        <v>6</v>
      </c>
      <c r="D7616" s="3">
        <v>3902.5429999999992</v>
      </c>
      <c r="E7616" s="3">
        <v>0</v>
      </c>
      <c r="F7616" t="s">
        <v>45</v>
      </c>
      <c r="G7616" s="3">
        <f t="shared" si="899"/>
        <v>-3902.5429999999992</v>
      </c>
      <c r="H7616" s="3">
        <f t="shared" si="900"/>
        <v>3902.5429999999992</v>
      </c>
      <c r="I7616" s="5" t="str">
        <f t="shared" si="901"/>
        <v>019</v>
      </c>
      <c r="J7616" s="5" t="str">
        <f t="shared" si="902"/>
        <v>2100</v>
      </c>
      <c r="K7616" s="5" t="str">
        <f t="shared" si="903"/>
        <v>000</v>
      </c>
      <c r="L7616" s="5">
        <f t="shared" si="904"/>
        <v>7</v>
      </c>
      <c r="M7616" s="5">
        <f t="shared" si="905"/>
        <v>2013</v>
      </c>
    </row>
    <row r="7617" spans="1:13" ht="15" x14ac:dyDescent="0.25">
      <c r="A7617" s="1">
        <f>DATE(2013,7,22)</f>
        <v>41477</v>
      </c>
      <c r="B7617" t="s">
        <v>24</v>
      </c>
      <c r="C7617" t="s">
        <v>8</v>
      </c>
      <c r="D7617" s="3">
        <v>814.83480000000009</v>
      </c>
      <c r="E7617" s="3">
        <v>0</v>
      </c>
      <c r="F7617" t="s">
        <v>45</v>
      </c>
      <c r="G7617" s="3">
        <f t="shared" si="899"/>
        <v>-814.83480000000009</v>
      </c>
      <c r="H7617" s="3">
        <f t="shared" si="900"/>
        <v>814.83480000000009</v>
      </c>
      <c r="I7617" s="5" t="str">
        <f t="shared" si="901"/>
        <v>019</v>
      </c>
      <c r="J7617" s="5" t="str">
        <f t="shared" si="902"/>
        <v>2210</v>
      </c>
      <c r="K7617" s="5" t="str">
        <f t="shared" si="903"/>
        <v>000</v>
      </c>
      <c r="L7617" s="5">
        <f t="shared" si="904"/>
        <v>7</v>
      </c>
      <c r="M7617" s="5">
        <f t="shared" si="905"/>
        <v>2013</v>
      </c>
    </row>
    <row r="7618" spans="1:13" ht="15" x14ac:dyDescent="0.25">
      <c r="A7618" s="1">
        <f>DATE(2013,7,22)</f>
        <v>41477</v>
      </c>
      <c r="B7618" t="s">
        <v>25</v>
      </c>
      <c r="C7618" t="s">
        <v>9</v>
      </c>
      <c r="D7618" s="3">
        <v>144.17280000000002</v>
      </c>
      <c r="E7618" s="3">
        <v>0</v>
      </c>
      <c r="F7618" t="s">
        <v>45</v>
      </c>
      <c r="G7618" s="3">
        <f t="shared" ref="G7618:G7681" si="906">E7618-D7618</f>
        <v>-144.17280000000002</v>
      </c>
      <c r="H7618" s="3">
        <f t="shared" ref="H7618:H7681" si="907">ABS(G7618)</f>
        <v>144.17280000000002</v>
      </c>
      <c r="I7618" s="5" t="str">
        <f t="shared" ref="I7618:I7681" si="908">MID(B7618,1,3)</f>
        <v>019</v>
      </c>
      <c r="J7618" s="5" t="str">
        <f t="shared" ref="J7618:J7681" si="909">MID(B7618,5,4)</f>
        <v>2220</v>
      </c>
      <c r="K7618" s="5" t="str">
        <f t="shared" ref="K7618:K7681" si="910">MID(B7618,10,3)</f>
        <v>000</v>
      </c>
      <c r="L7618" s="5">
        <f t="shared" ref="L7618:L7681" si="911">MONTH(A7618)</f>
        <v>7</v>
      </c>
      <c r="M7618" s="5">
        <f t="shared" ref="M7618:M7681" si="912">YEAR(A7618)</f>
        <v>2013</v>
      </c>
    </row>
    <row r="7619" spans="1:13" ht="15" x14ac:dyDescent="0.25">
      <c r="A7619" s="1">
        <f>DATE(2013,7,22)</f>
        <v>41477</v>
      </c>
      <c r="B7619" t="s">
        <v>26</v>
      </c>
      <c r="C7619" t="s">
        <v>10</v>
      </c>
      <c r="D7619" s="3">
        <v>57.595199999999998</v>
      </c>
      <c r="E7619" s="3">
        <v>0</v>
      </c>
      <c r="F7619" t="s">
        <v>45</v>
      </c>
      <c r="G7619" s="3">
        <f t="shared" si="906"/>
        <v>-57.595199999999998</v>
      </c>
      <c r="H7619" s="3">
        <f t="shared" si="907"/>
        <v>57.595199999999998</v>
      </c>
      <c r="I7619" s="5" t="str">
        <f t="shared" si="908"/>
        <v>019</v>
      </c>
      <c r="J7619" s="5" t="str">
        <f t="shared" si="909"/>
        <v>2230</v>
      </c>
      <c r="K7619" s="5" t="str">
        <f t="shared" si="910"/>
        <v>000</v>
      </c>
      <c r="L7619" s="5">
        <f t="shared" si="911"/>
        <v>7</v>
      </c>
      <c r="M7619" s="5">
        <f t="shared" si="912"/>
        <v>2013</v>
      </c>
    </row>
    <row r="7620" spans="1:13" ht="15" x14ac:dyDescent="0.25">
      <c r="A7620" s="1">
        <f>DATE(2013,7,23)</f>
        <v>41478</v>
      </c>
      <c r="B7620" t="s">
        <v>23</v>
      </c>
      <c r="C7620" t="s">
        <v>6</v>
      </c>
      <c r="D7620" s="3">
        <v>5068.8747999999996</v>
      </c>
      <c r="E7620" s="3">
        <v>0</v>
      </c>
      <c r="F7620" t="s">
        <v>45</v>
      </c>
      <c r="G7620" s="3">
        <f t="shared" si="906"/>
        <v>-5068.8747999999996</v>
      </c>
      <c r="H7620" s="3">
        <f t="shared" si="907"/>
        <v>5068.8747999999996</v>
      </c>
      <c r="I7620" s="5" t="str">
        <f t="shared" si="908"/>
        <v>019</v>
      </c>
      <c r="J7620" s="5" t="str">
        <f t="shared" si="909"/>
        <v>2100</v>
      </c>
      <c r="K7620" s="5" t="str">
        <f t="shared" si="910"/>
        <v>000</v>
      </c>
      <c r="L7620" s="5">
        <f t="shared" si="911"/>
        <v>7</v>
      </c>
      <c r="M7620" s="5">
        <f t="shared" si="912"/>
        <v>2013</v>
      </c>
    </row>
    <row r="7621" spans="1:13" ht="15" x14ac:dyDescent="0.25">
      <c r="A7621" s="1">
        <f>DATE(2013,7,23)</f>
        <v>41478</v>
      </c>
      <c r="B7621" t="s">
        <v>24</v>
      </c>
      <c r="C7621" t="s">
        <v>8</v>
      </c>
      <c r="D7621" s="3">
        <v>1021.2644</v>
      </c>
      <c r="E7621" s="3">
        <v>0</v>
      </c>
      <c r="F7621" t="s">
        <v>45</v>
      </c>
      <c r="G7621" s="3">
        <f t="shared" si="906"/>
        <v>-1021.2644</v>
      </c>
      <c r="H7621" s="3">
        <f t="shared" si="907"/>
        <v>1021.2644</v>
      </c>
      <c r="I7621" s="5" t="str">
        <f t="shared" si="908"/>
        <v>019</v>
      </c>
      <c r="J7621" s="5" t="str">
        <f t="shared" si="909"/>
        <v>2210</v>
      </c>
      <c r="K7621" s="5" t="str">
        <f t="shared" si="910"/>
        <v>000</v>
      </c>
      <c r="L7621" s="5">
        <f t="shared" si="911"/>
        <v>7</v>
      </c>
      <c r="M7621" s="5">
        <f t="shared" si="912"/>
        <v>2013</v>
      </c>
    </row>
    <row r="7622" spans="1:13" ht="15" x14ac:dyDescent="0.25">
      <c r="A7622" s="1">
        <f>DATE(2013,7,23)</f>
        <v>41478</v>
      </c>
      <c r="B7622" t="s">
        <v>25</v>
      </c>
      <c r="C7622" t="s">
        <v>9</v>
      </c>
      <c r="D7622" s="3">
        <v>171.62400000000002</v>
      </c>
      <c r="E7622" s="3">
        <v>0</v>
      </c>
      <c r="F7622" t="s">
        <v>45</v>
      </c>
      <c r="G7622" s="3">
        <f t="shared" si="906"/>
        <v>-171.62400000000002</v>
      </c>
      <c r="H7622" s="3">
        <f t="shared" si="907"/>
        <v>171.62400000000002</v>
      </c>
      <c r="I7622" s="5" t="str">
        <f t="shared" si="908"/>
        <v>019</v>
      </c>
      <c r="J7622" s="5" t="str">
        <f t="shared" si="909"/>
        <v>2220</v>
      </c>
      <c r="K7622" s="5" t="str">
        <f t="shared" si="910"/>
        <v>000</v>
      </c>
      <c r="L7622" s="5">
        <f t="shared" si="911"/>
        <v>7</v>
      </c>
      <c r="M7622" s="5">
        <f t="shared" si="912"/>
        <v>2013</v>
      </c>
    </row>
    <row r="7623" spans="1:13" ht="15" x14ac:dyDescent="0.25">
      <c r="A7623" s="1">
        <f>DATE(2013,7,23)</f>
        <v>41478</v>
      </c>
      <c r="B7623" t="s">
        <v>26</v>
      </c>
      <c r="C7623" t="s">
        <v>10</v>
      </c>
      <c r="D7623" s="3">
        <v>10.1556</v>
      </c>
      <c r="E7623" s="3">
        <v>0</v>
      </c>
      <c r="F7623" t="s">
        <v>45</v>
      </c>
      <c r="G7623" s="3">
        <f t="shared" si="906"/>
        <v>-10.1556</v>
      </c>
      <c r="H7623" s="3">
        <f t="shared" si="907"/>
        <v>10.1556</v>
      </c>
      <c r="I7623" s="5" t="str">
        <f t="shared" si="908"/>
        <v>019</v>
      </c>
      <c r="J7623" s="5" t="str">
        <f t="shared" si="909"/>
        <v>2230</v>
      </c>
      <c r="K7623" s="5" t="str">
        <f t="shared" si="910"/>
        <v>000</v>
      </c>
      <c r="L7623" s="5">
        <f t="shared" si="911"/>
        <v>7</v>
      </c>
      <c r="M7623" s="5">
        <f t="shared" si="912"/>
        <v>2013</v>
      </c>
    </row>
    <row r="7624" spans="1:13" ht="15" x14ac:dyDescent="0.25">
      <c r="A7624" s="1">
        <f>DATE(2013,7,24)</f>
        <v>41479</v>
      </c>
      <c r="B7624" t="s">
        <v>23</v>
      </c>
      <c r="C7624" t="s">
        <v>6</v>
      </c>
      <c r="D7624" s="3">
        <v>5144.7674999999999</v>
      </c>
      <c r="E7624" s="3">
        <v>0</v>
      </c>
      <c r="F7624" t="s">
        <v>45</v>
      </c>
      <c r="G7624" s="3">
        <f t="shared" si="906"/>
        <v>-5144.7674999999999</v>
      </c>
      <c r="H7624" s="3">
        <f t="shared" si="907"/>
        <v>5144.7674999999999</v>
      </c>
      <c r="I7624" s="5" t="str">
        <f t="shared" si="908"/>
        <v>019</v>
      </c>
      <c r="J7624" s="5" t="str">
        <f t="shared" si="909"/>
        <v>2100</v>
      </c>
      <c r="K7624" s="5" t="str">
        <f t="shared" si="910"/>
        <v>000</v>
      </c>
      <c r="L7624" s="5">
        <f t="shared" si="911"/>
        <v>7</v>
      </c>
      <c r="M7624" s="5">
        <f t="shared" si="912"/>
        <v>2013</v>
      </c>
    </row>
    <row r="7625" spans="1:13" ht="15" x14ac:dyDescent="0.25">
      <c r="A7625" s="1">
        <f>DATE(2013,7,24)</f>
        <v>41479</v>
      </c>
      <c r="B7625" t="s">
        <v>24</v>
      </c>
      <c r="C7625" t="s">
        <v>8</v>
      </c>
      <c r="D7625" s="3">
        <v>1133.2728</v>
      </c>
      <c r="E7625" s="3">
        <v>0</v>
      </c>
      <c r="F7625" t="s">
        <v>45</v>
      </c>
      <c r="G7625" s="3">
        <f t="shared" si="906"/>
        <v>-1133.2728</v>
      </c>
      <c r="H7625" s="3">
        <f t="shared" si="907"/>
        <v>1133.2728</v>
      </c>
      <c r="I7625" s="5" t="str">
        <f t="shared" si="908"/>
        <v>019</v>
      </c>
      <c r="J7625" s="5" t="str">
        <f t="shared" si="909"/>
        <v>2210</v>
      </c>
      <c r="K7625" s="5" t="str">
        <f t="shared" si="910"/>
        <v>000</v>
      </c>
      <c r="L7625" s="5">
        <f t="shared" si="911"/>
        <v>7</v>
      </c>
      <c r="M7625" s="5">
        <f t="shared" si="912"/>
        <v>2013</v>
      </c>
    </row>
    <row r="7626" spans="1:13" ht="15" x14ac:dyDescent="0.25">
      <c r="A7626" s="1">
        <f>DATE(2013,7,24)</f>
        <v>41479</v>
      </c>
      <c r="B7626" t="s">
        <v>25</v>
      </c>
      <c r="C7626" t="s">
        <v>9</v>
      </c>
      <c r="D7626" s="3">
        <v>211.16600000000003</v>
      </c>
      <c r="E7626" s="3">
        <v>0</v>
      </c>
      <c r="F7626" t="s">
        <v>45</v>
      </c>
      <c r="G7626" s="3">
        <f t="shared" si="906"/>
        <v>-211.16600000000003</v>
      </c>
      <c r="H7626" s="3">
        <f t="shared" si="907"/>
        <v>211.16600000000003</v>
      </c>
      <c r="I7626" s="5" t="str">
        <f t="shared" si="908"/>
        <v>019</v>
      </c>
      <c r="J7626" s="5" t="str">
        <f t="shared" si="909"/>
        <v>2220</v>
      </c>
      <c r="K7626" s="5" t="str">
        <f t="shared" si="910"/>
        <v>000</v>
      </c>
      <c r="L7626" s="5">
        <f t="shared" si="911"/>
        <v>7</v>
      </c>
      <c r="M7626" s="5">
        <f t="shared" si="912"/>
        <v>2013</v>
      </c>
    </row>
    <row r="7627" spans="1:13" ht="15" x14ac:dyDescent="0.25">
      <c r="A7627" s="1">
        <f>DATE(2013,7,24)</f>
        <v>41479</v>
      </c>
      <c r="B7627" t="s">
        <v>26</v>
      </c>
      <c r="C7627" t="s">
        <v>10</v>
      </c>
      <c r="D7627" s="3">
        <v>41.951199999999993</v>
      </c>
      <c r="E7627" s="3">
        <v>0</v>
      </c>
      <c r="F7627" t="s">
        <v>45</v>
      </c>
      <c r="G7627" s="3">
        <f t="shared" si="906"/>
        <v>-41.951199999999993</v>
      </c>
      <c r="H7627" s="3">
        <f t="shared" si="907"/>
        <v>41.951199999999993</v>
      </c>
      <c r="I7627" s="5" t="str">
        <f t="shared" si="908"/>
        <v>019</v>
      </c>
      <c r="J7627" s="5" t="str">
        <f t="shared" si="909"/>
        <v>2230</v>
      </c>
      <c r="K7627" s="5" t="str">
        <f t="shared" si="910"/>
        <v>000</v>
      </c>
      <c r="L7627" s="5">
        <f t="shared" si="911"/>
        <v>7</v>
      </c>
      <c r="M7627" s="5">
        <f t="shared" si="912"/>
        <v>2013</v>
      </c>
    </row>
    <row r="7628" spans="1:13" ht="15" x14ac:dyDescent="0.25">
      <c r="A7628" s="1">
        <f>DATE(2013,7,25)</f>
        <v>41480</v>
      </c>
      <c r="B7628" t="s">
        <v>23</v>
      </c>
      <c r="C7628" t="s">
        <v>6</v>
      </c>
      <c r="D7628" s="3">
        <v>5758.5420000000004</v>
      </c>
      <c r="E7628" s="3">
        <v>0</v>
      </c>
      <c r="F7628" t="s">
        <v>45</v>
      </c>
      <c r="G7628" s="3">
        <f t="shared" si="906"/>
        <v>-5758.5420000000004</v>
      </c>
      <c r="H7628" s="3">
        <f t="shared" si="907"/>
        <v>5758.5420000000004</v>
      </c>
      <c r="I7628" s="5" t="str">
        <f t="shared" si="908"/>
        <v>019</v>
      </c>
      <c r="J7628" s="5" t="str">
        <f t="shared" si="909"/>
        <v>2100</v>
      </c>
      <c r="K7628" s="5" t="str">
        <f t="shared" si="910"/>
        <v>000</v>
      </c>
      <c r="L7628" s="5">
        <f t="shared" si="911"/>
        <v>7</v>
      </c>
      <c r="M7628" s="5">
        <f t="shared" si="912"/>
        <v>2013</v>
      </c>
    </row>
    <row r="7629" spans="1:13" ht="15" x14ac:dyDescent="0.25">
      <c r="A7629" s="1">
        <f>DATE(2013,7,25)</f>
        <v>41480</v>
      </c>
      <c r="B7629" t="s">
        <v>24</v>
      </c>
      <c r="C7629" t="s">
        <v>8</v>
      </c>
      <c r="D7629" s="3">
        <v>1484.1591000000001</v>
      </c>
      <c r="E7629" s="3">
        <v>0</v>
      </c>
      <c r="F7629" t="s">
        <v>45</v>
      </c>
      <c r="G7629" s="3">
        <f t="shared" si="906"/>
        <v>-1484.1591000000001</v>
      </c>
      <c r="H7629" s="3">
        <f t="shared" si="907"/>
        <v>1484.1591000000001</v>
      </c>
      <c r="I7629" s="5" t="str">
        <f t="shared" si="908"/>
        <v>019</v>
      </c>
      <c r="J7629" s="5" t="str">
        <f t="shared" si="909"/>
        <v>2210</v>
      </c>
      <c r="K7629" s="5" t="str">
        <f t="shared" si="910"/>
        <v>000</v>
      </c>
      <c r="L7629" s="5">
        <f t="shared" si="911"/>
        <v>7</v>
      </c>
      <c r="M7629" s="5">
        <f t="shared" si="912"/>
        <v>2013</v>
      </c>
    </row>
    <row r="7630" spans="1:13" ht="15" x14ac:dyDescent="0.25">
      <c r="A7630" s="1">
        <f>DATE(2013,7,25)</f>
        <v>41480</v>
      </c>
      <c r="B7630" t="s">
        <v>25</v>
      </c>
      <c r="C7630" t="s">
        <v>9</v>
      </c>
      <c r="D7630" s="3">
        <v>242.87500000000003</v>
      </c>
      <c r="E7630" s="3">
        <v>0</v>
      </c>
      <c r="F7630" t="s">
        <v>45</v>
      </c>
      <c r="G7630" s="3">
        <f t="shared" si="906"/>
        <v>-242.87500000000003</v>
      </c>
      <c r="H7630" s="3">
        <f t="shared" si="907"/>
        <v>242.87500000000003</v>
      </c>
      <c r="I7630" s="5" t="str">
        <f t="shared" si="908"/>
        <v>019</v>
      </c>
      <c r="J7630" s="5" t="str">
        <f t="shared" si="909"/>
        <v>2220</v>
      </c>
      <c r="K7630" s="5" t="str">
        <f t="shared" si="910"/>
        <v>000</v>
      </c>
      <c r="L7630" s="5">
        <f t="shared" si="911"/>
        <v>7</v>
      </c>
      <c r="M7630" s="5">
        <f t="shared" si="912"/>
        <v>2013</v>
      </c>
    </row>
    <row r="7631" spans="1:13" ht="15" x14ac:dyDescent="0.25">
      <c r="A7631" s="1">
        <f>DATE(2013,7,25)</f>
        <v>41480</v>
      </c>
      <c r="B7631" t="s">
        <v>26</v>
      </c>
      <c r="C7631" t="s">
        <v>10</v>
      </c>
      <c r="D7631" s="3">
        <v>39.573</v>
      </c>
      <c r="E7631" s="3">
        <v>0</v>
      </c>
      <c r="F7631" t="s">
        <v>45</v>
      </c>
      <c r="G7631" s="3">
        <f t="shared" si="906"/>
        <v>-39.573</v>
      </c>
      <c r="H7631" s="3">
        <f t="shared" si="907"/>
        <v>39.573</v>
      </c>
      <c r="I7631" s="5" t="str">
        <f t="shared" si="908"/>
        <v>019</v>
      </c>
      <c r="J7631" s="5" t="str">
        <f t="shared" si="909"/>
        <v>2230</v>
      </c>
      <c r="K7631" s="5" t="str">
        <f t="shared" si="910"/>
        <v>000</v>
      </c>
      <c r="L7631" s="5">
        <f t="shared" si="911"/>
        <v>7</v>
      </c>
      <c r="M7631" s="5">
        <f t="shared" si="912"/>
        <v>2013</v>
      </c>
    </row>
    <row r="7632" spans="1:13" ht="15" x14ac:dyDescent="0.25">
      <c r="A7632" s="1">
        <f>DATE(2013,7,26)</f>
        <v>41481</v>
      </c>
      <c r="B7632" t="s">
        <v>23</v>
      </c>
      <c r="C7632" t="s">
        <v>6</v>
      </c>
      <c r="D7632" s="3">
        <v>7460.3288000000002</v>
      </c>
      <c r="E7632" s="3">
        <v>0</v>
      </c>
      <c r="F7632" t="s">
        <v>45</v>
      </c>
      <c r="G7632" s="3">
        <f t="shared" si="906"/>
        <v>-7460.3288000000002</v>
      </c>
      <c r="H7632" s="3">
        <f t="shared" si="907"/>
        <v>7460.3288000000002</v>
      </c>
      <c r="I7632" s="5" t="str">
        <f t="shared" si="908"/>
        <v>019</v>
      </c>
      <c r="J7632" s="5" t="str">
        <f t="shared" si="909"/>
        <v>2100</v>
      </c>
      <c r="K7632" s="5" t="str">
        <f t="shared" si="910"/>
        <v>000</v>
      </c>
      <c r="L7632" s="5">
        <f t="shared" si="911"/>
        <v>7</v>
      </c>
      <c r="M7632" s="5">
        <f t="shared" si="912"/>
        <v>2013</v>
      </c>
    </row>
    <row r="7633" spans="1:13" ht="15" x14ac:dyDescent="0.25">
      <c r="A7633" s="1">
        <f>DATE(2013,7,26)</f>
        <v>41481</v>
      </c>
      <c r="B7633" t="s">
        <v>24</v>
      </c>
      <c r="C7633" t="s">
        <v>8</v>
      </c>
      <c r="D7633" s="3">
        <v>3333.8851000000004</v>
      </c>
      <c r="E7633" s="3">
        <v>0</v>
      </c>
      <c r="F7633" t="s">
        <v>45</v>
      </c>
      <c r="G7633" s="3">
        <f t="shared" si="906"/>
        <v>-3333.8851000000004</v>
      </c>
      <c r="H7633" s="3">
        <f t="shared" si="907"/>
        <v>3333.8851000000004</v>
      </c>
      <c r="I7633" s="5" t="str">
        <f t="shared" si="908"/>
        <v>019</v>
      </c>
      <c r="J7633" s="5" t="str">
        <f t="shared" si="909"/>
        <v>2210</v>
      </c>
      <c r="K7633" s="5" t="str">
        <f t="shared" si="910"/>
        <v>000</v>
      </c>
      <c r="L7633" s="5">
        <f t="shared" si="911"/>
        <v>7</v>
      </c>
      <c r="M7633" s="5">
        <f t="shared" si="912"/>
        <v>2013</v>
      </c>
    </row>
    <row r="7634" spans="1:13" ht="15" x14ac:dyDescent="0.25">
      <c r="A7634" s="1">
        <f>DATE(2013,7,26)</f>
        <v>41481</v>
      </c>
      <c r="B7634" t="s">
        <v>25</v>
      </c>
      <c r="C7634" t="s">
        <v>9</v>
      </c>
      <c r="D7634" s="3">
        <v>363.97800000000001</v>
      </c>
      <c r="E7634" s="3">
        <v>0</v>
      </c>
      <c r="F7634" t="s">
        <v>45</v>
      </c>
      <c r="G7634" s="3">
        <f t="shared" si="906"/>
        <v>-363.97800000000001</v>
      </c>
      <c r="H7634" s="3">
        <f t="shared" si="907"/>
        <v>363.97800000000001</v>
      </c>
      <c r="I7634" s="5" t="str">
        <f t="shared" si="908"/>
        <v>019</v>
      </c>
      <c r="J7634" s="5" t="str">
        <f t="shared" si="909"/>
        <v>2220</v>
      </c>
      <c r="K7634" s="5" t="str">
        <f t="shared" si="910"/>
        <v>000</v>
      </c>
      <c r="L7634" s="5">
        <f t="shared" si="911"/>
        <v>7</v>
      </c>
      <c r="M7634" s="5">
        <f t="shared" si="912"/>
        <v>2013</v>
      </c>
    </row>
    <row r="7635" spans="1:13" ht="15" x14ac:dyDescent="0.25">
      <c r="A7635" s="1">
        <f>DATE(2013,7,26)</f>
        <v>41481</v>
      </c>
      <c r="B7635" t="s">
        <v>26</v>
      </c>
      <c r="C7635" t="s">
        <v>10</v>
      </c>
      <c r="D7635" s="3">
        <v>64.428000000000011</v>
      </c>
      <c r="E7635" s="3">
        <v>0</v>
      </c>
      <c r="F7635" t="s">
        <v>45</v>
      </c>
      <c r="G7635" s="3">
        <f t="shared" si="906"/>
        <v>-64.428000000000011</v>
      </c>
      <c r="H7635" s="3">
        <f t="shared" si="907"/>
        <v>64.428000000000011</v>
      </c>
      <c r="I7635" s="5" t="str">
        <f t="shared" si="908"/>
        <v>019</v>
      </c>
      <c r="J7635" s="5" t="str">
        <f t="shared" si="909"/>
        <v>2230</v>
      </c>
      <c r="K7635" s="5" t="str">
        <f t="shared" si="910"/>
        <v>000</v>
      </c>
      <c r="L7635" s="5">
        <f t="shared" si="911"/>
        <v>7</v>
      </c>
      <c r="M7635" s="5">
        <f t="shared" si="912"/>
        <v>2013</v>
      </c>
    </row>
    <row r="7636" spans="1:13" ht="15" x14ac:dyDescent="0.25">
      <c r="A7636" s="1">
        <f>DATE(2013,7,27)</f>
        <v>41482</v>
      </c>
      <c r="B7636" t="s">
        <v>23</v>
      </c>
      <c r="C7636" t="s">
        <v>6</v>
      </c>
      <c r="D7636" s="3">
        <v>5619.7256999999991</v>
      </c>
      <c r="E7636" s="3">
        <v>0</v>
      </c>
      <c r="F7636" t="s">
        <v>45</v>
      </c>
      <c r="G7636" s="3">
        <f t="shared" si="906"/>
        <v>-5619.7256999999991</v>
      </c>
      <c r="H7636" s="3">
        <f t="shared" si="907"/>
        <v>5619.7256999999991</v>
      </c>
      <c r="I7636" s="5" t="str">
        <f t="shared" si="908"/>
        <v>019</v>
      </c>
      <c r="J7636" s="5" t="str">
        <f t="shared" si="909"/>
        <v>2100</v>
      </c>
      <c r="K7636" s="5" t="str">
        <f t="shared" si="910"/>
        <v>000</v>
      </c>
      <c r="L7636" s="5">
        <f t="shared" si="911"/>
        <v>7</v>
      </c>
      <c r="M7636" s="5">
        <f t="shared" si="912"/>
        <v>2013</v>
      </c>
    </row>
    <row r="7637" spans="1:13" ht="15" x14ac:dyDescent="0.25">
      <c r="A7637" s="1">
        <f>DATE(2013,7,27)</f>
        <v>41482</v>
      </c>
      <c r="B7637" t="s">
        <v>24</v>
      </c>
      <c r="C7637" t="s">
        <v>8</v>
      </c>
      <c r="D7637" s="3">
        <v>2516.0158000000001</v>
      </c>
      <c r="E7637" s="3">
        <v>0</v>
      </c>
      <c r="F7637" t="s">
        <v>45</v>
      </c>
      <c r="G7637" s="3">
        <f t="shared" si="906"/>
        <v>-2516.0158000000001</v>
      </c>
      <c r="H7637" s="3">
        <f t="shared" si="907"/>
        <v>2516.0158000000001</v>
      </c>
      <c r="I7637" s="5" t="str">
        <f t="shared" si="908"/>
        <v>019</v>
      </c>
      <c r="J7637" s="5" t="str">
        <f t="shared" si="909"/>
        <v>2210</v>
      </c>
      <c r="K7637" s="5" t="str">
        <f t="shared" si="910"/>
        <v>000</v>
      </c>
      <c r="L7637" s="5">
        <f t="shared" si="911"/>
        <v>7</v>
      </c>
      <c r="M7637" s="5">
        <f t="shared" si="912"/>
        <v>2013</v>
      </c>
    </row>
    <row r="7638" spans="1:13" ht="15" x14ac:dyDescent="0.25">
      <c r="A7638" s="1">
        <f>DATE(2013,7,27)</f>
        <v>41482</v>
      </c>
      <c r="B7638" t="s">
        <v>25</v>
      </c>
      <c r="C7638" t="s">
        <v>9</v>
      </c>
      <c r="D7638" s="3">
        <v>527.95399999999995</v>
      </c>
      <c r="E7638" s="3">
        <v>0</v>
      </c>
      <c r="F7638" t="s">
        <v>45</v>
      </c>
      <c r="G7638" s="3">
        <f t="shared" si="906"/>
        <v>-527.95399999999995</v>
      </c>
      <c r="H7638" s="3">
        <f t="shared" si="907"/>
        <v>527.95399999999995</v>
      </c>
      <c r="I7638" s="5" t="str">
        <f t="shared" si="908"/>
        <v>019</v>
      </c>
      <c r="J7638" s="5" t="str">
        <f t="shared" si="909"/>
        <v>2220</v>
      </c>
      <c r="K7638" s="5" t="str">
        <f t="shared" si="910"/>
        <v>000</v>
      </c>
      <c r="L7638" s="5">
        <f t="shared" si="911"/>
        <v>7</v>
      </c>
      <c r="M7638" s="5">
        <f t="shared" si="912"/>
        <v>2013</v>
      </c>
    </row>
    <row r="7639" spans="1:13" ht="15" x14ac:dyDescent="0.25">
      <c r="A7639" s="1">
        <f>DATE(2013,7,27)</f>
        <v>41482</v>
      </c>
      <c r="B7639" t="s">
        <v>26</v>
      </c>
      <c r="C7639" t="s">
        <v>10</v>
      </c>
      <c r="D7639" s="3">
        <v>86.977399999999989</v>
      </c>
      <c r="E7639" s="3">
        <v>0</v>
      </c>
      <c r="F7639" t="s">
        <v>45</v>
      </c>
      <c r="G7639" s="3">
        <f t="shared" si="906"/>
        <v>-86.977399999999989</v>
      </c>
      <c r="H7639" s="3">
        <f t="shared" si="907"/>
        <v>86.977399999999989</v>
      </c>
      <c r="I7639" s="5" t="str">
        <f t="shared" si="908"/>
        <v>019</v>
      </c>
      <c r="J7639" s="5" t="str">
        <f t="shared" si="909"/>
        <v>2230</v>
      </c>
      <c r="K7639" s="5" t="str">
        <f t="shared" si="910"/>
        <v>000</v>
      </c>
      <c r="L7639" s="5">
        <f t="shared" si="911"/>
        <v>7</v>
      </c>
      <c r="M7639" s="5">
        <f t="shared" si="912"/>
        <v>2013</v>
      </c>
    </row>
    <row r="7640" spans="1:13" ht="15" x14ac:dyDescent="0.25">
      <c r="A7640" s="1">
        <f t="shared" ref="A7640:A7643" si="913">DATE(2013,7,28)</f>
        <v>41483</v>
      </c>
      <c r="B7640" t="s">
        <v>23</v>
      </c>
      <c r="C7640" t="s">
        <v>6</v>
      </c>
      <c r="D7640" s="3">
        <v>4931.8191999999999</v>
      </c>
      <c r="E7640" s="3">
        <v>0</v>
      </c>
      <c r="F7640" t="s">
        <v>45</v>
      </c>
      <c r="G7640" s="3">
        <f t="shared" si="906"/>
        <v>-4931.8191999999999</v>
      </c>
      <c r="H7640" s="3">
        <f t="shared" si="907"/>
        <v>4931.8191999999999</v>
      </c>
      <c r="I7640" s="5" t="str">
        <f t="shared" si="908"/>
        <v>019</v>
      </c>
      <c r="J7640" s="5" t="str">
        <f t="shared" si="909"/>
        <v>2100</v>
      </c>
      <c r="K7640" s="5" t="str">
        <f t="shared" si="910"/>
        <v>000</v>
      </c>
      <c r="L7640" s="5">
        <f t="shared" si="911"/>
        <v>7</v>
      </c>
      <c r="M7640" s="5">
        <f t="shared" si="912"/>
        <v>2013</v>
      </c>
    </row>
    <row r="7641" spans="1:13" ht="15" x14ac:dyDescent="0.25">
      <c r="A7641" s="1">
        <f t="shared" si="913"/>
        <v>41483</v>
      </c>
      <c r="B7641" t="s">
        <v>24</v>
      </c>
      <c r="C7641" t="s">
        <v>8</v>
      </c>
      <c r="D7641" s="3">
        <v>1256.5992000000001</v>
      </c>
      <c r="E7641" s="3">
        <v>0</v>
      </c>
      <c r="F7641" t="s">
        <v>45</v>
      </c>
      <c r="G7641" s="3">
        <f t="shared" si="906"/>
        <v>-1256.5992000000001</v>
      </c>
      <c r="H7641" s="3">
        <f t="shared" si="907"/>
        <v>1256.5992000000001</v>
      </c>
      <c r="I7641" s="5" t="str">
        <f t="shared" si="908"/>
        <v>019</v>
      </c>
      <c r="J7641" s="5" t="str">
        <f t="shared" si="909"/>
        <v>2210</v>
      </c>
      <c r="K7641" s="5" t="str">
        <f t="shared" si="910"/>
        <v>000</v>
      </c>
      <c r="L7641" s="5">
        <f t="shared" si="911"/>
        <v>7</v>
      </c>
      <c r="M7641" s="5">
        <f t="shared" si="912"/>
        <v>2013</v>
      </c>
    </row>
    <row r="7642" spans="1:13" ht="15" x14ac:dyDescent="0.25">
      <c r="A7642" s="1">
        <f t="shared" si="913"/>
        <v>41483</v>
      </c>
      <c r="B7642" t="s">
        <v>25</v>
      </c>
      <c r="C7642" t="s">
        <v>9</v>
      </c>
      <c r="D7642" s="3">
        <v>312.67600000000004</v>
      </c>
      <c r="E7642" s="3">
        <v>0</v>
      </c>
      <c r="F7642" t="s">
        <v>45</v>
      </c>
      <c r="G7642" s="3">
        <f t="shared" si="906"/>
        <v>-312.67600000000004</v>
      </c>
      <c r="H7642" s="3">
        <f t="shared" si="907"/>
        <v>312.67600000000004</v>
      </c>
      <c r="I7642" s="5" t="str">
        <f t="shared" si="908"/>
        <v>019</v>
      </c>
      <c r="J7642" s="5" t="str">
        <f t="shared" si="909"/>
        <v>2220</v>
      </c>
      <c r="K7642" s="5" t="str">
        <f t="shared" si="910"/>
        <v>000</v>
      </c>
      <c r="L7642" s="5">
        <f t="shared" si="911"/>
        <v>7</v>
      </c>
      <c r="M7642" s="5">
        <f t="shared" si="912"/>
        <v>2013</v>
      </c>
    </row>
    <row r="7643" spans="1:13" ht="15" x14ac:dyDescent="0.25">
      <c r="A7643" s="1">
        <f t="shared" si="913"/>
        <v>41483</v>
      </c>
      <c r="B7643" t="s">
        <v>26</v>
      </c>
      <c r="C7643" t="s">
        <v>10</v>
      </c>
      <c r="D7643" s="3">
        <v>129.0795</v>
      </c>
      <c r="E7643" s="3">
        <v>0</v>
      </c>
      <c r="F7643" t="s">
        <v>45</v>
      </c>
      <c r="G7643" s="3">
        <f t="shared" si="906"/>
        <v>-129.0795</v>
      </c>
      <c r="H7643" s="3">
        <f t="shared" si="907"/>
        <v>129.0795</v>
      </c>
      <c r="I7643" s="5" t="str">
        <f t="shared" si="908"/>
        <v>019</v>
      </c>
      <c r="J7643" s="5" t="str">
        <f t="shared" si="909"/>
        <v>2230</v>
      </c>
      <c r="K7643" s="5" t="str">
        <f t="shared" si="910"/>
        <v>000</v>
      </c>
      <c r="L7643" s="5">
        <f t="shared" si="911"/>
        <v>7</v>
      </c>
      <c r="M7643" s="5">
        <f t="shared" si="912"/>
        <v>2013</v>
      </c>
    </row>
    <row r="7644" spans="1:13" ht="15" x14ac:dyDescent="0.25">
      <c r="A7644" s="1">
        <f>DATE(2013,7,29)</f>
        <v>41484</v>
      </c>
      <c r="B7644" t="s">
        <v>11</v>
      </c>
      <c r="C7644" t="s">
        <v>6</v>
      </c>
      <c r="D7644" s="3">
        <v>1774.2144000000001</v>
      </c>
      <c r="E7644" s="3">
        <v>0</v>
      </c>
      <c r="F7644" t="s">
        <v>45</v>
      </c>
      <c r="G7644" s="3">
        <f t="shared" si="906"/>
        <v>-1774.2144000000001</v>
      </c>
      <c r="H7644" s="3">
        <f t="shared" si="907"/>
        <v>1774.2144000000001</v>
      </c>
      <c r="I7644" s="5" t="str">
        <f t="shared" si="908"/>
        <v>016</v>
      </c>
      <c r="J7644" s="5" t="str">
        <f t="shared" si="909"/>
        <v>2100</v>
      </c>
      <c r="K7644" s="5" t="str">
        <f t="shared" si="910"/>
        <v>000</v>
      </c>
      <c r="L7644" s="5">
        <f t="shared" si="911"/>
        <v>7</v>
      </c>
      <c r="M7644" s="5">
        <f t="shared" si="912"/>
        <v>2013</v>
      </c>
    </row>
    <row r="7645" spans="1:13" ht="15" x14ac:dyDescent="0.25">
      <c r="A7645" s="1">
        <f>DATE(2013,7,29)</f>
        <v>41484</v>
      </c>
      <c r="B7645" t="s">
        <v>12</v>
      </c>
      <c r="C7645" t="s">
        <v>8</v>
      </c>
      <c r="D7645" s="3">
        <v>334.04789999999997</v>
      </c>
      <c r="E7645" s="3">
        <v>0</v>
      </c>
      <c r="F7645" t="s">
        <v>45</v>
      </c>
      <c r="G7645" s="3">
        <f t="shared" si="906"/>
        <v>-334.04789999999997</v>
      </c>
      <c r="H7645" s="3">
        <f t="shared" si="907"/>
        <v>334.04789999999997</v>
      </c>
      <c r="I7645" s="5" t="str">
        <f t="shared" si="908"/>
        <v>016</v>
      </c>
      <c r="J7645" s="5" t="str">
        <f t="shared" si="909"/>
        <v>2210</v>
      </c>
      <c r="K7645" s="5" t="str">
        <f t="shared" si="910"/>
        <v>000</v>
      </c>
      <c r="L7645" s="5">
        <f t="shared" si="911"/>
        <v>7</v>
      </c>
      <c r="M7645" s="5">
        <f t="shared" si="912"/>
        <v>2013</v>
      </c>
    </row>
    <row r="7646" spans="1:13" ht="15" x14ac:dyDescent="0.25">
      <c r="A7646" s="1">
        <f>DATE(2013,7,29)</f>
        <v>41484</v>
      </c>
      <c r="B7646" t="s">
        <v>13</v>
      </c>
      <c r="C7646" t="s">
        <v>9</v>
      </c>
      <c r="D7646" s="3">
        <v>99.626199999999997</v>
      </c>
      <c r="E7646" s="3">
        <v>0</v>
      </c>
      <c r="F7646" t="s">
        <v>45</v>
      </c>
      <c r="G7646" s="3">
        <f t="shared" si="906"/>
        <v>-99.626199999999997</v>
      </c>
      <c r="H7646" s="3">
        <f t="shared" si="907"/>
        <v>99.626199999999997</v>
      </c>
      <c r="I7646" s="5" t="str">
        <f t="shared" si="908"/>
        <v>016</v>
      </c>
      <c r="J7646" s="5" t="str">
        <f t="shared" si="909"/>
        <v>2220</v>
      </c>
      <c r="K7646" s="5" t="str">
        <f t="shared" si="910"/>
        <v>000</v>
      </c>
      <c r="L7646" s="5">
        <f t="shared" si="911"/>
        <v>7</v>
      </c>
      <c r="M7646" s="5">
        <f t="shared" si="912"/>
        <v>2013</v>
      </c>
    </row>
    <row r="7647" spans="1:13" ht="15" x14ac:dyDescent="0.25">
      <c r="A7647" s="1">
        <f>DATE(2013,7,29)</f>
        <v>41484</v>
      </c>
      <c r="B7647" t="s">
        <v>14</v>
      </c>
      <c r="C7647" t="s">
        <v>10</v>
      </c>
      <c r="D7647" s="3">
        <v>60.837299999999999</v>
      </c>
      <c r="E7647" s="3">
        <v>0</v>
      </c>
      <c r="F7647" t="s">
        <v>45</v>
      </c>
      <c r="G7647" s="3">
        <f t="shared" si="906"/>
        <v>-60.837299999999999</v>
      </c>
      <c r="H7647" s="3">
        <f t="shared" si="907"/>
        <v>60.837299999999999</v>
      </c>
      <c r="I7647" s="5" t="str">
        <f t="shared" si="908"/>
        <v>016</v>
      </c>
      <c r="J7647" s="5" t="str">
        <f t="shared" si="909"/>
        <v>2230</v>
      </c>
      <c r="K7647" s="5" t="str">
        <f t="shared" si="910"/>
        <v>000</v>
      </c>
      <c r="L7647" s="5">
        <f t="shared" si="911"/>
        <v>7</v>
      </c>
      <c r="M7647" s="5">
        <f t="shared" si="912"/>
        <v>2013</v>
      </c>
    </row>
    <row r="7648" spans="1:13" ht="15" x14ac:dyDescent="0.25">
      <c r="A7648" s="1">
        <f>DATE(2013,7,30)</f>
        <v>41485</v>
      </c>
      <c r="B7648" t="s">
        <v>11</v>
      </c>
      <c r="C7648" t="s">
        <v>6</v>
      </c>
      <c r="D7648" s="3">
        <v>7427.6513999999997</v>
      </c>
      <c r="E7648" s="3">
        <v>0</v>
      </c>
      <c r="F7648" t="s">
        <v>45</v>
      </c>
      <c r="G7648" s="3">
        <f t="shared" si="906"/>
        <v>-7427.6513999999997</v>
      </c>
      <c r="H7648" s="3">
        <f t="shared" si="907"/>
        <v>7427.6513999999997</v>
      </c>
      <c r="I7648" s="5" t="str">
        <f t="shared" si="908"/>
        <v>016</v>
      </c>
      <c r="J7648" s="5" t="str">
        <f t="shared" si="909"/>
        <v>2100</v>
      </c>
      <c r="K7648" s="5" t="str">
        <f t="shared" si="910"/>
        <v>000</v>
      </c>
      <c r="L7648" s="5">
        <f t="shared" si="911"/>
        <v>7</v>
      </c>
      <c r="M7648" s="5">
        <f t="shared" si="912"/>
        <v>2013</v>
      </c>
    </row>
    <row r="7649" spans="1:13" ht="15" x14ac:dyDescent="0.25">
      <c r="A7649" s="1">
        <f>DATE(2013,7,30)</f>
        <v>41485</v>
      </c>
      <c r="B7649" t="s">
        <v>12</v>
      </c>
      <c r="C7649" t="s">
        <v>8</v>
      </c>
      <c r="D7649" s="3">
        <v>2574.2586000000001</v>
      </c>
      <c r="E7649" s="3">
        <v>0</v>
      </c>
      <c r="F7649" t="s">
        <v>45</v>
      </c>
      <c r="G7649" s="3">
        <f t="shared" si="906"/>
        <v>-2574.2586000000001</v>
      </c>
      <c r="H7649" s="3">
        <f t="shared" si="907"/>
        <v>2574.2586000000001</v>
      </c>
      <c r="I7649" s="5" t="str">
        <f t="shared" si="908"/>
        <v>016</v>
      </c>
      <c r="J7649" s="5" t="str">
        <f t="shared" si="909"/>
        <v>2210</v>
      </c>
      <c r="K7649" s="5" t="str">
        <f t="shared" si="910"/>
        <v>000</v>
      </c>
      <c r="L7649" s="5">
        <f t="shared" si="911"/>
        <v>7</v>
      </c>
      <c r="M7649" s="5">
        <f t="shared" si="912"/>
        <v>2013</v>
      </c>
    </row>
    <row r="7650" spans="1:13" ht="15" x14ac:dyDescent="0.25">
      <c r="A7650" s="1">
        <f>DATE(2013,7,30)</f>
        <v>41485</v>
      </c>
      <c r="B7650" t="s">
        <v>13</v>
      </c>
      <c r="C7650" t="s">
        <v>9</v>
      </c>
      <c r="D7650" s="3">
        <v>590.82799999999997</v>
      </c>
      <c r="E7650" s="3">
        <v>0</v>
      </c>
      <c r="F7650" t="s">
        <v>45</v>
      </c>
      <c r="G7650" s="3">
        <f t="shared" si="906"/>
        <v>-590.82799999999997</v>
      </c>
      <c r="H7650" s="3">
        <f t="shared" si="907"/>
        <v>590.82799999999997</v>
      </c>
      <c r="I7650" s="5" t="str">
        <f t="shared" si="908"/>
        <v>016</v>
      </c>
      <c r="J7650" s="5" t="str">
        <f t="shared" si="909"/>
        <v>2220</v>
      </c>
      <c r="K7650" s="5" t="str">
        <f t="shared" si="910"/>
        <v>000</v>
      </c>
      <c r="L7650" s="5">
        <f t="shared" si="911"/>
        <v>7</v>
      </c>
      <c r="M7650" s="5">
        <f t="shared" si="912"/>
        <v>2013</v>
      </c>
    </row>
    <row r="7651" spans="1:13" ht="15" x14ac:dyDescent="0.25">
      <c r="A7651" s="1">
        <f>DATE(2013,7,30)</f>
        <v>41485</v>
      </c>
      <c r="B7651" t="s">
        <v>14</v>
      </c>
      <c r="C7651" t="s">
        <v>10</v>
      </c>
      <c r="D7651" s="3">
        <v>171.32499999999999</v>
      </c>
      <c r="E7651" s="3">
        <v>0</v>
      </c>
      <c r="F7651" t="s">
        <v>45</v>
      </c>
      <c r="G7651" s="3">
        <f t="shared" si="906"/>
        <v>-171.32499999999999</v>
      </c>
      <c r="H7651" s="3">
        <f t="shared" si="907"/>
        <v>171.32499999999999</v>
      </c>
      <c r="I7651" s="5" t="str">
        <f t="shared" si="908"/>
        <v>016</v>
      </c>
      <c r="J7651" s="5" t="str">
        <f t="shared" si="909"/>
        <v>2230</v>
      </c>
      <c r="K7651" s="5" t="str">
        <f t="shared" si="910"/>
        <v>000</v>
      </c>
      <c r="L7651" s="5">
        <f t="shared" si="911"/>
        <v>7</v>
      </c>
      <c r="M7651" s="5">
        <f t="shared" si="912"/>
        <v>2013</v>
      </c>
    </row>
    <row r="7652" spans="1:13" ht="15" x14ac:dyDescent="0.25">
      <c r="A7652" s="1">
        <f>DATE(2013,7,31)</f>
        <v>41486</v>
      </c>
      <c r="B7652" t="s">
        <v>11</v>
      </c>
      <c r="C7652" t="s">
        <v>6</v>
      </c>
      <c r="D7652" s="3">
        <v>3555.8250000000003</v>
      </c>
      <c r="E7652" s="3">
        <v>0</v>
      </c>
      <c r="F7652" t="s">
        <v>45</v>
      </c>
      <c r="G7652" s="3">
        <f t="shared" si="906"/>
        <v>-3555.8250000000003</v>
      </c>
      <c r="H7652" s="3">
        <f t="shared" si="907"/>
        <v>3555.8250000000003</v>
      </c>
      <c r="I7652" s="5" t="str">
        <f t="shared" si="908"/>
        <v>016</v>
      </c>
      <c r="J7652" s="5" t="str">
        <f t="shared" si="909"/>
        <v>2100</v>
      </c>
      <c r="K7652" s="5" t="str">
        <f t="shared" si="910"/>
        <v>000</v>
      </c>
      <c r="L7652" s="5">
        <f t="shared" si="911"/>
        <v>7</v>
      </c>
      <c r="M7652" s="5">
        <f t="shared" si="912"/>
        <v>2013</v>
      </c>
    </row>
    <row r="7653" spans="1:13" ht="15" x14ac:dyDescent="0.25">
      <c r="A7653" s="1">
        <f>DATE(2013,7,31)</f>
        <v>41486</v>
      </c>
      <c r="B7653" t="s">
        <v>12</v>
      </c>
      <c r="C7653" t="s">
        <v>8</v>
      </c>
      <c r="D7653" s="3">
        <v>580.82749999999999</v>
      </c>
      <c r="E7653" s="3">
        <v>0</v>
      </c>
      <c r="F7653" t="s">
        <v>45</v>
      </c>
      <c r="G7653" s="3">
        <f t="shared" si="906"/>
        <v>-580.82749999999999</v>
      </c>
      <c r="H7653" s="3">
        <f t="shared" si="907"/>
        <v>580.82749999999999</v>
      </c>
      <c r="I7653" s="5" t="str">
        <f t="shared" si="908"/>
        <v>016</v>
      </c>
      <c r="J7653" s="5" t="str">
        <f t="shared" si="909"/>
        <v>2210</v>
      </c>
      <c r="K7653" s="5" t="str">
        <f t="shared" si="910"/>
        <v>000</v>
      </c>
      <c r="L7653" s="5">
        <f t="shared" si="911"/>
        <v>7</v>
      </c>
      <c r="M7653" s="5">
        <f t="shared" si="912"/>
        <v>2013</v>
      </c>
    </row>
    <row r="7654" spans="1:13" ht="15" x14ac:dyDescent="0.25">
      <c r="A7654" s="1">
        <f>DATE(2013,7,31)</f>
        <v>41486</v>
      </c>
      <c r="B7654" t="s">
        <v>13</v>
      </c>
      <c r="C7654" t="s">
        <v>9</v>
      </c>
      <c r="D7654" s="3">
        <v>165.33540000000002</v>
      </c>
      <c r="E7654" s="3">
        <v>0</v>
      </c>
      <c r="F7654" t="s">
        <v>45</v>
      </c>
      <c r="G7654" s="3">
        <f t="shared" si="906"/>
        <v>-165.33540000000002</v>
      </c>
      <c r="H7654" s="3">
        <f t="shared" si="907"/>
        <v>165.33540000000002</v>
      </c>
      <c r="I7654" s="5" t="str">
        <f t="shared" si="908"/>
        <v>016</v>
      </c>
      <c r="J7654" s="5" t="str">
        <f t="shared" si="909"/>
        <v>2220</v>
      </c>
      <c r="K7654" s="5" t="str">
        <f t="shared" si="910"/>
        <v>000</v>
      </c>
      <c r="L7654" s="5">
        <f t="shared" si="911"/>
        <v>7</v>
      </c>
      <c r="M7654" s="5">
        <f t="shared" si="912"/>
        <v>2013</v>
      </c>
    </row>
    <row r="7655" spans="1:13" ht="15" x14ac:dyDescent="0.25">
      <c r="A7655" s="1">
        <f>DATE(2013,7,31)</f>
        <v>41486</v>
      </c>
      <c r="B7655" t="s">
        <v>14</v>
      </c>
      <c r="C7655" t="s">
        <v>10</v>
      </c>
      <c r="D7655" s="3">
        <v>61.475999999999992</v>
      </c>
      <c r="E7655" s="3">
        <v>0</v>
      </c>
      <c r="F7655" t="s">
        <v>45</v>
      </c>
      <c r="G7655" s="3">
        <f t="shared" si="906"/>
        <v>-61.475999999999992</v>
      </c>
      <c r="H7655" s="3">
        <f t="shared" si="907"/>
        <v>61.475999999999992</v>
      </c>
      <c r="I7655" s="5" t="str">
        <f t="shared" si="908"/>
        <v>016</v>
      </c>
      <c r="J7655" s="5" t="str">
        <f t="shared" si="909"/>
        <v>2230</v>
      </c>
      <c r="K7655" s="5" t="str">
        <f t="shared" si="910"/>
        <v>000</v>
      </c>
      <c r="L7655" s="5">
        <f t="shared" si="911"/>
        <v>7</v>
      </c>
      <c r="M7655" s="5">
        <f t="shared" si="912"/>
        <v>2013</v>
      </c>
    </row>
    <row r="7656" spans="1:13" ht="15" x14ac:dyDescent="0.25">
      <c r="A7656" s="1">
        <f>DATE(2013,8,1)</f>
        <v>41487</v>
      </c>
      <c r="B7656" t="s">
        <v>11</v>
      </c>
      <c r="C7656" t="s">
        <v>6</v>
      </c>
      <c r="D7656" s="3">
        <v>4459.1670000000004</v>
      </c>
      <c r="E7656" s="3">
        <v>0</v>
      </c>
      <c r="F7656" t="s">
        <v>45</v>
      </c>
      <c r="G7656" s="3">
        <f t="shared" si="906"/>
        <v>-4459.1670000000004</v>
      </c>
      <c r="H7656" s="3">
        <f t="shared" si="907"/>
        <v>4459.1670000000004</v>
      </c>
      <c r="I7656" s="5" t="str">
        <f t="shared" si="908"/>
        <v>016</v>
      </c>
      <c r="J7656" s="5" t="str">
        <f t="shared" si="909"/>
        <v>2100</v>
      </c>
      <c r="K7656" s="5" t="str">
        <f t="shared" si="910"/>
        <v>000</v>
      </c>
      <c r="L7656" s="5">
        <f t="shared" si="911"/>
        <v>8</v>
      </c>
      <c r="M7656" s="5">
        <f t="shared" si="912"/>
        <v>2013</v>
      </c>
    </row>
    <row r="7657" spans="1:13" ht="15" x14ac:dyDescent="0.25">
      <c r="A7657" s="1">
        <f>DATE(2013,8,1)</f>
        <v>41487</v>
      </c>
      <c r="B7657" t="s">
        <v>12</v>
      </c>
      <c r="C7657" t="s">
        <v>8</v>
      </c>
      <c r="D7657" s="3">
        <v>1172.8148999999999</v>
      </c>
      <c r="E7657" s="3">
        <v>0</v>
      </c>
      <c r="F7657" t="s">
        <v>45</v>
      </c>
      <c r="G7657" s="3">
        <f t="shared" si="906"/>
        <v>-1172.8148999999999</v>
      </c>
      <c r="H7657" s="3">
        <f t="shared" si="907"/>
        <v>1172.8148999999999</v>
      </c>
      <c r="I7657" s="5" t="str">
        <f t="shared" si="908"/>
        <v>016</v>
      </c>
      <c r="J7657" s="5" t="str">
        <f t="shared" si="909"/>
        <v>2210</v>
      </c>
      <c r="K7657" s="5" t="str">
        <f t="shared" si="910"/>
        <v>000</v>
      </c>
      <c r="L7657" s="5">
        <f t="shared" si="911"/>
        <v>8</v>
      </c>
      <c r="M7657" s="5">
        <f t="shared" si="912"/>
        <v>2013</v>
      </c>
    </row>
    <row r="7658" spans="1:13" ht="15" x14ac:dyDescent="0.25">
      <c r="A7658" s="1">
        <f>DATE(2013,8,1)</f>
        <v>41487</v>
      </c>
      <c r="B7658" t="s">
        <v>13</v>
      </c>
      <c r="C7658" t="s">
        <v>9</v>
      </c>
      <c r="D7658" s="3">
        <v>95.991500000000002</v>
      </c>
      <c r="E7658" s="3">
        <v>0</v>
      </c>
      <c r="F7658" t="s">
        <v>45</v>
      </c>
      <c r="G7658" s="3">
        <f t="shared" si="906"/>
        <v>-95.991500000000002</v>
      </c>
      <c r="H7658" s="3">
        <f t="shared" si="907"/>
        <v>95.991500000000002</v>
      </c>
      <c r="I7658" s="5" t="str">
        <f t="shared" si="908"/>
        <v>016</v>
      </c>
      <c r="J7658" s="5" t="str">
        <f t="shared" si="909"/>
        <v>2220</v>
      </c>
      <c r="K7658" s="5" t="str">
        <f t="shared" si="910"/>
        <v>000</v>
      </c>
      <c r="L7658" s="5">
        <f t="shared" si="911"/>
        <v>8</v>
      </c>
      <c r="M7658" s="5">
        <f t="shared" si="912"/>
        <v>2013</v>
      </c>
    </row>
    <row r="7659" spans="1:13" ht="15" x14ac:dyDescent="0.25">
      <c r="A7659" s="1">
        <f>DATE(2013,8,1)</f>
        <v>41487</v>
      </c>
      <c r="B7659" t="s">
        <v>14</v>
      </c>
      <c r="C7659" t="s">
        <v>10</v>
      </c>
      <c r="D7659" s="3">
        <v>38.472000000000001</v>
      </c>
      <c r="E7659" s="3">
        <v>0</v>
      </c>
      <c r="F7659" t="s">
        <v>45</v>
      </c>
      <c r="G7659" s="3">
        <f t="shared" si="906"/>
        <v>-38.472000000000001</v>
      </c>
      <c r="H7659" s="3">
        <f t="shared" si="907"/>
        <v>38.472000000000001</v>
      </c>
      <c r="I7659" s="5" t="str">
        <f t="shared" si="908"/>
        <v>016</v>
      </c>
      <c r="J7659" s="5" t="str">
        <f t="shared" si="909"/>
        <v>2230</v>
      </c>
      <c r="K7659" s="5" t="str">
        <f t="shared" si="910"/>
        <v>000</v>
      </c>
      <c r="L7659" s="5">
        <f t="shared" si="911"/>
        <v>8</v>
      </c>
      <c r="M7659" s="5">
        <f t="shared" si="912"/>
        <v>2013</v>
      </c>
    </row>
    <row r="7660" spans="1:13" ht="15" x14ac:dyDescent="0.25">
      <c r="A7660" s="1">
        <f>DATE(2013,8,2)</f>
        <v>41488</v>
      </c>
      <c r="B7660" t="s">
        <v>11</v>
      </c>
      <c r="C7660" t="s">
        <v>6</v>
      </c>
      <c r="D7660" s="3">
        <v>5026.6013000000003</v>
      </c>
      <c r="E7660" s="3">
        <v>0</v>
      </c>
      <c r="F7660" t="s">
        <v>45</v>
      </c>
      <c r="G7660" s="3">
        <f t="shared" si="906"/>
        <v>-5026.6013000000003</v>
      </c>
      <c r="H7660" s="3">
        <f t="shared" si="907"/>
        <v>5026.6013000000003</v>
      </c>
      <c r="I7660" s="5" t="str">
        <f t="shared" si="908"/>
        <v>016</v>
      </c>
      <c r="J7660" s="5" t="str">
        <f t="shared" si="909"/>
        <v>2100</v>
      </c>
      <c r="K7660" s="5" t="str">
        <f t="shared" si="910"/>
        <v>000</v>
      </c>
      <c r="L7660" s="5">
        <f t="shared" si="911"/>
        <v>8</v>
      </c>
      <c r="M7660" s="5">
        <f t="shared" si="912"/>
        <v>2013</v>
      </c>
    </row>
    <row r="7661" spans="1:13" ht="15" x14ac:dyDescent="0.25">
      <c r="A7661" s="1">
        <f>DATE(2013,8,2)</f>
        <v>41488</v>
      </c>
      <c r="B7661" t="s">
        <v>12</v>
      </c>
      <c r="C7661" t="s">
        <v>8</v>
      </c>
      <c r="D7661" s="3">
        <v>2037.7280000000001</v>
      </c>
      <c r="E7661" s="3">
        <v>0</v>
      </c>
      <c r="F7661" t="s">
        <v>45</v>
      </c>
      <c r="G7661" s="3">
        <f t="shared" si="906"/>
        <v>-2037.7280000000001</v>
      </c>
      <c r="H7661" s="3">
        <f t="shared" si="907"/>
        <v>2037.7280000000001</v>
      </c>
      <c r="I7661" s="5" t="str">
        <f t="shared" si="908"/>
        <v>016</v>
      </c>
      <c r="J7661" s="5" t="str">
        <f t="shared" si="909"/>
        <v>2210</v>
      </c>
      <c r="K7661" s="5" t="str">
        <f t="shared" si="910"/>
        <v>000</v>
      </c>
      <c r="L7661" s="5">
        <f t="shared" si="911"/>
        <v>8</v>
      </c>
      <c r="M7661" s="5">
        <f t="shared" si="912"/>
        <v>2013</v>
      </c>
    </row>
    <row r="7662" spans="1:13" ht="15" x14ac:dyDescent="0.25">
      <c r="A7662" s="1">
        <f>DATE(2013,8,2)</f>
        <v>41488</v>
      </c>
      <c r="B7662" t="s">
        <v>13</v>
      </c>
      <c r="C7662" t="s">
        <v>9</v>
      </c>
      <c r="D7662" s="3">
        <v>408.23900000000003</v>
      </c>
      <c r="E7662" s="3">
        <v>0</v>
      </c>
      <c r="F7662" t="s">
        <v>45</v>
      </c>
      <c r="G7662" s="3">
        <f t="shared" si="906"/>
        <v>-408.23900000000003</v>
      </c>
      <c r="H7662" s="3">
        <f t="shared" si="907"/>
        <v>408.23900000000003</v>
      </c>
      <c r="I7662" s="5" t="str">
        <f t="shared" si="908"/>
        <v>016</v>
      </c>
      <c r="J7662" s="5" t="str">
        <f t="shared" si="909"/>
        <v>2220</v>
      </c>
      <c r="K7662" s="5" t="str">
        <f t="shared" si="910"/>
        <v>000</v>
      </c>
      <c r="L7662" s="5">
        <f t="shared" si="911"/>
        <v>8</v>
      </c>
      <c r="M7662" s="5">
        <f t="shared" si="912"/>
        <v>2013</v>
      </c>
    </row>
    <row r="7663" spans="1:13" ht="15" x14ac:dyDescent="0.25">
      <c r="A7663" s="1">
        <f>DATE(2013,8,2)</f>
        <v>41488</v>
      </c>
      <c r="B7663" t="s">
        <v>14</v>
      </c>
      <c r="C7663" t="s">
        <v>10</v>
      </c>
      <c r="D7663" s="3">
        <v>273.35520000000002</v>
      </c>
      <c r="E7663" s="3">
        <v>0</v>
      </c>
      <c r="F7663" t="s">
        <v>45</v>
      </c>
      <c r="G7663" s="3">
        <f t="shared" si="906"/>
        <v>-273.35520000000002</v>
      </c>
      <c r="H7663" s="3">
        <f t="shared" si="907"/>
        <v>273.35520000000002</v>
      </c>
      <c r="I7663" s="5" t="str">
        <f t="shared" si="908"/>
        <v>016</v>
      </c>
      <c r="J7663" s="5" t="str">
        <f t="shared" si="909"/>
        <v>2230</v>
      </c>
      <c r="K7663" s="5" t="str">
        <f t="shared" si="910"/>
        <v>000</v>
      </c>
      <c r="L7663" s="5">
        <f t="shared" si="911"/>
        <v>8</v>
      </c>
      <c r="M7663" s="5">
        <f t="shared" si="912"/>
        <v>2013</v>
      </c>
    </row>
    <row r="7664" spans="1:13" ht="15" x14ac:dyDescent="0.25">
      <c r="A7664" s="1">
        <f>DATE(2013,8,3)</f>
        <v>41489</v>
      </c>
      <c r="B7664" t="s">
        <v>11</v>
      </c>
      <c r="C7664" t="s">
        <v>6</v>
      </c>
      <c r="D7664" s="3">
        <v>6776.0784000000003</v>
      </c>
      <c r="E7664" s="3">
        <v>0</v>
      </c>
      <c r="F7664" t="s">
        <v>45</v>
      </c>
      <c r="G7664" s="3">
        <f t="shared" si="906"/>
        <v>-6776.0784000000003</v>
      </c>
      <c r="H7664" s="3">
        <f t="shared" si="907"/>
        <v>6776.0784000000003</v>
      </c>
      <c r="I7664" s="5" t="str">
        <f t="shared" si="908"/>
        <v>016</v>
      </c>
      <c r="J7664" s="5" t="str">
        <f t="shared" si="909"/>
        <v>2100</v>
      </c>
      <c r="K7664" s="5" t="str">
        <f t="shared" si="910"/>
        <v>000</v>
      </c>
      <c r="L7664" s="5">
        <f t="shared" si="911"/>
        <v>8</v>
      </c>
      <c r="M7664" s="5">
        <f t="shared" si="912"/>
        <v>2013</v>
      </c>
    </row>
    <row r="7665" spans="1:13" ht="15" x14ac:dyDescent="0.25">
      <c r="A7665" s="1">
        <f>DATE(2013,8,3)</f>
        <v>41489</v>
      </c>
      <c r="B7665" t="s">
        <v>12</v>
      </c>
      <c r="C7665" t="s">
        <v>8</v>
      </c>
      <c r="D7665" s="3">
        <v>1730.8080999999997</v>
      </c>
      <c r="E7665" s="3">
        <v>0</v>
      </c>
      <c r="F7665" t="s">
        <v>45</v>
      </c>
      <c r="G7665" s="3">
        <f t="shared" si="906"/>
        <v>-1730.8080999999997</v>
      </c>
      <c r="H7665" s="3">
        <f t="shared" si="907"/>
        <v>1730.8080999999997</v>
      </c>
      <c r="I7665" s="5" t="str">
        <f t="shared" si="908"/>
        <v>016</v>
      </c>
      <c r="J7665" s="5" t="str">
        <f t="shared" si="909"/>
        <v>2210</v>
      </c>
      <c r="K7665" s="5" t="str">
        <f t="shared" si="910"/>
        <v>000</v>
      </c>
      <c r="L7665" s="5">
        <f t="shared" si="911"/>
        <v>8</v>
      </c>
      <c r="M7665" s="5">
        <f t="shared" si="912"/>
        <v>2013</v>
      </c>
    </row>
    <row r="7666" spans="1:13" ht="15" x14ac:dyDescent="0.25">
      <c r="A7666" s="1">
        <f>DATE(2013,8,3)</f>
        <v>41489</v>
      </c>
      <c r="B7666" t="s">
        <v>13</v>
      </c>
      <c r="C7666" t="s">
        <v>9</v>
      </c>
      <c r="D7666" s="3">
        <v>252.2944</v>
      </c>
      <c r="E7666" s="3">
        <v>0</v>
      </c>
      <c r="F7666" t="s">
        <v>45</v>
      </c>
      <c r="G7666" s="3">
        <f t="shared" si="906"/>
        <v>-252.2944</v>
      </c>
      <c r="H7666" s="3">
        <f t="shared" si="907"/>
        <v>252.2944</v>
      </c>
      <c r="I7666" s="5" t="str">
        <f t="shared" si="908"/>
        <v>016</v>
      </c>
      <c r="J7666" s="5" t="str">
        <f t="shared" si="909"/>
        <v>2220</v>
      </c>
      <c r="K7666" s="5" t="str">
        <f t="shared" si="910"/>
        <v>000</v>
      </c>
      <c r="L7666" s="5">
        <f t="shared" si="911"/>
        <v>8</v>
      </c>
      <c r="M7666" s="5">
        <f t="shared" si="912"/>
        <v>2013</v>
      </c>
    </row>
    <row r="7667" spans="1:13" ht="15" x14ac:dyDescent="0.25">
      <c r="A7667" s="1">
        <f>DATE(2013,8,3)</f>
        <v>41489</v>
      </c>
      <c r="B7667" t="s">
        <v>14</v>
      </c>
      <c r="C7667" t="s">
        <v>10</v>
      </c>
      <c r="D7667" s="3">
        <v>165.01680000000002</v>
      </c>
      <c r="E7667" s="3">
        <v>0</v>
      </c>
      <c r="F7667" t="s">
        <v>45</v>
      </c>
      <c r="G7667" s="3">
        <f t="shared" si="906"/>
        <v>-165.01680000000002</v>
      </c>
      <c r="H7667" s="3">
        <f t="shared" si="907"/>
        <v>165.01680000000002</v>
      </c>
      <c r="I7667" s="5" t="str">
        <f t="shared" si="908"/>
        <v>016</v>
      </c>
      <c r="J7667" s="5" t="str">
        <f t="shared" si="909"/>
        <v>2230</v>
      </c>
      <c r="K7667" s="5" t="str">
        <f t="shared" si="910"/>
        <v>000</v>
      </c>
      <c r="L7667" s="5">
        <f t="shared" si="911"/>
        <v>8</v>
      </c>
      <c r="M7667" s="5">
        <f t="shared" si="912"/>
        <v>2013</v>
      </c>
    </row>
    <row r="7668" spans="1:13" ht="15" x14ac:dyDescent="0.25">
      <c r="A7668" s="1">
        <f>DATE(2013,8,4)</f>
        <v>41490</v>
      </c>
      <c r="B7668" t="s">
        <v>11</v>
      </c>
      <c r="C7668" t="s">
        <v>6</v>
      </c>
      <c r="D7668" s="3">
        <v>5641.8389999999999</v>
      </c>
      <c r="E7668" s="3">
        <v>0</v>
      </c>
      <c r="F7668" t="s">
        <v>45</v>
      </c>
      <c r="G7668" s="3">
        <f t="shared" si="906"/>
        <v>-5641.8389999999999</v>
      </c>
      <c r="H7668" s="3">
        <f t="shared" si="907"/>
        <v>5641.8389999999999</v>
      </c>
      <c r="I7668" s="5" t="str">
        <f t="shared" si="908"/>
        <v>016</v>
      </c>
      <c r="J7668" s="5" t="str">
        <f t="shared" si="909"/>
        <v>2100</v>
      </c>
      <c r="K7668" s="5" t="str">
        <f t="shared" si="910"/>
        <v>000</v>
      </c>
      <c r="L7668" s="5">
        <f t="shared" si="911"/>
        <v>8</v>
      </c>
      <c r="M7668" s="5">
        <f t="shared" si="912"/>
        <v>2013</v>
      </c>
    </row>
    <row r="7669" spans="1:13" ht="15" x14ac:dyDescent="0.25">
      <c r="A7669" s="1">
        <f>DATE(2013,8,4)</f>
        <v>41490</v>
      </c>
      <c r="B7669" t="s">
        <v>12</v>
      </c>
      <c r="C7669" t="s">
        <v>8</v>
      </c>
      <c r="D7669" s="3">
        <v>827.45820000000003</v>
      </c>
      <c r="E7669" s="3">
        <v>0</v>
      </c>
      <c r="F7669" t="s">
        <v>45</v>
      </c>
      <c r="G7669" s="3">
        <f t="shared" si="906"/>
        <v>-827.45820000000003</v>
      </c>
      <c r="H7669" s="3">
        <f t="shared" si="907"/>
        <v>827.45820000000003</v>
      </c>
      <c r="I7669" s="5" t="str">
        <f t="shared" si="908"/>
        <v>016</v>
      </c>
      <c r="J7669" s="5" t="str">
        <f t="shared" si="909"/>
        <v>2210</v>
      </c>
      <c r="K7669" s="5" t="str">
        <f t="shared" si="910"/>
        <v>000</v>
      </c>
      <c r="L7669" s="5">
        <f t="shared" si="911"/>
        <v>8</v>
      </c>
      <c r="M7669" s="5">
        <f t="shared" si="912"/>
        <v>2013</v>
      </c>
    </row>
    <row r="7670" spans="1:13" ht="15" x14ac:dyDescent="0.25">
      <c r="A7670" s="1">
        <f>DATE(2013,8,4)</f>
        <v>41490</v>
      </c>
      <c r="B7670" t="s">
        <v>13</v>
      </c>
      <c r="C7670" t="s">
        <v>9</v>
      </c>
      <c r="D7670" s="3">
        <v>171.02</v>
      </c>
      <c r="E7670" s="3">
        <v>0</v>
      </c>
      <c r="F7670" t="s">
        <v>45</v>
      </c>
      <c r="G7670" s="3">
        <f t="shared" si="906"/>
        <v>-171.02</v>
      </c>
      <c r="H7670" s="3">
        <f t="shared" si="907"/>
        <v>171.02</v>
      </c>
      <c r="I7670" s="5" t="str">
        <f t="shared" si="908"/>
        <v>016</v>
      </c>
      <c r="J7670" s="5" t="str">
        <f t="shared" si="909"/>
        <v>2220</v>
      </c>
      <c r="K7670" s="5" t="str">
        <f t="shared" si="910"/>
        <v>000</v>
      </c>
      <c r="L7670" s="5">
        <f t="shared" si="911"/>
        <v>8</v>
      </c>
      <c r="M7670" s="5">
        <f t="shared" si="912"/>
        <v>2013</v>
      </c>
    </row>
    <row r="7671" spans="1:13" ht="15" x14ac:dyDescent="0.25">
      <c r="A7671" s="1">
        <f>DATE(2013,8,4)</f>
        <v>41490</v>
      </c>
      <c r="B7671" t="s">
        <v>14</v>
      </c>
      <c r="C7671" t="s">
        <v>10</v>
      </c>
      <c r="D7671" s="3">
        <v>97.374200000000002</v>
      </c>
      <c r="E7671" s="3">
        <v>0</v>
      </c>
      <c r="F7671" t="s">
        <v>45</v>
      </c>
      <c r="G7671" s="3">
        <f t="shared" si="906"/>
        <v>-97.374200000000002</v>
      </c>
      <c r="H7671" s="3">
        <f t="shared" si="907"/>
        <v>97.374200000000002</v>
      </c>
      <c r="I7671" s="5" t="str">
        <f t="shared" si="908"/>
        <v>016</v>
      </c>
      <c r="J7671" s="5" t="str">
        <f t="shared" si="909"/>
        <v>2230</v>
      </c>
      <c r="K7671" s="5" t="str">
        <f t="shared" si="910"/>
        <v>000</v>
      </c>
      <c r="L7671" s="5">
        <f t="shared" si="911"/>
        <v>8</v>
      </c>
      <c r="M7671" s="5">
        <f t="shared" si="912"/>
        <v>2013</v>
      </c>
    </row>
    <row r="7672" spans="1:13" ht="15" x14ac:dyDescent="0.25">
      <c r="A7672" s="1">
        <f>DATE(2013,7,29)</f>
        <v>41484</v>
      </c>
      <c r="B7672" t="s">
        <v>15</v>
      </c>
      <c r="C7672" t="s">
        <v>6</v>
      </c>
      <c r="D7672" s="3">
        <v>5365.3145000000004</v>
      </c>
      <c r="E7672" s="3">
        <v>0</v>
      </c>
      <c r="F7672" t="s">
        <v>45</v>
      </c>
      <c r="G7672" s="3">
        <f t="shared" si="906"/>
        <v>-5365.3145000000004</v>
      </c>
      <c r="H7672" s="3">
        <f t="shared" si="907"/>
        <v>5365.3145000000004</v>
      </c>
      <c r="I7672" s="5" t="str">
        <f t="shared" si="908"/>
        <v>017</v>
      </c>
      <c r="J7672" s="5" t="str">
        <f t="shared" si="909"/>
        <v>2100</v>
      </c>
      <c r="K7672" s="5" t="str">
        <f t="shared" si="910"/>
        <v>000</v>
      </c>
      <c r="L7672" s="5">
        <f t="shared" si="911"/>
        <v>7</v>
      </c>
      <c r="M7672" s="5">
        <f t="shared" si="912"/>
        <v>2013</v>
      </c>
    </row>
    <row r="7673" spans="1:13" ht="15" x14ac:dyDescent="0.25">
      <c r="A7673" s="1">
        <f>DATE(2013,7,29)</f>
        <v>41484</v>
      </c>
      <c r="B7673" t="s">
        <v>16</v>
      </c>
      <c r="C7673" t="s">
        <v>8</v>
      </c>
      <c r="D7673" s="3">
        <v>595.81779999999992</v>
      </c>
      <c r="E7673" s="3">
        <v>0</v>
      </c>
      <c r="F7673" t="s">
        <v>45</v>
      </c>
      <c r="G7673" s="3">
        <f t="shared" si="906"/>
        <v>-595.81779999999992</v>
      </c>
      <c r="H7673" s="3">
        <f t="shared" si="907"/>
        <v>595.81779999999992</v>
      </c>
      <c r="I7673" s="5" t="str">
        <f t="shared" si="908"/>
        <v>017</v>
      </c>
      <c r="J7673" s="5" t="str">
        <f t="shared" si="909"/>
        <v>2210</v>
      </c>
      <c r="K7673" s="5" t="str">
        <f t="shared" si="910"/>
        <v>000</v>
      </c>
      <c r="L7673" s="5">
        <f t="shared" si="911"/>
        <v>7</v>
      </c>
      <c r="M7673" s="5">
        <f t="shared" si="912"/>
        <v>2013</v>
      </c>
    </row>
    <row r="7674" spans="1:13" ht="15" x14ac:dyDescent="0.25">
      <c r="A7674" s="1">
        <f>DATE(2013,7,29)</f>
        <v>41484</v>
      </c>
      <c r="B7674" t="s">
        <v>17</v>
      </c>
      <c r="C7674" t="s">
        <v>9</v>
      </c>
      <c r="D7674" s="3">
        <v>281.16159999999996</v>
      </c>
      <c r="E7674" s="3">
        <v>0</v>
      </c>
      <c r="F7674" t="s">
        <v>45</v>
      </c>
      <c r="G7674" s="3">
        <f t="shared" si="906"/>
        <v>-281.16159999999996</v>
      </c>
      <c r="H7674" s="3">
        <f t="shared" si="907"/>
        <v>281.16159999999996</v>
      </c>
      <c r="I7674" s="5" t="str">
        <f t="shared" si="908"/>
        <v>017</v>
      </c>
      <c r="J7674" s="5" t="str">
        <f t="shared" si="909"/>
        <v>2220</v>
      </c>
      <c r="K7674" s="5" t="str">
        <f t="shared" si="910"/>
        <v>000</v>
      </c>
      <c r="L7674" s="5">
        <f t="shared" si="911"/>
        <v>7</v>
      </c>
      <c r="M7674" s="5">
        <f t="shared" si="912"/>
        <v>2013</v>
      </c>
    </row>
    <row r="7675" spans="1:13" ht="15" x14ac:dyDescent="0.25">
      <c r="A7675" s="1">
        <f>DATE(2013,7,29)</f>
        <v>41484</v>
      </c>
      <c r="B7675" t="s">
        <v>18</v>
      </c>
      <c r="C7675" t="s">
        <v>10</v>
      </c>
      <c r="D7675" s="3">
        <v>85.64370000000001</v>
      </c>
      <c r="E7675" s="3">
        <v>0</v>
      </c>
      <c r="F7675" t="s">
        <v>45</v>
      </c>
      <c r="G7675" s="3">
        <f t="shared" si="906"/>
        <v>-85.64370000000001</v>
      </c>
      <c r="H7675" s="3">
        <f t="shared" si="907"/>
        <v>85.64370000000001</v>
      </c>
      <c r="I7675" s="5" t="str">
        <f t="shared" si="908"/>
        <v>017</v>
      </c>
      <c r="J7675" s="5" t="str">
        <f t="shared" si="909"/>
        <v>2230</v>
      </c>
      <c r="K7675" s="5" t="str">
        <f t="shared" si="910"/>
        <v>000</v>
      </c>
      <c r="L7675" s="5">
        <f t="shared" si="911"/>
        <v>7</v>
      </c>
      <c r="M7675" s="5">
        <f t="shared" si="912"/>
        <v>2013</v>
      </c>
    </row>
    <row r="7676" spans="1:13" ht="15" x14ac:dyDescent="0.25">
      <c r="A7676" s="1">
        <f>DATE(2013,7,30)</f>
        <v>41485</v>
      </c>
      <c r="B7676" t="s">
        <v>15</v>
      </c>
      <c r="C7676" t="s">
        <v>6</v>
      </c>
      <c r="D7676" s="3">
        <v>6213.7608000000009</v>
      </c>
      <c r="E7676" s="3">
        <v>0</v>
      </c>
      <c r="F7676" t="s">
        <v>45</v>
      </c>
      <c r="G7676" s="3">
        <f t="shared" si="906"/>
        <v>-6213.7608000000009</v>
      </c>
      <c r="H7676" s="3">
        <f t="shared" si="907"/>
        <v>6213.7608000000009</v>
      </c>
      <c r="I7676" s="5" t="str">
        <f t="shared" si="908"/>
        <v>017</v>
      </c>
      <c r="J7676" s="5" t="str">
        <f t="shared" si="909"/>
        <v>2100</v>
      </c>
      <c r="K7676" s="5" t="str">
        <f t="shared" si="910"/>
        <v>000</v>
      </c>
      <c r="L7676" s="5">
        <f t="shared" si="911"/>
        <v>7</v>
      </c>
      <c r="M7676" s="5">
        <f t="shared" si="912"/>
        <v>2013</v>
      </c>
    </row>
    <row r="7677" spans="1:13" ht="15" x14ac:dyDescent="0.25">
      <c r="A7677" s="1">
        <f>DATE(2013,7,30)</f>
        <v>41485</v>
      </c>
      <c r="B7677" t="s">
        <v>16</v>
      </c>
      <c r="C7677" t="s">
        <v>8</v>
      </c>
      <c r="D7677" s="3">
        <v>1212.6007</v>
      </c>
      <c r="E7677" s="3">
        <v>0</v>
      </c>
      <c r="F7677" t="s">
        <v>45</v>
      </c>
      <c r="G7677" s="3">
        <f t="shared" si="906"/>
        <v>-1212.6007</v>
      </c>
      <c r="H7677" s="3">
        <f t="shared" si="907"/>
        <v>1212.6007</v>
      </c>
      <c r="I7677" s="5" t="str">
        <f t="shared" si="908"/>
        <v>017</v>
      </c>
      <c r="J7677" s="5" t="str">
        <f t="shared" si="909"/>
        <v>2210</v>
      </c>
      <c r="K7677" s="5" t="str">
        <f t="shared" si="910"/>
        <v>000</v>
      </c>
      <c r="L7677" s="5">
        <f t="shared" si="911"/>
        <v>7</v>
      </c>
      <c r="M7677" s="5">
        <f t="shared" si="912"/>
        <v>2013</v>
      </c>
    </row>
    <row r="7678" spans="1:13" ht="15" x14ac:dyDescent="0.25">
      <c r="A7678" s="1">
        <f>DATE(2013,7,30)</f>
        <v>41485</v>
      </c>
      <c r="B7678" t="s">
        <v>17</v>
      </c>
      <c r="C7678" t="s">
        <v>9</v>
      </c>
      <c r="D7678" s="3">
        <v>594.80340000000001</v>
      </c>
      <c r="E7678" s="3">
        <v>0</v>
      </c>
      <c r="F7678" t="s">
        <v>45</v>
      </c>
      <c r="G7678" s="3">
        <f t="shared" si="906"/>
        <v>-594.80340000000001</v>
      </c>
      <c r="H7678" s="3">
        <f t="shared" si="907"/>
        <v>594.80340000000001</v>
      </c>
      <c r="I7678" s="5" t="str">
        <f t="shared" si="908"/>
        <v>017</v>
      </c>
      <c r="J7678" s="5" t="str">
        <f t="shared" si="909"/>
        <v>2220</v>
      </c>
      <c r="K7678" s="5" t="str">
        <f t="shared" si="910"/>
        <v>000</v>
      </c>
      <c r="L7678" s="5">
        <f t="shared" si="911"/>
        <v>7</v>
      </c>
      <c r="M7678" s="5">
        <f t="shared" si="912"/>
        <v>2013</v>
      </c>
    </row>
    <row r="7679" spans="1:13" ht="15" x14ac:dyDescent="0.25">
      <c r="A7679" s="1">
        <f>DATE(2013,7,30)</f>
        <v>41485</v>
      </c>
      <c r="B7679" t="s">
        <v>18</v>
      </c>
      <c r="C7679" t="s">
        <v>10</v>
      </c>
      <c r="D7679" s="3">
        <v>131.10069999999999</v>
      </c>
      <c r="E7679" s="3">
        <v>0</v>
      </c>
      <c r="F7679" t="s">
        <v>45</v>
      </c>
      <c r="G7679" s="3">
        <f t="shared" si="906"/>
        <v>-131.10069999999999</v>
      </c>
      <c r="H7679" s="3">
        <f t="shared" si="907"/>
        <v>131.10069999999999</v>
      </c>
      <c r="I7679" s="5" t="str">
        <f t="shared" si="908"/>
        <v>017</v>
      </c>
      <c r="J7679" s="5" t="str">
        <f t="shared" si="909"/>
        <v>2230</v>
      </c>
      <c r="K7679" s="5" t="str">
        <f t="shared" si="910"/>
        <v>000</v>
      </c>
      <c r="L7679" s="5">
        <f t="shared" si="911"/>
        <v>7</v>
      </c>
      <c r="M7679" s="5">
        <f t="shared" si="912"/>
        <v>2013</v>
      </c>
    </row>
    <row r="7680" spans="1:13" ht="15" x14ac:dyDescent="0.25">
      <c r="A7680" s="1">
        <f>DATE(2013,7,31)</f>
        <v>41486</v>
      </c>
      <c r="B7680" t="s">
        <v>15</v>
      </c>
      <c r="C7680" t="s">
        <v>6</v>
      </c>
      <c r="D7680" s="3">
        <v>9138.7386999999999</v>
      </c>
      <c r="E7680" s="3">
        <v>0</v>
      </c>
      <c r="F7680" t="s">
        <v>45</v>
      </c>
      <c r="G7680" s="3">
        <f t="shared" si="906"/>
        <v>-9138.7386999999999</v>
      </c>
      <c r="H7680" s="3">
        <f t="shared" si="907"/>
        <v>9138.7386999999999</v>
      </c>
      <c r="I7680" s="5" t="str">
        <f t="shared" si="908"/>
        <v>017</v>
      </c>
      <c r="J7680" s="5" t="str">
        <f t="shared" si="909"/>
        <v>2100</v>
      </c>
      <c r="K7680" s="5" t="str">
        <f t="shared" si="910"/>
        <v>000</v>
      </c>
      <c r="L7680" s="5">
        <f t="shared" si="911"/>
        <v>7</v>
      </c>
      <c r="M7680" s="5">
        <f t="shared" si="912"/>
        <v>2013</v>
      </c>
    </row>
    <row r="7681" spans="1:13" ht="15" x14ac:dyDescent="0.25">
      <c r="A7681" s="1">
        <f>DATE(2013,7,31)</f>
        <v>41486</v>
      </c>
      <c r="B7681" t="s">
        <v>16</v>
      </c>
      <c r="C7681" t="s">
        <v>8</v>
      </c>
      <c r="D7681" s="3">
        <v>2886.3589999999999</v>
      </c>
      <c r="E7681" s="3">
        <v>0</v>
      </c>
      <c r="F7681" t="s">
        <v>45</v>
      </c>
      <c r="G7681" s="3">
        <f t="shared" si="906"/>
        <v>-2886.3589999999999</v>
      </c>
      <c r="H7681" s="3">
        <f t="shared" si="907"/>
        <v>2886.3589999999999</v>
      </c>
      <c r="I7681" s="5" t="str">
        <f t="shared" si="908"/>
        <v>017</v>
      </c>
      <c r="J7681" s="5" t="str">
        <f t="shared" si="909"/>
        <v>2210</v>
      </c>
      <c r="K7681" s="5" t="str">
        <f t="shared" si="910"/>
        <v>000</v>
      </c>
      <c r="L7681" s="5">
        <f t="shared" si="911"/>
        <v>7</v>
      </c>
      <c r="M7681" s="5">
        <f t="shared" si="912"/>
        <v>2013</v>
      </c>
    </row>
    <row r="7682" spans="1:13" ht="15" x14ac:dyDescent="0.25">
      <c r="A7682" s="1">
        <f>DATE(2013,7,31)</f>
        <v>41486</v>
      </c>
      <c r="B7682" t="s">
        <v>17</v>
      </c>
      <c r="C7682" t="s">
        <v>9</v>
      </c>
      <c r="D7682" s="3">
        <v>620.20920000000001</v>
      </c>
      <c r="E7682" s="3">
        <v>0</v>
      </c>
      <c r="F7682" t="s">
        <v>45</v>
      </c>
      <c r="G7682" s="3">
        <f t="shared" ref="G7682:G7745" si="914">E7682-D7682</f>
        <v>-620.20920000000001</v>
      </c>
      <c r="H7682" s="3">
        <f t="shared" ref="H7682:H7745" si="915">ABS(G7682)</f>
        <v>620.20920000000001</v>
      </c>
      <c r="I7682" s="5" t="str">
        <f t="shared" ref="I7682:I7745" si="916">MID(B7682,1,3)</f>
        <v>017</v>
      </c>
      <c r="J7682" s="5" t="str">
        <f t="shared" ref="J7682:J7745" si="917">MID(B7682,5,4)</f>
        <v>2220</v>
      </c>
      <c r="K7682" s="5" t="str">
        <f t="shared" ref="K7682:K7745" si="918">MID(B7682,10,3)</f>
        <v>000</v>
      </c>
      <c r="L7682" s="5">
        <f t="shared" ref="L7682:L7745" si="919">MONTH(A7682)</f>
        <v>7</v>
      </c>
      <c r="M7682" s="5">
        <f t="shared" ref="M7682:M7745" si="920">YEAR(A7682)</f>
        <v>2013</v>
      </c>
    </row>
    <row r="7683" spans="1:13" ht="15" x14ac:dyDescent="0.25">
      <c r="A7683" s="1">
        <f>DATE(2013,7,31)</f>
        <v>41486</v>
      </c>
      <c r="B7683" t="s">
        <v>18</v>
      </c>
      <c r="C7683" t="s">
        <v>10</v>
      </c>
      <c r="D7683" s="3">
        <v>133.5042</v>
      </c>
      <c r="E7683" s="3">
        <v>0</v>
      </c>
      <c r="F7683" t="s">
        <v>45</v>
      </c>
      <c r="G7683" s="3">
        <f t="shared" si="914"/>
        <v>-133.5042</v>
      </c>
      <c r="H7683" s="3">
        <f t="shared" si="915"/>
        <v>133.5042</v>
      </c>
      <c r="I7683" s="5" t="str">
        <f t="shared" si="916"/>
        <v>017</v>
      </c>
      <c r="J7683" s="5" t="str">
        <f t="shared" si="917"/>
        <v>2230</v>
      </c>
      <c r="K7683" s="5" t="str">
        <f t="shared" si="918"/>
        <v>000</v>
      </c>
      <c r="L7683" s="5">
        <f t="shared" si="919"/>
        <v>7</v>
      </c>
      <c r="M7683" s="5">
        <f t="shared" si="920"/>
        <v>2013</v>
      </c>
    </row>
    <row r="7684" spans="1:13" ht="15" x14ac:dyDescent="0.25">
      <c r="A7684" s="1">
        <f>DATE(2013,8,1)</f>
        <v>41487</v>
      </c>
      <c r="B7684" t="s">
        <v>15</v>
      </c>
      <c r="C7684" t="s">
        <v>6</v>
      </c>
      <c r="D7684" s="3">
        <v>6430.2065999999995</v>
      </c>
      <c r="E7684" s="3">
        <v>0</v>
      </c>
      <c r="F7684" t="s">
        <v>45</v>
      </c>
      <c r="G7684" s="3">
        <f t="shared" si="914"/>
        <v>-6430.2065999999995</v>
      </c>
      <c r="H7684" s="3">
        <f t="shared" si="915"/>
        <v>6430.2065999999995</v>
      </c>
      <c r="I7684" s="5" t="str">
        <f t="shared" si="916"/>
        <v>017</v>
      </c>
      <c r="J7684" s="5" t="str">
        <f t="shared" si="917"/>
        <v>2100</v>
      </c>
      <c r="K7684" s="5" t="str">
        <f t="shared" si="918"/>
        <v>000</v>
      </c>
      <c r="L7684" s="5">
        <f t="shared" si="919"/>
        <v>8</v>
      </c>
      <c r="M7684" s="5">
        <f t="shared" si="920"/>
        <v>2013</v>
      </c>
    </row>
    <row r="7685" spans="1:13" ht="15" x14ac:dyDescent="0.25">
      <c r="A7685" s="1">
        <f>DATE(2013,8,1)</f>
        <v>41487</v>
      </c>
      <c r="B7685" t="s">
        <v>16</v>
      </c>
      <c r="C7685" t="s">
        <v>8</v>
      </c>
      <c r="D7685" s="3">
        <v>1955.0934000000002</v>
      </c>
      <c r="E7685" s="3">
        <v>0</v>
      </c>
      <c r="F7685" t="s">
        <v>45</v>
      </c>
      <c r="G7685" s="3">
        <f t="shared" si="914"/>
        <v>-1955.0934000000002</v>
      </c>
      <c r="H7685" s="3">
        <f t="shared" si="915"/>
        <v>1955.0934000000002</v>
      </c>
      <c r="I7685" s="5" t="str">
        <f t="shared" si="916"/>
        <v>017</v>
      </c>
      <c r="J7685" s="5" t="str">
        <f t="shared" si="917"/>
        <v>2210</v>
      </c>
      <c r="K7685" s="5" t="str">
        <f t="shared" si="918"/>
        <v>000</v>
      </c>
      <c r="L7685" s="5">
        <f t="shared" si="919"/>
        <v>8</v>
      </c>
      <c r="M7685" s="5">
        <f t="shared" si="920"/>
        <v>2013</v>
      </c>
    </row>
    <row r="7686" spans="1:13" ht="15" x14ac:dyDescent="0.25">
      <c r="A7686" s="1">
        <f>DATE(2013,8,1)</f>
        <v>41487</v>
      </c>
      <c r="B7686" t="s">
        <v>17</v>
      </c>
      <c r="C7686" t="s">
        <v>9</v>
      </c>
      <c r="D7686" s="3">
        <v>373.80850000000004</v>
      </c>
      <c r="E7686" s="3">
        <v>0</v>
      </c>
      <c r="F7686" t="s">
        <v>45</v>
      </c>
      <c r="G7686" s="3">
        <f t="shared" si="914"/>
        <v>-373.80850000000004</v>
      </c>
      <c r="H7686" s="3">
        <f t="shared" si="915"/>
        <v>373.80850000000004</v>
      </c>
      <c r="I7686" s="5" t="str">
        <f t="shared" si="916"/>
        <v>017</v>
      </c>
      <c r="J7686" s="5" t="str">
        <f t="shared" si="917"/>
        <v>2220</v>
      </c>
      <c r="K7686" s="5" t="str">
        <f t="shared" si="918"/>
        <v>000</v>
      </c>
      <c r="L7686" s="5">
        <f t="shared" si="919"/>
        <v>8</v>
      </c>
      <c r="M7686" s="5">
        <f t="shared" si="920"/>
        <v>2013</v>
      </c>
    </row>
    <row r="7687" spans="1:13" ht="15" x14ac:dyDescent="0.25">
      <c r="A7687" s="1">
        <f>DATE(2013,8,1)</f>
        <v>41487</v>
      </c>
      <c r="B7687" t="s">
        <v>18</v>
      </c>
      <c r="C7687" t="s">
        <v>10</v>
      </c>
      <c r="D7687" s="3">
        <v>61.705800000000004</v>
      </c>
      <c r="E7687" s="3">
        <v>0</v>
      </c>
      <c r="F7687" t="s">
        <v>45</v>
      </c>
      <c r="G7687" s="3">
        <f t="shared" si="914"/>
        <v>-61.705800000000004</v>
      </c>
      <c r="H7687" s="3">
        <f t="shared" si="915"/>
        <v>61.705800000000004</v>
      </c>
      <c r="I7687" s="5" t="str">
        <f t="shared" si="916"/>
        <v>017</v>
      </c>
      <c r="J7687" s="5" t="str">
        <f t="shared" si="917"/>
        <v>2230</v>
      </c>
      <c r="K7687" s="5" t="str">
        <f t="shared" si="918"/>
        <v>000</v>
      </c>
      <c r="L7687" s="5">
        <f t="shared" si="919"/>
        <v>8</v>
      </c>
      <c r="M7687" s="5">
        <f t="shared" si="920"/>
        <v>2013</v>
      </c>
    </row>
    <row r="7688" spans="1:13" ht="15" x14ac:dyDescent="0.25">
      <c r="A7688" s="1">
        <f>DATE(2013,8,2)</f>
        <v>41488</v>
      </c>
      <c r="B7688" t="s">
        <v>15</v>
      </c>
      <c r="C7688" t="s">
        <v>6</v>
      </c>
      <c r="D7688" s="3">
        <v>8477.4382000000005</v>
      </c>
      <c r="E7688" s="3">
        <v>0</v>
      </c>
      <c r="F7688" t="s">
        <v>45</v>
      </c>
      <c r="G7688" s="3">
        <f t="shared" si="914"/>
        <v>-8477.4382000000005</v>
      </c>
      <c r="H7688" s="3">
        <f t="shared" si="915"/>
        <v>8477.4382000000005</v>
      </c>
      <c r="I7688" s="5" t="str">
        <f t="shared" si="916"/>
        <v>017</v>
      </c>
      <c r="J7688" s="5" t="str">
        <f t="shared" si="917"/>
        <v>2100</v>
      </c>
      <c r="K7688" s="5" t="str">
        <f t="shared" si="918"/>
        <v>000</v>
      </c>
      <c r="L7688" s="5">
        <f t="shared" si="919"/>
        <v>8</v>
      </c>
      <c r="M7688" s="5">
        <f t="shared" si="920"/>
        <v>2013</v>
      </c>
    </row>
    <row r="7689" spans="1:13" ht="15" x14ac:dyDescent="0.25">
      <c r="A7689" s="1">
        <f>DATE(2013,8,2)</f>
        <v>41488</v>
      </c>
      <c r="B7689" t="s">
        <v>16</v>
      </c>
      <c r="C7689" t="s">
        <v>8</v>
      </c>
      <c r="D7689" s="3">
        <v>3209.9499000000005</v>
      </c>
      <c r="E7689" s="3">
        <v>0</v>
      </c>
      <c r="F7689" t="s">
        <v>45</v>
      </c>
      <c r="G7689" s="3">
        <f t="shared" si="914"/>
        <v>-3209.9499000000005</v>
      </c>
      <c r="H7689" s="3">
        <f t="shared" si="915"/>
        <v>3209.9499000000005</v>
      </c>
      <c r="I7689" s="5" t="str">
        <f t="shared" si="916"/>
        <v>017</v>
      </c>
      <c r="J7689" s="5" t="str">
        <f t="shared" si="917"/>
        <v>2210</v>
      </c>
      <c r="K7689" s="5" t="str">
        <f t="shared" si="918"/>
        <v>000</v>
      </c>
      <c r="L7689" s="5">
        <f t="shared" si="919"/>
        <v>8</v>
      </c>
      <c r="M7689" s="5">
        <f t="shared" si="920"/>
        <v>2013</v>
      </c>
    </row>
    <row r="7690" spans="1:13" ht="15" x14ac:dyDescent="0.25">
      <c r="A7690" s="1">
        <f>DATE(2013,8,2)</f>
        <v>41488</v>
      </c>
      <c r="B7690" t="s">
        <v>17</v>
      </c>
      <c r="C7690" t="s">
        <v>9</v>
      </c>
      <c r="D7690" s="3">
        <v>702.42060000000004</v>
      </c>
      <c r="E7690" s="3">
        <v>0</v>
      </c>
      <c r="F7690" t="s">
        <v>45</v>
      </c>
      <c r="G7690" s="3">
        <f t="shared" si="914"/>
        <v>-702.42060000000004</v>
      </c>
      <c r="H7690" s="3">
        <f t="shared" si="915"/>
        <v>702.42060000000004</v>
      </c>
      <c r="I7690" s="5" t="str">
        <f t="shared" si="916"/>
        <v>017</v>
      </c>
      <c r="J7690" s="5" t="str">
        <f t="shared" si="917"/>
        <v>2220</v>
      </c>
      <c r="K7690" s="5" t="str">
        <f t="shared" si="918"/>
        <v>000</v>
      </c>
      <c r="L7690" s="5">
        <f t="shared" si="919"/>
        <v>8</v>
      </c>
      <c r="M7690" s="5">
        <f t="shared" si="920"/>
        <v>2013</v>
      </c>
    </row>
    <row r="7691" spans="1:13" ht="15" x14ac:dyDescent="0.25">
      <c r="A7691" s="1">
        <f>DATE(2013,8,2)</f>
        <v>41488</v>
      </c>
      <c r="B7691" t="s">
        <v>18</v>
      </c>
      <c r="C7691" t="s">
        <v>10</v>
      </c>
      <c r="D7691" s="3">
        <v>85.391500000000008</v>
      </c>
      <c r="E7691" s="3">
        <v>0</v>
      </c>
      <c r="F7691" t="s">
        <v>45</v>
      </c>
      <c r="G7691" s="3">
        <f t="shared" si="914"/>
        <v>-85.391500000000008</v>
      </c>
      <c r="H7691" s="3">
        <f t="shared" si="915"/>
        <v>85.391500000000008</v>
      </c>
      <c r="I7691" s="5" t="str">
        <f t="shared" si="916"/>
        <v>017</v>
      </c>
      <c r="J7691" s="5" t="str">
        <f t="shared" si="917"/>
        <v>2230</v>
      </c>
      <c r="K7691" s="5" t="str">
        <f t="shared" si="918"/>
        <v>000</v>
      </c>
      <c r="L7691" s="5">
        <f t="shared" si="919"/>
        <v>8</v>
      </c>
      <c r="M7691" s="5">
        <f t="shared" si="920"/>
        <v>2013</v>
      </c>
    </row>
    <row r="7692" spans="1:13" ht="15" x14ac:dyDescent="0.25">
      <c r="A7692" s="1">
        <f>DATE(2013,8,3)</f>
        <v>41489</v>
      </c>
      <c r="B7692" t="s">
        <v>15</v>
      </c>
      <c r="C7692" t="s">
        <v>6</v>
      </c>
      <c r="D7692" s="3">
        <v>8507.7630000000008</v>
      </c>
      <c r="E7692" s="3">
        <v>0</v>
      </c>
      <c r="F7692" t="s">
        <v>45</v>
      </c>
      <c r="G7692" s="3">
        <f t="shared" si="914"/>
        <v>-8507.7630000000008</v>
      </c>
      <c r="H7692" s="3">
        <f t="shared" si="915"/>
        <v>8507.7630000000008</v>
      </c>
      <c r="I7692" s="5" t="str">
        <f t="shared" si="916"/>
        <v>017</v>
      </c>
      <c r="J7692" s="5" t="str">
        <f t="shared" si="917"/>
        <v>2100</v>
      </c>
      <c r="K7692" s="5" t="str">
        <f t="shared" si="918"/>
        <v>000</v>
      </c>
      <c r="L7692" s="5">
        <f t="shared" si="919"/>
        <v>8</v>
      </c>
      <c r="M7692" s="5">
        <f t="shared" si="920"/>
        <v>2013</v>
      </c>
    </row>
    <row r="7693" spans="1:13" ht="15" x14ac:dyDescent="0.25">
      <c r="A7693" s="1">
        <f>DATE(2013,8,3)</f>
        <v>41489</v>
      </c>
      <c r="B7693" t="s">
        <v>16</v>
      </c>
      <c r="C7693" t="s">
        <v>8</v>
      </c>
      <c r="D7693" s="3">
        <v>1103.4415999999999</v>
      </c>
      <c r="E7693" s="3">
        <v>0</v>
      </c>
      <c r="F7693" t="s">
        <v>45</v>
      </c>
      <c r="G7693" s="3">
        <f t="shared" si="914"/>
        <v>-1103.4415999999999</v>
      </c>
      <c r="H7693" s="3">
        <f t="shared" si="915"/>
        <v>1103.4415999999999</v>
      </c>
      <c r="I7693" s="5" t="str">
        <f t="shared" si="916"/>
        <v>017</v>
      </c>
      <c r="J7693" s="5" t="str">
        <f t="shared" si="917"/>
        <v>2210</v>
      </c>
      <c r="K7693" s="5" t="str">
        <f t="shared" si="918"/>
        <v>000</v>
      </c>
      <c r="L7693" s="5">
        <f t="shared" si="919"/>
        <v>8</v>
      </c>
      <c r="M7693" s="5">
        <f t="shared" si="920"/>
        <v>2013</v>
      </c>
    </row>
    <row r="7694" spans="1:13" ht="15" x14ac:dyDescent="0.25">
      <c r="A7694" s="1">
        <f>DATE(2013,8,3)</f>
        <v>41489</v>
      </c>
      <c r="B7694" t="s">
        <v>17</v>
      </c>
      <c r="C7694" t="s">
        <v>9</v>
      </c>
      <c r="D7694" s="3">
        <v>200.67600000000004</v>
      </c>
      <c r="E7694" s="3">
        <v>0</v>
      </c>
      <c r="F7694" t="s">
        <v>45</v>
      </c>
      <c r="G7694" s="3">
        <f t="shared" si="914"/>
        <v>-200.67600000000004</v>
      </c>
      <c r="H7694" s="3">
        <f t="shared" si="915"/>
        <v>200.67600000000004</v>
      </c>
      <c r="I7694" s="5" t="str">
        <f t="shared" si="916"/>
        <v>017</v>
      </c>
      <c r="J7694" s="5" t="str">
        <f t="shared" si="917"/>
        <v>2220</v>
      </c>
      <c r="K7694" s="5" t="str">
        <f t="shared" si="918"/>
        <v>000</v>
      </c>
      <c r="L7694" s="5">
        <f t="shared" si="919"/>
        <v>8</v>
      </c>
      <c r="M7694" s="5">
        <f t="shared" si="920"/>
        <v>2013</v>
      </c>
    </row>
    <row r="7695" spans="1:13" ht="15" x14ac:dyDescent="0.25">
      <c r="A7695" s="1">
        <f>DATE(2013,8,3)</f>
        <v>41489</v>
      </c>
      <c r="B7695" t="s">
        <v>18</v>
      </c>
      <c r="C7695" t="s">
        <v>10</v>
      </c>
      <c r="D7695" s="3">
        <v>41.090499999999999</v>
      </c>
      <c r="E7695" s="3">
        <v>0</v>
      </c>
      <c r="F7695" t="s">
        <v>45</v>
      </c>
      <c r="G7695" s="3">
        <f t="shared" si="914"/>
        <v>-41.090499999999999</v>
      </c>
      <c r="H7695" s="3">
        <f t="shared" si="915"/>
        <v>41.090499999999999</v>
      </c>
      <c r="I7695" s="5" t="str">
        <f t="shared" si="916"/>
        <v>017</v>
      </c>
      <c r="J7695" s="5" t="str">
        <f t="shared" si="917"/>
        <v>2230</v>
      </c>
      <c r="K7695" s="5" t="str">
        <f t="shared" si="918"/>
        <v>000</v>
      </c>
      <c r="L7695" s="5">
        <f t="shared" si="919"/>
        <v>8</v>
      </c>
      <c r="M7695" s="5">
        <f t="shared" si="920"/>
        <v>2013</v>
      </c>
    </row>
    <row r="7696" spans="1:13" ht="15" x14ac:dyDescent="0.25">
      <c r="A7696" s="1">
        <f>DATE(2013,8,4)</f>
        <v>41490</v>
      </c>
      <c r="B7696" t="s">
        <v>15</v>
      </c>
      <c r="C7696" t="s">
        <v>6</v>
      </c>
      <c r="D7696" s="3">
        <v>4117.4565999999995</v>
      </c>
      <c r="E7696" s="3">
        <v>0</v>
      </c>
      <c r="F7696" t="s">
        <v>45</v>
      </c>
      <c r="G7696" s="3">
        <f t="shared" si="914"/>
        <v>-4117.4565999999995</v>
      </c>
      <c r="H7696" s="3">
        <f t="shared" si="915"/>
        <v>4117.4565999999995</v>
      </c>
      <c r="I7696" s="5" t="str">
        <f t="shared" si="916"/>
        <v>017</v>
      </c>
      <c r="J7696" s="5" t="str">
        <f t="shared" si="917"/>
        <v>2100</v>
      </c>
      <c r="K7696" s="5" t="str">
        <f t="shared" si="918"/>
        <v>000</v>
      </c>
      <c r="L7696" s="5">
        <f t="shared" si="919"/>
        <v>8</v>
      </c>
      <c r="M7696" s="5">
        <f t="shared" si="920"/>
        <v>2013</v>
      </c>
    </row>
    <row r="7697" spans="1:13" ht="15" x14ac:dyDescent="0.25">
      <c r="A7697" s="1">
        <f>DATE(2013,8,4)</f>
        <v>41490</v>
      </c>
      <c r="B7697" t="s">
        <v>16</v>
      </c>
      <c r="C7697" t="s">
        <v>8</v>
      </c>
      <c r="D7697" s="3">
        <v>1066.5840000000001</v>
      </c>
      <c r="E7697" s="3">
        <v>0</v>
      </c>
      <c r="F7697" t="s">
        <v>45</v>
      </c>
      <c r="G7697" s="3">
        <f t="shared" si="914"/>
        <v>-1066.5840000000001</v>
      </c>
      <c r="H7697" s="3">
        <f t="shared" si="915"/>
        <v>1066.5840000000001</v>
      </c>
      <c r="I7697" s="5" t="str">
        <f t="shared" si="916"/>
        <v>017</v>
      </c>
      <c r="J7697" s="5" t="str">
        <f t="shared" si="917"/>
        <v>2210</v>
      </c>
      <c r="K7697" s="5" t="str">
        <f t="shared" si="918"/>
        <v>000</v>
      </c>
      <c r="L7697" s="5">
        <f t="shared" si="919"/>
        <v>8</v>
      </c>
      <c r="M7697" s="5">
        <f t="shared" si="920"/>
        <v>2013</v>
      </c>
    </row>
    <row r="7698" spans="1:13" ht="15" x14ac:dyDescent="0.25">
      <c r="A7698" s="1">
        <f>DATE(2013,8,4)</f>
        <v>41490</v>
      </c>
      <c r="B7698" t="s">
        <v>17</v>
      </c>
      <c r="C7698" t="s">
        <v>9</v>
      </c>
      <c r="D7698" s="3">
        <v>138.8588</v>
      </c>
      <c r="E7698" s="3">
        <v>0</v>
      </c>
      <c r="F7698" t="s">
        <v>45</v>
      </c>
      <c r="G7698" s="3">
        <f t="shared" si="914"/>
        <v>-138.8588</v>
      </c>
      <c r="H7698" s="3">
        <f t="shared" si="915"/>
        <v>138.8588</v>
      </c>
      <c r="I7698" s="5" t="str">
        <f t="shared" si="916"/>
        <v>017</v>
      </c>
      <c r="J7698" s="5" t="str">
        <f t="shared" si="917"/>
        <v>2220</v>
      </c>
      <c r="K7698" s="5" t="str">
        <f t="shared" si="918"/>
        <v>000</v>
      </c>
      <c r="L7698" s="5">
        <f t="shared" si="919"/>
        <v>8</v>
      </c>
      <c r="M7698" s="5">
        <f t="shared" si="920"/>
        <v>2013</v>
      </c>
    </row>
    <row r="7699" spans="1:13" ht="15" x14ac:dyDescent="0.25">
      <c r="A7699" s="1">
        <f>DATE(2013,8,4)</f>
        <v>41490</v>
      </c>
      <c r="B7699" t="s">
        <v>18</v>
      </c>
      <c r="C7699" t="s">
        <v>10</v>
      </c>
      <c r="D7699" s="3">
        <v>58.450699999999998</v>
      </c>
      <c r="E7699" s="3">
        <v>0</v>
      </c>
      <c r="F7699" t="s">
        <v>45</v>
      </c>
      <c r="G7699" s="3">
        <f t="shared" si="914"/>
        <v>-58.450699999999998</v>
      </c>
      <c r="H7699" s="3">
        <f t="shared" si="915"/>
        <v>58.450699999999998</v>
      </c>
      <c r="I7699" s="5" t="str">
        <f t="shared" si="916"/>
        <v>017</v>
      </c>
      <c r="J7699" s="5" t="str">
        <f t="shared" si="917"/>
        <v>2230</v>
      </c>
      <c r="K7699" s="5" t="str">
        <f t="shared" si="918"/>
        <v>000</v>
      </c>
      <c r="L7699" s="5">
        <f t="shared" si="919"/>
        <v>8</v>
      </c>
      <c r="M7699" s="5">
        <f t="shared" si="920"/>
        <v>2013</v>
      </c>
    </row>
    <row r="7700" spans="1:13" ht="15" x14ac:dyDescent="0.25">
      <c r="A7700" s="1">
        <f>DATE(2013,7,29)</f>
        <v>41484</v>
      </c>
      <c r="B7700" t="s">
        <v>19</v>
      </c>
      <c r="C7700" t="s">
        <v>6</v>
      </c>
      <c r="D7700" s="3">
        <v>4478.4061000000002</v>
      </c>
      <c r="E7700" s="3">
        <v>0</v>
      </c>
      <c r="F7700" t="s">
        <v>45</v>
      </c>
      <c r="G7700" s="3">
        <f t="shared" si="914"/>
        <v>-4478.4061000000002</v>
      </c>
      <c r="H7700" s="3">
        <f t="shared" si="915"/>
        <v>4478.4061000000002</v>
      </c>
      <c r="I7700" s="5" t="str">
        <f t="shared" si="916"/>
        <v>018</v>
      </c>
      <c r="J7700" s="5" t="str">
        <f t="shared" si="917"/>
        <v>2100</v>
      </c>
      <c r="K7700" s="5" t="str">
        <f t="shared" si="918"/>
        <v>000</v>
      </c>
      <c r="L7700" s="5">
        <f t="shared" si="919"/>
        <v>7</v>
      </c>
      <c r="M7700" s="5">
        <f t="shared" si="920"/>
        <v>2013</v>
      </c>
    </row>
    <row r="7701" spans="1:13" ht="15" x14ac:dyDescent="0.25">
      <c r="A7701" s="1">
        <f>DATE(2013,7,29)</f>
        <v>41484</v>
      </c>
      <c r="B7701" t="s">
        <v>20</v>
      </c>
      <c r="C7701" t="s">
        <v>8</v>
      </c>
      <c r="D7701" s="3">
        <v>630.8424</v>
      </c>
      <c r="E7701" s="3">
        <v>0</v>
      </c>
      <c r="F7701" t="s">
        <v>45</v>
      </c>
      <c r="G7701" s="3">
        <f t="shared" si="914"/>
        <v>-630.8424</v>
      </c>
      <c r="H7701" s="3">
        <f t="shared" si="915"/>
        <v>630.8424</v>
      </c>
      <c r="I7701" s="5" t="str">
        <f t="shared" si="916"/>
        <v>018</v>
      </c>
      <c r="J7701" s="5" t="str">
        <f t="shared" si="917"/>
        <v>2210</v>
      </c>
      <c r="K7701" s="5" t="str">
        <f t="shared" si="918"/>
        <v>000</v>
      </c>
      <c r="L7701" s="5">
        <f t="shared" si="919"/>
        <v>7</v>
      </c>
      <c r="M7701" s="5">
        <f t="shared" si="920"/>
        <v>2013</v>
      </c>
    </row>
    <row r="7702" spans="1:13" ht="15" x14ac:dyDescent="0.25">
      <c r="A7702" s="1">
        <f>DATE(2013,7,29)</f>
        <v>41484</v>
      </c>
      <c r="B7702" t="s">
        <v>21</v>
      </c>
      <c r="C7702" t="s">
        <v>9</v>
      </c>
      <c r="D7702" s="3">
        <v>288.6823</v>
      </c>
      <c r="E7702" s="3">
        <v>0</v>
      </c>
      <c r="F7702" t="s">
        <v>45</v>
      </c>
      <c r="G7702" s="3">
        <f t="shared" si="914"/>
        <v>-288.6823</v>
      </c>
      <c r="H7702" s="3">
        <f t="shared" si="915"/>
        <v>288.6823</v>
      </c>
      <c r="I7702" s="5" t="str">
        <f t="shared" si="916"/>
        <v>018</v>
      </c>
      <c r="J7702" s="5" t="str">
        <f t="shared" si="917"/>
        <v>2220</v>
      </c>
      <c r="K7702" s="5" t="str">
        <f t="shared" si="918"/>
        <v>000</v>
      </c>
      <c r="L7702" s="5">
        <f t="shared" si="919"/>
        <v>7</v>
      </c>
      <c r="M7702" s="5">
        <f t="shared" si="920"/>
        <v>2013</v>
      </c>
    </row>
    <row r="7703" spans="1:13" ht="15" x14ac:dyDescent="0.25">
      <c r="A7703" s="1">
        <f>DATE(2013,7,29)</f>
        <v>41484</v>
      </c>
      <c r="B7703" t="s">
        <v>22</v>
      </c>
      <c r="C7703" t="s">
        <v>10</v>
      </c>
      <c r="D7703" s="3">
        <v>45.336599999999997</v>
      </c>
      <c r="E7703" s="3">
        <v>0</v>
      </c>
      <c r="F7703" t="s">
        <v>45</v>
      </c>
      <c r="G7703" s="3">
        <f t="shared" si="914"/>
        <v>-45.336599999999997</v>
      </c>
      <c r="H7703" s="3">
        <f t="shared" si="915"/>
        <v>45.336599999999997</v>
      </c>
      <c r="I7703" s="5" t="str">
        <f t="shared" si="916"/>
        <v>018</v>
      </c>
      <c r="J7703" s="5" t="str">
        <f t="shared" si="917"/>
        <v>2230</v>
      </c>
      <c r="K7703" s="5" t="str">
        <f t="shared" si="918"/>
        <v>000</v>
      </c>
      <c r="L7703" s="5">
        <f t="shared" si="919"/>
        <v>7</v>
      </c>
      <c r="M7703" s="5">
        <f t="shared" si="920"/>
        <v>2013</v>
      </c>
    </row>
    <row r="7704" spans="1:13" ht="15" x14ac:dyDescent="0.25">
      <c r="A7704" s="1">
        <f>DATE(2013,7,30)</f>
        <v>41485</v>
      </c>
      <c r="B7704" t="s">
        <v>19</v>
      </c>
      <c r="C7704" t="s">
        <v>6</v>
      </c>
      <c r="D7704" s="3">
        <v>6312.598</v>
      </c>
      <c r="E7704" s="3">
        <v>0</v>
      </c>
      <c r="F7704" t="s">
        <v>45</v>
      </c>
      <c r="G7704" s="3">
        <f t="shared" si="914"/>
        <v>-6312.598</v>
      </c>
      <c r="H7704" s="3">
        <f t="shared" si="915"/>
        <v>6312.598</v>
      </c>
      <c r="I7704" s="5" t="str">
        <f t="shared" si="916"/>
        <v>018</v>
      </c>
      <c r="J7704" s="5" t="str">
        <f t="shared" si="917"/>
        <v>2100</v>
      </c>
      <c r="K7704" s="5" t="str">
        <f t="shared" si="918"/>
        <v>000</v>
      </c>
      <c r="L7704" s="5">
        <f t="shared" si="919"/>
        <v>7</v>
      </c>
      <c r="M7704" s="5">
        <f t="shared" si="920"/>
        <v>2013</v>
      </c>
    </row>
    <row r="7705" spans="1:13" ht="15" x14ac:dyDescent="0.25">
      <c r="A7705" s="1">
        <f>DATE(2013,7,30)</f>
        <v>41485</v>
      </c>
      <c r="B7705" t="s">
        <v>20</v>
      </c>
      <c r="C7705" t="s">
        <v>8</v>
      </c>
      <c r="D7705" s="3">
        <v>1153.0039999999999</v>
      </c>
      <c r="E7705" s="3">
        <v>0</v>
      </c>
      <c r="F7705" t="s">
        <v>45</v>
      </c>
      <c r="G7705" s="3">
        <f t="shared" si="914"/>
        <v>-1153.0039999999999</v>
      </c>
      <c r="H7705" s="3">
        <f t="shared" si="915"/>
        <v>1153.0039999999999</v>
      </c>
      <c r="I7705" s="5" t="str">
        <f t="shared" si="916"/>
        <v>018</v>
      </c>
      <c r="J7705" s="5" t="str">
        <f t="shared" si="917"/>
        <v>2210</v>
      </c>
      <c r="K7705" s="5" t="str">
        <f t="shared" si="918"/>
        <v>000</v>
      </c>
      <c r="L7705" s="5">
        <f t="shared" si="919"/>
        <v>7</v>
      </c>
      <c r="M7705" s="5">
        <f t="shared" si="920"/>
        <v>2013</v>
      </c>
    </row>
    <row r="7706" spans="1:13" ht="15" x14ac:dyDescent="0.25">
      <c r="A7706" s="1">
        <f>DATE(2013,7,30)</f>
        <v>41485</v>
      </c>
      <c r="B7706" t="s">
        <v>21</v>
      </c>
      <c r="C7706" t="s">
        <v>9</v>
      </c>
      <c r="D7706" s="3">
        <v>173.42080000000001</v>
      </c>
      <c r="E7706" s="3">
        <v>0</v>
      </c>
      <c r="F7706" t="s">
        <v>45</v>
      </c>
      <c r="G7706" s="3">
        <f t="shared" si="914"/>
        <v>-173.42080000000001</v>
      </c>
      <c r="H7706" s="3">
        <f t="shared" si="915"/>
        <v>173.42080000000001</v>
      </c>
      <c r="I7706" s="5" t="str">
        <f t="shared" si="916"/>
        <v>018</v>
      </c>
      <c r="J7706" s="5" t="str">
        <f t="shared" si="917"/>
        <v>2220</v>
      </c>
      <c r="K7706" s="5" t="str">
        <f t="shared" si="918"/>
        <v>000</v>
      </c>
      <c r="L7706" s="5">
        <f t="shared" si="919"/>
        <v>7</v>
      </c>
      <c r="M7706" s="5">
        <f t="shared" si="920"/>
        <v>2013</v>
      </c>
    </row>
    <row r="7707" spans="1:13" ht="15" x14ac:dyDescent="0.25">
      <c r="A7707" s="1">
        <f>DATE(2013,7,30)</f>
        <v>41485</v>
      </c>
      <c r="B7707" t="s">
        <v>22</v>
      </c>
      <c r="C7707" t="s">
        <v>10</v>
      </c>
      <c r="D7707" s="3">
        <v>50.101800000000004</v>
      </c>
      <c r="E7707" s="3">
        <v>0</v>
      </c>
      <c r="F7707" t="s">
        <v>45</v>
      </c>
      <c r="G7707" s="3">
        <f t="shared" si="914"/>
        <v>-50.101800000000004</v>
      </c>
      <c r="H7707" s="3">
        <f t="shared" si="915"/>
        <v>50.101800000000004</v>
      </c>
      <c r="I7707" s="5" t="str">
        <f t="shared" si="916"/>
        <v>018</v>
      </c>
      <c r="J7707" s="5" t="str">
        <f t="shared" si="917"/>
        <v>2230</v>
      </c>
      <c r="K7707" s="5" t="str">
        <f t="shared" si="918"/>
        <v>000</v>
      </c>
      <c r="L7707" s="5">
        <f t="shared" si="919"/>
        <v>7</v>
      </c>
      <c r="M7707" s="5">
        <f t="shared" si="920"/>
        <v>2013</v>
      </c>
    </row>
    <row r="7708" spans="1:13" ht="15" x14ac:dyDescent="0.25">
      <c r="A7708" s="1">
        <f>DATE(2013,7,31)</f>
        <v>41486</v>
      </c>
      <c r="B7708" t="s">
        <v>19</v>
      </c>
      <c r="C7708" t="s">
        <v>6</v>
      </c>
      <c r="D7708" s="3">
        <v>3805.6415999999995</v>
      </c>
      <c r="E7708" s="3">
        <v>0</v>
      </c>
      <c r="F7708" t="s">
        <v>45</v>
      </c>
      <c r="G7708" s="3">
        <f t="shared" si="914"/>
        <v>-3805.6415999999995</v>
      </c>
      <c r="H7708" s="3">
        <f t="shared" si="915"/>
        <v>3805.6415999999995</v>
      </c>
      <c r="I7708" s="5" t="str">
        <f t="shared" si="916"/>
        <v>018</v>
      </c>
      <c r="J7708" s="5" t="str">
        <f t="shared" si="917"/>
        <v>2100</v>
      </c>
      <c r="K7708" s="5" t="str">
        <f t="shared" si="918"/>
        <v>000</v>
      </c>
      <c r="L7708" s="5">
        <f t="shared" si="919"/>
        <v>7</v>
      </c>
      <c r="M7708" s="5">
        <f t="shared" si="920"/>
        <v>2013</v>
      </c>
    </row>
    <row r="7709" spans="1:13" ht="15" x14ac:dyDescent="0.25">
      <c r="A7709" s="1">
        <f>DATE(2013,7,31)</f>
        <v>41486</v>
      </c>
      <c r="B7709" t="s">
        <v>20</v>
      </c>
      <c r="C7709" t="s">
        <v>8</v>
      </c>
      <c r="D7709" s="3">
        <v>710.44960000000015</v>
      </c>
      <c r="E7709" s="3">
        <v>0</v>
      </c>
      <c r="F7709" t="s">
        <v>45</v>
      </c>
      <c r="G7709" s="3">
        <f t="shared" si="914"/>
        <v>-710.44960000000015</v>
      </c>
      <c r="H7709" s="3">
        <f t="shared" si="915"/>
        <v>710.44960000000015</v>
      </c>
      <c r="I7709" s="5" t="str">
        <f t="shared" si="916"/>
        <v>018</v>
      </c>
      <c r="J7709" s="5" t="str">
        <f t="shared" si="917"/>
        <v>2210</v>
      </c>
      <c r="K7709" s="5" t="str">
        <f t="shared" si="918"/>
        <v>000</v>
      </c>
      <c r="L7709" s="5">
        <f t="shared" si="919"/>
        <v>7</v>
      </c>
      <c r="M7709" s="5">
        <f t="shared" si="920"/>
        <v>2013</v>
      </c>
    </row>
    <row r="7710" spans="1:13" ht="15" x14ac:dyDescent="0.25">
      <c r="A7710" s="1">
        <f>DATE(2013,7,31)</f>
        <v>41486</v>
      </c>
      <c r="B7710" t="s">
        <v>21</v>
      </c>
      <c r="C7710" t="s">
        <v>9</v>
      </c>
      <c r="D7710" s="3">
        <v>313.94159999999999</v>
      </c>
      <c r="E7710" s="3">
        <v>0</v>
      </c>
      <c r="F7710" t="s">
        <v>45</v>
      </c>
      <c r="G7710" s="3">
        <f t="shared" si="914"/>
        <v>-313.94159999999999</v>
      </c>
      <c r="H7710" s="3">
        <f t="shared" si="915"/>
        <v>313.94159999999999</v>
      </c>
      <c r="I7710" s="5" t="str">
        <f t="shared" si="916"/>
        <v>018</v>
      </c>
      <c r="J7710" s="5" t="str">
        <f t="shared" si="917"/>
        <v>2220</v>
      </c>
      <c r="K7710" s="5" t="str">
        <f t="shared" si="918"/>
        <v>000</v>
      </c>
      <c r="L7710" s="5">
        <f t="shared" si="919"/>
        <v>7</v>
      </c>
      <c r="M7710" s="5">
        <f t="shared" si="920"/>
        <v>2013</v>
      </c>
    </row>
    <row r="7711" spans="1:13" ht="15" x14ac:dyDescent="0.25">
      <c r="A7711" s="1">
        <f>DATE(2013,7,31)</f>
        <v>41486</v>
      </c>
      <c r="B7711" t="s">
        <v>22</v>
      </c>
      <c r="C7711" t="s">
        <v>10</v>
      </c>
      <c r="D7711" s="3">
        <v>31.222100000000005</v>
      </c>
      <c r="E7711" s="3">
        <v>0</v>
      </c>
      <c r="F7711" t="s">
        <v>45</v>
      </c>
      <c r="G7711" s="3">
        <f t="shared" si="914"/>
        <v>-31.222100000000005</v>
      </c>
      <c r="H7711" s="3">
        <f t="shared" si="915"/>
        <v>31.222100000000005</v>
      </c>
      <c r="I7711" s="5" t="str">
        <f t="shared" si="916"/>
        <v>018</v>
      </c>
      <c r="J7711" s="5" t="str">
        <f t="shared" si="917"/>
        <v>2230</v>
      </c>
      <c r="K7711" s="5" t="str">
        <f t="shared" si="918"/>
        <v>000</v>
      </c>
      <c r="L7711" s="5">
        <f t="shared" si="919"/>
        <v>7</v>
      </c>
      <c r="M7711" s="5">
        <f t="shared" si="920"/>
        <v>2013</v>
      </c>
    </row>
    <row r="7712" spans="1:13" ht="15" x14ac:dyDescent="0.25">
      <c r="A7712" s="1">
        <f>DATE(2013,8,1)</f>
        <v>41487</v>
      </c>
      <c r="B7712" t="s">
        <v>19</v>
      </c>
      <c r="C7712" t="s">
        <v>6</v>
      </c>
      <c r="D7712" s="3">
        <v>6108.3022000000001</v>
      </c>
      <c r="E7712" s="3">
        <v>0</v>
      </c>
      <c r="F7712" t="s">
        <v>45</v>
      </c>
      <c r="G7712" s="3">
        <f t="shared" si="914"/>
        <v>-6108.3022000000001</v>
      </c>
      <c r="H7712" s="3">
        <f t="shared" si="915"/>
        <v>6108.3022000000001</v>
      </c>
      <c r="I7712" s="5" t="str">
        <f t="shared" si="916"/>
        <v>018</v>
      </c>
      <c r="J7712" s="5" t="str">
        <f t="shared" si="917"/>
        <v>2100</v>
      </c>
      <c r="K7712" s="5" t="str">
        <f t="shared" si="918"/>
        <v>000</v>
      </c>
      <c r="L7712" s="5">
        <f t="shared" si="919"/>
        <v>8</v>
      </c>
      <c r="M7712" s="5">
        <f t="shared" si="920"/>
        <v>2013</v>
      </c>
    </row>
    <row r="7713" spans="1:13" ht="15" x14ac:dyDescent="0.25">
      <c r="A7713" s="1">
        <f>DATE(2013,8,1)</f>
        <v>41487</v>
      </c>
      <c r="B7713" t="s">
        <v>20</v>
      </c>
      <c r="C7713" t="s">
        <v>8</v>
      </c>
      <c r="D7713" s="3">
        <v>1292.8081</v>
      </c>
      <c r="E7713" s="3">
        <v>0</v>
      </c>
      <c r="F7713" t="s">
        <v>45</v>
      </c>
      <c r="G7713" s="3">
        <f t="shared" si="914"/>
        <v>-1292.8081</v>
      </c>
      <c r="H7713" s="3">
        <f t="shared" si="915"/>
        <v>1292.8081</v>
      </c>
      <c r="I7713" s="5" t="str">
        <f t="shared" si="916"/>
        <v>018</v>
      </c>
      <c r="J7713" s="5" t="str">
        <f t="shared" si="917"/>
        <v>2210</v>
      </c>
      <c r="K7713" s="5" t="str">
        <f t="shared" si="918"/>
        <v>000</v>
      </c>
      <c r="L7713" s="5">
        <f t="shared" si="919"/>
        <v>8</v>
      </c>
      <c r="M7713" s="5">
        <f t="shared" si="920"/>
        <v>2013</v>
      </c>
    </row>
    <row r="7714" spans="1:13" ht="15" x14ac:dyDescent="0.25">
      <c r="A7714" s="1">
        <f>DATE(2013,8,1)</f>
        <v>41487</v>
      </c>
      <c r="B7714" t="s">
        <v>21</v>
      </c>
      <c r="C7714" t="s">
        <v>9</v>
      </c>
      <c r="D7714" s="3">
        <v>427.47200000000004</v>
      </c>
      <c r="E7714" s="3">
        <v>0</v>
      </c>
      <c r="F7714" t="s">
        <v>45</v>
      </c>
      <c r="G7714" s="3">
        <f t="shared" si="914"/>
        <v>-427.47200000000004</v>
      </c>
      <c r="H7714" s="3">
        <f t="shared" si="915"/>
        <v>427.47200000000004</v>
      </c>
      <c r="I7714" s="5" t="str">
        <f t="shared" si="916"/>
        <v>018</v>
      </c>
      <c r="J7714" s="5" t="str">
        <f t="shared" si="917"/>
        <v>2220</v>
      </c>
      <c r="K7714" s="5" t="str">
        <f t="shared" si="918"/>
        <v>000</v>
      </c>
      <c r="L7714" s="5">
        <f t="shared" si="919"/>
        <v>8</v>
      </c>
      <c r="M7714" s="5">
        <f t="shared" si="920"/>
        <v>2013</v>
      </c>
    </row>
    <row r="7715" spans="1:13" ht="15" x14ac:dyDescent="0.25">
      <c r="A7715" s="1">
        <f>DATE(2013,8,1)</f>
        <v>41487</v>
      </c>
      <c r="B7715" t="s">
        <v>22</v>
      </c>
      <c r="C7715" t="s">
        <v>10</v>
      </c>
      <c r="D7715" s="3">
        <v>20.276799999999998</v>
      </c>
      <c r="E7715" s="3">
        <v>0</v>
      </c>
      <c r="F7715" t="s">
        <v>45</v>
      </c>
      <c r="G7715" s="3">
        <f t="shared" si="914"/>
        <v>-20.276799999999998</v>
      </c>
      <c r="H7715" s="3">
        <f t="shared" si="915"/>
        <v>20.276799999999998</v>
      </c>
      <c r="I7715" s="5" t="str">
        <f t="shared" si="916"/>
        <v>018</v>
      </c>
      <c r="J7715" s="5" t="str">
        <f t="shared" si="917"/>
        <v>2230</v>
      </c>
      <c r="K7715" s="5" t="str">
        <f t="shared" si="918"/>
        <v>000</v>
      </c>
      <c r="L7715" s="5">
        <f t="shared" si="919"/>
        <v>8</v>
      </c>
      <c r="M7715" s="5">
        <f t="shared" si="920"/>
        <v>2013</v>
      </c>
    </row>
    <row r="7716" spans="1:13" ht="15" x14ac:dyDescent="0.25">
      <c r="A7716" s="1">
        <f>DATE(2013,8,2)</f>
        <v>41488</v>
      </c>
      <c r="B7716" t="s">
        <v>19</v>
      </c>
      <c r="C7716" t="s">
        <v>6</v>
      </c>
      <c r="D7716" s="3">
        <v>9762.3556000000008</v>
      </c>
      <c r="E7716" s="3">
        <v>0</v>
      </c>
      <c r="F7716" t="s">
        <v>45</v>
      </c>
      <c r="G7716" s="3">
        <f t="shared" si="914"/>
        <v>-9762.3556000000008</v>
      </c>
      <c r="H7716" s="3">
        <f t="shared" si="915"/>
        <v>9762.3556000000008</v>
      </c>
      <c r="I7716" s="5" t="str">
        <f t="shared" si="916"/>
        <v>018</v>
      </c>
      <c r="J7716" s="5" t="str">
        <f t="shared" si="917"/>
        <v>2100</v>
      </c>
      <c r="K7716" s="5" t="str">
        <f t="shared" si="918"/>
        <v>000</v>
      </c>
      <c r="L7716" s="5">
        <f t="shared" si="919"/>
        <v>8</v>
      </c>
      <c r="M7716" s="5">
        <f t="shared" si="920"/>
        <v>2013</v>
      </c>
    </row>
    <row r="7717" spans="1:13" ht="15" x14ac:dyDescent="0.25">
      <c r="A7717" s="1">
        <f>DATE(2013,8,2)</f>
        <v>41488</v>
      </c>
      <c r="B7717" t="s">
        <v>20</v>
      </c>
      <c r="C7717" t="s">
        <v>8</v>
      </c>
      <c r="D7717" s="3">
        <v>2305.3669</v>
      </c>
      <c r="E7717" s="3">
        <v>0</v>
      </c>
      <c r="F7717" t="s">
        <v>45</v>
      </c>
      <c r="G7717" s="3">
        <f t="shared" si="914"/>
        <v>-2305.3669</v>
      </c>
      <c r="H7717" s="3">
        <f t="shared" si="915"/>
        <v>2305.3669</v>
      </c>
      <c r="I7717" s="5" t="str">
        <f t="shared" si="916"/>
        <v>018</v>
      </c>
      <c r="J7717" s="5" t="str">
        <f t="shared" si="917"/>
        <v>2210</v>
      </c>
      <c r="K7717" s="5" t="str">
        <f t="shared" si="918"/>
        <v>000</v>
      </c>
      <c r="L7717" s="5">
        <f t="shared" si="919"/>
        <v>8</v>
      </c>
      <c r="M7717" s="5">
        <f t="shared" si="920"/>
        <v>2013</v>
      </c>
    </row>
    <row r="7718" spans="1:13" ht="15" x14ac:dyDescent="0.25">
      <c r="A7718" s="1">
        <f>DATE(2013,8,2)</f>
        <v>41488</v>
      </c>
      <c r="B7718" t="s">
        <v>21</v>
      </c>
      <c r="C7718" t="s">
        <v>9</v>
      </c>
      <c r="D7718" s="3">
        <v>965.84580000000005</v>
      </c>
      <c r="E7718" s="3">
        <v>0</v>
      </c>
      <c r="F7718" t="s">
        <v>45</v>
      </c>
      <c r="G7718" s="3">
        <f t="shared" si="914"/>
        <v>-965.84580000000005</v>
      </c>
      <c r="H7718" s="3">
        <f t="shared" si="915"/>
        <v>965.84580000000005</v>
      </c>
      <c r="I7718" s="5" t="str">
        <f t="shared" si="916"/>
        <v>018</v>
      </c>
      <c r="J7718" s="5" t="str">
        <f t="shared" si="917"/>
        <v>2220</v>
      </c>
      <c r="K7718" s="5" t="str">
        <f t="shared" si="918"/>
        <v>000</v>
      </c>
      <c r="L7718" s="5">
        <f t="shared" si="919"/>
        <v>8</v>
      </c>
      <c r="M7718" s="5">
        <f t="shared" si="920"/>
        <v>2013</v>
      </c>
    </row>
    <row r="7719" spans="1:13" ht="15" x14ac:dyDescent="0.25">
      <c r="A7719" s="1">
        <f>DATE(2013,8,2)</f>
        <v>41488</v>
      </c>
      <c r="B7719" t="s">
        <v>22</v>
      </c>
      <c r="C7719" t="s">
        <v>10</v>
      </c>
      <c r="D7719" s="3">
        <v>105.57559999999999</v>
      </c>
      <c r="E7719" s="3">
        <v>0</v>
      </c>
      <c r="F7719" t="s">
        <v>45</v>
      </c>
      <c r="G7719" s="3">
        <f t="shared" si="914"/>
        <v>-105.57559999999999</v>
      </c>
      <c r="H7719" s="3">
        <f t="shared" si="915"/>
        <v>105.57559999999999</v>
      </c>
      <c r="I7719" s="5" t="str">
        <f t="shared" si="916"/>
        <v>018</v>
      </c>
      <c r="J7719" s="5" t="str">
        <f t="shared" si="917"/>
        <v>2230</v>
      </c>
      <c r="K7719" s="5" t="str">
        <f t="shared" si="918"/>
        <v>000</v>
      </c>
      <c r="L7719" s="5">
        <f t="shared" si="919"/>
        <v>8</v>
      </c>
      <c r="M7719" s="5">
        <f t="shared" si="920"/>
        <v>2013</v>
      </c>
    </row>
    <row r="7720" spans="1:13" ht="15" x14ac:dyDescent="0.25">
      <c r="A7720" s="1">
        <f>DATE(2013,8,3)</f>
        <v>41489</v>
      </c>
      <c r="B7720" t="s">
        <v>19</v>
      </c>
      <c r="C7720" t="s">
        <v>6</v>
      </c>
      <c r="D7720" s="3">
        <v>14295.800500000001</v>
      </c>
      <c r="E7720" s="3">
        <v>0</v>
      </c>
      <c r="F7720" t="s">
        <v>45</v>
      </c>
      <c r="G7720" s="3">
        <f t="shared" si="914"/>
        <v>-14295.800500000001</v>
      </c>
      <c r="H7720" s="3">
        <f t="shared" si="915"/>
        <v>14295.800500000001</v>
      </c>
      <c r="I7720" s="5" t="str">
        <f t="shared" si="916"/>
        <v>018</v>
      </c>
      <c r="J7720" s="5" t="str">
        <f t="shared" si="917"/>
        <v>2100</v>
      </c>
      <c r="K7720" s="5" t="str">
        <f t="shared" si="918"/>
        <v>000</v>
      </c>
      <c r="L7720" s="5">
        <f t="shared" si="919"/>
        <v>8</v>
      </c>
      <c r="M7720" s="5">
        <f t="shared" si="920"/>
        <v>2013</v>
      </c>
    </row>
    <row r="7721" spans="1:13" ht="15" x14ac:dyDescent="0.25">
      <c r="A7721" s="1">
        <f>DATE(2013,8,3)</f>
        <v>41489</v>
      </c>
      <c r="B7721" t="s">
        <v>20</v>
      </c>
      <c r="C7721" t="s">
        <v>8</v>
      </c>
      <c r="D7721" s="3">
        <v>2504.1932999999999</v>
      </c>
      <c r="E7721" s="3">
        <v>0</v>
      </c>
      <c r="F7721" t="s">
        <v>45</v>
      </c>
      <c r="G7721" s="3">
        <f t="shared" si="914"/>
        <v>-2504.1932999999999</v>
      </c>
      <c r="H7721" s="3">
        <f t="shared" si="915"/>
        <v>2504.1932999999999</v>
      </c>
      <c r="I7721" s="5" t="str">
        <f t="shared" si="916"/>
        <v>018</v>
      </c>
      <c r="J7721" s="5" t="str">
        <f t="shared" si="917"/>
        <v>2210</v>
      </c>
      <c r="K7721" s="5" t="str">
        <f t="shared" si="918"/>
        <v>000</v>
      </c>
      <c r="L7721" s="5">
        <f t="shared" si="919"/>
        <v>8</v>
      </c>
      <c r="M7721" s="5">
        <f t="shared" si="920"/>
        <v>2013</v>
      </c>
    </row>
    <row r="7722" spans="1:13" ht="15" x14ac:dyDescent="0.25">
      <c r="A7722" s="1">
        <f>DATE(2013,8,3)</f>
        <v>41489</v>
      </c>
      <c r="B7722" t="s">
        <v>21</v>
      </c>
      <c r="C7722" t="s">
        <v>9</v>
      </c>
      <c r="D7722" s="3">
        <v>644.68200000000002</v>
      </c>
      <c r="E7722" s="3">
        <v>0</v>
      </c>
      <c r="F7722" t="s">
        <v>45</v>
      </c>
      <c r="G7722" s="3">
        <f t="shared" si="914"/>
        <v>-644.68200000000002</v>
      </c>
      <c r="H7722" s="3">
        <f t="shared" si="915"/>
        <v>644.68200000000002</v>
      </c>
      <c r="I7722" s="5" t="str">
        <f t="shared" si="916"/>
        <v>018</v>
      </c>
      <c r="J7722" s="5" t="str">
        <f t="shared" si="917"/>
        <v>2220</v>
      </c>
      <c r="K7722" s="5" t="str">
        <f t="shared" si="918"/>
        <v>000</v>
      </c>
      <c r="L7722" s="5">
        <f t="shared" si="919"/>
        <v>8</v>
      </c>
      <c r="M7722" s="5">
        <f t="shared" si="920"/>
        <v>2013</v>
      </c>
    </row>
    <row r="7723" spans="1:13" ht="15" x14ac:dyDescent="0.25">
      <c r="A7723" s="1">
        <f>DATE(2013,8,3)</f>
        <v>41489</v>
      </c>
      <c r="B7723" t="s">
        <v>22</v>
      </c>
      <c r="C7723" t="s">
        <v>10</v>
      </c>
      <c r="D7723" s="3">
        <v>166.5146</v>
      </c>
      <c r="E7723" s="3">
        <v>0</v>
      </c>
      <c r="F7723" t="s">
        <v>45</v>
      </c>
      <c r="G7723" s="3">
        <f t="shared" si="914"/>
        <v>-166.5146</v>
      </c>
      <c r="H7723" s="3">
        <f t="shared" si="915"/>
        <v>166.5146</v>
      </c>
      <c r="I7723" s="5" t="str">
        <f t="shared" si="916"/>
        <v>018</v>
      </c>
      <c r="J7723" s="5" t="str">
        <f t="shared" si="917"/>
        <v>2230</v>
      </c>
      <c r="K7723" s="5" t="str">
        <f t="shared" si="918"/>
        <v>000</v>
      </c>
      <c r="L7723" s="5">
        <f t="shared" si="919"/>
        <v>8</v>
      </c>
      <c r="M7723" s="5">
        <f t="shared" si="920"/>
        <v>2013</v>
      </c>
    </row>
    <row r="7724" spans="1:13" ht="15" x14ac:dyDescent="0.25">
      <c r="A7724" s="1">
        <f>DATE(2013,8,4)</f>
        <v>41490</v>
      </c>
      <c r="B7724" t="s">
        <v>19</v>
      </c>
      <c r="C7724" t="s">
        <v>6</v>
      </c>
      <c r="D7724" s="3">
        <v>8898.5720000000001</v>
      </c>
      <c r="E7724" s="3">
        <v>0</v>
      </c>
      <c r="F7724" t="s">
        <v>45</v>
      </c>
      <c r="G7724" s="3">
        <f t="shared" si="914"/>
        <v>-8898.5720000000001</v>
      </c>
      <c r="H7724" s="3">
        <f t="shared" si="915"/>
        <v>8898.5720000000001</v>
      </c>
      <c r="I7724" s="5" t="str">
        <f t="shared" si="916"/>
        <v>018</v>
      </c>
      <c r="J7724" s="5" t="str">
        <f t="shared" si="917"/>
        <v>2100</v>
      </c>
      <c r="K7724" s="5" t="str">
        <f t="shared" si="918"/>
        <v>000</v>
      </c>
      <c r="L7724" s="5">
        <f t="shared" si="919"/>
        <v>8</v>
      </c>
      <c r="M7724" s="5">
        <f t="shared" si="920"/>
        <v>2013</v>
      </c>
    </row>
    <row r="7725" spans="1:13" ht="15" x14ac:dyDescent="0.25">
      <c r="A7725" s="1">
        <f>DATE(2013,8,4)</f>
        <v>41490</v>
      </c>
      <c r="B7725" t="s">
        <v>20</v>
      </c>
      <c r="C7725" t="s">
        <v>8</v>
      </c>
      <c r="D7725" s="3">
        <v>1689.6243000000002</v>
      </c>
      <c r="E7725" s="3">
        <v>0</v>
      </c>
      <c r="F7725" t="s">
        <v>45</v>
      </c>
      <c r="G7725" s="3">
        <f t="shared" si="914"/>
        <v>-1689.6243000000002</v>
      </c>
      <c r="H7725" s="3">
        <f t="shared" si="915"/>
        <v>1689.6243000000002</v>
      </c>
      <c r="I7725" s="5" t="str">
        <f t="shared" si="916"/>
        <v>018</v>
      </c>
      <c r="J7725" s="5" t="str">
        <f t="shared" si="917"/>
        <v>2210</v>
      </c>
      <c r="K7725" s="5" t="str">
        <f t="shared" si="918"/>
        <v>000</v>
      </c>
      <c r="L7725" s="5">
        <f t="shared" si="919"/>
        <v>8</v>
      </c>
      <c r="M7725" s="5">
        <f t="shared" si="920"/>
        <v>2013</v>
      </c>
    </row>
    <row r="7726" spans="1:13" ht="15" x14ac:dyDescent="0.25">
      <c r="A7726" s="1">
        <f>DATE(2013,8,4)</f>
        <v>41490</v>
      </c>
      <c r="B7726" t="s">
        <v>21</v>
      </c>
      <c r="C7726" t="s">
        <v>9</v>
      </c>
      <c r="D7726" s="3">
        <v>299.03579999999999</v>
      </c>
      <c r="E7726" s="3">
        <v>0</v>
      </c>
      <c r="F7726" t="s">
        <v>45</v>
      </c>
      <c r="G7726" s="3">
        <f t="shared" si="914"/>
        <v>-299.03579999999999</v>
      </c>
      <c r="H7726" s="3">
        <f t="shared" si="915"/>
        <v>299.03579999999999</v>
      </c>
      <c r="I7726" s="5" t="str">
        <f t="shared" si="916"/>
        <v>018</v>
      </c>
      <c r="J7726" s="5" t="str">
        <f t="shared" si="917"/>
        <v>2220</v>
      </c>
      <c r="K7726" s="5" t="str">
        <f t="shared" si="918"/>
        <v>000</v>
      </c>
      <c r="L7726" s="5">
        <f t="shared" si="919"/>
        <v>8</v>
      </c>
      <c r="M7726" s="5">
        <f t="shared" si="920"/>
        <v>2013</v>
      </c>
    </row>
    <row r="7727" spans="1:13" ht="15" x14ac:dyDescent="0.25">
      <c r="A7727" s="1">
        <f>DATE(2013,8,4)</f>
        <v>41490</v>
      </c>
      <c r="B7727" t="s">
        <v>22</v>
      </c>
      <c r="C7727" t="s">
        <v>10</v>
      </c>
      <c r="D7727" s="3">
        <v>81.675599999999989</v>
      </c>
      <c r="E7727" s="3">
        <v>0</v>
      </c>
      <c r="F7727" t="s">
        <v>45</v>
      </c>
      <c r="G7727" s="3">
        <f t="shared" si="914"/>
        <v>-81.675599999999989</v>
      </c>
      <c r="H7727" s="3">
        <f t="shared" si="915"/>
        <v>81.675599999999989</v>
      </c>
      <c r="I7727" s="5" t="str">
        <f t="shared" si="916"/>
        <v>018</v>
      </c>
      <c r="J7727" s="5" t="str">
        <f t="shared" si="917"/>
        <v>2230</v>
      </c>
      <c r="K7727" s="5" t="str">
        <f t="shared" si="918"/>
        <v>000</v>
      </c>
      <c r="L7727" s="5">
        <f t="shared" si="919"/>
        <v>8</v>
      </c>
      <c r="M7727" s="5">
        <f t="shared" si="920"/>
        <v>2013</v>
      </c>
    </row>
    <row r="7728" spans="1:13" ht="15" x14ac:dyDescent="0.25">
      <c r="A7728" s="1">
        <f>DATE(2013,7,29)</f>
        <v>41484</v>
      </c>
      <c r="B7728" t="s">
        <v>23</v>
      </c>
      <c r="C7728" t="s">
        <v>6</v>
      </c>
      <c r="D7728" s="3">
        <v>3426.7878999999998</v>
      </c>
      <c r="E7728" s="3">
        <v>0</v>
      </c>
      <c r="F7728" t="s">
        <v>45</v>
      </c>
      <c r="G7728" s="3">
        <f t="shared" si="914"/>
        <v>-3426.7878999999998</v>
      </c>
      <c r="H7728" s="3">
        <f t="shared" si="915"/>
        <v>3426.7878999999998</v>
      </c>
      <c r="I7728" s="5" t="str">
        <f t="shared" si="916"/>
        <v>019</v>
      </c>
      <c r="J7728" s="5" t="str">
        <f t="shared" si="917"/>
        <v>2100</v>
      </c>
      <c r="K7728" s="5" t="str">
        <f t="shared" si="918"/>
        <v>000</v>
      </c>
      <c r="L7728" s="5">
        <f t="shared" si="919"/>
        <v>7</v>
      </c>
      <c r="M7728" s="5">
        <f t="shared" si="920"/>
        <v>2013</v>
      </c>
    </row>
    <row r="7729" spans="1:13" ht="15" x14ac:dyDescent="0.25">
      <c r="A7729" s="1">
        <f>DATE(2013,7,29)</f>
        <v>41484</v>
      </c>
      <c r="B7729" t="s">
        <v>24</v>
      </c>
      <c r="C7729" t="s">
        <v>8</v>
      </c>
      <c r="D7729" s="3">
        <v>932.58600000000001</v>
      </c>
      <c r="E7729" s="3">
        <v>0</v>
      </c>
      <c r="F7729" t="s">
        <v>45</v>
      </c>
      <c r="G7729" s="3">
        <f t="shared" si="914"/>
        <v>-932.58600000000001</v>
      </c>
      <c r="H7729" s="3">
        <f t="shared" si="915"/>
        <v>932.58600000000001</v>
      </c>
      <c r="I7729" s="5" t="str">
        <f t="shared" si="916"/>
        <v>019</v>
      </c>
      <c r="J7729" s="5" t="str">
        <f t="shared" si="917"/>
        <v>2210</v>
      </c>
      <c r="K7729" s="5" t="str">
        <f t="shared" si="918"/>
        <v>000</v>
      </c>
      <c r="L7729" s="5">
        <f t="shared" si="919"/>
        <v>7</v>
      </c>
      <c r="M7729" s="5">
        <f t="shared" si="920"/>
        <v>2013</v>
      </c>
    </row>
    <row r="7730" spans="1:13" ht="15" x14ac:dyDescent="0.25">
      <c r="A7730" s="1">
        <f>DATE(2013,7,29)</f>
        <v>41484</v>
      </c>
      <c r="B7730" t="s">
        <v>25</v>
      </c>
      <c r="C7730" t="s">
        <v>9</v>
      </c>
      <c r="D7730" s="3">
        <v>172.56959999999998</v>
      </c>
      <c r="E7730" s="3">
        <v>0</v>
      </c>
      <c r="F7730" t="s">
        <v>45</v>
      </c>
      <c r="G7730" s="3">
        <f t="shared" si="914"/>
        <v>-172.56959999999998</v>
      </c>
      <c r="H7730" s="3">
        <f t="shared" si="915"/>
        <v>172.56959999999998</v>
      </c>
      <c r="I7730" s="5" t="str">
        <f t="shared" si="916"/>
        <v>019</v>
      </c>
      <c r="J7730" s="5" t="str">
        <f t="shared" si="917"/>
        <v>2220</v>
      </c>
      <c r="K7730" s="5" t="str">
        <f t="shared" si="918"/>
        <v>000</v>
      </c>
      <c r="L7730" s="5">
        <f t="shared" si="919"/>
        <v>7</v>
      </c>
      <c r="M7730" s="5">
        <f t="shared" si="920"/>
        <v>2013</v>
      </c>
    </row>
    <row r="7731" spans="1:13" ht="15" x14ac:dyDescent="0.25">
      <c r="A7731" s="1">
        <f>DATE(2013,7,29)</f>
        <v>41484</v>
      </c>
      <c r="B7731" t="s">
        <v>26</v>
      </c>
      <c r="C7731" t="s">
        <v>10</v>
      </c>
      <c r="D7731" s="3">
        <v>19.2423</v>
      </c>
      <c r="E7731" s="3">
        <v>0</v>
      </c>
      <c r="F7731" t="s">
        <v>45</v>
      </c>
      <c r="G7731" s="3">
        <f t="shared" si="914"/>
        <v>-19.2423</v>
      </c>
      <c r="H7731" s="3">
        <f t="shared" si="915"/>
        <v>19.2423</v>
      </c>
      <c r="I7731" s="5" t="str">
        <f t="shared" si="916"/>
        <v>019</v>
      </c>
      <c r="J7731" s="5" t="str">
        <f t="shared" si="917"/>
        <v>2230</v>
      </c>
      <c r="K7731" s="5" t="str">
        <f t="shared" si="918"/>
        <v>000</v>
      </c>
      <c r="L7731" s="5">
        <f t="shared" si="919"/>
        <v>7</v>
      </c>
      <c r="M7731" s="5">
        <f t="shared" si="920"/>
        <v>2013</v>
      </c>
    </row>
    <row r="7732" spans="1:13" ht="15" x14ac:dyDescent="0.25">
      <c r="A7732" s="1">
        <f>DATE(2013,7,30)</f>
        <v>41485</v>
      </c>
      <c r="B7732" t="s">
        <v>23</v>
      </c>
      <c r="C7732" t="s">
        <v>6</v>
      </c>
      <c r="D7732" s="3">
        <v>4050.3982000000001</v>
      </c>
      <c r="E7732" s="3">
        <v>0</v>
      </c>
      <c r="F7732" t="s">
        <v>45</v>
      </c>
      <c r="G7732" s="3">
        <f t="shared" si="914"/>
        <v>-4050.3982000000001</v>
      </c>
      <c r="H7732" s="3">
        <f t="shared" si="915"/>
        <v>4050.3982000000001</v>
      </c>
      <c r="I7732" s="5" t="str">
        <f t="shared" si="916"/>
        <v>019</v>
      </c>
      <c r="J7732" s="5" t="str">
        <f t="shared" si="917"/>
        <v>2100</v>
      </c>
      <c r="K7732" s="5" t="str">
        <f t="shared" si="918"/>
        <v>000</v>
      </c>
      <c r="L7732" s="5">
        <f t="shared" si="919"/>
        <v>7</v>
      </c>
      <c r="M7732" s="5">
        <f t="shared" si="920"/>
        <v>2013</v>
      </c>
    </row>
    <row r="7733" spans="1:13" ht="15" x14ac:dyDescent="0.25">
      <c r="A7733" s="1">
        <f>DATE(2013,7,30)</f>
        <v>41485</v>
      </c>
      <c r="B7733" t="s">
        <v>24</v>
      </c>
      <c r="C7733" t="s">
        <v>8</v>
      </c>
      <c r="D7733" s="3">
        <v>1077.5544</v>
      </c>
      <c r="E7733" s="3">
        <v>0</v>
      </c>
      <c r="F7733" t="s">
        <v>45</v>
      </c>
      <c r="G7733" s="3">
        <f t="shared" si="914"/>
        <v>-1077.5544</v>
      </c>
      <c r="H7733" s="3">
        <f t="shared" si="915"/>
        <v>1077.5544</v>
      </c>
      <c r="I7733" s="5" t="str">
        <f t="shared" si="916"/>
        <v>019</v>
      </c>
      <c r="J7733" s="5" t="str">
        <f t="shared" si="917"/>
        <v>2210</v>
      </c>
      <c r="K7733" s="5" t="str">
        <f t="shared" si="918"/>
        <v>000</v>
      </c>
      <c r="L7733" s="5">
        <f t="shared" si="919"/>
        <v>7</v>
      </c>
      <c r="M7733" s="5">
        <f t="shared" si="920"/>
        <v>2013</v>
      </c>
    </row>
    <row r="7734" spans="1:13" ht="15" x14ac:dyDescent="0.25">
      <c r="A7734" s="1">
        <f>DATE(2013,7,30)</f>
        <v>41485</v>
      </c>
      <c r="B7734" t="s">
        <v>25</v>
      </c>
      <c r="C7734" t="s">
        <v>9</v>
      </c>
      <c r="D7734" s="3">
        <v>119.66900000000001</v>
      </c>
      <c r="E7734" s="3">
        <v>0</v>
      </c>
      <c r="F7734" t="s">
        <v>45</v>
      </c>
      <c r="G7734" s="3">
        <f t="shared" si="914"/>
        <v>-119.66900000000001</v>
      </c>
      <c r="H7734" s="3">
        <f t="shared" si="915"/>
        <v>119.66900000000001</v>
      </c>
      <c r="I7734" s="5" t="str">
        <f t="shared" si="916"/>
        <v>019</v>
      </c>
      <c r="J7734" s="5" t="str">
        <f t="shared" si="917"/>
        <v>2220</v>
      </c>
      <c r="K7734" s="5" t="str">
        <f t="shared" si="918"/>
        <v>000</v>
      </c>
      <c r="L7734" s="5">
        <f t="shared" si="919"/>
        <v>7</v>
      </c>
      <c r="M7734" s="5">
        <f t="shared" si="920"/>
        <v>2013</v>
      </c>
    </row>
    <row r="7735" spans="1:13" ht="15" x14ac:dyDescent="0.25">
      <c r="A7735" s="1">
        <f>DATE(2013,7,30)</f>
        <v>41485</v>
      </c>
      <c r="B7735" t="s">
        <v>26</v>
      </c>
      <c r="C7735" t="s">
        <v>10</v>
      </c>
      <c r="D7735" s="3">
        <v>81.43419999999999</v>
      </c>
      <c r="E7735" s="3">
        <v>0</v>
      </c>
      <c r="F7735" t="s">
        <v>45</v>
      </c>
      <c r="G7735" s="3">
        <f t="shared" si="914"/>
        <v>-81.43419999999999</v>
      </c>
      <c r="H7735" s="3">
        <f t="shared" si="915"/>
        <v>81.43419999999999</v>
      </c>
      <c r="I7735" s="5" t="str">
        <f t="shared" si="916"/>
        <v>019</v>
      </c>
      <c r="J7735" s="5" t="str">
        <f t="shared" si="917"/>
        <v>2230</v>
      </c>
      <c r="K7735" s="5" t="str">
        <f t="shared" si="918"/>
        <v>000</v>
      </c>
      <c r="L7735" s="5">
        <f t="shared" si="919"/>
        <v>7</v>
      </c>
      <c r="M7735" s="5">
        <f t="shared" si="920"/>
        <v>2013</v>
      </c>
    </row>
    <row r="7736" spans="1:13" ht="15" x14ac:dyDescent="0.25">
      <c r="A7736" s="1">
        <f>DATE(2013,7,31)</f>
        <v>41486</v>
      </c>
      <c r="B7736" t="s">
        <v>23</v>
      </c>
      <c r="C7736" t="s">
        <v>6</v>
      </c>
      <c r="D7736" s="3">
        <v>4292.8242</v>
      </c>
      <c r="E7736" s="3">
        <v>0</v>
      </c>
      <c r="F7736" t="s">
        <v>45</v>
      </c>
      <c r="G7736" s="3">
        <f t="shared" si="914"/>
        <v>-4292.8242</v>
      </c>
      <c r="H7736" s="3">
        <f t="shared" si="915"/>
        <v>4292.8242</v>
      </c>
      <c r="I7736" s="5" t="str">
        <f t="shared" si="916"/>
        <v>019</v>
      </c>
      <c r="J7736" s="5" t="str">
        <f t="shared" si="917"/>
        <v>2100</v>
      </c>
      <c r="K7736" s="5" t="str">
        <f t="shared" si="918"/>
        <v>000</v>
      </c>
      <c r="L7736" s="5">
        <f t="shared" si="919"/>
        <v>7</v>
      </c>
      <c r="M7736" s="5">
        <f t="shared" si="920"/>
        <v>2013</v>
      </c>
    </row>
    <row r="7737" spans="1:13" ht="15" x14ac:dyDescent="0.25">
      <c r="A7737" s="1">
        <f>DATE(2013,7,31)</f>
        <v>41486</v>
      </c>
      <c r="B7737" t="s">
        <v>24</v>
      </c>
      <c r="C7737" t="s">
        <v>8</v>
      </c>
      <c r="D7737" s="3">
        <v>1357.7655</v>
      </c>
      <c r="E7737" s="3">
        <v>0</v>
      </c>
      <c r="F7737" t="s">
        <v>45</v>
      </c>
      <c r="G7737" s="3">
        <f t="shared" si="914"/>
        <v>-1357.7655</v>
      </c>
      <c r="H7737" s="3">
        <f t="shared" si="915"/>
        <v>1357.7655</v>
      </c>
      <c r="I7737" s="5" t="str">
        <f t="shared" si="916"/>
        <v>019</v>
      </c>
      <c r="J7737" s="5" t="str">
        <f t="shared" si="917"/>
        <v>2210</v>
      </c>
      <c r="K7737" s="5" t="str">
        <f t="shared" si="918"/>
        <v>000</v>
      </c>
      <c r="L7737" s="5">
        <f t="shared" si="919"/>
        <v>7</v>
      </c>
      <c r="M7737" s="5">
        <f t="shared" si="920"/>
        <v>2013</v>
      </c>
    </row>
    <row r="7738" spans="1:13" ht="15" x14ac:dyDescent="0.25">
      <c r="A7738" s="1">
        <f>DATE(2013,7,31)</f>
        <v>41486</v>
      </c>
      <c r="B7738" t="s">
        <v>25</v>
      </c>
      <c r="C7738" t="s">
        <v>9</v>
      </c>
      <c r="D7738" s="3">
        <v>240.00479999999996</v>
      </c>
      <c r="E7738" s="3">
        <v>0</v>
      </c>
      <c r="F7738" t="s">
        <v>45</v>
      </c>
      <c r="G7738" s="3">
        <f t="shared" si="914"/>
        <v>-240.00479999999996</v>
      </c>
      <c r="H7738" s="3">
        <f t="shared" si="915"/>
        <v>240.00479999999996</v>
      </c>
      <c r="I7738" s="5" t="str">
        <f t="shared" si="916"/>
        <v>019</v>
      </c>
      <c r="J7738" s="5" t="str">
        <f t="shared" si="917"/>
        <v>2220</v>
      </c>
      <c r="K7738" s="5" t="str">
        <f t="shared" si="918"/>
        <v>000</v>
      </c>
      <c r="L7738" s="5">
        <f t="shared" si="919"/>
        <v>7</v>
      </c>
      <c r="M7738" s="5">
        <f t="shared" si="920"/>
        <v>2013</v>
      </c>
    </row>
    <row r="7739" spans="1:13" ht="15" x14ac:dyDescent="0.25">
      <c r="A7739" s="1">
        <f>DATE(2013,7,31)</f>
        <v>41486</v>
      </c>
      <c r="B7739" t="s">
        <v>26</v>
      </c>
      <c r="C7739" t="s">
        <v>10</v>
      </c>
      <c r="D7739" s="3">
        <v>57.367799999999995</v>
      </c>
      <c r="E7739" s="3">
        <v>0</v>
      </c>
      <c r="F7739" t="s">
        <v>45</v>
      </c>
      <c r="G7739" s="3">
        <f t="shared" si="914"/>
        <v>-57.367799999999995</v>
      </c>
      <c r="H7739" s="3">
        <f t="shared" si="915"/>
        <v>57.367799999999995</v>
      </c>
      <c r="I7739" s="5" t="str">
        <f t="shared" si="916"/>
        <v>019</v>
      </c>
      <c r="J7739" s="5" t="str">
        <f t="shared" si="917"/>
        <v>2230</v>
      </c>
      <c r="K7739" s="5" t="str">
        <f t="shared" si="918"/>
        <v>000</v>
      </c>
      <c r="L7739" s="5">
        <f t="shared" si="919"/>
        <v>7</v>
      </c>
      <c r="M7739" s="5">
        <f t="shared" si="920"/>
        <v>2013</v>
      </c>
    </row>
    <row r="7740" spans="1:13" ht="15" x14ac:dyDescent="0.25">
      <c r="A7740" s="1">
        <f>DATE(2013,8,1)</f>
        <v>41487</v>
      </c>
      <c r="B7740" t="s">
        <v>23</v>
      </c>
      <c r="C7740" t="s">
        <v>6</v>
      </c>
      <c r="D7740" s="3">
        <v>3750.8508000000002</v>
      </c>
      <c r="E7740" s="3">
        <v>0</v>
      </c>
      <c r="F7740" t="s">
        <v>45</v>
      </c>
      <c r="G7740" s="3">
        <f t="shared" si="914"/>
        <v>-3750.8508000000002</v>
      </c>
      <c r="H7740" s="3">
        <f t="shared" si="915"/>
        <v>3750.8508000000002</v>
      </c>
      <c r="I7740" s="5" t="str">
        <f t="shared" si="916"/>
        <v>019</v>
      </c>
      <c r="J7740" s="5" t="str">
        <f t="shared" si="917"/>
        <v>2100</v>
      </c>
      <c r="K7740" s="5" t="str">
        <f t="shared" si="918"/>
        <v>000</v>
      </c>
      <c r="L7740" s="5">
        <f t="shared" si="919"/>
        <v>8</v>
      </c>
      <c r="M7740" s="5">
        <f t="shared" si="920"/>
        <v>2013</v>
      </c>
    </row>
    <row r="7741" spans="1:13" ht="15" x14ac:dyDescent="0.25">
      <c r="A7741" s="1">
        <f>DATE(2013,8,1)</f>
        <v>41487</v>
      </c>
      <c r="B7741" t="s">
        <v>24</v>
      </c>
      <c r="C7741" t="s">
        <v>8</v>
      </c>
      <c r="D7741" s="3">
        <v>1509.8843999999999</v>
      </c>
      <c r="E7741" s="3">
        <v>0</v>
      </c>
      <c r="F7741" t="s">
        <v>45</v>
      </c>
      <c r="G7741" s="3">
        <f t="shared" si="914"/>
        <v>-1509.8843999999999</v>
      </c>
      <c r="H7741" s="3">
        <f t="shared" si="915"/>
        <v>1509.8843999999999</v>
      </c>
      <c r="I7741" s="5" t="str">
        <f t="shared" si="916"/>
        <v>019</v>
      </c>
      <c r="J7741" s="5" t="str">
        <f t="shared" si="917"/>
        <v>2210</v>
      </c>
      <c r="K7741" s="5" t="str">
        <f t="shared" si="918"/>
        <v>000</v>
      </c>
      <c r="L7741" s="5">
        <f t="shared" si="919"/>
        <v>8</v>
      </c>
      <c r="M7741" s="5">
        <f t="shared" si="920"/>
        <v>2013</v>
      </c>
    </row>
    <row r="7742" spans="1:13" ht="15" x14ac:dyDescent="0.25">
      <c r="A7742" s="1">
        <f>DATE(2013,8,1)</f>
        <v>41487</v>
      </c>
      <c r="B7742" t="s">
        <v>25</v>
      </c>
      <c r="C7742" t="s">
        <v>9</v>
      </c>
      <c r="D7742" s="3">
        <v>284.85540000000003</v>
      </c>
      <c r="E7742" s="3">
        <v>0</v>
      </c>
      <c r="F7742" t="s">
        <v>45</v>
      </c>
      <c r="G7742" s="3">
        <f t="shared" si="914"/>
        <v>-284.85540000000003</v>
      </c>
      <c r="H7742" s="3">
        <f t="shared" si="915"/>
        <v>284.85540000000003</v>
      </c>
      <c r="I7742" s="5" t="str">
        <f t="shared" si="916"/>
        <v>019</v>
      </c>
      <c r="J7742" s="5" t="str">
        <f t="shared" si="917"/>
        <v>2220</v>
      </c>
      <c r="K7742" s="5" t="str">
        <f t="shared" si="918"/>
        <v>000</v>
      </c>
      <c r="L7742" s="5">
        <f t="shared" si="919"/>
        <v>8</v>
      </c>
      <c r="M7742" s="5">
        <f t="shared" si="920"/>
        <v>2013</v>
      </c>
    </row>
    <row r="7743" spans="1:13" ht="15" x14ac:dyDescent="0.25">
      <c r="A7743" s="1">
        <f>DATE(2013,8,1)</f>
        <v>41487</v>
      </c>
      <c r="B7743" t="s">
        <v>26</v>
      </c>
      <c r="C7743" t="s">
        <v>10</v>
      </c>
      <c r="D7743" s="3">
        <v>13.2286</v>
      </c>
      <c r="E7743" s="3">
        <v>0</v>
      </c>
      <c r="F7743" t="s">
        <v>45</v>
      </c>
      <c r="G7743" s="3">
        <f t="shared" si="914"/>
        <v>-13.2286</v>
      </c>
      <c r="H7743" s="3">
        <f t="shared" si="915"/>
        <v>13.2286</v>
      </c>
      <c r="I7743" s="5" t="str">
        <f t="shared" si="916"/>
        <v>019</v>
      </c>
      <c r="J7743" s="5" t="str">
        <f t="shared" si="917"/>
        <v>2230</v>
      </c>
      <c r="K7743" s="5" t="str">
        <f t="shared" si="918"/>
        <v>000</v>
      </c>
      <c r="L7743" s="5">
        <f t="shared" si="919"/>
        <v>8</v>
      </c>
      <c r="M7743" s="5">
        <f t="shared" si="920"/>
        <v>2013</v>
      </c>
    </row>
    <row r="7744" spans="1:13" ht="15" x14ac:dyDescent="0.25">
      <c r="A7744" s="1">
        <f>DATE(2013,8,2)</f>
        <v>41488</v>
      </c>
      <c r="B7744" t="s">
        <v>23</v>
      </c>
      <c r="C7744" t="s">
        <v>6</v>
      </c>
      <c r="D7744" s="3">
        <v>5350.7739999999994</v>
      </c>
      <c r="E7744" s="3">
        <v>0</v>
      </c>
      <c r="F7744" t="s">
        <v>45</v>
      </c>
      <c r="G7744" s="3">
        <f t="shared" si="914"/>
        <v>-5350.7739999999994</v>
      </c>
      <c r="H7744" s="3">
        <f t="shared" si="915"/>
        <v>5350.7739999999994</v>
      </c>
      <c r="I7744" s="5" t="str">
        <f t="shared" si="916"/>
        <v>019</v>
      </c>
      <c r="J7744" s="5" t="str">
        <f t="shared" si="917"/>
        <v>2100</v>
      </c>
      <c r="K7744" s="5" t="str">
        <f t="shared" si="918"/>
        <v>000</v>
      </c>
      <c r="L7744" s="5">
        <f t="shared" si="919"/>
        <v>8</v>
      </c>
      <c r="M7744" s="5">
        <f t="shared" si="920"/>
        <v>2013</v>
      </c>
    </row>
    <row r="7745" spans="1:13" ht="15" x14ac:dyDescent="0.25">
      <c r="A7745" s="1">
        <f>DATE(2013,8,2)</f>
        <v>41488</v>
      </c>
      <c r="B7745" t="s">
        <v>24</v>
      </c>
      <c r="C7745" t="s">
        <v>8</v>
      </c>
      <c r="D7745" s="3">
        <v>2130.9490000000001</v>
      </c>
      <c r="E7745" s="3">
        <v>0</v>
      </c>
      <c r="F7745" t="s">
        <v>45</v>
      </c>
      <c r="G7745" s="3">
        <f t="shared" si="914"/>
        <v>-2130.9490000000001</v>
      </c>
      <c r="H7745" s="3">
        <f t="shared" si="915"/>
        <v>2130.9490000000001</v>
      </c>
      <c r="I7745" s="5" t="str">
        <f t="shared" si="916"/>
        <v>019</v>
      </c>
      <c r="J7745" s="5" t="str">
        <f t="shared" si="917"/>
        <v>2210</v>
      </c>
      <c r="K7745" s="5" t="str">
        <f t="shared" si="918"/>
        <v>000</v>
      </c>
      <c r="L7745" s="5">
        <f t="shared" si="919"/>
        <v>8</v>
      </c>
      <c r="M7745" s="5">
        <f t="shared" si="920"/>
        <v>2013</v>
      </c>
    </row>
    <row r="7746" spans="1:13" ht="15" x14ac:dyDescent="0.25">
      <c r="A7746" s="1">
        <f>DATE(2013,8,2)</f>
        <v>41488</v>
      </c>
      <c r="B7746" t="s">
        <v>25</v>
      </c>
      <c r="C7746" t="s">
        <v>9</v>
      </c>
      <c r="D7746" s="3">
        <v>604.63130000000001</v>
      </c>
      <c r="E7746" s="3">
        <v>0</v>
      </c>
      <c r="F7746" t="s">
        <v>45</v>
      </c>
      <c r="G7746" s="3">
        <f t="shared" ref="G7746:G7809" si="921">E7746-D7746</f>
        <v>-604.63130000000001</v>
      </c>
      <c r="H7746" s="3">
        <f t="shared" ref="H7746:H7809" si="922">ABS(G7746)</f>
        <v>604.63130000000001</v>
      </c>
      <c r="I7746" s="5" t="str">
        <f t="shared" ref="I7746:I7809" si="923">MID(B7746,1,3)</f>
        <v>019</v>
      </c>
      <c r="J7746" s="5" t="str">
        <f t="shared" ref="J7746:J7809" si="924">MID(B7746,5,4)</f>
        <v>2220</v>
      </c>
      <c r="K7746" s="5" t="str">
        <f t="shared" ref="K7746:K7809" si="925">MID(B7746,10,3)</f>
        <v>000</v>
      </c>
      <c r="L7746" s="5">
        <f t="shared" ref="L7746:L7809" si="926">MONTH(A7746)</f>
        <v>8</v>
      </c>
      <c r="M7746" s="5">
        <f t="shared" ref="M7746:M7809" si="927">YEAR(A7746)</f>
        <v>2013</v>
      </c>
    </row>
    <row r="7747" spans="1:13" ht="15" x14ac:dyDescent="0.25">
      <c r="A7747" s="1">
        <f>DATE(2013,8,2)</f>
        <v>41488</v>
      </c>
      <c r="B7747" t="s">
        <v>26</v>
      </c>
      <c r="C7747" t="s">
        <v>10</v>
      </c>
      <c r="D7747" s="3">
        <v>70.114000000000004</v>
      </c>
      <c r="E7747" s="3">
        <v>0</v>
      </c>
      <c r="F7747" t="s">
        <v>45</v>
      </c>
      <c r="G7747" s="3">
        <f t="shared" si="921"/>
        <v>-70.114000000000004</v>
      </c>
      <c r="H7747" s="3">
        <f t="shared" si="922"/>
        <v>70.114000000000004</v>
      </c>
      <c r="I7747" s="5" t="str">
        <f t="shared" si="923"/>
        <v>019</v>
      </c>
      <c r="J7747" s="5" t="str">
        <f t="shared" si="924"/>
        <v>2230</v>
      </c>
      <c r="K7747" s="5" t="str">
        <f t="shared" si="925"/>
        <v>000</v>
      </c>
      <c r="L7747" s="5">
        <f t="shared" si="926"/>
        <v>8</v>
      </c>
      <c r="M7747" s="5">
        <f t="shared" si="927"/>
        <v>2013</v>
      </c>
    </row>
    <row r="7748" spans="1:13" ht="15" x14ac:dyDescent="0.25">
      <c r="A7748" s="1">
        <f>DATE(2013,8,3)</f>
        <v>41489</v>
      </c>
      <c r="B7748" t="s">
        <v>23</v>
      </c>
      <c r="C7748" t="s">
        <v>6</v>
      </c>
      <c r="D7748" s="3">
        <v>6456.8062</v>
      </c>
      <c r="E7748" s="3">
        <v>0</v>
      </c>
      <c r="F7748" t="s">
        <v>45</v>
      </c>
      <c r="G7748" s="3">
        <f t="shared" si="921"/>
        <v>-6456.8062</v>
      </c>
      <c r="H7748" s="3">
        <f t="shared" si="922"/>
        <v>6456.8062</v>
      </c>
      <c r="I7748" s="5" t="str">
        <f t="shared" si="923"/>
        <v>019</v>
      </c>
      <c r="J7748" s="5" t="str">
        <f t="shared" si="924"/>
        <v>2100</v>
      </c>
      <c r="K7748" s="5" t="str">
        <f t="shared" si="925"/>
        <v>000</v>
      </c>
      <c r="L7748" s="5">
        <f t="shared" si="926"/>
        <v>8</v>
      </c>
      <c r="M7748" s="5">
        <f t="shared" si="927"/>
        <v>2013</v>
      </c>
    </row>
    <row r="7749" spans="1:13" ht="15" x14ac:dyDescent="0.25">
      <c r="A7749" s="1">
        <f>DATE(2013,8,3)</f>
        <v>41489</v>
      </c>
      <c r="B7749" t="s">
        <v>24</v>
      </c>
      <c r="C7749" t="s">
        <v>8</v>
      </c>
      <c r="D7749" s="3">
        <v>2858.2803000000004</v>
      </c>
      <c r="E7749" s="3">
        <v>0</v>
      </c>
      <c r="F7749" t="s">
        <v>45</v>
      </c>
      <c r="G7749" s="3">
        <f t="shared" si="921"/>
        <v>-2858.2803000000004</v>
      </c>
      <c r="H7749" s="3">
        <f t="shared" si="922"/>
        <v>2858.2803000000004</v>
      </c>
      <c r="I7749" s="5" t="str">
        <f t="shared" si="923"/>
        <v>019</v>
      </c>
      <c r="J7749" s="5" t="str">
        <f t="shared" si="924"/>
        <v>2210</v>
      </c>
      <c r="K7749" s="5" t="str">
        <f t="shared" si="925"/>
        <v>000</v>
      </c>
      <c r="L7749" s="5">
        <f t="shared" si="926"/>
        <v>8</v>
      </c>
      <c r="M7749" s="5">
        <f t="shared" si="927"/>
        <v>2013</v>
      </c>
    </row>
    <row r="7750" spans="1:13" ht="15" x14ac:dyDescent="0.25">
      <c r="A7750" s="1">
        <f>DATE(2013,8,3)</f>
        <v>41489</v>
      </c>
      <c r="B7750" t="s">
        <v>25</v>
      </c>
      <c r="C7750" t="s">
        <v>9</v>
      </c>
      <c r="D7750" s="3">
        <v>565.01280000000008</v>
      </c>
      <c r="E7750" s="3">
        <v>0</v>
      </c>
      <c r="F7750" t="s">
        <v>45</v>
      </c>
      <c r="G7750" s="3">
        <f t="shared" si="921"/>
        <v>-565.01280000000008</v>
      </c>
      <c r="H7750" s="3">
        <f t="shared" si="922"/>
        <v>565.01280000000008</v>
      </c>
      <c r="I7750" s="5" t="str">
        <f t="shared" si="923"/>
        <v>019</v>
      </c>
      <c r="J7750" s="5" t="str">
        <f t="shared" si="924"/>
        <v>2220</v>
      </c>
      <c r="K7750" s="5" t="str">
        <f t="shared" si="925"/>
        <v>000</v>
      </c>
      <c r="L7750" s="5">
        <f t="shared" si="926"/>
        <v>8</v>
      </c>
      <c r="M7750" s="5">
        <f t="shared" si="927"/>
        <v>2013</v>
      </c>
    </row>
    <row r="7751" spans="1:13" ht="15" x14ac:dyDescent="0.25">
      <c r="A7751" s="1">
        <f>DATE(2013,8,3)</f>
        <v>41489</v>
      </c>
      <c r="B7751" t="s">
        <v>26</v>
      </c>
      <c r="C7751" t="s">
        <v>10</v>
      </c>
      <c r="D7751" s="3">
        <v>96.074999999999989</v>
      </c>
      <c r="E7751" s="3">
        <v>0</v>
      </c>
      <c r="F7751" t="s">
        <v>45</v>
      </c>
      <c r="G7751" s="3">
        <f t="shared" si="921"/>
        <v>-96.074999999999989</v>
      </c>
      <c r="H7751" s="3">
        <f t="shared" si="922"/>
        <v>96.074999999999989</v>
      </c>
      <c r="I7751" s="5" t="str">
        <f t="shared" si="923"/>
        <v>019</v>
      </c>
      <c r="J7751" s="5" t="str">
        <f t="shared" si="924"/>
        <v>2230</v>
      </c>
      <c r="K7751" s="5" t="str">
        <f t="shared" si="925"/>
        <v>000</v>
      </c>
      <c r="L7751" s="5">
        <f t="shared" si="926"/>
        <v>8</v>
      </c>
      <c r="M7751" s="5">
        <f t="shared" si="927"/>
        <v>2013</v>
      </c>
    </row>
    <row r="7752" spans="1:13" ht="15" x14ac:dyDescent="0.25">
      <c r="A7752" s="1">
        <f>DATE(2013,8,4)</f>
        <v>41490</v>
      </c>
      <c r="B7752" t="s">
        <v>23</v>
      </c>
      <c r="C7752" t="s">
        <v>6</v>
      </c>
      <c r="D7752" s="3">
        <v>4214.4785999999995</v>
      </c>
      <c r="E7752" s="3">
        <v>0</v>
      </c>
      <c r="F7752" t="s">
        <v>45</v>
      </c>
      <c r="G7752" s="3">
        <f t="shared" si="921"/>
        <v>-4214.4785999999995</v>
      </c>
      <c r="H7752" s="3">
        <f t="shared" si="922"/>
        <v>4214.4785999999995</v>
      </c>
      <c r="I7752" s="5" t="str">
        <f t="shared" si="923"/>
        <v>019</v>
      </c>
      <c r="J7752" s="5" t="str">
        <f t="shared" si="924"/>
        <v>2100</v>
      </c>
      <c r="K7752" s="5" t="str">
        <f t="shared" si="925"/>
        <v>000</v>
      </c>
      <c r="L7752" s="5">
        <f t="shared" si="926"/>
        <v>8</v>
      </c>
      <c r="M7752" s="5">
        <f t="shared" si="927"/>
        <v>2013</v>
      </c>
    </row>
    <row r="7753" spans="1:13" ht="15" x14ac:dyDescent="0.25">
      <c r="A7753" s="1">
        <f>DATE(2013,8,4)</f>
        <v>41490</v>
      </c>
      <c r="B7753" t="s">
        <v>24</v>
      </c>
      <c r="C7753" t="s">
        <v>8</v>
      </c>
      <c r="D7753" s="3">
        <v>1117.9559999999999</v>
      </c>
      <c r="E7753" s="3">
        <v>0</v>
      </c>
      <c r="F7753" t="s">
        <v>45</v>
      </c>
      <c r="G7753" s="3">
        <f t="shared" si="921"/>
        <v>-1117.9559999999999</v>
      </c>
      <c r="H7753" s="3">
        <f t="shared" si="922"/>
        <v>1117.9559999999999</v>
      </c>
      <c r="I7753" s="5" t="str">
        <f t="shared" si="923"/>
        <v>019</v>
      </c>
      <c r="J7753" s="5" t="str">
        <f t="shared" si="924"/>
        <v>2210</v>
      </c>
      <c r="K7753" s="5" t="str">
        <f t="shared" si="925"/>
        <v>000</v>
      </c>
      <c r="L7753" s="5">
        <f t="shared" si="926"/>
        <v>8</v>
      </c>
      <c r="M7753" s="5">
        <f t="shared" si="927"/>
        <v>2013</v>
      </c>
    </row>
    <row r="7754" spans="1:13" ht="15" x14ac:dyDescent="0.25">
      <c r="A7754" s="1">
        <f>DATE(2013,8,4)</f>
        <v>41490</v>
      </c>
      <c r="B7754" t="s">
        <v>25</v>
      </c>
      <c r="C7754" t="s">
        <v>9</v>
      </c>
      <c r="D7754" s="3">
        <v>372.56450000000001</v>
      </c>
      <c r="E7754" s="3">
        <v>0</v>
      </c>
      <c r="F7754" t="s">
        <v>45</v>
      </c>
      <c r="G7754" s="3">
        <f t="shared" si="921"/>
        <v>-372.56450000000001</v>
      </c>
      <c r="H7754" s="3">
        <f t="shared" si="922"/>
        <v>372.56450000000001</v>
      </c>
      <c r="I7754" s="5" t="str">
        <f t="shared" si="923"/>
        <v>019</v>
      </c>
      <c r="J7754" s="5" t="str">
        <f t="shared" si="924"/>
        <v>2220</v>
      </c>
      <c r="K7754" s="5" t="str">
        <f t="shared" si="925"/>
        <v>000</v>
      </c>
      <c r="L7754" s="5">
        <f t="shared" si="926"/>
        <v>8</v>
      </c>
      <c r="M7754" s="5">
        <f t="shared" si="927"/>
        <v>2013</v>
      </c>
    </row>
    <row r="7755" spans="1:13" ht="15" x14ac:dyDescent="0.25">
      <c r="A7755" s="1">
        <f>DATE(2013,8,4)</f>
        <v>41490</v>
      </c>
      <c r="B7755" t="s">
        <v>26</v>
      </c>
      <c r="C7755" t="s">
        <v>10</v>
      </c>
      <c r="D7755" s="3">
        <v>56.379400000000004</v>
      </c>
      <c r="E7755" s="3">
        <v>0</v>
      </c>
      <c r="F7755" t="s">
        <v>45</v>
      </c>
      <c r="G7755" s="3">
        <f t="shared" si="921"/>
        <v>-56.379400000000004</v>
      </c>
      <c r="H7755" s="3">
        <f t="shared" si="922"/>
        <v>56.379400000000004</v>
      </c>
      <c r="I7755" s="5" t="str">
        <f t="shared" si="923"/>
        <v>019</v>
      </c>
      <c r="J7755" s="5" t="str">
        <f t="shared" si="924"/>
        <v>2230</v>
      </c>
      <c r="K7755" s="5" t="str">
        <f t="shared" si="925"/>
        <v>000</v>
      </c>
      <c r="L7755" s="5">
        <f t="shared" si="926"/>
        <v>8</v>
      </c>
      <c r="M7755" s="5">
        <f t="shared" si="927"/>
        <v>2013</v>
      </c>
    </row>
    <row r="7756" spans="1:13" ht="15" x14ac:dyDescent="0.25">
      <c r="A7756" s="1">
        <f>DATE(2013,8,5)</f>
        <v>41491</v>
      </c>
      <c r="B7756" t="s">
        <v>11</v>
      </c>
      <c r="C7756" t="s">
        <v>6</v>
      </c>
      <c r="D7756" s="3">
        <v>1811.7963</v>
      </c>
      <c r="E7756" s="3">
        <v>0</v>
      </c>
      <c r="F7756" t="s">
        <v>45</v>
      </c>
      <c r="G7756" s="3">
        <f t="shared" si="921"/>
        <v>-1811.7963</v>
      </c>
      <c r="H7756" s="3">
        <f t="shared" si="922"/>
        <v>1811.7963</v>
      </c>
      <c r="I7756" s="5" t="str">
        <f t="shared" si="923"/>
        <v>016</v>
      </c>
      <c r="J7756" s="5" t="str">
        <f t="shared" si="924"/>
        <v>2100</v>
      </c>
      <c r="K7756" s="5" t="str">
        <f t="shared" si="925"/>
        <v>000</v>
      </c>
      <c r="L7756" s="5">
        <f t="shared" si="926"/>
        <v>8</v>
      </c>
      <c r="M7756" s="5">
        <f t="shared" si="927"/>
        <v>2013</v>
      </c>
    </row>
    <row r="7757" spans="1:13" ht="15" x14ac:dyDescent="0.25">
      <c r="A7757" s="1">
        <f>DATE(2013,8,5)</f>
        <v>41491</v>
      </c>
      <c r="B7757" t="s">
        <v>12</v>
      </c>
      <c r="C7757" t="s">
        <v>8</v>
      </c>
      <c r="D7757" s="3">
        <v>464.94719999999995</v>
      </c>
      <c r="E7757" s="3">
        <v>0</v>
      </c>
      <c r="F7757" t="s">
        <v>45</v>
      </c>
      <c r="G7757" s="3">
        <f t="shared" si="921"/>
        <v>-464.94719999999995</v>
      </c>
      <c r="H7757" s="3">
        <f t="shared" si="922"/>
        <v>464.94719999999995</v>
      </c>
      <c r="I7757" s="5" t="str">
        <f t="shared" si="923"/>
        <v>016</v>
      </c>
      <c r="J7757" s="5" t="str">
        <f t="shared" si="924"/>
        <v>2210</v>
      </c>
      <c r="K7757" s="5" t="str">
        <f t="shared" si="925"/>
        <v>000</v>
      </c>
      <c r="L7757" s="5">
        <f t="shared" si="926"/>
        <v>8</v>
      </c>
      <c r="M7757" s="5">
        <f t="shared" si="927"/>
        <v>2013</v>
      </c>
    </row>
    <row r="7758" spans="1:13" ht="15" x14ac:dyDescent="0.25">
      <c r="A7758" s="1">
        <f>DATE(2013,8,5)</f>
        <v>41491</v>
      </c>
      <c r="B7758" t="s">
        <v>13</v>
      </c>
      <c r="C7758" t="s">
        <v>9</v>
      </c>
      <c r="D7758" s="3">
        <v>177.23699999999999</v>
      </c>
      <c r="E7758" s="3">
        <v>0</v>
      </c>
      <c r="F7758" t="s">
        <v>45</v>
      </c>
      <c r="G7758" s="3">
        <f t="shared" si="921"/>
        <v>-177.23699999999999</v>
      </c>
      <c r="H7758" s="3">
        <f t="shared" si="922"/>
        <v>177.23699999999999</v>
      </c>
      <c r="I7758" s="5" t="str">
        <f t="shared" si="923"/>
        <v>016</v>
      </c>
      <c r="J7758" s="5" t="str">
        <f t="shared" si="924"/>
        <v>2220</v>
      </c>
      <c r="K7758" s="5" t="str">
        <f t="shared" si="925"/>
        <v>000</v>
      </c>
      <c r="L7758" s="5">
        <f t="shared" si="926"/>
        <v>8</v>
      </c>
      <c r="M7758" s="5">
        <f t="shared" si="927"/>
        <v>2013</v>
      </c>
    </row>
    <row r="7759" spans="1:13" ht="15" x14ac:dyDescent="0.25">
      <c r="A7759" s="1">
        <f>DATE(2013,8,5)</f>
        <v>41491</v>
      </c>
      <c r="B7759" t="s">
        <v>14</v>
      </c>
      <c r="C7759" t="s">
        <v>10</v>
      </c>
      <c r="D7759" s="3">
        <v>38.893799999999999</v>
      </c>
      <c r="E7759" s="3">
        <v>0</v>
      </c>
      <c r="F7759" t="s">
        <v>45</v>
      </c>
      <c r="G7759" s="3">
        <f t="shared" si="921"/>
        <v>-38.893799999999999</v>
      </c>
      <c r="H7759" s="3">
        <f t="shared" si="922"/>
        <v>38.893799999999999</v>
      </c>
      <c r="I7759" s="5" t="str">
        <f t="shared" si="923"/>
        <v>016</v>
      </c>
      <c r="J7759" s="5" t="str">
        <f t="shared" si="924"/>
        <v>2230</v>
      </c>
      <c r="K7759" s="5" t="str">
        <f t="shared" si="925"/>
        <v>000</v>
      </c>
      <c r="L7759" s="5">
        <f t="shared" si="926"/>
        <v>8</v>
      </c>
      <c r="M7759" s="5">
        <f t="shared" si="927"/>
        <v>2013</v>
      </c>
    </row>
    <row r="7760" spans="1:13" ht="15" x14ac:dyDescent="0.25">
      <c r="A7760" s="1">
        <f>DATE(2013,8,6)</f>
        <v>41492</v>
      </c>
      <c r="B7760" t="s">
        <v>11</v>
      </c>
      <c r="C7760" t="s">
        <v>6</v>
      </c>
      <c r="D7760" s="3">
        <v>6731.9723999999997</v>
      </c>
      <c r="E7760" s="3">
        <v>0</v>
      </c>
      <c r="F7760" t="s">
        <v>45</v>
      </c>
      <c r="G7760" s="3">
        <f t="shared" si="921"/>
        <v>-6731.9723999999997</v>
      </c>
      <c r="H7760" s="3">
        <f t="shared" si="922"/>
        <v>6731.9723999999997</v>
      </c>
      <c r="I7760" s="5" t="str">
        <f t="shared" si="923"/>
        <v>016</v>
      </c>
      <c r="J7760" s="5" t="str">
        <f t="shared" si="924"/>
        <v>2100</v>
      </c>
      <c r="K7760" s="5" t="str">
        <f t="shared" si="925"/>
        <v>000</v>
      </c>
      <c r="L7760" s="5">
        <f t="shared" si="926"/>
        <v>8</v>
      </c>
      <c r="M7760" s="5">
        <f t="shared" si="927"/>
        <v>2013</v>
      </c>
    </row>
    <row r="7761" spans="1:13" ht="15" x14ac:dyDescent="0.25">
      <c r="A7761" s="1">
        <f>DATE(2013,8,6)</f>
        <v>41492</v>
      </c>
      <c r="B7761" t="s">
        <v>12</v>
      </c>
      <c r="C7761" t="s">
        <v>8</v>
      </c>
      <c r="D7761" s="3">
        <v>2247.9655000000002</v>
      </c>
      <c r="E7761" s="3">
        <v>0</v>
      </c>
      <c r="F7761" t="s">
        <v>45</v>
      </c>
      <c r="G7761" s="3">
        <f t="shared" si="921"/>
        <v>-2247.9655000000002</v>
      </c>
      <c r="H7761" s="3">
        <f t="shared" si="922"/>
        <v>2247.9655000000002</v>
      </c>
      <c r="I7761" s="5" t="str">
        <f t="shared" si="923"/>
        <v>016</v>
      </c>
      <c r="J7761" s="5" t="str">
        <f t="shared" si="924"/>
        <v>2210</v>
      </c>
      <c r="K7761" s="5" t="str">
        <f t="shared" si="925"/>
        <v>000</v>
      </c>
      <c r="L7761" s="5">
        <f t="shared" si="926"/>
        <v>8</v>
      </c>
      <c r="M7761" s="5">
        <f t="shared" si="927"/>
        <v>2013</v>
      </c>
    </row>
    <row r="7762" spans="1:13" ht="15" x14ac:dyDescent="0.25">
      <c r="A7762" s="1">
        <f>DATE(2013,8,6)</f>
        <v>41492</v>
      </c>
      <c r="B7762" t="s">
        <v>13</v>
      </c>
      <c r="C7762" t="s">
        <v>9</v>
      </c>
      <c r="D7762" s="3">
        <v>1132.5695000000001</v>
      </c>
      <c r="E7762" s="3">
        <v>0</v>
      </c>
      <c r="F7762" t="s">
        <v>45</v>
      </c>
      <c r="G7762" s="3">
        <f t="shared" si="921"/>
        <v>-1132.5695000000001</v>
      </c>
      <c r="H7762" s="3">
        <f t="shared" si="922"/>
        <v>1132.5695000000001</v>
      </c>
      <c r="I7762" s="5" t="str">
        <f t="shared" si="923"/>
        <v>016</v>
      </c>
      <c r="J7762" s="5" t="str">
        <f t="shared" si="924"/>
        <v>2220</v>
      </c>
      <c r="K7762" s="5" t="str">
        <f t="shared" si="925"/>
        <v>000</v>
      </c>
      <c r="L7762" s="5">
        <f t="shared" si="926"/>
        <v>8</v>
      </c>
      <c r="M7762" s="5">
        <f t="shared" si="927"/>
        <v>2013</v>
      </c>
    </row>
    <row r="7763" spans="1:13" ht="15" x14ac:dyDescent="0.25">
      <c r="A7763" s="1">
        <f>DATE(2013,8,6)</f>
        <v>41492</v>
      </c>
      <c r="B7763" t="s">
        <v>14</v>
      </c>
      <c r="C7763" t="s">
        <v>10</v>
      </c>
      <c r="D7763" s="3">
        <v>67.591999999999999</v>
      </c>
      <c r="E7763" s="3">
        <v>0</v>
      </c>
      <c r="F7763" t="s">
        <v>45</v>
      </c>
      <c r="G7763" s="3">
        <f t="shared" si="921"/>
        <v>-67.591999999999999</v>
      </c>
      <c r="H7763" s="3">
        <f t="shared" si="922"/>
        <v>67.591999999999999</v>
      </c>
      <c r="I7763" s="5" t="str">
        <f t="shared" si="923"/>
        <v>016</v>
      </c>
      <c r="J7763" s="5" t="str">
        <f t="shared" si="924"/>
        <v>2230</v>
      </c>
      <c r="K7763" s="5" t="str">
        <f t="shared" si="925"/>
        <v>000</v>
      </c>
      <c r="L7763" s="5">
        <f t="shared" si="926"/>
        <v>8</v>
      </c>
      <c r="M7763" s="5">
        <f t="shared" si="927"/>
        <v>2013</v>
      </c>
    </row>
    <row r="7764" spans="1:13" ht="15" x14ac:dyDescent="0.25">
      <c r="A7764" s="1">
        <f>DATE(2013,8,7)</f>
        <v>41493</v>
      </c>
      <c r="B7764" t="s">
        <v>11</v>
      </c>
      <c r="C7764" t="s">
        <v>6</v>
      </c>
      <c r="D7764" s="3">
        <v>3037.6853000000001</v>
      </c>
      <c r="E7764" s="3">
        <v>0</v>
      </c>
      <c r="F7764" t="s">
        <v>45</v>
      </c>
      <c r="G7764" s="3">
        <f t="shared" si="921"/>
        <v>-3037.6853000000001</v>
      </c>
      <c r="H7764" s="3">
        <f t="shared" si="922"/>
        <v>3037.6853000000001</v>
      </c>
      <c r="I7764" s="5" t="str">
        <f t="shared" si="923"/>
        <v>016</v>
      </c>
      <c r="J7764" s="5" t="str">
        <f t="shared" si="924"/>
        <v>2100</v>
      </c>
      <c r="K7764" s="5" t="str">
        <f t="shared" si="925"/>
        <v>000</v>
      </c>
      <c r="L7764" s="5">
        <f t="shared" si="926"/>
        <v>8</v>
      </c>
      <c r="M7764" s="5">
        <f t="shared" si="927"/>
        <v>2013</v>
      </c>
    </row>
    <row r="7765" spans="1:13" ht="15" x14ac:dyDescent="0.25">
      <c r="A7765" s="1">
        <f>DATE(2013,8,7)</f>
        <v>41493</v>
      </c>
      <c r="B7765" t="s">
        <v>12</v>
      </c>
      <c r="C7765" t="s">
        <v>8</v>
      </c>
      <c r="D7765" s="3">
        <v>493.21799999999996</v>
      </c>
      <c r="E7765" s="3">
        <v>0</v>
      </c>
      <c r="F7765" t="s">
        <v>45</v>
      </c>
      <c r="G7765" s="3">
        <f t="shared" si="921"/>
        <v>-493.21799999999996</v>
      </c>
      <c r="H7765" s="3">
        <f t="shared" si="922"/>
        <v>493.21799999999996</v>
      </c>
      <c r="I7765" s="5" t="str">
        <f t="shared" si="923"/>
        <v>016</v>
      </c>
      <c r="J7765" s="5" t="str">
        <f t="shared" si="924"/>
        <v>2210</v>
      </c>
      <c r="K7765" s="5" t="str">
        <f t="shared" si="925"/>
        <v>000</v>
      </c>
      <c r="L7765" s="5">
        <f t="shared" si="926"/>
        <v>8</v>
      </c>
      <c r="M7765" s="5">
        <f t="shared" si="927"/>
        <v>2013</v>
      </c>
    </row>
    <row r="7766" spans="1:13" ht="15" x14ac:dyDescent="0.25">
      <c r="A7766" s="1">
        <f>DATE(2013,8,7)</f>
        <v>41493</v>
      </c>
      <c r="B7766" t="s">
        <v>13</v>
      </c>
      <c r="C7766" t="s">
        <v>9</v>
      </c>
      <c r="D7766" s="3">
        <v>140.59199999999998</v>
      </c>
      <c r="E7766" s="3">
        <v>0</v>
      </c>
      <c r="F7766" t="s">
        <v>45</v>
      </c>
      <c r="G7766" s="3">
        <f t="shared" si="921"/>
        <v>-140.59199999999998</v>
      </c>
      <c r="H7766" s="3">
        <f t="shared" si="922"/>
        <v>140.59199999999998</v>
      </c>
      <c r="I7766" s="5" t="str">
        <f t="shared" si="923"/>
        <v>016</v>
      </c>
      <c r="J7766" s="5" t="str">
        <f t="shared" si="924"/>
        <v>2220</v>
      </c>
      <c r="K7766" s="5" t="str">
        <f t="shared" si="925"/>
        <v>000</v>
      </c>
      <c r="L7766" s="5">
        <f t="shared" si="926"/>
        <v>8</v>
      </c>
      <c r="M7766" s="5">
        <f t="shared" si="927"/>
        <v>2013</v>
      </c>
    </row>
    <row r="7767" spans="1:13" ht="15" x14ac:dyDescent="0.25">
      <c r="A7767" s="1">
        <f>DATE(2013,8,7)</f>
        <v>41493</v>
      </c>
      <c r="B7767" t="s">
        <v>14</v>
      </c>
      <c r="C7767" t="s">
        <v>10</v>
      </c>
      <c r="D7767" s="3">
        <v>80.15979999999999</v>
      </c>
      <c r="E7767" s="3">
        <v>0</v>
      </c>
      <c r="F7767" t="s">
        <v>45</v>
      </c>
      <c r="G7767" s="3">
        <f t="shared" si="921"/>
        <v>-80.15979999999999</v>
      </c>
      <c r="H7767" s="3">
        <f t="shared" si="922"/>
        <v>80.15979999999999</v>
      </c>
      <c r="I7767" s="5" t="str">
        <f t="shared" si="923"/>
        <v>016</v>
      </c>
      <c r="J7767" s="5" t="str">
        <f t="shared" si="924"/>
        <v>2230</v>
      </c>
      <c r="K7767" s="5" t="str">
        <f t="shared" si="925"/>
        <v>000</v>
      </c>
      <c r="L7767" s="5">
        <f t="shared" si="926"/>
        <v>8</v>
      </c>
      <c r="M7767" s="5">
        <f t="shared" si="927"/>
        <v>2013</v>
      </c>
    </row>
    <row r="7768" spans="1:13" ht="15" x14ac:dyDescent="0.25">
      <c r="A7768" s="1">
        <f>DATE(2013,8,8)</f>
        <v>41494</v>
      </c>
      <c r="B7768" t="s">
        <v>11</v>
      </c>
      <c r="C7768" t="s">
        <v>6</v>
      </c>
      <c r="D7768" s="3">
        <v>2799.8223999999996</v>
      </c>
      <c r="E7768" s="3">
        <v>0</v>
      </c>
      <c r="F7768" t="s">
        <v>45</v>
      </c>
      <c r="G7768" s="3">
        <f t="shared" si="921"/>
        <v>-2799.8223999999996</v>
      </c>
      <c r="H7768" s="3">
        <f t="shared" si="922"/>
        <v>2799.8223999999996</v>
      </c>
      <c r="I7768" s="5" t="str">
        <f t="shared" si="923"/>
        <v>016</v>
      </c>
      <c r="J7768" s="5" t="str">
        <f t="shared" si="924"/>
        <v>2100</v>
      </c>
      <c r="K7768" s="5" t="str">
        <f t="shared" si="925"/>
        <v>000</v>
      </c>
      <c r="L7768" s="5">
        <f t="shared" si="926"/>
        <v>8</v>
      </c>
      <c r="M7768" s="5">
        <f t="shared" si="927"/>
        <v>2013</v>
      </c>
    </row>
    <row r="7769" spans="1:13" ht="15" x14ac:dyDescent="0.25">
      <c r="A7769" s="1">
        <f>DATE(2013,8,8)</f>
        <v>41494</v>
      </c>
      <c r="B7769" t="s">
        <v>12</v>
      </c>
      <c r="C7769" t="s">
        <v>8</v>
      </c>
      <c r="D7769" s="3">
        <v>1111.5081</v>
      </c>
      <c r="E7769" s="3">
        <v>0</v>
      </c>
      <c r="F7769" t="s">
        <v>45</v>
      </c>
      <c r="G7769" s="3">
        <f t="shared" si="921"/>
        <v>-1111.5081</v>
      </c>
      <c r="H7769" s="3">
        <f t="shared" si="922"/>
        <v>1111.5081</v>
      </c>
      <c r="I7769" s="5" t="str">
        <f t="shared" si="923"/>
        <v>016</v>
      </c>
      <c r="J7769" s="5" t="str">
        <f t="shared" si="924"/>
        <v>2210</v>
      </c>
      <c r="K7769" s="5" t="str">
        <f t="shared" si="925"/>
        <v>000</v>
      </c>
      <c r="L7769" s="5">
        <f t="shared" si="926"/>
        <v>8</v>
      </c>
      <c r="M7769" s="5">
        <f t="shared" si="927"/>
        <v>2013</v>
      </c>
    </row>
    <row r="7770" spans="1:13" ht="15" x14ac:dyDescent="0.25">
      <c r="A7770" s="1">
        <f>DATE(2013,8,8)</f>
        <v>41494</v>
      </c>
      <c r="B7770" t="s">
        <v>13</v>
      </c>
      <c r="C7770" t="s">
        <v>9</v>
      </c>
      <c r="D7770" s="3">
        <v>139.6499</v>
      </c>
      <c r="E7770" s="3">
        <v>0</v>
      </c>
      <c r="F7770" t="s">
        <v>45</v>
      </c>
      <c r="G7770" s="3">
        <f t="shared" si="921"/>
        <v>-139.6499</v>
      </c>
      <c r="H7770" s="3">
        <f t="shared" si="922"/>
        <v>139.6499</v>
      </c>
      <c r="I7770" s="5" t="str">
        <f t="shared" si="923"/>
        <v>016</v>
      </c>
      <c r="J7770" s="5" t="str">
        <f t="shared" si="924"/>
        <v>2220</v>
      </c>
      <c r="K7770" s="5" t="str">
        <f t="shared" si="925"/>
        <v>000</v>
      </c>
      <c r="L7770" s="5">
        <f t="shared" si="926"/>
        <v>8</v>
      </c>
      <c r="M7770" s="5">
        <f t="shared" si="927"/>
        <v>2013</v>
      </c>
    </row>
    <row r="7771" spans="1:13" ht="15" x14ac:dyDescent="0.25">
      <c r="A7771" s="1">
        <f>DATE(2013,8,8)</f>
        <v>41494</v>
      </c>
      <c r="B7771" t="s">
        <v>14</v>
      </c>
      <c r="C7771" t="s">
        <v>10</v>
      </c>
      <c r="D7771" s="3">
        <v>97.665000000000006</v>
      </c>
      <c r="E7771" s="3">
        <v>0</v>
      </c>
      <c r="F7771" t="s">
        <v>45</v>
      </c>
      <c r="G7771" s="3">
        <f t="shared" si="921"/>
        <v>-97.665000000000006</v>
      </c>
      <c r="H7771" s="3">
        <f t="shared" si="922"/>
        <v>97.665000000000006</v>
      </c>
      <c r="I7771" s="5" t="str">
        <f t="shared" si="923"/>
        <v>016</v>
      </c>
      <c r="J7771" s="5" t="str">
        <f t="shared" si="924"/>
        <v>2230</v>
      </c>
      <c r="K7771" s="5" t="str">
        <f t="shared" si="925"/>
        <v>000</v>
      </c>
      <c r="L7771" s="5">
        <f t="shared" si="926"/>
        <v>8</v>
      </c>
      <c r="M7771" s="5">
        <f t="shared" si="927"/>
        <v>2013</v>
      </c>
    </row>
    <row r="7772" spans="1:13" ht="15" x14ac:dyDescent="0.25">
      <c r="A7772" s="1">
        <f>DATE(2013,8,9)</f>
        <v>41495</v>
      </c>
      <c r="B7772" t="s">
        <v>11</v>
      </c>
      <c r="C7772" t="s">
        <v>6</v>
      </c>
      <c r="D7772" s="3">
        <v>5795.5419000000002</v>
      </c>
      <c r="E7772" s="3">
        <v>0</v>
      </c>
      <c r="F7772" t="s">
        <v>45</v>
      </c>
      <c r="G7772" s="3">
        <f t="shared" si="921"/>
        <v>-5795.5419000000002</v>
      </c>
      <c r="H7772" s="3">
        <f t="shared" si="922"/>
        <v>5795.5419000000002</v>
      </c>
      <c r="I7772" s="5" t="str">
        <f t="shared" si="923"/>
        <v>016</v>
      </c>
      <c r="J7772" s="5" t="str">
        <f t="shared" si="924"/>
        <v>2100</v>
      </c>
      <c r="K7772" s="5" t="str">
        <f t="shared" si="925"/>
        <v>000</v>
      </c>
      <c r="L7772" s="5">
        <f t="shared" si="926"/>
        <v>8</v>
      </c>
      <c r="M7772" s="5">
        <f t="shared" si="927"/>
        <v>2013</v>
      </c>
    </row>
    <row r="7773" spans="1:13" ht="15" x14ac:dyDescent="0.25">
      <c r="A7773" s="1">
        <f>DATE(2013,8,9)</f>
        <v>41495</v>
      </c>
      <c r="B7773" t="s">
        <v>12</v>
      </c>
      <c r="C7773" t="s">
        <v>8</v>
      </c>
      <c r="D7773" s="3">
        <v>1791.0881999999999</v>
      </c>
      <c r="E7773" s="3">
        <v>0</v>
      </c>
      <c r="F7773" t="s">
        <v>45</v>
      </c>
      <c r="G7773" s="3">
        <f t="shared" si="921"/>
        <v>-1791.0881999999999</v>
      </c>
      <c r="H7773" s="3">
        <f t="shared" si="922"/>
        <v>1791.0881999999999</v>
      </c>
      <c r="I7773" s="5" t="str">
        <f t="shared" si="923"/>
        <v>016</v>
      </c>
      <c r="J7773" s="5" t="str">
        <f t="shared" si="924"/>
        <v>2210</v>
      </c>
      <c r="K7773" s="5" t="str">
        <f t="shared" si="925"/>
        <v>000</v>
      </c>
      <c r="L7773" s="5">
        <f t="shared" si="926"/>
        <v>8</v>
      </c>
      <c r="M7773" s="5">
        <f t="shared" si="927"/>
        <v>2013</v>
      </c>
    </row>
    <row r="7774" spans="1:13" ht="15" x14ac:dyDescent="0.25">
      <c r="A7774" s="1">
        <f>DATE(2013,8,9)</f>
        <v>41495</v>
      </c>
      <c r="B7774" t="s">
        <v>13</v>
      </c>
      <c r="C7774" t="s">
        <v>9</v>
      </c>
      <c r="D7774" s="3">
        <v>367.72130000000004</v>
      </c>
      <c r="E7774" s="3">
        <v>0</v>
      </c>
      <c r="F7774" t="s">
        <v>45</v>
      </c>
      <c r="G7774" s="3">
        <f t="shared" si="921"/>
        <v>-367.72130000000004</v>
      </c>
      <c r="H7774" s="3">
        <f t="shared" si="922"/>
        <v>367.72130000000004</v>
      </c>
      <c r="I7774" s="5" t="str">
        <f t="shared" si="923"/>
        <v>016</v>
      </c>
      <c r="J7774" s="5" t="str">
        <f t="shared" si="924"/>
        <v>2220</v>
      </c>
      <c r="K7774" s="5" t="str">
        <f t="shared" si="925"/>
        <v>000</v>
      </c>
      <c r="L7774" s="5">
        <f t="shared" si="926"/>
        <v>8</v>
      </c>
      <c r="M7774" s="5">
        <f t="shared" si="927"/>
        <v>2013</v>
      </c>
    </row>
    <row r="7775" spans="1:13" ht="15" x14ac:dyDescent="0.25">
      <c r="A7775" s="1">
        <f>DATE(2013,8,9)</f>
        <v>41495</v>
      </c>
      <c r="B7775" t="s">
        <v>14</v>
      </c>
      <c r="C7775" t="s">
        <v>10</v>
      </c>
      <c r="D7775" s="3">
        <v>146.20760000000001</v>
      </c>
      <c r="E7775" s="3">
        <v>0</v>
      </c>
      <c r="F7775" t="s">
        <v>45</v>
      </c>
      <c r="G7775" s="3">
        <f t="shared" si="921"/>
        <v>-146.20760000000001</v>
      </c>
      <c r="H7775" s="3">
        <f t="shared" si="922"/>
        <v>146.20760000000001</v>
      </c>
      <c r="I7775" s="5" t="str">
        <f t="shared" si="923"/>
        <v>016</v>
      </c>
      <c r="J7775" s="5" t="str">
        <f t="shared" si="924"/>
        <v>2230</v>
      </c>
      <c r="K7775" s="5" t="str">
        <f t="shared" si="925"/>
        <v>000</v>
      </c>
      <c r="L7775" s="5">
        <f t="shared" si="926"/>
        <v>8</v>
      </c>
      <c r="M7775" s="5">
        <f t="shared" si="927"/>
        <v>2013</v>
      </c>
    </row>
    <row r="7776" spans="1:13" ht="15" x14ac:dyDescent="0.25">
      <c r="A7776" s="1">
        <f>DATE(2013,8,10)</f>
        <v>41496</v>
      </c>
      <c r="B7776" t="s">
        <v>11</v>
      </c>
      <c r="C7776" t="s">
        <v>6</v>
      </c>
      <c r="D7776" s="3">
        <v>7555.4154000000008</v>
      </c>
      <c r="E7776" s="3">
        <v>0</v>
      </c>
      <c r="F7776" t="s">
        <v>45</v>
      </c>
      <c r="G7776" s="3">
        <f t="shared" si="921"/>
        <v>-7555.4154000000008</v>
      </c>
      <c r="H7776" s="3">
        <f t="shared" si="922"/>
        <v>7555.4154000000008</v>
      </c>
      <c r="I7776" s="5" t="str">
        <f t="shared" si="923"/>
        <v>016</v>
      </c>
      <c r="J7776" s="5" t="str">
        <f t="shared" si="924"/>
        <v>2100</v>
      </c>
      <c r="K7776" s="5" t="str">
        <f t="shared" si="925"/>
        <v>000</v>
      </c>
      <c r="L7776" s="5">
        <f t="shared" si="926"/>
        <v>8</v>
      </c>
      <c r="M7776" s="5">
        <f t="shared" si="927"/>
        <v>2013</v>
      </c>
    </row>
    <row r="7777" spans="1:13" ht="15" x14ac:dyDescent="0.25">
      <c r="A7777" s="1">
        <f>DATE(2013,8,10)</f>
        <v>41496</v>
      </c>
      <c r="B7777" t="s">
        <v>12</v>
      </c>
      <c r="C7777" t="s">
        <v>8</v>
      </c>
      <c r="D7777" s="3">
        <v>1975.0400000000002</v>
      </c>
      <c r="E7777" s="3">
        <v>0</v>
      </c>
      <c r="F7777" t="s">
        <v>45</v>
      </c>
      <c r="G7777" s="3">
        <f t="shared" si="921"/>
        <v>-1975.0400000000002</v>
      </c>
      <c r="H7777" s="3">
        <f t="shared" si="922"/>
        <v>1975.0400000000002</v>
      </c>
      <c r="I7777" s="5" t="str">
        <f t="shared" si="923"/>
        <v>016</v>
      </c>
      <c r="J7777" s="5" t="str">
        <f t="shared" si="924"/>
        <v>2210</v>
      </c>
      <c r="K7777" s="5" t="str">
        <f t="shared" si="925"/>
        <v>000</v>
      </c>
      <c r="L7777" s="5">
        <f t="shared" si="926"/>
        <v>8</v>
      </c>
      <c r="M7777" s="5">
        <f t="shared" si="927"/>
        <v>2013</v>
      </c>
    </row>
    <row r="7778" spans="1:13" ht="15" x14ac:dyDescent="0.25">
      <c r="A7778" s="1">
        <f>DATE(2013,8,10)</f>
        <v>41496</v>
      </c>
      <c r="B7778" t="s">
        <v>13</v>
      </c>
      <c r="C7778" t="s">
        <v>9</v>
      </c>
      <c r="D7778" s="3">
        <v>302.91520000000003</v>
      </c>
      <c r="E7778" s="3">
        <v>0</v>
      </c>
      <c r="F7778" t="s">
        <v>45</v>
      </c>
      <c r="G7778" s="3">
        <f t="shared" si="921"/>
        <v>-302.91520000000003</v>
      </c>
      <c r="H7778" s="3">
        <f t="shared" si="922"/>
        <v>302.91520000000003</v>
      </c>
      <c r="I7778" s="5" t="str">
        <f t="shared" si="923"/>
        <v>016</v>
      </c>
      <c r="J7778" s="5" t="str">
        <f t="shared" si="924"/>
        <v>2220</v>
      </c>
      <c r="K7778" s="5" t="str">
        <f t="shared" si="925"/>
        <v>000</v>
      </c>
      <c r="L7778" s="5">
        <f t="shared" si="926"/>
        <v>8</v>
      </c>
      <c r="M7778" s="5">
        <f t="shared" si="927"/>
        <v>2013</v>
      </c>
    </row>
    <row r="7779" spans="1:13" ht="15" x14ac:dyDescent="0.25">
      <c r="A7779" s="1">
        <f>DATE(2013,8,10)</f>
        <v>41496</v>
      </c>
      <c r="B7779" t="s">
        <v>14</v>
      </c>
      <c r="C7779" t="s">
        <v>10</v>
      </c>
      <c r="D7779" s="3">
        <v>160.33200000000002</v>
      </c>
      <c r="E7779" s="3">
        <v>0</v>
      </c>
      <c r="F7779" t="s">
        <v>45</v>
      </c>
      <c r="G7779" s="3">
        <f t="shared" si="921"/>
        <v>-160.33200000000002</v>
      </c>
      <c r="H7779" s="3">
        <f t="shared" si="922"/>
        <v>160.33200000000002</v>
      </c>
      <c r="I7779" s="5" t="str">
        <f t="shared" si="923"/>
        <v>016</v>
      </c>
      <c r="J7779" s="5" t="str">
        <f t="shared" si="924"/>
        <v>2230</v>
      </c>
      <c r="K7779" s="5" t="str">
        <f t="shared" si="925"/>
        <v>000</v>
      </c>
      <c r="L7779" s="5">
        <f t="shared" si="926"/>
        <v>8</v>
      </c>
      <c r="M7779" s="5">
        <f t="shared" si="927"/>
        <v>2013</v>
      </c>
    </row>
    <row r="7780" spans="1:13" ht="15" x14ac:dyDescent="0.25">
      <c r="A7780" s="1">
        <f>DATE(2013,8,11)</f>
        <v>41497</v>
      </c>
      <c r="B7780" t="s">
        <v>11</v>
      </c>
      <c r="C7780" t="s">
        <v>6</v>
      </c>
      <c r="D7780" s="3">
        <v>4463.3653000000004</v>
      </c>
      <c r="E7780" s="3">
        <v>0</v>
      </c>
      <c r="F7780" t="s">
        <v>45</v>
      </c>
      <c r="G7780" s="3">
        <f t="shared" si="921"/>
        <v>-4463.3653000000004</v>
      </c>
      <c r="H7780" s="3">
        <f t="shared" si="922"/>
        <v>4463.3653000000004</v>
      </c>
      <c r="I7780" s="5" t="str">
        <f t="shared" si="923"/>
        <v>016</v>
      </c>
      <c r="J7780" s="5" t="str">
        <f t="shared" si="924"/>
        <v>2100</v>
      </c>
      <c r="K7780" s="5" t="str">
        <f t="shared" si="925"/>
        <v>000</v>
      </c>
      <c r="L7780" s="5">
        <f t="shared" si="926"/>
        <v>8</v>
      </c>
      <c r="M7780" s="5">
        <f t="shared" si="927"/>
        <v>2013</v>
      </c>
    </row>
    <row r="7781" spans="1:13" ht="15" x14ac:dyDescent="0.25">
      <c r="A7781" s="1">
        <f>DATE(2013,8,11)</f>
        <v>41497</v>
      </c>
      <c r="B7781" t="s">
        <v>12</v>
      </c>
      <c r="C7781" t="s">
        <v>8</v>
      </c>
      <c r="D7781" s="3">
        <v>765.04960000000005</v>
      </c>
      <c r="E7781" s="3">
        <v>0</v>
      </c>
      <c r="F7781" t="s">
        <v>45</v>
      </c>
      <c r="G7781" s="3">
        <f t="shared" si="921"/>
        <v>-765.04960000000005</v>
      </c>
      <c r="H7781" s="3">
        <f t="shared" si="922"/>
        <v>765.04960000000005</v>
      </c>
      <c r="I7781" s="5" t="str">
        <f t="shared" si="923"/>
        <v>016</v>
      </c>
      <c r="J7781" s="5" t="str">
        <f t="shared" si="924"/>
        <v>2210</v>
      </c>
      <c r="K7781" s="5" t="str">
        <f t="shared" si="925"/>
        <v>000</v>
      </c>
      <c r="L7781" s="5">
        <f t="shared" si="926"/>
        <v>8</v>
      </c>
      <c r="M7781" s="5">
        <f t="shared" si="927"/>
        <v>2013</v>
      </c>
    </row>
    <row r="7782" spans="1:13" ht="15" x14ac:dyDescent="0.25">
      <c r="A7782" s="1">
        <f>DATE(2013,8,11)</f>
        <v>41497</v>
      </c>
      <c r="B7782" t="s">
        <v>13</v>
      </c>
      <c r="C7782" t="s">
        <v>9</v>
      </c>
      <c r="D7782" s="3">
        <v>306.33840000000004</v>
      </c>
      <c r="E7782" s="3">
        <v>0</v>
      </c>
      <c r="F7782" t="s">
        <v>45</v>
      </c>
      <c r="G7782" s="3">
        <f t="shared" si="921"/>
        <v>-306.33840000000004</v>
      </c>
      <c r="H7782" s="3">
        <f t="shared" si="922"/>
        <v>306.33840000000004</v>
      </c>
      <c r="I7782" s="5" t="str">
        <f t="shared" si="923"/>
        <v>016</v>
      </c>
      <c r="J7782" s="5" t="str">
        <f t="shared" si="924"/>
        <v>2220</v>
      </c>
      <c r="K7782" s="5" t="str">
        <f t="shared" si="925"/>
        <v>000</v>
      </c>
      <c r="L7782" s="5">
        <f t="shared" si="926"/>
        <v>8</v>
      </c>
      <c r="M7782" s="5">
        <f t="shared" si="927"/>
        <v>2013</v>
      </c>
    </row>
    <row r="7783" spans="1:13" ht="15" x14ac:dyDescent="0.25">
      <c r="A7783" s="1">
        <f>DATE(2013,8,11)</f>
        <v>41497</v>
      </c>
      <c r="B7783" t="s">
        <v>14</v>
      </c>
      <c r="C7783" t="s">
        <v>10</v>
      </c>
      <c r="D7783" s="3">
        <v>123.705</v>
      </c>
      <c r="E7783" s="3">
        <v>0</v>
      </c>
      <c r="F7783" t="s">
        <v>45</v>
      </c>
      <c r="G7783" s="3">
        <f t="shared" si="921"/>
        <v>-123.705</v>
      </c>
      <c r="H7783" s="3">
        <f t="shared" si="922"/>
        <v>123.705</v>
      </c>
      <c r="I7783" s="5" t="str">
        <f t="shared" si="923"/>
        <v>016</v>
      </c>
      <c r="J7783" s="5" t="str">
        <f t="shared" si="924"/>
        <v>2230</v>
      </c>
      <c r="K7783" s="5" t="str">
        <f t="shared" si="925"/>
        <v>000</v>
      </c>
      <c r="L7783" s="5">
        <f t="shared" si="926"/>
        <v>8</v>
      </c>
      <c r="M7783" s="5">
        <f t="shared" si="927"/>
        <v>2013</v>
      </c>
    </row>
    <row r="7784" spans="1:13" ht="15" x14ac:dyDescent="0.25">
      <c r="A7784" s="1">
        <f>DATE(2013,8,5)</f>
        <v>41491</v>
      </c>
      <c r="B7784" t="s">
        <v>15</v>
      </c>
      <c r="C7784" t="s">
        <v>6</v>
      </c>
      <c r="D7784" s="3">
        <v>5510.9782000000005</v>
      </c>
      <c r="E7784" s="3">
        <v>0</v>
      </c>
      <c r="F7784" t="s">
        <v>45</v>
      </c>
      <c r="G7784" s="3">
        <f t="shared" si="921"/>
        <v>-5510.9782000000005</v>
      </c>
      <c r="H7784" s="3">
        <f t="shared" si="922"/>
        <v>5510.9782000000005</v>
      </c>
      <c r="I7784" s="5" t="str">
        <f t="shared" si="923"/>
        <v>017</v>
      </c>
      <c r="J7784" s="5" t="str">
        <f t="shared" si="924"/>
        <v>2100</v>
      </c>
      <c r="K7784" s="5" t="str">
        <f t="shared" si="925"/>
        <v>000</v>
      </c>
      <c r="L7784" s="5">
        <f t="shared" si="926"/>
        <v>8</v>
      </c>
      <c r="M7784" s="5">
        <f t="shared" si="927"/>
        <v>2013</v>
      </c>
    </row>
    <row r="7785" spans="1:13" ht="15" x14ac:dyDescent="0.25">
      <c r="A7785" s="1">
        <f>DATE(2013,8,5)</f>
        <v>41491</v>
      </c>
      <c r="B7785" t="s">
        <v>16</v>
      </c>
      <c r="C7785" t="s">
        <v>8</v>
      </c>
      <c r="D7785" s="3">
        <v>1320.6762000000001</v>
      </c>
      <c r="E7785" s="3">
        <v>0</v>
      </c>
      <c r="F7785" t="s">
        <v>45</v>
      </c>
      <c r="G7785" s="3">
        <f t="shared" si="921"/>
        <v>-1320.6762000000001</v>
      </c>
      <c r="H7785" s="3">
        <f t="shared" si="922"/>
        <v>1320.6762000000001</v>
      </c>
      <c r="I7785" s="5" t="str">
        <f t="shared" si="923"/>
        <v>017</v>
      </c>
      <c r="J7785" s="5" t="str">
        <f t="shared" si="924"/>
        <v>2210</v>
      </c>
      <c r="K7785" s="5" t="str">
        <f t="shared" si="925"/>
        <v>000</v>
      </c>
      <c r="L7785" s="5">
        <f t="shared" si="926"/>
        <v>8</v>
      </c>
      <c r="M7785" s="5">
        <f t="shared" si="927"/>
        <v>2013</v>
      </c>
    </row>
    <row r="7786" spans="1:13" ht="15" x14ac:dyDescent="0.25">
      <c r="A7786" s="1">
        <f>DATE(2013,8,5)</f>
        <v>41491</v>
      </c>
      <c r="B7786" t="s">
        <v>17</v>
      </c>
      <c r="C7786" t="s">
        <v>9</v>
      </c>
      <c r="D7786" s="3">
        <v>321.642</v>
      </c>
      <c r="E7786" s="3">
        <v>0</v>
      </c>
      <c r="F7786" t="s">
        <v>45</v>
      </c>
      <c r="G7786" s="3">
        <f t="shared" si="921"/>
        <v>-321.642</v>
      </c>
      <c r="H7786" s="3">
        <f t="shared" si="922"/>
        <v>321.642</v>
      </c>
      <c r="I7786" s="5" t="str">
        <f t="shared" si="923"/>
        <v>017</v>
      </c>
      <c r="J7786" s="5" t="str">
        <f t="shared" si="924"/>
        <v>2220</v>
      </c>
      <c r="K7786" s="5" t="str">
        <f t="shared" si="925"/>
        <v>000</v>
      </c>
      <c r="L7786" s="5">
        <f t="shared" si="926"/>
        <v>8</v>
      </c>
      <c r="M7786" s="5">
        <f t="shared" si="927"/>
        <v>2013</v>
      </c>
    </row>
    <row r="7787" spans="1:13" ht="15" x14ac:dyDescent="0.25">
      <c r="A7787" s="1">
        <f>DATE(2013,8,5)</f>
        <v>41491</v>
      </c>
      <c r="B7787" t="s">
        <v>18</v>
      </c>
      <c r="C7787" t="s">
        <v>10</v>
      </c>
      <c r="D7787" s="3">
        <v>153.08000000000001</v>
      </c>
      <c r="E7787" s="3">
        <v>0</v>
      </c>
      <c r="F7787" t="s">
        <v>45</v>
      </c>
      <c r="G7787" s="3">
        <f t="shared" si="921"/>
        <v>-153.08000000000001</v>
      </c>
      <c r="H7787" s="3">
        <f t="shared" si="922"/>
        <v>153.08000000000001</v>
      </c>
      <c r="I7787" s="5" t="str">
        <f t="shared" si="923"/>
        <v>017</v>
      </c>
      <c r="J7787" s="5" t="str">
        <f t="shared" si="924"/>
        <v>2230</v>
      </c>
      <c r="K7787" s="5" t="str">
        <f t="shared" si="925"/>
        <v>000</v>
      </c>
      <c r="L7787" s="5">
        <f t="shared" si="926"/>
        <v>8</v>
      </c>
      <c r="M7787" s="5">
        <f t="shared" si="927"/>
        <v>2013</v>
      </c>
    </row>
    <row r="7788" spans="1:13" ht="15" x14ac:dyDescent="0.25">
      <c r="A7788" s="1">
        <f>DATE(2013,8,6)</f>
        <v>41492</v>
      </c>
      <c r="B7788" t="s">
        <v>15</v>
      </c>
      <c r="C7788" t="s">
        <v>6</v>
      </c>
      <c r="D7788" s="3">
        <v>5422.2965999999997</v>
      </c>
      <c r="E7788" s="3">
        <v>0</v>
      </c>
      <c r="F7788" t="s">
        <v>45</v>
      </c>
      <c r="G7788" s="3">
        <f t="shared" si="921"/>
        <v>-5422.2965999999997</v>
      </c>
      <c r="H7788" s="3">
        <f t="shared" si="922"/>
        <v>5422.2965999999997</v>
      </c>
      <c r="I7788" s="5" t="str">
        <f t="shared" si="923"/>
        <v>017</v>
      </c>
      <c r="J7788" s="5" t="str">
        <f t="shared" si="924"/>
        <v>2100</v>
      </c>
      <c r="K7788" s="5" t="str">
        <f t="shared" si="925"/>
        <v>000</v>
      </c>
      <c r="L7788" s="5">
        <f t="shared" si="926"/>
        <v>8</v>
      </c>
      <c r="M7788" s="5">
        <f t="shared" si="927"/>
        <v>2013</v>
      </c>
    </row>
    <row r="7789" spans="1:13" ht="15" x14ac:dyDescent="0.25">
      <c r="A7789" s="1">
        <f>DATE(2013,8,6)</f>
        <v>41492</v>
      </c>
      <c r="B7789" t="s">
        <v>16</v>
      </c>
      <c r="C7789" t="s">
        <v>8</v>
      </c>
      <c r="D7789" s="3">
        <v>1124.8576</v>
      </c>
      <c r="E7789" s="3">
        <v>0</v>
      </c>
      <c r="F7789" t="s">
        <v>45</v>
      </c>
      <c r="G7789" s="3">
        <f t="shared" si="921"/>
        <v>-1124.8576</v>
      </c>
      <c r="H7789" s="3">
        <f t="shared" si="922"/>
        <v>1124.8576</v>
      </c>
      <c r="I7789" s="5" t="str">
        <f t="shared" si="923"/>
        <v>017</v>
      </c>
      <c r="J7789" s="5" t="str">
        <f t="shared" si="924"/>
        <v>2210</v>
      </c>
      <c r="K7789" s="5" t="str">
        <f t="shared" si="925"/>
        <v>000</v>
      </c>
      <c r="L7789" s="5">
        <f t="shared" si="926"/>
        <v>8</v>
      </c>
      <c r="M7789" s="5">
        <f t="shared" si="927"/>
        <v>2013</v>
      </c>
    </row>
    <row r="7790" spans="1:13" ht="15" x14ac:dyDescent="0.25">
      <c r="A7790" s="1">
        <f>DATE(2013,8,6)</f>
        <v>41492</v>
      </c>
      <c r="B7790" t="s">
        <v>17</v>
      </c>
      <c r="C7790" t="s">
        <v>9</v>
      </c>
      <c r="D7790" s="3">
        <v>526.12379999999996</v>
      </c>
      <c r="E7790" s="3">
        <v>0</v>
      </c>
      <c r="F7790" t="s">
        <v>45</v>
      </c>
      <c r="G7790" s="3">
        <f t="shared" si="921"/>
        <v>-526.12379999999996</v>
      </c>
      <c r="H7790" s="3">
        <f t="shared" si="922"/>
        <v>526.12379999999996</v>
      </c>
      <c r="I7790" s="5" t="str">
        <f t="shared" si="923"/>
        <v>017</v>
      </c>
      <c r="J7790" s="5" t="str">
        <f t="shared" si="924"/>
        <v>2220</v>
      </c>
      <c r="K7790" s="5" t="str">
        <f t="shared" si="925"/>
        <v>000</v>
      </c>
      <c r="L7790" s="5">
        <f t="shared" si="926"/>
        <v>8</v>
      </c>
      <c r="M7790" s="5">
        <f t="shared" si="927"/>
        <v>2013</v>
      </c>
    </row>
    <row r="7791" spans="1:13" ht="15" x14ac:dyDescent="0.25">
      <c r="A7791" s="1">
        <f>DATE(2013,8,6)</f>
        <v>41492</v>
      </c>
      <c r="B7791" t="s">
        <v>18</v>
      </c>
      <c r="C7791" t="s">
        <v>10</v>
      </c>
      <c r="D7791" s="3">
        <v>159.65709999999999</v>
      </c>
      <c r="E7791" s="3">
        <v>0</v>
      </c>
      <c r="F7791" t="s">
        <v>45</v>
      </c>
      <c r="G7791" s="3">
        <f t="shared" si="921"/>
        <v>-159.65709999999999</v>
      </c>
      <c r="H7791" s="3">
        <f t="shared" si="922"/>
        <v>159.65709999999999</v>
      </c>
      <c r="I7791" s="5" t="str">
        <f t="shared" si="923"/>
        <v>017</v>
      </c>
      <c r="J7791" s="5" t="str">
        <f t="shared" si="924"/>
        <v>2230</v>
      </c>
      <c r="K7791" s="5" t="str">
        <f t="shared" si="925"/>
        <v>000</v>
      </c>
      <c r="L7791" s="5">
        <f t="shared" si="926"/>
        <v>8</v>
      </c>
      <c r="M7791" s="5">
        <f t="shared" si="927"/>
        <v>2013</v>
      </c>
    </row>
    <row r="7792" spans="1:13" ht="15" x14ac:dyDescent="0.25">
      <c r="A7792" s="1">
        <f>DATE(2013,8,7)</f>
        <v>41493</v>
      </c>
      <c r="B7792" t="s">
        <v>15</v>
      </c>
      <c r="C7792" t="s">
        <v>6</v>
      </c>
      <c r="D7792" s="3">
        <v>4911.2575999999999</v>
      </c>
      <c r="E7792" s="3">
        <v>0</v>
      </c>
      <c r="F7792" t="s">
        <v>45</v>
      </c>
      <c r="G7792" s="3">
        <f t="shared" si="921"/>
        <v>-4911.2575999999999</v>
      </c>
      <c r="H7792" s="3">
        <f t="shared" si="922"/>
        <v>4911.2575999999999</v>
      </c>
      <c r="I7792" s="5" t="str">
        <f t="shared" si="923"/>
        <v>017</v>
      </c>
      <c r="J7792" s="5" t="str">
        <f t="shared" si="924"/>
        <v>2100</v>
      </c>
      <c r="K7792" s="5" t="str">
        <f t="shared" si="925"/>
        <v>000</v>
      </c>
      <c r="L7792" s="5">
        <f t="shared" si="926"/>
        <v>8</v>
      </c>
      <c r="M7792" s="5">
        <f t="shared" si="927"/>
        <v>2013</v>
      </c>
    </row>
    <row r="7793" spans="1:13" ht="15" x14ac:dyDescent="0.25">
      <c r="A7793" s="1">
        <f>DATE(2013,8,7)</f>
        <v>41493</v>
      </c>
      <c r="B7793" t="s">
        <v>16</v>
      </c>
      <c r="C7793" t="s">
        <v>8</v>
      </c>
      <c r="D7793" s="3">
        <v>1331.5119999999999</v>
      </c>
      <c r="E7793" s="3">
        <v>0</v>
      </c>
      <c r="F7793" t="s">
        <v>45</v>
      </c>
      <c r="G7793" s="3">
        <f t="shared" si="921"/>
        <v>-1331.5119999999999</v>
      </c>
      <c r="H7793" s="3">
        <f t="shared" si="922"/>
        <v>1331.5119999999999</v>
      </c>
      <c r="I7793" s="5" t="str">
        <f t="shared" si="923"/>
        <v>017</v>
      </c>
      <c r="J7793" s="5" t="str">
        <f t="shared" si="924"/>
        <v>2210</v>
      </c>
      <c r="K7793" s="5" t="str">
        <f t="shared" si="925"/>
        <v>000</v>
      </c>
      <c r="L7793" s="5">
        <f t="shared" si="926"/>
        <v>8</v>
      </c>
      <c r="M7793" s="5">
        <f t="shared" si="927"/>
        <v>2013</v>
      </c>
    </row>
    <row r="7794" spans="1:13" ht="15" x14ac:dyDescent="0.25">
      <c r="A7794" s="1">
        <f>DATE(2013,8,7)</f>
        <v>41493</v>
      </c>
      <c r="B7794" t="s">
        <v>17</v>
      </c>
      <c r="C7794" t="s">
        <v>9</v>
      </c>
      <c r="D7794" s="3">
        <v>307.45439999999996</v>
      </c>
      <c r="E7794" s="3">
        <v>0</v>
      </c>
      <c r="F7794" t="s">
        <v>45</v>
      </c>
      <c r="G7794" s="3">
        <f t="shared" si="921"/>
        <v>-307.45439999999996</v>
      </c>
      <c r="H7794" s="3">
        <f t="shared" si="922"/>
        <v>307.45439999999996</v>
      </c>
      <c r="I7794" s="5" t="str">
        <f t="shared" si="923"/>
        <v>017</v>
      </c>
      <c r="J7794" s="5" t="str">
        <f t="shared" si="924"/>
        <v>2220</v>
      </c>
      <c r="K7794" s="5" t="str">
        <f t="shared" si="925"/>
        <v>000</v>
      </c>
      <c r="L7794" s="5">
        <f t="shared" si="926"/>
        <v>8</v>
      </c>
      <c r="M7794" s="5">
        <f t="shared" si="927"/>
        <v>2013</v>
      </c>
    </row>
    <row r="7795" spans="1:13" ht="15" x14ac:dyDescent="0.25">
      <c r="A7795" s="1">
        <f>DATE(2013,8,7)</f>
        <v>41493</v>
      </c>
      <c r="B7795" t="s">
        <v>18</v>
      </c>
      <c r="C7795" t="s">
        <v>10</v>
      </c>
      <c r="D7795" s="3">
        <v>64.336699999999993</v>
      </c>
      <c r="E7795" s="3">
        <v>0</v>
      </c>
      <c r="F7795" t="s">
        <v>45</v>
      </c>
      <c r="G7795" s="3">
        <f t="shared" si="921"/>
        <v>-64.336699999999993</v>
      </c>
      <c r="H7795" s="3">
        <f t="shared" si="922"/>
        <v>64.336699999999993</v>
      </c>
      <c r="I7795" s="5" t="str">
        <f t="shared" si="923"/>
        <v>017</v>
      </c>
      <c r="J7795" s="5" t="str">
        <f t="shared" si="924"/>
        <v>2230</v>
      </c>
      <c r="K7795" s="5" t="str">
        <f t="shared" si="925"/>
        <v>000</v>
      </c>
      <c r="L7795" s="5">
        <f t="shared" si="926"/>
        <v>8</v>
      </c>
      <c r="M7795" s="5">
        <f t="shared" si="927"/>
        <v>2013</v>
      </c>
    </row>
    <row r="7796" spans="1:13" ht="15" x14ac:dyDescent="0.25">
      <c r="A7796" s="1">
        <f>DATE(2013,8,8)</f>
        <v>41494</v>
      </c>
      <c r="B7796" t="s">
        <v>15</v>
      </c>
      <c r="C7796" t="s">
        <v>6</v>
      </c>
      <c r="D7796" s="3">
        <v>4541.7905000000001</v>
      </c>
      <c r="E7796" s="3">
        <v>0</v>
      </c>
      <c r="F7796" t="s">
        <v>45</v>
      </c>
      <c r="G7796" s="3">
        <f t="shared" si="921"/>
        <v>-4541.7905000000001</v>
      </c>
      <c r="H7796" s="3">
        <f t="shared" si="922"/>
        <v>4541.7905000000001</v>
      </c>
      <c r="I7796" s="5" t="str">
        <f t="shared" si="923"/>
        <v>017</v>
      </c>
      <c r="J7796" s="5" t="str">
        <f t="shared" si="924"/>
        <v>2100</v>
      </c>
      <c r="K7796" s="5" t="str">
        <f t="shared" si="925"/>
        <v>000</v>
      </c>
      <c r="L7796" s="5">
        <f t="shared" si="926"/>
        <v>8</v>
      </c>
      <c r="M7796" s="5">
        <f t="shared" si="927"/>
        <v>2013</v>
      </c>
    </row>
    <row r="7797" spans="1:13" ht="15" x14ac:dyDescent="0.25">
      <c r="A7797" s="1">
        <f>DATE(2013,8,8)</f>
        <v>41494</v>
      </c>
      <c r="B7797" t="s">
        <v>16</v>
      </c>
      <c r="C7797" t="s">
        <v>8</v>
      </c>
      <c r="D7797" s="3">
        <v>1406.652</v>
      </c>
      <c r="E7797" s="3">
        <v>0</v>
      </c>
      <c r="F7797" t="s">
        <v>45</v>
      </c>
      <c r="G7797" s="3">
        <f t="shared" si="921"/>
        <v>-1406.652</v>
      </c>
      <c r="H7797" s="3">
        <f t="shared" si="922"/>
        <v>1406.652</v>
      </c>
      <c r="I7797" s="5" t="str">
        <f t="shared" si="923"/>
        <v>017</v>
      </c>
      <c r="J7797" s="5" t="str">
        <f t="shared" si="924"/>
        <v>2210</v>
      </c>
      <c r="K7797" s="5" t="str">
        <f t="shared" si="925"/>
        <v>000</v>
      </c>
      <c r="L7797" s="5">
        <f t="shared" si="926"/>
        <v>8</v>
      </c>
      <c r="M7797" s="5">
        <f t="shared" si="927"/>
        <v>2013</v>
      </c>
    </row>
    <row r="7798" spans="1:13" ht="15" x14ac:dyDescent="0.25">
      <c r="A7798" s="1">
        <f>DATE(2013,8,8)</f>
        <v>41494</v>
      </c>
      <c r="B7798" t="s">
        <v>17</v>
      </c>
      <c r="C7798" t="s">
        <v>9</v>
      </c>
      <c r="D7798" s="3">
        <v>723.12450000000001</v>
      </c>
      <c r="E7798" s="3">
        <v>0</v>
      </c>
      <c r="F7798" t="s">
        <v>45</v>
      </c>
      <c r="G7798" s="3">
        <f t="shared" si="921"/>
        <v>-723.12450000000001</v>
      </c>
      <c r="H7798" s="3">
        <f t="shared" si="922"/>
        <v>723.12450000000001</v>
      </c>
      <c r="I7798" s="5" t="str">
        <f t="shared" si="923"/>
        <v>017</v>
      </c>
      <c r="J7798" s="5" t="str">
        <f t="shared" si="924"/>
        <v>2220</v>
      </c>
      <c r="K7798" s="5" t="str">
        <f t="shared" si="925"/>
        <v>000</v>
      </c>
      <c r="L7798" s="5">
        <f t="shared" si="926"/>
        <v>8</v>
      </c>
      <c r="M7798" s="5">
        <f t="shared" si="927"/>
        <v>2013</v>
      </c>
    </row>
    <row r="7799" spans="1:13" ht="15" x14ac:dyDescent="0.25">
      <c r="A7799" s="1">
        <f>DATE(2013,8,8)</f>
        <v>41494</v>
      </c>
      <c r="B7799" t="s">
        <v>18</v>
      </c>
      <c r="C7799" t="s">
        <v>10</v>
      </c>
      <c r="D7799" s="3">
        <v>158.77950000000001</v>
      </c>
      <c r="E7799" s="3">
        <v>0</v>
      </c>
      <c r="F7799" t="s">
        <v>45</v>
      </c>
      <c r="G7799" s="3">
        <f t="shared" si="921"/>
        <v>-158.77950000000001</v>
      </c>
      <c r="H7799" s="3">
        <f t="shared" si="922"/>
        <v>158.77950000000001</v>
      </c>
      <c r="I7799" s="5" t="str">
        <f t="shared" si="923"/>
        <v>017</v>
      </c>
      <c r="J7799" s="5" t="str">
        <f t="shared" si="924"/>
        <v>2230</v>
      </c>
      <c r="K7799" s="5" t="str">
        <f t="shared" si="925"/>
        <v>000</v>
      </c>
      <c r="L7799" s="5">
        <f t="shared" si="926"/>
        <v>8</v>
      </c>
      <c r="M7799" s="5">
        <f t="shared" si="927"/>
        <v>2013</v>
      </c>
    </row>
    <row r="7800" spans="1:13" ht="15" x14ac:dyDescent="0.25">
      <c r="A7800" s="1">
        <f>DATE(2013,8,9)</f>
        <v>41495</v>
      </c>
      <c r="B7800" t="s">
        <v>15</v>
      </c>
      <c r="C7800" t="s">
        <v>6</v>
      </c>
      <c r="D7800" s="3">
        <v>9935.115600000001</v>
      </c>
      <c r="E7800" s="3">
        <v>0</v>
      </c>
      <c r="F7800" t="s">
        <v>45</v>
      </c>
      <c r="G7800" s="3">
        <f t="shared" si="921"/>
        <v>-9935.115600000001</v>
      </c>
      <c r="H7800" s="3">
        <f t="shared" si="922"/>
        <v>9935.115600000001</v>
      </c>
      <c r="I7800" s="5" t="str">
        <f t="shared" si="923"/>
        <v>017</v>
      </c>
      <c r="J7800" s="5" t="str">
        <f t="shared" si="924"/>
        <v>2100</v>
      </c>
      <c r="K7800" s="5" t="str">
        <f t="shared" si="925"/>
        <v>000</v>
      </c>
      <c r="L7800" s="5">
        <f t="shared" si="926"/>
        <v>8</v>
      </c>
      <c r="M7800" s="5">
        <f t="shared" si="927"/>
        <v>2013</v>
      </c>
    </row>
    <row r="7801" spans="1:13" ht="15" x14ac:dyDescent="0.25">
      <c r="A7801" s="1">
        <f>DATE(2013,8,9)</f>
        <v>41495</v>
      </c>
      <c r="B7801" t="s">
        <v>16</v>
      </c>
      <c r="C7801" t="s">
        <v>8</v>
      </c>
      <c r="D7801" s="3">
        <v>2127.1536000000001</v>
      </c>
      <c r="E7801" s="3">
        <v>0</v>
      </c>
      <c r="F7801" t="s">
        <v>45</v>
      </c>
      <c r="G7801" s="3">
        <f t="shared" si="921"/>
        <v>-2127.1536000000001</v>
      </c>
      <c r="H7801" s="3">
        <f t="shared" si="922"/>
        <v>2127.1536000000001</v>
      </c>
      <c r="I7801" s="5" t="str">
        <f t="shared" si="923"/>
        <v>017</v>
      </c>
      <c r="J7801" s="5" t="str">
        <f t="shared" si="924"/>
        <v>2210</v>
      </c>
      <c r="K7801" s="5" t="str">
        <f t="shared" si="925"/>
        <v>000</v>
      </c>
      <c r="L7801" s="5">
        <f t="shared" si="926"/>
        <v>8</v>
      </c>
      <c r="M7801" s="5">
        <f t="shared" si="927"/>
        <v>2013</v>
      </c>
    </row>
    <row r="7802" spans="1:13" ht="15" x14ac:dyDescent="0.25">
      <c r="A7802" s="1">
        <f>DATE(2013,8,9)</f>
        <v>41495</v>
      </c>
      <c r="B7802" t="s">
        <v>17</v>
      </c>
      <c r="C7802" t="s">
        <v>9</v>
      </c>
      <c r="D7802" s="3">
        <v>423.9</v>
      </c>
      <c r="E7802" s="3">
        <v>0</v>
      </c>
      <c r="F7802" t="s">
        <v>45</v>
      </c>
      <c r="G7802" s="3">
        <f t="shared" si="921"/>
        <v>-423.9</v>
      </c>
      <c r="H7802" s="3">
        <f t="shared" si="922"/>
        <v>423.9</v>
      </c>
      <c r="I7802" s="5" t="str">
        <f t="shared" si="923"/>
        <v>017</v>
      </c>
      <c r="J7802" s="5" t="str">
        <f t="shared" si="924"/>
        <v>2220</v>
      </c>
      <c r="K7802" s="5" t="str">
        <f t="shared" si="925"/>
        <v>000</v>
      </c>
      <c r="L7802" s="5">
        <f t="shared" si="926"/>
        <v>8</v>
      </c>
      <c r="M7802" s="5">
        <f t="shared" si="927"/>
        <v>2013</v>
      </c>
    </row>
    <row r="7803" spans="1:13" ht="15" x14ac:dyDescent="0.25">
      <c r="A7803" s="1">
        <f>DATE(2013,8,9)</f>
        <v>41495</v>
      </c>
      <c r="B7803" t="s">
        <v>18</v>
      </c>
      <c r="C7803" t="s">
        <v>10</v>
      </c>
      <c r="D7803" s="3">
        <v>105.33070000000001</v>
      </c>
      <c r="E7803" s="3">
        <v>0</v>
      </c>
      <c r="F7803" t="s">
        <v>45</v>
      </c>
      <c r="G7803" s="3">
        <f t="shared" si="921"/>
        <v>-105.33070000000001</v>
      </c>
      <c r="H7803" s="3">
        <f t="shared" si="922"/>
        <v>105.33070000000001</v>
      </c>
      <c r="I7803" s="5" t="str">
        <f t="shared" si="923"/>
        <v>017</v>
      </c>
      <c r="J7803" s="5" t="str">
        <f t="shared" si="924"/>
        <v>2230</v>
      </c>
      <c r="K7803" s="5" t="str">
        <f t="shared" si="925"/>
        <v>000</v>
      </c>
      <c r="L7803" s="5">
        <f t="shared" si="926"/>
        <v>8</v>
      </c>
      <c r="M7803" s="5">
        <f t="shared" si="927"/>
        <v>2013</v>
      </c>
    </row>
    <row r="7804" spans="1:13" ht="15" x14ac:dyDescent="0.25">
      <c r="A7804" s="1">
        <f>DATE(2013,8,10)</f>
        <v>41496</v>
      </c>
      <c r="B7804" t="s">
        <v>15</v>
      </c>
      <c r="C7804" t="s">
        <v>6</v>
      </c>
      <c r="D7804" s="3">
        <v>6591.0909999999994</v>
      </c>
      <c r="E7804" s="3">
        <v>0</v>
      </c>
      <c r="F7804" t="s">
        <v>45</v>
      </c>
      <c r="G7804" s="3">
        <f t="shared" si="921"/>
        <v>-6591.0909999999994</v>
      </c>
      <c r="H7804" s="3">
        <f t="shared" si="922"/>
        <v>6591.0909999999994</v>
      </c>
      <c r="I7804" s="5" t="str">
        <f t="shared" si="923"/>
        <v>017</v>
      </c>
      <c r="J7804" s="5" t="str">
        <f t="shared" si="924"/>
        <v>2100</v>
      </c>
      <c r="K7804" s="5" t="str">
        <f t="shared" si="925"/>
        <v>000</v>
      </c>
      <c r="L7804" s="5">
        <f t="shared" si="926"/>
        <v>8</v>
      </c>
      <c r="M7804" s="5">
        <f t="shared" si="927"/>
        <v>2013</v>
      </c>
    </row>
    <row r="7805" spans="1:13" ht="15" x14ac:dyDescent="0.25">
      <c r="A7805" s="1">
        <f>DATE(2013,8,10)</f>
        <v>41496</v>
      </c>
      <c r="B7805" t="s">
        <v>16</v>
      </c>
      <c r="C7805" t="s">
        <v>8</v>
      </c>
      <c r="D7805" s="3">
        <v>3318.23</v>
      </c>
      <c r="E7805" s="3">
        <v>0</v>
      </c>
      <c r="F7805" t="s">
        <v>45</v>
      </c>
      <c r="G7805" s="3">
        <f t="shared" si="921"/>
        <v>-3318.23</v>
      </c>
      <c r="H7805" s="3">
        <f t="shared" si="922"/>
        <v>3318.23</v>
      </c>
      <c r="I7805" s="5" t="str">
        <f t="shared" si="923"/>
        <v>017</v>
      </c>
      <c r="J7805" s="5" t="str">
        <f t="shared" si="924"/>
        <v>2210</v>
      </c>
      <c r="K7805" s="5" t="str">
        <f t="shared" si="925"/>
        <v>000</v>
      </c>
      <c r="L7805" s="5">
        <f t="shared" si="926"/>
        <v>8</v>
      </c>
      <c r="M7805" s="5">
        <f t="shared" si="927"/>
        <v>2013</v>
      </c>
    </row>
    <row r="7806" spans="1:13" ht="15" x14ac:dyDescent="0.25">
      <c r="A7806" s="1">
        <f>DATE(2013,8,10)</f>
        <v>41496</v>
      </c>
      <c r="B7806" t="s">
        <v>17</v>
      </c>
      <c r="C7806" t="s">
        <v>9</v>
      </c>
      <c r="D7806" s="3">
        <v>760.87150000000008</v>
      </c>
      <c r="E7806" s="3">
        <v>0</v>
      </c>
      <c r="F7806" t="s">
        <v>45</v>
      </c>
      <c r="G7806" s="3">
        <f t="shared" si="921"/>
        <v>-760.87150000000008</v>
      </c>
      <c r="H7806" s="3">
        <f t="shared" si="922"/>
        <v>760.87150000000008</v>
      </c>
      <c r="I7806" s="5" t="str">
        <f t="shared" si="923"/>
        <v>017</v>
      </c>
      <c r="J7806" s="5" t="str">
        <f t="shared" si="924"/>
        <v>2220</v>
      </c>
      <c r="K7806" s="5" t="str">
        <f t="shared" si="925"/>
        <v>000</v>
      </c>
      <c r="L7806" s="5">
        <f t="shared" si="926"/>
        <v>8</v>
      </c>
      <c r="M7806" s="5">
        <f t="shared" si="927"/>
        <v>2013</v>
      </c>
    </row>
    <row r="7807" spans="1:13" ht="15" x14ac:dyDescent="0.25">
      <c r="A7807" s="1">
        <f>DATE(2013,8,10)</f>
        <v>41496</v>
      </c>
      <c r="B7807" t="s">
        <v>18</v>
      </c>
      <c r="C7807" t="s">
        <v>10</v>
      </c>
      <c r="D7807" s="3">
        <v>142.39500000000001</v>
      </c>
      <c r="E7807" s="3">
        <v>0</v>
      </c>
      <c r="F7807" t="s">
        <v>45</v>
      </c>
      <c r="G7807" s="3">
        <f t="shared" si="921"/>
        <v>-142.39500000000001</v>
      </c>
      <c r="H7807" s="3">
        <f t="shared" si="922"/>
        <v>142.39500000000001</v>
      </c>
      <c r="I7807" s="5" t="str">
        <f t="shared" si="923"/>
        <v>017</v>
      </c>
      <c r="J7807" s="5" t="str">
        <f t="shared" si="924"/>
        <v>2230</v>
      </c>
      <c r="K7807" s="5" t="str">
        <f t="shared" si="925"/>
        <v>000</v>
      </c>
      <c r="L7807" s="5">
        <f t="shared" si="926"/>
        <v>8</v>
      </c>
      <c r="M7807" s="5">
        <f t="shared" si="927"/>
        <v>2013</v>
      </c>
    </row>
    <row r="7808" spans="1:13" ht="15" x14ac:dyDescent="0.25">
      <c r="A7808" s="1">
        <f>DATE(2013,8,11)</f>
        <v>41497</v>
      </c>
      <c r="B7808" t="s">
        <v>15</v>
      </c>
      <c r="C7808" t="s">
        <v>6</v>
      </c>
      <c r="D7808" s="3">
        <v>5807.0349999999999</v>
      </c>
      <c r="E7808" s="3">
        <v>0</v>
      </c>
      <c r="F7808" t="s">
        <v>45</v>
      </c>
      <c r="G7808" s="3">
        <f t="shared" si="921"/>
        <v>-5807.0349999999999</v>
      </c>
      <c r="H7808" s="3">
        <f t="shared" si="922"/>
        <v>5807.0349999999999</v>
      </c>
      <c r="I7808" s="5" t="str">
        <f t="shared" si="923"/>
        <v>017</v>
      </c>
      <c r="J7808" s="5" t="str">
        <f t="shared" si="924"/>
        <v>2100</v>
      </c>
      <c r="K7808" s="5" t="str">
        <f t="shared" si="925"/>
        <v>000</v>
      </c>
      <c r="L7808" s="5">
        <f t="shared" si="926"/>
        <v>8</v>
      </c>
      <c r="M7808" s="5">
        <f t="shared" si="927"/>
        <v>2013</v>
      </c>
    </row>
    <row r="7809" spans="1:13" ht="15" x14ac:dyDescent="0.25">
      <c r="A7809" s="1">
        <f>DATE(2013,8,11)</f>
        <v>41497</v>
      </c>
      <c r="B7809" t="s">
        <v>16</v>
      </c>
      <c r="C7809" t="s">
        <v>8</v>
      </c>
      <c r="D7809" s="3">
        <v>878.64479999999992</v>
      </c>
      <c r="E7809" s="3">
        <v>0</v>
      </c>
      <c r="F7809" t="s">
        <v>45</v>
      </c>
      <c r="G7809" s="3">
        <f t="shared" si="921"/>
        <v>-878.64479999999992</v>
      </c>
      <c r="H7809" s="3">
        <f t="shared" si="922"/>
        <v>878.64479999999992</v>
      </c>
      <c r="I7809" s="5" t="str">
        <f t="shared" si="923"/>
        <v>017</v>
      </c>
      <c r="J7809" s="5" t="str">
        <f t="shared" si="924"/>
        <v>2210</v>
      </c>
      <c r="K7809" s="5" t="str">
        <f t="shared" si="925"/>
        <v>000</v>
      </c>
      <c r="L7809" s="5">
        <f t="shared" si="926"/>
        <v>8</v>
      </c>
      <c r="M7809" s="5">
        <f t="shared" si="927"/>
        <v>2013</v>
      </c>
    </row>
    <row r="7810" spans="1:13" ht="15" x14ac:dyDescent="0.25">
      <c r="A7810" s="1">
        <f>DATE(2013,8,11)</f>
        <v>41497</v>
      </c>
      <c r="B7810" t="s">
        <v>17</v>
      </c>
      <c r="C7810" t="s">
        <v>9</v>
      </c>
      <c r="D7810" s="3">
        <v>164.96550000000002</v>
      </c>
      <c r="E7810" s="3">
        <v>0</v>
      </c>
      <c r="F7810" t="s">
        <v>45</v>
      </c>
      <c r="G7810" s="3">
        <f t="shared" ref="G7810:G7873" si="928">E7810-D7810</f>
        <v>-164.96550000000002</v>
      </c>
      <c r="H7810" s="3">
        <f t="shared" ref="H7810:H7873" si="929">ABS(G7810)</f>
        <v>164.96550000000002</v>
      </c>
      <c r="I7810" s="5" t="str">
        <f t="shared" ref="I7810:I7873" si="930">MID(B7810,1,3)</f>
        <v>017</v>
      </c>
      <c r="J7810" s="5" t="str">
        <f t="shared" ref="J7810:J7873" si="931">MID(B7810,5,4)</f>
        <v>2220</v>
      </c>
      <c r="K7810" s="5" t="str">
        <f t="shared" ref="K7810:K7873" si="932">MID(B7810,10,3)</f>
        <v>000</v>
      </c>
      <c r="L7810" s="5">
        <f t="shared" ref="L7810:L7873" si="933">MONTH(A7810)</f>
        <v>8</v>
      </c>
      <c r="M7810" s="5">
        <f t="shared" ref="M7810:M7873" si="934">YEAR(A7810)</f>
        <v>2013</v>
      </c>
    </row>
    <row r="7811" spans="1:13" ht="15" x14ac:dyDescent="0.25">
      <c r="A7811" s="1">
        <f>DATE(2013,8,11)</f>
        <v>41497</v>
      </c>
      <c r="B7811" t="s">
        <v>18</v>
      </c>
      <c r="C7811" t="s">
        <v>10</v>
      </c>
      <c r="D7811" s="3">
        <v>77.540400000000005</v>
      </c>
      <c r="E7811" s="3">
        <v>0</v>
      </c>
      <c r="F7811" t="s">
        <v>45</v>
      </c>
      <c r="G7811" s="3">
        <f t="shared" si="928"/>
        <v>-77.540400000000005</v>
      </c>
      <c r="H7811" s="3">
        <f t="shared" si="929"/>
        <v>77.540400000000005</v>
      </c>
      <c r="I7811" s="5" t="str">
        <f t="shared" si="930"/>
        <v>017</v>
      </c>
      <c r="J7811" s="5" t="str">
        <f t="shared" si="931"/>
        <v>2230</v>
      </c>
      <c r="K7811" s="5" t="str">
        <f t="shared" si="932"/>
        <v>000</v>
      </c>
      <c r="L7811" s="5">
        <f t="shared" si="933"/>
        <v>8</v>
      </c>
      <c r="M7811" s="5">
        <f t="shared" si="934"/>
        <v>2013</v>
      </c>
    </row>
    <row r="7812" spans="1:13" ht="15" x14ac:dyDescent="0.25">
      <c r="A7812" s="1">
        <f>DATE(2013,8,5)</f>
        <v>41491</v>
      </c>
      <c r="B7812" t="s">
        <v>19</v>
      </c>
      <c r="C7812" t="s">
        <v>6</v>
      </c>
      <c r="D7812" s="3">
        <v>3713.58</v>
      </c>
      <c r="E7812" s="3">
        <v>0</v>
      </c>
      <c r="F7812" t="s">
        <v>45</v>
      </c>
      <c r="G7812" s="3">
        <f t="shared" si="928"/>
        <v>-3713.58</v>
      </c>
      <c r="H7812" s="3">
        <f t="shared" si="929"/>
        <v>3713.58</v>
      </c>
      <c r="I7812" s="5" t="str">
        <f t="shared" si="930"/>
        <v>018</v>
      </c>
      <c r="J7812" s="5" t="str">
        <f t="shared" si="931"/>
        <v>2100</v>
      </c>
      <c r="K7812" s="5" t="str">
        <f t="shared" si="932"/>
        <v>000</v>
      </c>
      <c r="L7812" s="5">
        <f t="shared" si="933"/>
        <v>8</v>
      </c>
      <c r="M7812" s="5">
        <f t="shared" si="934"/>
        <v>2013</v>
      </c>
    </row>
    <row r="7813" spans="1:13" ht="15" x14ac:dyDescent="0.25">
      <c r="A7813" s="1">
        <f>DATE(2013,8,5)</f>
        <v>41491</v>
      </c>
      <c r="B7813" t="s">
        <v>20</v>
      </c>
      <c r="C7813" t="s">
        <v>8</v>
      </c>
      <c r="D7813" s="3">
        <v>718.08119999999997</v>
      </c>
      <c r="E7813" s="3">
        <v>0</v>
      </c>
      <c r="F7813" t="s">
        <v>45</v>
      </c>
      <c r="G7813" s="3">
        <f t="shared" si="928"/>
        <v>-718.08119999999997</v>
      </c>
      <c r="H7813" s="3">
        <f t="shared" si="929"/>
        <v>718.08119999999997</v>
      </c>
      <c r="I7813" s="5" t="str">
        <f t="shared" si="930"/>
        <v>018</v>
      </c>
      <c r="J7813" s="5" t="str">
        <f t="shared" si="931"/>
        <v>2210</v>
      </c>
      <c r="K7813" s="5" t="str">
        <f t="shared" si="932"/>
        <v>000</v>
      </c>
      <c r="L7813" s="5">
        <f t="shared" si="933"/>
        <v>8</v>
      </c>
      <c r="M7813" s="5">
        <f t="shared" si="934"/>
        <v>2013</v>
      </c>
    </row>
    <row r="7814" spans="1:13" ht="15" x14ac:dyDescent="0.25">
      <c r="A7814" s="1">
        <f>DATE(2013,8,5)</f>
        <v>41491</v>
      </c>
      <c r="B7814" t="s">
        <v>21</v>
      </c>
      <c r="C7814" t="s">
        <v>9</v>
      </c>
      <c r="D7814" s="3">
        <v>223.995</v>
      </c>
      <c r="E7814" s="3">
        <v>0</v>
      </c>
      <c r="F7814" t="s">
        <v>45</v>
      </c>
      <c r="G7814" s="3">
        <f t="shared" si="928"/>
        <v>-223.995</v>
      </c>
      <c r="H7814" s="3">
        <f t="shared" si="929"/>
        <v>223.995</v>
      </c>
      <c r="I7814" s="5" t="str">
        <f t="shared" si="930"/>
        <v>018</v>
      </c>
      <c r="J7814" s="5" t="str">
        <f t="shared" si="931"/>
        <v>2220</v>
      </c>
      <c r="K7814" s="5" t="str">
        <f t="shared" si="932"/>
        <v>000</v>
      </c>
      <c r="L7814" s="5">
        <f t="shared" si="933"/>
        <v>8</v>
      </c>
      <c r="M7814" s="5">
        <f t="shared" si="934"/>
        <v>2013</v>
      </c>
    </row>
    <row r="7815" spans="1:13" ht="15" x14ac:dyDescent="0.25">
      <c r="A7815" s="1">
        <f>DATE(2013,8,5)</f>
        <v>41491</v>
      </c>
      <c r="B7815" t="s">
        <v>22</v>
      </c>
      <c r="C7815" t="s">
        <v>10</v>
      </c>
      <c r="D7815" s="3">
        <v>42.947399999999995</v>
      </c>
      <c r="E7815" s="3">
        <v>0</v>
      </c>
      <c r="F7815" t="s">
        <v>45</v>
      </c>
      <c r="G7815" s="3">
        <f t="shared" si="928"/>
        <v>-42.947399999999995</v>
      </c>
      <c r="H7815" s="3">
        <f t="shared" si="929"/>
        <v>42.947399999999995</v>
      </c>
      <c r="I7815" s="5" t="str">
        <f t="shared" si="930"/>
        <v>018</v>
      </c>
      <c r="J7815" s="5" t="str">
        <f t="shared" si="931"/>
        <v>2230</v>
      </c>
      <c r="K7815" s="5" t="str">
        <f t="shared" si="932"/>
        <v>000</v>
      </c>
      <c r="L7815" s="5">
        <f t="shared" si="933"/>
        <v>8</v>
      </c>
      <c r="M7815" s="5">
        <f t="shared" si="934"/>
        <v>2013</v>
      </c>
    </row>
    <row r="7816" spans="1:13" ht="15" x14ac:dyDescent="0.25">
      <c r="A7816" s="1">
        <f>DATE(2013,8,6)</f>
        <v>41492</v>
      </c>
      <c r="B7816" t="s">
        <v>19</v>
      </c>
      <c r="C7816" t="s">
        <v>6</v>
      </c>
      <c r="D7816" s="3">
        <v>5061.4255999999996</v>
      </c>
      <c r="E7816" s="3">
        <v>0</v>
      </c>
      <c r="F7816" t="s">
        <v>45</v>
      </c>
      <c r="G7816" s="3">
        <f t="shared" si="928"/>
        <v>-5061.4255999999996</v>
      </c>
      <c r="H7816" s="3">
        <f t="shared" si="929"/>
        <v>5061.4255999999996</v>
      </c>
      <c r="I7816" s="5" t="str">
        <f t="shared" si="930"/>
        <v>018</v>
      </c>
      <c r="J7816" s="5" t="str">
        <f t="shared" si="931"/>
        <v>2100</v>
      </c>
      <c r="K7816" s="5" t="str">
        <f t="shared" si="932"/>
        <v>000</v>
      </c>
      <c r="L7816" s="5">
        <f t="shared" si="933"/>
        <v>8</v>
      </c>
      <c r="M7816" s="5">
        <f t="shared" si="934"/>
        <v>2013</v>
      </c>
    </row>
    <row r="7817" spans="1:13" ht="15" x14ac:dyDescent="0.25">
      <c r="A7817" s="1">
        <f>DATE(2013,8,6)</f>
        <v>41492</v>
      </c>
      <c r="B7817" t="s">
        <v>20</v>
      </c>
      <c r="C7817" t="s">
        <v>8</v>
      </c>
      <c r="D7817" s="3">
        <v>1024.6904999999999</v>
      </c>
      <c r="E7817" s="3">
        <v>0</v>
      </c>
      <c r="F7817" t="s">
        <v>45</v>
      </c>
      <c r="G7817" s="3">
        <f t="shared" si="928"/>
        <v>-1024.6904999999999</v>
      </c>
      <c r="H7817" s="3">
        <f t="shared" si="929"/>
        <v>1024.6904999999999</v>
      </c>
      <c r="I7817" s="5" t="str">
        <f t="shared" si="930"/>
        <v>018</v>
      </c>
      <c r="J7817" s="5" t="str">
        <f t="shared" si="931"/>
        <v>2210</v>
      </c>
      <c r="K7817" s="5" t="str">
        <f t="shared" si="932"/>
        <v>000</v>
      </c>
      <c r="L7817" s="5">
        <f t="shared" si="933"/>
        <v>8</v>
      </c>
      <c r="M7817" s="5">
        <f t="shared" si="934"/>
        <v>2013</v>
      </c>
    </row>
    <row r="7818" spans="1:13" ht="15" x14ac:dyDescent="0.25">
      <c r="A7818" s="1">
        <f>DATE(2013,8,6)</f>
        <v>41492</v>
      </c>
      <c r="B7818" t="s">
        <v>21</v>
      </c>
      <c r="C7818" t="s">
        <v>9</v>
      </c>
      <c r="D7818" s="3">
        <v>221.81050000000002</v>
      </c>
      <c r="E7818" s="3">
        <v>0</v>
      </c>
      <c r="F7818" t="s">
        <v>45</v>
      </c>
      <c r="G7818" s="3">
        <f t="shared" si="928"/>
        <v>-221.81050000000002</v>
      </c>
      <c r="H7818" s="3">
        <f t="shared" si="929"/>
        <v>221.81050000000002</v>
      </c>
      <c r="I7818" s="5" t="str">
        <f t="shared" si="930"/>
        <v>018</v>
      </c>
      <c r="J7818" s="5" t="str">
        <f t="shared" si="931"/>
        <v>2220</v>
      </c>
      <c r="K7818" s="5" t="str">
        <f t="shared" si="932"/>
        <v>000</v>
      </c>
      <c r="L7818" s="5">
        <f t="shared" si="933"/>
        <v>8</v>
      </c>
      <c r="M7818" s="5">
        <f t="shared" si="934"/>
        <v>2013</v>
      </c>
    </row>
    <row r="7819" spans="1:13" ht="15" x14ac:dyDescent="0.25">
      <c r="A7819" s="1">
        <f>DATE(2013,8,6)</f>
        <v>41492</v>
      </c>
      <c r="B7819" t="s">
        <v>22</v>
      </c>
      <c r="C7819" t="s">
        <v>10</v>
      </c>
      <c r="D7819" s="3">
        <v>47.916000000000004</v>
      </c>
      <c r="E7819" s="3">
        <v>0</v>
      </c>
      <c r="F7819" t="s">
        <v>45</v>
      </c>
      <c r="G7819" s="3">
        <f t="shared" si="928"/>
        <v>-47.916000000000004</v>
      </c>
      <c r="H7819" s="3">
        <f t="shared" si="929"/>
        <v>47.916000000000004</v>
      </c>
      <c r="I7819" s="5" t="str">
        <f t="shared" si="930"/>
        <v>018</v>
      </c>
      <c r="J7819" s="5" t="str">
        <f t="shared" si="931"/>
        <v>2230</v>
      </c>
      <c r="K7819" s="5" t="str">
        <f t="shared" si="932"/>
        <v>000</v>
      </c>
      <c r="L7819" s="5">
        <f t="shared" si="933"/>
        <v>8</v>
      </c>
      <c r="M7819" s="5">
        <f t="shared" si="934"/>
        <v>2013</v>
      </c>
    </row>
    <row r="7820" spans="1:13" ht="15" x14ac:dyDescent="0.25">
      <c r="A7820" s="1">
        <f>DATE(2013,8,7)</f>
        <v>41493</v>
      </c>
      <c r="B7820" t="s">
        <v>19</v>
      </c>
      <c r="C7820" t="s">
        <v>6</v>
      </c>
      <c r="D7820" s="3">
        <v>5024.9623000000001</v>
      </c>
      <c r="E7820" s="3">
        <v>0</v>
      </c>
      <c r="F7820" t="s">
        <v>45</v>
      </c>
      <c r="G7820" s="3">
        <f t="shared" si="928"/>
        <v>-5024.9623000000001</v>
      </c>
      <c r="H7820" s="3">
        <f t="shared" si="929"/>
        <v>5024.9623000000001</v>
      </c>
      <c r="I7820" s="5" t="str">
        <f t="shared" si="930"/>
        <v>018</v>
      </c>
      <c r="J7820" s="5" t="str">
        <f t="shared" si="931"/>
        <v>2100</v>
      </c>
      <c r="K7820" s="5" t="str">
        <f t="shared" si="932"/>
        <v>000</v>
      </c>
      <c r="L7820" s="5">
        <f t="shared" si="933"/>
        <v>8</v>
      </c>
      <c r="M7820" s="5">
        <f t="shared" si="934"/>
        <v>2013</v>
      </c>
    </row>
    <row r="7821" spans="1:13" ht="15" x14ac:dyDescent="0.25">
      <c r="A7821" s="1">
        <f>DATE(2013,8,7)</f>
        <v>41493</v>
      </c>
      <c r="B7821" t="s">
        <v>20</v>
      </c>
      <c r="C7821" t="s">
        <v>8</v>
      </c>
      <c r="D7821" s="3">
        <v>937.01760000000002</v>
      </c>
      <c r="E7821" s="3">
        <v>0</v>
      </c>
      <c r="F7821" t="s">
        <v>45</v>
      </c>
      <c r="G7821" s="3">
        <f t="shared" si="928"/>
        <v>-937.01760000000002</v>
      </c>
      <c r="H7821" s="3">
        <f t="shared" si="929"/>
        <v>937.01760000000002</v>
      </c>
      <c r="I7821" s="5" t="str">
        <f t="shared" si="930"/>
        <v>018</v>
      </c>
      <c r="J7821" s="5" t="str">
        <f t="shared" si="931"/>
        <v>2210</v>
      </c>
      <c r="K7821" s="5" t="str">
        <f t="shared" si="932"/>
        <v>000</v>
      </c>
      <c r="L7821" s="5">
        <f t="shared" si="933"/>
        <v>8</v>
      </c>
      <c r="M7821" s="5">
        <f t="shared" si="934"/>
        <v>2013</v>
      </c>
    </row>
    <row r="7822" spans="1:13" ht="15" x14ac:dyDescent="0.25">
      <c r="A7822" s="1">
        <f>DATE(2013,8,7)</f>
        <v>41493</v>
      </c>
      <c r="B7822" t="s">
        <v>21</v>
      </c>
      <c r="C7822" t="s">
        <v>9</v>
      </c>
      <c r="D7822" s="3">
        <v>165.41630000000001</v>
      </c>
      <c r="E7822" s="3">
        <v>0</v>
      </c>
      <c r="F7822" t="s">
        <v>45</v>
      </c>
      <c r="G7822" s="3">
        <f t="shared" si="928"/>
        <v>-165.41630000000001</v>
      </c>
      <c r="H7822" s="3">
        <f t="shared" si="929"/>
        <v>165.41630000000001</v>
      </c>
      <c r="I7822" s="5" t="str">
        <f t="shared" si="930"/>
        <v>018</v>
      </c>
      <c r="J7822" s="5" t="str">
        <f t="shared" si="931"/>
        <v>2220</v>
      </c>
      <c r="K7822" s="5" t="str">
        <f t="shared" si="932"/>
        <v>000</v>
      </c>
      <c r="L7822" s="5">
        <f t="shared" si="933"/>
        <v>8</v>
      </c>
      <c r="M7822" s="5">
        <f t="shared" si="934"/>
        <v>2013</v>
      </c>
    </row>
    <row r="7823" spans="1:13" ht="15" x14ac:dyDescent="0.25">
      <c r="A7823" s="1">
        <f>DATE(2013,8,7)</f>
        <v>41493</v>
      </c>
      <c r="B7823" t="s">
        <v>22</v>
      </c>
      <c r="C7823" t="s">
        <v>10</v>
      </c>
      <c r="D7823" s="3">
        <v>57.386199999999995</v>
      </c>
      <c r="E7823" s="3">
        <v>0</v>
      </c>
      <c r="F7823" t="s">
        <v>45</v>
      </c>
      <c r="G7823" s="3">
        <f t="shared" si="928"/>
        <v>-57.386199999999995</v>
      </c>
      <c r="H7823" s="3">
        <f t="shared" si="929"/>
        <v>57.386199999999995</v>
      </c>
      <c r="I7823" s="5" t="str">
        <f t="shared" si="930"/>
        <v>018</v>
      </c>
      <c r="J7823" s="5" t="str">
        <f t="shared" si="931"/>
        <v>2230</v>
      </c>
      <c r="K7823" s="5" t="str">
        <f t="shared" si="932"/>
        <v>000</v>
      </c>
      <c r="L7823" s="5">
        <f t="shared" si="933"/>
        <v>8</v>
      </c>
      <c r="M7823" s="5">
        <f t="shared" si="934"/>
        <v>2013</v>
      </c>
    </row>
    <row r="7824" spans="1:13" ht="15" x14ac:dyDescent="0.25">
      <c r="A7824" s="1">
        <f>DATE(2013,8,8)</f>
        <v>41494</v>
      </c>
      <c r="B7824" t="s">
        <v>19</v>
      </c>
      <c r="C7824" t="s">
        <v>6</v>
      </c>
      <c r="D7824" s="3">
        <v>4653.7396000000008</v>
      </c>
      <c r="E7824" s="3">
        <v>0</v>
      </c>
      <c r="F7824" t="s">
        <v>45</v>
      </c>
      <c r="G7824" s="3">
        <f t="shared" si="928"/>
        <v>-4653.7396000000008</v>
      </c>
      <c r="H7824" s="3">
        <f t="shared" si="929"/>
        <v>4653.7396000000008</v>
      </c>
      <c r="I7824" s="5" t="str">
        <f t="shared" si="930"/>
        <v>018</v>
      </c>
      <c r="J7824" s="5" t="str">
        <f t="shared" si="931"/>
        <v>2100</v>
      </c>
      <c r="K7824" s="5" t="str">
        <f t="shared" si="932"/>
        <v>000</v>
      </c>
      <c r="L7824" s="5">
        <f t="shared" si="933"/>
        <v>8</v>
      </c>
      <c r="M7824" s="5">
        <f t="shared" si="934"/>
        <v>2013</v>
      </c>
    </row>
    <row r="7825" spans="1:13" ht="15" x14ac:dyDescent="0.25">
      <c r="A7825" s="1">
        <f>DATE(2013,8,8)</f>
        <v>41494</v>
      </c>
      <c r="B7825" t="s">
        <v>20</v>
      </c>
      <c r="C7825" t="s">
        <v>8</v>
      </c>
      <c r="D7825" s="3">
        <v>790.96960000000001</v>
      </c>
      <c r="E7825" s="3">
        <v>0</v>
      </c>
      <c r="F7825" t="s">
        <v>45</v>
      </c>
      <c r="G7825" s="3">
        <f t="shared" si="928"/>
        <v>-790.96960000000001</v>
      </c>
      <c r="H7825" s="3">
        <f t="shared" si="929"/>
        <v>790.96960000000001</v>
      </c>
      <c r="I7825" s="5" t="str">
        <f t="shared" si="930"/>
        <v>018</v>
      </c>
      <c r="J7825" s="5" t="str">
        <f t="shared" si="931"/>
        <v>2210</v>
      </c>
      <c r="K7825" s="5" t="str">
        <f t="shared" si="932"/>
        <v>000</v>
      </c>
      <c r="L7825" s="5">
        <f t="shared" si="933"/>
        <v>8</v>
      </c>
      <c r="M7825" s="5">
        <f t="shared" si="934"/>
        <v>2013</v>
      </c>
    </row>
    <row r="7826" spans="1:13" ht="15" x14ac:dyDescent="0.25">
      <c r="A7826" s="1">
        <f>DATE(2013,8,8)</f>
        <v>41494</v>
      </c>
      <c r="B7826" t="s">
        <v>21</v>
      </c>
      <c r="C7826" t="s">
        <v>9</v>
      </c>
      <c r="D7826" s="3">
        <v>360.78899999999999</v>
      </c>
      <c r="E7826" s="3">
        <v>0</v>
      </c>
      <c r="F7826" t="s">
        <v>45</v>
      </c>
      <c r="G7826" s="3">
        <f t="shared" si="928"/>
        <v>-360.78899999999999</v>
      </c>
      <c r="H7826" s="3">
        <f t="shared" si="929"/>
        <v>360.78899999999999</v>
      </c>
      <c r="I7826" s="5" t="str">
        <f t="shared" si="930"/>
        <v>018</v>
      </c>
      <c r="J7826" s="5" t="str">
        <f t="shared" si="931"/>
        <v>2220</v>
      </c>
      <c r="K7826" s="5" t="str">
        <f t="shared" si="932"/>
        <v>000</v>
      </c>
      <c r="L7826" s="5">
        <f t="shared" si="933"/>
        <v>8</v>
      </c>
      <c r="M7826" s="5">
        <f t="shared" si="934"/>
        <v>2013</v>
      </c>
    </row>
    <row r="7827" spans="1:13" ht="15" x14ac:dyDescent="0.25">
      <c r="A7827" s="1">
        <f>DATE(2013,8,8)</f>
        <v>41494</v>
      </c>
      <c r="B7827" t="s">
        <v>22</v>
      </c>
      <c r="C7827" t="s">
        <v>10</v>
      </c>
      <c r="D7827" s="3">
        <v>19.558000000000003</v>
      </c>
      <c r="E7827" s="3">
        <v>0</v>
      </c>
      <c r="F7827" t="s">
        <v>45</v>
      </c>
      <c r="G7827" s="3">
        <f t="shared" si="928"/>
        <v>-19.558000000000003</v>
      </c>
      <c r="H7827" s="3">
        <f t="shared" si="929"/>
        <v>19.558000000000003</v>
      </c>
      <c r="I7827" s="5" t="str">
        <f t="shared" si="930"/>
        <v>018</v>
      </c>
      <c r="J7827" s="5" t="str">
        <f t="shared" si="931"/>
        <v>2230</v>
      </c>
      <c r="K7827" s="5" t="str">
        <f t="shared" si="932"/>
        <v>000</v>
      </c>
      <c r="L7827" s="5">
        <f t="shared" si="933"/>
        <v>8</v>
      </c>
      <c r="M7827" s="5">
        <f t="shared" si="934"/>
        <v>2013</v>
      </c>
    </row>
    <row r="7828" spans="1:13" ht="15" x14ac:dyDescent="0.25">
      <c r="A7828" s="1">
        <f>DATE(2013,8,9)</f>
        <v>41495</v>
      </c>
      <c r="B7828" t="s">
        <v>19</v>
      </c>
      <c r="C7828" t="s">
        <v>6</v>
      </c>
      <c r="D7828" s="3">
        <v>11980.130799999999</v>
      </c>
      <c r="E7828" s="3">
        <v>0</v>
      </c>
      <c r="F7828" t="s">
        <v>45</v>
      </c>
      <c r="G7828" s="3">
        <f t="shared" si="928"/>
        <v>-11980.130799999999</v>
      </c>
      <c r="H7828" s="3">
        <f t="shared" si="929"/>
        <v>11980.130799999999</v>
      </c>
      <c r="I7828" s="5" t="str">
        <f t="shared" si="930"/>
        <v>018</v>
      </c>
      <c r="J7828" s="5" t="str">
        <f t="shared" si="931"/>
        <v>2100</v>
      </c>
      <c r="K7828" s="5" t="str">
        <f t="shared" si="932"/>
        <v>000</v>
      </c>
      <c r="L7828" s="5">
        <f t="shared" si="933"/>
        <v>8</v>
      </c>
      <c r="M7828" s="5">
        <f t="shared" si="934"/>
        <v>2013</v>
      </c>
    </row>
    <row r="7829" spans="1:13" ht="15" x14ac:dyDescent="0.25">
      <c r="A7829" s="1">
        <f>DATE(2013,8,9)</f>
        <v>41495</v>
      </c>
      <c r="B7829" t="s">
        <v>20</v>
      </c>
      <c r="C7829" t="s">
        <v>8</v>
      </c>
      <c r="D7829" s="3">
        <v>2043.6135999999999</v>
      </c>
      <c r="E7829" s="3">
        <v>0</v>
      </c>
      <c r="F7829" t="s">
        <v>45</v>
      </c>
      <c r="G7829" s="3">
        <f t="shared" si="928"/>
        <v>-2043.6135999999999</v>
      </c>
      <c r="H7829" s="3">
        <f t="shared" si="929"/>
        <v>2043.6135999999999</v>
      </c>
      <c r="I7829" s="5" t="str">
        <f t="shared" si="930"/>
        <v>018</v>
      </c>
      <c r="J7829" s="5" t="str">
        <f t="shared" si="931"/>
        <v>2210</v>
      </c>
      <c r="K7829" s="5" t="str">
        <f t="shared" si="932"/>
        <v>000</v>
      </c>
      <c r="L7829" s="5">
        <f t="shared" si="933"/>
        <v>8</v>
      </c>
      <c r="M7829" s="5">
        <f t="shared" si="934"/>
        <v>2013</v>
      </c>
    </row>
    <row r="7830" spans="1:13" ht="15" x14ac:dyDescent="0.25">
      <c r="A7830" s="1">
        <f>DATE(2013,8,9)</f>
        <v>41495</v>
      </c>
      <c r="B7830" t="s">
        <v>21</v>
      </c>
      <c r="C7830" t="s">
        <v>9</v>
      </c>
      <c r="D7830" s="3">
        <v>399.27069999999998</v>
      </c>
      <c r="E7830" s="3">
        <v>0</v>
      </c>
      <c r="F7830" t="s">
        <v>45</v>
      </c>
      <c r="G7830" s="3">
        <f t="shared" si="928"/>
        <v>-399.27069999999998</v>
      </c>
      <c r="H7830" s="3">
        <f t="shared" si="929"/>
        <v>399.27069999999998</v>
      </c>
      <c r="I7830" s="5" t="str">
        <f t="shared" si="930"/>
        <v>018</v>
      </c>
      <c r="J7830" s="5" t="str">
        <f t="shared" si="931"/>
        <v>2220</v>
      </c>
      <c r="K7830" s="5" t="str">
        <f t="shared" si="932"/>
        <v>000</v>
      </c>
      <c r="L7830" s="5">
        <f t="shared" si="933"/>
        <v>8</v>
      </c>
      <c r="M7830" s="5">
        <f t="shared" si="934"/>
        <v>2013</v>
      </c>
    </row>
    <row r="7831" spans="1:13" ht="15" x14ac:dyDescent="0.25">
      <c r="A7831" s="1">
        <f>DATE(2013,8,9)</f>
        <v>41495</v>
      </c>
      <c r="B7831" t="s">
        <v>22</v>
      </c>
      <c r="C7831" t="s">
        <v>10</v>
      </c>
      <c r="D7831" s="3">
        <v>58.571000000000005</v>
      </c>
      <c r="E7831" s="3">
        <v>0</v>
      </c>
      <c r="F7831" t="s">
        <v>45</v>
      </c>
      <c r="G7831" s="3">
        <f t="shared" si="928"/>
        <v>-58.571000000000005</v>
      </c>
      <c r="H7831" s="3">
        <f t="shared" si="929"/>
        <v>58.571000000000005</v>
      </c>
      <c r="I7831" s="5" t="str">
        <f t="shared" si="930"/>
        <v>018</v>
      </c>
      <c r="J7831" s="5" t="str">
        <f t="shared" si="931"/>
        <v>2230</v>
      </c>
      <c r="K7831" s="5" t="str">
        <f t="shared" si="932"/>
        <v>000</v>
      </c>
      <c r="L7831" s="5">
        <f t="shared" si="933"/>
        <v>8</v>
      </c>
      <c r="M7831" s="5">
        <f t="shared" si="934"/>
        <v>2013</v>
      </c>
    </row>
    <row r="7832" spans="1:13" ht="15" x14ac:dyDescent="0.25">
      <c r="A7832" s="1">
        <f>DATE(2013,8,10)</f>
        <v>41496</v>
      </c>
      <c r="B7832" t="s">
        <v>19</v>
      </c>
      <c r="C7832" t="s">
        <v>6</v>
      </c>
      <c r="D7832" s="3">
        <v>9852.8924999999999</v>
      </c>
      <c r="E7832" s="3">
        <v>0</v>
      </c>
      <c r="F7832" t="s">
        <v>45</v>
      </c>
      <c r="G7832" s="3">
        <f t="shared" si="928"/>
        <v>-9852.8924999999999</v>
      </c>
      <c r="H7832" s="3">
        <f t="shared" si="929"/>
        <v>9852.8924999999999</v>
      </c>
      <c r="I7832" s="5" t="str">
        <f t="shared" si="930"/>
        <v>018</v>
      </c>
      <c r="J7832" s="5" t="str">
        <f t="shared" si="931"/>
        <v>2100</v>
      </c>
      <c r="K7832" s="5" t="str">
        <f t="shared" si="932"/>
        <v>000</v>
      </c>
      <c r="L7832" s="5">
        <f t="shared" si="933"/>
        <v>8</v>
      </c>
      <c r="M7832" s="5">
        <f t="shared" si="934"/>
        <v>2013</v>
      </c>
    </row>
    <row r="7833" spans="1:13" ht="15" x14ac:dyDescent="0.25">
      <c r="A7833" s="1">
        <f>DATE(2013,8,10)</f>
        <v>41496</v>
      </c>
      <c r="B7833" t="s">
        <v>20</v>
      </c>
      <c r="C7833" t="s">
        <v>8</v>
      </c>
      <c r="D7833" s="3">
        <v>3422.1440000000002</v>
      </c>
      <c r="E7833" s="3">
        <v>0</v>
      </c>
      <c r="F7833" t="s">
        <v>45</v>
      </c>
      <c r="G7833" s="3">
        <f t="shared" si="928"/>
        <v>-3422.1440000000002</v>
      </c>
      <c r="H7833" s="3">
        <f t="shared" si="929"/>
        <v>3422.1440000000002</v>
      </c>
      <c r="I7833" s="5" t="str">
        <f t="shared" si="930"/>
        <v>018</v>
      </c>
      <c r="J7833" s="5" t="str">
        <f t="shared" si="931"/>
        <v>2210</v>
      </c>
      <c r="K7833" s="5" t="str">
        <f t="shared" si="932"/>
        <v>000</v>
      </c>
      <c r="L7833" s="5">
        <f t="shared" si="933"/>
        <v>8</v>
      </c>
      <c r="M7833" s="5">
        <f t="shared" si="934"/>
        <v>2013</v>
      </c>
    </row>
    <row r="7834" spans="1:13" ht="15" x14ac:dyDescent="0.25">
      <c r="A7834" s="1">
        <f>DATE(2013,8,10)</f>
        <v>41496</v>
      </c>
      <c r="B7834" t="s">
        <v>21</v>
      </c>
      <c r="C7834" t="s">
        <v>9</v>
      </c>
      <c r="D7834" s="3">
        <v>941.31700000000001</v>
      </c>
      <c r="E7834" s="3">
        <v>0</v>
      </c>
      <c r="F7834" t="s">
        <v>45</v>
      </c>
      <c r="G7834" s="3">
        <f t="shared" si="928"/>
        <v>-941.31700000000001</v>
      </c>
      <c r="H7834" s="3">
        <f t="shared" si="929"/>
        <v>941.31700000000001</v>
      </c>
      <c r="I7834" s="5" t="str">
        <f t="shared" si="930"/>
        <v>018</v>
      </c>
      <c r="J7834" s="5" t="str">
        <f t="shared" si="931"/>
        <v>2220</v>
      </c>
      <c r="K7834" s="5" t="str">
        <f t="shared" si="932"/>
        <v>000</v>
      </c>
      <c r="L7834" s="5">
        <f t="shared" si="933"/>
        <v>8</v>
      </c>
      <c r="M7834" s="5">
        <f t="shared" si="934"/>
        <v>2013</v>
      </c>
    </row>
    <row r="7835" spans="1:13" ht="15" x14ac:dyDescent="0.25">
      <c r="A7835" s="1">
        <f>DATE(2013,8,10)</f>
        <v>41496</v>
      </c>
      <c r="B7835" t="s">
        <v>22</v>
      </c>
      <c r="C7835" t="s">
        <v>10</v>
      </c>
      <c r="D7835" s="3">
        <v>142.88939999999999</v>
      </c>
      <c r="E7835" s="3">
        <v>0</v>
      </c>
      <c r="F7835" t="s">
        <v>45</v>
      </c>
      <c r="G7835" s="3">
        <f t="shared" si="928"/>
        <v>-142.88939999999999</v>
      </c>
      <c r="H7835" s="3">
        <f t="shared" si="929"/>
        <v>142.88939999999999</v>
      </c>
      <c r="I7835" s="5" t="str">
        <f t="shared" si="930"/>
        <v>018</v>
      </c>
      <c r="J7835" s="5" t="str">
        <f t="shared" si="931"/>
        <v>2230</v>
      </c>
      <c r="K7835" s="5" t="str">
        <f t="shared" si="932"/>
        <v>000</v>
      </c>
      <c r="L7835" s="5">
        <f t="shared" si="933"/>
        <v>8</v>
      </c>
      <c r="M7835" s="5">
        <f t="shared" si="934"/>
        <v>2013</v>
      </c>
    </row>
    <row r="7836" spans="1:13" ht="15" x14ac:dyDescent="0.25">
      <c r="A7836" s="1">
        <f>DATE(2013,8,11)</f>
        <v>41497</v>
      </c>
      <c r="B7836" t="s">
        <v>19</v>
      </c>
      <c r="C7836" t="s">
        <v>6</v>
      </c>
      <c r="D7836" s="3">
        <v>7999.0353999999998</v>
      </c>
      <c r="E7836" s="3">
        <v>0</v>
      </c>
      <c r="F7836" t="s">
        <v>45</v>
      </c>
      <c r="G7836" s="3">
        <f t="shared" si="928"/>
        <v>-7999.0353999999998</v>
      </c>
      <c r="H7836" s="3">
        <f t="shared" si="929"/>
        <v>7999.0353999999998</v>
      </c>
      <c r="I7836" s="5" t="str">
        <f t="shared" si="930"/>
        <v>018</v>
      </c>
      <c r="J7836" s="5" t="str">
        <f t="shared" si="931"/>
        <v>2100</v>
      </c>
      <c r="K7836" s="5" t="str">
        <f t="shared" si="932"/>
        <v>000</v>
      </c>
      <c r="L7836" s="5">
        <f t="shared" si="933"/>
        <v>8</v>
      </c>
      <c r="M7836" s="5">
        <f t="shared" si="934"/>
        <v>2013</v>
      </c>
    </row>
    <row r="7837" spans="1:13" ht="15" x14ac:dyDescent="0.25">
      <c r="A7837" s="1">
        <f>DATE(2013,8,11)</f>
        <v>41497</v>
      </c>
      <c r="B7837" t="s">
        <v>20</v>
      </c>
      <c r="C7837" t="s">
        <v>8</v>
      </c>
      <c r="D7837" s="3">
        <v>1681.8419999999999</v>
      </c>
      <c r="E7837" s="3">
        <v>0</v>
      </c>
      <c r="F7837" t="s">
        <v>45</v>
      </c>
      <c r="G7837" s="3">
        <f t="shared" si="928"/>
        <v>-1681.8419999999999</v>
      </c>
      <c r="H7837" s="3">
        <f t="shared" si="929"/>
        <v>1681.8419999999999</v>
      </c>
      <c r="I7837" s="5" t="str">
        <f t="shared" si="930"/>
        <v>018</v>
      </c>
      <c r="J7837" s="5" t="str">
        <f t="shared" si="931"/>
        <v>2210</v>
      </c>
      <c r="K7837" s="5" t="str">
        <f t="shared" si="932"/>
        <v>000</v>
      </c>
      <c r="L7837" s="5">
        <f t="shared" si="933"/>
        <v>8</v>
      </c>
      <c r="M7837" s="5">
        <f t="shared" si="934"/>
        <v>2013</v>
      </c>
    </row>
    <row r="7838" spans="1:13" ht="15" x14ac:dyDescent="0.25">
      <c r="A7838" s="1">
        <f>DATE(2013,8,11)</f>
        <v>41497</v>
      </c>
      <c r="B7838" t="s">
        <v>21</v>
      </c>
      <c r="C7838" t="s">
        <v>9</v>
      </c>
      <c r="D7838" s="3">
        <v>318.2876</v>
      </c>
      <c r="E7838" s="3">
        <v>0</v>
      </c>
      <c r="F7838" t="s">
        <v>45</v>
      </c>
      <c r="G7838" s="3">
        <f t="shared" si="928"/>
        <v>-318.2876</v>
      </c>
      <c r="H7838" s="3">
        <f t="shared" si="929"/>
        <v>318.2876</v>
      </c>
      <c r="I7838" s="5" t="str">
        <f t="shared" si="930"/>
        <v>018</v>
      </c>
      <c r="J7838" s="5" t="str">
        <f t="shared" si="931"/>
        <v>2220</v>
      </c>
      <c r="K7838" s="5" t="str">
        <f t="shared" si="932"/>
        <v>000</v>
      </c>
      <c r="L7838" s="5">
        <f t="shared" si="933"/>
        <v>8</v>
      </c>
      <c r="M7838" s="5">
        <f t="shared" si="934"/>
        <v>2013</v>
      </c>
    </row>
    <row r="7839" spans="1:13" ht="15" x14ac:dyDescent="0.25">
      <c r="A7839" s="1">
        <f>DATE(2013,8,11)</f>
        <v>41497</v>
      </c>
      <c r="B7839" t="s">
        <v>22</v>
      </c>
      <c r="C7839" t="s">
        <v>10</v>
      </c>
      <c r="D7839" s="3">
        <v>112.09949999999999</v>
      </c>
      <c r="E7839" s="3">
        <v>0</v>
      </c>
      <c r="F7839" t="s">
        <v>45</v>
      </c>
      <c r="G7839" s="3">
        <f t="shared" si="928"/>
        <v>-112.09949999999999</v>
      </c>
      <c r="H7839" s="3">
        <f t="shared" si="929"/>
        <v>112.09949999999999</v>
      </c>
      <c r="I7839" s="5" t="str">
        <f t="shared" si="930"/>
        <v>018</v>
      </c>
      <c r="J7839" s="5" t="str">
        <f t="shared" si="931"/>
        <v>2230</v>
      </c>
      <c r="K7839" s="5" t="str">
        <f t="shared" si="932"/>
        <v>000</v>
      </c>
      <c r="L7839" s="5">
        <f t="shared" si="933"/>
        <v>8</v>
      </c>
      <c r="M7839" s="5">
        <f t="shared" si="934"/>
        <v>2013</v>
      </c>
    </row>
    <row r="7840" spans="1:13" ht="15" x14ac:dyDescent="0.25">
      <c r="A7840" s="1">
        <f>DATE(2013,8,5)</f>
        <v>41491</v>
      </c>
      <c r="B7840" t="s">
        <v>23</v>
      </c>
      <c r="C7840" t="s">
        <v>6</v>
      </c>
      <c r="D7840" s="3">
        <v>3808.6204999999995</v>
      </c>
      <c r="E7840" s="3">
        <v>0</v>
      </c>
      <c r="F7840" t="s">
        <v>45</v>
      </c>
      <c r="G7840" s="3">
        <f t="shared" si="928"/>
        <v>-3808.6204999999995</v>
      </c>
      <c r="H7840" s="3">
        <f t="shared" si="929"/>
        <v>3808.6204999999995</v>
      </c>
      <c r="I7840" s="5" t="str">
        <f t="shared" si="930"/>
        <v>019</v>
      </c>
      <c r="J7840" s="5" t="str">
        <f t="shared" si="931"/>
        <v>2100</v>
      </c>
      <c r="K7840" s="5" t="str">
        <f t="shared" si="932"/>
        <v>000</v>
      </c>
      <c r="L7840" s="5">
        <f t="shared" si="933"/>
        <v>8</v>
      </c>
      <c r="M7840" s="5">
        <f t="shared" si="934"/>
        <v>2013</v>
      </c>
    </row>
    <row r="7841" spans="1:13" ht="15" x14ac:dyDescent="0.25">
      <c r="A7841" s="1">
        <f>DATE(2013,8,5)</f>
        <v>41491</v>
      </c>
      <c r="B7841" t="s">
        <v>24</v>
      </c>
      <c r="C7841" t="s">
        <v>8</v>
      </c>
      <c r="D7841" s="3">
        <v>435.15079999999995</v>
      </c>
      <c r="E7841" s="3">
        <v>0</v>
      </c>
      <c r="F7841" t="s">
        <v>45</v>
      </c>
      <c r="G7841" s="3">
        <f t="shared" si="928"/>
        <v>-435.15079999999995</v>
      </c>
      <c r="H7841" s="3">
        <f t="shared" si="929"/>
        <v>435.15079999999995</v>
      </c>
      <c r="I7841" s="5" t="str">
        <f t="shared" si="930"/>
        <v>019</v>
      </c>
      <c r="J7841" s="5" t="str">
        <f t="shared" si="931"/>
        <v>2210</v>
      </c>
      <c r="K7841" s="5" t="str">
        <f t="shared" si="932"/>
        <v>000</v>
      </c>
      <c r="L7841" s="5">
        <f t="shared" si="933"/>
        <v>8</v>
      </c>
      <c r="M7841" s="5">
        <f t="shared" si="934"/>
        <v>2013</v>
      </c>
    </row>
    <row r="7842" spans="1:13" ht="15" x14ac:dyDescent="0.25">
      <c r="A7842" s="1">
        <f>DATE(2013,8,5)</f>
        <v>41491</v>
      </c>
      <c r="B7842" t="s">
        <v>25</v>
      </c>
      <c r="C7842" t="s">
        <v>9</v>
      </c>
      <c r="D7842" s="3">
        <v>365.03959999999995</v>
      </c>
      <c r="E7842" s="3">
        <v>0</v>
      </c>
      <c r="F7842" t="s">
        <v>45</v>
      </c>
      <c r="G7842" s="3">
        <f t="shared" si="928"/>
        <v>-365.03959999999995</v>
      </c>
      <c r="H7842" s="3">
        <f t="shared" si="929"/>
        <v>365.03959999999995</v>
      </c>
      <c r="I7842" s="5" t="str">
        <f t="shared" si="930"/>
        <v>019</v>
      </c>
      <c r="J7842" s="5" t="str">
        <f t="shared" si="931"/>
        <v>2220</v>
      </c>
      <c r="K7842" s="5" t="str">
        <f t="shared" si="932"/>
        <v>000</v>
      </c>
      <c r="L7842" s="5">
        <f t="shared" si="933"/>
        <v>8</v>
      </c>
      <c r="M7842" s="5">
        <f t="shared" si="934"/>
        <v>2013</v>
      </c>
    </row>
    <row r="7843" spans="1:13" ht="15" x14ac:dyDescent="0.25">
      <c r="A7843" s="1">
        <f>DATE(2013,8,5)</f>
        <v>41491</v>
      </c>
      <c r="B7843" t="s">
        <v>26</v>
      </c>
      <c r="C7843" t="s">
        <v>10</v>
      </c>
      <c r="D7843" s="3">
        <v>10.323799999999999</v>
      </c>
      <c r="E7843" s="3">
        <v>0</v>
      </c>
      <c r="F7843" t="s">
        <v>45</v>
      </c>
      <c r="G7843" s="3">
        <f t="shared" si="928"/>
        <v>-10.323799999999999</v>
      </c>
      <c r="H7843" s="3">
        <f t="shared" si="929"/>
        <v>10.323799999999999</v>
      </c>
      <c r="I7843" s="5" t="str">
        <f t="shared" si="930"/>
        <v>019</v>
      </c>
      <c r="J7843" s="5" t="str">
        <f t="shared" si="931"/>
        <v>2230</v>
      </c>
      <c r="K7843" s="5" t="str">
        <f t="shared" si="932"/>
        <v>000</v>
      </c>
      <c r="L7843" s="5">
        <f t="shared" si="933"/>
        <v>8</v>
      </c>
      <c r="M7843" s="5">
        <f t="shared" si="934"/>
        <v>2013</v>
      </c>
    </row>
    <row r="7844" spans="1:13" ht="15" x14ac:dyDescent="0.25">
      <c r="A7844" s="1">
        <f>DATE(2013,8,6)</f>
        <v>41492</v>
      </c>
      <c r="B7844" t="s">
        <v>23</v>
      </c>
      <c r="C7844" t="s">
        <v>6</v>
      </c>
      <c r="D7844" s="3">
        <v>5036.2920000000004</v>
      </c>
      <c r="E7844" s="3">
        <v>0</v>
      </c>
      <c r="F7844" t="s">
        <v>45</v>
      </c>
      <c r="G7844" s="3">
        <f t="shared" si="928"/>
        <v>-5036.2920000000004</v>
      </c>
      <c r="H7844" s="3">
        <f t="shared" si="929"/>
        <v>5036.2920000000004</v>
      </c>
      <c r="I7844" s="5" t="str">
        <f t="shared" si="930"/>
        <v>019</v>
      </c>
      <c r="J7844" s="5" t="str">
        <f t="shared" si="931"/>
        <v>2100</v>
      </c>
      <c r="K7844" s="5" t="str">
        <f t="shared" si="932"/>
        <v>000</v>
      </c>
      <c r="L7844" s="5">
        <f t="shared" si="933"/>
        <v>8</v>
      </c>
      <c r="M7844" s="5">
        <f t="shared" si="934"/>
        <v>2013</v>
      </c>
    </row>
    <row r="7845" spans="1:13" ht="15" x14ac:dyDescent="0.25">
      <c r="A7845" s="1">
        <f>DATE(2013,8,6)</f>
        <v>41492</v>
      </c>
      <c r="B7845" t="s">
        <v>24</v>
      </c>
      <c r="C7845" t="s">
        <v>8</v>
      </c>
      <c r="D7845" s="3">
        <v>2100.4979000000003</v>
      </c>
      <c r="E7845" s="3">
        <v>0</v>
      </c>
      <c r="F7845" t="s">
        <v>45</v>
      </c>
      <c r="G7845" s="3">
        <f t="shared" si="928"/>
        <v>-2100.4979000000003</v>
      </c>
      <c r="H7845" s="3">
        <f t="shared" si="929"/>
        <v>2100.4979000000003</v>
      </c>
      <c r="I7845" s="5" t="str">
        <f t="shared" si="930"/>
        <v>019</v>
      </c>
      <c r="J7845" s="5" t="str">
        <f t="shared" si="931"/>
        <v>2210</v>
      </c>
      <c r="K7845" s="5" t="str">
        <f t="shared" si="932"/>
        <v>000</v>
      </c>
      <c r="L7845" s="5">
        <f t="shared" si="933"/>
        <v>8</v>
      </c>
      <c r="M7845" s="5">
        <f t="shared" si="934"/>
        <v>2013</v>
      </c>
    </row>
    <row r="7846" spans="1:13" ht="15" x14ac:dyDescent="0.25">
      <c r="A7846" s="1">
        <f>DATE(2013,8,6)</f>
        <v>41492</v>
      </c>
      <c r="B7846" t="s">
        <v>25</v>
      </c>
      <c r="C7846" t="s">
        <v>9</v>
      </c>
      <c r="D7846" s="3">
        <v>442.13929999999999</v>
      </c>
      <c r="E7846" s="3">
        <v>0</v>
      </c>
      <c r="F7846" t="s">
        <v>45</v>
      </c>
      <c r="G7846" s="3">
        <f t="shared" si="928"/>
        <v>-442.13929999999999</v>
      </c>
      <c r="H7846" s="3">
        <f t="shared" si="929"/>
        <v>442.13929999999999</v>
      </c>
      <c r="I7846" s="5" t="str">
        <f t="shared" si="930"/>
        <v>019</v>
      </c>
      <c r="J7846" s="5" t="str">
        <f t="shared" si="931"/>
        <v>2220</v>
      </c>
      <c r="K7846" s="5" t="str">
        <f t="shared" si="932"/>
        <v>000</v>
      </c>
      <c r="L7846" s="5">
        <f t="shared" si="933"/>
        <v>8</v>
      </c>
      <c r="M7846" s="5">
        <f t="shared" si="934"/>
        <v>2013</v>
      </c>
    </row>
    <row r="7847" spans="1:13" ht="15" x14ac:dyDescent="0.25">
      <c r="A7847" s="1">
        <f>DATE(2013,8,6)</f>
        <v>41492</v>
      </c>
      <c r="B7847" t="s">
        <v>26</v>
      </c>
      <c r="C7847" t="s">
        <v>10</v>
      </c>
      <c r="D7847" s="3">
        <v>60.6</v>
      </c>
      <c r="E7847" s="3">
        <v>0</v>
      </c>
      <c r="F7847" t="s">
        <v>45</v>
      </c>
      <c r="G7847" s="3">
        <f t="shared" si="928"/>
        <v>-60.6</v>
      </c>
      <c r="H7847" s="3">
        <f t="shared" si="929"/>
        <v>60.6</v>
      </c>
      <c r="I7847" s="5" t="str">
        <f t="shared" si="930"/>
        <v>019</v>
      </c>
      <c r="J7847" s="5" t="str">
        <f t="shared" si="931"/>
        <v>2230</v>
      </c>
      <c r="K7847" s="5" t="str">
        <f t="shared" si="932"/>
        <v>000</v>
      </c>
      <c r="L7847" s="5">
        <f t="shared" si="933"/>
        <v>8</v>
      </c>
      <c r="M7847" s="5">
        <f t="shared" si="934"/>
        <v>2013</v>
      </c>
    </row>
    <row r="7848" spans="1:13" ht="15" x14ac:dyDescent="0.25">
      <c r="A7848" s="1">
        <f>DATE(2013,8,7)</f>
        <v>41493</v>
      </c>
      <c r="B7848" t="s">
        <v>23</v>
      </c>
      <c r="C7848" t="s">
        <v>6</v>
      </c>
      <c r="D7848" s="3">
        <v>5789.1995999999999</v>
      </c>
      <c r="E7848" s="3">
        <v>0</v>
      </c>
      <c r="F7848" t="s">
        <v>45</v>
      </c>
      <c r="G7848" s="3">
        <f t="shared" si="928"/>
        <v>-5789.1995999999999</v>
      </c>
      <c r="H7848" s="3">
        <f t="shared" si="929"/>
        <v>5789.1995999999999</v>
      </c>
      <c r="I7848" s="5" t="str">
        <f t="shared" si="930"/>
        <v>019</v>
      </c>
      <c r="J7848" s="5" t="str">
        <f t="shared" si="931"/>
        <v>2100</v>
      </c>
      <c r="K7848" s="5" t="str">
        <f t="shared" si="932"/>
        <v>000</v>
      </c>
      <c r="L7848" s="5">
        <f t="shared" si="933"/>
        <v>8</v>
      </c>
      <c r="M7848" s="5">
        <f t="shared" si="934"/>
        <v>2013</v>
      </c>
    </row>
    <row r="7849" spans="1:13" ht="15" x14ac:dyDescent="0.25">
      <c r="A7849" s="1">
        <f>DATE(2013,8,7)</f>
        <v>41493</v>
      </c>
      <c r="B7849" t="s">
        <v>24</v>
      </c>
      <c r="C7849" t="s">
        <v>8</v>
      </c>
      <c r="D7849" s="3">
        <v>1512.6197999999999</v>
      </c>
      <c r="E7849" s="3">
        <v>0</v>
      </c>
      <c r="F7849" t="s">
        <v>45</v>
      </c>
      <c r="G7849" s="3">
        <f t="shared" si="928"/>
        <v>-1512.6197999999999</v>
      </c>
      <c r="H7849" s="3">
        <f t="shared" si="929"/>
        <v>1512.6197999999999</v>
      </c>
      <c r="I7849" s="5" t="str">
        <f t="shared" si="930"/>
        <v>019</v>
      </c>
      <c r="J7849" s="5" t="str">
        <f t="shared" si="931"/>
        <v>2210</v>
      </c>
      <c r="K7849" s="5" t="str">
        <f t="shared" si="932"/>
        <v>000</v>
      </c>
      <c r="L7849" s="5">
        <f t="shared" si="933"/>
        <v>8</v>
      </c>
      <c r="M7849" s="5">
        <f t="shared" si="934"/>
        <v>2013</v>
      </c>
    </row>
    <row r="7850" spans="1:13" ht="15" x14ac:dyDescent="0.25">
      <c r="A7850" s="1">
        <f>DATE(2013,8,7)</f>
        <v>41493</v>
      </c>
      <c r="B7850" t="s">
        <v>25</v>
      </c>
      <c r="C7850" t="s">
        <v>9</v>
      </c>
      <c r="D7850" s="3">
        <v>273.74080000000004</v>
      </c>
      <c r="E7850" s="3">
        <v>0</v>
      </c>
      <c r="F7850" t="s">
        <v>45</v>
      </c>
      <c r="G7850" s="3">
        <f t="shared" si="928"/>
        <v>-273.74080000000004</v>
      </c>
      <c r="H7850" s="3">
        <f t="shared" si="929"/>
        <v>273.74080000000004</v>
      </c>
      <c r="I7850" s="5" t="str">
        <f t="shared" si="930"/>
        <v>019</v>
      </c>
      <c r="J7850" s="5" t="str">
        <f t="shared" si="931"/>
        <v>2220</v>
      </c>
      <c r="K7850" s="5" t="str">
        <f t="shared" si="932"/>
        <v>000</v>
      </c>
      <c r="L7850" s="5">
        <f t="shared" si="933"/>
        <v>8</v>
      </c>
      <c r="M7850" s="5">
        <f t="shared" si="934"/>
        <v>2013</v>
      </c>
    </row>
    <row r="7851" spans="1:13" ht="15" x14ac:dyDescent="0.25">
      <c r="A7851" s="1">
        <f>DATE(2013,8,7)</f>
        <v>41493</v>
      </c>
      <c r="B7851" t="s">
        <v>26</v>
      </c>
      <c r="C7851" t="s">
        <v>10</v>
      </c>
      <c r="D7851" s="3">
        <v>68.741400000000013</v>
      </c>
      <c r="E7851" s="3">
        <v>0</v>
      </c>
      <c r="F7851" t="s">
        <v>45</v>
      </c>
      <c r="G7851" s="3">
        <f t="shared" si="928"/>
        <v>-68.741400000000013</v>
      </c>
      <c r="H7851" s="3">
        <f t="shared" si="929"/>
        <v>68.741400000000013</v>
      </c>
      <c r="I7851" s="5" t="str">
        <f t="shared" si="930"/>
        <v>019</v>
      </c>
      <c r="J7851" s="5" t="str">
        <f t="shared" si="931"/>
        <v>2230</v>
      </c>
      <c r="K7851" s="5" t="str">
        <f t="shared" si="932"/>
        <v>000</v>
      </c>
      <c r="L7851" s="5">
        <f t="shared" si="933"/>
        <v>8</v>
      </c>
      <c r="M7851" s="5">
        <f t="shared" si="934"/>
        <v>2013</v>
      </c>
    </row>
    <row r="7852" spans="1:13" ht="15" x14ac:dyDescent="0.25">
      <c r="A7852" s="1">
        <f>DATE(2013,8,8)</f>
        <v>41494</v>
      </c>
      <c r="B7852" t="s">
        <v>23</v>
      </c>
      <c r="C7852" t="s">
        <v>6</v>
      </c>
      <c r="D7852" s="3">
        <v>5165.3779999999997</v>
      </c>
      <c r="E7852" s="3">
        <v>0</v>
      </c>
      <c r="F7852" t="s">
        <v>45</v>
      </c>
      <c r="G7852" s="3">
        <f t="shared" si="928"/>
        <v>-5165.3779999999997</v>
      </c>
      <c r="H7852" s="3">
        <f t="shared" si="929"/>
        <v>5165.3779999999997</v>
      </c>
      <c r="I7852" s="5" t="str">
        <f t="shared" si="930"/>
        <v>019</v>
      </c>
      <c r="J7852" s="5" t="str">
        <f t="shared" si="931"/>
        <v>2100</v>
      </c>
      <c r="K7852" s="5" t="str">
        <f t="shared" si="932"/>
        <v>000</v>
      </c>
      <c r="L7852" s="5">
        <f t="shared" si="933"/>
        <v>8</v>
      </c>
      <c r="M7852" s="5">
        <f t="shared" si="934"/>
        <v>2013</v>
      </c>
    </row>
    <row r="7853" spans="1:13" ht="15" x14ac:dyDescent="0.25">
      <c r="A7853" s="1">
        <f>DATE(2013,8,8)</f>
        <v>41494</v>
      </c>
      <c r="B7853" t="s">
        <v>24</v>
      </c>
      <c r="C7853" t="s">
        <v>8</v>
      </c>
      <c r="D7853" s="3">
        <v>1039.6094000000001</v>
      </c>
      <c r="E7853" s="3">
        <v>0</v>
      </c>
      <c r="F7853" t="s">
        <v>45</v>
      </c>
      <c r="G7853" s="3">
        <f t="shared" si="928"/>
        <v>-1039.6094000000001</v>
      </c>
      <c r="H7853" s="3">
        <f t="shared" si="929"/>
        <v>1039.6094000000001</v>
      </c>
      <c r="I7853" s="5" t="str">
        <f t="shared" si="930"/>
        <v>019</v>
      </c>
      <c r="J7853" s="5" t="str">
        <f t="shared" si="931"/>
        <v>2210</v>
      </c>
      <c r="K7853" s="5" t="str">
        <f t="shared" si="932"/>
        <v>000</v>
      </c>
      <c r="L7853" s="5">
        <f t="shared" si="933"/>
        <v>8</v>
      </c>
      <c r="M7853" s="5">
        <f t="shared" si="934"/>
        <v>2013</v>
      </c>
    </row>
    <row r="7854" spans="1:13" ht="15" x14ac:dyDescent="0.25">
      <c r="A7854" s="1">
        <f>DATE(2013,8,8)</f>
        <v>41494</v>
      </c>
      <c r="B7854" t="s">
        <v>25</v>
      </c>
      <c r="C7854" t="s">
        <v>9</v>
      </c>
      <c r="D7854" s="3">
        <v>299.88819999999998</v>
      </c>
      <c r="E7854" s="3">
        <v>0</v>
      </c>
      <c r="F7854" t="s">
        <v>45</v>
      </c>
      <c r="G7854" s="3">
        <f t="shared" si="928"/>
        <v>-299.88819999999998</v>
      </c>
      <c r="H7854" s="3">
        <f t="shared" si="929"/>
        <v>299.88819999999998</v>
      </c>
      <c r="I7854" s="5" t="str">
        <f t="shared" si="930"/>
        <v>019</v>
      </c>
      <c r="J7854" s="5" t="str">
        <f t="shared" si="931"/>
        <v>2220</v>
      </c>
      <c r="K7854" s="5" t="str">
        <f t="shared" si="932"/>
        <v>000</v>
      </c>
      <c r="L7854" s="5">
        <f t="shared" si="933"/>
        <v>8</v>
      </c>
      <c r="M7854" s="5">
        <f t="shared" si="934"/>
        <v>2013</v>
      </c>
    </row>
    <row r="7855" spans="1:13" ht="15" x14ac:dyDescent="0.25">
      <c r="A7855" s="1">
        <f>DATE(2013,8,8)</f>
        <v>41494</v>
      </c>
      <c r="B7855" t="s">
        <v>26</v>
      </c>
      <c r="C7855" t="s">
        <v>10</v>
      </c>
      <c r="D7855" s="3">
        <v>67.086000000000013</v>
      </c>
      <c r="E7855" s="3">
        <v>0</v>
      </c>
      <c r="F7855" t="s">
        <v>45</v>
      </c>
      <c r="G7855" s="3">
        <f t="shared" si="928"/>
        <v>-67.086000000000013</v>
      </c>
      <c r="H7855" s="3">
        <f t="shared" si="929"/>
        <v>67.086000000000013</v>
      </c>
      <c r="I7855" s="5" t="str">
        <f t="shared" si="930"/>
        <v>019</v>
      </c>
      <c r="J7855" s="5" t="str">
        <f t="shared" si="931"/>
        <v>2230</v>
      </c>
      <c r="K7855" s="5" t="str">
        <f t="shared" si="932"/>
        <v>000</v>
      </c>
      <c r="L7855" s="5">
        <f t="shared" si="933"/>
        <v>8</v>
      </c>
      <c r="M7855" s="5">
        <f t="shared" si="934"/>
        <v>2013</v>
      </c>
    </row>
    <row r="7856" spans="1:13" ht="15" x14ac:dyDescent="0.25">
      <c r="A7856" s="1">
        <f>DATE(2013,8,9)</f>
        <v>41495</v>
      </c>
      <c r="B7856" t="s">
        <v>23</v>
      </c>
      <c r="C7856" t="s">
        <v>6</v>
      </c>
      <c r="D7856" s="3">
        <v>6813.6485999999995</v>
      </c>
      <c r="E7856" s="3">
        <v>0</v>
      </c>
      <c r="F7856" t="s">
        <v>45</v>
      </c>
      <c r="G7856" s="3">
        <f t="shared" si="928"/>
        <v>-6813.6485999999995</v>
      </c>
      <c r="H7856" s="3">
        <f t="shared" si="929"/>
        <v>6813.6485999999995</v>
      </c>
      <c r="I7856" s="5" t="str">
        <f t="shared" si="930"/>
        <v>019</v>
      </c>
      <c r="J7856" s="5" t="str">
        <f t="shared" si="931"/>
        <v>2100</v>
      </c>
      <c r="K7856" s="5" t="str">
        <f t="shared" si="932"/>
        <v>000</v>
      </c>
      <c r="L7856" s="5">
        <f t="shared" si="933"/>
        <v>8</v>
      </c>
      <c r="M7856" s="5">
        <f t="shared" si="934"/>
        <v>2013</v>
      </c>
    </row>
    <row r="7857" spans="1:13" ht="15" x14ac:dyDescent="0.25">
      <c r="A7857" s="1">
        <f>DATE(2013,8,9)</f>
        <v>41495</v>
      </c>
      <c r="B7857" t="s">
        <v>24</v>
      </c>
      <c r="C7857" t="s">
        <v>8</v>
      </c>
      <c r="D7857" s="3">
        <v>1710.5072999999998</v>
      </c>
      <c r="E7857" s="3">
        <v>0</v>
      </c>
      <c r="F7857" t="s">
        <v>45</v>
      </c>
      <c r="G7857" s="3">
        <f t="shared" si="928"/>
        <v>-1710.5072999999998</v>
      </c>
      <c r="H7857" s="3">
        <f t="shared" si="929"/>
        <v>1710.5072999999998</v>
      </c>
      <c r="I7857" s="5" t="str">
        <f t="shared" si="930"/>
        <v>019</v>
      </c>
      <c r="J7857" s="5" t="str">
        <f t="shared" si="931"/>
        <v>2210</v>
      </c>
      <c r="K7857" s="5" t="str">
        <f t="shared" si="932"/>
        <v>000</v>
      </c>
      <c r="L7857" s="5">
        <f t="shared" si="933"/>
        <v>8</v>
      </c>
      <c r="M7857" s="5">
        <f t="shared" si="934"/>
        <v>2013</v>
      </c>
    </row>
    <row r="7858" spans="1:13" ht="15" x14ac:dyDescent="0.25">
      <c r="A7858" s="1">
        <f>DATE(2013,8,9)</f>
        <v>41495</v>
      </c>
      <c r="B7858" t="s">
        <v>25</v>
      </c>
      <c r="C7858" t="s">
        <v>9</v>
      </c>
      <c r="D7858" s="3">
        <v>490.03500000000003</v>
      </c>
      <c r="E7858" s="3">
        <v>0</v>
      </c>
      <c r="F7858" t="s">
        <v>45</v>
      </c>
      <c r="G7858" s="3">
        <f t="shared" si="928"/>
        <v>-490.03500000000003</v>
      </c>
      <c r="H7858" s="3">
        <f t="shared" si="929"/>
        <v>490.03500000000003</v>
      </c>
      <c r="I7858" s="5" t="str">
        <f t="shared" si="930"/>
        <v>019</v>
      </c>
      <c r="J7858" s="5" t="str">
        <f t="shared" si="931"/>
        <v>2220</v>
      </c>
      <c r="K7858" s="5" t="str">
        <f t="shared" si="932"/>
        <v>000</v>
      </c>
      <c r="L7858" s="5">
        <f t="shared" si="933"/>
        <v>8</v>
      </c>
      <c r="M7858" s="5">
        <f t="shared" si="934"/>
        <v>2013</v>
      </c>
    </row>
    <row r="7859" spans="1:13" ht="15" x14ac:dyDescent="0.25">
      <c r="A7859" s="1">
        <f>DATE(2013,8,9)</f>
        <v>41495</v>
      </c>
      <c r="B7859" t="s">
        <v>26</v>
      </c>
      <c r="C7859" t="s">
        <v>10</v>
      </c>
      <c r="D7859" s="3">
        <v>71.394400000000005</v>
      </c>
      <c r="E7859" s="3">
        <v>0</v>
      </c>
      <c r="F7859" t="s">
        <v>45</v>
      </c>
      <c r="G7859" s="3">
        <f t="shared" si="928"/>
        <v>-71.394400000000005</v>
      </c>
      <c r="H7859" s="3">
        <f t="shared" si="929"/>
        <v>71.394400000000005</v>
      </c>
      <c r="I7859" s="5" t="str">
        <f t="shared" si="930"/>
        <v>019</v>
      </c>
      <c r="J7859" s="5" t="str">
        <f t="shared" si="931"/>
        <v>2230</v>
      </c>
      <c r="K7859" s="5" t="str">
        <f t="shared" si="932"/>
        <v>000</v>
      </c>
      <c r="L7859" s="5">
        <f t="shared" si="933"/>
        <v>8</v>
      </c>
      <c r="M7859" s="5">
        <f t="shared" si="934"/>
        <v>2013</v>
      </c>
    </row>
    <row r="7860" spans="1:13" ht="15" x14ac:dyDescent="0.25">
      <c r="A7860" s="1">
        <f>DATE(2013,8,10)</f>
        <v>41496</v>
      </c>
      <c r="B7860" t="s">
        <v>23</v>
      </c>
      <c r="C7860" t="s">
        <v>6</v>
      </c>
      <c r="D7860" s="3">
        <v>6398.8391999999994</v>
      </c>
      <c r="E7860" s="3">
        <v>0</v>
      </c>
      <c r="F7860" t="s">
        <v>45</v>
      </c>
      <c r="G7860" s="3">
        <f t="shared" si="928"/>
        <v>-6398.8391999999994</v>
      </c>
      <c r="H7860" s="3">
        <f t="shared" si="929"/>
        <v>6398.8391999999994</v>
      </c>
      <c r="I7860" s="5" t="str">
        <f t="shared" si="930"/>
        <v>019</v>
      </c>
      <c r="J7860" s="5" t="str">
        <f t="shared" si="931"/>
        <v>2100</v>
      </c>
      <c r="K7860" s="5" t="str">
        <f t="shared" si="932"/>
        <v>000</v>
      </c>
      <c r="L7860" s="5">
        <f t="shared" si="933"/>
        <v>8</v>
      </c>
      <c r="M7860" s="5">
        <f t="shared" si="934"/>
        <v>2013</v>
      </c>
    </row>
    <row r="7861" spans="1:13" ht="15" x14ac:dyDescent="0.25">
      <c r="A7861" s="1">
        <f>DATE(2013,8,10)</f>
        <v>41496</v>
      </c>
      <c r="B7861" t="s">
        <v>24</v>
      </c>
      <c r="C7861" t="s">
        <v>8</v>
      </c>
      <c r="D7861" s="3">
        <v>2707.1968000000002</v>
      </c>
      <c r="E7861" s="3">
        <v>0</v>
      </c>
      <c r="F7861" t="s">
        <v>45</v>
      </c>
      <c r="G7861" s="3">
        <f t="shared" si="928"/>
        <v>-2707.1968000000002</v>
      </c>
      <c r="H7861" s="3">
        <f t="shared" si="929"/>
        <v>2707.1968000000002</v>
      </c>
      <c r="I7861" s="5" t="str">
        <f t="shared" si="930"/>
        <v>019</v>
      </c>
      <c r="J7861" s="5" t="str">
        <f t="shared" si="931"/>
        <v>2210</v>
      </c>
      <c r="K7861" s="5" t="str">
        <f t="shared" si="932"/>
        <v>000</v>
      </c>
      <c r="L7861" s="5">
        <f t="shared" si="933"/>
        <v>8</v>
      </c>
      <c r="M7861" s="5">
        <f t="shared" si="934"/>
        <v>2013</v>
      </c>
    </row>
    <row r="7862" spans="1:13" ht="15" x14ac:dyDescent="0.25">
      <c r="A7862" s="1">
        <f>DATE(2013,8,10)</f>
        <v>41496</v>
      </c>
      <c r="B7862" t="s">
        <v>25</v>
      </c>
      <c r="C7862" t="s">
        <v>9</v>
      </c>
      <c r="D7862" s="3">
        <v>484.48500000000001</v>
      </c>
      <c r="E7862" s="3">
        <v>0</v>
      </c>
      <c r="F7862" t="s">
        <v>45</v>
      </c>
      <c r="G7862" s="3">
        <f t="shared" si="928"/>
        <v>-484.48500000000001</v>
      </c>
      <c r="H7862" s="3">
        <f t="shared" si="929"/>
        <v>484.48500000000001</v>
      </c>
      <c r="I7862" s="5" t="str">
        <f t="shared" si="930"/>
        <v>019</v>
      </c>
      <c r="J7862" s="5" t="str">
        <f t="shared" si="931"/>
        <v>2220</v>
      </c>
      <c r="K7862" s="5" t="str">
        <f t="shared" si="932"/>
        <v>000</v>
      </c>
      <c r="L7862" s="5">
        <f t="shared" si="933"/>
        <v>8</v>
      </c>
      <c r="M7862" s="5">
        <f t="shared" si="934"/>
        <v>2013</v>
      </c>
    </row>
    <row r="7863" spans="1:13" ht="15" x14ac:dyDescent="0.25">
      <c r="A7863" s="1">
        <f>DATE(2013,8,10)</f>
        <v>41496</v>
      </c>
      <c r="B7863" t="s">
        <v>26</v>
      </c>
      <c r="C7863" t="s">
        <v>10</v>
      </c>
      <c r="D7863" s="3">
        <v>64.415999999999997</v>
      </c>
      <c r="E7863" s="3">
        <v>0</v>
      </c>
      <c r="F7863" t="s">
        <v>45</v>
      </c>
      <c r="G7863" s="3">
        <f t="shared" si="928"/>
        <v>-64.415999999999997</v>
      </c>
      <c r="H7863" s="3">
        <f t="shared" si="929"/>
        <v>64.415999999999997</v>
      </c>
      <c r="I7863" s="5" t="str">
        <f t="shared" si="930"/>
        <v>019</v>
      </c>
      <c r="J7863" s="5" t="str">
        <f t="shared" si="931"/>
        <v>2230</v>
      </c>
      <c r="K7863" s="5" t="str">
        <f t="shared" si="932"/>
        <v>000</v>
      </c>
      <c r="L7863" s="5">
        <f t="shared" si="933"/>
        <v>8</v>
      </c>
      <c r="M7863" s="5">
        <f t="shared" si="934"/>
        <v>2013</v>
      </c>
    </row>
    <row r="7864" spans="1:13" ht="15" x14ac:dyDescent="0.25">
      <c r="A7864" s="1">
        <f>DATE(2013,8,11)</f>
        <v>41497</v>
      </c>
      <c r="B7864" t="s">
        <v>23</v>
      </c>
      <c r="C7864" t="s">
        <v>6</v>
      </c>
      <c r="D7864" s="3">
        <v>3897.6937999999996</v>
      </c>
      <c r="E7864" s="3">
        <v>0</v>
      </c>
      <c r="F7864" t="s">
        <v>45</v>
      </c>
      <c r="G7864" s="3">
        <f t="shared" si="928"/>
        <v>-3897.6937999999996</v>
      </c>
      <c r="H7864" s="3">
        <f t="shared" si="929"/>
        <v>3897.6937999999996</v>
      </c>
      <c r="I7864" s="5" t="str">
        <f t="shared" si="930"/>
        <v>019</v>
      </c>
      <c r="J7864" s="5" t="str">
        <f t="shared" si="931"/>
        <v>2100</v>
      </c>
      <c r="K7864" s="5" t="str">
        <f t="shared" si="932"/>
        <v>000</v>
      </c>
      <c r="L7864" s="5">
        <f t="shared" si="933"/>
        <v>8</v>
      </c>
      <c r="M7864" s="5">
        <f t="shared" si="934"/>
        <v>2013</v>
      </c>
    </row>
    <row r="7865" spans="1:13" ht="15" x14ac:dyDescent="0.25">
      <c r="A7865" s="1">
        <f>DATE(2013,8,11)</f>
        <v>41497</v>
      </c>
      <c r="B7865" t="s">
        <v>24</v>
      </c>
      <c r="C7865" t="s">
        <v>8</v>
      </c>
      <c r="D7865" s="3">
        <v>954.85109999999997</v>
      </c>
      <c r="E7865" s="3">
        <v>0</v>
      </c>
      <c r="F7865" t="s">
        <v>45</v>
      </c>
      <c r="G7865" s="3">
        <f t="shared" si="928"/>
        <v>-954.85109999999997</v>
      </c>
      <c r="H7865" s="3">
        <f t="shared" si="929"/>
        <v>954.85109999999997</v>
      </c>
      <c r="I7865" s="5" t="str">
        <f t="shared" si="930"/>
        <v>019</v>
      </c>
      <c r="J7865" s="5" t="str">
        <f t="shared" si="931"/>
        <v>2210</v>
      </c>
      <c r="K7865" s="5" t="str">
        <f t="shared" si="932"/>
        <v>000</v>
      </c>
      <c r="L7865" s="5">
        <f t="shared" si="933"/>
        <v>8</v>
      </c>
      <c r="M7865" s="5">
        <f t="shared" si="934"/>
        <v>2013</v>
      </c>
    </row>
    <row r="7866" spans="1:13" ht="15" x14ac:dyDescent="0.25">
      <c r="A7866" s="1">
        <f>DATE(2013,8,11)</f>
        <v>41497</v>
      </c>
      <c r="B7866" t="s">
        <v>25</v>
      </c>
      <c r="C7866" t="s">
        <v>9</v>
      </c>
      <c r="D7866" s="3">
        <v>120.74720000000002</v>
      </c>
      <c r="E7866" s="3">
        <v>0</v>
      </c>
      <c r="F7866" t="s">
        <v>45</v>
      </c>
      <c r="G7866" s="3">
        <f t="shared" si="928"/>
        <v>-120.74720000000002</v>
      </c>
      <c r="H7866" s="3">
        <f t="shared" si="929"/>
        <v>120.74720000000002</v>
      </c>
      <c r="I7866" s="5" t="str">
        <f t="shared" si="930"/>
        <v>019</v>
      </c>
      <c r="J7866" s="5" t="str">
        <f t="shared" si="931"/>
        <v>2220</v>
      </c>
      <c r="K7866" s="5" t="str">
        <f t="shared" si="932"/>
        <v>000</v>
      </c>
      <c r="L7866" s="5">
        <f t="shared" si="933"/>
        <v>8</v>
      </c>
      <c r="M7866" s="5">
        <f t="shared" si="934"/>
        <v>2013</v>
      </c>
    </row>
    <row r="7867" spans="1:13" ht="15" x14ac:dyDescent="0.25">
      <c r="A7867" s="1">
        <f>DATE(2013,8,11)</f>
        <v>41497</v>
      </c>
      <c r="B7867" t="s">
        <v>26</v>
      </c>
      <c r="C7867" t="s">
        <v>10</v>
      </c>
      <c r="D7867" s="3">
        <v>64.585999999999999</v>
      </c>
      <c r="E7867" s="3">
        <v>0</v>
      </c>
      <c r="F7867" t="s">
        <v>45</v>
      </c>
      <c r="G7867" s="3">
        <f t="shared" si="928"/>
        <v>-64.585999999999999</v>
      </c>
      <c r="H7867" s="3">
        <f t="shared" si="929"/>
        <v>64.585999999999999</v>
      </c>
      <c r="I7867" s="5" t="str">
        <f t="shared" si="930"/>
        <v>019</v>
      </c>
      <c r="J7867" s="5" t="str">
        <f t="shared" si="931"/>
        <v>2230</v>
      </c>
      <c r="K7867" s="5" t="str">
        <f t="shared" si="932"/>
        <v>000</v>
      </c>
      <c r="L7867" s="5">
        <f t="shared" si="933"/>
        <v>8</v>
      </c>
      <c r="M7867" s="5">
        <f t="shared" si="934"/>
        <v>2013</v>
      </c>
    </row>
    <row r="7868" spans="1:13" ht="15" x14ac:dyDescent="0.25">
      <c r="A7868" s="1">
        <f>DATE(2013,8,12)</f>
        <v>41498</v>
      </c>
      <c r="B7868" t="s">
        <v>11</v>
      </c>
      <c r="C7868" t="s">
        <v>6</v>
      </c>
      <c r="D7868" s="3">
        <v>3849.4879999999998</v>
      </c>
      <c r="E7868" s="3">
        <v>0</v>
      </c>
      <c r="F7868" t="s">
        <v>45</v>
      </c>
      <c r="G7868" s="3">
        <f t="shared" si="928"/>
        <v>-3849.4879999999998</v>
      </c>
      <c r="H7868" s="3">
        <f t="shared" si="929"/>
        <v>3849.4879999999998</v>
      </c>
      <c r="I7868" s="5" t="str">
        <f t="shared" si="930"/>
        <v>016</v>
      </c>
      <c r="J7868" s="5" t="str">
        <f t="shared" si="931"/>
        <v>2100</v>
      </c>
      <c r="K7868" s="5" t="str">
        <f t="shared" si="932"/>
        <v>000</v>
      </c>
      <c r="L7868" s="5">
        <f t="shared" si="933"/>
        <v>8</v>
      </c>
      <c r="M7868" s="5">
        <f t="shared" si="934"/>
        <v>2013</v>
      </c>
    </row>
    <row r="7869" spans="1:13" ht="15" x14ac:dyDescent="0.25">
      <c r="A7869" s="1">
        <f>DATE(2013,8,12)</f>
        <v>41498</v>
      </c>
      <c r="B7869" t="s">
        <v>12</v>
      </c>
      <c r="C7869" t="s">
        <v>8</v>
      </c>
      <c r="D7869" s="3">
        <v>455.88990000000001</v>
      </c>
      <c r="E7869" s="3">
        <v>0</v>
      </c>
      <c r="F7869" t="s">
        <v>45</v>
      </c>
      <c r="G7869" s="3">
        <f t="shared" si="928"/>
        <v>-455.88990000000001</v>
      </c>
      <c r="H7869" s="3">
        <f t="shared" si="929"/>
        <v>455.88990000000001</v>
      </c>
      <c r="I7869" s="5" t="str">
        <f t="shared" si="930"/>
        <v>016</v>
      </c>
      <c r="J7869" s="5" t="str">
        <f t="shared" si="931"/>
        <v>2210</v>
      </c>
      <c r="K7869" s="5" t="str">
        <f t="shared" si="932"/>
        <v>000</v>
      </c>
      <c r="L7869" s="5">
        <f t="shared" si="933"/>
        <v>8</v>
      </c>
      <c r="M7869" s="5">
        <f t="shared" si="934"/>
        <v>2013</v>
      </c>
    </row>
    <row r="7870" spans="1:13" ht="15" x14ac:dyDescent="0.25">
      <c r="A7870" s="1">
        <f>DATE(2013,8,12)</f>
        <v>41498</v>
      </c>
      <c r="B7870" t="s">
        <v>13</v>
      </c>
      <c r="C7870" t="s">
        <v>9</v>
      </c>
      <c r="D7870" s="3">
        <v>148.6148</v>
      </c>
      <c r="E7870" s="3">
        <v>0</v>
      </c>
      <c r="F7870" t="s">
        <v>45</v>
      </c>
      <c r="G7870" s="3">
        <f t="shared" si="928"/>
        <v>-148.6148</v>
      </c>
      <c r="H7870" s="3">
        <f t="shared" si="929"/>
        <v>148.6148</v>
      </c>
      <c r="I7870" s="5" t="str">
        <f t="shared" si="930"/>
        <v>016</v>
      </c>
      <c r="J7870" s="5" t="str">
        <f t="shared" si="931"/>
        <v>2220</v>
      </c>
      <c r="K7870" s="5" t="str">
        <f t="shared" si="932"/>
        <v>000</v>
      </c>
      <c r="L7870" s="5">
        <f t="shared" si="933"/>
        <v>8</v>
      </c>
      <c r="M7870" s="5">
        <f t="shared" si="934"/>
        <v>2013</v>
      </c>
    </row>
    <row r="7871" spans="1:13" ht="15" x14ac:dyDescent="0.25">
      <c r="A7871" s="1">
        <f>DATE(2013,8,12)</f>
        <v>41498</v>
      </c>
      <c r="B7871" t="s">
        <v>14</v>
      </c>
      <c r="C7871" t="s">
        <v>10</v>
      </c>
      <c r="D7871" s="3">
        <v>52.959200000000003</v>
      </c>
      <c r="E7871" s="3">
        <v>0</v>
      </c>
      <c r="F7871" t="s">
        <v>45</v>
      </c>
      <c r="G7871" s="3">
        <f t="shared" si="928"/>
        <v>-52.959200000000003</v>
      </c>
      <c r="H7871" s="3">
        <f t="shared" si="929"/>
        <v>52.959200000000003</v>
      </c>
      <c r="I7871" s="5" t="str">
        <f t="shared" si="930"/>
        <v>016</v>
      </c>
      <c r="J7871" s="5" t="str">
        <f t="shared" si="931"/>
        <v>2230</v>
      </c>
      <c r="K7871" s="5" t="str">
        <f t="shared" si="932"/>
        <v>000</v>
      </c>
      <c r="L7871" s="5">
        <f t="shared" si="933"/>
        <v>8</v>
      </c>
      <c r="M7871" s="5">
        <f t="shared" si="934"/>
        <v>2013</v>
      </c>
    </row>
    <row r="7872" spans="1:13" ht="15" x14ac:dyDescent="0.25">
      <c r="A7872" s="1">
        <f>DATE(2013,8,13)</f>
        <v>41499</v>
      </c>
      <c r="B7872" t="s">
        <v>11</v>
      </c>
      <c r="C7872" t="s">
        <v>6</v>
      </c>
      <c r="D7872" s="3">
        <v>6703.5407999999998</v>
      </c>
      <c r="E7872" s="3">
        <v>0</v>
      </c>
      <c r="F7872" t="s">
        <v>45</v>
      </c>
      <c r="G7872" s="3">
        <f t="shared" si="928"/>
        <v>-6703.5407999999998</v>
      </c>
      <c r="H7872" s="3">
        <f t="shared" si="929"/>
        <v>6703.5407999999998</v>
      </c>
      <c r="I7872" s="5" t="str">
        <f t="shared" si="930"/>
        <v>016</v>
      </c>
      <c r="J7872" s="5" t="str">
        <f t="shared" si="931"/>
        <v>2100</v>
      </c>
      <c r="K7872" s="5" t="str">
        <f t="shared" si="932"/>
        <v>000</v>
      </c>
      <c r="L7872" s="5">
        <f t="shared" si="933"/>
        <v>8</v>
      </c>
      <c r="M7872" s="5">
        <f t="shared" si="934"/>
        <v>2013</v>
      </c>
    </row>
    <row r="7873" spans="1:13" ht="15" x14ac:dyDescent="0.25">
      <c r="A7873" s="1">
        <f>DATE(2013,8,13)</f>
        <v>41499</v>
      </c>
      <c r="B7873" t="s">
        <v>12</v>
      </c>
      <c r="C7873" t="s">
        <v>8</v>
      </c>
      <c r="D7873" s="3">
        <v>2441.5484999999999</v>
      </c>
      <c r="E7873" s="3">
        <v>0</v>
      </c>
      <c r="F7873" t="s">
        <v>45</v>
      </c>
      <c r="G7873" s="3">
        <f t="shared" si="928"/>
        <v>-2441.5484999999999</v>
      </c>
      <c r="H7873" s="3">
        <f t="shared" si="929"/>
        <v>2441.5484999999999</v>
      </c>
      <c r="I7873" s="5" t="str">
        <f t="shared" si="930"/>
        <v>016</v>
      </c>
      <c r="J7873" s="5" t="str">
        <f t="shared" si="931"/>
        <v>2210</v>
      </c>
      <c r="K7873" s="5" t="str">
        <f t="shared" si="932"/>
        <v>000</v>
      </c>
      <c r="L7873" s="5">
        <f t="shared" si="933"/>
        <v>8</v>
      </c>
      <c r="M7873" s="5">
        <f t="shared" si="934"/>
        <v>2013</v>
      </c>
    </row>
    <row r="7874" spans="1:13" ht="15" x14ac:dyDescent="0.25">
      <c r="A7874" s="1">
        <f>DATE(2013,8,13)</f>
        <v>41499</v>
      </c>
      <c r="B7874" t="s">
        <v>13</v>
      </c>
      <c r="C7874" t="s">
        <v>9</v>
      </c>
      <c r="D7874" s="3">
        <v>806.08920000000001</v>
      </c>
      <c r="E7874" s="3">
        <v>0</v>
      </c>
      <c r="F7874" t="s">
        <v>45</v>
      </c>
      <c r="G7874" s="3">
        <f t="shared" ref="G7874:G7937" si="935">E7874-D7874</f>
        <v>-806.08920000000001</v>
      </c>
      <c r="H7874" s="3">
        <f t="shared" ref="H7874:H7937" si="936">ABS(G7874)</f>
        <v>806.08920000000001</v>
      </c>
      <c r="I7874" s="5" t="str">
        <f t="shared" ref="I7874:I7937" si="937">MID(B7874,1,3)</f>
        <v>016</v>
      </c>
      <c r="J7874" s="5" t="str">
        <f t="shared" ref="J7874:J7937" si="938">MID(B7874,5,4)</f>
        <v>2220</v>
      </c>
      <c r="K7874" s="5" t="str">
        <f t="shared" ref="K7874:K7937" si="939">MID(B7874,10,3)</f>
        <v>000</v>
      </c>
      <c r="L7874" s="5">
        <f t="shared" ref="L7874:L7937" si="940">MONTH(A7874)</f>
        <v>8</v>
      </c>
      <c r="M7874" s="5">
        <f t="shared" ref="M7874:M7937" si="941">YEAR(A7874)</f>
        <v>2013</v>
      </c>
    </row>
    <row r="7875" spans="1:13" ht="15" x14ac:dyDescent="0.25">
      <c r="A7875" s="1">
        <f>DATE(2013,8,13)</f>
        <v>41499</v>
      </c>
      <c r="B7875" t="s">
        <v>14</v>
      </c>
      <c r="C7875" t="s">
        <v>10</v>
      </c>
      <c r="D7875" s="3">
        <v>211.93199999999999</v>
      </c>
      <c r="E7875" s="3">
        <v>0</v>
      </c>
      <c r="F7875" t="s">
        <v>45</v>
      </c>
      <c r="G7875" s="3">
        <f t="shared" si="935"/>
        <v>-211.93199999999999</v>
      </c>
      <c r="H7875" s="3">
        <f t="shared" si="936"/>
        <v>211.93199999999999</v>
      </c>
      <c r="I7875" s="5" t="str">
        <f t="shared" si="937"/>
        <v>016</v>
      </c>
      <c r="J7875" s="5" t="str">
        <f t="shared" si="938"/>
        <v>2230</v>
      </c>
      <c r="K7875" s="5" t="str">
        <f t="shared" si="939"/>
        <v>000</v>
      </c>
      <c r="L7875" s="5">
        <f t="shared" si="940"/>
        <v>8</v>
      </c>
      <c r="M7875" s="5">
        <f t="shared" si="941"/>
        <v>2013</v>
      </c>
    </row>
    <row r="7876" spans="1:13" ht="15" x14ac:dyDescent="0.25">
      <c r="A7876" s="1">
        <f>DATE(2013,8,14)</f>
        <v>41500</v>
      </c>
      <c r="B7876" t="s">
        <v>11</v>
      </c>
      <c r="C7876" t="s">
        <v>6</v>
      </c>
      <c r="D7876" s="3">
        <v>2778.1949999999997</v>
      </c>
      <c r="E7876" s="3">
        <v>0</v>
      </c>
      <c r="F7876" t="s">
        <v>45</v>
      </c>
      <c r="G7876" s="3">
        <f t="shared" si="935"/>
        <v>-2778.1949999999997</v>
      </c>
      <c r="H7876" s="3">
        <f t="shared" si="936"/>
        <v>2778.1949999999997</v>
      </c>
      <c r="I7876" s="5" t="str">
        <f t="shared" si="937"/>
        <v>016</v>
      </c>
      <c r="J7876" s="5" t="str">
        <f t="shared" si="938"/>
        <v>2100</v>
      </c>
      <c r="K7876" s="5" t="str">
        <f t="shared" si="939"/>
        <v>000</v>
      </c>
      <c r="L7876" s="5">
        <f t="shared" si="940"/>
        <v>8</v>
      </c>
      <c r="M7876" s="5">
        <f t="shared" si="941"/>
        <v>2013</v>
      </c>
    </row>
    <row r="7877" spans="1:13" ht="15" x14ac:dyDescent="0.25">
      <c r="A7877" s="1">
        <f>DATE(2013,8,14)</f>
        <v>41500</v>
      </c>
      <c r="B7877" t="s">
        <v>12</v>
      </c>
      <c r="C7877" t="s">
        <v>8</v>
      </c>
      <c r="D7877" s="3">
        <v>869.31709999999987</v>
      </c>
      <c r="E7877" s="3">
        <v>0</v>
      </c>
      <c r="F7877" t="s">
        <v>45</v>
      </c>
      <c r="G7877" s="3">
        <f t="shared" si="935"/>
        <v>-869.31709999999987</v>
      </c>
      <c r="H7877" s="3">
        <f t="shared" si="936"/>
        <v>869.31709999999987</v>
      </c>
      <c r="I7877" s="5" t="str">
        <f t="shared" si="937"/>
        <v>016</v>
      </c>
      <c r="J7877" s="5" t="str">
        <f t="shared" si="938"/>
        <v>2210</v>
      </c>
      <c r="K7877" s="5" t="str">
        <f t="shared" si="939"/>
        <v>000</v>
      </c>
      <c r="L7877" s="5">
        <f t="shared" si="940"/>
        <v>8</v>
      </c>
      <c r="M7877" s="5">
        <f t="shared" si="941"/>
        <v>2013</v>
      </c>
    </row>
    <row r="7878" spans="1:13" ht="15" x14ac:dyDescent="0.25">
      <c r="A7878" s="1">
        <f>DATE(2013,8,14)</f>
        <v>41500</v>
      </c>
      <c r="B7878" t="s">
        <v>13</v>
      </c>
      <c r="C7878" t="s">
        <v>9</v>
      </c>
      <c r="D7878" s="3">
        <v>113.1456</v>
      </c>
      <c r="E7878" s="3">
        <v>0</v>
      </c>
      <c r="F7878" t="s">
        <v>45</v>
      </c>
      <c r="G7878" s="3">
        <f t="shared" si="935"/>
        <v>-113.1456</v>
      </c>
      <c r="H7878" s="3">
        <f t="shared" si="936"/>
        <v>113.1456</v>
      </c>
      <c r="I7878" s="5" t="str">
        <f t="shared" si="937"/>
        <v>016</v>
      </c>
      <c r="J7878" s="5" t="str">
        <f t="shared" si="938"/>
        <v>2220</v>
      </c>
      <c r="K7878" s="5" t="str">
        <f t="shared" si="939"/>
        <v>000</v>
      </c>
      <c r="L7878" s="5">
        <f t="shared" si="940"/>
        <v>8</v>
      </c>
      <c r="M7878" s="5">
        <f t="shared" si="941"/>
        <v>2013</v>
      </c>
    </row>
    <row r="7879" spans="1:13" ht="15" x14ac:dyDescent="0.25">
      <c r="A7879" s="1">
        <f>DATE(2013,8,14)</f>
        <v>41500</v>
      </c>
      <c r="B7879" t="s">
        <v>14</v>
      </c>
      <c r="C7879" t="s">
        <v>10</v>
      </c>
      <c r="D7879" s="3">
        <v>18.965399999999999</v>
      </c>
      <c r="E7879" s="3">
        <v>0</v>
      </c>
      <c r="F7879" t="s">
        <v>45</v>
      </c>
      <c r="G7879" s="3">
        <f t="shared" si="935"/>
        <v>-18.965399999999999</v>
      </c>
      <c r="H7879" s="3">
        <f t="shared" si="936"/>
        <v>18.965399999999999</v>
      </c>
      <c r="I7879" s="5" t="str">
        <f t="shared" si="937"/>
        <v>016</v>
      </c>
      <c r="J7879" s="5" t="str">
        <f t="shared" si="938"/>
        <v>2230</v>
      </c>
      <c r="K7879" s="5" t="str">
        <f t="shared" si="939"/>
        <v>000</v>
      </c>
      <c r="L7879" s="5">
        <f t="shared" si="940"/>
        <v>8</v>
      </c>
      <c r="M7879" s="5">
        <f t="shared" si="941"/>
        <v>2013</v>
      </c>
    </row>
    <row r="7880" spans="1:13" ht="15" x14ac:dyDescent="0.25">
      <c r="A7880" s="1">
        <f>DATE(2013,8,15)</f>
        <v>41501</v>
      </c>
      <c r="B7880" t="s">
        <v>11</v>
      </c>
      <c r="C7880" t="s">
        <v>6</v>
      </c>
      <c r="D7880" s="3">
        <v>3760.5156000000002</v>
      </c>
      <c r="E7880" s="3">
        <v>0</v>
      </c>
      <c r="F7880" t="s">
        <v>45</v>
      </c>
      <c r="G7880" s="3">
        <f t="shared" si="935"/>
        <v>-3760.5156000000002</v>
      </c>
      <c r="H7880" s="3">
        <f t="shared" si="936"/>
        <v>3760.5156000000002</v>
      </c>
      <c r="I7880" s="5" t="str">
        <f t="shared" si="937"/>
        <v>016</v>
      </c>
      <c r="J7880" s="5" t="str">
        <f t="shared" si="938"/>
        <v>2100</v>
      </c>
      <c r="K7880" s="5" t="str">
        <f t="shared" si="939"/>
        <v>000</v>
      </c>
      <c r="L7880" s="5">
        <f t="shared" si="940"/>
        <v>8</v>
      </c>
      <c r="M7880" s="5">
        <f t="shared" si="941"/>
        <v>2013</v>
      </c>
    </row>
    <row r="7881" spans="1:13" ht="15" x14ac:dyDescent="0.25">
      <c r="A7881" s="1">
        <f>DATE(2013,8,15)</f>
        <v>41501</v>
      </c>
      <c r="B7881" t="s">
        <v>12</v>
      </c>
      <c r="C7881" t="s">
        <v>8</v>
      </c>
      <c r="D7881" s="3">
        <v>938.17019999999991</v>
      </c>
      <c r="E7881" s="3">
        <v>0</v>
      </c>
      <c r="F7881" t="s">
        <v>45</v>
      </c>
      <c r="G7881" s="3">
        <f t="shared" si="935"/>
        <v>-938.17019999999991</v>
      </c>
      <c r="H7881" s="3">
        <f t="shared" si="936"/>
        <v>938.17019999999991</v>
      </c>
      <c r="I7881" s="5" t="str">
        <f t="shared" si="937"/>
        <v>016</v>
      </c>
      <c r="J7881" s="5" t="str">
        <f t="shared" si="938"/>
        <v>2210</v>
      </c>
      <c r="K7881" s="5" t="str">
        <f t="shared" si="939"/>
        <v>000</v>
      </c>
      <c r="L7881" s="5">
        <f t="shared" si="940"/>
        <v>8</v>
      </c>
      <c r="M7881" s="5">
        <f t="shared" si="941"/>
        <v>2013</v>
      </c>
    </row>
    <row r="7882" spans="1:13" ht="15" x14ac:dyDescent="0.25">
      <c r="A7882" s="1">
        <f>DATE(2013,8,15)</f>
        <v>41501</v>
      </c>
      <c r="B7882" t="s">
        <v>13</v>
      </c>
      <c r="C7882" t="s">
        <v>9</v>
      </c>
      <c r="D7882" s="3">
        <v>174.01799999999997</v>
      </c>
      <c r="E7882" s="3">
        <v>0</v>
      </c>
      <c r="F7882" t="s">
        <v>45</v>
      </c>
      <c r="G7882" s="3">
        <f t="shared" si="935"/>
        <v>-174.01799999999997</v>
      </c>
      <c r="H7882" s="3">
        <f t="shared" si="936"/>
        <v>174.01799999999997</v>
      </c>
      <c r="I7882" s="5" t="str">
        <f t="shared" si="937"/>
        <v>016</v>
      </c>
      <c r="J7882" s="5" t="str">
        <f t="shared" si="938"/>
        <v>2220</v>
      </c>
      <c r="K7882" s="5" t="str">
        <f t="shared" si="939"/>
        <v>000</v>
      </c>
      <c r="L7882" s="5">
        <f t="shared" si="940"/>
        <v>8</v>
      </c>
      <c r="M7882" s="5">
        <f t="shared" si="941"/>
        <v>2013</v>
      </c>
    </row>
    <row r="7883" spans="1:13" ht="15" x14ac:dyDescent="0.25">
      <c r="A7883" s="1">
        <f>DATE(2013,8,15)</f>
        <v>41501</v>
      </c>
      <c r="B7883" t="s">
        <v>14</v>
      </c>
      <c r="C7883" t="s">
        <v>10</v>
      </c>
      <c r="D7883" s="3">
        <v>75.471900000000005</v>
      </c>
      <c r="E7883" s="3">
        <v>0</v>
      </c>
      <c r="F7883" t="s">
        <v>45</v>
      </c>
      <c r="G7883" s="3">
        <f t="shared" si="935"/>
        <v>-75.471900000000005</v>
      </c>
      <c r="H7883" s="3">
        <f t="shared" si="936"/>
        <v>75.471900000000005</v>
      </c>
      <c r="I7883" s="5" t="str">
        <f t="shared" si="937"/>
        <v>016</v>
      </c>
      <c r="J7883" s="5" t="str">
        <f t="shared" si="938"/>
        <v>2230</v>
      </c>
      <c r="K7883" s="5" t="str">
        <f t="shared" si="939"/>
        <v>000</v>
      </c>
      <c r="L7883" s="5">
        <f t="shared" si="940"/>
        <v>8</v>
      </c>
      <c r="M7883" s="5">
        <f t="shared" si="941"/>
        <v>2013</v>
      </c>
    </row>
    <row r="7884" spans="1:13" ht="15" x14ac:dyDescent="0.25">
      <c r="A7884" s="1">
        <f t="shared" ref="A7884:A7887" si="942">DATE(2013,8,16)</f>
        <v>41502</v>
      </c>
      <c r="B7884" t="s">
        <v>11</v>
      </c>
      <c r="C7884" t="s">
        <v>6</v>
      </c>
      <c r="D7884" s="3">
        <v>3819.6480000000006</v>
      </c>
      <c r="E7884" s="3">
        <v>0</v>
      </c>
      <c r="F7884" t="s">
        <v>45</v>
      </c>
      <c r="G7884" s="3">
        <f t="shared" si="935"/>
        <v>-3819.6480000000006</v>
      </c>
      <c r="H7884" s="3">
        <f t="shared" si="936"/>
        <v>3819.6480000000006</v>
      </c>
      <c r="I7884" s="5" t="str">
        <f t="shared" si="937"/>
        <v>016</v>
      </c>
      <c r="J7884" s="5" t="str">
        <f t="shared" si="938"/>
        <v>2100</v>
      </c>
      <c r="K7884" s="5" t="str">
        <f t="shared" si="939"/>
        <v>000</v>
      </c>
      <c r="L7884" s="5">
        <f t="shared" si="940"/>
        <v>8</v>
      </c>
      <c r="M7884" s="5">
        <f t="shared" si="941"/>
        <v>2013</v>
      </c>
    </row>
    <row r="7885" spans="1:13" ht="15" x14ac:dyDescent="0.25">
      <c r="A7885" s="1">
        <f t="shared" si="942"/>
        <v>41502</v>
      </c>
      <c r="B7885" t="s">
        <v>12</v>
      </c>
      <c r="C7885" t="s">
        <v>8</v>
      </c>
      <c r="D7885" s="3">
        <v>1258.2008999999998</v>
      </c>
      <c r="E7885" s="3">
        <v>0</v>
      </c>
      <c r="F7885" t="s">
        <v>45</v>
      </c>
      <c r="G7885" s="3">
        <f t="shared" si="935"/>
        <v>-1258.2008999999998</v>
      </c>
      <c r="H7885" s="3">
        <f t="shared" si="936"/>
        <v>1258.2008999999998</v>
      </c>
      <c r="I7885" s="5" t="str">
        <f t="shared" si="937"/>
        <v>016</v>
      </c>
      <c r="J7885" s="5" t="str">
        <f t="shared" si="938"/>
        <v>2210</v>
      </c>
      <c r="K7885" s="5" t="str">
        <f t="shared" si="939"/>
        <v>000</v>
      </c>
      <c r="L7885" s="5">
        <f t="shared" si="940"/>
        <v>8</v>
      </c>
      <c r="M7885" s="5">
        <f t="shared" si="941"/>
        <v>2013</v>
      </c>
    </row>
    <row r="7886" spans="1:13" ht="15" x14ac:dyDescent="0.25">
      <c r="A7886" s="1">
        <f t="shared" si="942"/>
        <v>41502</v>
      </c>
      <c r="B7886" t="s">
        <v>13</v>
      </c>
      <c r="C7886" t="s">
        <v>9</v>
      </c>
      <c r="D7886" s="3">
        <v>258.74869999999999</v>
      </c>
      <c r="E7886" s="3">
        <v>0</v>
      </c>
      <c r="F7886" t="s">
        <v>45</v>
      </c>
      <c r="G7886" s="3">
        <f t="shared" si="935"/>
        <v>-258.74869999999999</v>
      </c>
      <c r="H7886" s="3">
        <f t="shared" si="936"/>
        <v>258.74869999999999</v>
      </c>
      <c r="I7886" s="5" t="str">
        <f t="shared" si="937"/>
        <v>016</v>
      </c>
      <c r="J7886" s="5" t="str">
        <f t="shared" si="938"/>
        <v>2220</v>
      </c>
      <c r="K7886" s="5" t="str">
        <f t="shared" si="939"/>
        <v>000</v>
      </c>
      <c r="L7886" s="5">
        <f t="shared" si="940"/>
        <v>8</v>
      </c>
      <c r="M7886" s="5">
        <f t="shared" si="941"/>
        <v>2013</v>
      </c>
    </row>
    <row r="7887" spans="1:13" ht="15" x14ac:dyDescent="0.25">
      <c r="A7887" s="1">
        <f t="shared" si="942"/>
        <v>41502</v>
      </c>
      <c r="B7887" t="s">
        <v>14</v>
      </c>
      <c r="C7887" t="s">
        <v>10</v>
      </c>
      <c r="D7887" s="3">
        <v>72.744000000000014</v>
      </c>
      <c r="E7887" s="3">
        <v>0</v>
      </c>
      <c r="F7887" t="s">
        <v>45</v>
      </c>
      <c r="G7887" s="3">
        <f t="shared" si="935"/>
        <v>-72.744000000000014</v>
      </c>
      <c r="H7887" s="3">
        <f t="shared" si="936"/>
        <v>72.744000000000014</v>
      </c>
      <c r="I7887" s="5" t="str">
        <f t="shared" si="937"/>
        <v>016</v>
      </c>
      <c r="J7887" s="5" t="str">
        <f t="shared" si="938"/>
        <v>2230</v>
      </c>
      <c r="K7887" s="5" t="str">
        <f t="shared" si="939"/>
        <v>000</v>
      </c>
      <c r="L7887" s="5">
        <f t="shared" si="940"/>
        <v>8</v>
      </c>
      <c r="M7887" s="5">
        <f t="shared" si="941"/>
        <v>2013</v>
      </c>
    </row>
    <row r="7888" spans="1:13" ht="15" x14ac:dyDescent="0.25">
      <c r="A7888" s="1">
        <f>DATE(2013,8,17)</f>
        <v>41503</v>
      </c>
      <c r="B7888" t="s">
        <v>11</v>
      </c>
      <c r="C7888" t="s">
        <v>6</v>
      </c>
      <c r="D7888" s="3">
        <v>8295.448699999999</v>
      </c>
      <c r="E7888" s="3">
        <v>0</v>
      </c>
      <c r="F7888" t="s">
        <v>45</v>
      </c>
      <c r="G7888" s="3">
        <f t="shared" si="935"/>
        <v>-8295.448699999999</v>
      </c>
      <c r="H7888" s="3">
        <f t="shared" si="936"/>
        <v>8295.448699999999</v>
      </c>
      <c r="I7888" s="5" t="str">
        <f t="shared" si="937"/>
        <v>016</v>
      </c>
      <c r="J7888" s="5" t="str">
        <f t="shared" si="938"/>
        <v>2100</v>
      </c>
      <c r="K7888" s="5" t="str">
        <f t="shared" si="939"/>
        <v>000</v>
      </c>
      <c r="L7888" s="5">
        <f t="shared" si="940"/>
        <v>8</v>
      </c>
      <c r="M7888" s="5">
        <f t="shared" si="941"/>
        <v>2013</v>
      </c>
    </row>
    <row r="7889" spans="1:13" ht="15" x14ac:dyDescent="0.25">
      <c r="A7889" s="1">
        <f>DATE(2013,8,17)</f>
        <v>41503</v>
      </c>
      <c r="B7889" t="s">
        <v>12</v>
      </c>
      <c r="C7889" t="s">
        <v>8</v>
      </c>
      <c r="D7889" s="3">
        <v>2568.3216000000002</v>
      </c>
      <c r="E7889" s="3">
        <v>0</v>
      </c>
      <c r="F7889" t="s">
        <v>45</v>
      </c>
      <c r="G7889" s="3">
        <f t="shared" si="935"/>
        <v>-2568.3216000000002</v>
      </c>
      <c r="H7889" s="3">
        <f t="shared" si="936"/>
        <v>2568.3216000000002</v>
      </c>
      <c r="I7889" s="5" t="str">
        <f t="shared" si="937"/>
        <v>016</v>
      </c>
      <c r="J7889" s="5" t="str">
        <f t="shared" si="938"/>
        <v>2210</v>
      </c>
      <c r="K7889" s="5" t="str">
        <f t="shared" si="939"/>
        <v>000</v>
      </c>
      <c r="L7889" s="5">
        <f t="shared" si="940"/>
        <v>8</v>
      </c>
      <c r="M7889" s="5">
        <f t="shared" si="941"/>
        <v>2013</v>
      </c>
    </row>
    <row r="7890" spans="1:13" ht="15" x14ac:dyDescent="0.25">
      <c r="A7890" s="1">
        <f>DATE(2013,8,17)</f>
        <v>41503</v>
      </c>
      <c r="B7890" t="s">
        <v>13</v>
      </c>
      <c r="C7890" t="s">
        <v>9</v>
      </c>
      <c r="D7890" s="3">
        <v>421.00440000000003</v>
      </c>
      <c r="E7890" s="3">
        <v>0</v>
      </c>
      <c r="F7890" t="s">
        <v>45</v>
      </c>
      <c r="G7890" s="3">
        <f t="shared" si="935"/>
        <v>-421.00440000000003</v>
      </c>
      <c r="H7890" s="3">
        <f t="shared" si="936"/>
        <v>421.00440000000003</v>
      </c>
      <c r="I7890" s="5" t="str">
        <f t="shared" si="937"/>
        <v>016</v>
      </c>
      <c r="J7890" s="5" t="str">
        <f t="shared" si="938"/>
        <v>2220</v>
      </c>
      <c r="K7890" s="5" t="str">
        <f t="shared" si="939"/>
        <v>000</v>
      </c>
      <c r="L7890" s="5">
        <f t="shared" si="940"/>
        <v>8</v>
      </c>
      <c r="M7890" s="5">
        <f t="shared" si="941"/>
        <v>2013</v>
      </c>
    </row>
    <row r="7891" spans="1:13" ht="15" x14ac:dyDescent="0.25">
      <c r="A7891" s="1">
        <f>DATE(2013,8,17)</f>
        <v>41503</v>
      </c>
      <c r="B7891" t="s">
        <v>14</v>
      </c>
      <c r="C7891" t="s">
        <v>10</v>
      </c>
      <c r="D7891" s="3">
        <v>63.128</v>
      </c>
      <c r="E7891" s="3">
        <v>0</v>
      </c>
      <c r="F7891" t="s">
        <v>45</v>
      </c>
      <c r="G7891" s="3">
        <f t="shared" si="935"/>
        <v>-63.128</v>
      </c>
      <c r="H7891" s="3">
        <f t="shared" si="936"/>
        <v>63.128</v>
      </c>
      <c r="I7891" s="5" t="str">
        <f t="shared" si="937"/>
        <v>016</v>
      </c>
      <c r="J7891" s="5" t="str">
        <f t="shared" si="938"/>
        <v>2230</v>
      </c>
      <c r="K7891" s="5" t="str">
        <f t="shared" si="939"/>
        <v>000</v>
      </c>
      <c r="L7891" s="5">
        <f t="shared" si="940"/>
        <v>8</v>
      </c>
      <c r="M7891" s="5">
        <f t="shared" si="941"/>
        <v>2013</v>
      </c>
    </row>
    <row r="7892" spans="1:13" ht="15" x14ac:dyDescent="0.25">
      <c r="A7892" s="1">
        <f>DATE(2013,8,18)</f>
        <v>41504</v>
      </c>
      <c r="B7892" t="s">
        <v>11</v>
      </c>
      <c r="C7892" t="s">
        <v>6</v>
      </c>
      <c r="D7892" s="3">
        <v>5188.5743999999995</v>
      </c>
      <c r="E7892" s="3">
        <v>0</v>
      </c>
      <c r="F7892" t="s">
        <v>45</v>
      </c>
      <c r="G7892" s="3">
        <f t="shared" si="935"/>
        <v>-5188.5743999999995</v>
      </c>
      <c r="H7892" s="3">
        <f t="shared" si="936"/>
        <v>5188.5743999999995</v>
      </c>
      <c r="I7892" s="5" t="str">
        <f t="shared" si="937"/>
        <v>016</v>
      </c>
      <c r="J7892" s="5" t="str">
        <f t="shared" si="938"/>
        <v>2100</v>
      </c>
      <c r="K7892" s="5" t="str">
        <f t="shared" si="939"/>
        <v>000</v>
      </c>
      <c r="L7892" s="5">
        <f t="shared" si="940"/>
        <v>8</v>
      </c>
      <c r="M7892" s="5">
        <f t="shared" si="941"/>
        <v>2013</v>
      </c>
    </row>
    <row r="7893" spans="1:13" ht="15" x14ac:dyDescent="0.25">
      <c r="A7893" s="1">
        <f>DATE(2013,8,18)</f>
        <v>41504</v>
      </c>
      <c r="B7893" t="s">
        <v>12</v>
      </c>
      <c r="C7893" t="s">
        <v>8</v>
      </c>
      <c r="D7893" s="3">
        <v>696.30000000000007</v>
      </c>
      <c r="E7893" s="3">
        <v>0</v>
      </c>
      <c r="F7893" t="s">
        <v>45</v>
      </c>
      <c r="G7893" s="3">
        <f t="shared" si="935"/>
        <v>-696.30000000000007</v>
      </c>
      <c r="H7893" s="3">
        <f t="shared" si="936"/>
        <v>696.30000000000007</v>
      </c>
      <c r="I7893" s="5" t="str">
        <f t="shared" si="937"/>
        <v>016</v>
      </c>
      <c r="J7893" s="5" t="str">
        <f t="shared" si="938"/>
        <v>2210</v>
      </c>
      <c r="K7893" s="5" t="str">
        <f t="shared" si="939"/>
        <v>000</v>
      </c>
      <c r="L7893" s="5">
        <f t="shared" si="940"/>
        <v>8</v>
      </c>
      <c r="M7893" s="5">
        <f t="shared" si="941"/>
        <v>2013</v>
      </c>
    </row>
    <row r="7894" spans="1:13" ht="15" x14ac:dyDescent="0.25">
      <c r="A7894" s="1">
        <f>DATE(2013,8,18)</f>
        <v>41504</v>
      </c>
      <c r="B7894" t="s">
        <v>13</v>
      </c>
      <c r="C7894" t="s">
        <v>9</v>
      </c>
      <c r="D7894" s="3">
        <v>165.2236</v>
      </c>
      <c r="E7894" s="3">
        <v>0</v>
      </c>
      <c r="F7894" t="s">
        <v>45</v>
      </c>
      <c r="G7894" s="3">
        <f t="shared" si="935"/>
        <v>-165.2236</v>
      </c>
      <c r="H7894" s="3">
        <f t="shared" si="936"/>
        <v>165.2236</v>
      </c>
      <c r="I7894" s="5" t="str">
        <f t="shared" si="937"/>
        <v>016</v>
      </c>
      <c r="J7894" s="5" t="str">
        <f t="shared" si="938"/>
        <v>2220</v>
      </c>
      <c r="K7894" s="5" t="str">
        <f t="shared" si="939"/>
        <v>000</v>
      </c>
      <c r="L7894" s="5">
        <f t="shared" si="940"/>
        <v>8</v>
      </c>
      <c r="M7894" s="5">
        <f t="shared" si="941"/>
        <v>2013</v>
      </c>
    </row>
    <row r="7895" spans="1:13" ht="15" x14ac:dyDescent="0.25">
      <c r="A7895" s="1">
        <f>DATE(2013,8,18)</f>
        <v>41504</v>
      </c>
      <c r="B7895" t="s">
        <v>14</v>
      </c>
      <c r="C7895" t="s">
        <v>10</v>
      </c>
      <c r="D7895" s="3">
        <v>105.8032</v>
      </c>
      <c r="E7895" s="3">
        <v>0</v>
      </c>
      <c r="F7895" t="s">
        <v>45</v>
      </c>
      <c r="G7895" s="3">
        <f t="shared" si="935"/>
        <v>-105.8032</v>
      </c>
      <c r="H7895" s="3">
        <f t="shared" si="936"/>
        <v>105.8032</v>
      </c>
      <c r="I7895" s="5" t="str">
        <f t="shared" si="937"/>
        <v>016</v>
      </c>
      <c r="J7895" s="5" t="str">
        <f t="shared" si="938"/>
        <v>2230</v>
      </c>
      <c r="K7895" s="5" t="str">
        <f t="shared" si="939"/>
        <v>000</v>
      </c>
      <c r="L7895" s="5">
        <f t="shared" si="940"/>
        <v>8</v>
      </c>
      <c r="M7895" s="5">
        <f t="shared" si="941"/>
        <v>2013</v>
      </c>
    </row>
    <row r="7896" spans="1:13" ht="15" x14ac:dyDescent="0.25">
      <c r="A7896" s="1">
        <f>DATE(2013,8,12)</f>
        <v>41498</v>
      </c>
      <c r="B7896" t="s">
        <v>15</v>
      </c>
      <c r="C7896" t="s">
        <v>6</v>
      </c>
      <c r="D7896" s="3">
        <v>5100.1523999999999</v>
      </c>
      <c r="E7896" s="3">
        <v>0</v>
      </c>
      <c r="F7896" t="s">
        <v>45</v>
      </c>
      <c r="G7896" s="3">
        <f t="shared" si="935"/>
        <v>-5100.1523999999999</v>
      </c>
      <c r="H7896" s="3">
        <f t="shared" si="936"/>
        <v>5100.1523999999999</v>
      </c>
      <c r="I7896" s="5" t="str">
        <f t="shared" si="937"/>
        <v>017</v>
      </c>
      <c r="J7896" s="5" t="str">
        <f t="shared" si="938"/>
        <v>2100</v>
      </c>
      <c r="K7896" s="5" t="str">
        <f t="shared" si="939"/>
        <v>000</v>
      </c>
      <c r="L7896" s="5">
        <f t="shared" si="940"/>
        <v>8</v>
      </c>
      <c r="M7896" s="5">
        <f t="shared" si="941"/>
        <v>2013</v>
      </c>
    </row>
    <row r="7897" spans="1:13" ht="15" x14ac:dyDescent="0.25">
      <c r="A7897" s="1">
        <f>DATE(2013,8,12)</f>
        <v>41498</v>
      </c>
      <c r="B7897" t="s">
        <v>16</v>
      </c>
      <c r="C7897" t="s">
        <v>8</v>
      </c>
      <c r="D7897" s="3">
        <v>648.72280000000001</v>
      </c>
      <c r="E7897" s="3">
        <v>0</v>
      </c>
      <c r="F7897" t="s">
        <v>45</v>
      </c>
      <c r="G7897" s="3">
        <f t="shared" si="935"/>
        <v>-648.72280000000001</v>
      </c>
      <c r="H7897" s="3">
        <f t="shared" si="936"/>
        <v>648.72280000000001</v>
      </c>
      <c r="I7897" s="5" t="str">
        <f t="shared" si="937"/>
        <v>017</v>
      </c>
      <c r="J7897" s="5" t="str">
        <f t="shared" si="938"/>
        <v>2210</v>
      </c>
      <c r="K7897" s="5" t="str">
        <f t="shared" si="939"/>
        <v>000</v>
      </c>
      <c r="L7897" s="5">
        <f t="shared" si="940"/>
        <v>8</v>
      </c>
      <c r="M7897" s="5">
        <f t="shared" si="941"/>
        <v>2013</v>
      </c>
    </row>
    <row r="7898" spans="1:13" ht="15" x14ac:dyDescent="0.25">
      <c r="A7898" s="1">
        <f>DATE(2013,8,12)</f>
        <v>41498</v>
      </c>
      <c r="B7898" t="s">
        <v>17</v>
      </c>
      <c r="C7898" t="s">
        <v>9</v>
      </c>
      <c r="D7898" s="3">
        <v>214.39870000000002</v>
      </c>
      <c r="E7898" s="3">
        <v>0</v>
      </c>
      <c r="F7898" t="s">
        <v>45</v>
      </c>
      <c r="G7898" s="3">
        <f t="shared" si="935"/>
        <v>-214.39870000000002</v>
      </c>
      <c r="H7898" s="3">
        <f t="shared" si="936"/>
        <v>214.39870000000002</v>
      </c>
      <c r="I7898" s="5" t="str">
        <f t="shared" si="937"/>
        <v>017</v>
      </c>
      <c r="J7898" s="5" t="str">
        <f t="shared" si="938"/>
        <v>2220</v>
      </c>
      <c r="K7898" s="5" t="str">
        <f t="shared" si="939"/>
        <v>000</v>
      </c>
      <c r="L7898" s="5">
        <f t="shared" si="940"/>
        <v>8</v>
      </c>
      <c r="M7898" s="5">
        <f t="shared" si="941"/>
        <v>2013</v>
      </c>
    </row>
    <row r="7899" spans="1:13" ht="15" x14ac:dyDescent="0.25">
      <c r="A7899" s="1">
        <f>DATE(2013,8,12)</f>
        <v>41498</v>
      </c>
      <c r="B7899" t="s">
        <v>18</v>
      </c>
      <c r="C7899" t="s">
        <v>10</v>
      </c>
      <c r="D7899" s="3">
        <v>108.4725</v>
      </c>
      <c r="E7899" s="3">
        <v>0</v>
      </c>
      <c r="F7899" t="s">
        <v>45</v>
      </c>
      <c r="G7899" s="3">
        <f t="shared" si="935"/>
        <v>-108.4725</v>
      </c>
      <c r="H7899" s="3">
        <f t="shared" si="936"/>
        <v>108.4725</v>
      </c>
      <c r="I7899" s="5" t="str">
        <f t="shared" si="937"/>
        <v>017</v>
      </c>
      <c r="J7899" s="5" t="str">
        <f t="shared" si="938"/>
        <v>2230</v>
      </c>
      <c r="K7899" s="5" t="str">
        <f t="shared" si="939"/>
        <v>000</v>
      </c>
      <c r="L7899" s="5">
        <f t="shared" si="940"/>
        <v>8</v>
      </c>
      <c r="M7899" s="5">
        <f t="shared" si="941"/>
        <v>2013</v>
      </c>
    </row>
    <row r="7900" spans="1:13" ht="15" x14ac:dyDescent="0.25">
      <c r="A7900" s="1">
        <f>DATE(2013,8,13)</f>
        <v>41499</v>
      </c>
      <c r="B7900" t="s">
        <v>15</v>
      </c>
      <c r="C7900" t="s">
        <v>6</v>
      </c>
      <c r="D7900" s="3">
        <v>5615.296800000001</v>
      </c>
      <c r="E7900" s="3">
        <v>0</v>
      </c>
      <c r="F7900" t="s">
        <v>45</v>
      </c>
      <c r="G7900" s="3">
        <f t="shared" si="935"/>
        <v>-5615.296800000001</v>
      </c>
      <c r="H7900" s="3">
        <f t="shared" si="936"/>
        <v>5615.296800000001</v>
      </c>
      <c r="I7900" s="5" t="str">
        <f t="shared" si="937"/>
        <v>017</v>
      </c>
      <c r="J7900" s="5" t="str">
        <f t="shared" si="938"/>
        <v>2100</v>
      </c>
      <c r="K7900" s="5" t="str">
        <f t="shared" si="939"/>
        <v>000</v>
      </c>
      <c r="L7900" s="5">
        <f t="shared" si="940"/>
        <v>8</v>
      </c>
      <c r="M7900" s="5">
        <f t="shared" si="941"/>
        <v>2013</v>
      </c>
    </row>
    <row r="7901" spans="1:13" ht="15" x14ac:dyDescent="0.25">
      <c r="A7901" s="1">
        <f>DATE(2013,8,13)</f>
        <v>41499</v>
      </c>
      <c r="B7901" t="s">
        <v>16</v>
      </c>
      <c r="C7901" t="s">
        <v>8</v>
      </c>
      <c r="D7901" s="3">
        <v>1944.2880000000002</v>
      </c>
      <c r="E7901" s="3">
        <v>0</v>
      </c>
      <c r="F7901" t="s">
        <v>45</v>
      </c>
      <c r="G7901" s="3">
        <f t="shared" si="935"/>
        <v>-1944.2880000000002</v>
      </c>
      <c r="H7901" s="3">
        <f t="shared" si="936"/>
        <v>1944.2880000000002</v>
      </c>
      <c r="I7901" s="5" t="str">
        <f t="shared" si="937"/>
        <v>017</v>
      </c>
      <c r="J7901" s="5" t="str">
        <f t="shared" si="938"/>
        <v>2210</v>
      </c>
      <c r="K7901" s="5" t="str">
        <f t="shared" si="939"/>
        <v>000</v>
      </c>
      <c r="L7901" s="5">
        <f t="shared" si="940"/>
        <v>8</v>
      </c>
      <c r="M7901" s="5">
        <f t="shared" si="941"/>
        <v>2013</v>
      </c>
    </row>
    <row r="7902" spans="1:13" ht="15" x14ac:dyDescent="0.25">
      <c r="A7902" s="1">
        <f>DATE(2013,8,13)</f>
        <v>41499</v>
      </c>
      <c r="B7902" t="s">
        <v>17</v>
      </c>
      <c r="C7902" t="s">
        <v>9</v>
      </c>
      <c r="D7902" s="3">
        <v>751.98199999999986</v>
      </c>
      <c r="E7902" s="3">
        <v>0</v>
      </c>
      <c r="F7902" t="s">
        <v>45</v>
      </c>
      <c r="G7902" s="3">
        <f t="shared" si="935"/>
        <v>-751.98199999999986</v>
      </c>
      <c r="H7902" s="3">
        <f t="shared" si="936"/>
        <v>751.98199999999986</v>
      </c>
      <c r="I7902" s="5" t="str">
        <f t="shared" si="937"/>
        <v>017</v>
      </c>
      <c r="J7902" s="5" t="str">
        <f t="shared" si="938"/>
        <v>2220</v>
      </c>
      <c r="K7902" s="5" t="str">
        <f t="shared" si="939"/>
        <v>000</v>
      </c>
      <c r="L7902" s="5">
        <f t="shared" si="940"/>
        <v>8</v>
      </c>
      <c r="M7902" s="5">
        <f t="shared" si="941"/>
        <v>2013</v>
      </c>
    </row>
    <row r="7903" spans="1:13" ht="15" x14ac:dyDescent="0.25">
      <c r="A7903" s="1">
        <f>DATE(2013,8,13)</f>
        <v>41499</v>
      </c>
      <c r="B7903" t="s">
        <v>18</v>
      </c>
      <c r="C7903" t="s">
        <v>10</v>
      </c>
      <c r="D7903" s="3">
        <v>158.05600000000001</v>
      </c>
      <c r="E7903" s="3">
        <v>0</v>
      </c>
      <c r="F7903" t="s">
        <v>45</v>
      </c>
      <c r="G7903" s="3">
        <f t="shared" si="935"/>
        <v>-158.05600000000001</v>
      </c>
      <c r="H7903" s="3">
        <f t="shared" si="936"/>
        <v>158.05600000000001</v>
      </c>
      <c r="I7903" s="5" t="str">
        <f t="shared" si="937"/>
        <v>017</v>
      </c>
      <c r="J7903" s="5" t="str">
        <f t="shared" si="938"/>
        <v>2230</v>
      </c>
      <c r="K7903" s="5" t="str">
        <f t="shared" si="939"/>
        <v>000</v>
      </c>
      <c r="L7903" s="5">
        <f t="shared" si="940"/>
        <v>8</v>
      </c>
      <c r="M7903" s="5">
        <f t="shared" si="941"/>
        <v>2013</v>
      </c>
    </row>
    <row r="7904" spans="1:13" ht="15" x14ac:dyDescent="0.25">
      <c r="A7904" s="1">
        <f>DATE(2013,8,14)</f>
        <v>41500</v>
      </c>
      <c r="B7904" t="s">
        <v>15</v>
      </c>
      <c r="C7904" t="s">
        <v>6</v>
      </c>
      <c r="D7904" s="3">
        <v>6784.6720000000005</v>
      </c>
      <c r="E7904" s="3">
        <v>0</v>
      </c>
      <c r="F7904" t="s">
        <v>45</v>
      </c>
      <c r="G7904" s="3">
        <f t="shared" si="935"/>
        <v>-6784.6720000000005</v>
      </c>
      <c r="H7904" s="3">
        <f t="shared" si="936"/>
        <v>6784.6720000000005</v>
      </c>
      <c r="I7904" s="5" t="str">
        <f t="shared" si="937"/>
        <v>017</v>
      </c>
      <c r="J7904" s="5" t="str">
        <f t="shared" si="938"/>
        <v>2100</v>
      </c>
      <c r="K7904" s="5" t="str">
        <f t="shared" si="939"/>
        <v>000</v>
      </c>
      <c r="L7904" s="5">
        <f t="shared" si="940"/>
        <v>8</v>
      </c>
      <c r="M7904" s="5">
        <f t="shared" si="941"/>
        <v>2013</v>
      </c>
    </row>
    <row r="7905" spans="1:13" ht="15" x14ac:dyDescent="0.25">
      <c r="A7905" s="1">
        <f>DATE(2013,8,14)</f>
        <v>41500</v>
      </c>
      <c r="B7905" t="s">
        <v>16</v>
      </c>
      <c r="C7905" t="s">
        <v>8</v>
      </c>
      <c r="D7905" s="3">
        <v>1641.2808</v>
      </c>
      <c r="E7905" s="3">
        <v>0</v>
      </c>
      <c r="F7905" t="s">
        <v>45</v>
      </c>
      <c r="G7905" s="3">
        <f t="shared" si="935"/>
        <v>-1641.2808</v>
      </c>
      <c r="H7905" s="3">
        <f t="shared" si="936"/>
        <v>1641.2808</v>
      </c>
      <c r="I7905" s="5" t="str">
        <f t="shared" si="937"/>
        <v>017</v>
      </c>
      <c r="J7905" s="5" t="str">
        <f t="shared" si="938"/>
        <v>2210</v>
      </c>
      <c r="K7905" s="5" t="str">
        <f t="shared" si="939"/>
        <v>000</v>
      </c>
      <c r="L7905" s="5">
        <f t="shared" si="940"/>
        <v>8</v>
      </c>
      <c r="M7905" s="5">
        <f t="shared" si="941"/>
        <v>2013</v>
      </c>
    </row>
    <row r="7906" spans="1:13" ht="15" x14ac:dyDescent="0.25">
      <c r="A7906" s="1">
        <f>DATE(2013,8,14)</f>
        <v>41500</v>
      </c>
      <c r="B7906" t="s">
        <v>17</v>
      </c>
      <c r="C7906" t="s">
        <v>9</v>
      </c>
      <c r="D7906" s="3">
        <v>422.01000000000005</v>
      </c>
      <c r="E7906" s="3">
        <v>0</v>
      </c>
      <c r="F7906" t="s">
        <v>45</v>
      </c>
      <c r="G7906" s="3">
        <f t="shared" si="935"/>
        <v>-422.01000000000005</v>
      </c>
      <c r="H7906" s="3">
        <f t="shared" si="936"/>
        <v>422.01000000000005</v>
      </c>
      <c r="I7906" s="5" t="str">
        <f t="shared" si="937"/>
        <v>017</v>
      </c>
      <c r="J7906" s="5" t="str">
        <f t="shared" si="938"/>
        <v>2220</v>
      </c>
      <c r="K7906" s="5" t="str">
        <f t="shared" si="939"/>
        <v>000</v>
      </c>
      <c r="L7906" s="5">
        <f t="shared" si="940"/>
        <v>8</v>
      </c>
      <c r="M7906" s="5">
        <f t="shared" si="941"/>
        <v>2013</v>
      </c>
    </row>
    <row r="7907" spans="1:13" ht="15" x14ac:dyDescent="0.25">
      <c r="A7907" s="1">
        <f>DATE(2013,8,14)</f>
        <v>41500</v>
      </c>
      <c r="B7907" t="s">
        <v>18</v>
      </c>
      <c r="C7907" t="s">
        <v>10</v>
      </c>
      <c r="D7907" s="3">
        <v>61.559999999999995</v>
      </c>
      <c r="E7907" s="3">
        <v>0</v>
      </c>
      <c r="F7907" t="s">
        <v>45</v>
      </c>
      <c r="G7907" s="3">
        <f t="shared" si="935"/>
        <v>-61.559999999999995</v>
      </c>
      <c r="H7907" s="3">
        <f t="shared" si="936"/>
        <v>61.559999999999995</v>
      </c>
      <c r="I7907" s="5" t="str">
        <f t="shared" si="937"/>
        <v>017</v>
      </c>
      <c r="J7907" s="5" t="str">
        <f t="shared" si="938"/>
        <v>2230</v>
      </c>
      <c r="K7907" s="5" t="str">
        <f t="shared" si="939"/>
        <v>000</v>
      </c>
      <c r="L7907" s="5">
        <f t="shared" si="940"/>
        <v>8</v>
      </c>
      <c r="M7907" s="5">
        <f t="shared" si="941"/>
        <v>2013</v>
      </c>
    </row>
    <row r="7908" spans="1:13" ht="15" x14ac:dyDescent="0.25">
      <c r="A7908" s="1">
        <f>DATE(2013,8,15)</f>
        <v>41501</v>
      </c>
      <c r="B7908" t="s">
        <v>15</v>
      </c>
      <c r="C7908" t="s">
        <v>6</v>
      </c>
      <c r="D7908" s="3">
        <v>8248.0863999999983</v>
      </c>
      <c r="E7908" s="3">
        <v>0</v>
      </c>
      <c r="F7908" t="s">
        <v>45</v>
      </c>
      <c r="G7908" s="3">
        <f t="shared" si="935"/>
        <v>-8248.0863999999983</v>
      </c>
      <c r="H7908" s="3">
        <f t="shared" si="936"/>
        <v>8248.0863999999983</v>
      </c>
      <c r="I7908" s="5" t="str">
        <f t="shared" si="937"/>
        <v>017</v>
      </c>
      <c r="J7908" s="5" t="str">
        <f t="shared" si="938"/>
        <v>2100</v>
      </c>
      <c r="K7908" s="5" t="str">
        <f t="shared" si="939"/>
        <v>000</v>
      </c>
      <c r="L7908" s="5">
        <f t="shared" si="940"/>
        <v>8</v>
      </c>
      <c r="M7908" s="5">
        <f t="shared" si="941"/>
        <v>2013</v>
      </c>
    </row>
    <row r="7909" spans="1:13" ht="15" x14ac:dyDescent="0.25">
      <c r="A7909" s="1">
        <f>DATE(2013,8,15)</f>
        <v>41501</v>
      </c>
      <c r="B7909" t="s">
        <v>16</v>
      </c>
      <c r="C7909" t="s">
        <v>8</v>
      </c>
      <c r="D7909" s="3">
        <v>3105.5563000000002</v>
      </c>
      <c r="E7909" s="3">
        <v>0</v>
      </c>
      <c r="F7909" t="s">
        <v>45</v>
      </c>
      <c r="G7909" s="3">
        <f t="shared" si="935"/>
        <v>-3105.5563000000002</v>
      </c>
      <c r="H7909" s="3">
        <f t="shared" si="936"/>
        <v>3105.5563000000002</v>
      </c>
      <c r="I7909" s="5" t="str">
        <f t="shared" si="937"/>
        <v>017</v>
      </c>
      <c r="J7909" s="5" t="str">
        <f t="shared" si="938"/>
        <v>2210</v>
      </c>
      <c r="K7909" s="5" t="str">
        <f t="shared" si="939"/>
        <v>000</v>
      </c>
      <c r="L7909" s="5">
        <f t="shared" si="940"/>
        <v>8</v>
      </c>
      <c r="M7909" s="5">
        <f t="shared" si="941"/>
        <v>2013</v>
      </c>
    </row>
    <row r="7910" spans="1:13" ht="15" x14ac:dyDescent="0.25">
      <c r="A7910" s="1">
        <f>DATE(2013,8,15)</f>
        <v>41501</v>
      </c>
      <c r="B7910" t="s">
        <v>17</v>
      </c>
      <c r="C7910" t="s">
        <v>9</v>
      </c>
      <c r="D7910" s="3">
        <v>541.99159999999995</v>
      </c>
      <c r="E7910" s="3">
        <v>0</v>
      </c>
      <c r="F7910" t="s">
        <v>45</v>
      </c>
      <c r="G7910" s="3">
        <f t="shared" si="935"/>
        <v>-541.99159999999995</v>
      </c>
      <c r="H7910" s="3">
        <f t="shared" si="936"/>
        <v>541.99159999999995</v>
      </c>
      <c r="I7910" s="5" t="str">
        <f t="shared" si="937"/>
        <v>017</v>
      </c>
      <c r="J7910" s="5" t="str">
        <f t="shared" si="938"/>
        <v>2220</v>
      </c>
      <c r="K7910" s="5" t="str">
        <f t="shared" si="939"/>
        <v>000</v>
      </c>
      <c r="L7910" s="5">
        <f t="shared" si="940"/>
        <v>8</v>
      </c>
      <c r="M7910" s="5">
        <f t="shared" si="941"/>
        <v>2013</v>
      </c>
    </row>
    <row r="7911" spans="1:13" ht="15" x14ac:dyDescent="0.25">
      <c r="A7911" s="1">
        <f>DATE(2013,8,15)</f>
        <v>41501</v>
      </c>
      <c r="B7911" t="s">
        <v>18</v>
      </c>
      <c r="C7911" t="s">
        <v>10</v>
      </c>
      <c r="D7911" s="3">
        <v>160.70140000000001</v>
      </c>
      <c r="E7911" s="3">
        <v>0</v>
      </c>
      <c r="F7911" t="s">
        <v>45</v>
      </c>
      <c r="G7911" s="3">
        <f t="shared" si="935"/>
        <v>-160.70140000000001</v>
      </c>
      <c r="H7911" s="3">
        <f t="shared" si="936"/>
        <v>160.70140000000001</v>
      </c>
      <c r="I7911" s="5" t="str">
        <f t="shared" si="937"/>
        <v>017</v>
      </c>
      <c r="J7911" s="5" t="str">
        <f t="shared" si="938"/>
        <v>2230</v>
      </c>
      <c r="K7911" s="5" t="str">
        <f t="shared" si="939"/>
        <v>000</v>
      </c>
      <c r="L7911" s="5">
        <f t="shared" si="940"/>
        <v>8</v>
      </c>
      <c r="M7911" s="5">
        <f t="shared" si="941"/>
        <v>2013</v>
      </c>
    </row>
    <row r="7912" spans="1:13" ht="15" x14ac:dyDescent="0.25">
      <c r="A7912" s="1">
        <f>DATE(2013,8,16)</f>
        <v>41502</v>
      </c>
      <c r="B7912" t="s">
        <v>15</v>
      </c>
      <c r="C7912" t="s">
        <v>6</v>
      </c>
      <c r="D7912" s="3">
        <v>9269.8945999999996</v>
      </c>
      <c r="E7912" s="3">
        <v>0</v>
      </c>
      <c r="F7912" t="s">
        <v>45</v>
      </c>
      <c r="G7912" s="3">
        <f t="shared" si="935"/>
        <v>-9269.8945999999996</v>
      </c>
      <c r="H7912" s="3">
        <f t="shared" si="936"/>
        <v>9269.8945999999996</v>
      </c>
      <c r="I7912" s="5" t="str">
        <f t="shared" si="937"/>
        <v>017</v>
      </c>
      <c r="J7912" s="5" t="str">
        <f t="shared" si="938"/>
        <v>2100</v>
      </c>
      <c r="K7912" s="5" t="str">
        <f t="shared" si="939"/>
        <v>000</v>
      </c>
      <c r="L7912" s="5">
        <f t="shared" si="940"/>
        <v>8</v>
      </c>
      <c r="M7912" s="5">
        <f t="shared" si="941"/>
        <v>2013</v>
      </c>
    </row>
    <row r="7913" spans="1:13" ht="15" x14ac:dyDescent="0.25">
      <c r="A7913" s="1">
        <f>DATE(2013,8,16)</f>
        <v>41502</v>
      </c>
      <c r="B7913" t="s">
        <v>16</v>
      </c>
      <c r="C7913" t="s">
        <v>8</v>
      </c>
      <c r="D7913" s="3">
        <v>1837.8322999999998</v>
      </c>
      <c r="E7913" s="3">
        <v>0</v>
      </c>
      <c r="F7913" t="s">
        <v>45</v>
      </c>
      <c r="G7913" s="3">
        <f t="shared" si="935"/>
        <v>-1837.8322999999998</v>
      </c>
      <c r="H7913" s="3">
        <f t="shared" si="936"/>
        <v>1837.8322999999998</v>
      </c>
      <c r="I7913" s="5" t="str">
        <f t="shared" si="937"/>
        <v>017</v>
      </c>
      <c r="J7913" s="5" t="str">
        <f t="shared" si="938"/>
        <v>2210</v>
      </c>
      <c r="K7913" s="5" t="str">
        <f t="shared" si="939"/>
        <v>000</v>
      </c>
      <c r="L7913" s="5">
        <f t="shared" si="940"/>
        <v>8</v>
      </c>
      <c r="M7913" s="5">
        <f t="shared" si="941"/>
        <v>2013</v>
      </c>
    </row>
    <row r="7914" spans="1:13" ht="15" x14ac:dyDescent="0.25">
      <c r="A7914" s="1">
        <f>DATE(2013,8,16)</f>
        <v>41502</v>
      </c>
      <c r="B7914" t="s">
        <v>17</v>
      </c>
      <c r="C7914" t="s">
        <v>9</v>
      </c>
      <c r="D7914" s="3">
        <v>557.40150000000006</v>
      </c>
      <c r="E7914" s="3">
        <v>0</v>
      </c>
      <c r="F7914" t="s">
        <v>45</v>
      </c>
      <c r="G7914" s="3">
        <f t="shared" si="935"/>
        <v>-557.40150000000006</v>
      </c>
      <c r="H7914" s="3">
        <f t="shared" si="936"/>
        <v>557.40150000000006</v>
      </c>
      <c r="I7914" s="5" t="str">
        <f t="shared" si="937"/>
        <v>017</v>
      </c>
      <c r="J7914" s="5" t="str">
        <f t="shared" si="938"/>
        <v>2220</v>
      </c>
      <c r="K7914" s="5" t="str">
        <f t="shared" si="939"/>
        <v>000</v>
      </c>
      <c r="L7914" s="5">
        <f t="shared" si="940"/>
        <v>8</v>
      </c>
      <c r="M7914" s="5">
        <f t="shared" si="941"/>
        <v>2013</v>
      </c>
    </row>
    <row r="7915" spans="1:13" ht="15" x14ac:dyDescent="0.25">
      <c r="A7915" s="1">
        <f>DATE(2013,8,16)</f>
        <v>41502</v>
      </c>
      <c r="B7915" t="s">
        <v>18</v>
      </c>
      <c r="C7915" t="s">
        <v>10</v>
      </c>
      <c r="D7915" s="3">
        <v>95.192499999999995</v>
      </c>
      <c r="E7915" s="3">
        <v>0</v>
      </c>
      <c r="F7915" t="s">
        <v>45</v>
      </c>
      <c r="G7915" s="3">
        <f t="shared" si="935"/>
        <v>-95.192499999999995</v>
      </c>
      <c r="H7915" s="3">
        <f t="shared" si="936"/>
        <v>95.192499999999995</v>
      </c>
      <c r="I7915" s="5" t="str">
        <f t="shared" si="937"/>
        <v>017</v>
      </c>
      <c r="J7915" s="5" t="str">
        <f t="shared" si="938"/>
        <v>2230</v>
      </c>
      <c r="K7915" s="5" t="str">
        <f t="shared" si="939"/>
        <v>000</v>
      </c>
      <c r="L7915" s="5">
        <f t="shared" si="940"/>
        <v>8</v>
      </c>
      <c r="M7915" s="5">
        <f t="shared" si="941"/>
        <v>2013</v>
      </c>
    </row>
    <row r="7916" spans="1:13" ht="15" x14ac:dyDescent="0.25">
      <c r="A7916" s="1">
        <f>DATE(2013,8,17)</f>
        <v>41503</v>
      </c>
      <c r="B7916" t="s">
        <v>15</v>
      </c>
      <c r="C7916" t="s">
        <v>6</v>
      </c>
      <c r="D7916" s="3">
        <v>7345.0847999999996</v>
      </c>
      <c r="E7916" s="3">
        <v>0</v>
      </c>
      <c r="F7916" t="s">
        <v>45</v>
      </c>
      <c r="G7916" s="3">
        <f t="shared" si="935"/>
        <v>-7345.0847999999996</v>
      </c>
      <c r="H7916" s="3">
        <f t="shared" si="936"/>
        <v>7345.0847999999996</v>
      </c>
      <c r="I7916" s="5" t="str">
        <f t="shared" si="937"/>
        <v>017</v>
      </c>
      <c r="J7916" s="5" t="str">
        <f t="shared" si="938"/>
        <v>2100</v>
      </c>
      <c r="K7916" s="5" t="str">
        <f t="shared" si="939"/>
        <v>000</v>
      </c>
      <c r="L7916" s="5">
        <f t="shared" si="940"/>
        <v>8</v>
      </c>
      <c r="M7916" s="5">
        <f t="shared" si="941"/>
        <v>2013</v>
      </c>
    </row>
    <row r="7917" spans="1:13" ht="15" x14ac:dyDescent="0.25">
      <c r="A7917" s="1">
        <f>DATE(2013,8,17)</f>
        <v>41503</v>
      </c>
      <c r="B7917" t="s">
        <v>16</v>
      </c>
      <c r="C7917" t="s">
        <v>8</v>
      </c>
      <c r="D7917" s="3">
        <v>1631.1120000000001</v>
      </c>
      <c r="E7917" s="3">
        <v>0</v>
      </c>
      <c r="F7917" t="s">
        <v>45</v>
      </c>
      <c r="G7917" s="3">
        <f t="shared" si="935"/>
        <v>-1631.1120000000001</v>
      </c>
      <c r="H7917" s="3">
        <f t="shared" si="936"/>
        <v>1631.1120000000001</v>
      </c>
      <c r="I7917" s="5" t="str">
        <f t="shared" si="937"/>
        <v>017</v>
      </c>
      <c r="J7917" s="5" t="str">
        <f t="shared" si="938"/>
        <v>2210</v>
      </c>
      <c r="K7917" s="5" t="str">
        <f t="shared" si="939"/>
        <v>000</v>
      </c>
      <c r="L7917" s="5">
        <f t="shared" si="940"/>
        <v>8</v>
      </c>
      <c r="M7917" s="5">
        <f t="shared" si="941"/>
        <v>2013</v>
      </c>
    </row>
    <row r="7918" spans="1:13" ht="15" x14ac:dyDescent="0.25">
      <c r="A7918" s="1">
        <f>DATE(2013,8,17)</f>
        <v>41503</v>
      </c>
      <c r="B7918" t="s">
        <v>17</v>
      </c>
      <c r="C7918" t="s">
        <v>9</v>
      </c>
      <c r="D7918" s="3">
        <v>385.24919999999997</v>
      </c>
      <c r="E7918" s="3">
        <v>0</v>
      </c>
      <c r="F7918" t="s">
        <v>45</v>
      </c>
      <c r="G7918" s="3">
        <f t="shared" si="935"/>
        <v>-385.24919999999997</v>
      </c>
      <c r="H7918" s="3">
        <f t="shared" si="936"/>
        <v>385.24919999999997</v>
      </c>
      <c r="I7918" s="5" t="str">
        <f t="shared" si="937"/>
        <v>017</v>
      </c>
      <c r="J7918" s="5" t="str">
        <f t="shared" si="938"/>
        <v>2220</v>
      </c>
      <c r="K7918" s="5" t="str">
        <f t="shared" si="939"/>
        <v>000</v>
      </c>
      <c r="L7918" s="5">
        <f t="shared" si="940"/>
        <v>8</v>
      </c>
      <c r="M7918" s="5">
        <f t="shared" si="941"/>
        <v>2013</v>
      </c>
    </row>
    <row r="7919" spans="1:13" ht="15" x14ac:dyDescent="0.25">
      <c r="A7919" s="1">
        <f>DATE(2013,8,17)</f>
        <v>41503</v>
      </c>
      <c r="B7919" t="s">
        <v>18</v>
      </c>
      <c r="C7919" t="s">
        <v>10</v>
      </c>
      <c r="D7919" s="3">
        <v>167.12639999999999</v>
      </c>
      <c r="E7919" s="3">
        <v>0</v>
      </c>
      <c r="F7919" t="s">
        <v>45</v>
      </c>
      <c r="G7919" s="3">
        <f t="shared" si="935"/>
        <v>-167.12639999999999</v>
      </c>
      <c r="H7919" s="3">
        <f t="shared" si="936"/>
        <v>167.12639999999999</v>
      </c>
      <c r="I7919" s="5" t="str">
        <f t="shared" si="937"/>
        <v>017</v>
      </c>
      <c r="J7919" s="5" t="str">
        <f t="shared" si="938"/>
        <v>2230</v>
      </c>
      <c r="K7919" s="5" t="str">
        <f t="shared" si="939"/>
        <v>000</v>
      </c>
      <c r="L7919" s="5">
        <f t="shared" si="940"/>
        <v>8</v>
      </c>
      <c r="M7919" s="5">
        <f t="shared" si="941"/>
        <v>2013</v>
      </c>
    </row>
    <row r="7920" spans="1:13" ht="15" x14ac:dyDescent="0.25">
      <c r="A7920" s="1">
        <f>DATE(2013,8,18)</f>
        <v>41504</v>
      </c>
      <c r="B7920" t="s">
        <v>15</v>
      </c>
      <c r="C7920" t="s">
        <v>6</v>
      </c>
      <c r="D7920" s="3">
        <v>5945.4213000000009</v>
      </c>
      <c r="E7920" s="3">
        <v>0</v>
      </c>
      <c r="F7920" t="s">
        <v>45</v>
      </c>
      <c r="G7920" s="3">
        <f t="shared" si="935"/>
        <v>-5945.4213000000009</v>
      </c>
      <c r="H7920" s="3">
        <f t="shared" si="936"/>
        <v>5945.4213000000009</v>
      </c>
      <c r="I7920" s="5" t="str">
        <f t="shared" si="937"/>
        <v>017</v>
      </c>
      <c r="J7920" s="5" t="str">
        <f t="shared" si="938"/>
        <v>2100</v>
      </c>
      <c r="K7920" s="5" t="str">
        <f t="shared" si="939"/>
        <v>000</v>
      </c>
      <c r="L7920" s="5">
        <f t="shared" si="940"/>
        <v>8</v>
      </c>
      <c r="M7920" s="5">
        <f t="shared" si="941"/>
        <v>2013</v>
      </c>
    </row>
    <row r="7921" spans="1:13" ht="15" x14ac:dyDescent="0.25">
      <c r="A7921" s="1">
        <f>DATE(2013,8,18)</f>
        <v>41504</v>
      </c>
      <c r="B7921" t="s">
        <v>16</v>
      </c>
      <c r="C7921" t="s">
        <v>8</v>
      </c>
      <c r="D7921" s="3">
        <v>852.048</v>
      </c>
      <c r="E7921" s="3">
        <v>0</v>
      </c>
      <c r="F7921" t="s">
        <v>45</v>
      </c>
      <c r="G7921" s="3">
        <f t="shared" si="935"/>
        <v>-852.048</v>
      </c>
      <c r="H7921" s="3">
        <f t="shared" si="936"/>
        <v>852.048</v>
      </c>
      <c r="I7921" s="5" t="str">
        <f t="shared" si="937"/>
        <v>017</v>
      </c>
      <c r="J7921" s="5" t="str">
        <f t="shared" si="938"/>
        <v>2210</v>
      </c>
      <c r="K7921" s="5" t="str">
        <f t="shared" si="939"/>
        <v>000</v>
      </c>
      <c r="L7921" s="5">
        <f t="shared" si="940"/>
        <v>8</v>
      </c>
      <c r="M7921" s="5">
        <f t="shared" si="941"/>
        <v>2013</v>
      </c>
    </row>
    <row r="7922" spans="1:13" ht="15" x14ac:dyDescent="0.25">
      <c r="A7922" s="1">
        <f>DATE(2013,8,18)</f>
        <v>41504</v>
      </c>
      <c r="B7922" t="s">
        <v>17</v>
      </c>
      <c r="C7922" t="s">
        <v>9</v>
      </c>
      <c r="D7922" s="3">
        <v>179.5718</v>
      </c>
      <c r="E7922" s="3">
        <v>0</v>
      </c>
      <c r="F7922" t="s">
        <v>45</v>
      </c>
      <c r="G7922" s="3">
        <f t="shared" si="935"/>
        <v>-179.5718</v>
      </c>
      <c r="H7922" s="3">
        <f t="shared" si="936"/>
        <v>179.5718</v>
      </c>
      <c r="I7922" s="5" t="str">
        <f t="shared" si="937"/>
        <v>017</v>
      </c>
      <c r="J7922" s="5" t="str">
        <f t="shared" si="938"/>
        <v>2220</v>
      </c>
      <c r="K7922" s="5" t="str">
        <f t="shared" si="939"/>
        <v>000</v>
      </c>
      <c r="L7922" s="5">
        <f t="shared" si="940"/>
        <v>8</v>
      </c>
      <c r="M7922" s="5">
        <f t="shared" si="941"/>
        <v>2013</v>
      </c>
    </row>
    <row r="7923" spans="1:13" ht="15" x14ac:dyDescent="0.25">
      <c r="A7923" s="1">
        <f>DATE(2013,8,18)</f>
        <v>41504</v>
      </c>
      <c r="B7923" t="s">
        <v>18</v>
      </c>
      <c r="C7923" t="s">
        <v>10</v>
      </c>
      <c r="D7923" s="3">
        <v>114.31040000000002</v>
      </c>
      <c r="E7923" s="3">
        <v>0</v>
      </c>
      <c r="F7923" t="s">
        <v>45</v>
      </c>
      <c r="G7923" s="3">
        <f t="shared" si="935"/>
        <v>-114.31040000000002</v>
      </c>
      <c r="H7923" s="3">
        <f t="shared" si="936"/>
        <v>114.31040000000002</v>
      </c>
      <c r="I7923" s="5" t="str">
        <f t="shared" si="937"/>
        <v>017</v>
      </c>
      <c r="J7923" s="5" t="str">
        <f t="shared" si="938"/>
        <v>2230</v>
      </c>
      <c r="K7923" s="5" t="str">
        <f t="shared" si="939"/>
        <v>000</v>
      </c>
      <c r="L7923" s="5">
        <f t="shared" si="940"/>
        <v>8</v>
      </c>
      <c r="M7923" s="5">
        <f t="shared" si="941"/>
        <v>2013</v>
      </c>
    </row>
    <row r="7924" spans="1:13" ht="15" x14ac:dyDescent="0.25">
      <c r="A7924" s="1">
        <f>DATE(2013,8,12)</f>
        <v>41498</v>
      </c>
      <c r="B7924" t="s">
        <v>19</v>
      </c>
      <c r="C7924" t="s">
        <v>6</v>
      </c>
      <c r="D7924" s="3">
        <v>5222.0216</v>
      </c>
      <c r="E7924" s="3">
        <v>0</v>
      </c>
      <c r="F7924" t="s">
        <v>45</v>
      </c>
      <c r="G7924" s="3">
        <f t="shared" si="935"/>
        <v>-5222.0216</v>
      </c>
      <c r="H7924" s="3">
        <f t="shared" si="936"/>
        <v>5222.0216</v>
      </c>
      <c r="I7924" s="5" t="str">
        <f t="shared" si="937"/>
        <v>018</v>
      </c>
      <c r="J7924" s="5" t="str">
        <f t="shared" si="938"/>
        <v>2100</v>
      </c>
      <c r="K7924" s="5" t="str">
        <f t="shared" si="939"/>
        <v>000</v>
      </c>
      <c r="L7924" s="5">
        <f t="shared" si="940"/>
        <v>8</v>
      </c>
      <c r="M7924" s="5">
        <f t="shared" si="941"/>
        <v>2013</v>
      </c>
    </row>
    <row r="7925" spans="1:13" ht="15" x14ac:dyDescent="0.25">
      <c r="A7925" s="1">
        <f>DATE(2013,8,12)</f>
        <v>41498</v>
      </c>
      <c r="B7925" t="s">
        <v>20</v>
      </c>
      <c r="C7925" t="s">
        <v>8</v>
      </c>
      <c r="D7925" s="3">
        <v>880.04420000000005</v>
      </c>
      <c r="E7925" s="3">
        <v>0</v>
      </c>
      <c r="F7925" t="s">
        <v>45</v>
      </c>
      <c r="G7925" s="3">
        <f t="shared" si="935"/>
        <v>-880.04420000000005</v>
      </c>
      <c r="H7925" s="3">
        <f t="shared" si="936"/>
        <v>880.04420000000005</v>
      </c>
      <c r="I7925" s="5" t="str">
        <f t="shared" si="937"/>
        <v>018</v>
      </c>
      <c r="J7925" s="5" t="str">
        <f t="shared" si="938"/>
        <v>2210</v>
      </c>
      <c r="K7925" s="5" t="str">
        <f t="shared" si="939"/>
        <v>000</v>
      </c>
      <c r="L7925" s="5">
        <f t="shared" si="940"/>
        <v>8</v>
      </c>
      <c r="M7925" s="5">
        <f t="shared" si="941"/>
        <v>2013</v>
      </c>
    </row>
    <row r="7926" spans="1:13" ht="15" x14ac:dyDescent="0.25">
      <c r="A7926" s="1">
        <f>DATE(2013,8,12)</f>
        <v>41498</v>
      </c>
      <c r="B7926" t="s">
        <v>21</v>
      </c>
      <c r="C7926" t="s">
        <v>9</v>
      </c>
      <c r="D7926" s="3">
        <v>254.53640000000001</v>
      </c>
      <c r="E7926" s="3">
        <v>0</v>
      </c>
      <c r="F7926" t="s">
        <v>45</v>
      </c>
      <c r="G7926" s="3">
        <f t="shared" si="935"/>
        <v>-254.53640000000001</v>
      </c>
      <c r="H7926" s="3">
        <f t="shared" si="936"/>
        <v>254.53640000000001</v>
      </c>
      <c r="I7926" s="5" t="str">
        <f t="shared" si="937"/>
        <v>018</v>
      </c>
      <c r="J7926" s="5" t="str">
        <f t="shared" si="938"/>
        <v>2220</v>
      </c>
      <c r="K7926" s="5" t="str">
        <f t="shared" si="939"/>
        <v>000</v>
      </c>
      <c r="L7926" s="5">
        <f t="shared" si="940"/>
        <v>8</v>
      </c>
      <c r="M7926" s="5">
        <f t="shared" si="941"/>
        <v>2013</v>
      </c>
    </row>
    <row r="7927" spans="1:13" ht="15" x14ac:dyDescent="0.25">
      <c r="A7927" s="1">
        <f>DATE(2013,8,12)</f>
        <v>41498</v>
      </c>
      <c r="B7927" t="s">
        <v>22</v>
      </c>
      <c r="C7927" t="s">
        <v>10</v>
      </c>
      <c r="D7927" s="3">
        <v>12.2752</v>
      </c>
      <c r="E7927" s="3">
        <v>0</v>
      </c>
      <c r="F7927" t="s">
        <v>45</v>
      </c>
      <c r="G7927" s="3">
        <f t="shared" si="935"/>
        <v>-12.2752</v>
      </c>
      <c r="H7927" s="3">
        <f t="shared" si="936"/>
        <v>12.2752</v>
      </c>
      <c r="I7927" s="5" t="str">
        <f t="shared" si="937"/>
        <v>018</v>
      </c>
      <c r="J7927" s="5" t="str">
        <f t="shared" si="938"/>
        <v>2230</v>
      </c>
      <c r="K7927" s="5" t="str">
        <f t="shared" si="939"/>
        <v>000</v>
      </c>
      <c r="L7927" s="5">
        <f t="shared" si="940"/>
        <v>8</v>
      </c>
      <c r="M7927" s="5">
        <f t="shared" si="941"/>
        <v>2013</v>
      </c>
    </row>
    <row r="7928" spans="1:13" ht="15" x14ac:dyDescent="0.25">
      <c r="A7928" s="1">
        <f>DATE(2013,8,13)</f>
        <v>41499</v>
      </c>
      <c r="B7928" t="s">
        <v>19</v>
      </c>
      <c r="C7928" t="s">
        <v>6</v>
      </c>
      <c r="D7928" s="3">
        <v>5966.9268000000002</v>
      </c>
      <c r="E7928" s="3">
        <v>0</v>
      </c>
      <c r="F7928" t="s">
        <v>45</v>
      </c>
      <c r="G7928" s="3">
        <f t="shared" si="935"/>
        <v>-5966.9268000000002</v>
      </c>
      <c r="H7928" s="3">
        <f t="shared" si="936"/>
        <v>5966.9268000000002</v>
      </c>
      <c r="I7928" s="5" t="str">
        <f t="shared" si="937"/>
        <v>018</v>
      </c>
      <c r="J7928" s="5" t="str">
        <f t="shared" si="938"/>
        <v>2100</v>
      </c>
      <c r="K7928" s="5" t="str">
        <f t="shared" si="939"/>
        <v>000</v>
      </c>
      <c r="L7928" s="5">
        <f t="shared" si="940"/>
        <v>8</v>
      </c>
      <c r="M7928" s="5">
        <f t="shared" si="941"/>
        <v>2013</v>
      </c>
    </row>
    <row r="7929" spans="1:13" ht="15" x14ac:dyDescent="0.25">
      <c r="A7929" s="1">
        <f>DATE(2013,8,13)</f>
        <v>41499</v>
      </c>
      <c r="B7929" t="s">
        <v>20</v>
      </c>
      <c r="C7929" t="s">
        <v>8</v>
      </c>
      <c r="D7929" s="3">
        <v>1020.9318000000001</v>
      </c>
      <c r="E7929" s="3">
        <v>0</v>
      </c>
      <c r="F7929" t="s">
        <v>45</v>
      </c>
      <c r="G7929" s="3">
        <f t="shared" si="935"/>
        <v>-1020.9318000000001</v>
      </c>
      <c r="H7929" s="3">
        <f t="shared" si="936"/>
        <v>1020.9318000000001</v>
      </c>
      <c r="I7929" s="5" t="str">
        <f t="shared" si="937"/>
        <v>018</v>
      </c>
      <c r="J7929" s="5" t="str">
        <f t="shared" si="938"/>
        <v>2210</v>
      </c>
      <c r="K7929" s="5" t="str">
        <f t="shared" si="939"/>
        <v>000</v>
      </c>
      <c r="L7929" s="5">
        <f t="shared" si="940"/>
        <v>8</v>
      </c>
      <c r="M7929" s="5">
        <f t="shared" si="941"/>
        <v>2013</v>
      </c>
    </row>
    <row r="7930" spans="1:13" ht="15" x14ac:dyDescent="0.25">
      <c r="A7930" s="1">
        <f>DATE(2013,8,13)</f>
        <v>41499</v>
      </c>
      <c r="B7930" t="s">
        <v>21</v>
      </c>
      <c r="C7930" t="s">
        <v>9</v>
      </c>
      <c r="D7930" s="3">
        <v>149.44999999999999</v>
      </c>
      <c r="E7930" s="3">
        <v>0</v>
      </c>
      <c r="F7930" t="s">
        <v>45</v>
      </c>
      <c r="G7930" s="3">
        <f t="shared" si="935"/>
        <v>-149.44999999999999</v>
      </c>
      <c r="H7930" s="3">
        <f t="shared" si="936"/>
        <v>149.44999999999999</v>
      </c>
      <c r="I7930" s="5" t="str">
        <f t="shared" si="937"/>
        <v>018</v>
      </c>
      <c r="J7930" s="5" t="str">
        <f t="shared" si="938"/>
        <v>2220</v>
      </c>
      <c r="K7930" s="5" t="str">
        <f t="shared" si="939"/>
        <v>000</v>
      </c>
      <c r="L7930" s="5">
        <f t="shared" si="940"/>
        <v>8</v>
      </c>
      <c r="M7930" s="5">
        <f t="shared" si="941"/>
        <v>2013</v>
      </c>
    </row>
    <row r="7931" spans="1:13" ht="15" x14ac:dyDescent="0.25">
      <c r="A7931" s="1">
        <f>DATE(2013,8,13)</f>
        <v>41499</v>
      </c>
      <c r="B7931" t="s">
        <v>22</v>
      </c>
      <c r="C7931" t="s">
        <v>10</v>
      </c>
      <c r="D7931" s="3">
        <v>35.191500000000005</v>
      </c>
      <c r="E7931" s="3">
        <v>0</v>
      </c>
      <c r="F7931" t="s">
        <v>45</v>
      </c>
      <c r="G7931" s="3">
        <f t="shared" si="935"/>
        <v>-35.191500000000005</v>
      </c>
      <c r="H7931" s="3">
        <f t="shared" si="936"/>
        <v>35.191500000000005</v>
      </c>
      <c r="I7931" s="5" t="str">
        <f t="shared" si="937"/>
        <v>018</v>
      </c>
      <c r="J7931" s="5" t="str">
        <f t="shared" si="938"/>
        <v>2230</v>
      </c>
      <c r="K7931" s="5" t="str">
        <f t="shared" si="939"/>
        <v>000</v>
      </c>
      <c r="L7931" s="5">
        <f t="shared" si="940"/>
        <v>8</v>
      </c>
      <c r="M7931" s="5">
        <f t="shared" si="941"/>
        <v>2013</v>
      </c>
    </row>
    <row r="7932" spans="1:13" ht="15" x14ac:dyDescent="0.25">
      <c r="A7932" s="1">
        <f>DATE(2013,8,14)</f>
        <v>41500</v>
      </c>
      <c r="B7932" t="s">
        <v>19</v>
      </c>
      <c r="C7932" t="s">
        <v>6</v>
      </c>
      <c r="D7932" s="3">
        <v>4218.643</v>
      </c>
      <c r="E7932" s="3">
        <v>0</v>
      </c>
      <c r="F7932" t="s">
        <v>45</v>
      </c>
      <c r="G7932" s="3">
        <f t="shared" si="935"/>
        <v>-4218.643</v>
      </c>
      <c r="H7932" s="3">
        <f t="shared" si="936"/>
        <v>4218.643</v>
      </c>
      <c r="I7932" s="5" t="str">
        <f t="shared" si="937"/>
        <v>018</v>
      </c>
      <c r="J7932" s="5" t="str">
        <f t="shared" si="938"/>
        <v>2100</v>
      </c>
      <c r="K7932" s="5" t="str">
        <f t="shared" si="939"/>
        <v>000</v>
      </c>
      <c r="L7932" s="5">
        <f t="shared" si="940"/>
        <v>8</v>
      </c>
      <c r="M7932" s="5">
        <f t="shared" si="941"/>
        <v>2013</v>
      </c>
    </row>
    <row r="7933" spans="1:13" ht="15" x14ac:dyDescent="0.25">
      <c r="A7933" s="1">
        <f>DATE(2013,8,14)</f>
        <v>41500</v>
      </c>
      <c r="B7933" t="s">
        <v>20</v>
      </c>
      <c r="C7933" t="s">
        <v>8</v>
      </c>
      <c r="D7933" s="3">
        <v>1049.9481999999998</v>
      </c>
      <c r="E7933" s="3">
        <v>0</v>
      </c>
      <c r="F7933" t="s">
        <v>45</v>
      </c>
      <c r="G7933" s="3">
        <f t="shared" si="935"/>
        <v>-1049.9481999999998</v>
      </c>
      <c r="H7933" s="3">
        <f t="shared" si="936"/>
        <v>1049.9481999999998</v>
      </c>
      <c r="I7933" s="5" t="str">
        <f t="shared" si="937"/>
        <v>018</v>
      </c>
      <c r="J7933" s="5" t="str">
        <f t="shared" si="938"/>
        <v>2210</v>
      </c>
      <c r="K7933" s="5" t="str">
        <f t="shared" si="939"/>
        <v>000</v>
      </c>
      <c r="L7933" s="5">
        <f t="shared" si="940"/>
        <v>8</v>
      </c>
      <c r="M7933" s="5">
        <f t="shared" si="941"/>
        <v>2013</v>
      </c>
    </row>
    <row r="7934" spans="1:13" ht="15" x14ac:dyDescent="0.25">
      <c r="A7934" s="1">
        <f>DATE(2013,8,14)</f>
        <v>41500</v>
      </c>
      <c r="B7934" t="s">
        <v>21</v>
      </c>
      <c r="C7934" t="s">
        <v>9</v>
      </c>
      <c r="D7934" s="3">
        <v>220.09899999999999</v>
      </c>
      <c r="E7934" s="3">
        <v>0</v>
      </c>
      <c r="F7934" t="s">
        <v>45</v>
      </c>
      <c r="G7934" s="3">
        <f t="shared" si="935"/>
        <v>-220.09899999999999</v>
      </c>
      <c r="H7934" s="3">
        <f t="shared" si="936"/>
        <v>220.09899999999999</v>
      </c>
      <c r="I7934" s="5" t="str">
        <f t="shared" si="937"/>
        <v>018</v>
      </c>
      <c r="J7934" s="5" t="str">
        <f t="shared" si="938"/>
        <v>2220</v>
      </c>
      <c r="K7934" s="5" t="str">
        <f t="shared" si="939"/>
        <v>000</v>
      </c>
      <c r="L7934" s="5">
        <f t="shared" si="940"/>
        <v>8</v>
      </c>
      <c r="M7934" s="5">
        <f t="shared" si="941"/>
        <v>2013</v>
      </c>
    </row>
    <row r="7935" spans="1:13" ht="15" x14ac:dyDescent="0.25">
      <c r="A7935" s="1">
        <f>DATE(2013,8,14)</f>
        <v>41500</v>
      </c>
      <c r="B7935" t="s">
        <v>22</v>
      </c>
      <c r="C7935" t="s">
        <v>10</v>
      </c>
      <c r="D7935" s="3">
        <v>82.070499999999996</v>
      </c>
      <c r="E7935" s="3">
        <v>0</v>
      </c>
      <c r="F7935" t="s">
        <v>45</v>
      </c>
      <c r="G7935" s="3">
        <f t="shared" si="935"/>
        <v>-82.070499999999996</v>
      </c>
      <c r="H7935" s="3">
        <f t="shared" si="936"/>
        <v>82.070499999999996</v>
      </c>
      <c r="I7935" s="5" t="str">
        <f t="shared" si="937"/>
        <v>018</v>
      </c>
      <c r="J7935" s="5" t="str">
        <f t="shared" si="938"/>
        <v>2230</v>
      </c>
      <c r="K7935" s="5" t="str">
        <f t="shared" si="939"/>
        <v>000</v>
      </c>
      <c r="L7935" s="5">
        <f t="shared" si="940"/>
        <v>8</v>
      </c>
      <c r="M7935" s="5">
        <f t="shared" si="941"/>
        <v>2013</v>
      </c>
    </row>
    <row r="7936" spans="1:13" ht="15" x14ac:dyDescent="0.25">
      <c r="A7936" s="1">
        <f>DATE(2013,8,15)</f>
        <v>41501</v>
      </c>
      <c r="B7936" t="s">
        <v>19</v>
      </c>
      <c r="C7936" t="s">
        <v>6</v>
      </c>
      <c r="D7936" s="3">
        <v>6388.5828000000001</v>
      </c>
      <c r="E7936" s="3">
        <v>0</v>
      </c>
      <c r="F7936" t="s">
        <v>45</v>
      </c>
      <c r="G7936" s="3">
        <f t="shared" si="935"/>
        <v>-6388.5828000000001</v>
      </c>
      <c r="H7936" s="3">
        <f t="shared" si="936"/>
        <v>6388.5828000000001</v>
      </c>
      <c r="I7936" s="5" t="str">
        <f t="shared" si="937"/>
        <v>018</v>
      </c>
      <c r="J7936" s="5" t="str">
        <f t="shared" si="938"/>
        <v>2100</v>
      </c>
      <c r="K7936" s="5" t="str">
        <f t="shared" si="939"/>
        <v>000</v>
      </c>
      <c r="L7936" s="5">
        <f t="shared" si="940"/>
        <v>8</v>
      </c>
      <c r="M7936" s="5">
        <f t="shared" si="941"/>
        <v>2013</v>
      </c>
    </row>
    <row r="7937" spans="1:13" ht="15" x14ac:dyDescent="0.25">
      <c r="A7937" s="1">
        <f>DATE(2013,8,15)</f>
        <v>41501</v>
      </c>
      <c r="B7937" t="s">
        <v>20</v>
      </c>
      <c r="C7937" t="s">
        <v>8</v>
      </c>
      <c r="D7937" s="3">
        <v>1301.2169999999999</v>
      </c>
      <c r="E7937" s="3">
        <v>0</v>
      </c>
      <c r="F7937" t="s">
        <v>45</v>
      </c>
      <c r="G7937" s="3">
        <f t="shared" si="935"/>
        <v>-1301.2169999999999</v>
      </c>
      <c r="H7937" s="3">
        <f t="shared" si="936"/>
        <v>1301.2169999999999</v>
      </c>
      <c r="I7937" s="5" t="str">
        <f t="shared" si="937"/>
        <v>018</v>
      </c>
      <c r="J7937" s="5" t="str">
        <f t="shared" si="938"/>
        <v>2210</v>
      </c>
      <c r="K7937" s="5" t="str">
        <f t="shared" si="939"/>
        <v>000</v>
      </c>
      <c r="L7937" s="5">
        <f t="shared" si="940"/>
        <v>8</v>
      </c>
      <c r="M7937" s="5">
        <f t="shared" si="941"/>
        <v>2013</v>
      </c>
    </row>
    <row r="7938" spans="1:13" ht="15" x14ac:dyDescent="0.25">
      <c r="A7938" s="1">
        <f>DATE(2013,8,15)</f>
        <v>41501</v>
      </c>
      <c r="B7938" t="s">
        <v>21</v>
      </c>
      <c r="C7938" t="s">
        <v>9</v>
      </c>
      <c r="D7938" s="3">
        <v>372.80279999999999</v>
      </c>
      <c r="E7938" s="3">
        <v>0</v>
      </c>
      <c r="F7938" t="s">
        <v>45</v>
      </c>
      <c r="G7938" s="3">
        <f t="shared" ref="G7938:G8001" si="943">E7938-D7938</f>
        <v>-372.80279999999999</v>
      </c>
      <c r="H7938" s="3">
        <f t="shared" ref="H7938:H8001" si="944">ABS(G7938)</f>
        <v>372.80279999999999</v>
      </c>
      <c r="I7938" s="5" t="str">
        <f t="shared" ref="I7938:I8001" si="945">MID(B7938,1,3)</f>
        <v>018</v>
      </c>
      <c r="J7938" s="5" t="str">
        <f t="shared" ref="J7938:J8001" si="946">MID(B7938,5,4)</f>
        <v>2220</v>
      </c>
      <c r="K7938" s="5" t="str">
        <f t="shared" ref="K7938:K8001" si="947">MID(B7938,10,3)</f>
        <v>000</v>
      </c>
      <c r="L7938" s="5">
        <f t="shared" ref="L7938:L8001" si="948">MONTH(A7938)</f>
        <v>8</v>
      </c>
      <c r="M7938" s="5">
        <f t="shared" ref="M7938:M8001" si="949">YEAR(A7938)</f>
        <v>2013</v>
      </c>
    </row>
    <row r="7939" spans="1:13" ht="15" x14ac:dyDescent="0.25">
      <c r="A7939" s="1">
        <f>DATE(2013,8,15)</f>
        <v>41501</v>
      </c>
      <c r="B7939" t="s">
        <v>22</v>
      </c>
      <c r="C7939" t="s">
        <v>10</v>
      </c>
      <c r="D7939" s="3">
        <v>123.55200000000001</v>
      </c>
      <c r="E7939" s="3">
        <v>0</v>
      </c>
      <c r="F7939" t="s">
        <v>45</v>
      </c>
      <c r="G7939" s="3">
        <f t="shared" si="943"/>
        <v>-123.55200000000001</v>
      </c>
      <c r="H7939" s="3">
        <f t="shared" si="944"/>
        <v>123.55200000000001</v>
      </c>
      <c r="I7939" s="5" t="str">
        <f t="shared" si="945"/>
        <v>018</v>
      </c>
      <c r="J7939" s="5" t="str">
        <f t="shared" si="946"/>
        <v>2230</v>
      </c>
      <c r="K7939" s="5" t="str">
        <f t="shared" si="947"/>
        <v>000</v>
      </c>
      <c r="L7939" s="5">
        <f t="shared" si="948"/>
        <v>8</v>
      </c>
      <c r="M7939" s="5">
        <f t="shared" si="949"/>
        <v>2013</v>
      </c>
    </row>
    <row r="7940" spans="1:13" ht="15" x14ac:dyDescent="0.25">
      <c r="A7940" s="1">
        <f>DATE(2013,8,16)</f>
        <v>41502</v>
      </c>
      <c r="B7940" t="s">
        <v>19</v>
      </c>
      <c r="C7940" t="s">
        <v>6</v>
      </c>
      <c r="D7940" s="3">
        <v>9384.0840000000007</v>
      </c>
      <c r="E7940" s="3">
        <v>0</v>
      </c>
      <c r="F7940" t="s">
        <v>45</v>
      </c>
      <c r="G7940" s="3">
        <f t="shared" si="943"/>
        <v>-9384.0840000000007</v>
      </c>
      <c r="H7940" s="3">
        <f t="shared" si="944"/>
        <v>9384.0840000000007</v>
      </c>
      <c r="I7940" s="5" t="str">
        <f t="shared" si="945"/>
        <v>018</v>
      </c>
      <c r="J7940" s="5" t="str">
        <f t="shared" si="946"/>
        <v>2100</v>
      </c>
      <c r="K7940" s="5" t="str">
        <f t="shared" si="947"/>
        <v>000</v>
      </c>
      <c r="L7940" s="5">
        <f t="shared" si="948"/>
        <v>8</v>
      </c>
      <c r="M7940" s="5">
        <f t="shared" si="949"/>
        <v>2013</v>
      </c>
    </row>
    <row r="7941" spans="1:13" ht="15" x14ac:dyDescent="0.25">
      <c r="A7941" s="1">
        <f>DATE(2013,8,16)</f>
        <v>41502</v>
      </c>
      <c r="B7941" t="s">
        <v>20</v>
      </c>
      <c r="C7941" t="s">
        <v>8</v>
      </c>
      <c r="D7941" s="3">
        <v>2800.1790000000001</v>
      </c>
      <c r="E7941" s="3">
        <v>0</v>
      </c>
      <c r="F7941" t="s">
        <v>45</v>
      </c>
      <c r="G7941" s="3">
        <f t="shared" si="943"/>
        <v>-2800.1790000000001</v>
      </c>
      <c r="H7941" s="3">
        <f t="shared" si="944"/>
        <v>2800.1790000000001</v>
      </c>
      <c r="I7941" s="5" t="str">
        <f t="shared" si="945"/>
        <v>018</v>
      </c>
      <c r="J7941" s="5" t="str">
        <f t="shared" si="946"/>
        <v>2210</v>
      </c>
      <c r="K7941" s="5" t="str">
        <f t="shared" si="947"/>
        <v>000</v>
      </c>
      <c r="L7941" s="5">
        <f t="shared" si="948"/>
        <v>8</v>
      </c>
      <c r="M7941" s="5">
        <f t="shared" si="949"/>
        <v>2013</v>
      </c>
    </row>
    <row r="7942" spans="1:13" ht="15" x14ac:dyDescent="0.25">
      <c r="A7942" s="1">
        <f>DATE(2013,8,16)</f>
        <v>41502</v>
      </c>
      <c r="B7942" t="s">
        <v>21</v>
      </c>
      <c r="C7942" t="s">
        <v>9</v>
      </c>
      <c r="D7942" s="3">
        <v>540.78499999999997</v>
      </c>
      <c r="E7942" s="3">
        <v>0</v>
      </c>
      <c r="F7942" t="s">
        <v>45</v>
      </c>
      <c r="G7942" s="3">
        <f t="shared" si="943"/>
        <v>-540.78499999999997</v>
      </c>
      <c r="H7942" s="3">
        <f t="shared" si="944"/>
        <v>540.78499999999997</v>
      </c>
      <c r="I7942" s="5" t="str">
        <f t="shared" si="945"/>
        <v>018</v>
      </c>
      <c r="J7942" s="5" t="str">
        <f t="shared" si="946"/>
        <v>2220</v>
      </c>
      <c r="K7942" s="5" t="str">
        <f t="shared" si="947"/>
        <v>000</v>
      </c>
      <c r="L7942" s="5">
        <f t="shared" si="948"/>
        <v>8</v>
      </c>
      <c r="M7942" s="5">
        <f t="shared" si="949"/>
        <v>2013</v>
      </c>
    </row>
    <row r="7943" spans="1:13" ht="15" x14ac:dyDescent="0.25">
      <c r="A7943" s="1">
        <f>DATE(2013,8,16)</f>
        <v>41502</v>
      </c>
      <c r="B7943" t="s">
        <v>22</v>
      </c>
      <c r="C7943" t="s">
        <v>10</v>
      </c>
      <c r="D7943" s="3">
        <v>153.74089999999998</v>
      </c>
      <c r="E7943" s="3">
        <v>0</v>
      </c>
      <c r="F7943" t="s">
        <v>45</v>
      </c>
      <c r="G7943" s="3">
        <f t="shared" si="943"/>
        <v>-153.74089999999998</v>
      </c>
      <c r="H7943" s="3">
        <f t="shared" si="944"/>
        <v>153.74089999999998</v>
      </c>
      <c r="I7943" s="5" t="str">
        <f t="shared" si="945"/>
        <v>018</v>
      </c>
      <c r="J7943" s="5" t="str">
        <f t="shared" si="946"/>
        <v>2230</v>
      </c>
      <c r="K7943" s="5" t="str">
        <f t="shared" si="947"/>
        <v>000</v>
      </c>
      <c r="L7943" s="5">
        <f t="shared" si="948"/>
        <v>8</v>
      </c>
      <c r="M7943" s="5">
        <f t="shared" si="949"/>
        <v>2013</v>
      </c>
    </row>
    <row r="7944" spans="1:13" ht="15" x14ac:dyDescent="0.25">
      <c r="A7944" s="1">
        <f>DATE(2013,8,17)</f>
        <v>41503</v>
      </c>
      <c r="B7944" t="s">
        <v>19</v>
      </c>
      <c r="C7944" t="s">
        <v>6</v>
      </c>
      <c r="D7944" s="3">
        <v>11742.8588</v>
      </c>
      <c r="E7944" s="3">
        <v>0</v>
      </c>
      <c r="F7944" t="s">
        <v>45</v>
      </c>
      <c r="G7944" s="3">
        <f t="shared" si="943"/>
        <v>-11742.8588</v>
      </c>
      <c r="H7944" s="3">
        <f t="shared" si="944"/>
        <v>11742.8588</v>
      </c>
      <c r="I7944" s="5" t="str">
        <f t="shared" si="945"/>
        <v>018</v>
      </c>
      <c r="J7944" s="5" t="str">
        <f t="shared" si="946"/>
        <v>2100</v>
      </c>
      <c r="K7944" s="5" t="str">
        <f t="shared" si="947"/>
        <v>000</v>
      </c>
      <c r="L7944" s="5">
        <f t="shared" si="948"/>
        <v>8</v>
      </c>
      <c r="M7944" s="5">
        <f t="shared" si="949"/>
        <v>2013</v>
      </c>
    </row>
    <row r="7945" spans="1:13" ht="15" x14ac:dyDescent="0.25">
      <c r="A7945" s="1">
        <f>DATE(2013,8,17)</f>
        <v>41503</v>
      </c>
      <c r="B7945" t="s">
        <v>20</v>
      </c>
      <c r="C7945" t="s">
        <v>8</v>
      </c>
      <c r="D7945" s="3">
        <v>2183.6230999999998</v>
      </c>
      <c r="E7945" s="3">
        <v>0</v>
      </c>
      <c r="F7945" t="s">
        <v>45</v>
      </c>
      <c r="G7945" s="3">
        <f t="shared" si="943"/>
        <v>-2183.6230999999998</v>
      </c>
      <c r="H7945" s="3">
        <f t="shared" si="944"/>
        <v>2183.6230999999998</v>
      </c>
      <c r="I7945" s="5" t="str">
        <f t="shared" si="945"/>
        <v>018</v>
      </c>
      <c r="J7945" s="5" t="str">
        <f t="shared" si="946"/>
        <v>2210</v>
      </c>
      <c r="K7945" s="5" t="str">
        <f t="shared" si="947"/>
        <v>000</v>
      </c>
      <c r="L7945" s="5">
        <f t="shared" si="948"/>
        <v>8</v>
      </c>
      <c r="M7945" s="5">
        <f t="shared" si="949"/>
        <v>2013</v>
      </c>
    </row>
    <row r="7946" spans="1:13" ht="15" x14ac:dyDescent="0.25">
      <c r="A7946" s="1">
        <f>DATE(2013,8,17)</f>
        <v>41503</v>
      </c>
      <c r="B7946" t="s">
        <v>21</v>
      </c>
      <c r="C7946" t="s">
        <v>9</v>
      </c>
      <c r="D7946" s="3">
        <v>676.27699999999993</v>
      </c>
      <c r="E7946" s="3">
        <v>0</v>
      </c>
      <c r="F7946" t="s">
        <v>45</v>
      </c>
      <c r="G7946" s="3">
        <f t="shared" si="943"/>
        <v>-676.27699999999993</v>
      </c>
      <c r="H7946" s="3">
        <f t="shared" si="944"/>
        <v>676.27699999999993</v>
      </c>
      <c r="I7946" s="5" t="str">
        <f t="shared" si="945"/>
        <v>018</v>
      </c>
      <c r="J7946" s="5" t="str">
        <f t="shared" si="946"/>
        <v>2220</v>
      </c>
      <c r="K7946" s="5" t="str">
        <f t="shared" si="947"/>
        <v>000</v>
      </c>
      <c r="L7946" s="5">
        <f t="shared" si="948"/>
        <v>8</v>
      </c>
      <c r="M7946" s="5">
        <f t="shared" si="949"/>
        <v>2013</v>
      </c>
    </row>
    <row r="7947" spans="1:13" ht="15" x14ac:dyDescent="0.25">
      <c r="A7947" s="1">
        <f>DATE(2013,8,17)</f>
        <v>41503</v>
      </c>
      <c r="B7947" t="s">
        <v>22</v>
      </c>
      <c r="C7947" t="s">
        <v>10</v>
      </c>
      <c r="D7947" s="3">
        <v>148.16800000000001</v>
      </c>
      <c r="E7947" s="3">
        <v>0</v>
      </c>
      <c r="F7947" t="s">
        <v>45</v>
      </c>
      <c r="G7947" s="3">
        <f t="shared" si="943"/>
        <v>-148.16800000000001</v>
      </c>
      <c r="H7947" s="3">
        <f t="shared" si="944"/>
        <v>148.16800000000001</v>
      </c>
      <c r="I7947" s="5" t="str">
        <f t="shared" si="945"/>
        <v>018</v>
      </c>
      <c r="J7947" s="5" t="str">
        <f t="shared" si="946"/>
        <v>2230</v>
      </c>
      <c r="K7947" s="5" t="str">
        <f t="shared" si="947"/>
        <v>000</v>
      </c>
      <c r="L7947" s="5">
        <f t="shared" si="948"/>
        <v>8</v>
      </c>
      <c r="M7947" s="5">
        <f t="shared" si="949"/>
        <v>2013</v>
      </c>
    </row>
    <row r="7948" spans="1:13" ht="15" x14ac:dyDescent="0.25">
      <c r="A7948" s="1">
        <f>DATE(2013,8,18)</f>
        <v>41504</v>
      </c>
      <c r="B7948" t="s">
        <v>19</v>
      </c>
      <c r="C7948" t="s">
        <v>6</v>
      </c>
      <c r="D7948" s="3">
        <v>7957.0839999999998</v>
      </c>
      <c r="E7948" s="3">
        <v>0</v>
      </c>
      <c r="F7948" t="s">
        <v>45</v>
      </c>
      <c r="G7948" s="3">
        <f t="shared" si="943"/>
        <v>-7957.0839999999998</v>
      </c>
      <c r="H7948" s="3">
        <f t="shared" si="944"/>
        <v>7957.0839999999998</v>
      </c>
      <c r="I7948" s="5" t="str">
        <f t="shared" si="945"/>
        <v>018</v>
      </c>
      <c r="J7948" s="5" t="str">
        <f t="shared" si="946"/>
        <v>2100</v>
      </c>
      <c r="K7948" s="5" t="str">
        <f t="shared" si="947"/>
        <v>000</v>
      </c>
      <c r="L7948" s="5">
        <f t="shared" si="948"/>
        <v>8</v>
      </c>
      <c r="M7948" s="5">
        <f t="shared" si="949"/>
        <v>2013</v>
      </c>
    </row>
    <row r="7949" spans="1:13" ht="15" x14ac:dyDescent="0.25">
      <c r="A7949" s="1">
        <f>DATE(2013,8,18)</f>
        <v>41504</v>
      </c>
      <c r="B7949" t="s">
        <v>20</v>
      </c>
      <c r="C7949" t="s">
        <v>8</v>
      </c>
      <c r="D7949" s="3">
        <v>1288.4255999999998</v>
      </c>
      <c r="E7949" s="3">
        <v>0</v>
      </c>
      <c r="F7949" t="s">
        <v>45</v>
      </c>
      <c r="G7949" s="3">
        <f t="shared" si="943"/>
        <v>-1288.4255999999998</v>
      </c>
      <c r="H7949" s="3">
        <f t="shared" si="944"/>
        <v>1288.4255999999998</v>
      </c>
      <c r="I7949" s="5" t="str">
        <f t="shared" si="945"/>
        <v>018</v>
      </c>
      <c r="J7949" s="5" t="str">
        <f t="shared" si="946"/>
        <v>2210</v>
      </c>
      <c r="K7949" s="5" t="str">
        <f t="shared" si="947"/>
        <v>000</v>
      </c>
      <c r="L7949" s="5">
        <f t="shared" si="948"/>
        <v>8</v>
      </c>
      <c r="M7949" s="5">
        <f t="shared" si="949"/>
        <v>2013</v>
      </c>
    </row>
    <row r="7950" spans="1:13" ht="15" x14ac:dyDescent="0.25">
      <c r="A7950" s="1">
        <f>DATE(2013,8,18)</f>
        <v>41504</v>
      </c>
      <c r="B7950" t="s">
        <v>21</v>
      </c>
      <c r="C7950" t="s">
        <v>9</v>
      </c>
      <c r="D7950" s="3">
        <v>249.54999999999998</v>
      </c>
      <c r="E7950" s="3">
        <v>0</v>
      </c>
      <c r="F7950" t="s">
        <v>45</v>
      </c>
      <c r="G7950" s="3">
        <f t="shared" si="943"/>
        <v>-249.54999999999998</v>
      </c>
      <c r="H7950" s="3">
        <f t="shared" si="944"/>
        <v>249.54999999999998</v>
      </c>
      <c r="I7950" s="5" t="str">
        <f t="shared" si="945"/>
        <v>018</v>
      </c>
      <c r="J7950" s="5" t="str">
        <f t="shared" si="946"/>
        <v>2220</v>
      </c>
      <c r="K7950" s="5" t="str">
        <f t="shared" si="947"/>
        <v>000</v>
      </c>
      <c r="L7950" s="5">
        <f t="shared" si="948"/>
        <v>8</v>
      </c>
      <c r="M7950" s="5">
        <f t="shared" si="949"/>
        <v>2013</v>
      </c>
    </row>
    <row r="7951" spans="1:13" ht="15" x14ac:dyDescent="0.25">
      <c r="A7951" s="1">
        <f>DATE(2013,8,18)</f>
        <v>41504</v>
      </c>
      <c r="B7951" t="s">
        <v>22</v>
      </c>
      <c r="C7951" t="s">
        <v>10</v>
      </c>
      <c r="D7951" s="3">
        <v>56.312199999999997</v>
      </c>
      <c r="E7951" s="3">
        <v>0</v>
      </c>
      <c r="F7951" t="s">
        <v>45</v>
      </c>
      <c r="G7951" s="3">
        <f t="shared" si="943"/>
        <v>-56.312199999999997</v>
      </c>
      <c r="H7951" s="3">
        <f t="shared" si="944"/>
        <v>56.312199999999997</v>
      </c>
      <c r="I7951" s="5" t="str">
        <f t="shared" si="945"/>
        <v>018</v>
      </c>
      <c r="J7951" s="5" t="str">
        <f t="shared" si="946"/>
        <v>2230</v>
      </c>
      <c r="K7951" s="5" t="str">
        <f t="shared" si="947"/>
        <v>000</v>
      </c>
      <c r="L7951" s="5">
        <f t="shared" si="948"/>
        <v>8</v>
      </c>
      <c r="M7951" s="5">
        <f t="shared" si="949"/>
        <v>2013</v>
      </c>
    </row>
    <row r="7952" spans="1:13" ht="15" x14ac:dyDescent="0.25">
      <c r="A7952" s="1">
        <f>DATE(2013,8,12)</f>
        <v>41498</v>
      </c>
      <c r="B7952" t="s">
        <v>23</v>
      </c>
      <c r="C7952" t="s">
        <v>6</v>
      </c>
      <c r="D7952" s="3">
        <v>2443.6496000000002</v>
      </c>
      <c r="E7952" s="3">
        <v>0</v>
      </c>
      <c r="F7952" t="s">
        <v>45</v>
      </c>
      <c r="G7952" s="3">
        <f t="shared" si="943"/>
        <v>-2443.6496000000002</v>
      </c>
      <c r="H7952" s="3">
        <f t="shared" si="944"/>
        <v>2443.6496000000002</v>
      </c>
      <c r="I7952" s="5" t="str">
        <f t="shared" si="945"/>
        <v>019</v>
      </c>
      <c r="J7952" s="5" t="str">
        <f t="shared" si="946"/>
        <v>2100</v>
      </c>
      <c r="K7952" s="5" t="str">
        <f t="shared" si="947"/>
        <v>000</v>
      </c>
      <c r="L7952" s="5">
        <f t="shared" si="948"/>
        <v>8</v>
      </c>
      <c r="M7952" s="5">
        <f t="shared" si="949"/>
        <v>2013</v>
      </c>
    </row>
    <row r="7953" spans="1:13" ht="15" x14ac:dyDescent="0.25">
      <c r="A7953" s="1">
        <f>DATE(2013,8,12)</f>
        <v>41498</v>
      </c>
      <c r="B7953" t="s">
        <v>24</v>
      </c>
      <c r="C7953" t="s">
        <v>8</v>
      </c>
      <c r="D7953" s="3">
        <v>613.98960000000011</v>
      </c>
      <c r="E7953" s="3">
        <v>0</v>
      </c>
      <c r="F7953" t="s">
        <v>45</v>
      </c>
      <c r="G7953" s="3">
        <f t="shared" si="943"/>
        <v>-613.98960000000011</v>
      </c>
      <c r="H7953" s="3">
        <f t="shared" si="944"/>
        <v>613.98960000000011</v>
      </c>
      <c r="I7953" s="5" t="str">
        <f t="shared" si="945"/>
        <v>019</v>
      </c>
      <c r="J7953" s="5" t="str">
        <f t="shared" si="946"/>
        <v>2210</v>
      </c>
      <c r="K7953" s="5" t="str">
        <f t="shared" si="947"/>
        <v>000</v>
      </c>
      <c r="L7953" s="5">
        <f t="shared" si="948"/>
        <v>8</v>
      </c>
      <c r="M7953" s="5">
        <f t="shared" si="949"/>
        <v>2013</v>
      </c>
    </row>
    <row r="7954" spans="1:13" ht="15" x14ac:dyDescent="0.25">
      <c r="A7954" s="1">
        <f>DATE(2013,8,12)</f>
        <v>41498</v>
      </c>
      <c r="B7954" t="s">
        <v>25</v>
      </c>
      <c r="C7954" t="s">
        <v>9</v>
      </c>
      <c r="D7954" s="3">
        <v>161.76</v>
      </c>
      <c r="E7954" s="3">
        <v>0</v>
      </c>
      <c r="F7954" t="s">
        <v>45</v>
      </c>
      <c r="G7954" s="3">
        <f t="shared" si="943"/>
        <v>-161.76</v>
      </c>
      <c r="H7954" s="3">
        <f t="shared" si="944"/>
        <v>161.76</v>
      </c>
      <c r="I7954" s="5" t="str">
        <f t="shared" si="945"/>
        <v>019</v>
      </c>
      <c r="J7954" s="5" t="str">
        <f t="shared" si="946"/>
        <v>2220</v>
      </c>
      <c r="K7954" s="5" t="str">
        <f t="shared" si="947"/>
        <v>000</v>
      </c>
      <c r="L7954" s="5">
        <f t="shared" si="948"/>
        <v>8</v>
      </c>
      <c r="M7954" s="5">
        <f t="shared" si="949"/>
        <v>2013</v>
      </c>
    </row>
    <row r="7955" spans="1:13" ht="15" x14ac:dyDescent="0.25">
      <c r="A7955" s="1">
        <f>DATE(2013,8,12)</f>
        <v>41498</v>
      </c>
      <c r="B7955" t="s">
        <v>26</v>
      </c>
      <c r="C7955" t="s">
        <v>10</v>
      </c>
      <c r="D7955" s="3">
        <v>11.9422</v>
      </c>
      <c r="E7955" s="3">
        <v>0</v>
      </c>
      <c r="F7955" t="s">
        <v>45</v>
      </c>
      <c r="G7955" s="3">
        <f t="shared" si="943"/>
        <v>-11.9422</v>
      </c>
      <c r="H7955" s="3">
        <f t="shared" si="944"/>
        <v>11.9422</v>
      </c>
      <c r="I7955" s="5" t="str">
        <f t="shared" si="945"/>
        <v>019</v>
      </c>
      <c r="J7955" s="5" t="str">
        <f t="shared" si="946"/>
        <v>2230</v>
      </c>
      <c r="K7955" s="5" t="str">
        <f t="shared" si="947"/>
        <v>000</v>
      </c>
      <c r="L7955" s="5">
        <f t="shared" si="948"/>
        <v>8</v>
      </c>
      <c r="M7955" s="5">
        <f t="shared" si="949"/>
        <v>2013</v>
      </c>
    </row>
    <row r="7956" spans="1:13" ht="15" x14ac:dyDescent="0.25">
      <c r="A7956" s="1">
        <f>DATE(2013,8,13)</f>
        <v>41499</v>
      </c>
      <c r="B7956" t="s">
        <v>23</v>
      </c>
      <c r="C7956" t="s">
        <v>6</v>
      </c>
      <c r="D7956" s="3">
        <v>3352.0803999999998</v>
      </c>
      <c r="E7956" s="3">
        <v>0</v>
      </c>
      <c r="F7956" t="s">
        <v>45</v>
      </c>
      <c r="G7956" s="3">
        <f t="shared" si="943"/>
        <v>-3352.0803999999998</v>
      </c>
      <c r="H7956" s="3">
        <f t="shared" si="944"/>
        <v>3352.0803999999998</v>
      </c>
      <c r="I7956" s="5" t="str">
        <f t="shared" si="945"/>
        <v>019</v>
      </c>
      <c r="J7956" s="5" t="str">
        <f t="shared" si="946"/>
        <v>2100</v>
      </c>
      <c r="K7956" s="5" t="str">
        <f t="shared" si="947"/>
        <v>000</v>
      </c>
      <c r="L7956" s="5">
        <f t="shared" si="948"/>
        <v>8</v>
      </c>
      <c r="M7956" s="5">
        <f t="shared" si="949"/>
        <v>2013</v>
      </c>
    </row>
    <row r="7957" spans="1:13" ht="15" x14ac:dyDescent="0.25">
      <c r="A7957" s="1">
        <f>DATE(2013,8,13)</f>
        <v>41499</v>
      </c>
      <c r="B7957" t="s">
        <v>24</v>
      </c>
      <c r="C7957" t="s">
        <v>8</v>
      </c>
      <c r="D7957" s="3">
        <v>925.76700000000017</v>
      </c>
      <c r="E7957" s="3">
        <v>0</v>
      </c>
      <c r="F7957" t="s">
        <v>45</v>
      </c>
      <c r="G7957" s="3">
        <f t="shared" si="943"/>
        <v>-925.76700000000017</v>
      </c>
      <c r="H7957" s="3">
        <f t="shared" si="944"/>
        <v>925.76700000000017</v>
      </c>
      <c r="I7957" s="5" t="str">
        <f t="shared" si="945"/>
        <v>019</v>
      </c>
      <c r="J7957" s="5" t="str">
        <f t="shared" si="946"/>
        <v>2210</v>
      </c>
      <c r="K7957" s="5" t="str">
        <f t="shared" si="947"/>
        <v>000</v>
      </c>
      <c r="L7957" s="5">
        <f t="shared" si="948"/>
        <v>8</v>
      </c>
      <c r="M7957" s="5">
        <f t="shared" si="949"/>
        <v>2013</v>
      </c>
    </row>
    <row r="7958" spans="1:13" ht="15" x14ac:dyDescent="0.25">
      <c r="A7958" s="1">
        <f>DATE(2013,8,13)</f>
        <v>41499</v>
      </c>
      <c r="B7958" t="s">
        <v>25</v>
      </c>
      <c r="C7958" t="s">
        <v>9</v>
      </c>
      <c r="D7958" s="3">
        <v>241.21800000000002</v>
      </c>
      <c r="E7958" s="3">
        <v>0</v>
      </c>
      <c r="F7958" t="s">
        <v>45</v>
      </c>
      <c r="G7958" s="3">
        <f t="shared" si="943"/>
        <v>-241.21800000000002</v>
      </c>
      <c r="H7958" s="3">
        <f t="shared" si="944"/>
        <v>241.21800000000002</v>
      </c>
      <c r="I7958" s="5" t="str">
        <f t="shared" si="945"/>
        <v>019</v>
      </c>
      <c r="J7958" s="5" t="str">
        <f t="shared" si="946"/>
        <v>2220</v>
      </c>
      <c r="K7958" s="5" t="str">
        <f t="shared" si="947"/>
        <v>000</v>
      </c>
      <c r="L7958" s="5">
        <f t="shared" si="948"/>
        <v>8</v>
      </c>
      <c r="M7958" s="5">
        <f t="shared" si="949"/>
        <v>2013</v>
      </c>
    </row>
    <row r="7959" spans="1:13" ht="15" x14ac:dyDescent="0.25">
      <c r="A7959" s="1">
        <f>DATE(2013,8,13)</f>
        <v>41499</v>
      </c>
      <c r="B7959" t="s">
        <v>26</v>
      </c>
      <c r="C7959" t="s">
        <v>10</v>
      </c>
      <c r="D7959" s="3">
        <v>71.999200000000002</v>
      </c>
      <c r="E7959" s="3">
        <v>0</v>
      </c>
      <c r="F7959" t="s">
        <v>45</v>
      </c>
      <c r="G7959" s="3">
        <f t="shared" si="943"/>
        <v>-71.999200000000002</v>
      </c>
      <c r="H7959" s="3">
        <f t="shared" si="944"/>
        <v>71.999200000000002</v>
      </c>
      <c r="I7959" s="5" t="str">
        <f t="shared" si="945"/>
        <v>019</v>
      </c>
      <c r="J7959" s="5" t="str">
        <f t="shared" si="946"/>
        <v>2230</v>
      </c>
      <c r="K7959" s="5" t="str">
        <f t="shared" si="947"/>
        <v>000</v>
      </c>
      <c r="L7959" s="5">
        <f t="shared" si="948"/>
        <v>8</v>
      </c>
      <c r="M7959" s="5">
        <f t="shared" si="949"/>
        <v>2013</v>
      </c>
    </row>
    <row r="7960" spans="1:13" ht="15" x14ac:dyDescent="0.25">
      <c r="A7960" s="1">
        <f>DATE(2013,8,14)</f>
        <v>41500</v>
      </c>
      <c r="B7960" t="s">
        <v>23</v>
      </c>
      <c r="C7960" t="s">
        <v>6</v>
      </c>
      <c r="D7960" s="3">
        <v>4200.7047000000002</v>
      </c>
      <c r="E7960" s="3">
        <v>0</v>
      </c>
      <c r="F7960" t="s">
        <v>45</v>
      </c>
      <c r="G7960" s="3">
        <f t="shared" si="943"/>
        <v>-4200.7047000000002</v>
      </c>
      <c r="H7960" s="3">
        <f t="shared" si="944"/>
        <v>4200.7047000000002</v>
      </c>
      <c r="I7960" s="5" t="str">
        <f t="shared" si="945"/>
        <v>019</v>
      </c>
      <c r="J7960" s="5" t="str">
        <f t="shared" si="946"/>
        <v>2100</v>
      </c>
      <c r="K7960" s="5" t="str">
        <f t="shared" si="947"/>
        <v>000</v>
      </c>
      <c r="L7960" s="5">
        <f t="shared" si="948"/>
        <v>8</v>
      </c>
      <c r="M7960" s="5">
        <f t="shared" si="949"/>
        <v>2013</v>
      </c>
    </row>
    <row r="7961" spans="1:13" ht="15" x14ac:dyDescent="0.25">
      <c r="A7961" s="1">
        <f>DATE(2013,8,14)</f>
        <v>41500</v>
      </c>
      <c r="B7961" t="s">
        <v>24</v>
      </c>
      <c r="C7961" t="s">
        <v>8</v>
      </c>
      <c r="D7961" s="3">
        <v>1065.6504</v>
      </c>
      <c r="E7961" s="3">
        <v>0</v>
      </c>
      <c r="F7961" t="s">
        <v>45</v>
      </c>
      <c r="G7961" s="3">
        <f t="shared" si="943"/>
        <v>-1065.6504</v>
      </c>
      <c r="H7961" s="3">
        <f t="shared" si="944"/>
        <v>1065.6504</v>
      </c>
      <c r="I7961" s="5" t="str">
        <f t="shared" si="945"/>
        <v>019</v>
      </c>
      <c r="J7961" s="5" t="str">
        <f t="shared" si="946"/>
        <v>2210</v>
      </c>
      <c r="K7961" s="5" t="str">
        <f t="shared" si="947"/>
        <v>000</v>
      </c>
      <c r="L7961" s="5">
        <f t="shared" si="948"/>
        <v>8</v>
      </c>
      <c r="M7961" s="5">
        <f t="shared" si="949"/>
        <v>2013</v>
      </c>
    </row>
    <row r="7962" spans="1:13" ht="15" x14ac:dyDescent="0.25">
      <c r="A7962" s="1">
        <f>DATE(2013,8,14)</f>
        <v>41500</v>
      </c>
      <c r="B7962" t="s">
        <v>25</v>
      </c>
      <c r="C7962" t="s">
        <v>9</v>
      </c>
      <c r="D7962" s="3">
        <v>172.07680000000002</v>
      </c>
      <c r="E7962" s="3">
        <v>0</v>
      </c>
      <c r="F7962" t="s">
        <v>45</v>
      </c>
      <c r="G7962" s="3">
        <f t="shared" si="943"/>
        <v>-172.07680000000002</v>
      </c>
      <c r="H7962" s="3">
        <f t="shared" si="944"/>
        <v>172.07680000000002</v>
      </c>
      <c r="I7962" s="5" t="str">
        <f t="shared" si="945"/>
        <v>019</v>
      </c>
      <c r="J7962" s="5" t="str">
        <f t="shared" si="946"/>
        <v>2220</v>
      </c>
      <c r="K7962" s="5" t="str">
        <f t="shared" si="947"/>
        <v>000</v>
      </c>
      <c r="L7962" s="5">
        <f t="shared" si="948"/>
        <v>8</v>
      </c>
      <c r="M7962" s="5">
        <f t="shared" si="949"/>
        <v>2013</v>
      </c>
    </row>
    <row r="7963" spans="1:13" ht="15" x14ac:dyDescent="0.25">
      <c r="A7963" s="1">
        <f>DATE(2013,8,14)</f>
        <v>41500</v>
      </c>
      <c r="B7963" t="s">
        <v>26</v>
      </c>
      <c r="C7963" t="s">
        <v>10</v>
      </c>
      <c r="D7963" s="3">
        <v>29.2744</v>
      </c>
      <c r="E7963" s="3">
        <v>0</v>
      </c>
      <c r="F7963" t="s">
        <v>45</v>
      </c>
      <c r="G7963" s="3">
        <f t="shared" si="943"/>
        <v>-29.2744</v>
      </c>
      <c r="H7963" s="3">
        <f t="shared" si="944"/>
        <v>29.2744</v>
      </c>
      <c r="I7963" s="5" t="str">
        <f t="shared" si="945"/>
        <v>019</v>
      </c>
      <c r="J7963" s="5" t="str">
        <f t="shared" si="946"/>
        <v>2230</v>
      </c>
      <c r="K7963" s="5" t="str">
        <f t="shared" si="947"/>
        <v>000</v>
      </c>
      <c r="L7963" s="5">
        <f t="shared" si="948"/>
        <v>8</v>
      </c>
      <c r="M7963" s="5">
        <f t="shared" si="949"/>
        <v>2013</v>
      </c>
    </row>
    <row r="7964" spans="1:13" ht="15" x14ac:dyDescent="0.25">
      <c r="A7964" s="1">
        <f>DATE(2013,8,15)</f>
        <v>41501</v>
      </c>
      <c r="B7964" t="s">
        <v>23</v>
      </c>
      <c r="C7964" t="s">
        <v>6</v>
      </c>
      <c r="D7964" s="3">
        <v>3859.9659000000006</v>
      </c>
      <c r="E7964" s="3">
        <v>0</v>
      </c>
      <c r="F7964" t="s">
        <v>45</v>
      </c>
      <c r="G7964" s="3">
        <f t="shared" si="943"/>
        <v>-3859.9659000000006</v>
      </c>
      <c r="H7964" s="3">
        <f t="shared" si="944"/>
        <v>3859.9659000000006</v>
      </c>
      <c r="I7964" s="5" t="str">
        <f t="shared" si="945"/>
        <v>019</v>
      </c>
      <c r="J7964" s="5" t="str">
        <f t="shared" si="946"/>
        <v>2100</v>
      </c>
      <c r="K7964" s="5" t="str">
        <f t="shared" si="947"/>
        <v>000</v>
      </c>
      <c r="L7964" s="5">
        <f t="shared" si="948"/>
        <v>8</v>
      </c>
      <c r="M7964" s="5">
        <f t="shared" si="949"/>
        <v>2013</v>
      </c>
    </row>
    <row r="7965" spans="1:13" ht="15" x14ac:dyDescent="0.25">
      <c r="A7965" s="1">
        <f>DATE(2013,8,15)</f>
        <v>41501</v>
      </c>
      <c r="B7965" t="s">
        <v>24</v>
      </c>
      <c r="C7965" t="s">
        <v>8</v>
      </c>
      <c r="D7965" s="3">
        <v>1159.876</v>
      </c>
      <c r="E7965" s="3">
        <v>0</v>
      </c>
      <c r="F7965" t="s">
        <v>45</v>
      </c>
      <c r="G7965" s="3">
        <f t="shared" si="943"/>
        <v>-1159.876</v>
      </c>
      <c r="H7965" s="3">
        <f t="shared" si="944"/>
        <v>1159.876</v>
      </c>
      <c r="I7965" s="5" t="str">
        <f t="shared" si="945"/>
        <v>019</v>
      </c>
      <c r="J7965" s="5" t="str">
        <f t="shared" si="946"/>
        <v>2210</v>
      </c>
      <c r="K7965" s="5" t="str">
        <f t="shared" si="947"/>
        <v>000</v>
      </c>
      <c r="L7965" s="5">
        <f t="shared" si="948"/>
        <v>8</v>
      </c>
      <c r="M7965" s="5">
        <f t="shared" si="949"/>
        <v>2013</v>
      </c>
    </row>
    <row r="7966" spans="1:13" ht="15" x14ac:dyDescent="0.25">
      <c r="A7966" s="1">
        <f>DATE(2013,8,15)</f>
        <v>41501</v>
      </c>
      <c r="B7966" t="s">
        <v>25</v>
      </c>
      <c r="C7966" t="s">
        <v>9</v>
      </c>
      <c r="D7966" s="3">
        <v>244.45499999999998</v>
      </c>
      <c r="E7966" s="3">
        <v>0</v>
      </c>
      <c r="F7966" t="s">
        <v>45</v>
      </c>
      <c r="G7966" s="3">
        <f t="shared" si="943"/>
        <v>-244.45499999999998</v>
      </c>
      <c r="H7966" s="3">
        <f t="shared" si="944"/>
        <v>244.45499999999998</v>
      </c>
      <c r="I7966" s="5" t="str">
        <f t="shared" si="945"/>
        <v>019</v>
      </c>
      <c r="J7966" s="5" t="str">
        <f t="shared" si="946"/>
        <v>2220</v>
      </c>
      <c r="K7966" s="5" t="str">
        <f t="shared" si="947"/>
        <v>000</v>
      </c>
      <c r="L7966" s="5">
        <f t="shared" si="948"/>
        <v>8</v>
      </c>
      <c r="M7966" s="5">
        <f t="shared" si="949"/>
        <v>2013</v>
      </c>
    </row>
    <row r="7967" spans="1:13" ht="15" x14ac:dyDescent="0.25">
      <c r="A7967" s="1">
        <f>DATE(2013,8,15)</f>
        <v>41501</v>
      </c>
      <c r="B7967" t="s">
        <v>26</v>
      </c>
      <c r="C7967" t="s">
        <v>10</v>
      </c>
      <c r="D7967" s="3">
        <v>51.348199999999999</v>
      </c>
      <c r="E7967" s="3">
        <v>0</v>
      </c>
      <c r="F7967" t="s">
        <v>45</v>
      </c>
      <c r="G7967" s="3">
        <f t="shared" si="943"/>
        <v>-51.348199999999999</v>
      </c>
      <c r="H7967" s="3">
        <f t="shared" si="944"/>
        <v>51.348199999999999</v>
      </c>
      <c r="I7967" s="5" t="str">
        <f t="shared" si="945"/>
        <v>019</v>
      </c>
      <c r="J7967" s="5" t="str">
        <f t="shared" si="946"/>
        <v>2230</v>
      </c>
      <c r="K7967" s="5" t="str">
        <f t="shared" si="947"/>
        <v>000</v>
      </c>
      <c r="L7967" s="5">
        <f t="shared" si="948"/>
        <v>8</v>
      </c>
      <c r="M7967" s="5">
        <f t="shared" si="949"/>
        <v>2013</v>
      </c>
    </row>
    <row r="7968" spans="1:13" ht="15" x14ac:dyDescent="0.25">
      <c r="A7968" s="1">
        <f>DATE(2013,8,16)</f>
        <v>41502</v>
      </c>
      <c r="B7968" t="s">
        <v>23</v>
      </c>
      <c r="C7968" t="s">
        <v>6</v>
      </c>
      <c r="D7968" s="3">
        <v>5930.2650000000003</v>
      </c>
      <c r="E7968" s="3">
        <v>0</v>
      </c>
      <c r="F7968" t="s">
        <v>45</v>
      </c>
      <c r="G7968" s="3">
        <f t="shared" si="943"/>
        <v>-5930.2650000000003</v>
      </c>
      <c r="H7968" s="3">
        <f t="shared" si="944"/>
        <v>5930.2650000000003</v>
      </c>
      <c r="I7968" s="5" t="str">
        <f t="shared" si="945"/>
        <v>019</v>
      </c>
      <c r="J7968" s="5" t="str">
        <f t="shared" si="946"/>
        <v>2100</v>
      </c>
      <c r="K7968" s="5" t="str">
        <f t="shared" si="947"/>
        <v>000</v>
      </c>
      <c r="L7968" s="5">
        <f t="shared" si="948"/>
        <v>8</v>
      </c>
      <c r="M7968" s="5">
        <f t="shared" si="949"/>
        <v>2013</v>
      </c>
    </row>
    <row r="7969" spans="1:13" ht="15" x14ac:dyDescent="0.25">
      <c r="A7969" s="1">
        <f>DATE(2013,8,16)</f>
        <v>41502</v>
      </c>
      <c r="B7969" t="s">
        <v>24</v>
      </c>
      <c r="C7969" t="s">
        <v>8</v>
      </c>
      <c r="D7969" s="3">
        <v>3104.3007000000002</v>
      </c>
      <c r="E7969" s="3">
        <v>0</v>
      </c>
      <c r="F7969" t="s">
        <v>45</v>
      </c>
      <c r="G7969" s="3">
        <f t="shared" si="943"/>
        <v>-3104.3007000000002</v>
      </c>
      <c r="H7969" s="3">
        <f t="shared" si="944"/>
        <v>3104.3007000000002</v>
      </c>
      <c r="I7969" s="5" t="str">
        <f t="shared" si="945"/>
        <v>019</v>
      </c>
      <c r="J7969" s="5" t="str">
        <f t="shared" si="946"/>
        <v>2210</v>
      </c>
      <c r="K7969" s="5" t="str">
        <f t="shared" si="947"/>
        <v>000</v>
      </c>
      <c r="L7969" s="5">
        <f t="shared" si="948"/>
        <v>8</v>
      </c>
      <c r="M7969" s="5">
        <f t="shared" si="949"/>
        <v>2013</v>
      </c>
    </row>
    <row r="7970" spans="1:13" ht="15" x14ac:dyDescent="0.25">
      <c r="A7970" s="1">
        <f>DATE(2013,8,16)</f>
        <v>41502</v>
      </c>
      <c r="B7970" t="s">
        <v>25</v>
      </c>
      <c r="C7970" t="s">
        <v>9</v>
      </c>
      <c r="D7970" s="3">
        <v>380.50740000000002</v>
      </c>
      <c r="E7970" s="3">
        <v>0</v>
      </c>
      <c r="F7970" t="s">
        <v>45</v>
      </c>
      <c r="G7970" s="3">
        <f t="shared" si="943"/>
        <v>-380.50740000000002</v>
      </c>
      <c r="H7970" s="3">
        <f t="shared" si="944"/>
        <v>380.50740000000002</v>
      </c>
      <c r="I7970" s="5" t="str">
        <f t="shared" si="945"/>
        <v>019</v>
      </c>
      <c r="J7970" s="5" t="str">
        <f t="shared" si="946"/>
        <v>2220</v>
      </c>
      <c r="K7970" s="5" t="str">
        <f t="shared" si="947"/>
        <v>000</v>
      </c>
      <c r="L7970" s="5">
        <f t="shared" si="948"/>
        <v>8</v>
      </c>
      <c r="M7970" s="5">
        <f t="shared" si="949"/>
        <v>2013</v>
      </c>
    </row>
    <row r="7971" spans="1:13" ht="15" x14ac:dyDescent="0.25">
      <c r="A7971" s="1">
        <f>DATE(2013,8,16)</f>
        <v>41502</v>
      </c>
      <c r="B7971" t="s">
        <v>26</v>
      </c>
      <c r="C7971" t="s">
        <v>10</v>
      </c>
      <c r="D7971" s="3">
        <v>73.708799999999997</v>
      </c>
      <c r="E7971" s="3">
        <v>0</v>
      </c>
      <c r="F7971" t="s">
        <v>45</v>
      </c>
      <c r="G7971" s="3">
        <f t="shared" si="943"/>
        <v>-73.708799999999997</v>
      </c>
      <c r="H7971" s="3">
        <f t="shared" si="944"/>
        <v>73.708799999999997</v>
      </c>
      <c r="I7971" s="5" t="str">
        <f t="shared" si="945"/>
        <v>019</v>
      </c>
      <c r="J7971" s="5" t="str">
        <f t="shared" si="946"/>
        <v>2230</v>
      </c>
      <c r="K7971" s="5" t="str">
        <f t="shared" si="947"/>
        <v>000</v>
      </c>
      <c r="L7971" s="5">
        <f t="shared" si="948"/>
        <v>8</v>
      </c>
      <c r="M7971" s="5">
        <f t="shared" si="949"/>
        <v>2013</v>
      </c>
    </row>
    <row r="7972" spans="1:13" ht="15" x14ac:dyDescent="0.25">
      <c r="A7972" s="1">
        <f>DATE(2013,8,17)</f>
        <v>41503</v>
      </c>
      <c r="B7972" t="s">
        <v>23</v>
      </c>
      <c r="C7972" t="s">
        <v>6</v>
      </c>
      <c r="D7972" s="3">
        <v>7382.2241999999997</v>
      </c>
      <c r="E7972" s="3">
        <v>0</v>
      </c>
      <c r="F7972" t="s">
        <v>45</v>
      </c>
      <c r="G7972" s="3">
        <f t="shared" si="943"/>
        <v>-7382.2241999999997</v>
      </c>
      <c r="H7972" s="3">
        <f t="shared" si="944"/>
        <v>7382.2241999999997</v>
      </c>
      <c r="I7972" s="5" t="str">
        <f t="shared" si="945"/>
        <v>019</v>
      </c>
      <c r="J7972" s="5" t="str">
        <f t="shared" si="946"/>
        <v>2100</v>
      </c>
      <c r="K7972" s="5" t="str">
        <f t="shared" si="947"/>
        <v>000</v>
      </c>
      <c r="L7972" s="5">
        <f t="shared" si="948"/>
        <v>8</v>
      </c>
      <c r="M7972" s="5">
        <f t="shared" si="949"/>
        <v>2013</v>
      </c>
    </row>
    <row r="7973" spans="1:13" ht="15" x14ac:dyDescent="0.25">
      <c r="A7973" s="1">
        <f>DATE(2013,8,17)</f>
        <v>41503</v>
      </c>
      <c r="B7973" t="s">
        <v>24</v>
      </c>
      <c r="C7973" t="s">
        <v>8</v>
      </c>
      <c r="D7973" s="3">
        <v>3066.7647999999999</v>
      </c>
      <c r="E7973" s="3">
        <v>0</v>
      </c>
      <c r="F7973" t="s">
        <v>45</v>
      </c>
      <c r="G7973" s="3">
        <f t="shared" si="943"/>
        <v>-3066.7647999999999</v>
      </c>
      <c r="H7973" s="3">
        <f t="shared" si="944"/>
        <v>3066.7647999999999</v>
      </c>
      <c r="I7973" s="5" t="str">
        <f t="shared" si="945"/>
        <v>019</v>
      </c>
      <c r="J7973" s="5" t="str">
        <f t="shared" si="946"/>
        <v>2210</v>
      </c>
      <c r="K7973" s="5" t="str">
        <f t="shared" si="947"/>
        <v>000</v>
      </c>
      <c r="L7973" s="5">
        <f t="shared" si="948"/>
        <v>8</v>
      </c>
      <c r="M7973" s="5">
        <f t="shared" si="949"/>
        <v>2013</v>
      </c>
    </row>
    <row r="7974" spans="1:13" ht="15" x14ac:dyDescent="0.25">
      <c r="A7974" s="1">
        <f>DATE(2013,8,17)</f>
        <v>41503</v>
      </c>
      <c r="B7974" t="s">
        <v>25</v>
      </c>
      <c r="C7974" t="s">
        <v>9</v>
      </c>
      <c r="D7974" s="3">
        <v>587.18340000000001</v>
      </c>
      <c r="E7974" s="3">
        <v>0</v>
      </c>
      <c r="F7974" t="s">
        <v>45</v>
      </c>
      <c r="G7974" s="3">
        <f t="shared" si="943"/>
        <v>-587.18340000000001</v>
      </c>
      <c r="H7974" s="3">
        <f t="shared" si="944"/>
        <v>587.18340000000001</v>
      </c>
      <c r="I7974" s="5" t="str">
        <f t="shared" si="945"/>
        <v>019</v>
      </c>
      <c r="J7974" s="5" t="str">
        <f t="shared" si="946"/>
        <v>2220</v>
      </c>
      <c r="K7974" s="5" t="str">
        <f t="shared" si="947"/>
        <v>000</v>
      </c>
      <c r="L7974" s="5">
        <f t="shared" si="948"/>
        <v>8</v>
      </c>
      <c r="M7974" s="5">
        <f t="shared" si="949"/>
        <v>2013</v>
      </c>
    </row>
    <row r="7975" spans="1:13" ht="15" x14ac:dyDescent="0.25">
      <c r="A7975" s="1">
        <f>DATE(2013,8,17)</f>
        <v>41503</v>
      </c>
      <c r="B7975" t="s">
        <v>26</v>
      </c>
      <c r="C7975" t="s">
        <v>10</v>
      </c>
      <c r="D7975" s="3">
        <v>105.5564</v>
      </c>
      <c r="E7975" s="3">
        <v>0</v>
      </c>
      <c r="F7975" t="s">
        <v>45</v>
      </c>
      <c r="G7975" s="3">
        <f t="shared" si="943"/>
        <v>-105.5564</v>
      </c>
      <c r="H7975" s="3">
        <f t="shared" si="944"/>
        <v>105.5564</v>
      </c>
      <c r="I7975" s="5" t="str">
        <f t="shared" si="945"/>
        <v>019</v>
      </c>
      <c r="J7975" s="5" t="str">
        <f t="shared" si="946"/>
        <v>2230</v>
      </c>
      <c r="K7975" s="5" t="str">
        <f t="shared" si="947"/>
        <v>000</v>
      </c>
      <c r="L7975" s="5">
        <f t="shared" si="948"/>
        <v>8</v>
      </c>
      <c r="M7975" s="5">
        <f t="shared" si="949"/>
        <v>2013</v>
      </c>
    </row>
    <row r="7976" spans="1:13" ht="15" x14ac:dyDescent="0.25">
      <c r="A7976" s="1">
        <f>DATE(2013,8,18)</f>
        <v>41504</v>
      </c>
      <c r="B7976" t="s">
        <v>23</v>
      </c>
      <c r="C7976" t="s">
        <v>6</v>
      </c>
      <c r="D7976" s="3">
        <v>2883.3713999999995</v>
      </c>
      <c r="E7976" s="3">
        <v>0</v>
      </c>
      <c r="F7976" t="s">
        <v>45</v>
      </c>
      <c r="G7976" s="3">
        <f t="shared" si="943"/>
        <v>-2883.3713999999995</v>
      </c>
      <c r="H7976" s="3">
        <f t="shared" si="944"/>
        <v>2883.3713999999995</v>
      </c>
      <c r="I7976" s="5" t="str">
        <f t="shared" si="945"/>
        <v>019</v>
      </c>
      <c r="J7976" s="5" t="str">
        <f t="shared" si="946"/>
        <v>2100</v>
      </c>
      <c r="K7976" s="5" t="str">
        <f t="shared" si="947"/>
        <v>000</v>
      </c>
      <c r="L7976" s="5">
        <f t="shared" si="948"/>
        <v>8</v>
      </c>
      <c r="M7976" s="5">
        <f t="shared" si="949"/>
        <v>2013</v>
      </c>
    </row>
    <row r="7977" spans="1:13" ht="15" x14ac:dyDescent="0.25">
      <c r="A7977" s="1">
        <f>DATE(2013,8,18)</f>
        <v>41504</v>
      </c>
      <c r="B7977" t="s">
        <v>24</v>
      </c>
      <c r="C7977" t="s">
        <v>8</v>
      </c>
      <c r="D7977" s="3">
        <v>983.90980000000002</v>
      </c>
      <c r="E7977" s="3">
        <v>0</v>
      </c>
      <c r="F7977" t="s">
        <v>45</v>
      </c>
      <c r="G7977" s="3">
        <f t="shared" si="943"/>
        <v>-983.90980000000002</v>
      </c>
      <c r="H7977" s="3">
        <f t="shared" si="944"/>
        <v>983.90980000000002</v>
      </c>
      <c r="I7977" s="5" t="str">
        <f t="shared" si="945"/>
        <v>019</v>
      </c>
      <c r="J7977" s="5" t="str">
        <f t="shared" si="946"/>
        <v>2210</v>
      </c>
      <c r="K7977" s="5" t="str">
        <f t="shared" si="947"/>
        <v>000</v>
      </c>
      <c r="L7977" s="5">
        <f t="shared" si="948"/>
        <v>8</v>
      </c>
      <c r="M7977" s="5">
        <f t="shared" si="949"/>
        <v>2013</v>
      </c>
    </row>
    <row r="7978" spans="1:13" ht="15" x14ac:dyDescent="0.25">
      <c r="A7978" s="1">
        <f>DATE(2013,8,18)</f>
        <v>41504</v>
      </c>
      <c r="B7978" t="s">
        <v>25</v>
      </c>
      <c r="C7978" t="s">
        <v>9</v>
      </c>
      <c r="D7978" s="3">
        <v>238.53659999999999</v>
      </c>
      <c r="E7978" s="3">
        <v>0</v>
      </c>
      <c r="F7978" t="s">
        <v>45</v>
      </c>
      <c r="G7978" s="3">
        <f t="shared" si="943"/>
        <v>-238.53659999999999</v>
      </c>
      <c r="H7978" s="3">
        <f t="shared" si="944"/>
        <v>238.53659999999999</v>
      </c>
      <c r="I7978" s="5" t="str">
        <f t="shared" si="945"/>
        <v>019</v>
      </c>
      <c r="J7978" s="5" t="str">
        <f t="shared" si="946"/>
        <v>2220</v>
      </c>
      <c r="K7978" s="5" t="str">
        <f t="shared" si="947"/>
        <v>000</v>
      </c>
      <c r="L7978" s="5">
        <f t="shared" si="948"/>
        <v>8</v>
      </c>
      <c r="M7978" s="5">
        <f t="shared" si="949"/>
        <v>2013</v>
      </c>
    </row>
    <row r="7979" spans="1:13" ht="15" x14ac:dyDescent="0.25">
      <c r="A7979" s="1">
        <f>DATE(2013,8,18)</f>
        <v>41504</v>
      </c>
      <c r="B7979" t="s">
        <v>26</v>
      </c>
      <c r="C7979" t="s">
        <v>10</v>
      </c>
      <c r="D7979" s="3">
        <v>207.39930000000001</v>
      </c>
      <c r="E7979" s="3">
        <v>0</v>
      </c>
      <c r="F7979" t="s">
        <v>45</v>
      </c>
      <c r="G7979" s="3">
        <f t="shared" si="943"/>
        <v>-207.39930000000001</v>
      </c>
      <c r="H7979" s="3">
        <f t="shared" si="944"/>
        <v>207.39930000000001</v>
      </c>
      <c r="I7979" s="5" t="str">
        <f t="shared" si="945"/>
        <v>019</v>
      </c>
      <c r="J7979" s="5" t="str">
        <f t="shared" si="946"/>
        <v>2230</v>
      </c>
      <c r="K7979" s="5" t="str">
        <f t="shared" si="947"/>
        <v>000</v>
      </c>
      <c r="L7979" s="5">
        <f t="shared" si="948"/>
        <v>8</v>
      </c>
      <c r="M7979" s="5">
        <f t="shared" si="949"/>
        <v>2013</v>
      </c>
    </row>
    <row r="7980" spans="1:13" ht="15" x14ac:dyDescent="0.25">
      <c r="A7980" s="1">
        <f>DATE(2013,8,19)</f>
        <v>41505</v>
      </c>
      <c r="B7980" t="s">
        <v>11</v>
      </c>
      <c r="C7980" t="s">
        <v>6</v>
      </c>
      <c r="D7980" s="3">
        <v>1639.3328000000001</v>
      </c>
      <c r="E7980" s="3">
        <v>0</v>
      </c>
      <c r="F7980" t="s">
        <v>45</v>
      </c>
      <c r="G7980" s="3">
        <f t="shared" si="943"/>
        <v>-1639.3328000000001</v>
      </c>
      <c r="H7980" s="3">
        <f t="shared" si="944"/>
        <v>1639.3328000000001</v>
      </c>
      <c r="I7980" s="5" t="str">
        <f t="shared" si="945"/>
        <v>016</v>
      </c>
      <c r="J7980" s="5" t="str">
        <f t="shared" si="946"/>
        <v>2100</v>
      </c>
      <c r="K7980" s="5" t="str">
        <f t="shared" si="947"/>
        <v>000</v>
      </c>
      <c r="L7980" s="5">
        <f t="shared" si="948"/>
        <v>8</v>
      </c>
      <c r="M7980" s="5">
        <f t="shared" si="949"/>
        <v>2013</v>
      </c>
    </row>
    <row r="7981" spans="1:13" ht="15" x14ac:dyDescent="0.25">
      <c r="A7981" s="1">
        <f>DATE(2013,8,19)</f>
        <v>41505</v>
      </c>
      <c r="B7981" t="s">
        <v>12</v>
      </c>
      <c r="C7981" t="s">
        <v>8</v>
      </c>
      <c r="D7981" s="3">
        <v>476.00079999999997</v>
      </c>
      <c r="E7981" s="3">
        <v>0</v>
      </c>
      <c r="F7981" t="s">
        <v>45</v>
      </c>
      <c r="G7981" s="3">
        <f t="shared" si="943"/>
        <v>-476.00079999999997</v>
      </c>
      <c r="H7981" s="3">
        <f t="shared" si="944"/>
        <v>476.00079999999997</v>
      </c>
      <c r="I7981" s="5" t="str">
        <f t="shared" si="945"/>
        <v>016</v>
      </c>
      <c r="J7981" s="5" t="str">
        <f t="shared" si="946"/>
        <v>2210</v>
      </c>
      <c r="K7981" s="5" t="str">
        <f t="shared" si="947"/>
        <v>000</v>
      </c>
      <c r="L7981" s="5">
        <f t="shared" si="948"/>
        <v>8</v>
      </c>
      <c r="M7981" s="5">
        <f t="shared" si="949"/>
        <v>2013</v>
      </c>
    </row>
    <row r="7982" spans="1:13" ht="15" x14ac:dyDescent="0.25">
      <c r="A7982" s="1">
        <f>DATE(2013,8,19)</f>
        <v>41505</v>
      </c>
      <c r="B7982" t="s">
        <v>13</v>
      </c>
      <c r="C7982" t="s">
        <v>9</v>
      </c>
      <c r="D7982" s="3">
        <v>74.46759999999999</v>
      </c>
      <c r="E7982" s="3">
        <v>0</v>
      </c>
      <c r="F7982" t="s">
        <v>45</v>
      </c>
      <c r="G7982" s="3">
        <f t="shared" si="943"/>
        <v>-74.46759999999999</v>
      </c>
      <c r="H7982" s="3">
        <f t="shared" si="944"/>
        <v>74.46759999999999</v>
      </c>
      <c r="I7982" s="5" t="str">
        <f t="shared" si="945"/>
        <v>016</v>
      </c>
      <c r="J7982" s="5" t="str">
        <f t="shared" si="946"/>
        <v>2220</v>
      </c>
      <c r="K7982" s="5" t="str">
        <f t="shared" si="947"/>
        <v>000</v>
      </c>
      <c r="L7982" s="5">
        <f t="shared" si="948"/>
        <v>8</v>
      </c>
      <c r="M7982" s="5">
        <f t="shared" si="949"/>
        <v>2013</v>
      </c>
    </row>
    <row r="7983" spans="1:13" ht="15" x14ac:dyDescent="0.25">
      <c r="A7983" s="1">
        <f>DATE(2013,8,19)</f>
        <v>41505</v>
      </c>
      <c r="B7983" t="s">
        <v>14</v>
      </c>
      <c r="C7983" t="s">
        <v>10</v>
      </c>
      <c r="D7983" s="3">
        <v>38.029500000000006</v>
      </c>
      <c r="E7983" s="3">
        <v>0</v>
      </c>
      <c r="F7983" t="s">
        <v>45</v>
      </c>
      <c r="G7983" s="3">
        <f t="shared" si="943"/>
        <v>-38.029500000000006</v>
      </c>
      <c r="H7983" s="3">
        <f t="shared" si="944"/>
        <v>38.029500000000006</v>
      </c>
      <c r="I7983" s="5" t="str">
        <f t="shared" si="945"/>
        <v>016</v>
      </c>
      <c r="J7983" s="5" t="str">
        <f t="shared" si="946"/>
        <v>2230</v>
      </c>
      <c r="K7983" s="5" t="str">
        <f t="shared" si="947"/>
        <v>000</v>
      </c>
      <c r="L7983" s="5">
        <f t="shared" si="948"/>
        <v>8</v>
      </c>
      <c r="M7983" s="5">
        <f t="shared" si="949"/>
        <v>2013</v>
      </c>
    </row>
    <row r="7984" spans="1:13" ht="15" x14ac:dyDescent="0.25">
      <c r="A7984" s="1">
        <f t="shared" ref="A7984:A7987" si="950">DATE(2013,8,20)</f>
        <v>41506</v>
      </c>
      <c r="B7984" t="s">
        <v>11</v>
      </c>
      <c r="C7984" t="s">
        <v>6</v>
      </c>
      <c r="D7984" s="3">
        <v>8463.3912</v>
      </c>
      <c r="E7984" s="3">
        <v>0</v>
      </c>
      <c r="F7984" t="s">
        <v>45</v>
      </c>
      <c r="G7984" s="3">
        <f t="shared" si="943"/>
        <v>-8463.3912</v>
      </c>
      <c r="H7984" s="3">
        <f t="shared" si="944"/>
        <v>8463.3912</v>
      </c>
      <c r="I7984" s="5" t="str">
        <f t="shared" si="945"/>
        <v>016</v>
      </c>
      <c r="J7984" s="5" t="str">
        <f t="shared" si="946"/>
        <v>2100</v>
      </c>
      <c r="K7984" s="5" t="str">
        <f t="shared" si="947"/>
        <v>000</v>
      </c>
      <c r="L7984" s="5">
        <f t="shared" si="948"/>
        <v>8</v>
      </c>
      <c r="M7984" s="5">
        <f t="shared" si="949"/>
        <v>2013</v>
      </c>
    </row>
    <row r="7985" spans="1:13" ht="15" x14ac:dyDescent="0.25">
      <c r="A7985" s="1">
        <f t="shared" si="950"/>
        <v>41506</v>
      </c>
      <c r="B7985" t="s">
        <v>12</v>
      </c>
      <c r="C7985" t="s">
        <v>8</v>
      </c>
      <c r="D7985" s="3">
        <v>3086.9785999999999</v>
      </c>
      <c r="E7985" s="3">
        <v>0</v>
      </c>
      <c r="F7985" t="s">
        <v>45</v>
      </c>
      <c r="G7985" s="3">
        <f t="shared" si="943"/>
        <v>-3086.9785999999999</v>
      </c>
      <c r="H7985" s="3">
        <f t="shared" si="944"/>
        <v>3086.9785999999999</v>
      </c>
      <c r="I7985" s="5" t="str">
        <f t="shared" si="945"/>
        <v>016</v>
      </c>
      <c r="J7985" s="5" t="str">
        <f t="shared" si="946"/>
        <v>2210</v>
      </c>
      <c r="K7985" s="5" t="str">
        <f t="shared" si="947"/>
        <v>000</v>
      </c>
      <c r="L7985" s="5">
        <f t="shared" si="948"/>
        <v>8</v>
      </c>
      <c r="M7985" s="5">
        <f t="shared" si="949"/>
        <v>2013</v>
      </c>
    </row>
    <row r="7986" spans="1:13" ht="15" x14ac:dyDescent="0.25">
      <c r="A7986" s="1">
        <f t="shared" si="950"/>
        <v>41506</v>
      </c>
      <c r="B7986" t="s">
        <v>13</v>
      </c>
      <c r="C7986" t="s">
        <v>9</v>
      </c>
      <c r="D7986" s="3">
        <v>882.32910000000004</v>
      </c>
      <c r="E7986" s="3">
        <v>0</v>
      </c>
      <c r="F7986" t="s">
        <v>45</v>
      </c>
      <c r="G7986" s="3">
        <f t="shared" si="943"/>
        <v>-882.32910000000004</v>
      </c>
      <c r="H7986" s="3">
        <f t="shared" si="944"/>
        <v>882.32910000000004</v>
      </c>
      <c r="I7986" s="5" t="str">
        <f t="shared" si="945"/>
        <v>016</v>
      </c>
      <c r="J7986" s="5" t="str">
        <f t="shared" si="946"/>
        <v>2220</v>
      </c>
      <c r="K7986" s="5" t="str">
        <f t="shared" si="947"/>
        <v>000</v>
      </c>
      <c r="L7986" s="5">
        <f t="shared" si="948"/>
        <v>8</v>
      </c>
      <c r="M7986" s="5">
        <f t="shared" si="949"/>
        <v>2013</v>
      </c>
    </row>
    <row r="7987" spans="1:13" ht="15" x14ac:dyDescent="0.25">
      <c r="A7987" s="1">
        <f t="shared" si="950"/>
        <v>41506</v>
      </c>
      <c r="B7987" t="s">
        <v>14</v>
      </c>
      <c r="C7987" t="s">
        <v>10</v>
      </c>
      <c r="D7987" s="3">
        <v>84.155600000000007</v>
      </c>
      <c r="E7987" s="3">
        <v>0</v>
      </c>
      <c r="F7987" t="s">
        <v>45</v>
      </c>
      <c r="G7987" s="3">
        <f t="shared" si="943"/>
        <v>-84.155600000000007</v>
      </c>
      <c r="H7987" s="3">
        <f t="shared" si="944"/>
        <v>84.155600000000007</v>
      </c>
      <c r="I7987" s="5" t="str">
        <f t="shared" si="945"/>
        <v>016</v>
      </c>
      <c r="J7987" s="5" t="str">
        <f t="shared" si="946"/>
        <v>2230</v>
      </c>
      <c r="K7987" s="5" t="str">
        <f t="shared" si="947"/>
        <v>000</v>
      </c>
      <c r="L7987" s="5">
        <f t="shared" si="948"/>
        <v>8</v>
      </c>
      <c r="M7987" s="5">
        <f t="shared" si="949"/>
        <v>2013</v>
      </c>
    </row>
    <row r="7988" spans="1:13" ht="15" x14ac:dyDescent="0.25">
      <c r="A7988" s="1">
        <f t="shared" ref="A7988:A7991" si="951">DATE(2013,8,21)</f>
        <v>41507</v>
      </c>
      <c r="B7988" t="s">
        <v>11</v>
      </c>
      <c r="C7988" t="s">
        <v>6</v>
      </c>
      <c r="D7988" s="3">
        <v>1880.1419999999998</v>
      </c>
      <c r="E7988" s="3">
        <v>0</v>
      </c>
      <c r="F7988" t="s">
        <v>45</v>
      </c>
      <c r="G7988" s="3">
        <f t="shared" si="943"/>
        <v>-1880.1419999999998</v>
      </c>
      <c r="H7988" s="3">
        <f t="shared" si="944"/>
        <v>1880.1419999999998</v>
      </c>
      <c r="I7988" s="5" t="str">
        <f t="shared" si="945"/>
        <v>016</v>
      </c>
      <c r="J7988" s="5" t="str">
        <f t="shared" si="946"/>
        <v>2100</v>
      </c>
      <c r="K7988" s="5" t="str">
        <f t="shared" si="947"/>
        <v>000</v>
      </c>
      <c r="L7988" s="5">
        <f t="shared" si="948"/>
        <v>8</v>
      </c>
      <c r="M7988" s="5">
        <f t="shared" si="949"/>
        <v>2013</v>
      </c>
    </row>
    <row r="7989" spans="1:13" ht="15" x14ac:dyDescent="0.25">
      <c r="A7989" s="1">
        <f t="shared" si="951"/>
        <v>41507</v>
      </c>
      <c r="B7989" t="s">
        <v>12</v>
      </c>
      <c r="C7989" t="s">
        <v>8</v>
      </c>
      <c r="D7989" s="3">
        <v>688.66590000000008</v>
      </c>
      <c r="E7989" s="3">
        <v>0</v>
      </c>
      <c r="F7989" t="s">
        <v>45</v>
      </c>
      <c r="G7989" s="3">
        <f t="shared" si="943"/>
        <v>-688.66590000000008</v>
      </c>
      <c r="H7989" s="3">
        <f t="shared" si="944"/>
        <v>688.66590000000008</v>
      </c>
      <c r="I7989" s="5" t="str">
        <f t="shared" si="945"/>
        <v>016</v>
      </c>
      <c r="J7989" s="5" t="str">
        <f t="shared" si="946"/>
        <v>2210</v>
      </c>
      <c r="K7989" s="5" t="str">
        <f t="shared" si="947"/>
        <v>000</v>
      </c>
      <c r="L7989" s="5">
        <f t="shared" si="948"/>
        <v>8</v>
      </c>
      <c r="M7989" s="5">
        <f t="shared" si="949"/>
        <v>2013</v>
      </c>
    </row>
    <row r="7990" spans="1:13" ht="15" x14ac:dyDescent="0.25">
      <c r="A7990" s="1">
        <f t="shared" si="951"/>
        <v>41507</v>
      </c>
      <c r="B7990" t="s">
        <v>13</v>
      </c>
      <c r="C7990" t="s">
        <v>9</v>
      </c>
      <c r="D7990" s="3">
        <v>128.8022</v>
      </c>
      <c r="E7990" s="3">
        <v>0</v>
      </c>
      <c r="F7990" t="s">
        <v>45</v>
      </c>
      <c r="G7990" s="3">
        <f t="shared" si="943"/>
        <v>-128.8022</v>
      </c>
      <c r="H7990" s="3">
        <f t="shared" si="944"/>
        <v>128.8022</v>
      </c>
      <c r="I7990" s="5" t="str">
        <f t="shared" si="945"/>
        <v>016</v>
      </c>
      <c r="J7990" s="5" t="str">
        <f t="shared" si="946"/>
        <v>2220</v>
      </c>
      <c r="K7990" s="5" t="str">
        <f t="shared" si="947"/>
        <v>000</v>
      </c>
      <c r="L7990" s="5">
        <f t="shared" si="948"/>
        <v>8</v>
      </c>
      <c r="M7990" s="5">
        <f t="shared" si="949"/>
        <v>2013</v>
      </c>
    </row>
    <row r="7991" spans="1:13" ht="15" x14ac:dyDescent="0.25">
      <c r="A7991" s="1">
        <f t="shared" si="951"/>
        <v>41507</v>
      </c>
      <c r="B7991" t="s">
        <v>14</v>
      </c>
      <c r="C7991" t="s">
        <v>10</v>
      </c>
      <c r="D7991" s="3">
        <v>36.524499999999996</v>
      </c>
      <c r="E7991" s="3">
        <v>0</v>
      </c>
      <c r="F7991" t="s">
        <v>45</v>
      </c>
      <c r="G7991" s="3">
        <f t="shared" si="943"/>
        <v>-36.524499999999996</v>
      </c>
      <c r="H7991" s="3">
        <f t="shared" si="944"/>
        <v>36.524499999999996</v>
      </c>
      <c r="I7991" s="5" t="str">
        <f t="shared" si="945"/>
        <v>016</v>
      </c>
      <c r="J7991" s="5" t="str">
        <f t="shared" si="946"/>
        <v>2230</v>
      </c>
      <c r="K7991" s="5" t="str">
        <f t="shared" si="947"/>
        <v>000</v>
      </c>
      <c r="L7991" s="5">
        <f t="shared" si="948"/>
        <v>8</v>
      </c>
      <c r="M7991" s="5">
        <f t="shared" si="949"/>
        <v>2013</v>
      </c>
    </row>
    <row r="7992" spans="1:13" ht="15" x14ac:dyDescent="0.25">
      <c r="A7992" s="1">
        <f>DATE(2013,8,22)</f>
        <v>41508</v>
      </c>
      <c r="B7992" t="s">
        <v>11</v>
      </c>
      <c r="C7992" t="s">
        <v>6</v>
      </c>
      <c r="D7992" s="3">
        <v>2781.4944</v>
      </c>
      <c r="E7992" s="3">
        <v>0</v>
      </c>
      <c r="F7992" t="s">
        <v>45</v>
      </c>
      <c r="G7992" s="3">
        <f t="shared" si="943"/>
        <v>-2781.4944</v>
      </c>
      <c r="H7992" s="3">
        <f t="shared" si="944"/>
        <v>2781.4944</v>
      </c>
      <c r="I7992" s="5" t="str">
        <f t="shared" si="945"/>
        <v>016</v>
      </c>
      <c r="J7992" s="5" t="str">
        <f t="shared" si="946"/>
        <v>2100</v>
      </c>
      <c r="K7992" s="5" t="str">
        <f t="shared" si="947"/>
        <v>000</v>
      </c>
      <c r="L7992" s="5">
        <f t="shared" si="948"/>
        <v>8</v>
      </c>
      <c r="M7992" s="5">
        <f t="shared" si="949"/>
        <v>2013</v>
      </c>
    </row>
    <row r="7993" spans="1:13" ht="15" x14ac:dyDescent="0.25">
      <c r="A7993" s="1">
        <f>DATE(2013,8,22)</f>
        <v>41508</v>
      </c>
      <c r="B7993" t="s">
        <v>12</v>
      </c>
      <c r="C7993" t="s">
        <v>8</v>
      </c>
      <c r="D7993" s="3">
        <v>830.61720000000003</v>
      </c>
      <c r="E7993" s="3">
        <v>0</v>
      </c>
      <c r="F7993" t="s">
        <v>45</v>
      </c>
      <c r="G7993" s="3">
        <f t="shared" si="943"/>
        <v>-830.61720000000003</v>
      </c>
      <c r="H7993" s="3">
        <f t="shared" si="944"/>
        <v>830.61720000000003</v>
      </c>
      <c r="I7993" s="5" t="str">
        <f t="shared" si="945"/>
        <v>016</v>
      </c>
      <c r="J7993" s="5" t="str">
        <f t="shared" si="946"/>
        <v>2210</v>
      </c>
      <c r="K7993" s="5" t="str">
        <f t="shared" si="947"/>
        <v>000</v>
      </c>
      <c r="L7993" s="5">
        <f t="shared" si="948"/>
        <v>8</v>
      </c>
      <c r="M7993" s="5">
        <f t="shared" si="949"/>
        <v>2013</v>
      </c>
    </row>
    <row r="7994" spans="1:13" ht="15" x14ac:dyDescent="0.25">
      <c r="A7994" s="1">
        <f>DATE(2013,8,22)</f>
        <v>41508</v>
      </c>
      <c r="B7994" t="s">
        <v>13</v>
      </c>
      <c r="C7994" t="s">
        <v>9</v>
      </c>
      <c r="D7994" s="3">
        <v>123.37050000000001</v>
      </c>
      <c r="E7994" s="3">
        <v>0</v>
      </c>
      <c r="F7994" t="s">
        <v>45</v>
      </c>
      <c r="G7994" s="3">
        <f t="shared" si="943"/>
        <v>-123.37050000000001</v>
      </c>
      <c r="H7994" s="3">
        <f t="shared" si="944"/>
        <v>123.37050000000001</v>
      </c>
      <c r="I7994" s="5" t="str">
        <f t="shared" si="945"/>
        <v>016</v>
      </c>
      <c r="J7994" s="5" t="str">
        <f t="shared" si="946"/>
        <v>2220</v>
      </c>
      <c r="K7994" s="5" t="str">
        <f t="shared" si="947"/>
        <v>000</v>
      </c>
      <c r="L7994" s="5">
        <f t="shared" si="948"/>
        <v>8</v>
      </c>
      <c r="M7994" s="5">
        <f t="shared" si="949"/>
        <v>2013</v>
      </c>
    </row>
    <row r="7995" spans="1:13" ht="15" x14ac:dyDescent="0.25">
      <c r="A7995" s="1">
        <f>DATE(2013,8,22)</f>
        <v>41508</v>
      </c>
      <c r="B7995" t="s">
        <v>14</v>
      </c>
      <c r="C7995" t="s">
        <v>10</v>
      </c>
      <c r="D7995" s="3">
        <v>19.5</v>
      </c>
      <c r="E7995" s="3">
        <v>0</v>
      </c>
      <c r="F7995" t="s">
        <v>45</v>
      </c>
      <c r="G7995" s="3">
        <f t="shared" si="943"/>
        <v>-19.5</v>
      </c>
      <c r="H7995" s="3">
        <f t="shared" si="944"/>
        <v>19.5</v>
      </c>
      <c r="I7995" s="5" t="str">
        <f t="shared" si="945"/>
        <v>016</v>
      </c>
      <c r="J7995" s="5" t="str">
        <f t="shared" si="946"/>
        <v>2230</v>
      </c>
      <c r="K7995" s="5" t="str">
        <f t="shared" si="947"/>
        <v>000</v>
      </c>
      <c r="L7995" s="5">
        <f t="shared" si="948"/>
        <v>8</v>
      </c>
      <c r="M7995" s="5">
        <f t="shared" si="949"/>
        <v>2013</v>
      </c>
    </row>
    <row r="7996" spans="1:13" ht="15" x14ac:dyDescent="0.25">
      <c r="A7996" s="1">
        <f>DATE(2013,8,23)</f>
        <v>41509</v>
      </c>
      <c r="B7996" t="s">
        <v>11</v>
      </c>
      <c r="C7996" t="s">
        <v>6</v>
      </c>
      <c r="D7996" s="3">
        <v>7833.2133000000003</v>
      </c>
      <c r="E7996" s="3">
        <v>0</v>
      </c>
      <c r="F7996" t="s">
        <v>45</v>
      </c>
      <c r="G7996" s="3">
        <f t="shared" si="943"/>
        <v>-7833.2133000000003</v>
      </c>
      <c r="H7996" s="3">
        <f t="shared" si="944"/>
        <v>7833.2133000000003</v>
      </c>
      <c r="I7996" s="5" t="str">
        <f t="shared" si="945"/>
        <v>016</v>
      </c>
      <c r="J7996" s="5" t="str">
        <f t="shared" si="946"/>
        <v>2100</v>
      </c>
      <c r="K7996" s="5" t="str">
        <f t="shared" si="947"/>
        <v>000</v>
      </c>
      <c r="L7996" s="5">
        <f t="shared" si="948"/>
        <v>8</v>
      </c>
      <c r="M7996" s="5">
        <f t="shared" si="949"/>
        <v>2013</v>
      </c>
    </row>
    <row r="7997" spans="1:13" ht="15" x14ac:dyDescent="0.25">
      <c r="A7997" s="1">
        <f>DATE(2013,8,23)</f>
        <v>41509</v>
      </c>
      <c r="B7997" t="s">
        <v>12</v>
      </c>
      <c r="C7997" t="s">
        <v>8</v>
      </c>
      <c r="D7997" s="3">
        <v>1590.0192000000002</v>
      </c>
      <c r="E7997" s="3">
        <v>0</v>
      </c>
      <c r="F7997" t="s">
        <v>45</v>
      </c>
      <c r="G7997" s="3">
        <f t="shared" si="943"/>
        <v>-1590.0192000000002</v>
      </c>
      <c r="H7997" s="3">
        <f t="shared" si="944"/>
        <v>1590.0192000000002</v>
      </c>
      <c r="I7997" s="5" t="str">
        <f t="shared" si="945"/>
        <v>016</v>
      </c>
      <c r="J7997" s="5" t="str">
        <f t="shared" si="946"/>
        <v>2210</v>
      </c>
      <c r="K7997" s="5" t="str">
        <f t="shared" si="947"/>
        <v>000</v>
      </c>
      <c r="L7997" s="5">
        <f t="shared" si="948"/>
        <v>8</v>
      </c>
      <c r="M7997" s="5">
        <f t="shared" si="949"/>
        <v>2013</v>
      </c>
    </row>
    <row r="7998" spans="1:13" ht="15" x14ac:dyDescent="0.25">
      <c r="A7998" s="1">
        <f>DATE(2013,8,23)</f>
        <v>41509</v>
      </c>
      <c r="B7998" t="s">
        <v>13</v>
      </c>
      <c r="C7998" t="s">
        <v>9</v>
      </c>
      <c r="D7998" s="3">
        <v>591.96399999999994</v>
      </c>
      <c r="E7998" s="3">
        <v>0</v>
      </c>
      <c r="F7998" t="s">
        <v>45</v>
      </c>
      <c r="G7998" s="3">
        <f t="shared" si="943"/>
        <v>-591.96399999999994</v>
      </c>
      <c r="H7998" s="3">
        <f t="shared" si="944"/>
        <v>591.96399999999994</v>
      </c>
      <c r="I7998" s="5" t="str">
        <f t="shared" si="945"/>
        <v>016</v>
      </c>
      <c r="J7998" s="5" t="str">
        <f t="shared" si="946"/>
        <v>2220</v>
      </c>
      <c r="K7998" s="5" t="str">
        <f t="shared" si="947"/>
        <v>000</v>
      </c>
      <c r="L7998" s="5">
        <f t="shared" si="948"/>
        <v>8</v>
      </c>
      <c r="M7998" s="5">
        <f t="shared" si="949"/>
        <v>2013</v>
      </c>
    </row>
    <row r="7999" spans="1:13" ht="15" x14ac:dyDescent="0.25">
      <c r="A7999" s="1">
        <f>DATE(2013,8,23)</f>
        <v>41509</v>
      </c>
      <c r="B7999" t="s">
        <v>14</v>
      </c>
      <c r="C7999" t="s">
        <v>10</v>
      </c>
      <c r="D7999" s="3">
        <v>160.00300000000001</v>
      </c>
      <c r="E7999" s="3">
        <v>0</v>
      </c>
      <c r="F7999" t="s">
        <v>45</v>
      </c>
      <c r="G7999" s="3">
        <f t="shared" si="943"/>
        <v>-160.00300000000001</v>
      </c>
      <c r="H7999" s="3">
        <f t="shared" si="944"/>
        <v>160.00300000000001</v>
      </c>
      <c r="I7999" s="5" t="str">
        <f t="shared" si="945"/>
        <v>016</v>
      </c>
      <c r="J7999" s="5" t="str">
        <f t="shared" si="946"/>
        <v>2230</v>
      </c>
      <c r="K7999" s="5" t="str">
        <f t="shared" si="947"/>
        <v>000</v>
      </c>
      <c r="L7999" s="5">
        <f t="shared" si="948"/>
        <v>8</v>
      </c>
      <c r="M7999" s="5">
        <f t="shared" si="949"/>
        <v>2013</v>
      </c>
    </row>
    <row r="8000" spans="1:13" ht="15" x14ac:dyDescent="0.25">
      <c r="A8000" s="1">
        <f>DATE(2013,8,24)</f>
        <v>41510</v>
      </c>
      <c r="B8000" t="s">
        <v>11</v>
      </c>
      <c r="C8000" t="s">
        <v>6</v>
      </c>
      <c r="D8000" s="3">
        <v>7974.9434000000001</v>
      </c>
      <c r="E8000" s="3">
        <v>0</v>
      </c>
      <c r="F8000" t="s">
        <v>45</v>
      </c>
      <c r="G8000" s="3">
        <f t="shared" si="943"/>
        <v>-7974.9434000000001</v>
      </c>
      <c r="H8000" s="3">
        <f t="shared" si="944"/>
        <v>7974.9434000000001</v>
      </c>
      <c r="I8000" s="5" t="str">
        <f t="shared" si="945"/>
        <v>016</v>
      </c>
      <c r="J8000" s="5" t="str">
        <f t="shared" si="946"/>
        <v>2100</v>
      </c>
      <c r="K8000" s="5" t="str">
        <f t="shared" si="947"/>
        <v>000</v>
      </c>
      <c r="L8000" s="5">
        <f t="shared" si="948"/>
        <v>8</v>
      </c>
      <c r="M8000" s="5">
        <f t="shared" si="949"/>
        <v>2013</v>
      </c>
    </row>
    <row r="8001" spans="1:13" ht="15" x14ac:dyDescent="0.25">
      <c r="A8001" s="1">
        <f>DATE(2013,8,24)</f>
        <v>41510</v>
      </c>
      <c r="B8001" t="s">
        <v>12</v>
      </c>
      <c r="C8001" t="s">
        <v>8</v>
      </c>
      <c r="D8001" s="3">
        <v>2225.0927999999999</v>
      </c>
      <c r="E8001" s="3">
        <v>0</v>
      </c>
      <c r="F8001" t="s">
        <v>45</v>
      </c>
      <c r="G8001" s="3">
        <f t="shared" si="943"/>
        <v>-2225.0927999999999</v>
      </c>
      <c r="H8001" s="3">
        <f t="shared" si="944"/>
        <v>2225.0927999999999</v>
      </c>
      <c r="I8001" s="5" t="str">
        <f t="shared" si="945"/>
        <v>016</v>
      </c>
      <c r="J8001" s="5" t="str">
        <f t="shared" si="946"/>
        <v>2210</v>
      </c>
      <c r="K8001" s="5" t="str">
        <f t="shared" si="947"/>
        <v>000</v>
      </c>
      <c r="L8001" s="5">
        <f t="shared" si="948"/>
        <v>8</v>
      </c>
      <c r="M8001" s="5">
        <f t="shared" si="949"/>
        <v>2013</v>
      </c>
    </row>
    <row r="8002" spans="1:13" ht="15" x14ac:dyDescent="0.25">
      <c r="A8002" s="1">
        <f>DATE(2013,8,24)</f>
        <v>41510</v>
      </c>
      <c r="B8002" t="s">
        <v>13</v>
      </c>
      <c r="C8002" t="s">
        <v>9</v>
      </c>
      <c r="D8002" s="3">
        <v>322.09200000000004</v>
      </c>
      <c r="E8002" s="3">
        <v>0</v>
      </c>
      <c r="F8002" t="s">
        <v>45</v>
      </c>
      <c r="G8002" s="3">
        <f t="shared" ref="G8002:G8065" si="952">E8002-D8002</f>
        <v>-322.09200000000004</v>
      </c>
      <c r="H8002" s="3">
        <f t="shared" ref="H8002:H8065" si="953">ABS(G8002)</f>
        <v>322.09200000000004</v>
      </c>
      <c r="I8002" s="5" t="str">
        <f t="shared" ref="I8002:I8065" si="954">MID(B8002,1,3)</f>
        <v>016</v>
      </c>
      <c r="J8002" s="5" t="str">
        <f t="shared" ref="J8002:J8065" si="955">MID(B8002,5,4)</f>
        <v>2220</v>
      </c>
      <c r="K8002" s="5" t="str">
        <f t="shared" ref="K8002:K8065" si="956">MID(B8002,10,3)</f>
        <v>000</v>
      </c>
      <c r="L8002" s="5">
        <f t="shared" ref="L8002:L8065" si="957">MONTH(A8002)</f>
        <v>8</v>
      </c>
      <c r="M8002" s="5">
        <f t="shared" ref="M8002:M8065" si="958">YEAR(A8002)</f>
        <v>2013</v>
      </c>
    </row>
    <row r="8003" spans="1:13" ht="15" x14ac:dyDescent="0.25">
      <c r="A8003" s="1">
        <f>DATE(2013,8,24)</f>
        <v>41510</v>
      </c>
      <c r="B8003" t="s">
        <v>14</v>
      </c>
      <c r="C8003" t="s">
        <v>10</v>
      </c>
      <c r="D8003" s="3">
        <v>140.96039999999999</v>
      </c>
      <c r="E8003" s="3">
        <v>0</v>
      </c>
      <c r="F8003" t="s">
        <v>45</v>
      </c>
      <c r="G8003" s="3">
        <f t="shared" si="952"/>
        <v>-140.96039999999999</v>
      </c>
      <c r="H8003" s="3">
        <f t="shared" si="953"/>
        <v>140.96039999999999</v>
      </c>
      <c r="I8003" s="5" t="str">
        <f t="shared" si="954"/>
        <v>016</v>
      </c>
      <c r="J8003" s="5" t="str">
        <f t="shared" si="955"/>
        <v>2230</v>
      </c>
      <c r="K8003" s="5" t="str">
        <f t="shared" si="956"/>
        <v>000</v>
      </c>
      <c r="L8003" s="5">
        <f t="shared" si="957"/>
        <v>8</v>
      </c>
      <c r="M8003" s="5">
        <f t="shared" si="958"/>
        <v>2013</v>
      </c>
    </row>
    <row r="8004" spans="1:13" ht="15" x14ac:dyDescent="0.25">
      <c r="A8004" s="1">
        <f>DATE(2013,8,25)</f>
        <v>41511</v>
      </c>
      <c r="B8004" t="s">
        <v>11</v>
      </c>
      <c r="C8004" t="s">
        <v>6</v>
      </c>
      <c r="D8004" s="3">
        <v>3908.1779999999999</v>
      </c>
      <c r="E8004" s="3">
        <v>0</v>
      </c>
      <c r="F8004" t="s">
        <v>45</v>
      </c>
      <c r="G8004" s="3">
        <f t="shared" si="952"/>
        <v>-3908.1779999999999</v>
      </c>
      <c r="H8004" s="3">
        <f t="shared" si="953"/>
        <v>3908.1779999999999</v>
      </c>
      <c r="I8004" s="5" t="str">
        <f t="shared" si="954"/>
        <v>016</v>
      </c>
      <c r="J8004" s="5" t="str">
        <f t="shared" si="955"/>
        <v>2100</v>
      </c>
      <c r="K8004" s="5" t="str">
        <f t="shared" si="956"/>
        <v>000</v>
      </c>
      <c r="L8004" s="5">
        <f t="shared" si="957"/>
        <v>8</v>
      </c>
      <c r="M8004" s="5">
        <f t="shared" si="958"/>
        <v>2013</v>
      </c>
    </row>
    <row r="8005" spans="1:13" ht="15" x14ac:dyDescent="0.25">
      <c r="A8005" s="1">
        <f>DATE(2013,8,25)</f>
        <v>41511</v>
      </c>
      <c r="B8005" t="s">
        <v>12</v>
      </c>
      <c r="C8005" t="s">
        <v>8</v>
      </c>
      <c r="D8005" s="3">
        <v>1225.1455999999998</v>
      </c>
      <c r="E8005" s="3">
        <v>0</v>
      </c>
      <c r="F8005" t="s">
        <v>45</v>
      </c>
      <c r="G8005" s="3">
        <f t="shared" si="952"/>
        <v>-1225.1455999999998</v>
      </c>
      <c r="H8005" s="3">
        <f t="shared" si="953"/>
        <v>1225.1455999999998</v>
      </c>
      <c r="I8005" s="5" t="str">
        <f t="shared" si="954"/>
        <v>016</v>
      </c>
      <c r="J8005" s="5" t="str">
        <f t="shared" si="955"/>
        <v>2210</v>
      </c>
      <c r="K8005" s="5" t="str">
        <f t="shared" si="956"/>
        <v>000</v>
      </c>
      <c r="L8005" s="5">
        <f t="shared" si="957"/>
        <v>8</v>
      </c>
      <c r="M8005" s="5">
        <f t="shared" si="958"/>
        <v>2013</v>
      </c>
    </row>
    <row r="8006" spans="1:13" ht="15" x14ac:dyDescent="0.25">
      <c r="A8006" s="1">
        <f>DATE(2013,8,25)</f>
        <v>41511</v>
      </c>
      <c r="B8006" t="s">
        <v>13</v>
      </c>
      <c r="C8006" t="s">
        <v>9</v>
      </c>
      <c r="D8006" s="3">
        <v>255.16320000000002</v>
      </c>
      <c r="E8006" s="3">
        <v>0</v>
      </c>
      <c r="F8006" t="s">
        <v>45</v>
      </c>
      <c r="G8006" s="3">
        <f t="shared" si="952"/>
        <v>-255.16320000000002</v>
      </c>
      <c r="H8006" s="3">
        <f t="shared" si="953"/>
        <v>255.16320000000002</v>
      </c>
      <c r="I8006" s="5" t="str">
        <f t="shared" si="954"/>
        <v>016</v>
      </c>
      <c r="J8006" s="5" t="str">
        <f t="shared" si="955"/>
        <v>2220</v>
      </c>
      <c r="K8006" s="5" t="str">
        <f t="shared" si="956"/>
        <v>000</v>
      </c>
      <c r="L8006" s="5">
        <f t="shared" si="957"/>
        <v>8</v>
      </c>
      <c r="M8006" s="5">
        <f t="shared" si="958"/>
        <v>2013</v>
      </c>
    </row>
    <row r="8007" spans="1:13" ht="15" x14ac:dyDescent="0.25">
      <c r="A8007" s="1">
        <f>DATE(2013,8,25)</f>
        <v>41511</v>
      </c>
      <c r="B8007" t="s">
        <v>14</v>
      </c>
      <c r="C8007" t="s">
        <v>10</v>
      </c>
      <c r="D8007" s="3">
        <v>42.2136</v>
      </c>
      <c r="E8007" s="3">
        <v>0</v>
      </c>
      <c r="F8007" t="s">
        <v>45</v>
      </c>
      <c r="G8007" s="3">
        <f t="shared" si="952"/>
        <v>-42.2136</v>
      </c>
      <c r="H8007" s="3">
        <f t="shared" si="953"/>
        <v>42.2136</v>
      </c>
      <c r="I8007" s="5" t="str">
        <f t="shared" si="954"/>
        <v>016</v>
      </c>
      <c r="J8007" s="5" t="str">
        <f t="shared" si="955"/>
        <v>2230</v>
      </c>
      <c r="K8007" s="5" t="str">
        <f t="shared" si="956"/>
        <v>000</v>
      </c>
      <c r="L8007" s="5">
        <f t="shared" si="957"/>
        <v>8</v>
      </c>
      <c r="M8007" s="5">
        <f t="shared" si="958"/>
        <v>2013</v>
      </c>
    </row>
    <row r="8008" spans="1:13" ht="15" x14ac:dyDescent="0.25">
      <c r="A8008" s="1">
        <f>DATE(2013,8,19)</f>
        <v>41505</v>
      </c>
      <c r="B8008" t="s">
        <v>15</v>
      </c>
      <c r="C8008" t="s">
        <v>6</v>
      </c>
      <c r="D8008" s="3">
        <v>5523.8034999999991</v>
      </c>
      <c r="E8008" s="3">
        <v>0</v>
      </c>
      <c r="F8008" t="s">
        <v>45</v>
      </c>
      <c r="G8008" s="3">
        <f t="shared" si="952"/>
        <v>-5523.8034999999991</v>
      </c>
      <c r="H8008" s="3">
        <f t="shared" si="953"/>
        <v>5523.8034999999991</v>
      </c>
      <c r="I8008" s="5" t="str">
        <f t="shared" si="954"/>
        <v>017</v>
      </c>
      <c r="J8008" s="5" t="str">
        <f t="shared" si="955"/>
        <v>2100</v>
      </c>
      <c r="K8008" s="5" t="str">
        <f t="shared" si="956"/>
        <v>000</v>
      </c>
      <c r="L8008" s="5">
        <f t="shared" si="957"/>
        <v>8</v>
      </c>
      <c r="M8008" s="5">
        <f t="shared" si="958"/>
        <v>2013</v>
      </c>
    </row>
    <row r="8009" spans="1:13" ht="15" x14ac:dyDescent="0.25">
      <c r="A8009" s="1">
        <f>DATE(2013,8,19)</f>
        <v>41505</v>
      </c>
      <c r="B8009" t="s">
        <v>16</v>
      </c>
      <c r="C8009" t="s">
        <v>8</v>
      </c>
      <c r="D8009" s="3">
        <v>1035.414</v>
      </c>
      <c r="E8009" s="3">
        <v>0</v>
      </c>
      <c r="F8009" t="s">
        <v>45</v>
      </c>
      <c r="G8009" s="3">
        <f t="shared" si="952"/>
        <v>-1035.414</v>
      </c>
      <c r="H8009" s="3">
        <f t="shared" si="953"/>
        <v>1035.414</v>
      </c>
      <c r="I8009" s="5" t="str">
        <f t="shared" si="954"/>
        <v>017</v>
      </c>
      <c r="J8009" s="5" t="str">
        <f t="shared" si="955"/>
        <v>2210</v>
      </c>
      <c r="K8009" s="5" t="str">
        <f t="shared" si="956"/>
        <v>000</v>
      </c>
      <c r="L8009" s="5">
        <f t="shared" si="957"/>
        <v>8</v>
      </c>
      <c r="M8009" s="5">
        <f t="shared" si="958"/>
        <v>2013</v>
      </c>
    </row>
    <row r="8010" spans="1:13" ht="15" x14ac:dyDescent="0.25">
      <c r="A8010" s="1">
        <f>DATE(2013,8,19)</f>
        <v>41505</v>
      </c>
      <c r="B8010" t="s">
        <v>17</v>
      </c>
      <c r="C8010" t="s">
        <v>9</v>
      </c>
      <c r="D8010" s="3">
        <v>210.86450000000002</v>
      </c>
      <c r="E8010" s="3">
        <v>0</v>
      </c>
      <c r="F8010" t="s">
        <v>45</v>
      </c>
      <c r="G8010" s="3">
        <f t="shared" si="952"/>
        <v>-210.86450000000002</v>
      </c>
      <c r="H8010" s="3">
        <f t="shared" si="953"/>
        <v>210.86450000000002</v>
      </c>
      <c r="I8010" s="5" t="str">
        <f t="shared" si="954"/>
        <v>017</v>
      </c>
      <c r="J8010" s="5" t="str">
        <f t="shared" si="955"/>
        <v>2220</v>
      </c>
      <c r="K8010" s="5" t="str">
        <f t="shared" si="956"/>
        <v>000</v>
      </c>
      <c r="L8010" s="5">
        <f t="shared" si="957"/>
        <v>8</v>
      </c>
      <c r="M8010" s="5">
        <f t="shared" si="958"/>
        <v>2013</v>
      </c>
    </row>
    <row r="8011" spans="1:13" ht="15" x14ac:dyDescent="0.25">
      <c r="A8011" s="1">
        <f>DATE(2013,8,19)</f>
        <v>41505</v>
      </c>
      <c r="B8011" t="s">
        <v>18</v>
      </c>
      <c r="C8011" t="s">
        <v>10</v>
      </c>
      <c r="D8011" s="3">
        <v>83.353600000000014</v>
      </c>
      <c r="E8011" s="3">
        <v>0</v>
      </c>
      <c r="F8011" t="s">
        <v>45</v>
      </c>
      <c r="G8011" s="3">
        <f t="shared" si="952"/>
        <v>-83.353600000000014</v>
      </c>
      <c r="H8011" s="3">
        <f t="shared" si="953"/>
        <v>83.353600000000014</v>
      </c>
      <c r="I8011" s="5" t="str">
        <f t="shared" si="954"/>
        <v>017</v>
      </c>
      <c r="J8011" s="5" t="str">
        <f t="shared" si="955"/>
        <v>2230</v>
      </c>
      <c r="K8011" s="5" t="str">
        <f t="shared" si="956"/>
        <v>000</v>
      </c>
      <c r="L8011" s="5">
        <f t="shared" si="957"/>
        <v>8</v>
      </c>
      <c r="M8011" s="5">
        <f t="shared" si="958"/>
        <v>2013</v>
      </c>
    </row>
    <row r="8012" spans="1:13" ht="15" x14ac:dyDescent="0.25">
      <c r="A8012" s="1">
        <f>DATE(2013,8,20)</f>
        <v>41506</v>
      </c>
      <c r="B8012" t="s">
        <v>15</v>
      </c>
      <c r="C8012" t="s">
        <v>6</v>
      </c>
      <c r="D8012" s="3">
        <v>6793.1948999999986</v>
      </c>
      <c r="E8012" s="3">
        <v>0</v>
      </c>
      <c r="F8012" t="s">
        <v>45</v>
      </c>
      <c r="G8012" s="3">
        <f t="shared" si="952"/>
        <v>-6793.1948999999986</v>
      </c>
      <c r="H8012" s="3">
        <f t="shared" si="953"/>
        <v>6793.1948999999986</v>
      </c>
      <c r="I8012" s="5" t="str">
        <f t="shared" si="954"/>
        <v>017</v>
      </c>
      <c r="J8012" s="5" t="str">
        <f t="shared" si="955"/>
        <v>2100</v>
      </c>
      <c r="K8012" s="5" t="str">
        <f t="shared" si="956"/>
        <v>000</v>
      </c>
      <c r="L8012" s="5">
        <f t="shared" si="957"/>
        <v>8</v>
      </c>
      <c r="M8012" s="5">
        <f t="shared" si="958"/>
        <v>2013</v>
      </c>
    </row>
    <row r="8013" spans="1:13" ht="15" x14ac:dyDescent="0.25">
      <c r="A8013" s="1">
        <f>DATE(2013,8,20)</f>
        <v>41506</v>
      </c>
      <c r="B8013" t="s">
        <v>16</v>
      </c>
      <c r="C8013" t="s">
        <v>8</v>
      </c>
      <c r="D8013" s="3">
        <v>2076.5877</v>
      </c>
      <c r="E8013" s="3">
        <v>0</v>
      </c>
      <c r="F8013" t="s">
        <v>45</v>
      </c>
      <c r="G8013" s="3">
        <f t="shared" si="952"/>
        <v>-2076.5877</v>
      </c>
      <c r="H8013" s="3">
        <f t="shared" si="953"/>
        <v>2076.5877</v>
      </c>
      <c r="I8013" s="5" t="str">
        <f t="shared" si="954"/>
        <v>017</v>
      </c>
      <c r="J8013" s="5" t="str">
        <f t="shared" si="955"/>
        <v>2210</v>
      </c>
      <c r="K8013" s="5" t="str">
        <f t="shared" si="956"/>
        <v>000</v>
      </c>
      <c r="L8013" s="5">
        <f t="shared" si="957"/>
        <v>8</v>
      </c>
      <c r="M8013" s="5">
        <f t="shared" si="958"/>
        <v>2013</v>
      </c>
    </row>
    <row r="8014" spans="1:13" ht="15" x14ac:dyDescent="0.25">
      <c r="A8014" s="1">
        <f>DATE(2013,8,20)</f>
        <v>41506</v>
      </c>
      <c r="B8014" t="s">
        <v>17</v>
      </c>
      <c r="C8014" t="s">
        <v>9</v>
      </c>
      <c r="D8014" s="3">
        <v>409.11540000000002</v>
      </c>
      <c r="E8014" s="3">
        <v>0</v>
      </c>
      <c r="F8014" t="s">
        <v>45</v>
      </c>
      <c r="G8014" s="3">
        <f t="shared" si="952"/>
        <v>-409.11540000000002</v>
      </c>
      <c r="H8014" s="3">
        <f t="shared" si="953"/>
        <v>409.11540000000002</v>
      </c>
      <c r="I8014" s="5" t="str">
        <f t="shared" si="954"/>
        <v>017</v>
      </c>
      <c r="J8014" s="5" t="str">
        <f t="shared" si="955"/>
        <v>2220</v>
      </c>
      <c r="K8014" s="5" t="str">
        <f t="shared" si="956"/>
        <v>000</v>
      </c>
      <c r="L8014" s="5">
        <f t="shared" si="957"/>
        <v>8</v>
      </c>
      <c r="M8014" s="5">
        <f t="shared" si="958"/>
        <v>2013</v>
      </c>
    </row>
    <row r="8015" spans="1:13" ht="15" x14ac:dyDescent="0.25">
      <c r="A8015" s="1">
        <f>DATE(2013,8,20)</f>
        <v>41506</v>
      </c>
      <c r="B8015" t="s">
        <v>18</v>
      </c>
      <c r="C8015" t="s">
        <v>10</v>
      </c>
      <c r="D8015" s="3">
        <v>97.227000000000004</v>
      </c>
      <c r="E8015" s="3">
        <v>0</v>
      </c>
      <c r="F8015" t="s">
        <v>45</v>
      </c>
      <c r="G8015" s="3">
        <f t="shared" si="952"/>
        <v>-97.227000000000004</v>
      </c>
      <c r="H8015" s="3">
        <f t="shared" si="953"/>
        <v>97.227000000000004</v>
      </c>
      <c r="I8015" s="5" t="str">
        <f t="shared" si="954"/>
        <v>017</v>
      </c>
      <c r="J8015" s="5" t="str">
        <f t="shared" si="955"/>
        <v>2230</v>
      </c>
      <c r="K8015" s="5" t="str">
        <f t="shared" si="956"/>
        <v>000</v>
      </c>
      <c r="L8015" s="5">
        <f t="shared" si="957"/>
        <v>8</v>
      </c>
      <c r="M8015" s="5">
        <f t="shared" si="958"/>
        <v>2013</v>
      </c>
    </row>
    <row r="8016" spans="1:13" ht="15" x14ac:dyDescent="0.25">
      <c r="A8016" s="1">
        <f>DATE(2013,8,21)</f>
        <v>41507</v>
      </c>
      <c r="B8016" t="s">
        <v>15</v>
      </c>
      <c r="C8016" t="s">
        <v>6</v>
      </c>
      <c r="D8016" s="3">
        <v>7703.2999999999993</v>
      </c>
      <c r="E8016" s="3">
        <v>0</v>
      </c>
      <c r="F8016" t="s">
        <v>45</v>
      </c>
      <c r="G8016" s="3">
        <f t="shared" si="952"/>
        <v>-7703.2999999999993</v>
      </c>
      <c r="H8016" s="3">
        <f t="shared" si="953"/>
        <v>7703.2999999999993</v>
      </c>
      <c r="I8016" s="5" t="str">
        <f t="shared" si="954"/>
        <v>017</v>
      </c>
      <c r="J8016" s="5" t="str">
        <f t="shared" si="955"/>
        <v>2100</v>
      </c>
      <c r="K8016" s="5" t="str">
        <f t="shared" si="956"/>
        <v>000</v>
      </c>
      <c r="L8016" s="5">
        <f t="shared" si="957"/>
        <v>8</v>
      </c>
      <c r="M8016" s="5">
        <f t="shared" si="958"/>
        <v>2013</v>
      </c>
    </row>
    <row r="8017" spans="1:13" ht="15" x14ac:dyDescent="0.25">
      <c r="A8017" s="1">
        <f>DATE(2013,8,21)</f>
        <v>41507</v>
      </c>
      <c r="B8017" t="s">
        <v>16</v>
      </c>
      <c r="C8017" t="s">
        <v>8</v>
      </c>
      <c r="D8017" s="3">
        <v>1997.3274999999996</v>
      </c>
      <c r="E8017" s="3">
        <v>0</v>
      </c>
      <c r="F8017" t="s">
        <v>45</v>
      </c>
      <c r="G8017" s="3">
        <f t="shared" si="952"/>
        <v>-1997.3274999999996</v>
      </c>
      <c r="H8017" s="3">
        <f t="shared" si="953"/>
        <v>1997.3274999999996</v>
      </c>
      <c r="I8017" s="5" t="str">
        <f t="shared" si="954"/>
        <v>017</v>
      </c>
      <c r="J8017" s="5" t="str">
        <f t="shared" si="955"/>
        <v>2210</v>
      </c>
      <c r="K8017" s="5" t="str">
        <f t="shared" si="956"/>
        <v>000</v>
      </c>
      <c r="L8017" s="5">
        <f t="shared" si="957"/>
        <v>8</v>
      </c>
      <c r="M8017" s="5">
        <f t="shared" si="958"/>
        <v>2013</v>
      </c>
    </row>
    <row r="8018" spans="1:13" ht="15" x14ac:dyDescent="0.25">
      <c r="A8018" s="1">
        <f>DATE(2013,8,21)</f>
        <v>41507</v>
      </c>
      <c r="B8018" t="s">
        <v>17</v>
      </c>
      <c r="C8018" t="s">
        <v>9</v>
      </c>
      <c r="D8018" s="3">
        <v>500.43399999999997</v>
      </c>
      <c r="E8018" s="3">
        <v>0</v>
      </c>
      <c r="F8018" t="s">
        <v>45</v>
      </c>
      <c r="G8018" s="3">
        <f t="shared" si="952"/>
        <v>-500.43399999999997</v>
      </c>
      <c r="H8018" s="3">
        <f t="shared" si="953"/>
        <v>500.43399999999997</v>
      </c>
      <c r="I8018" s="5" t="str">
        <f t="shared" si="954"/>
        <v>017</v>
      </c>
      <c r="J8018" s="5" t="str">
        <f t="shared" si="955"/>
        <v>2220</v>
      </c>
      <c r="K8018" s="5" t="str">
        <f t="shared" si="956"/>
        <v>000</v>
      </c>
      <c r="L8018" s="5">
        <f t="shared" si="957"/>
        <v>8</v>
      </c>
      <c r="M8018" s="5">
        <f t="shared" si="958"/>
        <v>2013</v>
      </c>
    </row>
    <row r="8019" spans="1:13" ht="15" x14ac:dyDescent="0.25">
      <c r="A8019" s="1">
        <f>DATE(2013,8,21)</f>
        <v>41507</v>
      </c>
      <c r="B8019" t="s">
        <v>18</v>
      </c>
      <c r="C8019" t="s">
        <v>10</v>
      </c>
      <c r="D8019" s="3">
        <v>139.72800000000001</v>
      </c>
      <c r="E8019" s="3">
        <v>0</v>
      </c>
      <c r="F8019" t="s">
        <v>45</v>
      </c>
      <c r="G8019" s="3">
        <f t="shared" si="952"/>
        <v>-139.72800000000001</v>
      </c>
      <c r="H8019" s="3">
        <f t="shared" si="953"/>
        <v>139.72800000000001</v>
      </c>
      <c r="I8019" s="5" t="str">
        <f t="shared" si="954"/>
        <v>017</v>
      </c>
      <c r="J8019" s="5" t="str">
        <f t="shared" si="955"/>
        <v>2230</v>
      </c>
      <c r="K8019" s="5" t="str">
        <f t="shared" si="956"/>
        <v>000</v>
      </c>
      <c r="L8019" s="5">
        <f t="shared" si="957"/>
        <v>8</v>
      </c>
      <c r="M8019" s="5">
        <f t="shared" si="958"/>
        <v>2013</v>
      </c>
    </row>
    <row r="8020" spans="1:13" ht="15" x14ac:dyDescent="0.25">
      <c r="A8020" s="1">
        <f>DATE(2013,8,22)</f>
        <v>41508</v>
      </c>
      <c r="B8020" t="s">
        <v>15</v>
      </c>
      <c r="C8020" t="s">
        <v>6</v>
      </c>
      <c r="D8020" s="3">
        <v>5935.29</v>
      </c>
      <c r="E8020" s="3">
        <v>0</v>
      </c>
      <c r="F8020" t="s">
        <v>45</v>
      </c>
      <c r="G8020" s="3">
        <f t="shared" si="952"/>
        <v>-5935.29</v>
      </c>
      <c r="H8020" s="3">
        <f t="shared" si="953"/>
        <v>5935.29</v>
      </c>
      <c r="I8020" s="5" t="str">
        <f t="shared" si="954"/>
        <v>017</v>
      </c>
      <c r="J8020" s="5" t="str">
        <f t="shared" si="955"/>
        <v>2100</v>
      </c>
      <c r="K8020" s="5" t="str">
        <f t="shared" si="956"/>
        <v>000</v>
      </c>
      <c r="L8020" s="5">
        <f t="shared" si="957"/>
        <v>8</v>
      </c>
      <c r="M8020" s="5">
        <f t="shared" si="958"/>
        <v>2013</v>
      </c>
    </row>
    <row r="8021" spans="1:13" ht="15" x14ac:dyDescent="0.25">
      <c r="A8021" s="1">
        <f>DATE(2013,8,22)</f>
        <v>41508</v>
      </c>
      <c r="B8021" t="s">
        <v>16</v>
      </c>
      <c r="C8021" t="s">
        <v>8</v>
      </c>
      <c r="D8021" s="3">
        <v>1876.5230000000001</v>
      </c>
      <c r="E8021" s="3">
        <v>0</v>
      </c>
      <c r="F8021" t="s">
        <v>45</v>
      </c>
      <c r="G8021" s="3">
        <f t="shared" si="952"/>
        <v>-1876.5230000000001</v>
      </c>
      <c r="H8021" s="3">
        <f t="shared" si="953"/>
        <v>1876.5230000000001</v>
      </c>
      <c r="I8021" s="5" t="str">
        <f t="shared" si="954"/>
        <v>017</v>
      </c>
      <c r="J8021" s="5" t="str">
        <f t="shared" si="955"/>
        <v>2210</v>
      </c>
      <c r="K8021" s="5" t="str">
        <f t="shared" si="956"/>
        <v>000</v>
      </c>
      <c r="L8021" s="5">
        <f t="shared" si="957"/>
        <v>8</v>
      </c>
      <c r="M8021" s="5">
        <f t="shared" si="958"/>
        <v>2013</v>
      </c>
    </row>
    <row r="8022" spans="1:13" ht="15" x14ac:dyDescent="0.25">
      <c r="A8022" s="1">
        <f>DATE(2013,8,22)</f>
        <v>41508</v>
      </c>
      <c r="B8022" t="s">
        <v>17</v>
      </c>
      <c r="C8022" t="s">
        <v>9</v>
      </c>
      <c r="D8022" s="3">
        <v>765.48639999999989</v>
      </c>
      <c r="E8022" s="3">
        <v>0</v>
      </c>
      <c r="F8022" t="s">
        <v>45</v>
      </c>
      <c r="G8022" s="3">
        <f t="shared" si="952"/>
        <v>-765.48639999999989</v>
      </c>
      <c r="H8022" s="3">
        <f t="shared" si="953"/>
        <v>765.48639999999989</v>
      </c>
      <c r="I8022" s="5" t="str">
        <f t="shared" si="954"/>
        <v>017</v>
      </c>
      <c r="J8022" s="5" t="str">
        <f t="shared" si="955"/>
        <v>2220</v>
      </c>
      <c r="K8022" s="5" t="str">
        <f t="shared" si="956"/>
        <v>000</v>
      </c>
      <c r="L8022" s="5">
        <f t="shared" si="957"/>
        <v>8</v>
      </c>
      <c r="M8022" s="5">
        <f t="shared" si="958"/>
        <v>2013</v>
      </c>
    </row>
    <row r="8023" spans="1:13" ht="15" x14ac:dyDescent="0.25">
      <c r="A8023" s="1">
        <f>DATE(2013,8,22)</f>
        <v>41508</v>
      </c>
      <c r="B8023" t="s">
        <v>18</v>
      </c>
      <c r="C8023" t="s">
        <v>10</v>
      </c>
      <c r="D8023" s="3">
        <v>157.38239999999999</v>
      </c>
      <c r="E8023" s="3">
        <v>0</v>
      </c>
      <c r="F8023" t="s">
        <v>45</v>
      </c>
      <c r="G8023" s="3">
        <f t="shared" si="952"/>
        <v>-157.38239999999999</v>
      </c>
      <c r="H8023" s="3">
        <f t="shared" si="953"/>
        <v>157.38239999999999</v>
      </c>
      <c r="I8023" s="5" t="str">
        <f t="shared" si="954"/>
        <v>017</v>
      </c>
      <c r="J8023" s="5" t="str">
        <f t="shared" si="955"/>
        <v>2230</v>
      </c>
      <c r="K8023" s="5" t="str">
        <f t="shared" si="956"/>
        <v>000</v>
      </c>
      <c r="L8023" s="5">
        <f t="shared" si="957"/>
        <v>8</v>
      </c>
      <c r="M8023" s="5">
        <f t="shared" si="958"/>
        <v>2013</v>
      </c>
    </row>
    <row r="8024" spans="1:13" ht="15" x14ac:dyDescent="0.25">
      <c r="A8024" s="1">
        <f>DATE(2013,8,23)</f>
        <v>41509</v>
      </c>
      <c r="B8024" t="s">
        <v>15</v>
      </c>
      <c r="C8024" t="s">
        <v>6</v>
      </c>
      <c r="D8024" s="3">
        <v>6950.2132000000001</v>
      </c>
      <c r="E8024" s="3">
        <v>0</v>
      </c>
      <c r="F8024" t="s">
        <v>45</v>
      </c>
      <c r="G8024" s="3">
        <f t="shared" si="952"/>
        <v>-6950.2132000000001</v>
      </c>
      <c r="H8024" s="3">
        <f t="shared" si="953"/>
        <v>6950.2132000000001</v>
      </c>
      <c r="I8024" s="5" t="str">
        <f t="shared" si="954"/>
        <v>017</v>
      </c>
      <c r="J8024" s="5" t="str">
        <f t="shared" si="955"/>
        <v>2100</v>
      </c>
      <c r="K8024" s="5" t="str">
        <f t="shared" si="956"/>
        <v>000</v>
      </c>
      <c r="L8024" s="5">
        <f t="shared" si="957"/>
        <v>8</v>
      </c>
      <c r="M8024" s="5">
        <f t="shared" si="958"/>
        <v>2013</v>
      </c>
    </row>
    <row r="8025" spans="1:13" ht="15" x14ac:dyDescent="0.25">
      <c r="A8025" s="1">
        <f>DATE(2013,8,23)</f>
        <v>41509</v>
      </c>
      <c r="B8025" t="s">
        <v>16</v>
      </c>
      <c r="C8025" t="s">
        <v>8</v>
      </c>
      <c r="D8025" s="3">
        <v>2163.0422000000003</v>
      </c>
      <c r="E8025" s="3">
        <v>0</v>
      </c>
      <c r="F8025" t="s">
        <v>45</v>
      </c>
      <c r="G8025" s="3">
        <f t="shared" si="952"/>
        <v>-2163.0422000000003</v>
      </c>
      <c r="H8025" s="3">
        <f t="shared" si="953"/>
        <v>2163.0422000000003</v>
      </c>
      <c r="I8025" s="5" t="str">
        <f t="shared" si="954"/>
        <v>017</v>
      </c>
      <c r="J8025" s="5" t="str">
        <f t="shared" si="955"/>
        <v>2210</v>
      </c>
      <c r="K8025" s="5" t="str">
        <f t="shared" si="956"/>
        <v>000</v>
      </c>
      <c r="L8025" s="5">
        <f t="shared" si="957"/>
        <v>8</v>
      </c>
      <c r="M8025" s="5">
        <f t="shared" si="958"/>
        <v>2013</v>
      </c>
    </row>
    <row r="8026" spans="1:13" ht="15" x14ac:dyDescent="0.25">
      <c r="A8026" s="1">
        <f>DATE(2013,8,23)</f>
        <v>41509</v>
      </c>
      <c r="B8026" t="s">
        <v>17</v>
      </c>
      <c r="C8026" t="s">
        <v>9</v>
      </c>
      <c r="D8026" s="3">
        <v>329.43900000000002</v>
      </c>
      <c r="E8026" s="3">
        <v>0</v>
      </c>
      <c r="F8026" t="s">
        <v>45</v>
      </c>
      <c r="G8026" s="3">
        <f t="shared" si="952"/>
        <v>-329.43900000000002</v>
      </c>
      <c r="H8026" s="3">
        <f t="shared" si="953"/>
        <v>329.43900000000002</v>
      </c>
      <c r="I8026" s="5" t="str">
        <f t="shared" si="954"/>
        <v>017</v>
      </c>
      <c r="J8026" s="5" t="str">
        <f t="shared" si="955"/>
        <v>2220</v>
      </c>
      <c r="K8026" s="5" t="str">
        <f t="shared" si="956"/>
        <v>000</v>
      </c>
      <c r="L8026" s="5">
        <f t="shared" si="957"/>
        <v>8</v>
      </c>
      <c r="M8026" s="5">
        <f t="shared" si="958"/>
        <v>2013</v>
      </c>
    </row>
    <row r="8027" spans="1:13" ht="15" x14ac:dyDescent="0.25">
      <c r="A8027" s="1">
        <f>DATE(2013,8,23)</f>
        <v>41509</v>
      </c>
      <c r="B8027" t="s">
        <v>18</v>
      </c>
      <c r="C8027" t="s">
        <v>10</v>
      </c>
      <c r="D8027" s="3">
        <v>108.47019999999999</v>
      </c>
      <c r="E8027" s="3">
        <v>0</v>
      </c>
      <c r="F8027" t="s">
        <v>45</v>
      </c>
      <c r="G8027" s="3">
        <f t="shared" si="952"/>
        <v>-108.47019999999999</v>
      </c>
      <c r="H8027" s="3">
        <f t="shared" si="953"/>
        <v>108.47019999999999</v>
      </c>
      <c r="I8027" s="5" t="str">
        <f t="shared" si="954"/>
        <v>017</v>
      </c>
      <c r="J8027" s="5" t="str">
        <f t="shared" si="955"/>
        <v>2230</v>
      </c>
      <c r="K8027" s="5" t="str">
        <f t="shared" si="956"/>
        <v>000</v>
      </c>
      <c r="L8027" s="5">
        <f t="shared" si="957"/>
        <v>8</v>
      </c>
      <c r="M8027" s="5">
        <f t="shared" si="958"/>
        <v>2013</v>
      </c>
    </row>
    <row r="8028" spans="1:13" ht="15" x14ac:dyDescent="0.25">
      <c r="A8028" s="1">
        <f>DATE(2013,8,24)</f>
        <v>41510</v>
      </c>
      <c r="B8028" t="s">
        <v>15</v>
      </c>
      <c r="C8028" t="s">
        <v>6</v>
      </c>
      <c r="D8028" s="3">
        <v>5889.9840000000004</v>
      </c>
      <c r="E8028" s="3">
        <v>0</v>
      </c>
      <c r="F8028" t="s">
        <v>45</v>
      </c>
      <c r="G8028" s="3">
        <f t="shared" si="952"/>
        <v>-5889.9840000000004</v>
      </c>
      <c r="H8028" s="3">
        <f t="shared" si="953"/>
        <v>5889.9840000000004</v>
      </c>
      <c r="I8028" s="5" t="str">
        <f t="shared" si="954"/>
        <v>017</v>
      </c>
      <c r="J8028" s="5" t="str">
        <f t="shared" si="955"/>
        <v>2100</v>
      </c>
      <c r="K8028" s="5" t="str">
        <f t="shared" si="956"/>
        <v>000</v>
      </c>
      <c r="L8028" s="5">
        <f t="shared" si="957"/>
        <v>8</v>
      </c>
      <c r="M8028" s="5">
        <f t="shared" si="958"/>
        <v>2013</v>
      </c>
    </row>
    <row r="8029" spans="1:13" ht="15" x14ac:dyDescent="0.25">
      <c r="A8029" s="1">
        <f>DATE(2013,8,24)</f>
        <v>41510</v>
      </c>
      <c r="B8029" t="s">
        <v>16</v>
      </c>
      <c r="C8029" t="s">
        <v>8</v>
      </c>
      <c r="D8029" s="3">
        <v>1622.0144</v>
      </c>
      <c r="E8029" s="3">
        <v>0</v>
      </c>
      <c r="F8029" t="s">
        <v>45</v>
      </c>
      <c r="G8029" s="3">
        <f t="shared" si="952"/>
        <v>-1622.0144</v>
      </c>
      <c r="H8029" s="3">
        <f t="shared" si="953"/>
        <v>1622.0144</v>
      </c>
      <c r="I8029" s="5" t="str">
        <f t="shared" si="954"/>
        <v>017</v>
      </c>
      <c r="J8029" s="5" t="str">
        <f t="shared" si="955"/>
        <v>2210</v>
      </c>
      <c r="K8029" s="5" t="str">
        <f t="shared" si="956"/>
        <v>000</v>
      </c>
      <c r="L8029" s="5">
        <f t="shared" si="957"/>
        <v>8</v>
      </c>
      <c r="M8029" s="5">
        <f t="shared" si="958"/>
        <v>2013</v>
      </c>
    </row>
    <row r="8030" spans="1:13" ht="15" x14ac:dyDescent="0.25">
      <c r="A8030" s="1">
        <f>DATE(2013,8,24)</f>
        <v>41510</v>
      </c>
      <c r="B8030" t="s">
        <v>17</v>
      </c>
      <c r="C8030" t="s">
        <v>9</v>
      </c>
      <c r="D8030" s="3">
        <v>526.75540000000001</v>
      </c>
      <c r="E8030" s="3">
        <v>0</v>
      </c>
      <c r="F8030" t="s">
        <v>45</v>
      </c>
      <c r="G8030" s="3">
        <f t="shared" si="952"/>
        <v>-526.75540000000001</v>
      </c>
      <c r="H8030" s="3">
        <f t="shared" si="953"/>
        <v>526.75540000000001</v>
      </c>
      <c r="I8030" s="5" t="str">
        <f t="shared" si="954"/>
        <v>017</v>
      </c>
      <c r="J8030" s="5" t="str">
        <f t="shared" si="955"/>
        <v>2220</v>
      </c>
      <c r="K8030" s="5" t="str">
        <f t="shared" si="956"/>
        <v>000</v>
      </c>
      <c r="L8030" s="5">
        <f t="shared" si="957"/>
        <v>8</v>
      </c>
      <c r="M8030" s="5">
        <f t="shared" si="958"/>
        <v>2013</v>
      </c>
    </row>
    <row r="8031" spans="1:13" ht="15" x14ac:dyDescent="0.25">
      <c r="A8031" s="1">
        <f>DATE(2013,8,24)</f>
        <v>41510</v>
      </c>
      <c r="B8031" t="s">
        <v>18</v>
      </c>
      <c r="C8031" t="s">
        <v>10</v>
      </c>
      <c r="D8031" s="3">
        <v>43.5105</v>
      </c>
      <c r="E8031" s="3">
        <v>0</v>
      </c>
      <c r="F8031" t="s">
        <v>45</v>
      </c>
      <c r="G8031" s="3">
        <f t="shared" si="952"/>
        <v>-43.5105</v>
      </c>
      <c r="H8031" s="3">
        <f t="shared" si="953"/>
        <v>43.5105</v>
      </c>
      <c r="I8031" s="5" t="str">
        <f t="shared" si="954"/>
        <v>017</v>
      </c>
      <c r="J8031" s="5" t="str">
        <f t="shared" si="955"/>
        <v>2230</v>
      </c>
      <c r="K8031" s="5" t="str">
        <f t="shared" si="956"/>
        <v>000</v>
      </c>
      <c r="L8031" s="5">
        <f t="shared" si="957"/>
        <v>8</v>
      </c>
      <c r="M8031" s="5">
        <f t="shared" si="958"/>
        <v>2013</v>
      </c>
    </row>
    <row r="8032" spans="1:13" ht="15" x14ac:dyDescent="0.25">
      <c r="A8032" s="1">
        <f>DATE(2013,8,25)</f>
        <v>41511</v>
      </c>
      <c r="B8032" t="s">
        <v>15</v>
      </c>
      <c r="C8032" t="s">
        <v>6</v>
      </c>
      <c r="D8032" s="3">
        <v>5420.7532000000001</v>
      </c>
      <c r="E8032" s="3">
        <v>0</v>
      </c>
      <c r="F8032" t="s">
        <v>45</v>
      </c>
      <c r="G8032" s="3">
        <f t="shared" si="952"/>
        <v>-5420.7532000000001</v>
      </c>
      <c r="H8032" s="3">
        <f t="shared" si="953"/>
        <v>5420.7532000000001</v>
      </c>
      <c r="I8032" s="5" t="str">
        <f t="shared" si="954"/>
        <v>017</v>
      </c>
      <c r="J8032" s="5" t="str">
        <f t="shared" si="955"/>
        <v>2100</v>
      </c>
      <c r="K8032" s="5" t="str">
        <f t="shared" si="956"/>
        <v>000</v>
      </c>
      <c r="L8032" s="5">
        <f t="shared" si="957"/>
        <v>8</v>
      </c>
      <c r="M8032" s="5">
        <f t="shared" si="958"/>
        <v>2013</v>
      </c>
    </row>
    <row r="8033" spans="1:13" ht="15" x14ac:dyDescent="0.25">
      <c r="A8033" s="1">
        <f>DATE(2013,8,25)</f>
        <v>41511</v>
      </c>
      <c r="B8033" t="s">
        <v>16</v>
      </c>
      <c r="C8033" t="s">
        <v>8</v>
      </c>
      <c r="D8033" s="3">
        <v>1654.2857999999999</v>
      </c>
      <c r="E8033" s="3">
        <v>0</v>
      </c>
      <c r="F8033" t="s">
        <v>45</v>
      </c>
      <c r="G8033" s="3">
        <f t="shared" si="952"/>
        <v>-1654.2857999999999</v>
      </c>
      <c r="H8033" s="3">
        <f t="shared" si="953"/>
        <v>1654.2857999999999</v>
      </c>
      <c r="I8033" s="5" t="str">
        <f t="shared" si="954"/>
        <v>017</v>
      </c>
      <c r="J8033" s="5" t="str">
        <f t="shared" si="955"/>
        <v>2210</v>
      </c>
      <c r="K8033" s="5" t="str">
        <f t="shared" si="956"/>
        <v>000</v>
      </c>
      <c r="L8033" s="5">
        <f t="shared" si="957"/>
        <v>8</v>
      </c>
      <c r="M8033" s="5">
        <f t="shared" si="958"/>
        <v>2013</v>
      </c>
    </row>
    <row r="8034" spans="1:13" ht="15" x14ac:dyDescent="0.25">
      <c r="A8034" s="1">
        <f>DATE(2013,8,25)</f>
        <v>41511</v>
      </c>
      <c r="B8034" t="s">
        <v>17</v>
      </c>
      <c r="C8034" t="s">
        <v>9</v>
      </c>
      <c r="D8034" s="3">
        <v>238.2432</v>
      </c>
      <c r="E8034" s="3">
        <v>0</v>
      </c>
      <c r="F8034" t="s">
        <v>45</v>
      </c>
      <c r="G8034" s="3">
        <f t="shared" si="952"/>
        <v>-238.2432</v>
      </c>
      <c r="H8034" s="3">
        <f t="shared" si="953"/>
        <v>238.2432</v>
      </c>
      <c r="I8034" s="5" t="str">
        <f t="shared" si="954"/>
        <v>017</v>
      </c>
      <c r="J8034" s="5" t="str">
        <f t="shared" si="955"/>
        <v>2220</v>
      </c>
      <c r="K8034" s="5" t="str">
        <f t="shared" si="956"/>
        <v>000</v>
      </c>
      <c r="L8034" s="5">
        <f t="shared" si="957"/>
        <v>8</v>
      </c>
      <c r="M8034" s="5">
        <f t="shared" si="958"/>
        <v>2013</v>
      </c>
    </row>
    <row r="8035" spans="1:13" ht="15" x14ac:dyDescent="0.25">
      <c r="A8035" s="1">
        <f>DATE(2013,8,25)</f>
        <v>41511</v>
      </c>
      <c r="B8035" t="s">
        <v>18</v>
      </c>
      <c r="C8035" t="s">
        <v>10</v>
      </c>
      <c r="D8035" s="3">
        <v>72.605400000000003</v>
      </c>
      <c r="E8035" s="3">
        <v>0</v>
      </c>
      <c r="F8035" t="s">
        <v>45</v>
      </c>
      <c r="G8035" s="3">
        <f t="shared" si="952"/>
        <v>-72.605400000000003</v>
      </c>
      <c r="H8035" s="3">
        <f t="shared" si="953"/>
        <v>72.605400000000003</v>
      </c>
      <c r="I8035" s="5" t="str">
        <f t="shared" si="954"/>
        <v>017</v>
      </c>
      <c r="J8035" s="5" t="str">
        <f t="shared" si="955"/>
        <v>2230</v>
      </c>
      <c r="K8035" s="5" t="str">
        <f t="shared" si="956"/>
        <v>000</v>
      </c>
      <c r="L8035" s="5">
        <f t="shared" si="957"/>
        <v>8</v>
      </c>
      <c r="M8035" s="5">
        <f t="shared" si="958"/>
        <v>2013</v>
      </c>
    </row>
    <row r="8036" spans="1:13" ht="15" x14ac:dyDescent="0.25">
      <c r="A8036" s="1">
        <f>DATE(2013,8,19)</f>
        <v>41505</v>
      </c>
      <c r="B8036" t="s">
        <v>19</v>
      </c>
      <c r="C8036" t="s">
        <v>6</v>
      </c>
      <c r="D8036" s="3">
        <v>3358.72</v>
      </c>
      <c r="E8036" s="3">
        <v>0</v>
      </c>
      <c r="F8036" t="s">
        <v>45</v>
      </c>
      <c r="G8036" s="3">
        <f t="shared" si="952"/>
        <v>-3358.72</v>
      </c>
      <c r="H8036" s="3">
        <f t="shared" si="953"/>
        <v>3358.72</v>
      </c>
      <c r="I8036" s="5" t="str">
        <f t="shared" si="954"/>
        <v>018</v>
      </c>
      <c r="J8036" s="5" t="str">
        <f t="shared" si="955"/>
        <v>2100</v>
      </c>
      <c r="K8036" s="5" t="str">
        <f t="shared" si="956"/>
        <v>000</v>
      </c>
      <c r="L8036" s="5">
        <f t="shared" si="957"/>
        <v>8</v>
      </c>
      <c r="M8036" s="5">
        <f t="shared" si="958"/>
        <v>2013</v>
      </c>
    </row>
    <row r="8037" spans="1:13" ht="15" x14ac:dyDescent="0.25">
      <c r="A8037" s="1">
        <f>DATE(2013,8,19)</f>
        <v>41505</v>
      </c>
      <c r="B8037" t="s">
        <v>20</v>
      </c>
      <c r="C8037" t="s">
        <v>8</v>
      </c>
      <c r="D8037" s="3">
        <v>413.96840000000003</v>
      </c>
      <c r="E8037" s="3">
        <v>0</v>
      </c>
      <c r="F8037" t="s">
        <v>45</v>
      </c>
      <c r="G8037" s="3">
        <f t="shared" si="952"/>
        <v>-413.96840000000003</v>
      </c>
      <c r="H8037" s="3">
        <f t="shared" si="953"/>
        <v>413.96840000000003</v>
      </c>
      <c r="I8037" s="5" t="str">
        <f t="shared" si="954"/>
        <v>018</v>
      </c>
      <c r="J8037" s="5" t="str">
        <f t="shared" si="955"/>
        <v>2210</v>
      </c>
      <c r="K8037" s="5" t="str">
        <f t="shared" si="956"/>
        <v>000</v>
      </c>
      <c r="L8037" s="5">
        <f t="shared" si="957"/>
        <v>8</v>
      </c>
      <c r="M8037" s="5">
        <f t="shared" si="958"/>
        <v>2013</v>
      </c>
    </row>
    <row r="8038" spans="1:13" ht="15" x14ac:dyDescent="0.25">
      <c r="A8038" s="1">
        <f>DATE(2013,8,19)</f>
        <v>41505</v>
      </c>
      <c r="B8038" t="s">
        <v>21</v>
      </c>
      <c r="C8038" t="s">
        <v>9</v>
      </c>
      <c r="D8038" s="3">
        <v>110.73859999999999</v>
      </c>
      <c r="E8038" s="3">
        <v>0</v>
      </c>
      <c r="F8038" t="s">
        <v>45</v>
      </c>
      <c r="G8038" s="3">
        <f t="shared" si="952"/>
        <v>-110.73859999999999</v>
      </c>
      <c r="H8038" s="3">
        <f t="shared" si="953"/>
        <v>110.73859999999999</v>
      </c>
      <c r="I8038" s="5" t="str">
        <f t="shared" si="954"/>
        <v>018</v>
      </c>
      <c r="J8038" s="5" t="str">
        <f t="shared" si="955"/>
        <v>2220</v>
      </c>
      <c r="K8038" s="5" t="str">
        <f t="shared" si="956"/>
        <v>000</v>
      </c>
      <c r="L8038" s="5">
        <f t="shared" si="957"/>
        <v>8</v>
      </c>
      <c r="M8038" s="5">
        <f t="shared" si="958"/>
        <v>2013</v>
      </c>
    </row>
    <row r="8039" spans="1:13" ht="15" x14ac:dyDescent="0.25">
      <c r="A8039" s="1">
        <f>DATE(2013,8,19)</f>
        <v>41505</v>
      </c>
      <c r="B8039" t="s">
        <v>22</v>
      </c>
      <c r="C8039" t="s">
        <v>10</v>
      </c>
      <c r="D8039" s="3">
        <v>6.4719000000000007</v>
      </c>
      <c r="E8039" s="3">
        <v>0</v>
      </c>
      <c r="F8039" t="s">
        <v>45</v>
      </c>
      <c r="G8039" s="3">
        <f t="shared" si="952"/>
        <v>-6.4719000000000007</v>
      </c>
      <c r="H8039" s="3">
        <f t="shared" si="953"/>
        <v>6.4719000000000007</v>
      </c>
      <c r="I8039" s="5" t="str">
        <f t="shared" si="954"/>
        <v>018</v>
      </c>
      <c r="J8039" s="5" t="str">
        <f t="shared" si="955"/>
        <v>2230</v>
      </c>
      <c r="K8039" s="5" t="str">
        <f t="shared" si="956"/>
        <v>000</v>
      </c>
      <c r="L8039" s="5">
        <f t="shared" si="957"/>
        <v>8</v>
      </c>
      <c r="M8039" s="5">
        <f t="shared" si="958"/>
        <v>2013</v>
      </c>
    </row>
    <row r="8040" spans="1:13" ht="15" x14ac:dyDescent="0.25">
      <c r="A8040" s="1">
        <f>DATE(2013,8,20)</f>
        <v>41506</v>
      </c>
      <c r="B8040" t="s">
        <v>19</v>
      </c>
      <c r="C8040" t="s">
        <v>6</v>
      </c>
      <c r="D8040" s="3">
        <v>3844.8424000000005</v>
      </c>
      <c r="E8040" s="3">
        <v>0</v>
      </c>
      <c r="F8040" t="s">
        <v>45</v>
      </c>
      <c r="G8040" s="3">
        <f t="shared" si="952"/>
        <v>-3844.8424000000005</v>
      </c>
      <c r="H8040" s="3">
        <f t="shared" si="953"/>
        <v>3844.8424000000005</v>
      </c>
      <c r="I8040" s="5" t="str">
        <f t="shared" si="954"/>
        <v>018</v>
      </c>
      <c r="J8040" s="5" t="str">
        <f t="shared" si="955"/>
        <v>2100</v>
      </c>
      <c r="K8040" s="5" t="str">
        <f t="shared" si="956"/>
        <v>000</v>
      </c>
      <c r="L8040" s="5">
        <f t="shared" si="957"/>
        <v>8</v>
      </c>
      <c r="M8040" s="5">
        <f t="shared" si="958"/>
        <v>2013</v>
      </c>
    </row>
    <row r="8041" spans="1:13" ht="15" x14ac:dyDescent="0.25">
      <c r="A8041" s="1">
        <f>DATE(2013,8,20)</f>
        <v>41506</v>
      </c>
      <c r="B8041" t="s">
        <v>20</v>
      </c>
      <c r="C8041" t="s">
        <v>8</v>
      </c>
      <c r="D8041" s="3">
        <v>795.69010000000003</v>
      </c>
      <c r="E8041" s="3">
        <v>0</v>
      </c>
      <c r="F8041" t="s">
        <v>45</v>
      </c>
      <c r="G8041" s="3">
        <f t="shared" si="952"/>
        <v>-795.69010000000003</v>
      </c>
      <c r="H8041" s="3">
        <f t="shared" si="953"/>
        <v>795.69010000000003</v>
      </c>
      <c r="I8041" s="5" t="str">
        <f t="shared" si="954"/>
        <v>018</v>
      </c>
      <c r="J8041" s="5" t="str">
        <f t="shared" si="955"/>
        <v>2210</v>
      </c>
      <c r="K8041" s="5" t="str">
        <f t="shared" si="956"/>
        <v>000</v>
      </c>
      <c r="L8041" s="5">
        <f t="shared" si="957"/>
        <v>8</v>
      </c>
      <c r="M8041" s="5">
        <f t="shared" si="958"/>
        <v>2013</v>
      </c>
    </row>
    <row r="8042" spans="1:13" ht="15" x14ac:dyDescent="0.25">
      <c r="A8042" s="1">
        <f>DATE(2013,8,20)</f>
        <v>41506</v>
      </c>
      <c r="B8042" t="s">
        <v>21</v>
      </c>
      <c r="C8042" t="s">
        <v>9</v>
      </c>
      <c r="D8042" s="3">
        <v>231.29820000000001</v>
      </c>
      <c r="E8042" s="3">
        <v>0</v>
      </c>
      <c r="F8042" t="s">
        <v>45</v>
      </c>
      <c r="G8042" s="3">
        <f t="shared" si="952"/>
        <v>-231.29820000000001</v>
      </c>
      <c r="H8042" s="3">
        <f t="shared" si="953"/>
        <v>231.29820000000001</v>
      </c>
      <c r="I8042" s="5" t="str">
        <f t="shared" si="954"/>
        <v>018</v>
      </c>
      <c r="J8042" s="5" t="str">
        <f t="shared" si="955"/>
        <v>2220</v>
      </c>
      <c r="K8042" s="5" t="str">
        <f t="shared" si="956"/>
        <v>000</v>
      </c>
      <c r="L8042" s="5">
        <f t="shared" si="957"/>
        <v>8</v>
      </c>
      <c r="M8042" s="5">
        <f t="shared" si="958"/>
        <v>2013</v>
      </c>
    </row>
    <row r="8043" spans="1:13" ht="15" x14ac:dyDescent="0.25">
      <c r="A8043" s="1">
        <f>DATE(2013,8,20)</f>
        <v>41506</v>
      </c>
      <c r="B8043" t="s">
        <v>22</v>
      </c>
      <c r="C8043" t="s">
        <v>10</v>
      </c>
      <c r="D8043" s="3">
        <v>28.768000000000001</v>
      </c>
      <c r="E8043" s="3">
        <v>0</v>
      </c>
      <c r="F8043" t="s">
        <v>45</v>
      </c>
      <c r="G8043" s="3">
        <f t="shared" si="952"/>
        <v>-28.768000000000001</v>
      </c>
      <c r="H8043" s="3">
        <f t="shared" si="953"/>
        <v>28.768000000000001</v>
      </c>
      <c r="I8043" s="5" t="str">
        <f t="shared" si="954"/>
        <v>018</v>
      </c>
      <c r="J8043" s="5" t="str">
        <f t="shared" si="955"/>
        <v>2230</v>
      </c>
      <c r="K8043" s="5" t="str">
        <f t="shared" si="956"/>
        <v>000</v>
      </c>
      <c r="L8043" s="5">
        <f t="shared" si="957"/>
        <v>8</v>
      </c>
      <c r="M8043" s="5">
        <f t="shared" si="958"/>
        <v>2013</v>
      </c>
    </row>
    <row r="8044" spans="1:13" ht="15" x14ac:dyDescent="0.25">
      <c r="A8044" s="1">
        <f>DATE(2013,8,21)</f>
        <v>41507</v>
      </c>
      <c r="B8044" t="s">
        <v>19</v>
      </c>
      <c r="C8044" t="s">
        <v>6</v>
      </c>
      <c r="D8044" s="3">
        <v>4523.6352000000006</v>
      </c>
      <c r="E8044" s="3">
        <v>0</v>
      </c>
      <c r="F8044" t="s">
        <v>45</v>
      </c>
      <c r="G8044" s="3">
        <f t="shared" si="952"/>
        <v>-4523.6352000000006</v>
      </c>
      <c r="H8044" s="3">
        <f t="shared" si="953"/>
        <v>4523.6352000000006</v>
      </c>
      <c r="I8044" s="5" t="str">
        <f t="shared" si="954"/>
        <v>018</v>
      </c>
      <c r="J8044" s="5" t="str">
        <f t="shared" si="955"/>
        <v>2100</v>
      </c>
      <c r="K8044" s="5" t="str">
        <f t="shared" si="956"/>
        <v>000</v>
      </c>
      <c r="L8044" s="5">
        <f t="shared" si="957"/>
        <v>8</v>
      </c>
      <c r="M8044" s="5">
        <f t="shared" si="958"/>
        <v>2013</v>
      </c>
    </row>
    <row r="8045" spans="1:13" ht="15" x14ac:dyDescent="0.25">
      <c r="A8045" s="1">
        <f>DATE(2013,8,21)</f>
        <v>41507</v>
      </c>
      <c r="B8045" t="s">
        <v>20</v>
      </c>
      <c r="C8045" t="s">
        <v>8</v>
      </c>
      <c r="D8045" s="3">
        <v>959.7059999999999</v>
      </c>
      <c r="E8045" s="3">
        <v>0</v>
      </c>
      <c r="F8045" t="s">
        <v>45</v>
      </c>
      <c r="G8045" s="3">
        <f t="shared" si="952"/>
        <v>-959.7059999999999</v>
      </c>
      <c r="H8045" s="3">
        <f t="shared" si="953"/>
        <v>959.7059999999999</v>
      </c>
      <c r="I8045" s="5" t="str">
        <f t="shared" si="954"/>
        <v>018</v>
      </c>
      <c r="J8045" s="5" t="str">
        <f t="shared" si="955"/>
        <v>2210</v>
      </c>
      <c r="K8045" s="5" t="str">
        <f t="shared" si="956"/>
        <v>000</v>
      </c>
      <c r="L8045" s="5">
        <f t="shared" si="957"/>
        <v>8</v>
      </c>
      <c r="M8045" s="5">
        <f t="shared" si="958"/>
        <v>2013</v>
      </c>
    </row>
    <row r="8046" spans="1:13" ht="15" x14ac:dyDescent="0.25">
      <c r="A8046" s="1">
        <f>DATE(2013,8,21)</f>
        <v>41507</v>
      </c>
      <c r="B8046" t="s">
        <v>21</v>
      </c>
      <c r="C8046" t="s">
        <v>9</v>
      </c>
      <c r="D8046" s="3">
        <v>271.86689999999999</v>
      </c>
      <c r="E8046" s="3">
        <v>0</v>
      </c>
      <c r="F8046" t="s">
        <v>45</v>
      </c>
      <c r="G8046" s="3">
        <f t="shared" si="952"/>
        <v>-271.86689999999999</v>
      </c>
      <c r="H8046" s="3">
        <f t="shared" si="953"/>
        <v>271.86689999999999</v>
      </c>
      <c r="I8046" s="5" t="str">
        <f t="shared" si="954"/>
        <v>018</v>
      </c>
      <c r="J8046" s="5" t="str">
        <f t="shared" si="955"/>
        <v>2220</v>
      </c>
      <c r="K8046" s="5" t="str">
        <f t="shared" si="956"/>
        <v>000</v>
      </c>
      <c r="L8046" s="5">
        <f t="shared" si="957"/>
        <v>8</v>
      </c>
      <c r="M8046" s="5">
        <f t="shared" si="958"/>
        <v>2013</v>
      </c>
    </row>
    <row r="8047" spans="1:13" ht="15" x14ac:dyDescent="0.25">
      <c r="A8047" s="1">
        <f>DATE(2013,8,21)</f>
        <v>41507</v>
      </c>
      <c r="B8047" t="s">
        <v>22</v>
      </c>
      <c r="C8047" t="s">
        <v>10</v>
      </c>
      <c r="D8047" s="3">
        <v>27.166000000000004</v>
      </c>
      <c r="E8047" s="3">
        <v>0</v>
      </c>
      <c r="F8047" t="s">
        <v>45</v>
      </c>
      <c r="G8047" s="3">
        <f t="shared" si="952"/>
        <v>-27.166000000000004</v>
      </c>
      <c r="H8047" s="3">
        <f t="shared" si="953"/>
        <v>27.166000000000004</v>
      </c>
      <c r="I8047" s="5" t="str">
        <f t="shared" si="954"/>
        <v>018</v>
      </c>
      <c r="J8047" s="5" t="str">
        <f t="shared" si="955"/>
        <v>2230</v>
      </c>
      <c r="K8047" s="5" t="str">
        <f t="shared" si="956"/>
        <v>000</v>
      </c>
      <c r="L8047" s="5">
        <f t="shared" si="957"/>
        <v>8</v>
      </c>
      <c r="M8047" s="5">
        <f t="shared" si="958"/>
        <v>2013</v>
      </c>
    </row>
    <row r="8048" spans="1:13" ht="15" x14ac:dyDescent="0.25">
      <c r="A8048" s="1">
        <f>DATE(2013,8,22)</f>
        <v>41508</v>
      </c>
      <c r="B8048" t="s">
        <v>19</v>
      </c>
      <c r="C8048" t="s">
        <v>6</v>
      </c>
      <c r="D8048" s="3">
        <v>4048.1911999999998</v>
      </c>
      <c r="E8048" s="3">
        <v>0</v>
      </c>
      <c r="F8048" t="s">
        <v>45</v>
      </c>
      <c r="G8048" s="3">
        <f t="shared" si="952"/>
        <v>-4048.1911999999998</v>
      </c>
      <c r="H8048" s="3">
        <f t="shared" si="953"/>
        <v>4048.1911999999998</v>
      </c>
      <c r="I8048" s="5" t="str">
        <f t="shared" si="954"/>
        <v>018</v>
      </c>
      <c r="J8048" s="5" t="str">
        <f t="shared" si="955"/>
        <v>2100</v>
      </c>
      <c r="K8048" s="5" t="str">
        <f t="shared" si="956"/>
        <v>000</v>
      </c>
      <c r="L8048" s="5">
        <f t="shared" si="957"/>
        <v>8</v>
      </c>
      <c r="M8048" s="5">
        <f t="shared" si="958"/>
        <v>2013</v>
      </c>
    </row>
    <row r="8049" spans="1:13" ht="15" x14ac:dyDescent="0.25">
      <c r="A8049" s="1">
        <f>DATE(2013,8,22)</f>
        <v>41508</v>
      </c>
      <c r="B8049" t="s">
        <v>20</v>
      </c>
      <c r="C8049" t="s">
        <v>8</v>
      </c>
      <c r="D8049" s="3">
        <v>892.28800000000001</v>
      </c>
      <c r="E8049" s="3">
        <v>0</v>
      </c>
      <c r="F8049" t="s">
        <v>45</v>
      </c>
      <c r="G8049" s="3">
        <f t="shared" si="952"/>
        <v>-892.28800000000001</v>
      </c>
      <c r="H8049" s="3">
        <f t="shared" si="953"/>
        <v>892.28800000000001</v>
      </c>
      <c r="I8049" s="5" t="str">
        <f t="shared" si="954"/>
        <v>018</v>
      </c>
      <c r="J8049" s="5" t="str">
        <f t="shared" si="955"/>
        <v>2210</v>
      </c>
      <c r="K8049" s="5" t="str">
        <f t="shared" si="956"/>
        <v>000</v>
      </c>
      <c r="L8049" s="5">
        <f t="shared" si="957"/>
        <v>8</v>
      </c>
      <c r="M8049" s="5">
        <f t="shared" si="958"/>
        <v>2013</v>
      </c>
    </row>
    <row r="8050" spans="1:13" ht="15" x14ac:dyDescent="0.25">
      <c r="A8050" s="1">
        <f>DATE(2013,8,22)</f>
        <v>41508</v>
      </c>
      <c r="B8050" t="s">
        <v>21</v>
      </c>
      <c r="C8050" t="s">
        <v>9</v>
      </c>
      <c r="D8050" s="3">
        <v>318.66359999999997</v>
      </c>
      <c r="E8050" s="3">
        <v>0</v>
      </c>
      <c r="F8050" t="s">
        <v>45</v>
      </c>
      <c r="G8050" s="3">
        <f t="shared" si="952"/>
        <v>-318.66359999999997</v>
      </c>
      <c r="H8050" s="3">
        <f t="shared" si="953"/>
        <v>318.66359999999997</v>
      </c>
      <c r="I8050" s="5" t="str">
        <f t="shared" si="954"/>
        <v>018</v>
      </c>
      <c r="J8050" s="5" t="str">
        <f t="shared" si="955"/>
        <v>2220</v>
      </c>
      <c r="K8050" s="5" t="str">
        <f t="shared" si="956"/>
        <v>000</v>
      </c>
      <c r="L8050" s="5">
        <f t="shared" si="957"/>
        <v>8</v>
      </c>
      <c r="M8050" s="5">
        <f t="shared" si="958"/>
        <v>2013</v>
      </c>
    </row>
    <row r="8051" spans="1:13" ht="15" x14ac:dyDescent="0.25">
      <c r="A8051" s="1">
        <f>DATE(2013,8,22)</f>
        <v>41508</v>
      </c>
      <c r="B8051" t="s">
        <v>22</v>
      </c>
      <c r="C8051" t="s">
        <v>10</v>
      </c>
      <c r="D8051" s="3">
        <v>67.313400000000001</v>
      </c>
      <c r="E8051" s="3">
        <v>0</v>
      </c>
      <c r="F8051" t="s">
        <v>45</v>
      </c>
      <c r="G8051" s="3">
        <f t="shared" si="952"/>
        <v>-67.313400000000001</v>
      </c>
      <c r="H8051" s="3">
        <f t="shared" si="953"/>
        <v>67.313400000000001</v>
      </c>
      <c r="I8051" s="5" t="str">
        <f t="shared" si="954"/>
        <v>018</v>
      </c>
      <c r="J8051" s="5" t="str">
        <f t="shared" si="955"/>
        <v>2230</v>
      </c>
      <c r="K8051" s="5" t="str">
        <f t="shared" si="956"/>
        <v>000</v>
      </c>
      <c r="L8051" s="5">
        <f t="shared" si="957"/>
        <v>8</v>
      </c>
      <c r="M8051" s="5">
        <f t="shared" si="958"/>
        <v>2013</v>
      </c>
    </row>
    <row r="8052" spans="1:13" ht="15" x14ac:dyDescent="0.25">
      <c r="A8052" s="1">
        <f>DATE(2013,8,23)</f>
        <v>41509</v>
      </c>
      <c r="B8052" t="s">
        <v>19</v>
      </c>
      <c r="C8052" t="s">
        <v>6</v>
      </c>
      <c r="D8052" s="3">
        <v>9186.869999999999</v>
      </c>
      <c r="E8052" s="3">
        <v>0</v>
      </c>
      <c r="F8052" t="s">
        <v>45</v>
      </c>
      <c r="G8052" s="3">
        <f t="shared" si="952"/>
        <v>-9186.869999999999</v>
      </c>
      <c r="H8052" s="3">
        <f t="shared" si="953"/>
        <v>9186.869999999999</v>
      </c>
      <c r="I8052" s="5" t="str">
        <f t="shared" si="954"/>
        <v>018</v>
      </c>
      <c r="J8052" s="5" t="str">
        <f t="shared" si="955"/>
        <v>2100</v>
      </c>
      <c r="K8052" s="5" t="str">
        <f t="shared" si="956"/>
        <v>000</v>
      </c>
      <c r="L8052" s="5">
        <f t="shared" si="957"/>
        <v>8</v>
      </c>
      <c r="M8052" s="5">
        <f t="shared" si="958"/>
        <v>2013</v>
      </c>
    </row>
    <row r="8053" spans="1:13" ht="15" x14ac:dyDescent="0.25">
      <c r="A8053" s="1">
        <f>DATE(2013,8,23)</f>
        <v>41509</v>
      </c>
      <c r="B8053" t="s">
        <v>20</v>
      </c>
      <c r="C8053" t="s">
        <v>8</v>
      </c>
      <c r="D8053" s="3">
        <v>1686.3224000000002</v>
      </c>
      <c r="E8053" s="3">
        <v>0</v>
      </c>
      <c r="F8053" t="s">
        <v>45</v>
      </c>
      <c r="G8053" s="3">
        <f t="shared" si="952"/>
        <v>-1686.3224000000002</v>
      </c>
      <c r="H8053" s="3">
        <f t="shared" si="953"/>
        <v>1686.3224000000002</v>
      </c>
      <c r="I8053" s="5" t="str">
        <f t="shared" si="954"/>
        <v>018</v>
      </c>
      <c r="J8053" s="5" t="str">
        <f t="shared" si="955"/>
        <v>2210</v>
      </c>
      <c r="K8053" s="5" t="str">
        <f t="shared" si="956"/>
        <v>000</v>
      </c>
      <c r="L8053" s="5">
        <f t="shared" si="957"/>
        <v>8</v>
      </c>
      <c r="M8053" s="5">
        <f t="shared" si="958"/>
        <v>2013</v>
      </c>
    </row>
    <row r="8054" spans="1:13" ht="15" x14ac:dyDescent="0.25">
      <c r="A8054" s="1">
        <f>DATE(2013,8,23)</f>
        <v>41509</v>
      </c>
      <c r="B8054" t="s">
        <v>21</v>
      </c>
      <c r="C8054" t="s">
        <v>9</v>
      </c>
      <c r="D8054" s="3">
        <v>469.62869999999992</v>
      </c>
      <c r="E8054" s="3">
        <v>0</v>
      </c>
      <c r="F8054" t="s">
        <v>45</v>
      </c>
      <c r="G8054" s="3">
        <f t="shared" si="952"/>
        <v>-469.62869999999992</v>
      </c>
      <c r="H8054" s="3">
        <f t="shared" si="953"/>
        <v>469.62869999999992</v>
      </c>
      <c r="I8054" s="5" t="str">
        <f t="shared" si="954"/>
        <v>018</v>
      </c>
      <c r="J8054" s="5" t="str">
        <f t="shared" si="955"/>
        <v>2220</v>
      </c>
      <c r="K8054" s="5" t="str">
        <f t="shared" si="956"/>
        <v>000</v>
      </c>
      <c r="L8054" s="5">
        <f t="shared" si="957"/>
        <v>8</v>
      </c>
      <c r="M8054" s="5">
        <f t="shared" si="958"/>
        <v>2013</v>
      </c>
    </row>
    <row r="8055" spans="1:13" ht="15" x14ac:dyDescent="0.25">
      <c r="A8055" s="1">
        <f>DATE(2013,8,23)</f>
        <v>41509</v>
      </c>
      <c r="B8055" t="s">
        <v>22</v>
      </c>
      <c r="C8055" t="s">
        <v>10</v>
      </c>
      <c r="D8055" s="3">
        <v>40.790700000000001</v>
      </c>
      <c r="E8055" s="3">
        <v>0</v>
      </c>
      <c r="F8055" t="s">
        <v>45</v>
      </c>
      <c r="G8055" s="3">
        <f t="shared" si="952"/>
        <v>-40.790700000000001</v>
      </c>
      <c r="H8055" s="3">
        <f t="shared" si="953"/>
        <v>40.790700000000001</v>
      </c>
      <c r="I8055" s="5" t="str">
        <f t="shared" si="954"/>
        <v>018</v>
      </c>
      <c r="J8055" s="5" t="str">
        <f t="shared" si="955"/>
        <v>2230</v>
      </c>
      <c r="K8055" s="5" t="str">
        <f t="shared" si="956"/>
        <v>000</v>
      </c>
      <c r="L8055" s="5">
        <f t="shared" si="957"/>
        <v>8</v>
      </c>
      <c r="M8055" s="5">
        <f t="shared" si="958"/>
        <v>2013</v>
      </c>
    </row>
    <row r="8056" spans="1:13" ht="15" x14ac:dyDescent="0.25">
      <c r="A8056" s="1">
        <f>DATE(2013,8,24)</f>
        <v>41510</v>
      </c>
      <c r="B8056" t="s">
        <v>19</v>
      </c>
      <c r="C8056" t="s">
        <v>6</v>
      </c>
      <c r="D8056" s="3">
        <v>15875.971299999999</v>
      </c>
      <c r="E8056" s="3">
        <v>0</v>
      </c>
      <c r="F8056" t="s">
        <v>45</v>
      </c>
      <c r="G8056" s="3">
        <f t="shared" si="952"/>
        <v>-15875.971299999999</v>
      </c>
      <c r="H8056" s="3">
        <f t="shared" si="953"/>
        <v>15875.971299999999</v>
      </c>
      <c r="I8056" s="5" t="str">
        <f t="shared" si="954"/>
        <v>018</v>
      </c>
      <c r="J8056" s="5" t="str">
        <f t="shared" si="955"/>
        <v>2100</v>
      </c>
      <c r="K8056" s="5" t="str">
        <f t="shared" si="956"/>
        <v>000</v>
      </c>
      <c r="L8056" s="5">
        <f t="shared" si="957"/>
        <v>8</v>
      </c>
      <c r="M8056" s="5">
        <f t="shared" si="958"/>
        <v>2013</v>
      </c>
    </row>
    <row r="8057" spans="1:13" ht="15" x14ac:dyDescent="0.25">
      <c r="A8057" s="1">
        <f>DATE(2013,8,24)</f>
        <v>41510</v>
      </c>
      <c r="B8057" t="s">
        <v>20</v>
      </c>
      <c r="C8057" t="s">
        <v>8</v>
      </c>
      <c r="D8057" s="3">
        <v>2631.23</v>
      </c>
      <c r="E8057" s="3">
        <v>0</v>
      </c>
      <c r="F8057" t="s">
        <v>45</v>
      </c>
      <c r="G8057" s="3">
        <f t="shared" si="952"/>
        <v>-2631.23</v>
      </c>
      <c r="H8057" s="3">
        <f t="shared" si="953"/>
        <v>2631.23</v>
      </c>
      <c r="I8057" s="5" t="str">
        <f t="shared" si="954"/>
        <v>018</v>
      </c>
      <c r="J8057" s="5" t="str">
        <f t="shared" si="955"/>
        <v>2210</v>
      </c>
      <c r="K8057" s="5" t="str">
        <f t="shared" si="956"/>
        <v>000</v>
      </c>
      <c r="L8057" s="5">
        <f t="shared" si="957"/>
        <v>8</v>
      </c>
      <c r="M8057" s="5">
        <f t="shared" si="958"/>
        <v>2013</v>
      </c>
    </row>
    <row r="8058" spans="1:13" ht="15" x14ac:dyDescent="0.25">
      <c r="A8058" s="1">
        <f>DATE(2013,8,24)</f>
        <v>41510</v>
      </c>
      <c r="B8058" t="s">
        <v>21</v>
      </c>
      <c r="C8058" t="s">
        <v>9</v>
      </c>
      <c r="D8058" s="3">
        <v>991.45799999999997</v>
      </c>
      <c r="E8058" s="3">
        <v>0</v>
      </c>
      <c r="F8058" t="s">
        <v>45</v>
      </c>
      <c r="G8058" s="3">
        <f t="shared" si="952"/>
        <v>-991.45799999999997</v>
      </c>
      <c r="H8058" s="3">
        <f t="shared" si="953"/>
        <v>991.45799999999997</v>
      </c>
      <c r="I8058" s="5" t="str">
        <f t="shared" si="954"/>
        <v>018</v>
      </c>
      <c r="J8058" s="5" t="str">
        <f t="shared" si="955"/>
        <v>2220</v>
      </c>
      <c r="K8058" s="5" t="str">
        <f t="shared" si="956"/>
        <v>000</v>
      </c>
      <c r="L8058" s="5">
        <f t="shared" si="957"/>
        <v>8</v>
      </c>
      <c r="M8058" s="5">
        <f t="shared" si="958"/>
        <v>2013</v>
      </c>
    </row>
    <row r="8059" spans="1:13" ht="15" x14ac:dyDescent="0.25">
      <c r="A8059" s="1">
        <f>DATE(2013,8,24)</f>
        <v>41510</v>
      </c>
      <c r="B8059" t="s">
        <v>22</v>
      </c>
      <c r="C8059" t="s">
        <v>10</v>
      </c>
      <c r="D8059" s="3">
        <v>55.087200000000003</v>
      </c>
      <c r="E8059" s="3">
        <v>0</v>
      </c>
      <c r="F8059" t="s">
        <v>45</v>
      </c>
      <c r="G8059" s="3">
        <f t="shared" si="952"/>
        <v>-55.087200000000003</v>
      </c>
      <c r="H8059" s="3">
        <f t="shared" si="953"/>
        <v>55.087200000000003</v>
      </c>
      <c r="I8059" s="5" t="str">
        <f t="shared" si="954"/>
        <v>018</v>
      </c>
      <c r="J8059" s="5" t="str">
        <f t="shared" si="955"/>
        <v>2230</v>
      </c>
      <c r="K8059" s="5" t="str">
        <f t="shared" si="956"/>
        <v>000</v>
      </c>
      <c r="L8059" s="5">
        <f t="shared" si="957"/>
        <v>8</v>
      </c>
      <c r="M8059" s="5">
        <f t="shared" si="958"/>
        <v>2013</v>
      </c>
    </row>
    <row r="8060" spans="1:13" ht="15" x14ac:dyDescent="0.25">
      <c r="A8060" s="1">
        <f>DATE(2013,8,25)</f>
        <v>41511</v>
      </c>
      <c r="B8060" t="s">
        <v>19</v>
      </c>
      <c r="C8060" t="s">
        <v>6</v>
      </c>
      <c r="D8060" s="3">
        <v>10485.9058</v>
      </c>
      <c r="E8060" s="3">
        <v>0</v>
      </c>
      <c r="F8060" t="s">
        <v>45</v>
      </c>
      <c r="G8060" s="3">
        <f t="shared" si="952"/>
        <v>-10485.9058</v>
      </c>
      <c r="H8060" s="3">
        <f t="shared" si="953"/>
        <v>10485.9058</v>
      </c>
      <c r="I8060" s="5" t="str">
        <f t="shared" si="954"/>
        <v>018</v>
      </c>
      <c r="J8060" s="5" t="str">
        <f t="shared" si="955"/>
        <v>2100</v>
      </c>
      <c r="K8060" s="5" t="str">
        <f t="shared" si="956"/>
        <v>000</v>
      </c>
      <c r="L8060" s="5">
        <f t="shared" si="957"/>
        <v>8</v>
      </c>
      <c r="M8060" s="5">
        <f t="shared" si="958"/>
        <v>2013</v>
      </c>
    </row>
    <row r="8061" spans="1:13" ht="15" x14ac:dyDescent="0.25">
      <c r="A8061" s="1">
        <f>DATE(2013,8,25)</f>
        <v>41511</v>
      </c>
      <c r="B8061" t="s">
        <v>20</v>
      </c>
      <c r="C8061" t="s">
        <v>8</v>
      </c>
      <c r="D8061" s="3">
        <v>1273.2080000000001</v>
      </c>
      <c r="E8061" s="3">
        <v>0</v>
      </c>
      <c r="F8061" t="s">
        <v>45</v>
      </c>
      <c r="G8061" s="3">
        <f t="shared" si="952"/>
        <v>-1273.2080000000001</v>
      </c>
      <c r="H8061" s="3">
        <f t="shared" si="953"/>
        <v>1273.2080000000001</v>
      </c>
      <c r="I8061" s="5" t="str">
        <f t="shared" si="954"/>
        <v>018</v>
      </c>
      <c r="J8061" s="5" t="str">
        <f t="shared" si="955"/>
        <v>2210</v>
      </c>
      <c r="K8061" s="5" t="str">
        <f t="shared" si="956"/>
        <v>000</v>
      </c>
      <c r="L8061" s="5">
        <f t="shared" si="957"/>
        <v>8</v>
      </c>
      <c r="M8061" s="5">
        <f t="shared" si="958"/>
        <v>2013</v>
      </c>
    </row>
    <row r="8062" spans="1:13" ht="15" x14ac:dyDescent="0.25">
      <c r="A8062" s="1">
        <f>DATE(2013,8,25)</f>
        <v>41511</v>
      </c>
      <c r="B8062" t="s">
        <v>21</v>
      </c>
      <c r="C8062" t="s">
        <v>9</v>
      </c>
      <c r="D8062" s="3">
        <v>326.26800000000003</v>
      </c>
      <c r="E8062" s="3">
        <v>0</v>
      </c>
      <c r="F8062" t="s">
        <v>45</v>
      </c>
      <c r="G8062" s="3">
        <f t="shared" si="952"/>
        <v>-326.26800000000003</v>
      </c>
      <c r="H8062" s="3">
        <f t="shared" si="953"/>
        <v>326.26800000000003</v>
      </c>
      <c r="I8062" s="5" t="str">
        <f t="shared" si="954"/>
        <v>018</v>
      </c>
      <c r="J8062" s="5" t="str">
        <f t="shared" si="955"/>
        <v>2220</v>
      </c>
      <c r="K8062" s="5" t="str">
        <f t="shared" si="956"/>
        <v>000</v>
      </c>
      <c r="L8062" s="5">
        <f t="shared" si="957"/>
        <v>8</v>
      </c>
      <c r="M8062" s="5">
        <f t="shared" si="958"/>
        <v>2013</v>
      </c>
    </row>
    <row r="8063" spans="1:13" ht="15" x14ac:dyDescent="0.25">
      <c r="A8063" s="1">
        <f>DATE(2013,8,25)</f>
        <v>41511</v>
      </c>
      <c r="B8063" t="s">
        <v>22</v>
      </c>
      <c r="C8063" t="s">
        <v>10</v>
      </c>
      <c r="D8063" s="3">
        <v>84.106599999999986</v>
      </c>
      <c r="E8063" s="3">
        <v>0</v>
      </c>
      <c r="F8063" t="s">
        <v>45</v>
      </c>
      <c r="G8063" s="3">
        <f t="shared" si="952"/>
        <v>-84.106599999999986</v>
      </c>
      <c r="H8063" s="3">
        <f t="shared" si="953"/>
        <v>84.106599999999986</v>
      </c>
      <c r="I8063" s="5" t="str">
        <f t="shared" si="954"/>
        <v>018</v>
      </c>
      <c r="J8063" s="5" t="str">
        <f t="shared" si="955"/>
        <v>2230</v>
      </c>
      <c r="K8063" s="5" t="str">
        <f t="shared" si="956"/>
        <v>000</v>
      </c>
      <c r="L8063" s="5">
        <f t="shared" si="957"/>
        <v>8</v>
      </c>
      <c r="M8063" s="5">
        <f t="shared" si="958"/>
        <v>2013</v>
      </c>
    </row>
    <row r="8064" spans="1:13" ht="15" x14ac:dyDescent="0.25">
      <c r="A8064" s="1">
        <f>DATE(2013,8,19)</f>
        <v>41505</v>
      </c>
      <c r="B8064" t="s">
        <v>23</v>
      </c>
      <c r="C8064" t="s">
        <v>6</v>
      </c>
      <c r="D8064" s="3">
        <v>3046.8828000000003</v>
      </c>
      <c r="E8064" s="3">
        <v>0</v>
      </c>
      <c r="F8064" t="s">
        <v>45</v>
      </c>
      <c r="G8064" s="3">
        <f t="shared" si="952"/>
        <v>-3046.8828000000003</v>
      </c>
      <c r="H8064" s="3">
        <f t="shared" si="953"/>
        <v>3046.8828000000003</v>
      </c>
      <c r="I8064" s="5" t="str">
        <f t="shared" si="954"/>
        <v>019</v>
      </c>
      <c r="J8064" s="5" t="str">
        <f t="shared" si="955"/>
        <v>2100</v>
      </c>
      <c r="K8064" s="5" t="str">
        <f t="shared" si="956"/>
        <v>000</v>
      </c>
      <c r="L8064" s="5">
        <f t="shared" si="957"/>
        <v>8</v>
      </c>
      <c r="M8064" s="5">
        <f t="shared" si="958"/>
        <v>2013</v>
      </c>
    </row>
    <row r="8065" spans="1:13" ht="15" x14ac:dyDescent="0.25">
      <c r="A8065" s="1">
        <f>DATE(2013,8,19)</f>
        <v>41505</v>
      </c>
      <c r="B8065" t="s">
        <v>24</v>
      </c>
      <c r="C8065" t="s">
        <v>8</v>
      </c>
      <c r="D8065" s="3">
        <v>695.6880000000001</v>
      </c>
      <c r="E8065" s="3">
        <v>0</v>
      </c>
      <c r="F8065" t="s">
        <v>45</v>
      </c>
      <c r="G8065" s="3">
        <f t="shared" si="952"/>
        <v>-695.6880000000001</v>
      </c>
      <c r="H8065" s="3">
        <f t="shared" si="953"/>
        <v>695.6880000000001</v>
      </c>
      <c r="I8065" s="5" t="str">
        <f t="shared" si="954"/>
        <v>019</v>
      </c>
      <c r="J8065" s="5" t="str">
        <f t="shared" si="955"/>
        <v>2210</v>
      </c>
      <c r="K8065" s="5" t="str">
        <f t="shared" si="956"/>
        <v>000</v>
      </c>
      <c r="L8065" s="5">
        <f t="shared" si="957"/>
        <v>8</v>
      </c>
      <c r="M8065" s="5">
        <f t="shared" si="958"/>
        <v>2013</v>
      </c>
    </row>
    <row r="8066" spans="1:13" ht="15" x14ac:dyDescent="0.25">
      <c r="A8066" s="1">
        <f>DATE(2013,8,19)</f>
        <v>41505</v>
      </c>
      <c r="B8066" t="s">
        <v>25</v>
      </c>
      <c r="C8066" t="s">
        <v>9</v>
      </c>
      <c r="D8066" s="3">
        <v>179.27470000000002</v>
      </c>
      <c r="E8066" s="3">
        <v>0</v>
      </c>
      <c r="F8066" t="s">
        <v>45</v>
      </c>
      <c r="G8066" s="3">
        <f t="shared" ref="G8066:G8129" si="959">E8066-D8066</f>
        <v>-179.27470000000002</v>
      </c>
      <c r="H8066" s="3">
        <f t="shared" ref="H8066:H8129" si="960">ABS(G8066)</f>
        <v>179.27470000000002</v>
      </c>
      <c r="I8066" s="5" t="str">
        <f t="shared" ref="I8066:I8129" si="961">MID(B8066,1,3)</f>
        <v>019</v>
      </c>
      <c r="J8066" s="5" t="str">
        <f t="shared" ref="J8066:J8129" si="962">MID(B8066,5,4)</f>
        <v>2220</v>
      </c>
      <c r="K8066" s="5" t="str">
        <f t="shared" ref="K8066:K8129" si="963">MID(B8066,10,3)</f>
        <v>000</v>
      </c>
      <c r="L8066" s="5">
        <f t="shared" ref="L8066:L8129" si="964">MONTH(A8066)</f>
        <v>8</v>
      </c>
      <c r="M8066" s="5">
        <f t="shared" ref="M8066:M8129" si="965">YEAR(A8066)</f>
        <v>2013</v>
      </c>
    </row>
    <row r="8067" spans="1:13" ht="15" x14ac:dyDescent="0.25">
      <c r="A8067" s="1">
        <f>DATE(2013,8,19)</f>
        <v>41505</v>
      </c>
      <c r="B8067" t="s">
        <v>26</v>
      </c>
      <c r="C8067" t="s">
        <v>10</v>
      </c>
      <c r="D8067" s="3">
        <v>17.388400000000001</v>
      </c>
      <c r="E8067" s="3">
        <v>0</v>
      </c>
      <c r="F8067" t="s">
        <v>45</v>
      </c>
      <c r="G8067" s="3">
        <f t="shared" si="959"/>
        <v>-17.388400000000001</v>
      </c>
      <c r="H8067" s="3">
        <f t="shared" si="960"/>
        <v>17.388400000000001</v>
      </c>
      <c r="I8067" s="5" t="str">
        <f t="shared" si="961"/>
        <v>019</v>
      </c>
      <c r="J8067" s="5" t="str">
        <f t="shared" si="962"/>
        <v>2230</v>
      </c>
      <c r="K8067" s="5" t="str">
        <f t="shared" si="963"/>
        <v>000</v>
      </c>
      <c r="L8067" s="5">
        <f t="shared" si="964"/>
        <v>8</v>
      </c>
      <c r="M8067" s="5">
        <f t="shared" si="965"/>
        <v>2013</v>
      </c>
    </row>
    <row r="8068" spans="1:13" ht="15" x14ac:dyDescent="0.25">
      <c r="A8068" s="1">
        <f>DATE(2013,8,20)</f>
        <v>41506</v>
      </c>
      <c r="B8068" t="s">
        <v>23</v>
      </c>
      <c r="C8068" t="s">
        <v>6</v>
      </c>
      <c r="D8068" s="3">
        <v>4335.87</v>
      </c>
      <c r="E8068" s="3">
        <v>0</v>
      </c>
      <c r="F8068" t="s">
        <v>45</v>
      </c>
      <c r="G8068" s="3">
        <f t="shared" si="959"/>
        <v>-4335.87</v>
      </c>
      <c r="H8068" s="3">
        <f t="shared" si="960"/>
        <v>4335.87</v>
      </c>
      <c r="I8068" s="5" t="str">
        <f t="shared" si="961"/>
        <v>019</v>
      </c>
      <c r="J8068" s="5" t="str">
        <f t="shared" si="962"/>
        <v>2100</v>
      </c>
      <c r="K8068" s="5" t="str">
        <f t="shared" si="963"/>
        <v>000</v>
      </c>
      <c r="L8068" s="5">
        <f t="shared" si="964"/>
        <v>8</v>
      </c>
      <c r="M8068" s="5">
        <f t="shared" si="965"/>
        <v>2013</v>
      </c>
    </row>
    <row r="8069" spans="1:13" ht="15" x14ac:dyDescent="0.25">
      <c r="A8069" s="1">
        <f>DATE(2013,8,20)</f>
        <v>41506</v>
      </c>
      <c r="B8069" t="s">
        <v>24</v>
      </c>
      <c r="C8069" t="s">
        <v>8</v>
      </c>
      <c r="D8069" s="3">
        <v>728.52570000000003</v>
      </c>
      <c r="E8069" s="3">
        <v>0</v>
      </c>
      <c r="F8069" t="s">
        <v>45</v>
      </c>
      <c r="G8069" s="3">
        <f t="shared" si="959"/>
        <v>-728.52570000000003</v>
      </c>
      <c r="H8069" s="3">
        <f t="shared" si="960"/>
        <v>728.52570000000003</v>
      </c>
      <c r="I8069" s="5" t="str">
        <f t="shared" si="961"/>
        <v>019</v>
      </c>
      <c r="J8069" s="5" t="str">
        <f t="shared" si="962"/>
        <v>2210</v>
      </c>
      <c r="K8069" s="5" t="str">
        <f t="shared" si="963"/>
        <v>000</v>
      </c>
      <c r="L8069" s="5">
        <f t="shared" si="964"/>
        <v>8</v>
      </c>
      <c r="M8069" s="5">
        <f t="shared" si="965"/>
        <v>2013</v>
      </c>
    </row>
    <row r="8070" spans="1:13" ht="15" x14ac:dyDescent="0.25">
      <c r="A8070" s="1">
        <f>DATE(2013,8,20)</f>
        <v>41506</v>
      </c>
      <c r="B8070" t="s">
        <v>25</v>
      </c>
      <c r="C8070" t="s">
        <v>9</v>
      </c>
      <c r="D8070" s="3">
        <v>318.0222</v>
      </c>
      <c r="E8070" s="3">
        <v>0</v>
      </c>
      <c r="F8070" t="s">
        <v>45</v>
      </c>
      <c r="G8070" s="3">
        <f t="shared" si="959"/>
        <v>-318.0222</v>
      </c>
      <c r="H8070" s="3">
        <f t="shared" si="960"/>
        <v>318.0222</v>
      </c>
      <c r="I8070" s="5" t="str">
        <f t="shared" si="961"/>
        <v>019</v>
      </c>
      <c r="J8070" s="5" t="str">
        <f t="shared" si="962"/>
        <v>2220</v>
      </c>
      <c r="K8070" s="5" t="str">
        <f t="shared" si="963"/>
        <v>000</v>
      </c>
      <c r="L8070" s="5">
        <f t="shared" si="964"/>
        <v>8</v>
      </c>
      <c r="M8070" s="5">
        <f t="shared" si="965"/>
        <v>2013</v>
      </c>
    </row>
    <row r="8071" spans="1:13" ht="15" x14ac:dyDescent="0.25">
      <c r="A8071" s="1">
        <f>DATE(2013,8,20)</f>
        <v>41506</v>
      </c>
      <c r="B8071" t="s">
        <v>26</v>
      </c>
      <c r="C8071" t="s">
        <v>10</v>
      </c>
      <c r="D8071" s="3">
        <v>21.170500000000001</v>
      </c>
      <c r="E8071" s="3">
        <v>0</v>
      </c>
      <c r="F8071" t="s">
        <v>45</v>
      </c>
      <c r="G8071" s="3">
        <f t="shared" si="959"/>
        <v>-21.170500000000001</v>
      </c>
      <c r="H8071" s="3">
        <f t="shared" si="960"/>
        <v>21.170500000000001</v>
      </c>
      <c r="I8071" s="5" t="str">
        <f t="shared" si="961"/>
        <v>019</v>
      </c>
      <c r="J8071" s="5" t="str">
        <f t="shared" si="962"/>
        <v>2230</v>
      </c>
      <c r="K8071" s="5" t="str">
        <f t="shared" si="963"/>
        <v>000</v>
      </c>
      <c r="L8071" s="5">
        <f t="shared" si="964"/>
        <v>8</v>
      </c>
      <c r="M8071" s="5">
        <f t="shared" si="965"/>
        <v>2013</v>
      </c>
    </row>
    <row r="8072" spans="1:13" ht="15" x14ac:dyDescent="0.25">
      <c r="A8072" s="1">
        <f>DATE(2013,8,21)</f>
        <v>41507</v>
      </c>
      <c r="B8072" t="s">
        <v>23</v>
      </c>
      <c r="C8072" t="s">
        <v>6</v>
      </c>
      <c r="D8072" s="3">
        <v>3411.2890000000002</v>
      </c>
      <c r="E8072" s="3">
        <v>0</v>
      </c>
      <c r="F8072" t="s">
        <v>45</v>
      </c>
      <c r="G8072" s="3">
        <f t="shared" si="959"/>
        <v>-3411.2890000000002</v>
      </c>
      <c r="H8072" s="3">
        <f t="shared" si="960"/>
        <v>3411.2890000000002</v>
      </c>
      <c r="I8072" s="5" t="str">
        <f t="shared" si="961"/>
        <v>019</v>
      </c>
      <c r="J8072" s="5" t="str">
        <f t="shared" si="962"/>
        <v>2100</v>
      </c>
      <c r="K8072" s="5" t="str">
        <f t="shared" si="963"/>
        <v>000</v>
      </c>
      <c r="L8072" s="5">
        <f t="shared" si="964"/>
        <v>8</v>
      </c>
      <c r="M8072" s="5">
        <f t="shared" si="965"/>
        <v>2013</v>
      </c>
    </row>
    <row r="8073" spans="1:13" ht="15" x14ac:dyDescent="0.25">
      <c r="A8073" s="1">
        <f>DATE(2013,8,21)</f>
        <v>41507</v>
      </c>
      <c r="B8073" t="s">
        <v>24</v>
      </c>
      <c r="C8073" t="s">
        <v>8</v>
      </c>
      <c r="D8073" s="3">
        <v>816.31360000000006</v>
      </c>
      <c r="E8073" s="3">
        <v>0</v>
      </c>
      <c r="F8073" t="s">
        <v>45</v>
      </c>
      <c r="G8073" s="3">
        <f t="shared" si="959"/>
        <v>-816.31360000000006</v>
      </c>
      <c r="H8073" s="3">
        <f t="shared" si="960"/>
        <v>816.31360000000006</v>
      </c>
      <c r="I8073" s="5" t="str">
        <f t="shared" si="961"/>
        <v>019</v>
      </c>
      <c r="J8073" s="5" t="str">
        <f t="shared" si="962"/>
        <v>2210</v>
      </c>
      <c r="K8073" s="5" t="str">
        <f t="shared" si="963"/>
        <v>000</v>
      </c>
      <c r="L8073" s="5">
        <f t="shared" si="964"/>
        <v>8</v>
      </c>
      <c r="M8073" s="5">
        <f t="shared" si="965"/>
        <v>2013</v>
      </c>
    </row>
    <row r="8074" spans="1:13" ht="15" x14ac:dyDescent="0.25">
      <c r="A8074" s="1">
        <f>DATE(2013,8,21)</f>
        <v>41507</v>
      </c>
      <c r="B8074" t="s">
        <v>25</v>
      </c>
      <c r="C8074" t="s">
        <v>9</v>
      </c>
      <c r="D8074" s="3">
        <v>236.268</v>
      </c>
      <c r="E8074" s="3">
        <v>0</v>
      </c>
      <c r="F8074" t="s">
        <v>45</v>
      </c>
      <c r="G8074" s="3">
        <f t="shared" si="959"/>
        <v>-236.268</v>
      </c>
      <c r="H8074" s="3">
        <f t="shared" si="960"/>
        <v>236.268</v>
      </c>
      <c r="I8074" s="5" t="str">
        <f t="shared" si="961"/>
        <v>019</v>
      </c>
      <c r="J8074" s="5" t="str">
        <f t="shared" si="962"/>
        <v>2220</v>
      </c>
      <c r="K8074" s="5" t="str">
        <f t="shared" si="963"/>
        <v>000</v>
      </c>
      <c r="L8074" s="5">
        <f t="shared" si="964"/>
        <v>8</v>
      </c>
      <c r="M8074" s="5">
        <f t="shared" si="965"/>
        <v>2013</v>
      </c>
    </row>
    <row r="8075" spans="1:13" ht="15" x14ac:dyDescent="0.25">
      <c r="A8075" s="1">
        <f>DATE(2013,8,21)</f>
        <v>41507</v>
      </c>
      <c r="B8075" t="s">
        <v>26</v>
      </c>
      <c r="C8075" t="s">
        <v>10</v>
      </c>
      <c r="D8075" s="3">
        <v>81.353999999999999</v>
      </c>
      <c r="E8075" s="3">
        <v>0</v>
      </c>
      <c r="F8075" t="s">
        <v>45</v>
      </c>
      <c r="G8075" s="3">
        <f t="shared" si="959"/>
        <v>-81.353999999999999</v>
      </c>
      <c r="H8075" s="3">
        <f t="shared" si="960"/>
        <v>81.353999999999999</v>
      </c>
      <c r="I8075" s="5" t="str">
        <f t="shared" si="961"/>
        <v>019</v>
      </c>
      <c r="J8075" s="5" t="str">
        <f t="shared" si="962"/>
        <v>2230</v>
      </c>
      <c r="K8075" s="5" t="str">
        <f t="shared" si="963"/>
        <v>000</v>
      </c>
      <c r="L8075" s="5">
        <f t="shared" si="964"/>
        <v>8</v>
      </c>
      <c r="M8075" s="5">
        <f t="shared" si="965"/>
        <v>2013</v>
      </c>
    </row>
    <row r="8076" spans="1:13" ht="15" x14ac:dyDescent="0.25">
      <c r="A8076" s="1">
        <f>DATE(2013,8,22)</f>
        <v>41508</v>
      </c>
      <c r="B8076" t="s">
        <v>23</v>
      </c>
      <c r="C8076" t="s">
        <v>6</v>
      </c>
      <c r="D8076" s="3">
        <v>2993.7140999999997</v>
      </c>
      <c r="E8076" s="3">
        <v>0</v>
      </c>
      <c r="F8076" t="s">
        <v>45</v>
      </c>
      <c r="G8076" s="3">
        <f t="shared" si="959"/>
        <v>-2993.7140999999997</v>
      </c>
      <c r="H8076" s="3">
        <f t="shared" si="960"/>
        <v>2993.7140999999997</v>
      </c>
      <c r="I8076" s="5" t="str">
        <f t="shared" si="961"/>
        <v>019</v>
      </c>
      <c r="J8076" s="5" t="str">
        <f t="shared" si="962"/>
        <v>2100</v>
      </c>
      <c r="K8076" s="5" t="str">
        <f t="shared" si="963"/>
        <v>000</v>
      </c>
      <c r="L8076" s="5">
        <f t="shared" si="964"/>
        <v>8</v>
      </c>
      <c r="M8076" s="5">
        <f t="shared" si="965"/>
        <v>2013</v>
      </c>
    </row>
    <row r="8077" spans="1:13" ht="15" x14ac:dyDescent="0.25">
      <c r="A8077" s="1">
        <f>DATE(2013,8,22)</f>
        <v>41508</v>
      </c>
      <c r="B8077" t="s">
        <v>24</v>
      </c>
      <c r="C8077" t="s">
        <v>8</v>
      </c>
      <c r="D8077" s="3">
        <v>756.76350000000002</v>
      </c>
      <c r="E8077" s="3">
        <v>0</v>
      </c>
      <c r="F8077" t="s">
        <v>45</v>
      </c>
      <c r="G8077" s="3">
        <f t="shared" si="959"/>
        <v>-756.76350000000002</v>
      </c>
      <c r="H8077" s="3">
        <f t="shared" si="960"/>
        <v>756.76350000000002</v>
      </c>
      <c r="I8077" s="5" t="str">
        <f t="shared" si="961"/>
        <v>019</v>
      </c>
      <c r="J8077" s="5" t="str">
        <f t="shared" si="962"/>
        <v>2210</v>
      </c>
      <c r="K8077" s="5" t="str">
        <f t="shared" si="963"/>
        <v>000</v>
      </c>
      <c r="L8077" s="5">
        <f t="shared" si="964"/>
        <v>8</v>
      </c>
      <c r="M8077" s="5">
        <f t="shared" si="965"/>
        <v>2013</v>
      </c>
    </row>
    <row r="8078" spans="1:13" ht="15" x14ac:dyDescent="0.25">
      <c r="A8078" s="1">
        <f>DATE(2013,8,22)</f>
        <v>41508</v>
      </c>
      <c r="B8078" t="s">
        <v>25</v>
      </c>
      <c r="C8078" t="s">
        <v>9</v>
      </c>
      <c r="D8078" s="3">
        <v>167.40359999999998</v>
      </c>
      <c r="E8078" s="3">
        <v>0</v>
      </c>
      <c r="F8078" t="s">
        <v>45</v>
      </c>
      <c r="G8078" s="3">
        <f t="shared" si="959"/>
        <v>-167.40359999999998</v>
      </c>
      <c r="H8078" s="3">
        <f t="shared" si="960"/>
        <v>167.40359999999998</v>
      </c>
      <c r="I8078" s="5" t="str">
        <f t="shared" si="961"/>
        <v>019</v>
      </c>
      <c r="J8078" s="5" t="str">
        <f t="shared" si="962"/>
        <v>2220</v>
      </c>
      <c r="K8078" s="5" t="str">
        <f t="shared" si="963"/>
        <v>000</v>
      </c>
      <c r="L8078" s="5">
        <f t="shared" si="964"/>
        <v>8</v>
      </c>
      <c r="M8078" s="5">
        <f t="shared" si="965"/>
        <v>2013</v>
      </c>
    </row>
    <row r="8079" spans="1:13" ht="15" x14ac:dyDescent="0.25">
      <c r="A8079" s="1">
        <f>DATE(2013,8,22)</f>
        <v>41508</v>
      </c>
      <c r="B8079" t="s">
        <v>26</v>
      </c>
      <c r="C8079" t="s">
        <v>10</v>
      </c>
      <c r="D8079" s="3">
        <v>48.607999999999997</v>
      </c>
      <c r="E8079" s="3">
        <v>0</v>
      </c>
      <c r="F8079" t="s">
        <v>45</v>
      </c>
      <c r="G8079" s="3">
        <f t="shared" si="959"/>
        <v>-48.607999999999997</v>
      </c>
      <c r="H8079" s="3">
        <f t="shared" si="960"/>
        <v>48.607999999999997</v>
      </c>
      <c r="I8079" s="5" t="str">
        <f t="shared" si="961"/>
        <v>019</v>
      </c>
      <c r="J8079" s="5" t="str">
        <f t="shared" si="962"/>
        <v>2230</v>
      </c>
      <c r="K8079" s="5" t="str">
        <f t="shared" si="963"/>
        <v>000</v>
      </c>
      <c r="L8079" s="5">
        <f t="shared" si="964"/>
        <v>8</v>
      </c>
      <c r="M8079" s="5">
        <f t="shared" si="965"/>
        <v>2013</v>
      </c>
    </row>
    <row r="8080" spans="1:13" ht="15" x14ac:dyDescent="0.25">
      <c r="A8080" s="1">
        <f>DATE(2013,8,23)</f>
        <v>41509</v>
      </c>
      <c r="B8080" t="s">
        <v>23</v>
      </c>
      <c r="C8080" t="s">
        <v>6</v>
      </c>
      <c r="D8080" s="3">
        <v>6402.6900000000005</v>
      </c>
      <c r="E8080" s="3">
        <v>0</v>
      </c>
      <c r="F8080" t="s">
        <v>45</v>
      </c>
      <c r="G8080" s="3">
        <f t="shared" si="959"/>
        <v>-6402.6900000000005</v>
      </c>
      <c r="H8080" s="3">
        <f t="shared" si="960"/>
        <v>6402.6900000000005</v>
      </c>
      <c r="I8080" s="5" t="str">
        <f t="shared" si="961"/>
        <v>019</v>
      </c>
      <c r="J8080" s="5" t="str">
        <f t="shared" si="962"/>
        <v>2100</v>
      </c>
      <c r="K8080" s="5" t="str">
        <f t="shared" si="963"/>
        <v>000</v>
      </c>
      <c r="L8080" s="5">
        <f t="shared" si="964"/>
        <v>8</v>
      </c>
      <c r="M8080" s="5">
        <f t="shared" si="965"/>
        <v>2013</v>
      </c>
    </row>
    <row r="8081" spans="1:13" ht="15" x14ac:dyDescent="0.25">
      <c r="A8081" s="1">
        <f>DATE(2013,8,23)</f>
        <v>41509</v>
      </c>
      <c r="B8081" t="s">
        <v>24</v>
      </c>
      <c r="C8081" t="s">
        <v>8</v>
      </c>
      <c r="D8081" s="3">
        <v>1423.722</v>
      </c>
      <c r="E8081" s="3">
        <v>0</v>
      </c>
      <c r="F8081" t="s">
        <v>45</v>
      </c>
      <c r="G8081" s="3">
        <f t="shared" si="959"/>
        <v>-1423.722</v>
      </c>
      <c r="H8081" s="3">
        <f t="shared" si="960"/>
        <v>1423.722</v>
      </c>
      <c r="I8081" s="5" t="str">
        <f t="shared" si="961"/>
        <v>019</v>
      </c>
      <c r="J8081" s="5" t="str">
        <f t="shared" si="962"/>
        <v>2210</v>
      </c>
      <c r="K8081" s="5" t="str">
        <f t="shared" si="963"/>
        <v>000</v>
      </c>
      <c r="L8081" s="5">
        <f t="shared" si="964"/>
        <v>8</v>
      </c>
      <c r="M8081" s="5">
        <f t="shared" si="965"/>
        <v>2013</v>
      </c>
    </row>
    <row r="8082" spans="1:13" ht="15" x14ac:dyDescent="0.25">
      <c r="A8082" s="1">
        <f>DATE(2013,8,23)</f>
        <v>41509</v>
      </c>
      <c r="B8082" t="s">
        <v>25</v>
      </c>
      <c r="C8082" t="s">
        <v>9</v>
      </c>
      <c r="D8082" s="3">
        <v>447.9221</v>
      </c>
      <c r="E8082" s="3">
        <v>0</v>
      </c>
      <c r="F8082" t="s">
        <v>45</v>
      </c>
      <c r="G8082" s="3">
        <f t="shared" si="959"/>
        <v>-447.9221</v>
      </c>
      <c r="H8082" s="3">
        <f t="shared" si="960"/>
        <v>447.9221</v>
      </c>
      <c r="I8082" s="5" t="str">
        <f t="shared" si="961"/>
        <v>019</v>
      </c>
      <c r="J8082" s="5" t="str">
        <f t="shared" si="962"/>
        <v>2220</v>
      </c>
      <c r="K8082" s="5" t="str">
        <f t="shared" si="963"/>
        <v>000</v>
      </c>
      <c r="L8082" s="5">
        <f t="shared" si="964"/>
        <v>8</v>
      </c>
      <c r="M8082" s="5">
        <f t="shared" si="965"/>
        <v>2013</v>
      </c>
    </row>
    <row r="8083" spans="1:13" ht="15" x14ac:dyDescent="0.25">
      <c r="A8083" s="1">
        <f>DATE(2013,8,23)</f>
        <v>41509</v>
      </c>
      <c r="B8083" t="s">
        <v>26</v>
      </c>
      <c r="C8083" t="s">
        <v>10</v>
      </c>
      <c r="D8083" s="3">
        <v>81.762599999999992</v>
      </c>
      <c r="E8083" s="3">
        <v>0</v>
      </c>
      <c r="F8083" t="s">
        <v>45</v>
      </c>
      <c r="G8083" s="3">
        <f t="shared" si="959"/>
        <v>-81.762599999999992</v>
      </c>
      <c r="H8083" s="3">
        <f t="shared" si="960"/>
        <v>81.762599999999992</v>
      </c>
      <c r="I8083" s="5" t="str">
        <f t="shared" si="961"/>
        <v>019</v>
      </c>
      <c r="J8083" s="5" t="str">
        <f t="shared" si="962"/>
        <v>2230</v>
      </c>
      <c r="K8083" s="5" t="str">
        <f t="shared" si="963"/>
        <v>000</v>
      </c>
      <c r="L8083" s="5">
        <f t="shared" si="964"/>
        <v>8</v>
      </c>
      <c r="M8083" s="5">
        <f t="shared" si="965"/>
        <v>2013</v>
      </c>
    </row>
    <row r="8084" spans="1:13" ht="15" x14ac:dyDescent="0.25">
      <c r="A8084" s="1">
        <f>DATE(2013,8,24)</f>
        <v>41510</v>
      </c>
      <c r="B8084" t="s">
        <v>23</v>
      </c>
      <c r="C8084" t="s">
        <v>6</v>
      </c>
      <c r="D8084" s="3">
        <v>6719.8410000000003</v>
      </c>
      <c r="E8084" s="3">
        <v>0</v>
      </c>
      <c r="F8084" t="s">
        <v>45</v>
      </c>
      <c r="G8084" s="3">
        <f t="shared" si="959"/>
        <v>-6719.8410000000003</v>
      </c>
      <c r="H8084" s="3">
        <f t="shared" si="960"/>
        <v>6719.8410000000003</v>
      </c>
      <c r="I8084" s="5" t="str">
        <f t="shared" si="961"/>
        <v>019</v>
      </c>
      <c r="J8084" s="5" t="str">
        <f t="shared" si="962"/>
        <v>2100</v>
      </c>
      <c r="K8084" s="5" t="str">
        <f t="shared" si="963"/>
        <v>000</v>
      </c>
      <c r="L8084" s="5">
        <f t="shared" si="964"/>
        <v>8</v>
      </c>
      <c r="M8084" s="5">
        <f t="shared" si="965"/>
        <v>2013</v>
      </c>
    </row>
    <row r="8085" spans="1:13" ht="15" x14ac:dyDescent="0.25">
      <c r="A8085" s="1">
        <f>DATE(2013,8,24)</f>
        <v>41510</v>
      </c>
      <c r="B8085" t="s">
        <v>24</v>
      </c>
      <c r="C8085" t="s">
        <v>8</v>
      </c>
      <c r="D8085" s="3">
        <v>3475.0577999999996</v>
      </c>
      <c r="E8085" s="3">
        <v>0</v>
      </c>
      <c r="F8085" t="s">
        <v>45</v>
      </c>
      <c r="G8085" s="3">
        <f t="shared" si="959"/>
        <v>-3475.0577999999996</v>
      </c>
      <c r="H8085" s="3">
        <f t="shared" si="960"/>
        <v>3475.0577999999996</v>
      </c>
      <c r="I8085" s="5" t="str">
        <f t="shared" si="961"/>
        <v>019</v>
      </c>
      <c r="J8085" s="5" t="str">
        <f t="shared" si="962"/>
        <v>2210</v>
      </c>
      <c r="K8085" s="5" t="str">
        <f t="shared" si="963"/>
        <v>000</v>
      </c>
      <c r="L8085" s="5">
        <f t="shared" si="964"/>
        <v>8</v>
      </c>
      <c r="M8085" s="5">
        <f t="shared" si="965"/>
        <v>2013</v>
      </c>
    </row>
    <row r="8086" spans="1:13" ht="15" x14ac:dyDescent="0.25">
      <c r="A8086" s="1">
        <f>DATE(2013,8,24)</f>
        <v>41510</v>
      </c>
      <c r="B8086" t="s">
        <v>25</v>
      </c>
      <c r="C8086" t="s">
        <v>9</v>
      </c>
      <c r="D8086" s="3">
        <v>368.60670000000005</v>
      </c>
      <c r="E8086" s="3">
        <v>0</v>
      </c>
      <c r="F8086" t="s">
        <v>45</v>
      </c>
      <c r="G8086" s="3">
        <f t="shared" si="959"/>
        <v>-368.60670000000005</v>
      </c>
      <c r="H8086" s="3">
        <f t="shared" si="960"/>
        <v>368.60670000000005</v>
      </c>
      <c r="I8086" s="5" t="str">
        <f t="shared" si="961"/>
        <v>019</v>
      </c>
      <c r="J8086" s="5" t="str">
        <f t="shared" si="962"/>
        <v>2220</v>
      </c>
      <c r="K8086" s="5" t="str">
        <f t="shared" si="963"/>
        <v>000</v>
      </c>
      <c r="L8086" s="5">
        <f t="shared" si="964"/>
        <v>8</v>
      </c>
      <c r="M8086" s="5">
        <f t="shared" si="965"/>
        <v>2013</v>
      </c>
    </row>
    <row r="8087" spans="1:13" ht="15" x14ac:dyDescent="0.25">
      <c r="A8087" s="1">
        <f>DATE(2013,8,24)</f>
        <v>41510</v>
      </c>
      <c r="B8087" t="s">
        <v>26</v>
      </c>
      <c r="C8087" t="s">
        <v>10</v>
      </c>
      <c r="D8087" s="3">
        <v>81.505500000000012</v>
      </c>
      <c r="E8087" s="3">
        <v>0</v>
      </c>
      <c r="F8087" t="s">
        <v>45</v>
      </c>
      <c r="G8087" s="3">
        <f t="shared" si="959"/>
        <v>-81.505500000000012</v>
      </c>
      <c r="H8087" s="3">
        <f t="shared" si="960"/>
        <v>81.505500000000012</v>
      </c>
      <c r="I8087" s="5" t="str">
        <f t="shared" si="961"/>
        <v>019</v>
      </c>
      <c r="J8087" s="5" t="str">
        <f t="shared" si="962"/>
        <v>2230</v>
      </c>
      <c r="K8087" s="5" t="str">
        <f t="shared" si="963"/>
        <v>000</v>
      </c>
      <c r="L8087" s="5">
        <f t="shared" si="964"/>
        <v>8</v>
      </c>
      <c r="M8087" s="5">
        <f t="shared" si="965"/>
        <v>2013</v>
      </c>
    </row>
    <row r="8088" spans="1:13" ht="15" x14ac:dyDescent="0.25">
      <c r="A8088" s="1">
        <f>DATE(2013,8,25)</f>
        <v>41511</v>
      </c>
      <c r="B8088" t="s">
        <v>23</v>
      </c>
      <c r="C8088" t="s">
        <v>6</v>
      </c>
      <c r="D8088" s="3">
        <v>3634.0127999999995</v>
      </c>
      <c r="E8088" s="3">
        <v>0</v>
      </c>
      <c r="F8088" t="s">
        <v>45</v>
      </c>
      <c r="G8088" s="3">
        <f t="shared" si="959"/>
        <v>-3634.0127999999995</v>
      </c>
      <c r="H8088" s="3">
        <f t="shared" si="960"/>
        <v>3634.0127999999995</v>
      </c>
      <c r="I8088" s="5" t="str">
        <f t="shared" si="961"/>
        <v>019</v>
      </c>
      <c r="J8088" s="5" t="str">
        <f t="shared" si="962"/>
        <v>2100</v>
      </c>
      <c r="K8088" s="5" t="str">
        <f t="shared" si="963"/>
        <v>000</v>
      </c>
      <c r="L8088" s="5">
        <f t="shared" si="964"/>
        <v>8</v>
      </c>
      <c r="M8088" s="5">
        <f t="shared" si="965"/>
        <v>2013</v>
      </c>
    </row>
    <row r="8089" spans="1:13" ht="15" x14ac:dyDescent="0.25">
      <c r="A8089" s="1">
        <f>DATE(2013,8,25)</f>
        <v>41511</v>
      </c>
      <c r="B8089" t="s">
        <v>24</v>
      </c>
      <c r="C8089" t="s">
        <v>8</v>
      </c>
      <c r="D8089" s="3">
        <v>1526.6215</v>
      </c>
      <c r="E8089" s="3">
        <v>0</v>
      </c>
      <c r="F8089" t="s">
        <v>45</v>
      </c>
      <c r="G8089" s="3">
        <f t="shared" si="959"/>
        <v>-1526.6215</v>
      </c>
      <c r="H8089" s="3">
        <f t="shared" si="960"/>
        <v>1526.6215</v>
      </c>
      <c r="I8089" s="5" t="str">
        <f t="shared" si="961"/>
        <v>019</v>
      </c>
      <c r="J8089" s="5" t="str">
        <f t="shared" si="962"/>
        <v>2210</v>
      </c>
      <c r="K8089" s="5" t="str">
        <f t="shared" si="963"/>
        <v>000</v>
      </c>
      <c r="L8089" s="5">
        <f t="shared" si="964"/>
        <v>8</v>
      </c>
      <c r="M8089" s="5">
        <f t="shared" si="965"/>
        <v>2013</v>
      </c>
    </row>
    <row r="8090" spans="1:13" ht="15" x14ac:dyDescent="0.25">
      <c r="A8090" s="1">
        <f>DATE(2013,8,25)</f>
        <v>41511</v>
      </c>
      <c r="B8090" t="s">
        <v>25</v>
      </c>
      <c r="C8090" t="s">
        <v>9</v>
      </c>
      <c r="D8090" s="3">
        <v>167.52719999999997</v>
      </c>
      <c r="E8090" s="3">
        <v>0</v>
      </c>
      <c r="F8090" t="s">
        <v>45</v>
      </c>
      <c r="G8090" s="3">
        <f t="shared" si="959"/>
        <v>-167.52719999999997</v>
      </c>
      <c r="H8090" s="3">
        <f t="shared" si="960"/>
        <v>167.52719999999997</v>
      </c>
      <c r="I8090" s="5" t="str">
        <f t="shared" si="961"/>
        <v>019</v>
      </c>
      <c r="J8090" s="5" t="str">
        <f t="shared" si="962"/>
        <v>2220</v>
      </c>
      <c r="K8090" s="5" t="str">
        <f t="shared" si="963"/>
        <v>000</v>
      </c>
      <c r="L8090" s="5">
        <f t="shared" si="964"/>
        <v>8</v>
      </c>
      <c r="M8090" s="5">
        <f t="shared" si="965"/>
        <v>2013</v>
      </c>
    </row>
    <row r="8091" spans="1:13" ht="15" x14ac:dyDescent="0.25">
      <c r="A8091" s="1">
        <f>DATE(2013,8,25)</f>
        <v>41511</v>
      </c>
      <c r="B8091" t="s">
        <v>26</v>
      </c>
      <c r="C8091" t="s">
        <v>10</v>
      </c>
      <c r="D8091" s="3">
        <v>116.77680000000001</v>
      </c>
      <c r="E8091" s="3">
        <v>0</v>
      </c>
      <c r="F8091" t="s">
        <v>45</v>
      </c>
      <c r="G8091" s="3">
        <f t="shared" si="959"/>
        <v>-116.77680000000001</v>
      </c>
      <c r="H8091" s="3">
        <f t="shared" si="960"/>
        <v>116.77680000000001</v>
      </c>
      <c r="I8091" s="5" t="str">
        <f t="shared" si="961"/>
        <v>019</v>
      </c>
      <c r="J8091" s="5" t="str">
        <f t="shared" si="962"/>
        <v>2230</v>
      </c>
      <c r="K8091" s="5" t="str">
        <f t="shared" si="963"/>
        <v>000</v>
      </c>
      <c r="L8091" s="5">
        <f t="shared" si="964"/>
        <v>8</v>
      </c>
      <c r="M8091" s="5">
        <f t="shared" si="965"/>
        <v>2013</v>
      </c>
    </row>
    <row r="8092" spans="1:13" ht="15" x14ac:dyDescent="0.25">
      <c r="A8092" s="1">
        <f>DATE(2013,8,26)</f>
        <v>41512</v>
      </c>
      <c r="B8092" t="s">
        <v>11</v>
      </c>
      <c r="C8092" t="s">
        <v>6</v>
      </c>
      <c r="D8092" s="3">
        <v>2559.7160000000003</v>
      </c>
      <c r="E8092" s="3">
        <v>0</v>
      </c>
      <c r="F8092" t="s">
        <v>45</v>
      </c>
      <c r="G8092" s="3">
        <f t="shared" si="959"/>
        <v>-2559.7160000000003</v>
      </c>
      <c r="H8092" s="3">
        <f t="shared" si="960"/>
        <v>2559.7160000000003</v>
      </c>
      <c r="I8092" s="5" t="str">
        <f t="shared" si="961"/>
        <v>016</v>
      </c>
      <c r="J8092" s="5" t="str">
        <f t="shared" si="962"/>
        <v>2100</v>
      </c>
      <c r="K8092" s="5" t="str">
        <f t="shared" si="963"/>
        <v>000</v>
      </c>
      <c r="L8092" s="5">
        <f t="shared" si="964"/>
        <v>8</v>
      </c>
      <c r="M8092" s="5">
        <f t="shared" si="965"/>
        <v>2013</v>
      </c>
    </row>
    <row r="8093" spans="1:13" ht="15" x14ac:dyDescent="0.25">
      <c r="A8093" s="1">
        <f>DATE(2013,8,26)</f>
        <v>41512</v>
      </c>
      <c r="B8093" t="s">
        <v>12</v>
      </c>
      <c r="C8093" t="s">
        <v>8</v>
      </c>
      <c r="D8093" s="3">
        <v>516.98699999999997</v>
      </c>
      <c r="E8093" s="3">
        <v>0</v>
      </c>
      <c r="F8093" t="s">
        <v>45</v>
      </c>
      <c r="G8093" s="3">
        <f t="shared" si="959"/>
        <v>-516.98699999999997</v>
      </c>
      <c r="H8093" s="3">
        <f t="shared" si="960"/>
        <v>516.98699999999997</v>
      </c>
      <c r="I8093" s="5" t="str">
        <f t="shared" si="961"/>
        <v>016</v>
      </c>
      <c r="J8093" s="5" t="str">
        <f t="shared" si="962"/>
        <v>2210</v>
      </c>
      <c r="K8093" s="5" t="str">
        <f t="shared" si="963"/>
        <v>000</v>
      </c>
      <c r="L8093" s="5">
        <f t="shared" si="964"/>
        <v>8</v>
      </c>
      <c r="M8093" s="5">
        <f t="shared" si="965"/>
        <v>2013</v>
      </c>
    </row>
    <row r="8094" spans="1:13" ht="15" x14ac:dyDescent="0.25">
      <c r="A8094" s="1">
        <f>DATE(2013,8,26)</f>
        <v>41512</v>
      </c>
      <c r="B8094" t="s">
        <v>13</v>
      </c>
      <c r="C8094" t="s">
        <v>9</v>
      </c>
      <c r="D8094" s="3">
        <v>105.0664</v>
      </c>
      <c r="E8094" s="3">
        <v>0</v>
      </c>
      <c r="F8094" t="s">
        <v>45</v>
      </c>
      <c r="G8094" s="3">
        <f t="shared" si="959"/>
        <v>-105.0664</v>
      </c>
      <c r="H8094" s="3">
        <f t="shared" si="960"/>
        <v>105.0664</v>
      </c>
      <c r="I8094" s="5" t="str">
        <f t="shared" si="961"/>
        <v>016</v>
      </c>
      <c r="J8094" s="5" t="str">
        <f t="shared" si="962"/>
        <v>2220</v>
      </c>
      <c r="K8094" s="5" t="str">
        <f t="shared" si="963"/>
        <v>000</v>
      </c>
      <c r="L8094" s="5">
        <f t="shared" si="964"/>
        <v>8</v>
      </c>
      <c r="M8094" s="5">
        <f t="shared" si="965"/>
        <v>2013</v>
      </c>
    </row>
    <row r="8095" spans="1:13" ht="15" x14ac:dyDescent="0.25">
      <c r="A8095" s="1">
        <f>DATE(2013,8,26)</f>
        <v>41512</v>
      </c>
      <c r="B8095" t="s">
        <v>14</v>
      </c>
      <c r="C8095" t="s">
        <v>10</v>
      </c>
      <c r="D8095" s="3">
        <v>58.996799999999993</v>
      </c>
      <c r="E8095" s="3">
        <v>0</v>
      </c>
      <c r="F8095" t="s">
        <v>45</v>
      </c>
      <c r="G8095" s="3">
        <f t="shared" si="959"/>
        <v>-58.996799999999993</v>
      </c>
      <c r="H8095" s="3">
        <f t="shared" si="960"/>
        <v>58.996799999999993</v>
      </c>
      <c r="I8095" s="5" t="str">
        <f t="shared" si="961"/>
        <v>016</v>
      </c>
      <c r="J8095" s="5" t="str">
        <f t="shared" si="962"/>
        <v>2230</v>
      </c>
      <c r="K8095" s="5" t="str">
        <f t="shared" si="963"/>
        <v>000</v>
      </c>
      <c r="L8095" s="5">
        <f t="shared" si="964"/>
        <v>8</v>
      </c>
      <c r="M8095" s="5">
        <f t="shared" si="965"/>
        <v>2013</v>
      </c>
    </row>
    <row r="8096" spans="1:13" ht="15" x14ac:dyDescent="0.25">
      <c r="A8096" s="1">
        <f>DATE(2013,8,27)</f>
        <v>41513</v>
      </c>
      <c r="B8096" t="s">
        <v>11</v>
      </c>
      <c r="C8096" t="s">
        <v>6</v>
      </c>
      <c r="D8096" s="3">
        <v>7669.4849999999997</v>
      </c>
      <c r="E8096" s="3">
        <v>0</v>
      </c>
      <c r="F8096" t="s">
        <v>45</v>
      </c>
      <c r="G8096" s="3">
        <f t="shared" si="959"/>
        <v>-7669.4849999999997</v>
      </c>
      <c r="H8096" s="3">
        <f t="shared" si="960"/>
        <v>7669.4849999999997</v>
      </c>
      <c r="I8096" s="5" t="str">
        <f t="shared" si="961"/>
        <v>016</v>
      </c>
      <c r="J8096" s="5" t="str">
        <f t="shared" si="962"/>
        <v>2100</v>
      </c>
      <c r="K8096" s="5" t="str">
        <f t="shared" si="963"/>
        <v>000</v>
      </c>
      <c r="L8096" s="5">
        <f t="shared" si="964"/>
        <v>8</v>
      </c>
      <c r="M8096" s="5">
        <f t="shared" si="965"/>
        <v>2013</v>
      </c>
    </row>
    <row r="8097" spans="1:13" ht="15" x14ac:dyDescent="0.25">
      <c r="A8097" s="1">
        <f>DATE(2013,8,27)</f>
        <v>41513</v>
      </c>
      <c r="B8097" t="s">
        <v>12</v>
      </c>
      <c r="C8097" t="s">
        <v>8</v>
      </c>
      <c r="D8097" s="3">
        <v>2630.9014999999999</v>
      </c>
      <c r="E8097" s="3">
        <v>0</v>
      </c>
      <c r="F8097" t="s">
        <v>45</v>
      </c>
      <c r="G8097" s="3">
        <f t="shared" si="959"/>
        <v>-2630.9014999999999</v>
      </c>
      <c r="H8097" s="3">
        <f t="shared" si="960"/>
        <v>2630.9014999999999</v>
      </c>
      <c r="I8097" s="5" t="str">
        <f t="shared" si="961"/>
        <v>016</v>
      </c>
      <c r="J8097" s="5" t="str">
        <f t="shared" si="962"/>
        <v>2210</v>
      </c>
      <c r="K8097" s="5" t="str">
        <f t="shared" si="963"/>
        <v>000</v>
      </c>
      <c r="L8097" s="5">
        <f t="shared" si="964"/>
        <v>8</v>
      </c>
      <c r="M8097" s="5">
        <f t="shared" si="965"/>
        <v>2013</v>
      </c>
    </row>
    <row r="8098" spans="1:13" ht="15" x14ac:dyDescent="0.25">
      <c r="A8098" s="1">
        <f>DATE(2013,8,27)</f>
        <v>41513</v>
      </c>
      <c r="B8098" t="s">
        <v>13</v>
      </c>
      <c r="C8098" t="s">
        <v>9</v>
      </c>
      <c r="D8098" s="3">
        <v>1144.8163999999999</v>
      </c>
      <c r="E8098" s="3">
        <v>0</v>
      </c>
      <c r="F8098" t="s">
        <v>45</v>
      </c>
      <c r="G8098" s="3">
        <f t="shared" si="959"/>
        <v>-1144.8163999999999</v>
      </c>
      <c r="H8098" s="3">
        <f t="shared" si="960"/>
        <v>1144.8163999999999</v>
      </c>
      <c r="I8098" s="5" t="str">
        <f t="shared" si="961"/>
        <v>016</v>
      </c>
      <c r="J8098" s="5" t="str">
        <f t="shared" si="962"/>
        <v>2220</v>
      </c>
      <c r="K8098" s="5" t="str">
        <f t="shared" si="963"/>
        <v>000</v>
      </c>
      <c r="L8098" s="5">
        <f t="shared" si="964"/>
        <v>8</v>
      </c>
      <c r="M8098" s="5">
        <f t="shared" si="965"/>
        <v>2013</v>
      </c>
    </row>
    <row r="8099" spans="1:13" ht="15" x14ac:dyDescent="0.25">
      <c r="A8099" s="1">
        <f>DATE(2013,8,27)</f>
        <v>41513</v>
      </c>
      <c r="B8099" t="s">
        <v>14</v>
      </c>
      <c r="C8099" t="s">
        <v>10</v>
      </c>
      <c r="D8099" s="3">
        <v>116.70570000000001</v>
      </c>
      <c r="E8099" s="3">
        <v>0</v>
      </c>
      <c r="F8099" t="s">
        <v>45</v>
      </c>
      <c r="G8099" s="3">
        <f t="shared" si="959"/>
        <v>-116.70570000000001</v>
      </c>
      <c r="H8099" s="3">
        <f t="shared" si="960"/>
        <v>116.70570000000001</v>
      </c>
      <c r="I8099" s="5" t="str">
        <f t="shared" si="961"/>
        <v>016</v>
      </c>
      <c r="J8099" s="5" t="str">
        <f t="shared" si="962"/>
        <v>2230</v>
      </c>
      <c r="K8099" s="5" t="str">
        <f t="shared" si="963"/>
        <v>000</v>
      </c>
      <c r="L8099" s="5">
        <f t="shared" si="964"/>
        <v>8</v>
      </c>
      <c r="M8099" s="5">
        <f t="shared" si="965"/>
        <v>2013</v>
      </c>
    </row>
    <row r="8100" spans="1:13" ht="15" x14ac:dyDescent="0.25">
      <c r="A8100" s="1">
        <f t="shared" ref="A8100:A8103" si="966">DATE(2013,8,28)</f>
        <v>41514</v>
      </c>
      <c r="B8100" t="s">
        <v>11</v>
      </c>
      <c r="C8100" t="s">
        <v>6</v>
      </c>
      <c r="D8100" s="3">
        <v>2144.355</v>
      </c>
      <c r="E8100" s="3">
        <v>0</v>
      </c>
      <c r="F8100" t="s">
        <v>45</v>
      </c>
      <c r="G8100" s="3">
        <f t="shared" si="959"/>
        <v>-2144.355</v>
      </c>
      <c r="H8100" s="3">
        <f t="shared" si="960"/>
        <v>2144.355</v>
      </c>
      <c r="I8100" s="5" t="str">
        <f t="shared" si="961"/>
        <v>016</v>
      </c>
      <c r="J8100" s="5" t="str">
        <f t="shared" si="962"/>
        <v>2100</v>
      </c>
      <c r="K8100" s="5" t="str">
        <f t="shared" si="963"/>
        <v>000</v>
      </c>
      <c r="L8100" s="5">
        <f t="shared" si="964"/>
        <v>8</v>
      </c>
      <c r="M8100" s="5">
        <f t="shared" si="965"/>
        <v>2013</v>
      </c>
    </row>
    <row r="8101" spans="1:13" ht="15" x14ac:dyDescent="0.25">
      <c r="A8101" s="1">
        <f t="shared" si="966"/>
        <v>41514</v>
      </c>
      <c r="B8101" t="s">
        <v>12</v>
      </c>
      <c r="C8101" t="s">
        <v>8</v>
      </c>
      <c r="D8101" s="3">
        <v>397.93919999999997</v>
      </c>
      <c r="E8101" s="3">
        <v>0</v>
      </c>
      <c r="F8101" t="s">
        <v>45</v>
      </c>
      <c r="G8101" s="3">
        <f t="shared" si="959"/>
        <v>-397.93919999999997</v>
      </c>
      <c r="H8101" s="3">
        <f t="shared" si="960"/>
        <v>397.93919999999997</v>
      </c>
      <c r="I8101" s="5" t="str">
        <f t="shared" si="961"/>
        <v>016</v>
      </c>
      <c r="J8101" s="5" t="str">
        <f t="shared" si="962"/>
        <v>2210</v>
      </c>
      <c r="K8101" s="5" t="str">
        <f t="shared" si="963"/>
        <v>000</v>
      </c>
      <c r="L8101" s="5">
        <f t="shared" si="964"/>
        <v>8</v>
      </c>
      <c r="M8101" s="5">
        <f t="shared" si="965"/>
        <v>2013</v>
      </c>
    </row>
    <row r="8102" spans="1:13" ht="15" x14ac:dyDescent="0.25">
      <c r="A8102" s="1">
        <f t="shared" si="966"/>
        <v>41514</v>
      </c>
      <c r="B8102" t="s">
        <v>13</v>
      </c>
      <c r="C8102" t="s">
        <v>9</v>
      </c>
      <c r="D8102" s="3">
        <v>128.12029999999999</v>
      </c>
      <c r="E8102" s="3">
        <v>0</v>
      </c>
      <c r="F8102" t="s">
        <v>45</v>
      </c>
      <c r="G8102" s="3">
        <f t="shared" si="959"/>
        <v>-128.12029999999999</v>
      </c>
      <c r="H8102" s="3">
        <f t="shared" si="960"/>
        <v>128.12029999999999</v>
      </c>
      <c r="I8102" s="5" t="str">
        <f t="shared" si="961"/>
        <v>016</v>
      </c>
      <c r="J8102" s="5" t="str">
        <f t="shared" si="962"/>
        <v>2220</v>
      </c>
      <c r="K8102" s="5" t="str">
        <f t="shared" si="963"/>
        <v>000</v>
      </c>
      <c r="L8102" s="5">
        <f t="shared" si="964"/>
        <v>8</v>
      </c>
      <c r="M8102" s="5">
        <f t="shared" si="965"/>
        <v>2013</v>
      </c>
    </row>
    <row r="8103" spans="1:13" ht="15" x14ac:dyDescent="0.25">
      <c r="A8103" s="1">
        <f t="shared" si="966"/>
        <v>41514</v>
      </c>
      <c r="B8103" t="s">
        <v>14</v>
      </c>
      <c r="C8103" t="s">
        <v>10</v>
      </c>
      <c r="D8103" s="3">
        <v>38.7684</v>
      </c>
      <c r="E8103" s="3">
        <v>0</v>
      </c>
      <c r="F8103" t="s">
        <v>45</v>
      </c>
      <c r="G8103" s="3">
        <f t="shared" si="959"/>
        <v>-38.7684</v>
      </c>
      <c r="H8103" s="3">
        <f t="shared" si="960"/>
        <v>38.7684</v>
      </c>
      <c r="I8103" s="5" t="str">
        <f t="shared" si="961"/>
        <v>016</v>
      </c>
      <c r="J8103" s="5" t="str">
        <f t="shared" si="962"/>
        <v>2230</v>
      </c>
      <c r="K8103" s="5" t="str">
        <f t="shared" si="963"/>
        <v>000</v>
      </c>
      <c r="L8103" s="5">
        <f t="shared" si="964"/>
        <v>8</v>
      </c>
      <c r="M8103" s="5">
        <f t="shared" si="965"/>
        <v>2013</v>
      </c>
    </row>
    <row r="8104" spans="1:13" ht="15" x14ac:dyDescent="0.25">
      <c r="A8104" s="1">
        <f t="shared" ref="A8104:A8107" si="967">DATE(2013,8,29)</f>
        <v>41515</v>
      </c>
      <c r="B8104" t="s">
        <v>11</v>
      </c>
      <c r="C8104" t="s">
        <v>6</v>
      </c>
      <c r="D8104" s="3">
        <v>2602.6909999999998</v>
      </c>
      <c r="E8104" s="3">
        <v>0</v>
      </c>
      <c r="F8104" t="s">
        <v>45</v>
      </c>
      <c r="G8104" s="3">
        <f t="shared" si="959"/>
        <v>-2602.6909999999998</v>
      </c>
      <c r="H8104" s="3">
        <f t="shared" si="960"/>
        <v>2602.6909999999998</v>
      </c>
      <c r="I8104" s="5" t="str">
        <f t="shared" si="961"/>
        <v>016</v>
      </c>
      <c r="J8104" s="5" t="str">
        <f t="shared" si="962"/>
        <v>2100</v>
      </c>
      <c r="K8104" s="5" t="str">
        <f t="shared" si="963"/>
        <v>000</v>
      </c>
      <c r="L8104" s="5">
        <f t="shared" si="964"/>
        <v>8</v>
      </c>
      <c r="M8104" s="5">
        <f t="shared" si="965"/>
        <v>2013</v>
      </c>
    </row>
    <row r="8105" spans="1:13" ht="15" x14ac:dyDescent="0.25">
      <c r="A8105" s="1">
        <f t="shared" si="967"/>
        <v>41515</v>
      </c>
      <c r="B8105" t="s">
        <v>12</v>
      </c>
      <c r="C8105" t="s">
        <v>8</v>
      </c>
      <c r="D8105" s="3">
        <v>682.80840000000001</v>
      </c>
      <c r="E8105" s="3">
        <v>0</v>
      </c>
      <c r="F8105" t="s">
        <v>45</v>
      </c>
      <c r="G8105" s="3">
        <f t="shared" si="959"/>
        <v>-682.80840000000001</v>
      </c>
      <c r="H8105" s="3">
        <f t="shared" si="960"/>
        <v>682.80840000000001</v>
      </c>
      <c r="I8105" s="5" t="str">
        <f t="shared" si="961"/>
        <v>016</v>
      </c>
      <c r="J8105" s="5" t="str">
        <f t="shared" si="962"/>
        <v>2210</v>
      </c>
      <c r="K8105" s="5" t="str">
        <f t="shared" si="963"/>
        <v>000</v>
      </c>
      <c r="L8105" s="5">
        <f t="shared" si="964"/>
        <v>8</v>
      </c>
      <c r="M8105" s="5">
        <f t="shared" si="965"/>
        <v>2013</v>
      </c>
    </row>
    <row r="8106" spans="1:13" ht="15" x14ac:dyDescent="0.25">
      <c r="A8106" s="1">
        <f t="shared" si="967"/>
        <v>41515</v>
      </c>
      <c r="B8106" t="s">
        <v>13</v>
      </c>
      <c r="C8106" t="s">
        <v>9</v>
      </c>
      <c r="D8106" s="3">
        <v>79.194000000000003</v>
      </c>
      <c r="E8106" s="3">
        <v>0</v>
      </c>
      <c r="F8106" t="s">
        <v>45</v>
      </c>
      <c r="G8106" s="3">
        <f t="shared" si="959"/>
        <v>-79.194000000000003</v>
      </c>
      <c r="H8106" s="3">
        <f t="shared" si="960"/>
        <v>79.194000000000003</v>
      </c>
      <c r="I8106" s="5" t="str">
        <f t="shared" si="961"/>
        <v>016</v>
      </c>
      <c r="J8106" s="5" t="str">
        <f t="shared" si="962"/>
        <v>2220</v>
      </c>
      <c r="K8106" s="5" t="str">
        <f t="shared" si="963"/>
        <v>000</v>
      </c>
      <c r="L8106" s="5">
        <f t="shared" si="964"/>
        <v>8</v>
      </c>
      <c r="M8106" s="5">
        <f t="shared" si="965"/>
        <v>2013</v>
      </c>
    </row>
    <row r="8107" spans="1:13" ht="15" x14ac:dyDescent="0.25">
      <c r="A8107" s="1">
        <f t="shared" si="967"/>
        <v>41515</v>
      </c>
      <c r="B8107" t="s">
        <v>14</v>
      </c>
      <c r="C8107" t="s">
        <v>10</v>
      </c>
      <c r="D8107" s="3">
        <v>27.342899999999997</v>
      </c>
      <c r="E8107" s="3">
        <v>0</v>
      </c>
      <c r="F8107" t="s">
        <v>45</v>
      </c>
      <c r="G8107" s="3">
        <f t="shared" si="959"/>
        <v>-27.342899999999997</v>
      </c>
      <c r="H8107" s="3">
        <f t="shared" si="960"/>
        <v>27.342899999999997</v>
      </c>
      <c r="I8107" s="5" t="str">
        <f t="shared" si="961"/>
        <v>016</v>
      </c>
      <c r="J8107" s="5" t="str">
        <f t="shared" si="962"/>
        <v>2230</v>
      </c>
      <c r="K8107" s="5" t="str">
        <f t="shared" si="963"/>
        <v>000</v>
      </c>
      <c r="L8107" s="5">
        <f t="shared" si="964"/>
        <v>8</v>
      </c>
      <c r="M8107" s="5">
        <f t="shared" si="965"/>
        <v>2013</v>
      </c>
    </row>
    <row r="8108" spans="1:13" ht="15" x14ac:dyDescent="0.25">
      <c r="A8108" s="1">
        <f>DATE(2013,8,30)</f>
        <v>41516</v>
      </c>
      <c r="B8108" t="s">
        <v>11</v>
      </c>
      <c r="C8108" t="s">
        <v>6</v>
      </c>
      <c r="D8108" s="3">
        <v>4539.8407999999999</v>
      </c>
      <c r="E8108" s="3">
        <v>0</v>
      </c>
      <c r="F8108" t="s">
        <v>45</v>
      </c>
      <c r="G8108" s="3">
        <f t="shared" si="959"/>
        <v>-4539.8407999999999</v>
      </c>
      <c r="H8108" s="3">
        <f t="shared" si="960"/>
        <v>4539.8407999999999</v>
      </c>
      <c r="I8108" s="5" t="str">
        <f t="shared" si="961"/>
        <v>016</v>
      </c>
      <c r="J8108" s="5" t="str">
        <f t="shared" si="962"/>
        <v>2100</v>
      </c>
      <c r="K8108" s="5" t="str">
        <f t="shared" si="963"/>
        <v>000</v>
      </c>
      <c r="L8108" s="5">
        <f t="shared" si="964"/>
        <v>8</v>
      </c>
      <c r="M8108" s="5">
        <f t="shared" si="965"/>
        <v>2013</v>
      </c>
    </row>
    <row r="8109" spans="1:13" ht="15" x14ac:dyDescent="0.25">
      <c r="A8109" s="1">
        <f>DATE(2013,8,30)</f>
        <v>41516</v>
      </c>
      <c r="B8109" t="s">
        <v>12</v>
      </c>
      <c r="C8109" t="s">
        <v>8</v>
      </c>
      <c r="D8109" s="3">
        <v>1645.8024</v>
      </c>
      <c r="E8109" s="3">
        <v>0</v>
      </c>
      <c r="F8109" t="s">
        <v>45</v>
      </c>
      <c r="G8109" s="3">
        <f t="shared" si="959"/>
        <v>-1645.8024</v>
      </c>
      <c r="H8109" s="3">
        <f t="shared" si="960"/>
        <v>1645.8024</v>
      </c>
      <c r="I8109" s="5" t="str">
        <f t="shared" si="961"/>
        <v>016</v>
      </c>
      <c r="J8109" s="5" t="str">
        <f t="shared" si="962"/>
        <v>2210</v>
      </c>
      <c r="K8109" s="5" t="str">
        <f t="shared" si="963"/>
        <v>000</v>
      </c>
      <c r="L8109" s="5">
        <f t="shared" si="964"/>
        <v>8</v>
      </c>
      <c r="M8109" s="5">
        <f t="shared" si="965"/>
        <v>2013</v>
      </c>
    </row>
    <row r="8110" spans="1:13" ht="15" x14ac:dyDescent="0.25">
      <c r="A8110" s="1">
        <f>DATE(2013,8,30)</f>
        <v>41516</v>
      </c>
      <c r="B8110" t="s">
        <v>13</v>
      </c>
      <c r="C8110" t="s">
        <v>9</v>
      </c>
      <c r="D8110" s="3">
        <v>354.31040000000002</v>
      </c>
      <c r="E8110" s="3">
        <v>0</v>
      </c>
      <c r="F8110" t="s">
        <v>45</v>
      </c>
      <c r="G8110" s="3">
        <f t="shared" si="959"/>
        <v>-354.31040000000002</v>
      </c>
      <c r="H8110" s="3">
        <f t="shared" si="960"/>
        <v>354.31040000000002</v>
      </c>
      <c r="I8110" s="5" t="str">
        <f t="shared" si="961"/>
        <v>016</v>
      </c>
      <c r="J8110" s="5" t="str">
        <f t="shared" si="962"/>
        <v>2220</v>
      </c>
      <c r="K8110" s="5" t="str">
        <f t="shared" si="963"/>
        <v>000</v>
      </c>
      <c r="L8110" s="5">
        <f t="shared" si="964"/>
        <v>8</v>
      </c>
      <c r="M8110" s="5">
        <f t="shared" si="965"/>
        <v>2013</v>
      </c>
    </row>
    <row r="8111" spans="1:13" ht="15" x14ac:dyDescent="0.25">
      <c r="A8111" s="1">
        <f>DATE(2013,8,30)</f>
        <v>41516</v>
      </c>
      <c r="B8111" t="s">
        <v>14</v>
      </c>
      <c r="C8111" t="s">
        <v>10</v>
      </c>
      <c r="D8111" s="3">
        <v>135.85440000000003</v>
      </c>
      <c r="E8111" s="3">
        <v>0</v>
      </c>
      <c r="F8111" t="s">
        <v>45</v>
      </c>
      <c r="G8111" s="3">
        <f t="shared" si="959"/>
        <v>-135.85440000000003</v>
      </c>
      <c r="H8111" s="3">
        <f t="shared" si="960"/>
        <v>135.85440000000003</v>
      </c>
      <c r="I8111" s="5" t="str">
        <f t="shared" si="961"/>
        <v>016</v>
      </c>
      <c r="J8111" s="5" t="str">
        <f t="shared" si="962"/>
        <v>2230</v>
      </c>
      <c r="K8111" s="5" t="str">
        <f t="shared" si="963"/>
        <v>000</v>
      </c>
      <c r="L8111" s="5">
        <f t="shared" si="964"/>
        <v>8</v>
      </c>
      <c r="M8111" s="5">
        <f t="shared" si="965"/>
        <v>2013</v>
      </c>
    </row>
    <row r="8112" spans="1:13" ht="15" x14ac:dyDescent="0.25">
      <c r="A8112" s="1">
        <f>DATE(2013,8,31)</f>
        <v>41517</v>
      </c>
      <c r="B8112" t="s">
        <v>11</v>
      </c>
      <c r="C8112" t="s">
        <v>6</v>
      </c>
      <c r="D8112" s="3">
        <v>5851.1324999999997</v>
      </c>
      <c r="E8112" s="3">
        <v>0</v>
      </c>
      <c r="F8112" t="s">
        <v>45</v>
      </c>
      <c r="G8112" s="3">
        <f t="shared" si="959"/>
        <v>-5851.1324999999997</v>
      </c>
      <c r="H8112" s="3">
        <f t="shared" si="960"/>
        <v>5851.1324999999997</v>
      </c>
      <c r="I8112" s="5" t="str">
        <f t="shared" si="961"/>
        <v>016</v>
      </c>
      <c r="J8112" s="5" t="str">
        <f t="shared" si="962"/>
        <v>2100</v>
      </c>
      <c r="K8112" s="5" t="str">
        <f t="shared" si="963"/>
        <v>000</v>
      </c>
      <c r="L8112" s="5">
        <f t="shared" si="964"/>
        <v>8</v>
      </c>
      <c r="M8112" s="5">
        <f t="shared" si="965"/>
        <v>2013</v>
      </c>
    </row>
    <row r="8113" spans="1:13" ht="15" x14ac:dyDescent="0.25">
      <c r="A8113" s="1">
        <f>DATE(2013,8,31)</f>
        <v>41517</v>
      </c>
      <c r="B8113" t="s">
        <v>12</v>
      </c>
      <c r="C8113" t="s">
        <v>8</v>
      </c>
      <c r="D8113" s="3">
        <v>1578.4794999999999</v>
      </c>
      <c r="E8113" s="3">
        <v>0</v>
      </c>
      <c r="F8113" t="s">
        <v>45</v>
      </c>
      <c r="G8113" s="3">
        <f t="shared" si="959"/>
        <v>-1578.4794999999999</v>
      </c>
      <c r="H8113" s="3">
        <f t="shared" si="960"/>
        <v>1578.4794999999999</v>
      </c>
      <c r="I8113" s="5" t="str">
        <f t="shared" si="961"/>
        <v>016</v>
      </c>
      <c r="J8113" s="5" t="str">
        <f t="shared" si="962"/>
        <v>2210</v>
      </c>
      <c r="K8113" s="5" t="str">
        <f t="shared" si="963"/>
        <v>000</v>
      </c>
      <c r="L8113" s="5">
        <f t="shared" si="964"/>
        <v>8</v>
      </c>
      <c r="M8113" s="5">
        <f t="shared" si="965"/>
        <v>2013</v>
      </c>
    </row>
    <row r="8114" spans="1:13" ht="15" x14ac:dyDescent="0.25">
      <c r="A8114" s="1">
        <f>DATE(2013,8,31)</f>
        <v>41517</v>
      </c>
      <c r="B8114" t="s">
        <v>13</v>
      </c>
      <c r="C8114" t="s">
        <v>9</v>
      </c>
      <c r="D8114" s="3">
        <v>344.214</v>
      </c>
      <c r="E8114" s="3">
        <v>0</v>
      </c>
      <c r="F8114" t="s">
        <v>45</v>
      </c>
      <c r="G8114" s="3">
        <f t="shared" si="959"/>
        <v>-344.214</v>
      </c>
      <c r="H8114" s="3">
        <f t="shared" si="960"/>
        <v>344.214</v>
      </c>
      <c r="I8114" s="5" t="str">
        <f t="shared" si="961"/>
        <v>016</v>
      </c>
      <c r="J8114" s="5" t="str">
        <f t="shared" si="962"/>
        <v>2220</v>
      </c>
      <c r="K8114" s="5" t="str">
        <f t="shared" si="963"/>
        <v>000</v>
      </c>
      <c r="L8114" s="5">
        <f t="shared" si="964"/>
        <v>8</v>
      </c>
      <c r="M8114" s="5">
        <f t="shared" si="965"/>
        <v>2013</v>
      </c>
    </row>
    <row r="8115" spans="1:13" ht="15" x14ac:dyDescent="0.25">
      <c r="A8115" s="1">
        <f>DATE(2013,8,31)</f>
        <v>41517</v>
      </c>
      <c r="B8115" t="s">
        <v>14</v>
      </c>
      <c r="C8115" t="s">
        <v>10</v>
      </c>
      <c r="D8115" s="3">
        <v>98.189000000000007</v>
      </c>
      <c r="E8115" s="3">
        <v>0</v>
      </c>
      <c r="F8115" t="s">
        <v>45</v>
      </c>
      <c r="G8115" s="3">
        <f t="shared" si="959"/>
        <v>-98.189000000000007</v>
      </c>
      <c r="H8115" s="3">
        <f t="shared" si="960"/>
        <v>98.189000000000007</v>
      </c>
      <c r="I8115" s="5" t="str">
        <f t="shared" si="961"/>
        <v>016</v>
      </c>
      <c r="J8115" s="5" t="str">
        <f t="shared" si="962"/>
        <v>2230</v>
      </c>
      <c r="K8115" s="5" t="str">
        <f t="shared" si="963"/>
        <v>000</v>
      </c>
      <c r="L8115" s="5">
        <f t="shared" si="964"/>
        <v>8</v>
      </c>
      <c r="M8115" s="5">
        <f t="shared" si="965"/>
        <v>2013</v>
      </c>
    </row>
    <row r="8116" spans="1:13" ht="15" x14ac:dyDescent="0.25">
      <c r="A8116" s="1">
        <f>DATE(2013,9,1)</f>
        <v>41518</v>
      </c>
      <c r="B8116" t="s">
        <v>11</v>
      </c>
      <c r="C8116" t="s">
        <v>6</v>
      </c>
      <c r="D8116" s="3">
        <v>4044.9528000000005</v>
      </c>
      <c r="E8116" s="3">
        <v>0</v>
      </c>
      <c r="F8116" t="s">
        <v>45</v>
      </c>
      <c r="G8116" s="3">
        <f t="shared" si="959"/>
        <v>-4044.9528000000005</v>
      </c>
      <c r="H8116" s="3">
        <f t="shared" si="960"/>
        <v>4044.9528000000005</v>
      </c>
      <c r="I8116" s="5" t="str">
        <f t="shared" si="961"/>
        <v>016</v>
      </c>
      <c r="J8116" s="5" t="str">
        <f t="shared" si="962"/>
        <v>2100</v>
      </c>
      <c r="K8116" s="5" t="str">
        <f t="shared" si="963"/>
        <v>000</v>
      </c>
      <c r="L8116" s="5">
        <f t="shared" si="964"/>
        <v>9</v>
      </c>
      <c r="M8116" s="5">
        <f t="shared" si="965"/>
        <v>2013</v>
      </c>
    </row>
    <row r="8117" spans="1:13" ht="15" x14ac:dyDescent="0.25">
      <c r="A8117" s="1">
        <f>DATE(2013,9,1)</f>
        <v>41518</v>
      </c>
      <c r="B8117" t="s">
        <v>12</v>
      </c>
      <c r="C8117" t="s">
        <v>8</v>
      </c>
      <c r="D8117" s="3">
        <v>928.72800000000007</v>
      </c>
      <c r="E8117" s="3">
        <v>0</v>
      </c>
      <c r="F8117" t="s">
        <v>45</v>
      </c>
      <c r="G8117" s="3">
        <f t="shared" si="959"/>
        <v>-928.72800000000007</v>
      </c>
      <c r="H8117" s="3">
        <f t="shared" si="960"/>
        <v>928.72800000000007</v>
      </c>
      <c r="I8117" s="5" t="str">
        <f t="shared" si="961"/>
        <v>016</v>
      </c>
      <c r="J8117" s="5" t="str">
        <f t="shared" si="962"/>
        <v>2210</v>
      </c>
      <c r="K8117" s="5" t="str">
        <f t="shared" si="963"/>
        <v>000</v>
      </c>
      <c r="L8117" s="5">
        <f t="shared" si="964"/>
        <v>9</v>
      </c>
      <c r="M8117" s="5">
        <f t="shared" si="965"/>
        <v>2013</v>
      </c>
    </row>
    <row r="8118" spans="1:13" ht="15" x14ac:dyDescent="0.25">
      <c r="A8118" s="1">
        <f>DATE(2013,9,1)</f>
        <v>41518</v>
      </c>
      <c r="B8118" t="s">
        <v>13</v>
      </c>
      <c r="C8118" t="s">
        <v>9</v>
      </c>
      <c r="D8118" s="3">
        <v>260.38260000000002</v>
      </c>
      <c r="E8118" s="3">
        <v>0</v>
      </c>
      <c r="F8118" t="s">
        <v>45</v>
      </c>
      <c r="G8118" s="3">
        <f t="shared" si="959"/>
        <v>-260.38260000000002</v>
      </c>
      <c r="H8118" s="3">
        <f t="shared" si="960"/>
        <v>260.38260000000002</v>
      </c>
      <c r="I8118" s="5" t="str">
        <f t="shared" si="961"/>
        <v>016</v>
      </c>
      <c r="J8118" s="5" t="str">
        <f t="shared" si="962"/>
        <v>2220</v>
      </c>
      <c r="K8118" s="5" t="str">
        <f t="shared" si="963"/>
        <v>000</v>
      </c>
      <c r="L8118" s="5">
        <f t="shared" si="964"/>
        <v>9</v>
      </c>
      <c r="M8118" s="5">
        <f t="shared" si="965"/>
        <v>2013</v>
      </c>
    </row>
    <row r="8119" spans="1:13" ht="15" x14ac:dyDescent="0.25">
      <c r="A8119" s="1">
        <f>DATE(2013,9,1)</f>
        <v>41518</v>
      </c>
      <c r="B8119" t="s">
        <v>14</v>
      </c>
      <c r="C8119" t="s">
        <v>10</v>
      </c>
      <c r="D8119" s="3">
        <v>75.853999999999999</v>
      </c>
      <c r="E8119" s="3">
        <v>0</v>
      </c>
      <c r="F8119" t="s">
        <v>45</v>
      </c>
      <c r="G8119" s="3">
        <f t="shared" si="959"/>
        <v>-75.853999999999999</v>
      </c>
      <c r="H8119" s="3">
        <f t="shared" si="960"/>
        <v>75.853999999999999</v>
      </c>
      <c r="I8119" s="5" t="str">
        <f t="shared" si="961"/>
        <v>016</v>
      </c>
      <c r="J8119" s="5" t="str">
        <f t="shared" si="962"/>
        <v>2230</v>
      </c>
      <c r="K8119" s="5" t="str">
        <f t="shared" si="963"/>
        <v>000</v>
      </c>
      <c r="L8119" s="5">
        <f t="shared" si="964"/>
        <v>9</v>
      </c>
      <c r="M8119" s="5">
        <f t="shared" si="965"/>
        <v>2013</v>
      </c>
    </row>
    <row r="8120" spans="1:13" ht="15" x14ac:dyDescent="0.25">
      <c r="A8120" s="1">
        <f>DATE(2013,8,26)</f>
        <v>41512</v>
      </c>
      <c r="B8120" t="s">
        <v>15</v>
      </c>
      <c r="C8120" t="s">
        <v>6</v>
      </c>
      <c r="D8120" s="3">
        <v>5304.9468000000006</v>
      </c>
      <c r="E8120" s="3">
        <v>0</v>
      </c>
      <c r="F8120" t="s">
        <v>45</v>
      </c>
      <c r="G8120" s="3">
        <f t="shared" si="959"/>
        <v>-5304.9468000000006</v>
      </c>
      <c r="H8120" s="3">
        <f t="shared" si="960"/>
        <v>5304.9468000000006</v>
      </c>
      <c r="I8120" s="5" t="str">
        <f t="shared" si="961"/>
        <v>017</v>
      </c>
      <c r="J8120" s="5" t="str">
        <f t="shared" si="962"/>
        <v>2100</v>
      </c>
      <c r="K8120" s="5" t="str">
        <f t="shared" si="963"/>
        <v>000</v>
      </c>
      <c r="L8120" s="5">
        <f t="shared" si="964"/>
        <v>8</v>
      </c>
      <c r="M8120" s="5">
        <f t="shared" si="965"/>
        <v>2013</v>
      </c>
    </row>
    <row r="8121" spans="1:13" ht="15" x14ac:dyDescent="0.25">
      <c r="A8121" s="1">
        <f>DATE(2013,8,26)</f>
        <v>41512</v>
      </c>
      <c r="B8121" t="s">
        <v>16</v>
      </c>
      <c r="C8121" t="s">
        <v>8</v>
      </c>
      <c r="D8121" s="3">
        <v>1706.5576000000001</v>
      </c>
      <c r="E8121" s="3">
        <v>0</v>
      </c>
      <c r="F8121" t="s">
        <v>45</v>
      </c>
      <c r="G8121" s="3">
        <f t="shared" si="959"/>
        <v>-1706.5576000000001</v>
      </c>
      <c r="H8121" s="3">
        <f t="shared" si="960"/>
        <v>1706.5576000000001</v>
      </c>
      <c r="I8121" s="5" t="str">
        <f t="shared" si="961"/>
        <v>017</v>
      </c>
      <c r="J8121" s="5" t="str">
        <f t="shared" si="962"/>
        <v>2210</v>
      </c>
      <c r="K8121" s="5" t="str">
        <f t="shared" si="963"/>
        <v>000</v>
      </c>
      <c r="L8121" s="5">
        <f t="shared" si="964"/>
        <v>8</v>
      </c>
      <c r="M8121" s="5">
        <f t="shared" si="965"/>
        <v>2013</v>
      </c>
    </row>
    <row r="8122" spans="1:13" ht="15" x14ac:dyDescent="0.25">
      <c r="A8122" s="1">
        <f>DATE(2013,8,26)</f>
        <v>41512</v>
      </c>
      <c r="B8122" t="s">
        <v>17</v>
      </c>
      <c r="C8122" t="s">
        <v>9</v>
      </c>
      <c r="D8122" s="3">
        <v>510.36699999999996</v>
      </c>
      <c r="E8122" s="3">
        <v>0</v>
      </c>
      <c r="F8122" t="s">
        <v>45</v>
      </c>
      <c r="G8122" s="3">
        <f t="shared" si="959"/>
        <v>-510.36699999999996</v>
      </c>
      <c r="H8122" s="3">
        <f t="shared" si="960"/>
        <v>510.36699999999996</v>
      </c>
      <c r="I8122" s="5" t="str">
        <f t="shared" si="961"/>
        <v>017</v>
      </c>
      <c r="J8122" s="5" t="str">
        <f t="shared" si="962"/>
        <v>2220</v>
      </c>
      <c r="K8122" s="5" t="str">
        <f t="shared" si="963"/>
        <v>000</v>
      </c>
      <c r="L8122" s="5">
        <f t="shared" si="964"/>
        <v>8</v>
      </c>
      <c r="M8122" s="5">
        <f t="shared" si="965"/>
        <v>2013</v>
      </c>
    </row>
    <row r="8123" spans="1:13" ht="15" x14ac:dyDescent="0.25">
      <c r="A8123" s="1">
        <f>DATE(2013,8,26)</f>
        <v>41512</v>
      </c>
      <c r="B8123" t="s">
        <v>18</v>
      </c>
      <c r="C8123" t="s">
        <v>10</v>
      </c>
      <c r="D8123" s="3">
        <v>69.741</v>
      </c>
      <c r="E8123" s="3">
        <v>0</v>
      </c>
      <c r="F8123" t="s">
        <v>45</v>
      </c>
      <c r="G8123" s="3">
        <f t="shared" si="959"/>
        <v>-69.741</v>
      </c>
      <c r="H8123" s="3">
        <f t="shared" si="960"/>
        <v>69.741</v>
      </c>
      <c r="I8123" s="5" t="str">
        <f t="shared" si="961"/>
        <v>017</v>
      </c>
      <c r="J8123" s="5" t="str">
        <f t="shared" si="962"/>
        <v>2230</v>
      </c>
      <c r="K8123" s="5" t="str">
        <f t="shared" si="963"/>
        <v>000</v>
      </c>
      <c r="L8123" s="5">
        <f t="shared" si="964"/>
        <v>8</v>
      </c>
      <c r="M8123" s="5">
        <f t="shared" si="965"/>
        <v>2013</v>
      </c>
    </row>
    <row r="8124" spans="1:13" ht="15" x14ac:dyDescent="0.25">
      <c r="A8124" s="1">
        <f>DATE(2013,8,27)</f>
        <v>41513</v>
      </c>
      <c r="B8124" t="s">
        <v>15</v>
      </c>
      <c r="C8124" t="s">
        <v>6</v>
      </c>
      <c r="D8124" s="3">
        <v>4238.5392000000002</v>
      </c>
      <c r="E8124" s="3">
        <v>0</v>
      </c>
      <c r="F8124" t="s">
        <v>45</v>
      </c>
      <c r="G8124" s="3">
        <f t="shared" si="959"/>
        <v>-4238.5392000000002</v>
      </c>
      <c r="H8124" s="3">
        <f t="shared" si="960"/>
        <v>4238.5392000000002</v>
      </c>
      <c r="I8124" s="5" t="str">
        <f t="shared" si="961"/>
        <v>017</v>
      </c>
      <c r="J8124" s="5" t="str">
        <f t="shared" si="962"/>
        <v>2100</v>
      </c>
      <c r="K8124" s="5" t="str">
        <f t="shared" si="963"/>
        <v>000</v>
      </c>
      <c r="L8124" s="5">
        <f t="shared" si="964"/>
        <v>8</v>
      </c>
      <c r="M8124" s="5">
        <f t="shared" si="965"/>
        <v>2013</v>
      </c>
    </row>
    <row r="8125" spans="1:13" ht="15" x14ac:dyDescent="0.25">
      <c r="A8125" s="1">
        <f>DATE(2013,8,27)</f>
        <v>41513</v>
      </c>
      <c r="B8125" t="s">
        <v>16</v>
      </c>
      <c r="C8125" t="s">
        <v>8</v>
      </c>
      <c r="D8125" s="3">
        <v>1705.356</v>
      </c>
      <c r="E8125" s="3">
        <v>0</v>
      </c>
      <c r="F8125" t="s">
        <v>45</v>
      </c>
      <c r="G8125" s="3">
        <f t="shared" si="959"/>
        <v>-1705.356</v>
      </c>
      <c r="H8125" s="3">
        <f t="shared" si="960"/>
        <v>1705.356</v>
      </c>
      <c r="I8125" s="5" t="str">
        <f t="shared" si="961"/>
        <v>017</v>
      </c>
      <c r="J8125" s="5" t="str">
        <f t="shared" si="962"/>
        <v>2210</v>
      </c>
      <c r="K8125" s="5" t="str">
        <f t="shared" si="963"/>
        <v>000</v>
      </c>
      <c r="L8125" s="5">
        <f t="shared" si="964"/>
        <v>8</v>
      </c>
      <c r="M8125" s="5">
        <f t="shared" si="965"/>
        <v>2013</v>
      </c>
    </row>
    <row r="8126" spans="1:13" ht="15" x14ac:dyDescent="0.25">
      <c r="A8126" s="1">
        <f>DATE(2013,8,27)</f>
        <v>41513</v>
      </c>
      <c r="B8126" t="s">
        <v>17</v>
      </c>
      <c r="C8126" t="s">
        <v>9</v>
      </c>
      <c r="D8126" s="3">
        <v>604.27819999999997</v>
      </c>
      <c r="E8126" s="3">
        <v>0</v>
      </c>
      <c r="F8126" t="s">
        <v>45</v>
      </c>
      <c r="G8126" s="3">
        <f t="shared" si="959"/>
        <v>-604.27819999999997</v>
      </c>
      <c r="H8126" s="3">
        <f t="shared" si="960"/>
        <v>604.27819999999997</v>
      </c>
      <c r="I8126" s="5" t="str">
        <f t="shared" si="961"/>
        <v>017</v>
      </c>
      <c r="J8126" s="5" t="str">
        <f t="shared" si="962"/>
        <v>2220</v>
      </c>
      <c r="K8126" s="5" t="str">
        <f t="shared" si="963"/>
        <v>000</v>
      </c>
      <c r="L8126" s="5">
        <f t="shared" si="964"/>
        <v>8</v>
      </c>
      <c r="M8126" s="5">
        <f t="shared" si="965"/>
        <v>2013</v>
      </c>
    </row>
    <row r="8127" spans="1:13" ht="15" x14ac:dyDescent="0.25">
      <c r="A8127" s="1">
        <f>DATE(2013,8,27)</f>
        <v>41513</v>
      </c>
      <c r="B8127" t="s">
        <v>18</v>
      </c>
      <c r="C8127" t="s">
        <v>10</v>
      </c>
      <c r="D8127" s="3">
        <v>105.96599999999999</v>
      </c>
      <c r="E8127" s="3">
        <v>0</v>
      </c>
      <c r="F8127" t="s">
        <v>45</v>
      </c>
      <c r="G8127" s="3">
        <f t="shared" si="959"/>
        <v>-105.96599999999999</v>
      </c>
      <c r="H8127" s="3">
        <f t="shared" si="960"/>
        <v>105.96599999999999</v>
      </c>
      <c r="I8127" s="5" t="str">
        <f t="shared" si="961"/>
        <v>017</v>
      </c>
      <c r="J8127" s="5" t="str">
        <f t="shared" si="962"/>
        <v>2230</v>
      </c>
      <c r="K8127" s="5" t="str">
        <f t="shared" si="963"/>
        <v>000</v>
      </c>
      <c r="L8127" s="5">
        <f t="shared" si="964"/>
        <v>8</v>
      </c>
      <c r="M8127" s="5">
        <f t="shared" si="965"/>
        <v>2013</v>
      </c>
    </row>
    <row r="8128" spans="1:13" ht="15" x14ac:dyDescent="0.25">
      <c r="A8128" s="1">
        <f>DATE(2013,8,28)</f>
        <v>41514</v>
      </c>
      <c r="B8128" t="s">
        <v>15</v>
      </c>
      <c r="C8128" t="s">
        <v>6</v>
      </c>
      <c r="D8128" s="3">
        <v>5894.9279999999999</v>
      </c>
      <c r="E8128" s="3">
        <v>0</v>
      </c>
      <c r="F8128" t="s">
        <v>45</v>
      </c>
      <c r="G8128" s="3">
        <f t="shared" si="959"/>
        <v>-5894.9279999999999</v>
      </c>
      <c r="H8128" s="3">
        <f t="shared" si="960"/>
        <v>5894.9279999999999</v>
      </c>
      <c r="I8128" s="5" t="str">
        <f t="shared" si="961"/>
        <v>017</v>
      </c>
      <c r="J8128" s="5" t="str">
        <f t="shared" si="962"/>
        <v>2100</v>
      </c>
      <c r="K8128" s="5" t="str">
        <f t="shared" si="963"/>
        <v>000</v>
      </c>
      <c r="L8128" s="5">
        <f t="shared" si="964"/>
        <v>8</v>
      </c>
      <c r="M8128" s="5">
        <f t="shared" si="965"/>
        <v>2013</v>
      </c>
    </row>
    <row r="8129" spans="1:13" ht="15" x14ac:dyDescent="0.25">
      <c r="A8129" s="1">
        <f>DATE(2013,8,28)</f>
        <v>41514</v>
      </c>
      <c r="B8129" t="s">
        <v>16</v>
      </c>
      <c r="C8129" t="s">
        <v>8</v>
      </c>
      <c r="D8129" s="3">
        <v>1421.2662</v>
      </c>
      <c r="E8129" s="3">
        <v>0</v>
      </c>
      <c r="F8129" t="s">
        <v>45</v>
      </c>
      <c r="G8129" s="3">
        <f t="shared" si="959"/>
        <v>-1421.2662</v>
      </c>
      <c r="H8129" s="3">
        <f t="shared" si="960"/>
        <v>1421.2662</v>
      </c>
      <c r="I8129" s="5" t="str">
        <f t="shared" si="961"/>
        <v>017</v>
      </c>
      <c r="J8129" s="5" t="str">
        <f t="shared" si="962"/>
        <v>2210</v>
      </c>
      <c r="K8129" s="5" t="str">
        <f t="shared" si="963"/>
        <v>000</v>
      </c>
      <c r="L8129" s="5">
        <f t="shared" si="964"/>
        <v>8</v>
      </c>
      <c r="M8129" s="5">
        <f t="shared" si="965"/>
        <v>2013</v>
      </c>
    </row>
    <row r="8130" spans="1:13" ht="15" x14ac:dyDescent="0.25">
      <c r="A8130" s="1">
        <f>DATE(2013,8,28)</f>
        <v>41514</v>
      </c>
      <c r="B8130" t="s">
        <v>17</v>
      </c>
      <c r="C8130" t="s">
        <v>9</v>
      </c>
      <c r="D8130" s="3">
        <v>567.48900000000003</v>
      </c>
      <c r="E8130" s="3">
        <v>0</v>
      </c>
      <c r="F8130" t="s">
        <v>45</v>
      </c>
      <c r="G8130" s="3">
        <f t="shared" ref="G8130:G8193" si="968">E8130-D8130</f>
        <v>-567.48900000000003</v>
      </c>
      <c r="H8130" s="3">
        <f t="shared" ref="H8130:H8193" si="969">ABS(G8130)</f>
        <v>567.48900000000003</v>
      </c>
      <c r="I8130" s="5" t="str">
        <f t="shared" ref="I8130:I8193" si="970">MID(B8130,1,3)</f>
        <v>017</v>
      </c>
      <c r="J8130" s="5" t="str">
        <f t="shared" ref="J8130:J8193" si="971">MID(B8130,5,4)</f>
        <v>2220</v>
      </c>
      <c r="K8130" s="5" t="str">
        <f t="shared" ref="K8130:K8193" si="972">MID(B8130,10,3)</f>
        <v>000</v>
      </c>
      <c r="L8130" s="5">
        <f t="shared" ref="L8130:L8193" si="973">MONTH(A8130)</f>
        <v>8</v>
      </c>
      <c r="M8130" s="5">
        <f t="shared" ref="M8130:M8193" si="974">YEAR(A8130)</f>
        <v>2013</v>
      </c>
    </row>
    <row r="8131" spans="1:13" ht="15" x14ac:dyDescent="0.25">
      <c r="A8131" s="1">
        <f>DATE(2013,8,28)</f>
        <v>41514</v>
      </c>
      <c r="B8131" t="s">
        <v>18</v>
      </c>
      <c r="C8131" t="s">
        <v>10</v>
      </c>
      <c r="D8131" s="3">
        <v>156.8768</v>
      </c>
      <c r="E8131" s="3">
        <v>0</v>
      </c>
      <c r="F8131" t="s">
        <v>45</v>
      </c>
      <c r="G8131" s="3">
        <f t="shared" si="968"/>
        <v>-156.8768</v>
      </c>
      <c r="H8131" s="3">
        <f t="shared" si="969"/>
        <v>156.8768</v>
      </c>
      <c r="I8131" s="5" t="str">
        <f t="shared" si="970"/>
        <v>017</v>
      </c>
      <c r="J8131" s="5" t="str">
        <f t="shared" si="971"/>
        <v>2230</v>
      </c>
      <c r="K8131" s="5" t="str">
        <f t="shared" si="972"/>
        <v>000</v>
      </c>
      <c r="L8131" s="5">
        <f t="shared" si="973"/>
        <v>8</v>
      </c>
      <c r="M8131" s="5">
        <f t="shared" si="974"/>
        <v>2013</v>
      </c>
    </row>
    <row r="8132" spans="1:13" ht="15" x14ac:dyDescent="0.25">
      <c r="A8132" s="1">
        <f>DATE(2013,8,29)</f>
        <v>41515</v>
      </c>
      <c r="B8132" t="s">
        <v>15</v>
      </c>
      <c r="C8132" t="s">
        <v>6</v>
      </c>
      <c r="D8132" s="3">
        <v>6798.3984999999993</v>
      </c>
      <c r="E8132" s="3">
        <v>0</v>
      </c>
      <c r="F8132" t="s">
        <v>45</v>
      </c>
      <c r="G8132" s="3">
        <f t="shared" si="968"/>
        <v>-6798.3984999999993</v>
      </c>
      <c r="H8132" s="3">
        <f t="shared" si="969"/>
        <v>6798.3984999999993</v>
      </c>
      <c r="I8132" s="5" t="str">
        <f t="shared" si="970"/>
        <v>017</v>
      </c>
      <c r="J8132" s="5" t="str">
        <f t="shared" si="971"/>
        <v>2100</v>
      </c>
      <c r="K8132" s="5" t="str">
        <f t="shared" si="972"/>
        <v>000</v>
      </c>
      <c r="L8132" s="5">
        <f t="shared" si="973"/>
        <v>8</v>
      </c>
      <c r="M8132" s="5">
        <f t="shared" si="974"/>
        <v>2013</v>
      </c>
    </row>
    <row r="8133" spans="1:13" ht="15" x14ac:dyDescent="0.25">
      <c r="A8133" s="1">
        <f>DATE(2013,8,29)</f>
        <v>41515</v>
      </c>
      <c r="B8133" t="s">
        <v>16</v>
      </c>
      <c r="C8133" t="s">
        <v>8</v>
      </c>
      <c r="D8133" s="3">
        <v>1170.5688</v>
      </c>
      <c r="E8133" s="3">
        <v>0</v>
      </c>
      <c r="F8133" t="s">
        <v>45</v>
      </c>
      <c r="G8133" s="3">
        <f t="shared" si="968"/>
        <v>-1170.5688</v>
      </c>
      <c r="H8133" s="3">
        <f t="shared" si="969"/>
        <v>1170.5688</v>
      </c>
      <c r="I8133" s="5" t="str">
        <f t="shared" si="970"/>
        <v>017</v>
      </c>
      <c r="J8133" s="5" t="str">
        <f t="shared" si="971"/>
        <v>2210</v>
      </c>
      <c r="K8133" s="5" t="str">
        <f t="shared" si="972"/>
        <v>000</v>
      </c>
      <c r="L8133" s="5">
        <f t="shared" si="973"/>
        <v>8</v>
      </c>
      <c r="M8133" s="5">
        <f t="shared" si="974"/>
        <v>2013</v>
      </c>
    </row>
    <row r="8134" spans="1:13" ht="15" x14ac:dyDescent="0.25">
      <c r="A8134" s="1">
        <f>DATE(2013,8,29)</f>
        <v>41515</v>
      </c>
      <c r="B8134" t="s">
        <v>17</v>
      </c>
      <c r="C8134" t="s">
        <v>9</v>
      </c>
      <c r="D8134" s="3">
        <v>275.44160000000005</v>
      </c>
      <c r="E8134" s="3">
        <v>0</v>
      </c>
      <c r="F8134" t="s">
        <v>45</v>
      </c>
      <c r="G8134" s="3">
        <f t="shared" si="968"/>
        <v>-275.44160000000005</v>
      </c>
      <c r="H8134" s="3">
        <f t="shared" si="969"/>
        <v>275.44160000000005</v>
      </c>
      <c r="I8134" s="5" t="str">
        <f t="shared" si="970"/>
        <v>017</v>
      </c>
      <c r="J8134" s="5" t="str">
        <f t="shared" si="971"/>
        <v>2220</v>
      </c>
      <c r="K8134" s="5" t="str">
        <f t="shared" si="972"/>
        <v>000</v>
      </c>
      <c r="L8134" s="5">
        <f t="shared" si="973"/>
        <v>8</v>
      </c>
      <c r="M8134" s="5">
        <f t="shared" si="974"/>
        <v>2013</v>
      </c>
    </row>
    <row r="8135" spans="1:13" ht="15" x14ac:dyDescent="0.25">
      <c r="A8135" s="1">
        <f>DATE(2013,8,29)</f>
        <v>41515</v>
      </c>
      <c r="B8135" t="s">
        <v>18</v>
      </c>
      <c r="C8135" t="s">
        <v>10</v>
      </c>
      <c r="D8135" s="3">
        <v>70.145700000000005</v>
      </c>
      <c r="E8135" s="3">
        <v>0</v>
      </c>
      <c r="F8135" t="s">
        <v>45</v>
      </c>
      <c r="G8135" s="3">
        <f t="shared" si="968"/>
        <v>-70.145700000000005</v>
      </c>
      <c r="H8135" s="3">
        <f t="shared" si="969"/>
        <v>70.145700000000005</v>
      </c>
      <c r="I8135" s="5" t="str">
        <f t="shared" si="970"/>
        <v>017</v>
      </c>
      <c r="J8135" s="5" t="str">
        <f t="shared" si="971"/>
        <v>2230</v>
      </c>
      <c r="K8135" s="5" t="str">
        <f t="shared" si="972"/>
        <v>000</v>
      </c>
      <c r="L8135" s="5">
        <f t="shared" si="973"/>
        <v>8</v>
      </c>
      <c r="M8135" s="5">
        <f t="shared" si="974"/>
        <v>2013</v>
      </c>
    </row>
    <row r="8136" spans="1:13" ht="15" x14ac:dyDescent="0.25">
      <c r="A8136" s="1">
        <f>DATE(2013,8,30)</f>
        <v>41516</v>
      </c>
      <c r="B8136" t="s">
        <v>15</v>
      </c>
      <c r="C8136" t="s">
        <v>6</v>
      </c>
      <c r="D8136" s="3">
        <v>4488.4285999999993</v>
      </c>
      <c r="E8136" s="3">
        <v>0</v>
      </c>
      <c r="F8136" t="s">
        <v>45</v>
      </c>
      <c r="G8136" s="3">
        <f t="shared" si="968"/>
        <v>-4488.4285999999993</v>
      </c>
      <c r="H8136" s="3">
        <f t="shared" si="969"/>
        <v>4488.4285999999993</v>
      </c>
      <c r="I8136" s="5" t="str">
        <f t="shared" si="970"/>
        <v>017</v>
      </c>
      <c r="J8136" s="5" t="str">
        <f t="shared" si="971"/>
        <v>2100</v>
      </c>
      <c r="K8136" s="5" t="str">
        <f t="shared" si="972"/>
        <v>000</v>
      </c>
      <c r="L8136" s="5">
        <f t="shared" si="973"/>
        <v>8</v>
      </c>
      <c r="M8136" s="5">
        <f t="shared" si="974"/>
        <v>2013</v>
      </c>
    </row>
    <row r="8137" spans="1:13" ht="15" x14ac:dyDescent="0.25">
      <c r="A8137" s="1">
        <f>DATE(2013,8,30)</f>
        <v>41516</v>
      </c>
      <c r="B8137" t="s">
        <v>16</v>
      </c>
      <c r="C8137" t="s">
        <v>8</v>
      </c>
      <c r="D8137" s="3">
        <v>2254.4045000000001</v>
      </c>
      <c r="E8137" s="3">
        <v>0</v>
      </c>
      <c r="F8137" t="s">
        <v>45</v>
      </c>
      <c r="G8137" s="3">
        <f t="shared" si="968"/>
        <v>-2254.4045000000001</v>
      </c>
      <c r="H8137" s="3">
        <f t="shared" si="969"/>
        <v>2254.4045000000001</v>
      </c>
      <c r="I8137" s="5" t="str">
        <f t="shared" si="970"/>
        <v>017</v>
      </c>
      <c r="J8137" s="5" t="str">
        <f t="shared" si="971"/>
        <v>2210</v>
      </c>
      <c r="K8137" s="5" t="str">
        <f t="shared" si="972"/>
        <v>000</v>
      </c>
      <c r="L8137" s="5">
        <f t="shared" si="973"/>
        <v>8</v>
      </c>
      <c r="M8137" s="5">
        <f t="shared" si="974"/>
        <v>2013</v>
      </c>
    </row>
    <row r="8138" spans="1:13" ht="15" x14ac:dyDescent="0.25">
      <c r="A8138" s="1">
        <f>DATE(2013,8,30)</f>
        <v>41516</v>
      </c>
      <c r="B8138" t="s">
        <v>17</v>
      </c>
      <c r="C8138" t="s">
        <v>9</v>
      </c>
      <c r="D8138" s="3">
        <v>523.06020000000001</v>
      </c>
      <c r="E8138" s="3">
        <v>0</v>
      </c>
      <c r="F8138" t="s">
        <v>45</v>
      </c>
      <c r="G8138" s="3">
        <f t="shared" si="968"/>
        <v>-523.06020000000001</v>
      </c>
      <c r="H8138" s="3">
        <f t="shared" si="969"/>
        <v>523.06020000000001</v>
      </c>
      <c r="I8138" s="5" t="str">
        <f t="shared" si="970"/>
        <v>017</v>
      </c>
      <c r="J8138" s="5" t="str">
        <f t="shared" si="971"/>
        <v>2220</v>
      </c>
      <c r="K8138" s="5" t="str">
        <f t="shared" si="972"/>
        <v>000</v>
      </c>
      <c r="L8138" s="5">
        <f t="shared" si="973"/>
        <v>8</v>
      </c>
      <c r="M8138" s="5">
        <f t="shared" si="974"/>
        <v>2013</v>
      </c>
    </row>
    <row r="8139" spans="1:13" ht="15" x14ac:dyDescent="0.25">
      <c r="A8139" s="1">
        <f>DATE(2013,8,30)</f>
        <v>41516</v>
      </c>
      <c r="B8139" t="s">
        <v>18</v>
      </c>
      <c r="C8139" t="s">
        <v>10</v>
      </c>
      <c r="D8139" s="3">
        <v>69.653199999999998</v>
      </c>
      <c r="E8139" s="3">
        <v>0</v>
      </c>
      <c r="F8139" t="s">
        <v>45</v>
      </c>
      <c r="G8139" s="3">
        <f t="shared" si="968"/>
        <v>-69.653199999999998</v>
      </c>
      <c r="H8139" s="3">
        <f t="shared" si="969"/>
        <v>69.653199999999998</v>
      </c>
      <c r="I8139" s="5" t="str">
        <f t="shared" si="970"/>
        <v>017</v>
      </c>
      <c r="J8139" s="5" t="str">
        <f t="shared" si="971"/>
        <v>2230</v>
      </c>
      <c r="K8139" s="5" t="str">
        <f t="shared" si="972"/>
        <v>000</v>
      </c>
      <c r="L8139" s="5">
        <f t="shared" si="973"/>
        <v>8</v>
      </c>
      <c r="M8139" s="5">
        <f t="shared" si="974"/>
        <v>2013</v>
      </c>
    </row>
    <row r="8140" spans="1:13" ht="15" x14ac:dyDescent="0.25">
      <c r="A8140" s="1">
        <f>DATE(2013,8,31)</f>
        <v>41517</v>
      </c>
      <c r="B8140" t="s">
        <v>15</v>
      </c>
      <c r="C8140" t="s">
        <v>6</v>
      </c>
      <c r="D8140" s="3">
        <v>7322.5898999999999</v>
      </c>
      <c r="E8140" s="3">
        <v>0</v>
      </c>
      <c r="F8140" t="s">
        <v>45</v>
      </c>
      <c r="G8140" s="3">
        <f t="shared" si="968"/>
        <v>-7322.5898999999999</v>
      </c>
      <c r="H8140" s="3">
        <f t="shared" si="969"/>
        <v>7322.5898999999999</v>
      </c>
      <c r="I8140" s="5" t="str">
        <f t="shared" si="970"/>
        <v>017</v>
      </c>
      <c r="J8140" s="5" t="str">
        <f t="shared" si="971"/>
        <v>2100</v>
      </c>
      <c r="K8140" s="5" t="str">
        <f t="shared" si="972"/>
        <v>000</v>
      </c>
      <c r="L8140" s="5">
        <f t="shared" si="973"/>
        <v>8</v>
      </c>
      <c r="M8140" s="5">
        <f t="shared" si="974"/>
        <v>2013</v>
      </c>
    </row>
    <row r="8141" spans="1:13" ht="15" x14ac:dyDescent="0.25">
      <c r="A8141" s="1">
        <f>DATE(2013,8,31)</f>
        <v>41517</v>
      </c>
      <c r="B8141" t="s">
        <v>16</v>
      </c>
      <c r="C8141" t="s">
        <v>8</v>
      </c>
      <c r="D8141" s="3">
        <v>1627.0144</v>
      </c>
      <c r="E8141" s="3">
        <v>0</v>
      </c>
      <c r="F8141" t="s">
        <v>45</v>
      </c>
      <c r="G8141" s="3">
        <f t="shared" si="968"/>
        <v>-1627.0144</v>
      </c>
      <c r="H8141" s="3">
        <f t="shared" si="969"/>
        <v>1627.0144</v>
      </c>
      <c r="I8141" s="5" t="str">
        <f t="shared" si="970"/>
        <v>017</v>
      </c>
      <c r="J8141" s="5" t="str">
        <f t="shared" si="971"/>
        <v>2210</v>
      </c>
      <c r="K8141" s="5" t="str">
        <f t="shared" si="972"/>
        <v>000</v>
      </c>
      <c r="L8141" s="5">
        <f t="shared" si="973"/>
        <v>8</v>
      </c>
      <c r="M8141" s="5">
        <f t="shared" si="974"/>
        <v>2013</v>
      </c>
    </row>
    <row r="8142" spans="1:13" ht="15" x14ac:dyDescent="0.25">
      <c r="A8142" s="1">
        <f>DATE(2013,8,31)</f>
        <v>41517</v>
      </c>
      <c r="B8142" t="s">
        <v>17</v>
      </c>
      <c r="C8142" t="s">
        <v>9</v>
      </c>
      <c r="D8142" s="3">
        <v>301.68330000000003</v>
      </c>
      <c r="E8142" s="3">
        <v>0</v>
      </c>
      <c r="F8142" t="s">
        <v>45</v>
      </c>
      <c r="G8142" s="3">
        <f t="shared" si="968"/>
        <v>-301.68330000000003</v>
      </c>
      <c r="H8142" s="3">
        <f t="shared" si="969"/>
        <v>301.68330000000003</v>
      </c>
      <c r="I8142" s="5" t="str">
        <f t="shared" si="970"/>
        <v>017</v>
      </c>
      <c r="J8142" s="5" t="str">
        <f t="shared" si="971"/>
        <v>2220</v>
      </c>
      <c r="K8142" s="5" t="str">
        <f t="shared" si="972"/>
        <v>000</v>
      </c>
      <c r="L8142" s="5">
        <f t="shared" si="973"/>
        <v>8</v>
      </c>
      <c r="M8142" s="5">
        <f t="shared" si="974"/>
        <v>2013</v>
      </c>
    </row>
    <row r="8143" spans="1:13" ht="15" x14ac:dyDescent="0.25">
      <c r="A8143" s="1">
        <f>DATE(2013,8,31)</f>
        <v>41517</v>
      </c>
      <c r="B8143" t="s">
        <v>18</v>
      </c>
      <c r="C8143" t="s">
        <v>10</v>
      </c>
      <c r="D8143" s="3">
        <v>82.412399999999991</v>
      </c>
      <c r="E8143" s="3">
        <v>0</v>
      </c>
      <c r="F8143" t="s">
        <v>45</v>
      </c>
      <c r="G8143" s="3">
        <f t="shared" si="968"/>
        <v>-82.412399999999991</v>
      </c>
      <c r="H8143" s="3">
        <f t="shared" si="969"/>
        <v>82.412399999999991</v>
      </c>
      <c r="I8143" s="5" t="str">
        <f t="shared" si="970"/>
        <v>017</v>
      </c>
      <c r="J8143" s="5" t="str">
        <f t="shared" si="971"/>
        <v>2230</v>
      </c>
      <c r="K8143" s="5" t="str">
        <f t="shared" si="972"/>
        <v>000</v>
      </c>
      <c r="L8143" s="5">
        <f t="shared" si="973"/>
        <v>8</v>
      </c>
      <c r="M8143" s="5">
        <f t="shared" si="974"/>
        <v>2013</v>
      </c>
    </row>
    <row r="8144" spans="1:13" ht="15" x14ac:dyDescent="0.25">
      <c r="A8144" s="1">
        <f>DATE(2013,9,1)</f>
        <v>41518</v>
      </c>
      <c r="B8144" t="s">
        <v>15</v>
      </c>
      <c r="C8144" t="s">
        <v>6</v>
      </c>
      <c r="D8144" s="3">
        <v>4817.6666999999998</v>
      </c>
      <c r="E8144" s="3">
        <v>0</v>
      </c>
      <c r="F8144" t="s">
        <v>45</v>
      </c>
      <c r="G8144" s="3">
        <f t="shared" si="968"/>
        <v>-4817.6666999999998</v>
      </c>
      <c r="H8144" s="3">
        <f t="shared" si="969"/>
        <v>4817.6666999999998</v>
      </c>
      <c r="I8144" s="5" t="str">
        <f t="shared" si="970"/>
        <v>017</v>
      </c>
      <c r="J8144" s="5" t="str">
        <f t="shared" si="971"/>
        <v>2100</v>
      </c>
      <c r="K8144" s="5" t="str">
        <f t="shared" si="972"/>
        <v>000</v>
      </c>
      <c r="L8144" s="5">
        <f t="shared" si="973"/>
        <v>9</v>
      </c>
      <c r="M8144" s="5">
        <f t="shared" si="974"/>
        <v>2013</v>
      </c>
    </row>
    <row r="8145" spans="1:13" ht="15" x14ac:dyDescent="0.25">
      <c r="A8145" s="1">
        <f>DATE(2013,9,1)</f>
        <v>41518</v>
      </c>
      <c r="B8145" t="s">
        <v>16</v>
      </c>
      <c r="C8145" t="s">
        <v>8</v>
      </c>
      <c r="D8145" s="3">
        <v>1426.1016</v>
      </c>
      <c r="E8145" s="3">
        <v>0</v>
      </c>
      <c r="F8145" t="s">
        <v>45</v>
      </c>
      <c r="G8145" s="3">
        <f t="shared" si="968"/>
        <v>-1426.1016</v>
      </c>
      <c r="H8145" s="3">
        <f t="shared" si="969"/>
        <v>1426.1016</v>
      </c>
      <c r="I8145" s="5" t="str">
        <f t="shared" si="970"/>
        <v>017</v>
      </c>
      <c r="J8145" s="5" t="str">
        <f t="shared" si="971"/>
        <v>2210</v>
      </c>
      <c r="K8145" s="5" t="str">
        <f t="shared" si="972"/>
        <v>000</v>
      </c>
      <c r="L8145" s="5">
        <f t="shared" si="973"/>
        <v>9</v>
      </c>
      <c r="M8145" s="5">
        <f t="shared" si="974"/>
        <v>2013</v>
      </c>
    </row>
    <row r="8146" spans="1:13" ht="15" x14ac:dyDescent="0.25">
      <c r="A8146" s="1">
        <f>DATE(2013,9,1)</f>
        <v>41518</v>
      </c>
      <c r="B8146" t="s">
        <v>17</v>
      </c>
      <c r="C8146" t="s">
        <v>9</v>
      </c>
      <c r="D8146" s="3">
        <v>308.41200000000003</v>
      </c>
      <c r="E8146" s="3">
        <v>0</v>
      </c>
      <c r="F8146" t="s">
        <v>45</v>
      </c>
      <c r="G8146" s="3">
        <f t="shared" si="968"/>
        <v>-308.41200000000003</v>
      </c>
      <c r="H8146" s="3">
        <f t="shared" si="969"/>
        <v>308.41200000000003</v>
      </c>
      <c r="I8146" s="5" t="str">
        <f t="shared" si="970"/>
        <v>017</v>
      </c>
      <c r="J8146" s="5" t="str">
        <f t="shared" si="971"/>
        <v>2220</v>
      </c>
      <c r="K8146" s="5" t="str">
        <f t="shared" si="972"/>
        <v>000</v>
      </c>
      <c r="L8146" s="5">
        <f t="shared" si="973"/>
        <v>9</v>
      </c>
      <c r="M8146" s="5">
        <f t="shared" si="974"/>
        <v>2013</v>
      </c>
    </row>
    <row r="8147" spans="1:13" ht="15" x14ac:dyDescent="0.25">
      <c r="A8147" s="1">
        <f>DATE(2013,9,1)</f>
        <v>41518</v>
      </c>
      <c r="B8147" t="s">
        <v>18</v>
      </c>
      <c r="C8147" t="s">
        <v>10</v>
      </c>
      <c r="D8147" s="3">
        <v>78.533000000000001</v>
      </c>
      <c r="E8147" s="3">
        <v>0</v>
      </c>
      <c r="F8147" t="s">
        <v>45</v>
      </c>
      <c r="G8147" s="3">
        <f t="shared" si="968"/>
        <v>-78.533000000000001</v>
      </c>
      <c r="H8147" s="3">
        <f t="shared" si="969"/>
        <v>78.533000000000001</v>
      </c>
      <c r="I8147" s="5" t="str">
        <f t="shared" si="970"/>
        <v>017</v>
      </c>
      <c r="J8147" s="5" t="str">
        <f t="shared" si="971"/>
        <v>2230</v>
      </c>
      <c r="K8147" s="5" t="str">
        <f t="shared" si="972"/>
        <v>000</v>
      </c>
      <c r="L8147" s="5">
        <f t="shared" si="973"/>
        <v>9</v>
      </c>
      <c r="M8147" s="5">
        <f t="shared" si="974"/>
        <v>2013</v>
      </c>
    </row>
    <row r="8148" spans="1:13" ht="15" x14ac:dyDescent="0.25">
      <c r="A8148" s="1">
        <f>DATE(2013,8,26)</f>
        <v>41512</v>
      </c>
      <c r="B8148" t="s">
        <v>19</v>
      </c>
      <c r="C8148" t="s">
        <v>6</v>
      </c>
      <c r="D8148" s="3">
        <v>3915.4500000000003</v>
      </c>
      <c r="E8148" s="3">
        <v>0</v>
      </c>
      <c r="F8148" t="s">
        <v>45</v>
      </c>
      <c r="G8148" s="3">
        <f t="shared" si="968"/>
        <v>-3915.4500000000003</v>
      </c>
      <c r="H8148" s="3">
        <f t="shared" si="969"/>
        <v>3915.4500000000003</v>
      </c>
      <c r="I8148" s="5" t="str">
        <f t="shared" si="970"/>
        <v>018</v>
      </c>
      <c r="J8148" s="5" t="str">
        <f t="shared" si="971"/>
        <v>2100</v>
      </c>
      <c r="K8148" s="5" t="str">
        <f t="shared" si="972"/>
        <v>000</v>
      </c>
      <c r="L8148" s="5">
        <f t="shared" si="973"/>
        <v>8</v>
      </c>
      <c r="M8148" s="5">
        <f t="shared" si="974"/>
        <v>2013</v>
      </c>
    </row>
    <row r="8149" spans="1:13" ht="15" x14ac:dyDescent="0.25">
      <c r="A8149" s="1">
        <f>DATE(2013,8,26)</f>
        <v>41512</v>
      </c>
      <c r="B8149" t="s">
        <v>20</v>
      </c>
      <c r="C8149" t="s">
        <v>8</v>
      </c>
      <c r="D8149" s="3">
        <v>513.72720000000004</v>
      </c>
      <c r="E8149" s="3">
        <v>0</v>
      </c>
      <c r="F8149" t="s">
        <v>45</v>
      </c>
      <c r="G8149" s="3">
        <f t="shared" si="968"/>
        <v>-513.72720000000004</v>
      </c>
      <c r="H8149" s="3">
        <f t="shared" si="969"/>
        <v>513.72720000000004</v>
      </c>
      <c r="I8149" s="5" t="str">
        <f t="shared" si="970"/>
        <v>018</v>
      </c>
      <c r="J8149" s="5" t="str">
        <f t="shared" si="971"/>
        <v>2210</v>
      </c>
      <c r="K8149" s="5" t="str">
        <f t="shared" si="972"/>
        <v>000</v>
      </c>
      <c r="L8149" s="5">
        <f t="shared" si="973"/>
        <v>8</v>
      </c>
      <c r="M8149" s="5">
        <f t="shared" si="974"/>
        <v>2013</v>
      </c>
    </row>
    <row r="8150" spans="1:13" ht="15" x14ac:dyDescent="0.25">
      <c r="A8150" s="1">
        <f>DATE(2013,8,26)</f>
        <v>41512</v>
      </c>
      <c r="B8150" t="s">
        <v>21</v>
      </c>
      <c r="C8150" t="s">
        <v>9</v>
      </c>
      <c r="D8150" s="3">
        <v>108.91499999999999</v>
      </c>
      <c r="E8150" s="3">
        <v>0</v>
      </c>
      <c r="F8150" t="s">
        <v>45</v>
      </c>
      <c r="G8150" s="3">
        <f t="shared" si="968"/>
        <v>-108.91499999999999</v>
      </c>
      <c r="H8150" s="3">
        <f t="shared" si="969"/>
        <v>108.91499999999999</v>
      </c>
      <c r="I8150" s="5" t="str">
        <f t="shared" si="970"/>
        <v>018</v>
      </c>
      <c r="J8150" s="5" t="str">
        <f t="shared" si="971"/>
        <v>2220</v>
      </c>
      <c r="K8150" s="5" t="str">
        <f t="shared" si="972"/>
        <v>000</v>
      </c>
      <c r="L8150" s="5">
        <f t="shared" si="973"/>
        <v>8</v>
      </c>
      <c r="M8150" s="5">
        <f t="shared" si="974"/>
        <v>2013</v>
      </c>
    </row>
    <row r="8151" spans="1:13" ht="15" x14ac:dyDescent="0.25">
      <c r="A8151" s="1">
        <f>DATE(2013,8,26)</f>
        <v>41512</v>
      </c>
      <c r="B8151" t="s">
        <v>22</v>
      </c>
      <c r="C8151" t="s">
        <v>10</v>
      </c>
      <c r="D8151" s="3">
        <v>7.4307000000000007</v>
      </c>
      <c r="E8151" s="3">
        <v>0</v>
      </c>
      <c r="F8151" t="s">
        <v>45</v>
      </c>
      <c r="G8151" s="3">
        <f t="shared" si="968"/>
        <v>-7.4307000000000007</v>
      </c>
      <c r="H8151" s="3">
        <f t="shared" si="969"/>
        <v>7.4307000000000007</v>
      </c>
      <c r="I8151" s="5" t="str">
        <f t="shared" si="970"/>
        <v>018</v>
      </c>
      <c r="J8151" s="5" t="str">
        <f t="shared" si="971"/>
        <v>2230</v>
      </c>
      <c r="K8151" s="5" t="str">
        <f t="shared" si="972"/>
        <v>000</v>
      </c>
      <c r="L8151" s="5">
        <f t="shared" si="973"/>
        <v>8</v>
      </c>
      <c r="M8151" s="5">
        <f t="shared" si="974"/>
        <v>2013</v>
      </c>
    </row>
    <row r="8152" spans="1:13" ht="15" x14ac:dyDescent="0.25">
      <c r="A8152" s="1">
        <f>DATE(2013,8,27)</f>
        <v>41513</v>
      </c>
      <c r="B8152" t="s">
        <v>19</v>
      </c>
      <c r="C8152" t="s">
        <v>6</v>
      </c>
      <c r="D8152" s="3">
        <v>3924.3247999999999</v>
      </c>
      <c r="E8152" s="3">
        <v>0</v>
      </c>
      <c r="F8152" t="s">
        <v>45</v>
      </c>
      <c r="G8152" s="3">
        <f t="shared" si="968"/>
        <v>-3924.3247999999999</v>
      </c>
      <c r="H8152" s="3">
        <f t="shared" si="969"/>
        <v>3924.3247999999999</v>
      </c>
      <c r="I8152" s="5" t="str">
        <f t="shared" si="970"/>
        <v>018</v>
      </c>
      <c r="J8152" s="5" t="str">
        <f t="shared" si="971"/>
        <v>2100</v>
      </c>
      <c r="K8152" s="5" t="str">
        <f t="shared" si="972"/>
        <v>000</v>
      </c>
      <c r="L8152" s="5">
        <f t="shared" si="973"/>
        <v>8</v>
      </c>
      <c r="M8152" s="5">
        <f t="shared" si="974"/>
        <v>2013</v>
      </c>
    </row>
    <row r="8153" spans="1:13" ht="15" x14ac:dyDescent="0.25">
      <c r="A8153" s="1">
        <f>DATE(2013,8,27)</f>
        <v>41513</v>
      </c>
      <c r="B8153" t="s">
        <v>20</v>
      </c>
      <c r="C8153" t="s">
        <v>8</v>
      </c>
      <c r="D8153" s="3">
        <v>637.48029999999994</v>
      </c>
      <c r="E8153" s="3">
        <v>0</v>
      </c>
      <c r="F8153" t="s">
        <v>45</v>
      </c>
      <c r="G8153" s="3">
        <f t="shared" si="968"/>
        <v>-637.48029999999994</v>
      </c>
      <c r="H8153" s="3">
        <f t="shared" si="969"/>
        <v>637.48029999999994</v>
      </c>
      <c r="I8153" s="5" t="str">
        <f t="shared" si="970"/>
        <v>018</v>
      </c>
      <c r="J8153" s="5" t="str">
        <f t="shared" si="971"/>
        <v>2210</v>
      </c>
      <c r="K8153" s="5" t="str">
        <f t="shared" si="972"/>
        <v>000</v>
      </c>
      <c r="L8153" s="5">
        <f t="shared" si="973"/>
        <v>8</v>
      </c>
      <c r="M8153" s="5">
        <f t="shared" si="974"/>
        <v>2013</v>
      </c>
    </row>
    <row r="8154" spans="1:13" ht="15" x14ac:dyDescent="0.25">
      <c r="A8154" s="1">
        <f>DATE(2013,8,27)</f>
        <v>41513</v>
      </c>
      <c r="B8154" t="s">
        <v>21</v>
      </c>
      <c r="C8154" t="s">
        <v>9</v>
      </c>
      <c r="D8154" s="3">
        <v>113.036</v>
      </c>
      <c r="E8154" s="3">
        <v>0</v>
      </c>
      <c r="F8154" t="s">
        <v>45</v>
      </c>
      <c r="G8154" s="3">
        <f t="shared" si="968"/>
        <v>-113.036</v>
      </c>
      <c r="H8154" s="3">
        <f t="shared" si="969"/>
        <v>113.036</v>
      </c>
      <c r="I8154" s="5" t="str">
        <f t="shared" si="970"/>
        <v>018</v>
      </c>
      <c r="J8154" s="5" t="str">
        <f t="shared" si="971"/>
        <v>2220</v>
      </c>
      <c r="K8154" s="5" t="str">
        <f t="shared" si="972"/>
        <v>000</v>
      </c>
      <c r="L8154" s="5">
        <f t="shared" si="973"/>
        <v>8</v>
      </c>
      <c r="M8154" s="5">
        <f t="shared" si="974"/>
        <v>2013</v>
      </c>
    </row>
    <row r="8155" spans="1:13" ht="15" x14ac:dyDescent="0.25">
      <c r="A8155" s="1">
        <f>DATE(2013,8,27)</f>
        <v>41513</v>
      </c>
      <c r="B8155" t="s">
        <v>22</v>
      </c>
      <c r="C8155" t="s">
        <v>10</v>
      </c>
      <c r="D8155" s="3">
        <v>17.267199999999999</v>
      </c>
      <c r="E8155" s="3">
        <v>0</v>
      </c>
      <c r="F8155" t="s">
        <v>45</v>
      </c>
      <c r="G8155" s="3">
        <f t="shared" si="968"/>
        <v>-17.267199999999999</v>
      </c>
      <c r="H8155" s="3">
        <f t="shared" si="969"/>
        <v>17.267199999999999</v>
      </c>
      <c r="I8155" s="5" t="str">
        <f t="shared" si="970"/>
        <v>018</v>
      </c>
      <c r="J8155" s="5" t="str">
        <f t="shared" si="971"/>
        <v>2230</v>
      </c>
      <c r="K8155" s="5" t="str">
        <f t="shared" si="972"/>
        <v>000</v>
      </c>
      <c r="L8155" s="5">
        <f t="shared" si="973"/>
        <v>8</v>
      </c>
      <c r="M8155" s="5">
        <f t="shared" si="974"/>
        <v>2013</v>
      </c>
    </row>
    <row r="8156" spans="1:13" ht="15" x14ac:dyDescent="0.25">
      <c r="A8156" s="1">
        <f>DATE(2013,8,28)</f>
        <v>41514</v>
      </c>
      <c r="B8156" t="s">
        <v>19</v>
      </c>
      <c r="C8156" t="s">
        <v>6</v>
      </c>
      <c r="D8156" s="3">
        <v>4822.1657999999998</v>
      </c>
      <c r="E8156" s="3">
        <v>0</v>
      </c>
      <c r="F8156" t="s">
        <v>45</v>
      </c>
      <c r="G8156" s="3">
        <f t="shared" si="968"/>
        <v>-4822.1657999999998</v>
      </c>
      <c r="H8156" s="3">
        <f t="shared" si="969"/>
        <v>4822.1657999999998</v>
      </c>
      <c r="I8156" s="5" t="str">
        <f t="shared" si="970"/>
        <v>018</v>
      </c>
      <c r="J8156" s="5" t="str">
        <f t="shared" si="971"/>
        <v>2100</v>
      </c>
      <c r="K8156" s="5" t="str">
        <f t="shared" si="972"/>
        <v>000</v>
      </c>
      <c r="L8156" s="5">
        <f t="shared" si="973"/>
        <v>8</v>
      </c>
      <c r="M8156" s="5">
        <f t="shared" si="974"/>
        <v>2013</v>
      </c>
    </row>
    <row r="8157" spans="1:13" ht="15" x14ac:dyDescent="0.25">
      <c r="A8157" s="1">
        <f>DATE(2013,8,28)</f>
        <v>41514</v>
      </c>
      <c r="B8157" t="s">
        <v>20</v>
      </c>
      <c r="C8157" t="s">
        <v>8</v>
      </c>
      <c r="D8157" s="3">
        <v>597.92849999999999</v>
      </c>
      <c r="E8157" s="3">
        <v>0</v>
      </c>
      <c r="F8157" t="s">
        <v>45</v>
      </c>
      <c r="G8157" s="3">
        <f t="shared" si="968"/>
        <v>-597.92849999999999</v>
      </c>
      <c r="H8157" s="3">
        <f t="shared" si="969"/>
        <v>597.92849999999999</v>
      </c>
      <c r="I8157" s="5" t="str">
        <f t="shared" si="970"/>
        <v>018</v>
      </c>
      <c r="J8157" s="5" t="str">
        <f t="shared" si="971"/>
        <v>2210</v>
      </c>
      <c r="K8157" s="5" t="str">
        <f t="shared" si="972"/>
        <v>000</v>
      </c>
      <c r="L8157" s="5">
        <f t="shared" si="973"/>
        <v>8</v>
      </c>
      <c r="M8157" s="5">
        <f t="shared" si="974"/>
        <v>2013</v>
      </c>
    </row>
    <row r="8158" spans="1:13" ht="15" x14ac:dyDescent="0.25">
      <c r="A8158" s="1">
        <f>DATE(2013,8,28)</f>
        <v>41514</v>
      </c>
      <c r="B8158" t="s">
        <v>21</v>
      </c>
      <c r="C8158" t="s">
        <v>9</v>
      </c>
      <c r="D8158" s="3">
        <v>133.20519999999999</v>
      </c>
      <c r="E8158" s="3">
        <v>0</v>
      </c>
      <c r="F8158" t="s">
        <v>45</v>
      </c>
      <c r="G8158" s="3">
        <f t="shared" si="968"/>
        <v>-133.20519999999999</v>
      </c>
      <c r="H8158" s="3">
        <f t="shared" si="969"/>
        <v>133.20519999999999</v>
      </c>
      <c r="I8158" s="5" t="str">
        <f t="shared" si="970"/>
        <v>018</v>
      </c>
      <c r="J8158" s="5" t="str">
        <f t="shared" si="971"/>
        <v>2220</v>
      </c>
      <c r="K8158" s="5" t="str">
        <f t="shared" si="972"/>
        <v>000</v>
      </c>
      <c r="L8158" s="5">
        <f t="shared" si="973"/>
        <v>8</v>
      </c>
      <c r="M8158" s="5">
        <f t="shared" si="974"/>
        <v>2013</v>
      </c>
    </row>
    <row r="8159" spans="1:13" ht="15" x14ac:dyDescent="0.25">
      <c r="A8159" s="1">
        <f>DATE(2013,8,28)</f>
        <v>41514</v>
      </c>
      <c r="B8159" t="s">
        <v>22</v>
      </c>
      <c r="C8159" t="s">
        <v>10</v>
      </c>
      <c r="D8159" s="3">
        <v>58.701599999999999</v>
      </c>
      <c r="E8159" s="3">
        <v>0</v>
      </c>
      <c r="F8159" t="s">
        <v>45</v>
      </c>
      <c r="G8159" s="3">
        <f t="shared" si="968"/>
        <v>-58.701599999999999</v>
      </c>
      <c r="H8159" s="3">
        <f t="shared" si="969"/>
        <v>58.701599999999999</v>
      </c>
      <c r="I8159" s="5" t="str">
        <f t="shared" si="970"/>
        <v>018</v>
      </c>
      <c r="J8159" s="5" t="str">
        <f t="shared" si="971"/>
        <v>2230</v>
      </c>
      <c r="K8159" s="5" t="str">
        <f t="shared" si="972"/>
        <v>000</v>
      </c>
      <c r="L8159" s="5">
        <f t="shared" si="973"/>
        <v>8</v>
      </c>
      <c r="M8159" s="5">
        <f t="shared" si="974"/>
        <v>2013</v>
      </c>
    </row>
    <row r="8160" spans="1:13" ht="15" x14ac:dyDescent="0.25">
      <c r="A8160" s="1">
        <f>DATE(2013,8,29)</f>
        <v>41515</v>
      </c>
      <c r="B8160" t="s">
        <v>19</v>
      </c>
      <c r="C8160" t="s">
        <v>6</v>
      </c>
      <c r="D8160" s="3">
        <v>4740.4958999999999</v>
      </c>
      <c r="E8160" s="3">
        <v>0</v>
      </c>
      <c r="F8160" t="s">
        <v>45</v>
      </c>
      <c r="G8160" s="3">
        <f t="shared" si="968"/>
        <v>-4740.4958999999999</v>
      </c>
      <c r="H8160" s="3">
        <f t="shared" si="969"/>
        <v>4740.4958999999999</v>
      </c>
      <c r="I8160" s="5" t="str">
        <f t="shared" si="970"/>
        <v>018</v>
      </c>
      <c r="J8160" s="5" t="str">
        <f t="shared" si="971"/>
        <v>2100</v>
      </c>
      <c r="K8160" s="5" t="str">
        <f t="shared" si="972"/>
        <v>000</v>
      </c>
      <c r="L8160" s="5">
        <f t="shared" si="973"/>
        <v>8</v>
      </c>
      <c r="M8160" s="5">
        <f t="shared" si="974"/>
        <v>2013</v>
      </c>
    </row>
    <row r="8161" spans="1:13" ht="15" x14ac:dyDescent="0.25">
      <c r="A8161" s="1">
        <f>DATE(2013,8,29)</f>
        <v>41515</v>
      </c>
      <c r="B8161" t="s">
        <v>20</v>
      </c>
      <c r="C8161" t="s">
        <v>8</v>
      </c>
      <c r="D8161" s="3">
        <v>1182.2916</v>
      </c>
      <c r="E8161" s="3">
        <v>0</v>
      </c>
      <c r="F8161" t="s">
        <v>45</v>
      </c>
      <c r="G8161" s="3">
        <f t="shared" si="968"/>
        <v>-1182.2916</v>
      </c>
      <c r="H8161" s="3">
        <f t="shared" si="969"/>
        <v>1182.2916</v>
      </c>
      <c r="I8161" s="5" t="str">
        <f t="shared" si="970"/>
        <v>018</v>
      </c>
      <c r="J8161" s="5" t="str">
        <f t="shared" si="971"/>
        <v>2210</v>
      </c>
      <c r="K8161" s="5" t="str">
        <f t="shared" si="972"/>
        <v>000</v>
      </c>
      <c r="L8161" s="5">
        <f t="shared" si="973"/>
        <v>8</v>
      </c>
      <c r="M8161" s="5">
        <f t="shared" si="974"/>
        <v>2013</v>
      </c>
    </row>
    <row r="8162" spans="1:13" ht="15" x14ac:dyDescent="0.25">
      <c r="A8162" s="1">
        <f>DATE(2013,8,29)</f>
        <v>41515</v>
      </c>
      <c r="B8162" t="s">
        <v>21</v>
      </c>
      <c r="C8162" t="s">
        <v>9</v>
      </c>
      <c r="D8162" s="3">
        <v>262.72500000000002</v>
      </c>
      <c r="E8162" s="3">
        <v>0</v>
      </c>
      <c r="F8162" t="s">
        <v>45</v>
      </c>
      <c r="G8162" s="3">
        <f t="shared" si="968"/>
        <v>-262.72500000000002</v>
      </c>
      <c r="H8162" s="3">
        <f t="shared" si="969"/>
        <v>262.72500000000002</v>
      </c>
      <c r="I8162" s="5" t="str">
        <f t="shared" si="970"/>
        <v>018</v>
      </c>
      <c r="J8162" s="5" t="str">
        <f t="shared" si="971"/>
        <v>2220</v>
      </c>
      <c r="K8162" s="5" t="str">
        <f t="shared" si="972"/>
        <v>000</v>
      </c>
      <c r="L8162" s="5">
        <f t="shared" si="973"/>
        <v>8</v>
      </c>
      <c r="M8162" s="5">
        <f t="shared" si="974"/>
        <v>2013</v>
      </c>
    </row>
    <row r="8163" spans="1:13" ht="15" x14ac:dyDescent="0.25">
      <c r="A8163" s="1">
        <f>DATE(2013,8,29)</f>
        <v>41515</v>
      </c>
      <c r="B8163" t="s">
        <v>22</v>
      </c>
      <c r="C8163" t="s">
        <v>10</v>
      </c>
      <c r="D8163" s="3">
        <v>65.437200000000004</v>
      </c>
      <c r="E8163" s="3">
        <v>0</v>
      </c>
      <c r="F8163" t="s">
        <v>45</v>
      </c>
      <c r="G8163" s="3">
        <f t="shared" si="968"/>
        <v>-65.437200000000004</v>
      </c>
      <c r="H8163" s="3">
        <f t="shared" si="969"/>
        <v>65.437200000000004</v>
      </c>
      <c r="I8163" s="5" t="str">
        <f t="shared" si="970"/>
        <v>018</v>
      </c>
      <c r="J8163" s="5" t="str">
        <f t="shared" si="971"/>
        <v>2230</v>
      </c>
      <c r="K8163" s="5" t="str">
        <f t="shared" si="972"/>
        <v>000</v>
      </c>
      <c r="L8163" s="5">
        <f t="shared" si="973"/>
        <v>8</v>
      </c>
      <c r="M8163" s="5">
        <f t="shared" si="974"/>
        <v>2013</v>
      </c>
    </row>
    <row r="8164" spans="1:13" ht="15" x14ac:dyDescent="0.25">
      <c r="A8164" s="1">
        <f>DATE(2013,8,30)</f>
        <v>41516</v>
      </c>
      <c r="B8164" t="s">
        <v>19</v>
      </c>
      <c r="C8164" t="s">
        <v>6</v>
      </c>
      <c r="D8164" s="3">
        <v>11826.326399999998</v>
      </c>
      <c r="E8164" s="3">
        <v>0</v>
      </c>
      <c r="F8164" t="s">
        <v>45</v>
      </c>
      <c r="G8164" s="3">
        <f t="shared" si="968"/>
        <v>-11826.326399999998</v>
      </c>
      <c r="H8164" s="3">
        <f t="shared" si="969"/>
        <v>11826.326399999998</v>
      </c>
      <c r="I8164" s="5" t="str">
        <f t="shared" si="970"/>
        <v>018</v>
      </c>
      <c r="J8164" s="5" t="str">
        <f t="shared" si="971"/>
        <v>2100</v>
      </c>
      <c r="K8164" s="5" t="str">
        <f t="shared" si="972"/>
        <v>000</v>
      </c>
      <c r="L8164" s="5">
        <f t="shared" si="973"/>
        <v>8</v>
      </c>
      <c r="M8164" s="5">
        <f t="shared" si="974"/>
        <v>2013</v>
      </c>
    </row>
    <row r="8165" spans="1:13" ht="15" x14ac:dyDescent="0.25">
      <c r="A8165" s="1">
        <f>DATE(2013,8,30)</f>
        <v>41516</v>
      </c>
      <c r="B8165" t="s">
        <v>20</v>
      </c>
      <c r="C8165" t="s">
        <v>8</v>
      </c>
      <c r="D8165" s="3">
        <v>2325.2431999999999</v>
      </c>
      <c r="E8165" s="3">
        <v>0</v>
      </c>
      <c r="F8165" t="s">
        <v>45</v>
      </c>
      <c r="G8165" s="3">
        <f t="shared" si="968"/>
        <v>-2325.2431999999999</v>
      </c>
      <c r="H8165" s="3">
        <f t="shared" si="969"/>
        <v>2325.2431999999999</v>
      </c>
      <c r="I8165" s="5" t="str">
        <f t="shared" si="970"/>
        <v>018</v>
      </c>
      <c r="J8165" s="5" t="str">
        <f t="shared" si="971"/>
        <v>2210</v>
      </c>
      <c r="K8165" s="5" t="str">
        <f t="shared" si="972"/>
        <v>000</v>
      </c>
      <c r="L8165" s="5">
        <f t="shared" si="973"/>
        <v>8</v>
      </c>
      <c r="M8165" s="5">
        <f t="shared" si="974"/>
        <v>2013</v>
      </c>
    </row>
    <row r="8166" spans="1:13" ht="15" x14ac:dyDescent="0.25">
      <c r="A8166" s="1">
        <f>DATE(2013,8,30)</f>
        <v>41516</v>
      </c>
      <c r="B8166" t="s">
        <v>21</v>
      </c>
      <c r="C8166" t="s">
        <v>9</v>
      </c>
      <c r="D8166" s="3">
        <v>694.2441</v>
      </c>
      <c r="E8166" s="3">
        <v>0</v>
      </c>
      <c r="F8166" t="s">
        <v>45</v>
      </c>
      <c r="G8166" s="3">
        <f t="shared" si="968"/>
        <v>-694.2441</v>
      </c>
      <c r="H8166" s="3">
        <f t="shared" si="969"/>
        <v>694.2441</v>
      </c>
      <c r="I8166" s="5" t="str">
        <f t="shared" si="970"/>
        <v>018</v>
      </c>
      <c r="J8166" s="5" t="str">
        <f t="shared" si="971"/>
        <v>2220</v>
      </c>
      <c r="K8166" s="5" t="str">
        <f t="shared" si="972"/>
        <v>000</v>
      </c>
      <c r="L8166" s="5">
        <f t="shared" si="973"/>
        <v>8</v>
      </c>
      <c r="M8166" s="5">
        <f t="shared" si="974"/>
        <v>2013</v>
      </c>
    </row>
    <row r="8167" spans="1:13" ht="15" x14ac:dyDescent="0.25">
      <c r="A8167" s="1">
        <f>DATE(2013,8,30)</f>
        <v>41516</v>
      </c>
      <c r="B8167" t="s">
        <v>22</v>
      </c>
      <c r="C8167" t="s">
        <v>10</v>
      </c>
      <c r="D8167" s="3">
        <v>21.272200000000002</v>
      </c>
      <c r="E8167" s="3">
        <v>0</v>
      </c>
      <c r="F8167" t="s">
        <v>45</v>
      </c>
      <c r="G8167" s="3">
        <f t="shared" si="968"/>
        <v>-21.272200000000002</v>
      </c>
      <c r="H8167" s="3">
        <f t="shared" si="969"/>
        <v>21.272200000000002</v>
      </c>
      <c r="I8167" s="5" t="str">
        <f t="shared" si="970"/>
        <v>018</v>
      </c>
      <c r="J8167" s="5" t="str">
        <f t="shared" si="971"/>
        <v>2230</v>
      </c>
      <c r="K8167" s="5" t="str">
        <f t="shared" si="972"/>
        <v>000</v>
      </c>
      <c r="L8167" s="5">
        <f t="shared" si="973"/>
        <v>8</v>
      </c>
      <c r="M8167" s="5">
        <f t="shared" si="974"/>
        <v>2013</v>
      </c>
    </row>
    <row r="8168" spans="1:13" ht="15" x14ac:dyDescent="0.25">
      <c r="A8168" s="1">
        <f>DATE(2013,8,31)</f>
        <v>41517</v>
      </c>
      <c r="B8168" t="s">
        <v>19</v>
      </c>
      <c r="C8168" t="s">
        <v>6</v>
      </c>
      <c r="D8168" s="3">
        <v>15162.613599999999</v>
      </c>
      <c r="E8168" s="3">
        <v>0</v>
      </c>
      <c r="F8168" t="s">
        <v>45</v>
      </c>
      <c r="G8168" s="3">
        <f t="shared" si="968"/>
        <v>-15162.613599999999</v>
      </c>
      <c r="H8168" s="3">
        <f t="shared" si="969"/>
        <v>15162.613599999999</v>
      </c>
      <c r="I8168" s="5" t="str">
        <f t="shared" si="970"/>
        <v>018</v>
      </c>
      <c r="J8168" s="5" t="str">
        <f t="shared" si="971"/>
        <v>2100</v>
      </c>
      <c r="K8168" s="5" t="str">
        <f t="shared" si="972"/>
        <v>000</v>
      </c>
      <c r="L8168" s="5">
        <f t="shared" si="973"/>
        <v>8</v>
      </c>
      <c r="M8168" s="5">
        <f t="shared" si="974"/>
        <v>2013</v>
      </c>
    </row>
    <row r="8169" spans="1:13" ht="15" x14ac:dyDescent="0.25">
      <c r="A8169" s="1">
        <f>DATE(2013,8,31)</f>
        <v>41517</v>
      </c>
      <c r="B8169" t="s">
        <v>20</v>
      </c>
      <c r="C8169" t="s">
        <v>8</v>
      </c>
      <c r="D8169" s="3">
        <v>2731.4324999999999</v>
      </c>
      <c r="E8169" s="3">
        <v>0</v>
      </c>
      <c r="F8169" t="s">
        <v>45</v>
      </c>
      <c r="G8169" s="3">
        <f t="shared" si="968"/>
        <v>-2731.4324999999999</v>
      </c>
      <c r="H8169" s="3">
        <f t="shared" si="969"/>
        <v>2731.4324999999999</v>
      </c>
      <c r="I8169" s="5" t="str">
        <f t="shared" si="970"/>
        <v>018</v>
      </c>
      <c r="J8169" s="5" t="str">
        <f t="shared" si="971"/>
        <v>2210</v>
      </c>
      <c r="K8169" s="5" t="str">
        <f t="shared" si="972"/>
        <v>000</v>
      </c>
      <c r="L8169" s="5">
        <f t="shared" si="973"/>
        <v>8</v>
      </c>
      <c r="M8169" s="5">
        <f t="shared" si="974"/>
        <v>2013</v>
      </c>
    </row>
    <row r="8170" spans="1:13" ht="15" x14ac:dyDescent="0.25">
      <c r="A8170" s="1">
        <f>DATE(2013,8,31)</f>
        <v>41517</v>
      </c>
      <c r="B8170" t="s">
        <v>21</v>
      </c>
      <c r="C8170" t="s">
        <v>9</v>
      </c>
      <c r="D8170" s="3">
        <v>750.59519999999998</v>
      </c>
      <c r="E8170" s="3">
        <v>0</v>
      </c>
      <c r="F8170" t="s">
        <v>45</v>
      </c>
      <c r="G8170" s="3">
        <f t="shared" si="968"/>
        <v>-750.59519999999998</v>
      </c>
      <c r="H8170" s="3">
        <f t="shared" si="969"/>
        <v>750.59519999999998</v>
      </c>
      <c r="I8170" s="5" t="str">
        <f t="shared" si="970"/>
        <v>018</v>
      </c>
      <c r="J8170" s="5" t="str">
        <f t="shared" si="971"/>
        <v>2220</v>
      </c>
      <c r="K8170" s="5" t="str">
        <f t="shared" si="972"/>
        <v>000</v>
      </c>
      <c r="L8170" s="5">
        <f t="shared" si="973"/>
        <v>8</v>
      </c>
      <c r="M8170" s="5">
        <f t="shared" si="974"/>
        <v>2013</v>
      </c>
    </row>
    <row r="8171" spans="1:13" ht="15" x14ac:dyDescent="0.25">
      <c r="A8171" s="1">
        <f>DATE(2013,8,31)</f>
        <v>41517</v>
      </c>
      <c r="B8171" t="s">
        <v>22</v>
      </c>
      <c r="C8171" t="s">
        <v>10</v>
      </c>
      <c r="D8171" s="3">
        <v>78.641999999999996</v>
      </c>
      <c r="E8171" s="3">
        <v>0</v>
      </c>
      <c r="F8171" t="s">
        <v>45</v>
      </c>
      <c r="G8171" s="3">
        <f t="shared" si="968"/>
        <v>-78.641999999999996</v>
      </c>
      <c r="H8171" s="3">
        <f t="shared" si="969"/>
        <v>78.641999999999996</v>
      </c>
      <c r="I8171" s="5" t="str">
        <f t="shared" si="970"/>
        <v>018</v>
      </c>
      <c r="J8171" s="5" t="str">
        <f t="shared" si="971"/>
        <v>2230</v>
      </c>
      <c r="K8171" s="5" t="str">
        <f t="shared" si="972"/>
        <v>000</v>
      </c>
      <c r="L8171" s="5">
        <f t="shared" si="973"/>
        <v>8</v>
      </c>
      <c r="M8171" s="5">
        <f t="shared" si="974"/>
        <v>2013</v>
      </c>
    </row>
    <row r="8172" spans="1:13" ht="15" x14ac:dyDescent="0.25">
      <c r="A8172" s="1">
        <f>DATE(2013,9,1)</f>
        <v>41518</v>
      </c>
      <c r="B8172" t="s">
        <v>19</v>
      </c>
      <c r="C8172" t="s">
        <v>6</v>
      </c>
      <c r="D8172" s="3">
        <v>14390.8665</v>
      </c>
      <c r="E8172" s="3">
        <v>0</v>
      </c>
      <c r="F8172" t="s">
        <v>45</v>
      </c>
      <c r="G8172" s="3">
        <f t="shared" si="968"/>
        <v>-14390.8665</v>
      </c>
      <c r="H8172" s="3">
        <f t="shared" si="969"/>
        <v>14390.8665</v>
      </c>
      <c r="I8172" s="5" t="str">
        <f t="shared" si="970"/>
        <v>018</v>
      </c>
      <c r="J8172" s="5" t="str">
        <f t="shared" si="971"/>
        <v>2100</v>
      </c>
      <c r="K8172" s="5" t="str">
        <f t="shared" si="972"/>
        <v>000</v>
      </c>
      <c r="L8172" s="5">
        <f t="shared" si="973"/>
        <v>9</v>
      </c>
      <c r="M8172" s="5">
        <f t="shared" si="974"/>
        <v>2013</v>
      </c>
    </row>
    <row r="8173" spans="1:13" ht="15" x14ac:dyDescent="0.25">
      <c r="A8173" s="1">
        <f>DATE(2013,9,1)</f>
        <v>41518</v>
      </c>
      <c r="B8173" t="s">
        <v>20</v>
      </c>
      <c r="C8173" t="s">
        <v>8</v>
      </c>
      <c r="D8173" s="3">
        <v>2061.8597999999997</v>
      </c>
      <c r="E8173" s="3">
        <v>0</v>
      </c>
      <c r="F8173" t="s">
        <v>45</v>
      </c>
      <c r="G8173" s="3">
        <f t="shared" si="968"/>
        <v>-2061.8597999999997</v>
      </c>
      <c r="H8173" s="3">
        <f t="shared" si="969"/>
        <v>2061.8597999999997</v>
      </c>
      <c r="I8173" s="5" t="str">
        <f t="shared" si="970"/>
        <v>018</v>
      </c>
      <c r="J8173" s="5" t="str">
        <f t="shared" si="971"/>
        <v>2210</v>
      </c>
      <c r="K8173" s="5" t="str">
        <f t="shared" si="972"/>
        <v>000</v>
      </c>
      <c r="L8173" s="5">
        <f t="shared" si="973"/>
        <v>9</v>
      </c>
      <c r="M8173" s="5">
        <f t="shared" si="974"/>
        <v>2013</v>
      </c>
    </row>
    <row r="8174" spans="1:13" ht="15" x14ac:dyDescent="0.25">
      <c r="A8174" s="1">
        <f>DATE(2013,9,1)</f>
        <v>41518</v>
      </c>
      <c r="B8174" t="s">
        <v>21</v>
      </c>
      <c r="C8174" t="s">
        <v>9</v>
      </c>
      <c r="D8174" s="3">
        <v>538.63690000000008</v>
      </c>
      <c r="E8174" s="3">
        <v>0</v>
      </c>
      <c r="F8174" t="s">
        <v>45</v>
      </c>
      <c r="G8174" s="3">
        <f t="shared" si="968"/>
        <v>-538.63690000000008</v>
      </c>
      <c r="H8174" s="3">
        <f t="shared" si="969"/>
        <v>538.63690000000008</v>
      </c>
      <c r="I8174" s="5" t="str">
        <f t="shared" si="970"/>
        <v>018</v>
      </c>
      <c r="J8174" s="5" t="str">
        <f t="shared" si="971"/>
        <v>2220</v>
      </c>
      <c r="K8174" s="5" t="str">
        <f t="shared" si="972"/>
        <v>000</v>
      </c>
      <c r="L8174" s="5">
        <f t="shared" si="973"/>
        <v>9</v>
      </c>
      <c r="M8174" s="5">
        <f t="shared" si="974"/>
        <v>2013</v>
      </c>
    </row>
    <row r="8175" spans="1:13" ht="15" x14ac:dyDescent="0.25">
      <c r="A8175" s="1">
        <f>DATE(2013,9,1)</f>
        <v>41518</v>
      </c>
      <c r="B8175" t="s">
        <v>22</v>
      </c>
      <c r="C8175" t="s">
        <v>10</v>
      </c>
      <c r="D8175" s="3">
        <v>108.521</v>
      </c>
      <c r="E8175" s="3">
        <v>0</v>
      </c>
      <c r="F8175" t="s">
        <v>45</v>
      </c>
      <c r="G8175" s="3">
        <f t="shared" si="968"/>
        <v>-108.521</v>
      </c>
      <c r="H8175" s="3">
        <f t="shared" si="969"/>
        <v>108.521</v>
      </c>
      <c r="I8175" s="5" t="str">
        <f t="shared" si="970"/>
        <v>018</v>
      </c>
      <c r="J8175" s="5" t="str">
        <f t="shared" si="971"/>
        <v>2230</v>
      </c>
      <c r="K8175" s="5" t="str">
        <f t="shared" si="972"/>
        <v>000</v>
      </c>
      <c r="L8175" s="5">
        <f t="shared" si="973"/>
        <v>9</v>
      </c>
      <c r="M8175" s="5">
        <f t="shared" si="974"/>
        <v>2013</v>
      </c>
    </row>
    <row r="8176" spans="1:13" ht="15" x14ac:dyDescent="0.25">
      <c r="A8176" s="1">
        <f>DATE(2013,8,26)</f>
        <v>41512</v>
      </c>
      <c r="B8176" t="s">
        <v>23</v>
      </c>
      <c r="C8176" t="s">
        <v>6</v>
      </c>
      <c r="D8176" s="3">
        <v>2032.3979999999999</v>
      </c>
      <c r="E8176" s="3">
        <v>0</v>
      </c>
      <c r="F8176" t="s">
        <v>45</v>
      </c>
      <c r="G8176" s="3">
        <f t="shared" si="968"/>
        <v>-2032.3979999999999</v>
      </c>
      <c r="H8176" s="3">
        <f t="shared" si="969"/>
        <v>2032.3979999999999</v>
      </c>
      <c r="I8176" s="5" t="str">
        <f t="shared" si="970"/>
        <v>019</v>
      </c>
      <c r="J8176" s="5" t="str">
        <f t="shared" si="971"/>
        <v>2100</v>
      </c>
      <c r="K8176" s="5" t="str">
        <f t="shared" si="972"/>
        <v>000</v>
      </c>
      <c r="L8176" s="5">
        <f t="shared" si="973"/>
        <v>8</v>
      </c>
      <c r="M8176" s="5">
        <f t="shared" si="974"/>
        <v>2013</v>
      </c>
    </row>
    <row r="8177" spans="1:13" ht="15" x14ac:dyDescent="0.25">
      <c r="A8177" s="1">
        <f>DATE(2013,8,26)</f>
        <v>41512</v>
      </c>
      <c r="B8177" t="s">
        <v>24</v>
      </c>
      <c r="C8177" t="s">
        <v>8</v>
      </c>
      <c r="D8177" s="3">
        <v>737.18939999999998</v>
      </c>
      <c r="E8177" s="3">
        <v>0</v>
      </c>
      <c r="F8177" t="s">
        <v>45</v>
      </c>
      <c r="G8177" s="3">
        <f t="shared" si="968"/>
        <v>-737.18939999999998</v>
      </c>
      <c r="H8177" s="3">
        <f t="shared" si="969"/>
        <v>737.18939999999998</v>
      </c>
      <c r="I8177" s="5" t="str">
        <f t="shared" si="970"/>
        <v>019</v>
      </c>
      <c r="J8177" s="5" t="str">
        <f t="shared" si="971"/>
        <v>2210</v>
      </c>
      <c r="K8177" s="5" t="str">
        <f t="shared" si="972"/>
        <v>000</v>
      </c>
      <c r="L8177" s="5">
        <f t="shared" si="973"/>
        <v>8</v>
      </c>
      <c r="M8177" s="5">
        <f t="shared" si="974"/>
        <v>2013</v>
      </c>
    </row>
    <row r="8178" spans="1:13" ht="15" x14ac:dyDescent="0.25">
      <c r="A8178" s="1">
        <f>DATE(2013,8,26)</f>
        <v>41512</v>
      </c>
      <c r="B8178" t="s">
        <v>25</v>
      </c>
      <c r="C8178" t="s">
        <v>9</v>
      </c>
      <c r="D8178" s="3">
        <v>184.10999999999999</v>
      </c>
      <c r="E8178" s="3">
        <v>0</v>
      </c>
      <c r="F8178" t="s">
        <v>45</v>
      </c>
      <c r="G8178" s="3">
        <f t="shared" si="968"/>
        <v>-184.10999999999999</v>
      </c>
      <c r="H8178" s="3">
        <f t="shared" si="969"/>
        <v>184.10999999999999</v>
      </c>
      <c r="I8178" s="5" t="str">
        <f t="shared" si="970"/>
        <v>019</v>
      </c>
      <c r="J8178" s="5" t="str">
        <f t="shared" si="971"/>
        <v>2220</v>
      </c>
      <c r="K8178" s="5" t="str">
        <f t="shared" si="972"/>
        <v>000</v>
      </c>
      <c r="L8178" s="5">
        <f t="shared" si="973"/>
        <v>8</v>
      </c>
      <c r="M8178" s="5">
        <f t="shared" si="974"/>
        <v>2013</v>
      </c>
    </row>
    <row r="8179" spans="1:13" ht="15" x14ac:dyDescent="0.25">
      <c r="A8179" s="1">
        <f>DATE(2013,8,26)</f>
        <v>41512</v>
      </c>
      <c r="B8179" t="s">
        <v>26</v>
      </c>
      <c r="C8179" t="s">
        <v>10</v>
      </c>
      <c r="D8179" s="3">
        <v>70.150499999999994</v>
      </c>
      <c r="E8179" s="3">
        <v>0</v>
      </c>
      <c r="F8179" t="s">
        <v>45</v>
      </c>
      <c r="G8179" s="3">
        <f t="shared" si="968"/>
        <v>-70.150499999999994</v>
      </c>
      <c r="H8179" s="3">
        <f t="shared" si="969"/>
        <v>70.150499999999994</v>
      </c>
      <c r="I8179" s="5" t="str">
        <f t="shared" si="970"/>
        <v>019</v>
      </c>
      <c r="J8179" s="5" t="str">
        <f t="shared" si="971"/>
        <v>2230</v>
      </c>
      <c r="K8179" s="5" t="str">
        <f t="shared" si="972"/>
        <v>000</v>
      </c>
      <c r="L8179" s="5">
        <f t="shared" si="973"/>
        <v>8</v>
      </c>
      <c r="M8179" s="5">
        <f t="shared" si="974"/>
        <v>2013</v>
      </c>
    </row>
    <row r="8180" spans="1:13" ht="15" x14ac:dyDescent="0.25">
      <c r="A8180" s="1">
        <f>DATE(2013,8,27)</f>
        <v>41513</v>
      </c>
      <c r="B8180" t="s">
        <v>23</v>
      </c>
      <c r="C8180" t="s">
        <v>6</v>
      </c>
      <c r="D8180" s="3">
        <v>2357.3130000000001</v>
      </c>
      <c r="E8180" s="3">
        <v>0</v>
      </c>
      <c r="F8180" t="s">
        <v>45</v>
      </c>
      <c r="G8180" s="3">
        <f t="shared" si="968"/>
        <v>-2357.3130000000001</v>
      </c>
      <c r="H8180" s="3">
        <f t="shared" si="969"/>
        <v>2357.3130000000001</v>
      </c>
      <c r="I8180" s="5" t="str">
        <f t="shared" si="970"/>
        <v>019</v>
      </c>
      <c r="J8180" s="5" t="str">
        <f t="shared" si="971"/>
        <v>2100</v>
      </c>
      <c r="K8180" s="5" t="str">
        <f t="shared" si="972"/>
        <v>000</v>
      </c>
      <c r="L8180" s="5">
        <f t="shared" si="973"/>
        <v>8</v>
      </c>
      <c r="M8180" s="5">
        <f t="shared" si="974"/>
        <v>2013</v>
      </c>
    </row>
    <row r="8181" spans="1:13" ht="15" x14ac:dyDescent="0.25">
      <c r="A8181" s="1">
        <f>DATE(2013,8,27)</f>
        <v>41513</v>
      </c>
      <c r="B8181" t="s">
        <v>24</v>
      </c>
      <c r="C8181" t="s">
        <v>8</v>
      </c>
      <c r="D8181" s="3">
        <v>568.31849999999997</v>
      </c>
      <c r="E8181" s="3">
        <v>0</v>
      </c>
      <c r="F8181" t="s">
        <v>45</v>
      </c>
      <c r="G8181" s="3">
        <f t="shared" si="968"/>
        <v>-568.31849999999997</v>
      </c>
      <c r="H8181" s="3">
        <f t="shared" si="969"/>
        <v>568.31849999999997</v>
      </c>
      <c r="I8181" s="5" t="str">
        <f t="shared" si="970"/>
        <v>019</v>
      </c>
      <c r="J8181" s="5" t="str">
        <f t="shared" si="971"/>
        <v>2210</v>
      </c>
      <c r="K8181" s="5" t="str">
        <f t="shared" si="972"/>
        <v>000</v>
      </c>
      <c r="L8181" s="5">
        <f t="shared" si="973"/>
        <v>8</v>
      </c>
      <c r="M8181" s="5">
        <f t="shared" si="974"/>
        <v>2013</v>
      </c>
    </row>
    <row r="8182" spans="1:13" ht="15" x14ac:dyDescent="0.25">
      <c r="A8182" s="1">
        <f>DATE(2013,8,27)</f>
        <v>41513</v>
      </c>
      <c r="B8182" t="s">
        <v>25</v>
      </c>
      <c r="C8182" t="s">
        <v>9</v>
      </c>
      <c r="D8182" s="3">
        <v>124.864</v>
      </c>
      <c r="E8182" s="3">
        <v>0</v>
      </c>
      <c r="F8182" t="s">
        <v>45</v>
      </c>
      <c r="G8182" s="3">
        <f t="shared" si="968"/>
        <v>-124.864</v>
      </c>
      <c r="H8182" s="3">
        <f t="shared" si="969"/>
        <v>124.864</v>
      </c>
      <c r="I8182" s="5" t="str">
        <f t="shared" si="970"/>
        <v>019</v>
      </c>
      <c r="J8182" s="5" t="str">
        <f t="shared" si="971"/>
        <v>2220</v>
      </c>
      <c r="K8182" s="5" t="str">
        <f t="shared" si="972"/>
        <v>000</v>
      </c>
      <c r="L8182" s="5">
        <f t="shared" si="973"/>
        <v>8</v>
      </c>
      <c r="M8182" s="5">
        <f t="shared" si="974"/>
        <v>2013</v>
      </c>
    </row>
    <row r="8183" spans="1:13" ht="15" x14ac:dyDescent="0.25">
      <c r="A8183" s="1">
        <f>DATE(2013,8,27)</f>
        <v>41513</v>
      </c>
      <c r="B8183" t="s">
        <v>26</v>
      </c>
      <c r="C8183" t="s">
        <v>10</v>
      </c>
      <c r="D8183" s="3">
        <v>43.458799999999997</v>
      </c>
      <c r="E8183" s="3">
        <v>0</v>
      </c>
      <c r="F8183" t="s">
        <v>45</v>
      </c>
      <c r="G8183" s="3">
        <f t="shared" si="968"/>
        <v>-43.458799999999997</v>
      </c>
      <c r="H8183" s="3">
        <f t="shared" si="969"/>
        <v>43.458799999999997</v>
      </c>
      <c r="I8183" s="5" t="str">
        <f t="shared" si="970"/>
        <v>019</v>
      </c>
      <c r="J8183" s="5" t="str">
        <f t="shared" si="971"/>
        <v>2230</v>
      </c>
      <c r="K8183" s="5" t="str">
        <f t="shared" si="972"/>
        <v>000</v>
      </c>
      <c r="L8183" s="5">
        <f t="shared" si="973"/>
        <v>8</v>
      </c>
      <c r="M8183" s="5">
        <f t="shared" si="974"/>
        <v>2013</v>
      </c>
    </row>
    <row r="8184" spans="1:13" ht="15" x14ac:dyDescent="0.25">
      <c r="A8184" s="1">
        <f>DATE(2013,8,28)</f>
        <v>41514</v>
      </c>
      <c r="B8184" t="s">
        <v>23</v>
      </c>
      <c r="C8184" t="s">
        <v>6</v>
      </c>
      <c r="D8184" s="3">
        <v>3866.6376</v>
      </c>
      <c r="E8184" s="3">
        <v>0</v>
      </c>
      <c r="F8184" t="s">
        <v>45</v>
      </c>
      <c r="G8184" s="3">
        <f t="shared" si="968"/>
        <v>-3866.6376</v>
      </c>
      <c r="H8184" s="3">
        <f t="shared" si="969"/>
        <v>3866.6376</v>
      </c>
      <c r="I8184" s="5" t="str">
        <f t="shared" si="970"/>
        <v>019</v>
      </c>
      <c r="J8184" s="5" t="str">
        <f t="shared" si="971"/>
        <v>2100</v>
      </c>
      <c r="K8184" s="5" t="str">
        <f t="shared" si="972"/>
        <v>000</v>
      </c>
      <c r="L8184" s="5">
        <f t="shared" si="973"/>
        <v>8</v>
      </c>
      <c r="M8184" s="5">
        <f t="shared" si="974"/>
        <v>2013</v>
      </c>
    </row>
    <row r="8185" spans="1:13" ht="15" x14ac:dyDescent="0.25">
      <c r="A8185" s="1">
        <f>DATE(2013,8,28)</f>
        <v>41514</v>
      </c>
      <c r="B8185" t="s">
        <v>24</v>
      </c>
      <c r="C8185" t="s">
        <v>8</v>
      </c>
      <c r="D8185" s="3">
        <v>1177.8382000000001</v>
      </c>
      <c r="E8185" s="3">
        <v>0</v>
      </c>
      <c r="F8185" t="s">
        <v>45</v>
      </c>
      <c r="G8185" s="3">
        <f t="shared" si="968"/>
        <v>-1177.8382000000001</v>
      </c>
      <c r="H8185" s="3">
        <f t="shared" si="969"/>
        <v>1177.8382000000001</v>
      </c>
      <c r="I8185" s="5" t="str">
        <f t="shared" si="970"/>
        <v>019</v>
      </c>
      <c r="J8185" s="5" t="str">
        <f t="shared" si="971"/>
        <v>2210</v>
      </c>
      <c r="K8185" s="5" t="str">
        <f t="shared" si="972"/>
        <v>000</v>
      </c>
      <c r="L8185" s="5">
        <f t="shared" si="973"/>
        <v>8</v>
      </c>
      <c r="M8185" s="5">
        <f t="shared" si="974"/>
        <v>2013</v>
      </c>
    </row>
    <row r="8186" spans="1:13" ht="15" x14ac:dyDescent="0.25">
      <c r="A8186" s="1">
        <f>DATE(2013,8,28)</f>
        <v>41514</v>
      </c>
      <c r="B8186" t="s">
        <v>25</v>
      </c>
      <c r="C8186" t="s">
        <v>9</v>
      </c>
      <c r="D8186" s="3">
        <v>283.18739999999997</v>
      </c>
      <c r="E8186" s="3">
        <v>0</v>
      </c>
      <c r="F8186" t="s">
        <v>45</v>
      </c>
      <c r="G8186" s="3">
        <f t="shared" si="968"/>
        <v>-283.18739999999997</v>
      </c>
      <c r="H8186" s="3">
        <f t="shared" si="969"/>
        <v>283.18739999999997</v>
      </c>
      <c r="I8186" s="5" t="str">
        <f t="shared" si="970"/>
        <v>019</v>
      </c>
      <c r="J8186" s="5" t="str">
        <f t="shared" si="971"/>
        <v>2220</v>
      </c>
      <c r="K8186" s="5" t="str">
        <f t="shared" si="972"/>
        <v>000</v>
      </c>
      <c r="L8186" s="5">
        <f t="shared" si="973"/>
        <v>8</v>
      </c>
      <c r="M8186" s="5">
        <f t="shared" si="974"/>
        <v>2013</v>
      </c>
    </row>
    <row r="8187" spans="1:13" ht="15" x14ac:dyDescent="0.25">
      <c r="A8187" s="1">
        <f>DATE(2013,8,28)</f>
        <v>41514</v>
      </c>
      <c r="B8187" t="s">
        <v>26</v>
      </c>
      <c r="C8187" t="s">
        <v>10</v>
      </c>
      <c r="D8187" s="3">
        <v>112.15360000000001</v>
      </c>
      <c r="E8187" s="3">
        <v>0</v>
      </c>
      <c r="F8187" t="s">
        <v>45</v>
      </c>
      <c r="G8187" s="3">
        <f t="shared" si="968"/>
        <v>-112.15360000000001</v>
      </c>
      <c r="H8187" s="3">
        <f t="shared" si="969"/>
        <v>112.15360000000001</v>
      </c>
      <c r="I8187" s="5" t="str">
        <f t="shared" si="970"/>
        <v>019</v>
      </c>
      <c r="J8187" s="5" t="str">
        <f t="shared" si="971"/>
        <v>2230</v>
      </c>
      <c r="K8187" s="5" t="str">
        <f t="shared" si="972"/>
        <v>000</v>
      </c>
      <c r="L8187" s="5">
        <f t="shared" si="973"/>
        <v>8</v>
      </c>
      <c r="M8187" s="5">
        <f t="shared" si="974"/>
        <v>2013</v>
      </c>
    </row>
    <row r="8188" spans="1:13" ht="15" x14ac:dyDescent="0.25">
      <c r="A8188" s="1">
        <f>DATE(2013,8,29)</f>
        <v>41515</v>
      </c>
      <c r="B8188" t="s">
        <v>23</v>
      </c>
      <c r="C8188" t="s">
        <v>6</v>
      </c>
      <c r="D8188" s="3">
        <v>4072.0120000000006</v>
      </c>
      <c r="E8188" s="3">
        <v>0</v>
      </c>
      <c r="F8188" t="s">
        <v>45</v>
      </c>
      <c r="G8188" s="3">
        <f t="shared" si="968"/>
        <v>-4072.0120000000006</v>
      </c>
      <c r="H8188" s="3">
        <f t="shared" si="969"/>
        <v>4072.0120000000006</v>
      </c>
      <c r="I8188" s="5" t="str">
        <f t="shared" si="970"/>
        <v>019</v>
      </c>
      <c r="J8188" s="5" t="str">
        <f t="shared" si="971"/>
        <v>2100</v>
      </c>
      <c r="K8188" s="5" t="str">
        <f t="shared" si="972"/>
        <v>000</v>
      </c>
      <c r="L8188" s="5">
        <f t="shared" si="973"/>
        <v>8</v>
      </c>
      <c r="M8188" s="5">
        <f t="shared" si="974"/>
        <v>2013</v>
      </c>
    </row>
    <row r="8189" spans="1:13" ht="15" x14ac:dyDescent="0.25">
      <c r="A8189" s="1">
        <f>DATE(2013,8,29)</f>
        <v>41515</v>
      </c>
      <c r="B8189" t="s">
        <v>24</v>
      </c>
      <c r="C8189" t="s">
        <v>8</v>
      </c>
      <c r="D8189" s="3">
        <v>1315.2225000000001</v>
      </c>
      <c r="E8189" s="3">
        <v>0</v>
      </c>
      <c r="F8189" t="s">
        <v>45</v>
      </c>
      <c r="G8189" s="3">
        <f t="shared" si="968"/>
        <v>-1315.2225000000001</v>
      </c>
      <c r="H8189" s="3">
        <f t="shared" si="969"/>
        <v>1315.2225000000001</v>
      </c>
      <c r="I8189" s="5" t="str">
        <f t="shared" si="970"/>
        <v>019</v>
      </c>
      <c r="J8189" s="5" t="str">
        <f t="shared" si="971"/>
        <v>2210</v>
      </c>
      <c r="K8189" s="5" t="str">
        <f t="shared" si="972"/>
        <v>000</v>
      </c>
      <c r="L8189" s="5">
        <f t="shared" si="973"/>
        <v>8</v>
      </c>
      <c r="M8189" s="5">
        <f t="shared" si="974"/>
        <v>2013</v>
      </c>
    </row>
    <row r="8190" spans="1:13" ht="15" x14ac:dyDescent="0.25">
      <c r="A8190" s="1">
        <f>DATE(2013,8,29)</f>
        <v>41515</v>
      </c>
      <c r="B8190" t="s">
        <v>25</v>
      </c>
      <c r="C8190" t="s">
        <v>9</v>
      </c>
      <c r="D8190" s="3">
        <v>197.3331</v>
      </c>
      <c r="E8190" s="3">
        <v>0</v>
      </c>
      <c r="F8190" t="s">
        <v>45</v>
      </c>
      <c r="G8190" s="3">
        <f t="shared" si="968"/>
        <v>-197.3331</v>
      </c>
      <c r="H8190" s="3">
        <f t="shared" si="969"/>
        <v>197.3331</v>
      </c>
      <c r="I8190" s="5" t="str">
        <f t="shared" si="970"/>
        <v>019</v>
      </c>
      <c r="J8190" s="5" t="str">
        <f t="shared" si="971"/>
        <v>2220</v>
      </c>
      <c r="K8190" s="5" t="str">
        <f t="shared" si="972"/>
        <v>000</v>
      </c>
      <c r="L8190" s="5">
        <f t="shared" si="973"/>
        <v>8</v>
      </c>
      <c r="M8190" s="5">
        <f t="shared" si="974"/>
        <v>2013</v>
      </c>
    </row>
    <row r="8191" spans="1:13" ht="15" x14ac:dyDescent="0.25">
      <c r="A8191" s="1">
        <f>DATE(2013,8,29)</f>
        <v>41515</v>
      </c>
      <c r="B8191" t="s">
        <v>26</v>
      </c>
      <c r="C8191" t="s">
        <v>10</v>
      </c>
      <c r="D8191" s="3">
        <v>56.88</v>
      </c>
      <c r="E8191" s="3">
        <v>0</v>
      </c>
      <c r="F8191" t="s">
        <v>45</v>
      </c>
      <c r="G8191" s="3">
        <f t="shared" si="968"/>
        <v>-56.88</v>
      </c>
      <c r="H8191" s="3">
        <f t="shared" si="969"/>
        <v>56.88</v>
      </c>
      <c r="I8191" s="5" t="str">
        <f t="shared" si="970"/>
        <v>019</v>
      </c>
      <c r="J8191" s="5" t="str">
        <f t="shared" si="971"/>
        <v>2230</v>
      </c>
      <c r="K8191" s="5" t="str">
        <f t="shared" si="972"/>
        <v>000</v>
      </c>
      <c r="L8191" s="5">
        <f t="shared" si="973"/>
        <v>8</v>
      </c>
      <c r="M8191" s="5">
        <f t="shared" si="974"/>
        <v>2013</v>
      </c>
    </row>
    <row r="8192" spans="1:13" ht="15" x14ac:dyDescent="0.25">
      <c r="A8192" s="1">
        <f>DATE(2013,8,30)</f>
        <v>41516</v>
      </c>
      <c r="B8192" t="s">
        <v>23</v>
      </c>
      <c r="C8192" t="s">
        <v>6</v>
      </c>
      <c r="D8192" s="3">
        <v>4775.2062999999998</v>
      </c>
      <c r="E8192" s="3">
        <v>0</v>
      </c>
      <c r="F8192" t="s">
        <v>45</v>
      </c>
      <c r="G8192" s="3">
        <f t="shared" si="968"/>
        <v>-4775.2062999999998</v>
      </c>
      <c r="H8192" s="3">
        <f t="shared" si="969"/>
        <v>4775.2062999999998</v>
      </c>
      <c r="I8192" s="5" t="str">
        <f t="shared" si="970"/>
        <v>019</v>
      </c>
      <c r="J8192" s="5" t="str">
        <f t="shared" si="971"/>
        <v>2100</v>
      </c>
      <c r="K8192" s="5" t="str">
        <f t="shared" si="972"/>
        <v>000</v>
      </c>
      <c r="L8192" s="5">
        <f t="shared" si="973"/>
        <v>8</v>
      </c>
      <c r="M8192" s="5">
        <f t="shared" si="974"/>
        <v>2013</v>
      </c>
    </row>
    <row r="8193" spans="1:13" ht="15" x14ac:dyDescent="0.25">
      <c r="A8193" s="1">
        <f>DATE(2013,8,30)</f>
        <v>41516</v>
      </c>
      <c r="B8193" t="s">
        <v>24</v>
      </c>
      <c r="C8193" t="s">
        <v>8</v>
      </c>
      <c r="D8193" s="3">
        <v>1852.5936000000002</v>
      </c>
      <c r="E8193" s="3">
        <v>0</v>
      </c>
      <c r="F8193" t="s">
        <v>45</v>
      </c>
      <c r="G8193" s="3">
        <f t="shared" si="968"/>
        <v>-1852.5936000000002</v>
      </c>
      <c r="H8193" s="3">
        <f t="shared" si="969"/>
        <v>1852.5936000000002</v>
      </c>
      <c r="I8193" s="5" t="str">
        <f t="shared" si="970"/>
        <v>019</v>
      </c>
      <c r="J8193" s="5" t="str">
        <f t="shared" si="971"/>
        <v>2210</v>
      </c>
      <c r="K8193" s="5" t="str">
        <f t="shared" si="972"/>
        <v>000</v>
      </c>
      <c r="L8193" s="5">
        <f t="shared" si="973"/>
        <v>8</v>
      </c>
      <c r="M8193" s="5">
        <f t="shared" si="974"/>
        <v>2013</v>
      </c>
    </row>
    <row r="8194" spans="1:13" ht="15" x14ac:dyDescent="0.25">
      <c r="A8194" s="1">
        <f>DATE(2013,8,30)</f>
        <v>41516</v>
      </c>
      <c r="B8194" t="s">
        <v>25</v>
      </c>
      <c r="C8194" t="s">
        <v>9</v>
      </c>
      <c r="D8194" s="3">
        <v>402.67919999999998</v>
      </c>
      <c r="E8194" s="3">
        <v>0</v>
      </c>
      <c r="F8194" t="s">
        <v>45</v>
      </c>
      <c r="G8194" s="3">
        <f t="shared" ref="G8194:G8257" si="975">E8194-D8194</f>
        <v>-402.67919999999998</v>
      </c>
      <c r="H8194" s="3">
        <f t="shared" ref="H8194:H8257" si="976">ABS(G8194)</f>
        <v>402.67919999999998</v>
      </c>
      <c r="I8194" s="5" t="str">
        <f t="shared" ref="I8194:I8257" si="977">MID(B8194,1,3)</f>
        <v>019</v>
      </c>
      <c r="J8194" s="5" t="str">
        <f t="shared" ref="J8194:J8257" si="978">MID(B8194,5,4)</f>
        <v>2220</v>
      </c>
      <c r="K8194" s="5" t="str">
        <f t="shared" ref="K8194:K8257" si="979">MID(B8194,10,3)</f>
        <v>000</v>
      </c>
      <c r="L8194" s="5">
        <f t="shared" ref="L8194:L8257" si="980">MONTH(A8194)</f>
        <v>8</v>
      </c>
      <c r="M8194" s="5">
        <f t="shared" ref="M8194:M8257" si="981">YEAR(A8194)</f>
        <v>2013</v>
      </c>
    </row>
    <row r="8195" spans="1:13" ht="15" x14ac:dyDescent="0.25">
      <c r="A8195" s="1">
        <f>DATE(2013,8,30)</f>
        <v>41516</v>
      </c>
      <c r="B8195" t="s">
        <v>26</v>
      </c>
      <c r="C8195" t="s">
        <v>10</v>
      </c>
      <c r="D8195" s="3">
        <v>160.95099999999999</v>
      </c>
      <c r="E8195" s="3">
        <v>0</v>
      </c>
      <c r="F8195" t="s">
        <v>45</v>
      </c>
      <c r="G8195" s="3">
        <f t="shared" si="975"/>
        <v>-160.95099999999999</v>
      </c>
      <c r="H8195" s="3">
        <f t="shared" si="976"/>
        <v>160.95099999999999</v>
      </c>
      <c r="I8195" s="5" t="str">
        <f t="shared" si="977"/>
        <v>019</v>
      </c>
      <c r="J8195" s="5" t="str">
        <f t="shared" si="978"/>
        <v>2230</v>
      </c>
      <c r="K8195" s="5" t="str">
        <f t="shared" si="979"/>
        <v>000</v>
      </c>
      <c r="L8195" s="5">
        <f t="shared" si="980"/>
        <v>8</v>
      </c>
      <c r="M8195" s="5">
        <f t="shared" si="981"/>
        <v>2013</v>
      </c>
    </row>
    <row r="8196" spans="1:13" ht="15" x14ac:dyDescent="0.25">
      <c r="A8196" s="1">
        <f>DATE(2013,8,31)</f>
        <v>41517</v>
      </c>
      <c r="B8196" t="s">
        <v>23</v>
      </c>
      <c r="C8196" t="s">
        <v>6</v>
      </c>
      <c r="D8196" s="3">
        <v>4548.7871999999998</v>
      </c>
      <c r="E8196" s="3">
        <v>0</v>
      </c>
      <c r="F8196" t="s">
        <v>45</v>
      </c>
      <c r="G8196" s="3">
        <f t="shared" si="975"/>
        <v>-4548.7871999999998</v>
      </c>
      <c r="H8196" s="3">
        <f t="shared" si="976"/>
        <v>4548.7871999999998</v>
      </c>
      <c r="I8196" s="5" t="str">
        <f t="shared" si="977"/>
        <v>019</v>
      </c>
      <c r="J8196" s="5" t="str">
        <f t="shared" si="978"/>
        <v>2100</v>
      </c>
      <c r="K8196" s="5" t="str">
        <f t="shared" si="979"/>
        <v>000</v>
      </c>
      <c r="L8196" s="5">
        <f t="shared" si="980"/>
        <v>8</v>
      </c>
      <c r="M8196" s="5">
        <f t="shared" si="981"/>
        <v>2013</v>
      </c>
    </row>
    <row r="8197" spans="1:13" ht="15" x14ac:dyDescent="0.25">
      <c r="A8197" s="1">
        <f>DATE(2013,8,31)</f>
        <v>41517</v>
      </c>
      <c r="B8197" t="s">
        <v>24</v>
      </c>
      <c r="C8197" t="s">
        <v>8</v>
      </c>
      <c r="D8197" s="3">
        <v>2517.5095000000001</v>
      </c>
      <c r="E8197" s="3">
        <v>0</v>
      </c>
      <c r="F8197" t="s">
        <v>45</v>
      </c>
      <c r="G8197" s="3">
        <f t="shared" si="975"/>
        <v>-2517.5095000000001</v>
      </c>
      <c r="H8197" s="3">
        <f t="shared" si="976"/>
        <v>2517.5095000000001</v>
      </c>
      <c r="I8197" s="5" t="str">
        <f t="shared" si="977"/>
        <v>019</v>
      </c>
      <c r="J8197" s="5" t="str">
        <f t="shared" si="978"/>
        <v>2210</v>
      </c>
      <c r="K8197" s="5" t="str">
        <f t="shared" si="979"/>
        <v>000</v>
      </c>
      <c r="L8197" s="5">
        <f t="shared" si="980"/>
        <v>8</v>
      </c>
      <c r="M8197" s="5">
        <f t="shared" si="981"/>
        <v>2013</v>
      </c>
    </row>
    <row r="8198" spans="1:13" ht="15" x14ac:dyDescent="0.25">
      <c r="A8198" s="1">
        <f>DATE(2013,8,31)</f>
        <v>41517</v>
      </c>
      <c r="B8198" t="s">
        <v>25</v>
      </c>
      <c r="C8198" t="s">
        <v>9</v>
      </c>
      <c r="D8198" s="3">
        <v>606.28050000000007</v>
      </c>
      <c r="E8198" s="3">
        <v>0</v>
      </c>
      <c r="F8198" t="s">
        <v>45</v>
      </c>
      <c r="G8198" s="3">
        <f t="shared" si="975"/>
        <v>-606.28050000000007</v>
      </c>
      <c r="H8198" s="3">
        <f t="shared" si="976"/>
        <v>606.28050000000007</v>
      </c>
      <c r="I8198" s="5" t="str">
        <f t="shared" si="977"/>
        <v>019</v>
      </c>
      <c r="J8198" s="5" t="str">
        <f t="shared" si="978"/>
        <v>2220</v>
      </c>
      <c r="K8198" s="5" t="str">
        <f t="shared" si="979"/>
        <v>000</v>
      </c>
      <c r="L8198" s="5">
        <f t="shared" si="980"/>
        <v>8</v>
      </c>
      <c r="M8198" s="5">
        <f t="shared" si="981"/>
        <v>2013</v>
      </c>
    </row>
    <row r="8199" spans="1:13" ht="15" x14ac:dyDescent="0.25">
      <c r="A8199" s="1">
        <f>DATE(2013,8,31)</f>
        <v>41517</v>
      </c>
      <c r="B8199" t="s">
        <v>26</v>
      </c>
      <c r="C8199" t="s">
        <v>10</v>
      </c>
      <c r="D8199" s="3">
        <v>29.722800000000003</v>
      </c>
      <c r="E8199" s="3">
        <v>0</v>
      </c>
      <c r="F8199" t="s">
        <v>45</v>
      </c>
      <c r="G8199" s="3">
        <f t="shared" si="975"/>
        <v>-29.722800000000003</v>
      </c>
      <c r="H8199" s="3">
        <f t="shared" si="976"/>
        <v>29.722800000000003</v>
      </c>
      <c r="I8199" s="5" t="str">
        <f t="shared" si="977"/>
        <v>019</v>
      </c>
      <c r="J8199" s="5" t="str">
        <f t="shared" si="978"/>
        <v>2230</v>
      </c>
      <c r="K8199" s="5" t="str">
        <f t="shared" si="979"/>
        <v>000</v>
      </c>
      <c r="L8199" s="5">
        <f t="shared" si="980"/>
        <v>8</v>
      </c>
      <c r="M8199" s="5">
        <f t="shared" si="981"/>
        <v>2013</v>
      </c>
    </row>
    <row r="8200" spans="1:13" ht="15" x14ac:dyDescent="0.25">
      <c r="A8200" s="1">
        <f>DATE(2013,9,1)</f>
        <v>41518</v>
      </c>
      <c r="B8200" t="s">
        <v>23</v>
      </c>
      <c r="C8200" t="s">
        <v>6</v>
      </c>
      <c r="D8200" s="3">
        <v>6841.9814999999999</v>
      </c>
      <c r="E8200" s="3">
        <v>0</v>
      </c>
      <c r="F8200" t="s">
        <v>45</v>
      </c>
      <c r="G8200" s="3">
        <f t="shared" si="975"/>
        <v>-6841.9814999999999</v>
      </c>
      <c r="H8200" s="3">
        <f t="shared" si="976"/>
        <v>6841.9814999999999</v>
      </c>
      <c r="I8200" s="5" t="str">
        <f t="shared" si="977"/>
        <v>019</v>
      </c>
      <c r="J8200" s="5" t="str">
        <f t="shared" si="978"/>
        <v>2100</v>
      </c>
      <c r="K8200" s="5" t="str">
        <f t="shared" si="979"/>
        <v>000</v>
      </c>
      <c r="L8200" s="5">
        <f t="shared" si="980"/>
        <v>9</v>
      </c>
      <c r="M8200" s="5">
        <f t="shared" si="981"/>
        <v>2013</v>
      </c>
    </row>
    <row r="8201" spans="1:13" ht="15" x14ac:dyDescent="0.25">
      <c r="A8201" s="1">
        <f>DATE(2013,9,1)</f>
        <v>41518</v>
      </c>
      <c r="B8201" t="s">
        <v>24</v>
      </c>
      <c r="C8201" t="s">
        <v>8</v>
      </c>
      <c r="D8201" s="3">
        <v>1971.4112999999998</v>
      </c>
      <c r="E8201" s="3">
        <v>0</v>
      </c>
      <c r="F8201" t="s">
        <v>45</v>
      </c>
      <c r="G8201" s="3">
        <f t="shared" si="975"/>
        <v>-1971.4112999999998</v>
      </c>
      <c r="H8201" s="3">
        <f t="shared" si="976"/>
        <v>1971.4112999999998</v>
      </c>
      <c r="I8201" s="5" t="str">
        <f t="shared" si="977"/>
        <v>019</v>
      </c>
      <c r="J8201" s="5" t="str">
        <f t="shared" si="978"/>
        <v>2210</v>
      </c>
      <c r="K8201" s="5" t="str">
        <f t="shared" si="979"/>
        <v>000</v>
      </c>
      <c r="L8201" s="5">
        <f t="shared" si="980"/>
        <v>9</v>
      </c>
      <c r="M8201" s="5">
        <f t="shared" si="981"/>
        <v>2013</v>
      </c>
    </row>
    <row r="8202" spans="1:13" ht="15" x14ac:dyDescent="0.25">
      <c r="A8202" s="1">
        <f>DATE(2013,9,1)</f>
        <v>41518</v>
      </c>
      <c r="B8202" t="s">
        <v>25</v>
      </c>
      <c r="C8202" t="s">
        <v>9</v>
      </c>
      <c r="D8202" s="3">
        <v>353.50639999999999</v>
      </c>
      <c r="E8202" s="3">
        <v>0</v>
      </c>
      <c r="F8202" t="s">
        <v>45</v>
      </c>
      <c r="G8202" s="3">
        <f t="shared" si="975"/>
        <v>-353.50639999999999</v>
      </c>
      <c r="H8202" s="3">
        <f t="shared" si="976"/>
        <v>353.50639999999999</v>
      </c>
      <c r="I8202" s="5" t="str">
        <f t="shared" si="977"/>
        <v>019</v>
      </c>
      <c r="J8202" s="5" t="str">
        <f t="shared" si="978"/>
        <v>2220</v>
      </c>
      <c r="K8202" s="5" t="str">
        <f t="shared" si="979"/>
        <v>000</v>
      </c>
      <c r="L8202" s="5">
        <f t="shared" si="980"/>
        <v>9</v>
      </c>
      <c r="M8202" s="5">
        <f t="shared" si="981"/>
        <v>2013</v>
      </c>
    </row>
    <row r="8203" spans="1:13" ht="15" x14ac:dyDescent="0.25">
      <c r="A8203" s="1">
        <f>DATE(2013,9,1)</f>
        <v>41518</v>
      </c>
      <c r="B8203" t="s">
        <v>26</v>
      </c>
      <c r="C8203" t="s">
        <v>10</v>
      </c>
      <c r="D8203" s="3">
        <v>96.555199999999985</v>
      </c>
      <c r="E8203" s="3">
        <v>0</v>
      </c>
      <c r="F8203" t="s">
        <v>45</v>
      </c>
      <c r="G8203" s="3">
        <f t="shared" si="975"/>
        <v>-96.555199999999985</v>
      </c>
      <c r="H8203" s="3">
        <f t="shared" si="976"/>
        <v>96.555199999999985</v>
      </c>
      <c r="I8203" s="5" t="str">
        <f t="shared" si="977"/>
        <v>019</v>
      </c>
      <c r="J8203" s="5" t="str">
        <f t="shared" si="978"/>
        <v>2230</v>
      </c>
      <c r="K8203" s="5" t="str">
        <f t="shared" si="979"/>
        <v>000</v>
      </c>
      <c r="L8203" s="5">
        <f t="shared" si="980"/>
        <v>9</v>
      </c>
      <c r="M8203" s="5">
        <f t="shared" si="981"/>
        <v>2013</v>
      </c>
    </row>
    <row r="8204" spans="1:13" ht="15" x14ac:dyDescent="0.25">
      <c r="A8204" s="1">
        <f>DATE(2013,9,2)</f>
        <v>41519</v>
      </c>
      <c r="B8204" t="s">
        <v>11</v>
      </c>
      <c r="C8204" t="s">
        <v>6</v>
      </c>
      <c r="D8204" s="3">
        <v>4093.6927999999998</v>
      </c>
      <c r="E8204" s="3">
        <v>0</v>
      </c>
      <c r="F8204" t="s">
        <v>45</v>
      </c>
      <c r="G8204" s="3">
        <f t="shared" si="975"/>
        <v>-4093.6927999999998</v>
      </c>
      <c r="H8204" s="3">
        <f t="shared" si="976"/>
        <v>4093.6927999999998</v>
      </c>
      <c r="I8204" s="5" t="str">
        <f t="shared" si="977"/>
        <v>016</v>
      </c>
      <c r="J8204" s="5" t="str">
        <f t="shared" si="978"/>
        <v>2100</v>
      </c>
      <c r="K8204" s="5" t="str">
        <f t="shared" si="979"/>
        <v>000</v>
      </c>
      <c r="L8204" s="5">
        <f t="shared" si="980"/>
        <v>9</v>
      </c>
      <c r="M8204" s="5">
        <f t="shared" si="981"/>
        <v>2013</v>
      </c>
    </row>
    <row r="8205" spans="1:13" ht="15" x14ac:dyDescent="0.25">
      <c r="A8205" s="1">
        <f>DATE(2013,9,2)</f>
        <v>41519</v>
      </c>
      <c r="B8205" t="s">
        <v>12</v>
      </c>
      <c r="C8205" t="s">
        <v>8</v>
      </c>
      <c r="D8205" s="3">
        <v>916.26660000000004</v>
      </c>
      <c r="E8205" s="3">
        <v>0</v>
      </c>
      <c r="F8205" t="s">
        <v>45</v>
      </c>
      <c r="G8205" s="3">
        <f t="shared" si="975"/>
        <v>-916.26660000000004</v>
      </c>
      <c r="H8205" s="3">
        <f t="shared" si="976"/>
        <v>916.26660000000004</v>
      </c>
      <c r="I8205" s="5" t="str">
        <f t="shared" si="977"/>
        <v>016</v>
      </c>
      <c r="J8205" s="5" t="str">
        <f t="shared" si="978"/>
        <v>2210</v>
      </c>
      <c r="K8205" s="5" t="str">
        <f t="shared" si="979"/>
        <v>000</v>
      </c>
      <c r="L8205" s="5">
        <f t="shared" si="980"/>
        <v>9</v>
      </c>
      <c r="M8205" s="5">
        <f t="shared" si="981"/>
        <v>2013</v>
      </c>
    </row>
    <row r="8206" spans="1:13" ht="15" x14ac:dyDescent="0.25">
      <c r="A8206" s="1">
        <f>DATE(2013,9,2)</f>
        <v>41519</v>
      </c>
      <c r="B8206" t="s">
        <v>13</v>
      </c>
      <c r="C8206" t="s">
        <v>9</v>
      </c>
      <c r="D8206" s="3">
        <v>174.77599999999998</v>
      </c>
      <c r="E8206" s="3">
        <v>0</v>
      </c>
      <c r="F8206" t="s">
        <v>45</v>
      </c>
      <c r="G8206" s="3">
        <f t="shared" si="975"/>
        <v>-174.77599999999998</v>
      </c>
      <c r="H8206" s="3">
        <f t="shared" si="976"/>
        <v>174.77599999999998</v>
      </c>
      <c r="I8206" s="5" t="str">
        <f t="shared" si="977"/>
        <v>016</v>
      </c>
      <c r="J8206" s="5" t="str">
        <f t="shared" si="978"/>
        <v>2220</v>
      </c>
      <c r="K8206" s="5" t="str">
        <f t="shared" si="979"/>
        <v>000</v>
      </c>
      <c r="L8206" s="5">
        <f t="shared" si="980"/>
        <v>9</v>
      </c>
      <c r="M8206" s="5">
        <f t="shared" si="981"/>
        <v>2013</v>
      </c>
    </row>
    <row r="8207" spans="1:13" ht="15" x14ac:dyDescent="0.25">
      <c r="A8207" s="1">
        <f>DATE(2013,9,2)</f>
        <v>41519</v>
      </c>
      <c r="B8207" t="s">
        <v>14</v>
      </c>
      <c r="C8207" t="s">
        <v>10</v>
      </c>
      <c r="D8207" s="3">
        <v>12.299999999999999</v>
      </c>
      <c r="E8207" s="3">
        <v>0</v>
      </c>
      <c r="F8207" t="s">
        <v>45</v>
      </c>
      <c r="G8207" s="3">
        <f t="shared" si="975"/>
        <v>-12.299999999999999</v>
      </c>
      <c r="H8207" s="3">
        <f t="shared" si="976"/>
        <v>12.299999999999999</v>
      </c>
      <c r="I8207" s="5" t="str">
        <f t="shared" si="977"/>
        <v>016</v>
      </c>
      <c r="J8207" s="5" t="str">
        <f t="shared" si="978"/>
        <v>2230</v>
      </c>
      <c r="K8207" s="5" t="str">
        <f t="shared" si="979"/>
        <v>000</v>
      </c>
      <c r="L8207" s="5">
        <f t="shared" si="980"/>
        <v>9</v>
      </c>
      <c r="M8207" s="5">
        <f t="shared" si="981"/>
        <v>2013</v>
      </c>
    </row>
    <row r="8208" spans="1:13" ht="15" x14ac:dyDescent="0.25">
      <c r="A8208" s="1">
        <f>DATE(2013,9,3)</f>
        <v>41520</v>
      </c>
      <c r="B8208" t="s">
        <v>11</v>
      </c>
      <c r="C8208" t="s">
        <v>6</v>
      </c>
      <c r="D8208" s="3">
        <v>5922.0603000000001</v>
      </c>
      <c r="E8208" s="3">
        <v>0</v>
      </c>
      <c r="F8208" t="s">
        <v>45</v>
      </c>
      <c r="G8208" s="3">
        <f t="shared" si="975"/>
        <v>-5922.0603000000001</v>
      </c>
      <c r="H8208" s="3">
        <f t="shared" si="976"/>
        <v>5922.0603000000001</v>
      </c>
      <c r="I8208" s="5" t="str">
        <f t="shared" si="977"/>
        <v>016</v>
      </c>
      <c r="J8208" s="5" t="str">
        <f t="shared" si="978"/>
        <v>2100</v>
      </c>
      <c r="K8208" s="5" t="str">
        <f t="shared" si="979"/>
        <v>000</v>
      </c>
      <c r="L8208" s="5">
        <f t="shared" si="980"/>
        <v>9</v>
      </c>
      <c r="M8208" s="5">
        <f t="shared" si="981"/>
        <v>2013</v>
      </c>
    </row>
    <row r="8209" spans="1:13" ht="15" x14ac:dyDescent="0.25">
      <c r="A8209" s="1">
        <f>DATE(2013,9,3)</f>
        <v>41520</v>
      </c>
      <c r="B8209" t="s">
        <v>12</v>
      </c>
      <c r="C8209" t="s">
        <v>8</v>
      </c>
      <c r="D8209" s="3">
        <v>1834.8848000000003</v>
      </c>
      <c r="E8209" s="3">
        <v>0</v>
      </c>
      <c r="F8209" t="s">
        <v>45</v>
      </c>
      <c r="G8209" s="3">
        <f t="shared" si="975"/>
        <v>-1834.8848000000003</v>
      </c>
      <c r="H8209" s="3">
        <f t="shared" si="976"/>
        <v>1834.8848000000003</v>
      </c>
      <c r="I8209" s="5" t="str">
        <f t="shared" si="977"/>
        <v>016</v>
      </c>
      <c r="J8209" s="5" t="str">
        <f t="shared" si="978"/>
        <v>2210</v>
      </c>
      <c r="K8209" s="5" t="str">
        <f t="shared" si="979"/>
        <v>000</v>
      </c>
      <c r="L8209" s="5">
        <f t="shared" si="980"/>
        <v>9</v>
      </c>
      <c r="M8209" s="5">
        <f t="shared" si="981"/>
        <v>2013</v>
      </c>
    </row>
    <row r="8210" spans="1:13" ht="15" x14ac:dyDescent="0.25">
      <c r="A8210" s="1">
        <f>DATE(2013,9,3)</f>
        <v>41520</v>
      </c>
      <c r="B8210" t="s">
        <v>13</v>
      </c>
      <c r="C8210" t="s">
        <v>9</v>
      </c>
      <c r="D8210" s="3">
        <v>807.62639999999999</v>
      </c>
      <c r="E8210" s="3">
        <v>0</v>
      </c>
      <c r="F8210" t="s">
        <v>45</v>
      </c>
      <c r="G8210" s="3">
        <f t="shared" si="975"/>
        <v>-807.62639999999999</v>
      </c>
      <c r="H8210" s="3">
        <f t="shared" si="976"/>
        <v>807.62639999999999</v>
      </c>
      <c r="I8210" s="5" t="str">
        <f t="shared" si="977"/>
        <v>016</v>
      </c>
      <c r="J8210" s="5" t="str">
        <f t="shared" si="978"/>
        <v>2220</v>
      </c>
      <c r="K8210" s="5" t="str">
        <f t="shared" si="979"/>
        <v>000</v>
      </c>
      <c r="L8210" s="5">
        <f t="shared" si="980"/>
        <v>9</v>
      </c>
      <c r="M8210" s="5">
        <f t="shared" si="981"/>
        <v>2013</v>
      </c>
    </row>
    <row r="8211" spans="1:13" ht="15" x14ac:dyDescent="0.25">
      <c r="A8211" s="1">
        <f>DATE(2013,9,3)</f>
        <v>41520</v>
      </c>
      <c r="B8211" t="s">
        <v>14</v>
      </c>
      <c r="C8211" t="s">
        <v>10</v>
      </c>
      <c r="D8211" s="3">
        <v>84.646799999999999</v>
      </c>
      <c r="E8211" s="3">
        <v>0</v>
      </c>
      <c r="F8211" t="s">
        <v>45</v>
      </c>
      <c r="G8211" s="3">
        <f t="shared" si="975"/>
        <v>-84.646799999999999</v>
      </c>
      <c r="H8211" s="3">
        <f t="shared" si="976"/>
        <v>84.646799999999999</v>
      </c>
      <c r="I8211" s="5" t="str">
        <f t="shared" si="977"/>
        <v>016</v>
      </c>
      <c r="J8211" s="5" t="str">
        <f t="shared" si="978"/>
        <v>2230</v>
      </c>
      <c r="K8211" s="5" t="str">
        <f t="shared" si="979"/>
        <v>000</v>
      </c>
      <c r="L8211" s="5">
        <f t="shared" si="980"/>
        <v>9</v>
      </c>
      <c r="M8211" s="5">
        <f t="shared" si="981"/>
        <v>2013</v>
      </c>
    </row>
    <row r="8212" spans="1:13" ht="15" x14ac:dyDescent="0.25">
      <c r="A8212" s="1">
        <f>DATE(2013,9,4)</f>
        <v>41521</v>
      </c>
      <c r="B8212" t="s">
        <v>11</v>
      </c>
      <c r="C8212" t="s">
        <v>6</v>
      </c>
      <c r="D8212" s="3">
        <v>1598.5365999999999</v>
      </c>
      <c r="E8212" s="3">
        <v>0</v>
      </c>
      <c r="F8212" t="s">
        <v>45</v>
      </c>
      <c r="G8212" s="3">
        <f t="shared" si="975"/>
        <v>-1598.5365999999999</v>
      </c>
      <c r="H8212" s="3">
        <f t="shared" si="976"/>
        <v>1598.5365999999999</v>
      </c>
      <c r="I8212" s="5" t="str">
        <f t="shared" si="977"/>
        <v>016</v>
      </c>
      <c r="J8212" s="5" t="str">
        <f t="shared" si="978"/>
        <v>2100</v>
      </c>
      <c r="K8212" s="5" t="str">
        <f t="shared" si="979"/>
        <v>000</v>
      </c>
      <c r="L8212" s="5">
        <f t="shared" si="980"/>
        <v>9</v>
      </c>
      <c r="M8212" s="5">
        <f t="shared" si="981"/>
        <v>2013</v>
      </c>
    </row>
    <row r="8213" spans="1:13" ht="15" x14ac:dyDescent="0.25">
      <c r="A8213" s="1">
        <f>DATE(2013,9,4)</f>
        <v>41521</v>
      </c>
      <c r="B8213" t="s">
        <v>12</v>
      </c>
      <c r="C8213" t="s">
        <v>8</v>
      </c>
      <c r="D8213" s="3">
        <v>407.75840000000005</v>
      </c>
      <c r="E8213" s="3">
        <v>0</v>
      </c>
      <c r="F8213" t="s">
        <v>45</v>
      </c>
      <c r="G8213" s="3">
        <f t="shared" si="975"/>
        <v>-407.75840000000005</v>
      </c>
      <c r="H8213" s="3">
        <f t="shared" si="976"/>
        <v>407.75840000000005</v>
      </c>
      <c r="I8213" s="5" t="str">
        <f t="shared" si="977"/>
        <v>016</v>
      </c>
      <c r="J8213" s="5" t="str">
        <f t="shared" si="978"/>
        <v>2210</v>
      </c>
      <c r="K8213" s="5" t="str">
        <f t="shared" si="979"/>
        <v>000</v>
      </c>
      <c r="L8213" s="5">
        <f t="shared" si="980"/>
        <v>9</v>
      </c>
      <c r="M8213" s="5">
        <f t="shared" si="981"/>
        <v>2013</v>
      </c>
    </row>
    <row r="8214" spans="1:13" ht="15" x14ac:dyDescent="0.25">
      <c r="A8214" s="1">
        <f>DATE(2013,9,4)</f>
        <v>41521</v>
      </c>
      <c r="B8214" t="s">
        <v>13</v>
      </c>
      <c r="C8214" t="s">
        <v>9</v>
      </c>
      <c r="D8214" s="3">
        <v>40.555500000000002</v>
      </c>
      <c r="E8214" s="3">
        <v>0</v>
      </c>
      <c r="F8214" t="s">
        <v>45</v>
      </c>
      <c r="G8214" s="3">
        <f t="shared" si="975"/>
        <v>-40.555500000000002</v>
      </c>
      <c r="H8214" s="3">
        <f t="shared" si="976"/>
        <v>40.555500000000002</v>
      </c>
      <c r="I8214" s="5" t="str">
        <f t="shared" si="977"/>
        <v>016</v>
      </c>
      <c r="J8214" s="5" t="str">
        <f t="shared" si="978"/>
        <v>2220</v>
      </c>
      <c r="K8214" s="5" t="str">
        <f t="shared" si="979"/>
        <v>000</v>
      </c>
      <c r="L8214" s="5">
        <f t="shared" si="980"/>
        <v>9</v>
      </c>
      <c r="M8214" s="5">
        <f t="shared" si="981"/>
        <v>2013</v>
      </c>
    </row>
    <row r="8215" spans="1:13" ht="15" x14ac:dyDescent="0.25">
      <c r="A8215" s="1">
        <f>DATE(2013,9,4)</f>
        <v>41521</v>
      </c>
      <c r="B8215" t="s">
        <v>14</v>
      </c>
      <c r="C8215" t="s">
        <v>10</v>
      </c>
      <c r="D8215" s="3">
        <v>61.078500000000005</v>
      </c>
      <c r="E8215" s="3">
        <v>0</v>
      </c>
      <c r="F8215" t="s">
        <v>45</v>
      </c>
      <c r="G8215" s="3">
        <f t="shared" si="975"/>
        <v>-61.078500000000005</v>
      </c>
      <c r="H8215" s="3">
        <f t="shared" si="976"/>
        <v>61.078500000000005</v>
      </c>
      <c r="I8215" s="5" t="str">
        <f t="shared" si="977"/>
        <v>016</v>
      </c>
      <c r="J8215" s="5" t="str">
        <f t="shared" si="978"/>
        <v>2230</v>
      </c>
      <c r="K8215" s="5" t="str">
        <f t="shared" si="979"/>
        <v>000</v>
      </c>
      <c r="L8215" s="5">
        <f t="shared" si="980"/>
        <v>9</v>
      </c>
      <c r="M8215" s="5">
        <f t="shared" si="981"/>
        <v>2013</v>
      </c>
    </row>
    <row r="8216" spans="1:13" ht="15" x14ac:dyDescent="0.25">
      <c r="A8216" s="1">
        <f t="shared" ref="A8216:A8219" si="982">DATE(2013,9,5)</f>
        <v>41522</v>
      </c>
      <c r="B8216" t="s">
        <v>11</v>
      </c>
      <c r="C8216" t="s">
        <v>6</v>
      </c>
      <c r="D8216" s="3">
        <v>3132.2053999999998</v>
      </c>
      <c r="E8216" s="3">
        <v>0</v>
      </c>
      <c r="F8216" t="s">
        <v>45</v>
      </c>
      <c r="G8216" s="3">
        <f t="shared" si="975"/>
        <v>-3132.2053999999998</v>
      </c>
      <c r="H8216" s="3">
        <f t="shared" si="976"/>
        <v>3132.2053999999998</v>
      </c>
      <c r="I8216" s="5" t="str">
        <f t="shared" si="977"/>
        <v>016</v>
      </c>
      <c r="J8216" s="5" t="str">
        <f t="shared" si="978"/>
        <v>2100</v>
      </c>
      <c r="K8216" s="5" t="str">
        <f t="shared" si="979"/>
        <v>000</v>
      </c>
      <c r="L8216" s="5">
        <f t="shared" si="980"/>
        <v>9</v>
      </c>
      <c r="M8216" s="5">
        <f t="shared" si="981"/>
        <v>2013</v>
      </c>
    </row>
    <row r="8217" spans="1:13" ht="15" x14ac:dyDescent="0.25">
      <c r="A8217" s="1">
        <f t="shared" si="982"/>
        <v>41522</v>
      </c>
      <c r="B8217" t="s">
        <v>12</v>
      </c>
      <c r="C8217" t="s">
        <v>8</v>
      </c>
      <c r="D8217" s="3">
        <v>483.01550000000003</v>
      </c>
      <c r="E8217" s="3">
        <v>0</v>
      </c>
      <c r="F8217" t="s">
        <v>45</v>
      </c>
      <c r="G8217" s="3">
        <f t="shared" si="975"/>
        <v>-483.01550000000003</v>
      </c>
      <c r="H8217" s="3">
        <f t="shared" si="976"/>
        <v>483.01550000000003</v>
      </c>
      <c r="I8217" s="5" t="str">
        <f t="shared" si="977"/>
        <v>016</v>
      </c>
      <c r="J8217" s="5" t="str">
        <f t="shared" si="978"/>
        <v>2210</v>
      </c>
      <c r="K8217" s="5" t="str">
        <f t="shared" si="979"/>
        <v>000</v>
      </c>
      <c r="L8217" s="5">
        <f t="shared" si="980"/>
        <v>9</v>
      </c>
      <c r="M8217" s="5">
        <f t="shared" si="981"/>
        <v>2013</v>
      </c>
    </row>
    <row r="8218" spans="1:13" ht="15" x14ac:dyDescent="0.25">
      <c r="A8218" s="1">
        <f t="shared" si="982"/>
        <v>41522</v>
      </c>
      <c r="B8218" t="s">
        <v>13</v>
      </c>
      <c r="C8218" t="s">
        <v>9</v>
      </c>
      <c r="D8218" s="3">
        <v>100.4975</v>
      </c>
      <c r="E8218" s="3">
        <v>0</v>
      </c>
      <c r="F8218" t="s">
        <v>45</v>
      </c>
      <c r="G8218" s="3">
        <f t="shared" si="975"/>
        <v>-100.4975</v>
      </c>
      <c r="H8218" s="3">
        <f t="shared" si="976"/>
        <v>100.4975</v>
      </c>
      <c r="I8218" s="5" t="str">
        <f t="shared" si="977"/>
        <v>016</v>
      </c>
      <c r="J8218" s="5" t="str">
        <f t="shared" si="978"/>
        <v>2220</v>
      </c>
      <c r="K8218" s="5" t="str">
        <f t="shared" si="979"/>
        <v>000</v>
      </c>
      <c r="L8218" s="5">
        <f t="shared" si="980"/>
        <v>9</v>
      </c>
      <c r="M8218" s="5">
        <f t="shared" si="981"/>
        <v>2013</v>
      </c>
    </row>
    <row r="8219" spans="1:13" ht="15" x14ac:dyDescent="0.25">
      <c r="A8219" s="1">
        <f t="shared" si="982"/>
        <v>41522</v>
      </c>
      <c r="B8219" t="s">
        <v>14</v>
      </c>
      <c r="C8219" t="s">
        <v>10</v>
      </c>
      <c r="D8219" s="3">
        <v>33.701999999999998</v>
      </c>
      <c r="E8219" s="3">
        <v>0</v>
      </c>
      <c r="F8219" t="s">
        <v>45</v>
      </c>
      <c r="G8219" s="3">
        <f t="shared" si="975"/>
        <v>-33.701999999999998</v>
      </c>
      <c r="H8219" s="3">
        <f t="shared" si="976"/>
        <v>33.701999999999998</v>
      </c>
      <c r="I8219" s="5" t="str">
        <f t="shared" si="977"/>
        <v>016</v>
      </c>
      <c r="J8219" s="5" t="str">
        <f t="shared" si="978"/>
        <v>2230</v>
      </c>
      <c r="K8219" s="5" t="str">
        <f t="shared" si="979"/>
        <v>000</v>
      </c>
      <c r="L8219" s="5">
        <f t="shared" si="980"/>
        <v>9</v>
      </c>
      <c r="M8219" s="5">
        <f t="shared" si="981"/>
        <v>2013</v>
      </c>
    </row>
    <row r="8220" spans="1:13" ht="15" x14ac:dyDescent="0.25">
      <c r="A8220" s="1">
        <f>DATE(2013,9,6)</f>
        <v>41523</v>
      </c>
      <c r="B8220" t="s">
        <v>11</v>
      </c>
      <c r="C8220" t="s">
        <v>6</v>
      </c>
      <c r="D8220" s="3">
        <v>5649.0433999999996</v>
      </c>
      <c r="E8220" s="3">
        <v>0</v>
      </c>
      <c r="F8220" t="s">
        <v>45</v>
      </c>
      <c r="G8220" s="3">
        <f t="shared" si="975"/>
        <v>-5649.0433999999996</v>
      </c>
      <c r="H8220" s="3">
        <f t="shared" si="976"/>
        <v>5649.0433999999996</v>
      </c>
      <c r="I8220" s="5" t="str">
        <f t="shared" si="977"/>
        <v>016</v>
      </c>
      <c r="J8220" s="5" t="str">
        <f t="shared" si="978"/>
        <v>2100</v>
      </c>
      <c r="K8220" s="5" t="str">
        <f t="shared" si="979"/>
        <v>000</v>
      </c>
      <c r="L8220" s="5">
        <f t="shared" si="980"/>
        <v>9</v>
      </c>
      <c r="M8220" s="5">
        <f t="shared" si="981"/>
        <v>2013</v>
      </c>
    </row>
    <row r="8221" spans="1:13" ht="15" x14ac:dyDescent="0.25">
      <c r="A8221" s="1">
        <f>DATE(2013,9,6)</f>
        <v>41523</v>
      </c>
      <c r="B8221" t="s">
        <v>12</v>
      </c>
      <c r="C8221" t="s">
        <v>8</v>
      </c>
      <c r="D8221" s="3">
        <v>1390.9695999999999</v>
      </c>
      <c r="E8221" s="3">
        <v>0</v>
      </c>
      <c r="F8221" t="s">
        <v>45</v>
      </c>
      <c r="G8221" s="3">
        <f t="shared" si="975"/>
        <v>-1390.9695999999999</v>
      </c>
      <c r="H8221" s="3">
        <f t="shared" si="976"/>
        <v>1390.9695999999999</v>
      </c>
      <c r="I8221" s="5" t="str">
        <f t="shared" si="977"/>
        <v>016</v>
      </c>
      <c r="J8221" s="5" t="str">
        <f t="shared" si="978"/>
        <v>2210</v>
      </c>
      <c r="K8221" s="5" t="str">
        <f t="shared" si="979"/>
        <v>000</v>
      </c>
      <c r="L8221" s="5">
        <f t="shared" si="980"/>
        <v>9</v>
      </c>
      <c r="M8221" s="5">
        <f t="shared" si="981"/>
        <v>2013</v>
      </c>
    </row>
    <row r="8222" spans="1:13" ht="15" x14ac:dyDescent="0.25">
      <c r="A8222" s="1">
        <f>DATE(2013,9,6)</f>
        <v>41523</v>
      </c>
      <c r="B8222" t="s">
        <v>13</v>
      </c>
      <c r="C8222" t="s">
        <v>9</v>
      </c>
      <c r="D8222" s="3">
        <v>341.14659999999998</v>
      </c>
      <c r="E8222" s="3">
        <v>0</v>
      </c>
      <c r="F8222" t="s">
        <v>45</v>
      </c>
      <c r="G8222" s="3">
        <f t="shared" si="975"/>
        <v>-341.14659999999998</v>
      </c>
      <c r="H8222" s="3">
        <f t="shared" si="976"/>
        <v>341.14659999999998</v>
      </c>
      <c r="I8222" s="5" t="str">
        <f t="shared" si="977"/>
        <v>016</v>
      </c>
      <c r="J8222" s="5" t="str">
        <f t="shared" si="978"/>
        <v>2220</v>
      </c>
      <c r="K8222" s="5" t="str">
        <f t="shared" si="979"/>
        <v>000</v>
      </c>
      <c r="L8222" s="5">
        <f t="shared" si="980"/>
        <v>9</v>
      </c>
      <c r="M8222" s="5">
        <f t="shared" si="981"/>
        <v>2013</v>
      </c>
    </row>
    <row r="8223" spans="1:13" ht="15" x14ac:dyDescent="0.25">
      <c r="A8223" s="1">
        <f>DATE(2013,9,6)</f>
        <v>41523</v>
      </c>
      <c r="B8223" t="s">
        <v>14</v>
      </c>
      <c r="C8223" t="s">
        <v>10</v>
      </c>
      <c r="D8223" s="3">
        <v>115.97400000000002</v>
      </c>
      <c r="E8223" s="3">
        <v>0</v>
      </c>
      <c r="F8223" t="s">
        <v>45</v>
      </c>
      <c r="G8223" s="3">
        <f t="shared" si="975"/>
        <v>-115.97400000000002</v>
      </c>
      <c r="H8223" s="3">
        <f t="shared" si="976"/>
        <v>115.97400000000002</v>
      </c>
      <c r="I8223" s="5" t="str">
        <f t="shared" si="977"/>
        <v>016</v>
      </c>
      <c r="J8223" s="5" t="str">
        <f t="shared" si="978"/>
        <v>2230</v>
      </c>
      <c r="K8223" s="5" t="str">
        <f t="shared" si="979"/>
        <v>000</v>
      </c>
      <c r="L8223" s="5">
        <f t="shared" si="980"/>
        <v>9</v>
      </c>
      <c r="M8223" s="5">
        <f t="shared" si="981"/>
        <v>2013</v>
      </c>
    </row>
    <row r="8224" spans="1:13" ht="15" x14ac:dyDescent="0.25">
      <c r="A8224" s="1">
        <f>DATE(2013,9,7)</f>
        <v>41524</v>
      </c>
      <c r="B8224" t="s">
        <v>11</v>
      </c>
      <c r="C8224" t="s">
        <v>6</v>
      </c>
      <c r="D8224" s="3">
        <v>6109.5293999999994</v>
      </c>
      <c r="E8224" s="3">
        <v>0</v>
      </c>
      <c r="F8224" t="s">
        <v>45</v>
      </c>
      <c r="G8224" s="3">
        <f t="shared" si="975"/>
        <v>-6109.5293999999994</v>
      </c>
      <c r="H8224" s="3">
        <f t="shared" si="976"/>
        <v>6109.5293999999994</v>
      </c>
      <c r="I8224" s="5" t="str">
        <f t="shared" si="977"/>
        <v>016</v>
      </c>
      <c r="J8224" s="5" t="str">
        <f t="shared" si="978"/>
        <v>2100</v>
      </c>
      <c r="K8224" s="5" t="str">
        <f t="shared" si="979"/>
        <v>000</v>
      </c>
      <c r="L8224" s="5">
        <f t="shared" si="980"/>
        <v>9</v>
      </c>
      <c r="M8224" s="5">
        <f t="shared" si="981"/>
        <v>2013</v>
      </c>
    </row>
    <row r="8225" spans="1:13" ht="15" x14ac:dyDescent="0.25">
      <c r="A8225" s="1">
        <f>DATE(2013,9,7)</f>
        <v>41524</v>
      </c>
      <c r="B8225" t="s">
        <v>12</v>
      </c>
      <c r="C8225" t="s">
        <v>8</v>
      </c>
      <c r="D8225" s="3">
        <v>1537.0391999999999</v>
      </c>
      <c r="E8225" s="3">
        <v>0</v>
      </c>
      <c r="F8225" t="s">
        <v>45</v>
      </c>
      <c r="G8225" s="3">
        <f t="shared" si="975"/>
        <v>-1537.0391999999999</v>
      </c>
      <c r="H8225" s="3">
        <f t="shared" si="976"/>
        <v>1537.0391999999999</v>
      </c>
      <c r="I8225" s="5" t="str">
        <f t="shared" si="977"/>
        <v>016</v>
      </c>
      <c r="J8225" s="5" t="str">
        <f t="shared" si="978"/>
        <v>2210</v>
      </c>
      <c r="K8225" s="5" t="str">
        <f t="shared" si="979"/>
        <v>000</v>
      </c>
      <c r="L8225" s="5">
        <f t="shared" si="980"/>
        <v>9</v>
      </c>
      <c r="M8225" s="5">
        <f t="shared" si="981"/>
        <v>2013</v>
      </c>
    </row>
    <row r="8226" spans="1:13" ht="15" x14ac:dyDescent="0.25">
      <c r="A8226" s="1">
        <f>DATE(2013,9,7)</f>
        <v>41524</v>
      </c>
      <c r="B8226" t="s">
        <v>13</v>
      </c>
      <c r="C8226" t="s">
        <v>9</v>
      </c>
      <c r="D8226" s="3">
        <v>318.52170000000001</v>
      </c>
      <c r="E8226" s="3">
        <v>0</v>
      </c>
      <c r="F8226" t="s">
        <v>45</v>
      </c>
      <c r="G8226" s="3">
        <f t="shared" si="975"/>
        <v>-318.52170000000001</v>
      </c>
      <c r="H8226" s="3">
        <f t="shared" si="976"/>
        <v>318.52170000000001</v>
      </c>
      <c r="I8226" s="5" t="str">
        <f t="shared" si="977"/>
        <v>016</v>
      </c>
      <c r="J8226" s="5" t="str">
        <f t="shared" si="978"/>
        <v>2220</v>
      </c>
      <c r="K8226" s="5" t="str">
        <f t="shared" si="979"/>
        <v>000</v>
      </c>
      <c r="L8226" s="5">
        <f t="shared" si="980"/>
        <v>9</v>
      </c>
      <c r="M8226" s="5">
        <f t="shared" si="981"/>
        <v>2013</v>
      </c>
    </row>
    <row r="8227" spans="1:13" ht="15" x14ac:dyDescent="0.25">
      <c r="A8227" s="1">
        <f>DATE(2013,9,7)</f>
        <v>41524</v>
      </c>
      <c r="B8227" t="s">
        <v>14</v>
      </c>
      <c r="C8227" t="s">
        <v>10</v>
      </c>
      <c r="D8227" s="3">
        <v>72.428399999999996</v>
      </c>
      <c r="E8227" s="3">
        <v>0</v>
      </c>
      <c r="F8227" t="s">
        <v>45</v>
      </c>
      <c r="G8227" s="3">
        <f t="shared" si="975"/>
        <v>-72.428399999999996</v>
      </c>
      <c r="H8227" s="3">
        <f t="shared" si="976"/>
        <v>72.428399999999996</v>
      </c>
      <c r="I8227" s="5" t="str">
        <f t="shared" si="977"/>
        <v>016</v>
      </c>
      <c r="J8227" s="5" t="str">
        <f t="shared" si="978"/>
        <v>2230</v>
      </c>
      <c r="K8227" s="5" t="str">
        <f t="shared" si="979"/>
        <v>000</v>
      </c>
      <c r="L8227" s="5">
        <f t="shared" si="980"/>
        <v>9</v>
      </c>
      <c r="M8227" s="5">
        <f t="shared" si="981"/>
        <v>2013</v>
      </c>
    </row>
    <row r="8228" spans="1:13" ht="15" x14ac:dyDescent="0.25">
      <c r="A8228" s="1">
        <f>DATE(2013,9,8)</f>
        <v>41525</v>
      </c>
      <c r="B8228" t="s">
        <v>11</v>
      </c>
      <c r="C8228" t="s">
        <v>6</v>
      </c>
      <c r="D8228" s="3">
        <v>3342.7058000000002</v>
      </c>
      <c r="E8228" s="3">
        <v>0</v>
      </c>
      <c r="F8228" t="s">
        <v>45</v>
      </c>
      <c r="G8228" s="3">
        <f t="shared" si="975"/>
        <v>-3342.7058000000002</v>
      </c>
      <c r="H8228" s="3">
        <f t="shared" si="976"/>
        <v>3342.7058000000002</v>
      </c>
      <c r="I8228" s="5" t="str">
        <f t="shared" si="977"/>
        <v>016</v>
      </c>
      <c r="J8228" s="5" t="str">
        <f t="shared" si="978"/>
        <v>2100</v>
      </c>
      <c r="K8228" s="5" t="str">
        <f t="shared" si="979"/>
        <v>000</v>
      </c>
      <c r="L8228" s="5">
        <f t="shared" si="980"/>
        <v>9</v>
      </c>
      <c r="M8228" s="5">
        <f t="shared" si="981"/>
        <v>2013</v>
      </c>
    </row>
    <row r="8229" spans="1:13" ht="15" x14ac:dyDescent="0.25">
      <c r="A8229" s="1">
        <f>DATE(2013,9,8)</f>
        <v>41525</v>
      </c>
      <c r="B8229" t="s">
        <v>12</v>
      </c>
      <c r="C8229" t="s">
        <v>8</v>
      </c>
      <c r="D8229" s="3">
        <v>541.35329999999999</v>
      </c>
      <c r="E8229" s="3">
        <v>0</v>
      </c>
      <c r="F8229" t="s">
        <v>45</v>
      </c>
      <c r="G8229" s="3">
        <f t="shared" si="975"/>
        <v>-541.35329999999999</v>
      </c>
      <c r="H8229" s="3">
        <f t="shared" si="976"/>
        <v>541.35329999999999</v>
      </c>
      <c r="I8229" s="5" t="str">
        <f t="shared" si="977"/>
        <v>016</v>
      </c>
      <c r="J8229" s="5" t="str">
        <f t="shared" si="978"/>
        <v>2210</v>
      </c>
      <c r="K8229" s="5" t="str">
        <f t="shared" si="979"/>
        <v>000</v>
      </c>
      <c r="L8229" s="5">
        <f t="shared" si="980"/>
        <v>9</v>
      </c>
      <c r="M8229" s="5">
        <f t="shared" si="981"/>
        <v>2013</v>
      </c>
    </row>
    <row r="8230" spans="1:13" ht="15" x14ac:dyDescent="0.25">
      <c r="A8230" s="1">
        <f>DATE(2013,9,8)</f>
        <v>41525</v>
      </c>
      <c r="B8230" t="s">
        <v>13</v>
      </c>
      <c r="C8230" t="s">
        <v>9</v>
      </c>
      <c r="D8230" s="3">
        <v>83.003799999999998</v>
      </c>
      <c r="E8230" s="3">
        <v>0</v>
      </c>
      <c r="F8230" t="s">
        <v>45</v>
      </c>
      <c r="G8230" s="3">
        <f t="shared" si="975"/>
        <v>-83.003799999999998</v>
      </c>
      <c r="H8230" s="3">
        <f t="shared" si="976"/>
        <v>83.003799999999998</v>
      </c>
      <c r="I8230" s="5" t="str">
        <f t="shared" si="977"/>
        <v>016</v>
      </c>
      <c r="J8230" s="5" t="str">
        <f t="shared" si="978"/>
        <v>2220</v>
      </c>
      <c r="K8230" s="5" t="str">
        <f t="shared" si="979"/>
        <v>000</v>
      </c>
      <c r="L8230" s="5">
        <f t="shared" si="980"/>
        <v>9</v>
      </c>
      <c r="M8230" s="5">
        <f t="shared" si="981"/>
        <v>2013</v>
      </c>
    </row>
    <row r="8231" spans="1:13" ht="15" x14ac:dyDescent="0.25">
      <c r="A8231" s="1">
        <f>DATE(2013,9,8)</f>
        <v>41525</v>
      </c>
      <c r="B8231" t="s">
        <v>14</v>
      </c>
      <c r="C8231" t="s">
        <v>10</v>
      </c>
      <c r="D8231" s="3">
        <v>12.1713</v>
      </c>
      <c r="E8231" s="3">
        <v>0</v>
      </c>
      <c r="F8231" t="s">
        <v>45</v>
      </c>
      <c r="G8231" s="3">
        <f t="shared" si="975"/>
        <v>-12.1713</v>
      </c>
      <c r="H8231" s="3">
        <f t="shared" si="976"/>
        <v>12.1713</v>
      </c>
      <c r="I8231" s="5" t="str">
        <f t="shared" si="977"/>
        <v>016</v>
      </c>
      <c r="J8231" s="5" t="str">
        <f t="shared" si="978"/>
        <v>2230</v>
      </c>
      <c r="K8231" s="5" t="str">
        <f t="shared" si="979"/>
        <v>000</v>
      </c>
      <c r="L8231" s="5">
        <f t="shared" si="980"/>
        <v>9</v>
      </c>
      <c r="M8231" s="5">
        <f t="shared" si="981"/>
        <v>2013</v>
      </c>
    </row>
    <row r="8232" spans="1:13" ht="15" x14ac:dyDescent="0.25">
      <c r="A8232" s="1">
        <f>DATE(2013,9,2)</f>
        <v>41519</v>
      </c>
      <c r="B8232" t="s">
        <v>15</v>
      </c>
      <c r="C8232" t="s">
        <v>6</v>
      </c>
      <c r="D8232" s="3">
        <v>3680.5244000000002</v>
      </c>
      <c r="E8232" s="3">
        <v>0</v>
      </c>
      <c r="F8232" t="s">
        <v>45</v>
      </c>
      <c r="G8232" s="3">
        <f t="shared" si="975"/>
        <v>-3680.5244000000002</v>
      </c>
      <c r="H8232" s="3">
        <f t="shared" si="976"/>
        <v>3680.5244000000002</v>
      </c>
      <c r="I8232" s="5" t="str">
        <f t="shared" si="977"/>
        <v>017</v>
      </c>
      <c r="J8232" s="5" t="str">
        <f t="shared" si="978"/>
        <v>2100</v>
      </c>
      <c r="K8232" s="5" t="str">
        <f t="shared" si="979"/>
        <v>000</v>
      </c>
      <c r="L8232" s="5">
        <f t="shared" si="980"/>
        <v>9</v>
      </c>
      <c r="M8232" s="5">
        <f t="shared" si="981"/>
        <v>2013</v>
      </c>
    </row>
    <row r="8233" spans="1:13" ht="15" x14ac:dyDescent="0.25">
      <c r="A8233" s="1">
        <f>DATE(2013,9,2)</f>
        <v>41519</v>
      </c>
      <c r="B8233" t="s">
        <v>16</v>
      </c>
      <c r="C8233" t="s">
        <v>8</v>
      </c>
      <c r="D8233" s="3">
        <v>849.77639999999985</v>
      </c>
      <c r="E8233" s="3">
        <v>0</v>
      </c>
      <c r="F8233" t="s">
        <v>45</v>
      </c>
      <c r="G8233" s="3">
        <f t="shared" si="975"/>
        <v>-849.77639999999985</v>
      </c>
      <c r="H8233" s="3">
        <f t="shared" si="976"/>
        <v>849.77639999999985</v>
      </c>
      <c r="I8233" s="5" t="str">
        <f t="shared" si="977"/>
        <v>017</v>
      </c>
      <c r="J8233" s="5" t="str">
        <f t="shared" si="978"/>
        <v>2210</v>
      </c>
      <c r="K8233" s="5" t="str">
        <f t="shared" si="979"/>
        <v>000</v>
      </c>
      <c r="L8233" s="5">
        <f t="shared" si="980"/>
        <v>9</v>
      </c>
      <c r="M8233" s="5">
        <f t="shared" si="981"/>
        <v>2013</v>
      </c>
    </row>
    <row r="8234" spans="1:13" ht="15" x14ac:dyDescent="0.25">
      <c r="A8234" s="1">
        <f>DATE(2013,9,2)</f>
        <v>41519</v>
      </c>
      <c r="B8234" t="s">
        <v>17</v>
      </c>
      <c r="C8234" t="s">
        <v>9</v>
      </c>
      <c r="D8234" s="3">
        <v>122.56469999999999</v>
      </c>
      <c r="E8234" s="3">
        <v>0</v>
      </c>
      <c r="F8234" t="s">
        <v>45</v>
      </c>
      <c r="G8234" s="3">
        <f t="shared" si="975"/>
        <v>-122.56469999999999</v>
      </c>
      <c r="H8234" s="3">
        <f t="shared" si="976"/>
        <v>122.56469999999999</v>
      </c>
      <c r="I8234" s="5" t="str">
        <f t="shared" si="977"/>
        <v>017</v>
      </c>
      <c r="J8234" s="5" t="str">
        <f t="shared" si="978"/>
        <v>2220</v>
      </c>
      <c r="K8234" s="5" t="str">
        <f t="shared" si="979"/>
        <v>000</v>
      </c>
      <c r="L8234" s="5">
        <f t="shared" si="980"/>
        <v>9</v>
      </c>
      <c r="M8234" s="5">
        <f t="shared" si="981"/>
        <v>2013</v>
      </c>
    </row>
    <row r="8235" spans="1:13" ht="15" x14ac:dyDescent="0.25">
      <c r="A8235" s="1">
        <f>DATE(2013,9,2)</f>
        <v>41519</v>
      </c>
      <c r="B8235" t="s">
        <v>18</v>
      </c>
      <c r="C8235" t="s">
        <v>10</v>
      </c>
      <c r="D8235" s="3">
        <v>75.262199999999993</v>
      </c>
      <c r="E8235" s="3">
        <v>0</v>
      </c>
      <c r="F8235" t="s">
        <v>45</v>
      </c>
      <c r="G8235" s="3">
        <f t="shared" si="975"/>
        <v>-75.262199999999993</v>
      </c>
      <c r="H8235" s="3">
        <f t="shared" si="976"/>
        <v>75.262199999999993</v>
      </c>
      <c r="I8235" s="5" t="str">
        <f t="shared" si="977"/>
        <v>017</v>
      </c>
      <c r="J8235" s="5" t="str">
        <f t="shared" si="978"/>
        <v>2230</v>
      </c>
      <c r="K8235" s="5" t="str">
        <f t="shared" si="979"/>
        <v>000</v>
      </c>
      <c r="L8235" s="5">
        <f t="shared" si="980"/>
        <v>9</v>
      </c>
      <c r="M8235" s="5">
        <f t="shared" si="981"/>
        <v>2013</v>
      </c>
    </row>
    <row r="8236" spans="1:13" ht="15" x14ac:dyDescent="0.25">
      <c r="A8236" s="1">
        <f>DATE(2013,9,3)</f>
        <v>41520</v>
      </c>
      <c r="B8236" t="s">
        <v>15</v>
      </c>
      <c r="C8236" t="s">
        <v>6</v>
      </c>
      <c r="D8236" s="3">
        <v>4382.3924000000006</v>
      </c>
      <c r="E8236" s="3">
        <v>0</v>
      </c>
      <c r="F8236" t="s">
        <v>45</v>
      </c>
      <c r="G8236" s="3">
        <f t="shared" si="975"/>
        <v>-4382.3924000000006</v>
      </c>
      <c r="H8236" s="3">
        <f t="shared" si="976"/>
        <v>4382.3924000000006</v>
      </c>
      <c r="I8236" s="5" t="str">
        <f t="shared" si="977"/>
        <v>017</v>
      </c>
      <c r="J8236" s="5" t="str">
        <f t="shared" si="978"/>
        <v>2100</v>
      </c>
      <c r="K8236" s="5" t="str">
        <f t="shared" si="979"/>
        <v>000</v>
      </c>
      <c r="L8236" s="5">
        <f t="shared" si="980"/>
        <v>9</v>
      </c>
      <c r="M8236" s="5">
        <f t="shared" si="981"/>
        <v>2013</v>
      </c>
    </row>
    <row r="8237" spans="1:13" ht="15" x14ac:dyDescent="0.25">
      <c r="A8237" s="1">
        <f>DATE(2013,9,3)</f>
        <v>41520</v>
      </c>
      <c r="B8237" t="s">
        <v>16</v>
      </c>
      <c r="C8237" t="s">
        <v>8</v>
      </c>
      <c r="D8237" s="3">
        <v>901.88559999999995</v>
      </c>
      <c r="E8237" s="3">
        <v>0</v>
      </c>
      <c r="F8237" t="s">
        <v>45</v>
      </c>
      <c r="G8237" s="3">
        <f t="shared" si="975"/>
        <v>-901.88559999999995</v>
      </c>
      <c r="H8237" s="3">
        <f t="shared" si="976"/>
        <v>901.88559999999995</v>
      </c>
      <c r="I8237" s="5" t="str">
        <f t="shared" si="977"/>
        <v>017</v>
      </c>
      <c r="J8237" s="5" t="str">
        <f t="shared" si="978"/>
        <v>2210</v>
      </c>
      <c r="K8237" s="5" t="str">
        <f t="shared" si="979"/>
        <v>000</v>
      </c>
      <c r="L8237" s="5">
        <f t="shared" si="980"/>
        <v>9</v>
      </c>
      <c r="M8237" s="5">
        <f t="shared" si="981"/>
        <v>2013</v>
      </c>
    </row>
    <row r="8238" spans="1:13" ht="15" x14ac:dyDescent="0.25">
      <c r="A8238" s="1">
        <f>DATE(2013,9,3)</f>
        <v>41520</v>
      </c>
      <c r="B8238" t="s">
        <v>17</v>
      </c>
      <c r="C8238" t="s">
        <v>9</v>
      </c>
      <c r="D8238" s="3">
        <v>238.11060000000003</v>
      </c>
      <c r="E8238" s="3">
        <v>0</v>
      </c>
      <c r="F8238" t="s">
        <v>45</v>
      </c>
      <c r="G8238" s="3">
        <f t="shared" si="975"/>
        <v>-238.11060000000003</v>
      </c>
      <c r="H8238" s="3">
        <f t="shared" si="976"/>
        <v>238.11060000000003</v>
      </c>
      <c r="I8238" s="5" t="str">
        <f t="shared" si="977"/>
        <v>017</v>
      </c>
      <c r="J8238" s="5" t="str">
        <f t="shared" si="978"/>
        <v>2220</v>
      </c>
      <c r="K8238" s="5" t="str">
        <f t="shared" si="979"/>
        <v>000</v>
      </c>
      <c r="L8238" s="5">
        <f t="shared" si="980"/>
        <v>9</v>
      </c>
      <c r="M8238" s="5">
        <f t="shared" si="981"/>
        <v>2013</v>
      </c>
    </row>
    <row r="8239" spans="1:13" ht="15" x14ac:dyDescent="0.25">
      <c r="A8239" s="1">
        <f>DATE(2013,9,3)</f>
        <v>41520</v>
      </c>
      <c r="B8239" t="s">
        <v>18</v>
      </c>
      <c r="C8239" t="s">
        <v>10</v>
      </c>
      <c r="D8239" s="3">
        <v>48.635599999999997</v>
      </c>
      <c r="E8239" s="3">
        <v>0</v>
      </c>
      <c r="F8239" t="s">
        <v>45</v>
      </c>
      <c r="G8239" s="3">
        <f t="shared" si="975"/>
        <v>-48.635599999999997</v>
      </c>
      <c r="H8239" s="3">
        <f t="shared" si="976"/>
        <v>48.635599999999997</v>
      </c>
      <c r="I8239" s="5" t="str">
        <f t="shared" si="977"/>
        <v>017</v>
      </c>
      <c r="J8239" s="5" t="str">
        <f t="shared" si="978"/>
        <v>2230</v>
      </c>
      <c r="K8239" s="5" t="str">
        <f t="shared" si="979"/>
        <v>000</v>
      </c>
      <c r="L8239" s="5">
        <f t="shared" si="980"/>
        <v>9</v>
      </c>
      <c r="M8239" s="5">
        <f t="shared" si="981"/>
        <v>2013</v>
      </c>
    </row>
    <row r="8240" spans="1:13" ht="15" x14ac:dyDescent="0.25">
      <c r="A8240" s="1">
        <f>DATE(2013,9,4)</f>
        <v>41521</v>
      </c>
      <c r="B8240" t="s">
        <v>15</v>
      </c>
      <c r="C8240" t="s">
        <v>6</v>
      </c>
      <c r="D8240" s="3">
        <v>4374.1457999999993</v>
      </c>
      <c r="E8240" s="3">
        <v>0</v>
      </c>
      <c r="F8240" t="s">
        <v>45</v>
      </c>
      <c r="G8240" s="3">
        <f t="shared" si="975"/>
        <v>-4374.1457999999993</v>
      </c>
      <c r="H8240" s="3">
        <f t="shared" si="976"/>
        <v>4374.1457999999993</v>
      </c>
      <c r="I8240" s="5" t="str">
        <f t="shared" si="977"/>
        <v>017</v>
      </c>
      <c r="J8240" s="5" t="str">
        <f t="shared" si="978"/>
        <v>2100</v>
      </c>
      <c r="K8240" s="5" t="str">
        <f t="shared" si="979"/>
        <v>000</v>
      </c>
      <c r="L8240" s="5">
        <f t="shared" si="980"/>
        <v>9</v>
      </c>
      <c r="M8240" s="5">
        <f t="shared" si="981"/>
        <v>2013</v>
      </c>
    </row>
    <row r="8241" spans="1:13" ht="15" x14ac:dyDescent="0.25">
      <c r="A8241" s="1">
        <f>DATE(2013,9,4)</f>
        <v>41521</v>
      </c>
      <c r="B8241" t="s">
        <v>16</v>
      </c>
      <c r="C8241" t="s">
        <v>8</v>
      </c>
      <c r="D8241" s="3">
        <v>1765.6232</v>
      </c>
      <c r="E8241" s="3">
        <v>0</v>
      </c>
      <c r="F8241" t="s">
        <v>45</v>
      </c>
      <c r="G8241" s="3">
        <f t="shared" si="975"/>
        <v>-1765.6232</v>
      </c>
      <c r="H8241" s="3">
        <f t="shared" si="976"/>
        <v>1765.6232</v>
      </c>
      <c r="I8241" s="5" t="str">
        <f t="shared" si="977"/>
        <v>017</v>
      </c>
      <c r="J8241" s="5" t="str">
        <f t="shared" si="978"/>
        <v>2210</v>
      </c>
      <c r="K8241" s="5" t="str">
        <f t="shared" si="979"/>
        <v>000</v>
      </c>
      <c r="L8241" s="5">
        <f t="shared" si="980"/>
        <v>9</v>
      </c>
      <c r="M8241" s="5">
        <f t="shared" si="981"/>
        <v>2013</v>
      </c>
    </row>
    <row r="8242" spans="1:13" ht="15" x14ac:dyDescent="0.25">
      <c r="A8242" s="1">
        <f>DATE(2013,9,4)</f>
        <v>41521</v>
      </c>
      <c r="B8242" t="s">
        <v>17</v>
      </c>
      <c r="C8242" t="s">
        <v>9</v>
      </c>
      <c r="D8242" s="3">
        <v>377.78879999999998</v>
      </c>
      <c r="E8242" s="3">
        <v>0</v>
      </c>
      <c r="F8242" t="s">
        <v>45</v>
      </c>
      <c r="G8242" s="3">
        <f t="shared" si="975"/>
        <v>-377.78879999999998</v>
      </c>
      <c r="H8242" s="3">
        <f t="shared" si="976"/>
        <v>377.78879999999998</v>
      </c>
      <c r="I8242" s="5" t="str">
        <f t="shared" si="977"/>
        <v>017</v>
      </c>
      <c r="J8242" s="5" t="str">
        <f t="shared" si="978"/>
        <v>2220</v>
      </c>
      <c r="K8242" s="5" t="str">
        <f t="shared" si="979"/>
        <v>000</v>
      </c>
      <c r="L8242" s="5">
        <f t="shared" si="980"/>
        <v>9</v>
      </c>
      <c r="M8242" s="5">
        <f t="shared" si="981"/>
        <v>2013</v>
      </c>
    </row>
    <row r="8243" spans="1:13" ht="15" x14ac:dyDescent="0.25">
      <c r="A8243" s="1">
        <f>DATE(2013,9,4)</f>
        <v>41521</v>
      </c>
      <c r="B8243" t="s">
        <v>18</v>
      </c>
      <c r="C8243" t="s">
        <v>10</v>
      </c>
      <c r="D8243" s="3">
        <v>41.6556</v>
      </c>
      <c r="E8243" s="3">
        <v>0</v>
      </c>
      <c r="F8243" t="s">
        <v>45</v>
      </c>
      <c r="G8243" s="3">
        <f t="shared" si="975"/>
        <v>-41.6556</v>
      </c>
      <c r="H8243" s="3">
        <f t="shared" si="976"/>
        <v>41.6556</v>
      </c>
      <c r="I8243" s="5" t="str">
        <f t="shared" si="977"/>
        <v>017</v>
      </c>
      <c r="J8243" s="5" t="str">
        <f t="shared" si="978"/>
        <v>2230</v>
      </c>
      <c r="K8243" s="5" t="str">
        <f t="shared" si="979"/>
        <v>000</v>
      </c>
      <c r="L8243" s="5">
        <f t="shared" si="980"/>
        <v>9</v>
      </c>
      <c r="M8243" s="5">
        <f t="shared" si="981"/>
        <v>2013</v>
      </c>
    </row>
    <row r="8244" spans="1:13" ht="15" x14ac:dyDescent="0.25">
      <c r="A8244" s="1">
        <f>DATE(2013,9,5)</f>
        <v>41522</v>
      </c>
      <c r="B8244" t="s">
        <v>15</v>
      </c>
      <c r="C8244" t="s">
        <v>6</v>
      </c>
      <c r="D8244" s="3">
        <v>3222.4080000000004</v>
      </c>
      <c r="E8244" s="3">
        <v>0</v>
      </c>
      <c r="F8244" t="s">
        <v>45</v>
      </c>
      <c r="G8244" s="3">
        <f t="shared" si="975"/>
        <v>-3222.4080000000004</v>
      </c>
      <c r="H8244" s="3">
        <f t="shared" si="976"/>
        <v>3222.4080000000004</v>
      </c>
      <c r="I8244" s="5" t="str">
        <f t="shared" si="977"/>
        <v>017</v>
      </c>
      <c r="J8244" s="5" t="str">
        <f t="shared" si="978"/>
        <v>2100</v>
      </c>
      <c r="K8244" s="5" t="str">
        <f t="shared" si="979"/>
        <v>000</v>
      </c>
      <c r="L8244" s="5">
        <f t="shared" si="980"/>
        <v>9</v>
      </c>
      <c r="M8244" s="5">
        <f t="shared" si="981"/>
        <v>2013</v>
      </c>
    </row>
    <row r="8245" spans="1:13" ht="15" x14ac:dyDescent="0.25">
      <c r="A8245" s="1">
        <f>DATE(2013,9,5)</f>
        <v>41522</v>
      </c>
      <c r="B8245" t="s">
        <v>16</v>
      </c>
      <c r="C8245" t="s">
        <v>8</v>
      </c>
      <c r="D8245" s="3">
        <v>2093.9067000000005</v>
      </c>
      <c r="E8245" s="3">
        <v>0</v>
      </c>
      <c r="F8245" t="s">
        <v>45</v>
      </c>
      <c r="G8245" s="3">
        <f t="shared" si="975"/>
        <v>-2093.9067000000005</v>
      </c>
      <c r="H8245" s="3">
        <f t="shared" si="976"/>
        <v>2093.9067000000005</v>
      </c>
      <c r="I8245" s="5" t="str">
        <f t="shared" si="977"/>
        <v>017</v>
      </c>
      <c r="J8245" s="5" t="str">
        <f t="shared" si="978"/>
        <v>2210</v>
      </c>
      <c r="K8245" s="5" t="str">
        <f t="shared" si="979"/>
        <v>000</v>
      </c>
      <c r="L8245" s="5">
        <f t="shared" si="980"/>
        <v>9</v>
      </c>
      <c r="M8245" s="5">
        <f t="shared" si="981"/>
        <v>2013</v>
      </c>
    </row>
    <row r="8246" spans="1:13" ht="15" x14ac:dyDescent="0.25">
      <c r="A8246" s="1">
        <f>DATE(2013,9,5)</f>
        <v>41522</v>
      </c>
      <c r="B8246" t="s">
        <v>17</v>
      </c>
      <c r="C8246" t="s">
        <v>9</v>
      </c>
      <c r="D8246" s="3">
        <v>373.06400000000002</v>
      </c>
      <c r="E8246" s="3">
        <v>0</v>
      </c>
      <c r="F8246" t="s">
        <v>45</v>
      </c>
      <c r="G8246" s="3">
        <f t="shared" si="975"/>
        <v>-373.06400000000002</v>
      </c>
      <c r="H8246" s="3">
        <f t="shared" si="976"/>
        <v>373.06400000000002</v>
      </c>
      <c r="I8246" s="5" t="str">
        <f t="shared" si="977"/>
        <v>017</v>
      </c>
      <c r="J8246" s="5" t="str">
        <f t="shared" si="978"/>
        <v>2220</v>
      </c>
      <c r="K8246" s="5" t="str">
        <f t="shared" si="979"/>
        <v>000</v>
      </c>
      <c r="L8246" s="5">
        <f t="shared" si="980"/>
        <v>9</v>
      </c>
      <c r="M8246" s="5">
        <f t="shared" si="981"/>
        <v>2013</v>
      </c>
    </row>
    <row r="8247" spans="1:13" ht="15" x14ac:dyDescent="0.25">
      <c r="A8247" s="1">
        <f>DATE(2013,9,5)</f>
        <v>41522</v>
      </c>
      <c r="B8247" t="s">
        <v>18</v>
      </c>
      <c r="C8247" t="s">
        <v>10</v>
      </c>
      <c r="D8247" s="3">
        <v>155.25909999999999</v>
      </c>
      <c r="E8247" s="3">
        <v>0</v>
      </c>
      <c r="F8247" t="s">
        <v>45</v>
      </c>
      <c r="G8247" s="3">
        <f t="shared" si="975"/>
        <v>-155.25909999999999</v>
      </c>
      <c r="H8247" s="3">
        <f t="shared" si="976"/>
        <v>155.25909999999999</v>
      </c>
      <c r="I8247" s="5" t="str">
        <f t="shared" si="977"/>
        <v>017</v>
      </c>
      <c r="J8247" s="5" t="str">
        <f t="shared" si="978"/>
        <v>2230</v>
      </c>
      <c r="K8247" s="5" t="str">
        <f t="shared" si="979"/>
        <v>000</v>
      </c>
      <c r="L8247" s="5">
        <f t="shared" si="980"/>
        <v>9</v>
      </c>
      <c r="M8247" s="5">
        <f t="shared" si="981"/>
        <v>2013</v>
      </c>
    </row>
    <row r="8248" spans="1:13" ht="15" x14ac:dyDescent="0.25">
      <c r="A8248" s="1">
        <f>DATE(2013,9,6)</f>
        <v>41523</v>
      </c>
      <c r="B8248" t="s">
        <v>15</v>
      </c>
      <c r="C8248" t="s">
        <v>6</v>
      </c>
      <c r="D8248" s="3">
        <v>8323.7759999999998</v>
      </c>
      <c r="E8248" s="3">
        <v>0</v>
      </c>
      <c r="F8248" t="s">
        <v>45</v>
      </c>
      <c r="G8248" s="3">
        <f t="shared" si="975"/>
        <v>-8323.7759999999998</v>
      </c>
      <c r="H8248" s="3">
        <f t="shared" si="976"/>
        <v>8323.7759999999998</v>
      </c>
      <c r="I8248" s="5" t="str">
        <f t="shared" si="977"/>
        <v>017</v>
      </c>
      <c r="J8248" s="5" t="str">
        <f t="shared" si="978"/>
        <v>2100</v>
      </c>
      <c r="K8248" s="5" t="str">
        <f t="shared" si="979"/>
        <v>000</v>
      </c>
      <c r="L8248" s="5">
        <f t="shared" si="980"/>
        <v>9</v>
      </c>
      <c r="M8248" s="5">
        <f t="shared" si="981"/>
        <v>2013</v>
      </c>
    </row>
    <row r="8249" spans="1:13" ht="15" x14ac:dyDescent="0.25">
      <c r="A8249" s="1">
        <f>DATE(2013,9,6)</f>
        <v>41523</v>
      </c>
      <c r="B8249" t="s">
        <v>16</v>
      </c>
      <c r="C8249" t="s">
        <v>8</v>
      </c>
      <c r="D8249" s="3">
        <v>1883.193</v>
      </c>
      <c r="E8249" s="3">
        <v>0</v>
      </c>
      <c r="F8249" t="s">
        <v>45</v>
      </c>
      <c r="G8249" s="3">
        <f t="shared" si="975"/>
        <v>-1883.193</v>
      </c>
      <c r="H8249" s="3">
        <f t="shared" si="976"/>
        <v>1883.193</v>
      </c>
      <c r="I8249" s="5" t="str">
        <f t="shared" si="977"/>
        <v>017</v>
      </c>
      <c r="J8249" s="5" t="str">
        <f t="shared" si="978"/>
        <v>2210</v>
      </c>
      <c r="K8249" s="5" t="str">
        <f t="shared" si="979"/>
        <v>000</v>
      </c>
      <c r="L8249" s="5">
        <f t="shared" si="980"/>
        <v>9</v>
      </c>
      <c r="M8249" s="5">
        <f t="shared" si="981"/>
        <v>2013</v>
      </c>
    </row>
    <row r="8250" spans="1:13" ht="15" x14ac:dyDescent="0.25">
      <c r="A8250" s="1">
        <f>DATE(2013,9,6)</f>
        <v>41523</v>
      </c>
      <c r="B8250" t="s">
        <v>17</v>
      </c>
      <c r="C8250" t="s">
        <v>9</v>
      </c>
      <c r="D8250" s="3">
        <v>317.89170000000001</v>
      </c>
      <c r="E8250" s="3">
        <v>0</v>
      </c>
      <c r="F8250" t="s">
        <v>45</v>
      </c>
      <c r="G8250" s="3">
        <f t="shared" si="975"/>
        <v>-317.89170000000001</v>
      </c>
      <c r="H8250" s="3">
        <f t="shared" si="976"/>
        <v>317.89170000000001</v>
      </c>
      <c r="I8250" s="5" t="str">
        <f t="shared" si="977"/>
        <v>017</v>
      </c>
      <c r="J8250" s="5" t="str">
        <f t="shared" si="978"/>
        <v>2220</v>
      </c>
      <c r="K8250" s="5" t="str">
        <f t="shared" si="979"/>
        <v>000</v>
      </c>
      <c r="L8250" s="5">
        <f t="shared" si="980"/>
        <v>9</v>
      </c>
      <c r="M8250" s="5">
        <f t="shared" si="981"/>
        <v>2013</v>
      </c>
    </row>
    <row r="8251" spans="1:13" ht="15" x14ac:dyDescent="0.25">
      <c r="A8251" s="1">
        <f>DATE(2013,9,6)</f>
        <v>41523</v>
      </c>
      <c r="B8251" t="s">
        <v>18</v>
      </c>
      <c r="C8251" t="s">
        <v>10</v>
      </c>
      <c r="D8251" s="3">
        <v>92.916000000000011</v>
      </c>
      <c r="E8251" s="3">
        <v>0</v>
      </c>
      <c r="F8251" t="s">
        <v>45</v>
      </c>
      <c r="G8251" s="3">
        <f t="shared" si="975"/>
        <v>-92.916000000000011</v>
      </c>
      <c r="H8251" s="3">
        <f t="shared" si="976"/>
        <v>92.916000000000011</v>
      </c>
      <c r="I8251" s="5" t="str">
        <f t="shared" si="977"/>
        <v>017</v>
      </c>
      <c r="J8251" s="5" t="str">
        <f t="shared" si="978"/>
        <v>2230</v>
      </c>
      <c r="K8251" s="5" t="str">
        <f t="shared" si="979"/>
        <v>000</v>
      </c>
      <c r="L8251" s="5">
        <f t="shared" si="980"/>
        <v>9</v>
      </c>
      <c r="M8251" s="5">
        <f t="shared" si="981"/>
        <v>2013</v>
      </c>
    </row>
    <row r="8252" spans="1:13" ht="15" x14ac:dyDescent="0.25">
      <c r="A8252" s="1">
        <f>DATE(2013,9,7)</f>
        <v>41524</v>
      </c>
      <c r="B8252" t="s">
        <v>15</v>
      </c>
      <c r="C8252" t="s">
        <v>6</v>
      </c>
      <c r="D8252" s="3">
        <v>5679.7065999999995</v>
      </c>
      <c r="E8252" s="3">
        <v>0</v>
      </c>
      <c r="F8252" t="s">
        <v>45</v>
      </c>
      <c r="G8252" s="3">
        <f t="shared" si="975"/>
        <v>-5679.7065999999995</v>
      </c>
      <c r="H8252" s="3">
        <f t="shared" si="976"/>
        <v>5679.7065999999995</v>
      </c>
      <c r="I8252" s="5" t="str">
        <f t="shared" si="977"/>
        <v>017</v>
      </c>
      <c r="J8252" s="5" t="str">
        <f t="shared" si="978"/>
        <v>2100</v>
      </c>
      <c r="K8252" s="5" t="str">
        <f t="shared" si="979"/>
        <v>000</v>
      </c>
      <c r="L8252" s="5">
        <f t="shared" si="980"/>
        <v>9</v>
      </c>
      <c r="M8252" s="5">
        <f t="shared" si="981"/>
        <v>2013</v>
      </c>
    </row>
    <row r="8253" spans="1:13" ht="15" x14ac:dyDescent="0.25">
      <c r="A8253" s="1">
        <f>DATE(2013,9,7)</f>
        <v>41524</v>
      </c>
      <c r="B8253" t="s">
        <v>16</v>
      </c>
      <c r="C8253" t="s">
        <v>8</v>
      </c>
      <c r="D8253" s="3">
        <v>1525.9384</v>
      </c>
      <c r="E8253" s="3">
        <v>0</v>
      </c>
      <c r="F8253" t="s">
        <v>45</v>
      </c>
      <c r="G8253" s="3">
        <f t="shared" si="975"/>
        <v>-1525.9384</v>
      </c>
      <c r="H8253" s="3">
        <f t="shared" si="976"/>
        <v>1525.9384</v>
      </c>
      <c r="I8253" s="5" t="str">
        <f t="shared" si="977"/>
        <v>017</v>
      </c>
      <c r="J8253" s="5" t="str">
        <f t="shared" si="978"/>
        <v>2210</v>
      </c>
      <c r="K8253" s="5" t="str">
        <f t="shared" si="979"/>
        <v>000</v>
      </c>
      <c r="L8253" s="5">
        <f t="shared" si="980"/>
        <v>9</v>
      </c>
      <c r="M8253" s="5">
        <f t="shared" si="981"/>
        <v>2013</v>
      </c>
    </row>
    <row r="8254" spans="1:13" ht="15" x14ac:dyDescent="0.25">
      <c r="A8254" s="1">
        <f>DATE(2013,9,7)</f>
        <v>41524</v>
      </c>
      <c r="B8254" t="s">
        <v>17</v>
      </c>
      <c r="C8254" t="s">
        <v>9</v>
      </c>
      <c r="D8254" s="3">
        <v>230.00900000000001</v>
      </c>
      <c r="E8254" s="3">
        <v>0</v>
      </c>
      <c r="F8254" t="s">
        <v>45</v>
      </c>
      <c r="G8254" s="3">
        <f t="shared" si="975"/>
        <v>-230.00900000000001</v>
      </c>
      <c r="H8254" s="3">
        <f t="shared" si="976"/>
        <v>230.00900000000001</v>
      </c>
      <c r="I8254" s="5" t="str">
        <f t="shared" si="977"/>
        <v>017</v>
      </c>
      <c r="J8254" s="5" t="str">
        <f t="shared" si="978"/>
        <v>2220</v>
      </c>
      <c r="K8254" s="5" t="str">
        <f t="shared" si="979"/>
        <v>000</v>
      </c>
      <c r="L8254" s="5">
        <f t="shared" si="980"/>
        <v>9</v>
      </c>
      <c r="M8254" s="5">
        <f t="shared" si="981"/>
        <v>2013</v>
      </c>
    </row>
    <row r="8255" spans="1:13" ht="15" x14ac:dyDescent="0.25">
      <c r="A8255" s="1">
        <f>DATE(2013,9,7)</f>
        <v>41524</v>
      </c>
      <c r="B8255" t="s">
        <v>18</v>
      </c>
      <c r="C8255" t="s">
        <v>10</v>
      </c>
      <c r="D8255" s="3">
        <v>60.508500000000005</v>
      </c>
      <c r="E8255" s="3">
        <v>0</v>
      </c>
      <c r="F8255" t="s">
        <v>45</v>
      </c>
      <c r="G8255" s="3">
        <f t="shared" si="975"/>
        <v>-60.508500000000005</v>
      </c>
      <c r="H8255" s="3">
        <f t="shared" si="976"/>
        <v>60.508500000000005</v>
      </c>
      <c r="I8255" s="5" t="str">
        <f t="shared" si="977"/>
        <v>017</v>
      </c>
      <c r="J8255" s="5" t="str">
        <f t="shared" si="978"/>
        <v>2230</v>
      </c>
      <c r="K8255" s="5" t="str">
        <f t="shared" si="979"/>
        <v>000</v>
      </c>
      <c r="L8255" s="5">
        <f t="shared" si="980"/>
        <v>9</v>
      </c>
      <c r="M8255" s="5">
        <f t="shared" si="981"/>
        <v>2013</v>
      </c>
    </row>
    <row r="8256" spans="1:13" ht="15" x14ac:dyDescent="0.25">
      <c r="A8256" s="1">
        <f>DATE(2013,9,8)</f>
        <v>41525</v>
      </c>
      <c r="B8256" t="s">
        <v>15</v>
      </c>
      <c r="C8256" t="s">
        <v>6</v>
      </c>
      <c r="D8256" s="3">
        <v>4146.9120000000003</v>
      </c>
      <c r="E8256" s="3">
        <v>0</v>
      </c>
      <c r="F8256" t="s">
        <v>45</v>
      </c>
      <c r="G8256" s="3">
        <f t="shared" si="975"/>
        <v>-4146.9120000000003</v>
      </c>
      <c r="H8256" s="3">
        <f t="shared" si="976"/>
        <v>4146.9120000000003</v>
      </c>
      <c r="I8256" s="5" t="str">
        <f t="shared" si="977"/>
        <v>017</v>
      </c>
      <c r="J8256" s="5" t="str">
        <f t="shared" si="978"/>
        <v>2100</v>
      </c>
      <c r="K8256" s="5" t="str">
        <f t="shared" si="979"/>
        <v>000</v>
      </c>
      <c r="L8256" s="5">
        <f t="shared" si="980"/>
        <v>9</v>
      </c>
      <c r="M8256" s="5">
        <f t="shared" si="981"/>
        <v>2013</v>
      </c>
    </row>
    <row r="8257" spans="1:13" ht="15" x14ac:dyDescent="0.25">
      <c r="A8257" s="1">
        <f>DATE(2013,9,8)</f>
        <v>41525</v>
      </c>
      <c r="B8257" t="s">
        <v>16</v>
      </c>
      <c r="C8257" t="s">
        <v>8</v>
      </c>
      <c r="D8257" s="3">
        <v>900.4319999999999</v>
      </c>
      <c r="E8257" s="3">
        <v>0</v>
      </c>
      <c r="F8257" t="s">
        <v>45</v>
      </c>
      <c r="G8257" s="3">
        <f t="shared" si="975"/>
        <v>-900.4319999999999</v>
      </c>
      <c r="H8257" s="3">
        <f t="shared" si="976"/>
        <v>900.4319999999999</v>
      </c>
      <c r="I8257" s="5" t="str">
        <f t="shared" si="977"/>
        <v>017</v>
      </c>
      <c r="J8257" s="5" t="str">
        <f t="shared" si="978"/>
        <v>2210</v>
      </c>
      <c r="K8257" s="5" t="str">
        <f t="shared" si="979"/>
        <v>000</v>
      </c>
      <c r="L8257" s="5">
        <f t="shared" si="980"/>
        <v>9</v>
      </c>
      <c r="M8257" s="5">
        <f t="shared" si="981"/>
        <v>2013</v>
      </c>
    </row>
    <row r="8258" spans="1:13" ht="15" x14ac:dyDescent="0.25">
      <c r="A8258" s="1">
        <f>DATE(2013,9,8)</f>
        <v>41525</v>
      </c>
      <c r="B8258" t="s">
        <v>17</v>
      </c>
      <c r="C8258" t="s">
        <v>9</v>
      </c>
      <c r="D8258" s="3">
        <v>260.77480000000003</v>
      </c>
      <c r="E8258" s="3">
        <v>0</v>
      </c>
      <c r="F8258" t="s">
        <v>45</v>
      </c>
      <c r="G8258" s="3">
        <f t="shared" ref="G8258:G8321" si="983">E8258-D8258</f>
        <v>-260.77480000000003</v>
      </c>
      <c r="H8258" s="3">
        <f t="shared" ref="H8258:H8321" si="984">ABS(G8258)</f>
        <v>260.77480000000003</v>
      </c>
      <c r="I8258" s="5" t="str">
        <f t="shared" ref="I8258:I8321" si="985">MID(B8258,1,3)</f>
        <v>017</v>
      </c>
      <c r="J8258" s="5" t="str">
        <f t="shared" ref="J8258:J8321" si="986">MID(B8258,5,4)</f>
        <v>2220</v>
      </c>
      <c r="K8258" s="5" t="str">
        <f t="shared" ref="K8258:K8321" si="987">MID(B8258,10,3)</f>
        <v>000</v>
      </c>
      <c r="L8258" s="5">
        <f t="shared" ref="L8258:L8321" si="988">MONTH(A8258)</f>
        <v>9</v>
      </c>
      <c r="M8258" s="5">
        <f t="shared" ref="M8258:M8321" si="989">YEAR(A8258)</f>
        <v>2013</v>
      </c>
    </row>
    <row r="8259" spans="1:13" ht="15" x14ac:dyDescent="0.25">
      <c r="A8259" s="1">
        <f>DATE(2013,9,8)</f>
        <v>41525</v>
      </c>
      <c r="B8259" t="s">
        <v>18</v>
      </c>
      <c r="C8259" t="s">
        <v>10</v>
      </c>
      <c r="D8259" s="3">
        <v>108.2079</v>
      </c>
      <c r="E8259" s="3">
        <v>0</v>
      </c>
      <c r="F8259" t="s">
        <v>45</v>
      </c>
      <c r="G8259" s="3">
        <f t="shared" si="983"/>
        <v>-108.2079</v>
      </c>
      <c r="H8259" s="3">
        <f t="shared" si="984"/>
        <v>108.2079</v>
      </c>
      <c r="I8259" s="5" t="str">
        <f t="shared" si="985"/>
        <v>017</v>
      </c>
      <c r="J8259" s="5" t="str">
        <f t="shared" si="986"/>
        <v>2230</v>
      </c>
      <c r="K8259" s="5" t="str">
        <f t="shared" si="987"/>
        <v>000</v>
      </c>
      <c r="L8259" s="5">
        <f t="shared" si="988"/>
        <v>9</v>
      </c>
      <c r="M8259" s="5">
        <f t="shared" si="989"/>
        <v>2013</v>
      </c>
    </row>
    <row r="8260" spans="1:13" ht="15" x14ac:dyDescent="0.25">
      <c r="A8260" s="1">
        <f>DATE(2013,9,2)</f>
        <v>41519</v>
      </c>
      <c r="B8260" t="s">
        <v>19</v>
      </c>
      <c r="C8260" t="s">
        <v>6</v>
      </c>
      <c r="D8260" s="3">
        <v>11125.868</v>
      </c>
      <c r="E8260" s="3">
        <v>0</v>
      </c>
      <c r="F8260" t="s">
        <v>45</v>
      </c>
      <c r="G8260" s="3">
        <f t="shared" si="983"/>
        <v>-11125.868</v>
      </c>
      <c r="H8260" s="3">
        <f t="shared" si="984"/>
        <v>11125.868</v>
      </c>
      <c r="I8260" s="5" t="str">
        <f t="shared" si="985"/>
        <v>018</v>
      </c>
      <c r="J8260" s="5" t="str">
        <f t="shared" si="986"/>
        <v>2100</v>
      </c>
      <c r="K8260" s="5" t="str">
        <f t="shared" si="987"/>
        <v>000</v>
      </c>
      <c r="L8260" s="5">
        <f t="shared" si="988"/>
        <v>9</v>
      </c>
      <c r="M8260" s="5">
        <f t="shared" si="989"/>
        <v>2013</v>
      </c>
    </row>
    <row r="8261" spans="1:13" ht="15" x14ac:dyDescent="0.25">
      <c r="A8261" s="1">
        <f>DATE(2013,9,2)</f>
        <v>41519</v>
      </c>
      <c r="B8261" t="s">
        <v>20</v>
      </c>
      <c r="C8261" t="s">
        <v>8</v>
      </c>
      <c r="D8261" s="3">
        <v>1591.1104</v>
      </c>
      <c r="E8261" s="3">
        <v>0</v>
      </c>
      <c r="F8261" t="s">
        <v>45</v>
      </c>
      <c r="G8261" s="3">
        <f t="shared" si="983"/>
        <v>-1591.1104</v>
      </c>
      <c r="H8261" s="3">
        <f t="shared" si="984"/>
        <v>1591.1104</v>
      </c>
      <c r="I8261" s="5" t="str">
        <f t="shared" si="985"/>
        <v>018</v>
      </c>
      <c r="J8261" s="5" t="str">
        <f t="shared" si="986"/>
        <v>2210</v>
      </c>
      <c r="K8261" s="5" t="str">
        <f t="shared" si="987"/>
        <v>000</v>
      </c>
      <c r="L8261" s="5">
        <f t="shared" si="988"/>
        <v>9</v>
      </c>
      <c r="M8261" s="5">
        <f t="shared" si="989"/>
        <v>2013</v>
      </c>
    </row>
    <row r="8262" spans="1:13" ht="15" x14ac:dyDescent="0.25">
      <c r="A8262" s="1">
        <f>DATE(2013,9,2)</f>
        <v>41519</v>
      </c>
      <c r="B8262" t="s">
        <v>21</v>
      </c>
      <c r="C8262" t="s">
        <v>9</v>
      </c>
      <c r="D8262" s="3">
        <v>403.66339999999997</v>
      </c>
      <c r="E8262" s="3">
        <v>0</v>
      </c>
      <c r="F8262" t="s">
        <v>45</v>
      </c>
      <c r="G8262" s="3">
        <f t="shared" si="983"/>
        <v>-403.66339999999997</v>
      </c>
      <c r="H8262" s="3">
        <f t="shared" si="984"/>
        <v>403.66339999999997</v>
      </c>
      <c r="I8262" s="5" t="str">
        <f t="shared" si="985"/>
        <v>018</v>
      </c>
      <c r="J8262" s="5" t="str">
        <f t="shared" si="986"/>
        <v>2220</v>
      </c>
      <c r="K8262" s="5" t="str">
        <f t="shared" si="987"/>
        <v>000</v>
      </c>
      <c r="L8262" s="5">
        <f t="shared" si="988"/>
        <v>9</v>
      </c>
      <c r="M8262" s="5">
        <f t="shared" si="989"/>
        <v>2013</v>
      </c>
    </row>
    <row r="8263" spans="1:13" ht="15" x14ac:dyDescent="0.25">
      <c r="A8263" s="1">
        <f>DATE(2013,9,2)</f>
        <v>41519</v>
      </c>
      <c r="B8263" t="s">
        <v>22</v>
      </c>
      <c r="C8263" t="s">
        <v>10</v>
      </c>
      <c r="D8263" s="3">
        <v>109.9584</v>
      </c>
      <c r="E8263" s="3">
        <v>0</v>
      </c>
      <c r="F8263" t="s">
        <v>45</v>
      </c>
      <c r="G8263" s="3">
        <f t="shared" si="983"/>
        <v>-109.9584</v>
      </c>
      <c r="H8263" s="3">
        <f t="shared" si="984"/>
        <v>109.9584</v>
      </c>
      <c r="I8263" s="5" t="str">
        <f t="shared" si="985"/>
        <v>018</v>
      </c>
      <c r="J8263" s="5" t="str">
        <f t="shared" si="986"/>
        <v>2230</v>
      </c>
      <c r="K8263" s="5" t="str">
        <f t="shared" si="987"/>
        <v>000</v>
      </c>
      <c r="L8263" s="5">
        <f t="shared" si="988"/>
        <v>9</v>
      </c>
      <c r="M8263" s="5">
        <f t="shared" si="989"/>
        <v>2013</v>
      </c>
    </row>
    <row r="8264" spans="1:13" ht="15" x14ac:dyDescent="0.25">
      <c r="A8264" s="1">
        <f>DATE(2013,9,3)</f>
        <v>41520</v>
      </c>
      <c r="B8264" t="s">
        <v>19</v>
      </c>
      <c r="C8264" t="s">
        <v>6</v>
      </c>
      <c r="D8264" s="3">
        <v>2772.7280000000005</v>
      </c>
      <c r="E8264" s="3">
        <v>0</v>
      </c>
      <c r="F8264" t="s">
        <v>45</v>
      </c>
      <c r="G8264" s="3">
        <f t="shared" si="983"/>
        <v>-2772.7280000000005</v>
      </c>
      <c r="H8264" s="3">
        <f t="shared" si="984"/>
        <v>2772.7280000000005</v>
      </c>
      <c r="I8264" s="5" t="str">
        <f t="shared" si="985"/>
        <v>018</v>
      </c>
      <c r="J8264" s="5" t="str">
        <f t="shared" si="986"/>
        <v>2100</v>
      </c>
      <c r="K8264" s="5" t="str">
        <f t="shared" si="987"/>
        <v>000</v>
      </c>
      <c r="L8264" s="5">
        <f t="shared" si="988"/>
        <v>9</v>
      </c>
      <c r="M8264" s="5">
        <f t="shared" si="989"/>
        <v>2013</v>
      </c>
    </row>
    <row r="8265" spans="1:13" ht="15" x14ac:dyDescent="0.25">
      <c r="A8265" s="1">
        <f>DATE(2013,9,3)</f>
        <v>41520</v>
      </c>
      <c r="B8265" t="s">
        <v>20</v>
      </c>
      <c r="C8265" t="s">
        <v>8</v>
      </c>
      <c r="D8265" s="3">
        <v>523.12819999999999</v>
      </c>
      <c r="E8265" s="3">
        <v>0</v>
      </c>
      <c r="F8265" t="s">
        <v>45</v>
      </c>
      <c r="G8265" s="3">
        <f t="shared" si="983"/>
        <v>-523.12819999999999</v>
      </c>
      <c r="H8265" s="3">
        <f t="shared" si="984"/>
        <v>523.12819999999999</v>
      </c>
      <c r="I8265" s="5" t="str">
        <f t="shared" si="985"/>
        <v>018</v>
      </c>
      <c r="J8265" s="5" t="str">
        <f t="shared" si="986"/>
        <v>2210</v>
      </c>
      <c r="K8265" s="5" t="str">
        <f t="shared" si="987"/>
        <v>000</v>
      </c>
      <c r="L8265" s="5">
        <f t="shared" si="988"/>
        <v>9</v>
      </c>
      <c r="M8265" s="5">
        <f t="shared" si="989"/>
        <v>2013</v>
      </c>
    </row>
    <row r="8266" spans="1:13" ht="15" x14ac:dyDescent="0.25">
      <c r="A8266" s="1">
        <f>DATE(2013,9,3)</f>
        <v>41520</v>
      </c>
      <c r="B8266" t="s">
        <v>21</v>
      </c>
      <c r="C8266" t="s">
        <v>9</v>
      </c>
      <c r="D8266" s="3">
        <v>133.7364</v>
      </c>
      <c r="E8266" s="3">
        <v>0</v>
      </c>
      <c r="F8266" t="s">
        <v>45</v>
      </c>
      <c r="G8266" s="3">
        <f t="shared" si="983"/>
        <v>-133.7364</v>
      </c>
      <c r="H8266" s="3">
        <f t="shared" si="984"/>
        <v>133.7364</v>
      </c>
      <c r="I8266" s="5" t="str">
        <f t="shared" si="985"/>
        <v>018</v>
      </c>
      <c r="J8266" s="5" t="str">
        <f t="shared" si="986"/>
        <v>2220</v>
      </c>
      <c r="K8266" s="5" t="str">
        <f t="shared" si="987"/>
        <v>000</v>
      </c>
      <c r="L8266" s="5">
        <f t="shared" si="988"/>
        <v>9</v>
      </c>
      <c r="M8266" s="5">
        <f t="shared" si="989"/>
        <v>2013</v>
      </c>
    </row>
    <row r="8267" spans="1:13" ht="15" x14ac:dyDescent="0.25">
      <c r="A8267" s="1">
        <f>DATE(2013,9,3)</f>
        <v>41520</v>
      </c>
      <c r="B8267" t="s">
        <v>22</v>
      </c>
      <c r="C8267" t="s">
        <v>10</v>
      </c>
      <c r="D8267" s="3">
        <v>47.438999999999993</v>
      </c>
      <c r="E8267" s="3">
        <v>0</v>
      </c>
      <c r="F8267" t="s">
        <v>45</v>
      </c>
      <c r="G8267" s="3">
        <f t="shared" si="983"/>
        <v>-47.438999999999993</v>
      </c>
      <c r="H8267" s="3">
        <f t="shared" si="984"/>
        <v>47.438999999999993</v>
      </c>
      <c r="I8267" s="5" t="str">
        <f t="shared" si="985"/>
        <v>018</v>
      </c>
      <c r="J8267" s="5" t="str">
        <f t="shared" si="986"/>
        <v>2230</v>
      </c>
      <c r="K8267" s="5" t="str">
        <f t="shared" si="987"/>
        <v>000</v>
      </c>
      <c r="L8267" s="5">
        <f t="shared" si="988"/>
        <v>9</v>
      </c>
      <c r="M8267" s="5">
        <f t="shared" si="989"/>
        <v>2013</v>
      </c>
    </row>
    <row r="8268" spans="1:13" ht="15" x14ac:dyDescent="0.25">
      <c r="A8268" s="1">
        <f>DATE(2013,9,4)</f>
        <v>41521</v>
      </c>
      <c r="B8268" t="s">
        <v>19</v>
      </c>
      <c r="C8268" t="s">
        <v>6</v>
      </c>
      <c r="D8268" s="3">
        <v>3225.0333999999998</v>
      </c>
      <c r="E8268" s="3">
        <v>0</v>
      </c>
      <c r="F8268" t="s">
        <v>45</v>
      </c>
      <c r="G8268" s="3">
        <f t="shared" si="983"/>
        <v>-3225.0333999999998</v>
      </c>
      <c r="H8268" s="3">
        <f t="shared" si="984"/>
        <v>3225.0333999999998</v>
      </c>
      <c r="I8268" s="5" t="str">
        <f t="shared" si="985"/>
        <v>018</v>
      </c>
      <c r="J8268" s="5" t="str">
        <f t="shared" si="986"/>
        <v>2100</v>
      </c>
      <c r="K8268" s="5" t="str">
        <f t="shared" si="987"/>
        <v>000</v>
      </c>
      <c r="L8268" s="5">
        <f t="shared" si="988"/>
        <v>9</v>
      </c>
      <c r="M8268" s="5">
        <f t="shared" si="989"/>
        <v>2013</v>
      </c>
    </row>
    <row r="8269" spans="1:13" ht="15" x14ac:dyDescent="0.25">
      <c r="A8269" s="1">
        <f>DATE(2013,9,4)</f>
        <v>41521</v>
      </c>
      <c r="B8269" t="s">
        <v>20</v>
      </c>
      <c r="C8269" t="s">
        <v>8</v>
      </c>
      <c r="D8269" s="3">
        <v>691.86779999999999</v>
      </c>
      <c r="E8269" s="3">
        <v>0</v>
      </c>
      <c r="F8269" t="s">
        <v>45</v>
      </c>
      <c r="G8269" s="3">
        <f t="shared" si="983"/>
        <v>-691.86779999999999</v>
      </c>
      <c r="H8269" s="3">
        <f t="shared" si="984"/>
        <v>691.86779999999999</v>
      </c>
      <c r="I8269" s="5" t="str">
        <f t="shared" si="985"/>
        <v>018</v>
      </c>
      <c r="J8269" s="5" t="str">
        <f t="shared" si="986"/>
        <v>2210</v>
      </c>
      <c r="K8269" s="5" t="str">
        <f t="shared" si="987"/>
        <v>000</v>
      </c>
      <c r="L8269" s="5">
        <f t="shared" si="988"/>
        <v>9</v>
      </c>
      <c r="M8269" s="5">
        <f t="shared" si="989"/>
        <v>2013</v>
      </c>
    </row>
    <row r="8270" spans="1:13" ht="15" x14ac:dyDescent="0.25">
      <c r="A8270" s="1">
        <f>DATE(2013,9,4)</f>
        <v>41521</v>
      </c>
      <c r="B8270" t="s">
        <v>21</v>
      </c>
      <c r="C8270" t="s">
        <v>9</v>
      </c>
      <c r="D8270" s="3">
        <v>170.202</v>
      </c>
      <c r="E8270" s="3">
        <v>0</v>
      </c>
      <c r="F8270" t="s">
        <v>45</v>
      </c>
      <c r="G8270" s="3">
        <f t="shared" si="983"/>
        <v>-170.202</v>
      </c>
      <c r="H8270" s="3">
        <f t="shared" si="984"/>
        <v>170.202</v>
      </c>
      <c r="I8270" s="5" t="str">
        <f t="shared" si="985"/>
        <v>018</v>
      </c>
      <c r="J8270" s="5" t="str">
        <f t="shared" si="986"/>
        <v>2220</v>
      </c>
      <c r="K8270" s="5" t="str">
        <f t="shared" si="987"/>
        <v>000</v>
      </c>
      <c r="L8270" s="5">
        <f t="shared" si="988"/>
        <v>9</v>
      </c>
      <c r="M8270" s="5">
        <f t="shared" si="989"/>
        <v>2013</v>
      </c>
    </row>
    <row r="8271" spans="1:13" ht="15" x14ac:dyDescent="0.25">
      <c r="A8271" s="1">
        <f>DATE(2013,9,5)</f>
        <v>41522</v>
      </c>
      <c r="B8271" t="s">
        <v>19</v>
      </c>
      <c r="C8271" t="s">
        <v>6</v>
      </c>
      <c r="D8271" s="3">
        <v>3167.5925000000002</v>
      </c>
      <c r="E8271" s="3">
        <v>0</v>
      </c>
      <c r="F8271" t="s">
        <v>45</v>
      </c>
      <c r="G8271" s="3">
        <f t="shared" si="983"/>
        <v>-3167.5925000000002</v>
      </c>
      <c r="H8271" s="3">
        <f t="shared" si="984"/>
        <v>3167.5925000000002</v>
      </c>
      <c r="I8271" s="5" t="str">
        <f t="shared" si="985"/>
        <v>018</v>
      </c>
      <c r="J8271" s="5" t="str">
        <f t="shared" si="986"/>
        <v>2100</v>
      </c>
      <c r="K8271" s="5" t="str">
        <f t="shared" si="987"/>
        <v>000</v>
      </c>
      <c r="L8271" s="5">
        <f t="shared" si="988"/>
        <v>9</v>
      </c>
      <c r="M8271" s="5">
        <f t="shared" si="989"/>
        <v>2013</v>
      </c>
    </row>
    <row r="8272" spans="1:13" ht="15" x14ac:dyDescent="0.25">
      <c r="A8272" s="1">
        <f>DATE(2013,9,5)</f>
        <v>41522</v>
      </c>
      <c r="B8272" t="s">
        <v>20</v>
      </c>
      <c r="C8272" t="s">
        <v>8</v>
      </c>
      <c r="D8272" s="3">
        <v>692.68320000000006</v>
      </c>
      <c r="E8272" s="3">
        <v>0</v>
      </c>
      <c r="F8272" t="s">
        <v>45</v>
      </c>
      <c r="G8272" s="3">
        <f t="shared" si="983"/>
        <v>-692.68320000000006</v>
      </c>
      <c r="H8272" s="3">
        <f t="shared" si="984"/>
        <v>692.68320000000006</v>
      </c>
      <c r="I8272" s="5" t="str">
        <f t="shared" si="985"/>
        <v>018</v>
      </c>
      <c r="J8272" s="5" t="str">
        <f t="shared" si="986"/>
        <v>2210</v>
      </c>
      <c r="K8272" s="5" t="str">
        <f t="shared" si="987"/>
        <v>000</v>
      </c>
      <c r="L8272" s="5">
        <f t="shared" si="988"/>
        <v>9</v>
      </c>
      <c r="M8272" s="5">
        <f t="shared" si="989"/>
        <v>2013</v>
      </c>
    </row>
    <row r="8273" spans="1:13" ht="15" x14ac:dyDescent="0.25">
      <c r="A8273" s="1">
        <f>DATE(2013,9,5)</f>
        <v>41522</v>
      </c>
      <c r="B8273" t="s">
        <v>21</v>
      </c>
      <c r="C8273" t="s">
        <v>9</v>
      </c>
      <c r="D8273" s="3">
        <v>182.49600000000001</v>
      </c>
      <c r="E8273" s="3">
        <v>0</v>
      </c>
      <c r="F8273" t="s">
        <v>45</v>
      </c>
      <c r="G8273" s="3">
        <f t="shared" si="983"/>
        <v>-182.49600000000001</v>
      </c>
      <c r="H8273" s="3">
        <f t="shared" si="984"/>
        <v>182.49600000000001</v>
      </c>
      <c r="I8273" s="5" t="str">
        <f t="shared" si="985"/>
        <v>018</v>
      </c>
      <c r="J8273" s="5" t="str">
        <f t="shared" si="986"/>
        <v>2220</v>
      </c>
      <c r="K8273" s="5" t="str">
        <f t="shared" si="987"/>
        <v>000</v>
      </c>
      <c r="L8273" s="5">
        <f t="shared" si="988"/>
        <v>9</v>
      </c>
      <c r="M8273" s="5">
        <f t="shared" si="989"/>
        <v>2013</v>
      </c>
    </row>
    <row r="8274" spans="1:13" ht="15" x14ac:dyDescent="0.25">
      <c r="A8274" s="1">
        <f>DATE(2013,9,5)</f>
        <v>41522</v>
      </c>
      <c r="B8274" t="s">
        <v>22</v>
      </c>
      <c r="C8274" t="s">
        <v>10</v>
      </c>
      <c r="D8274" s="3">
        <v>46.587199999999996</v>
      </c>
      <c r="E8274" s="3">
        <v>0</v>
      </c>
      <c r="F8274" t="s">
        <v>45</v>
      </c>
      <c r="G8274" s="3">
        <f t="shared" si="983"/>
        <v>-46.587199999999996</v>
      </c>
      <c r="H8274" s="3">
        <f t="shared" si="984"/>
        <v>46.587199999999996</v>
      </c>
      <c r="I8274" s="5" t="str">
        <f t="shared" si="985"/>
        <v>018</v>
      </c>
      <c r="J8274" s="5" t="str">
        <f t="shared" si="986"/>
        <v>2230</v>
      </c>
      <c r="K8274" s="5" t="str">
        <f t="shared" si="987"/>
        <v>000</v>
      </c>
      <c r="L8274" s="5">
        <f t="shared" si="988"/>
        <v>9</v>
      </c>
      <c r="M8274" s="5">
        <f t="shared" si="989"/>
        <v>2013</v>
      </c>
    </row>
    <row r="8275" spans="1:13" ht="15" x14ac:dyDescent="0.25">
      <c r="A8275" s="1">
        <f>DATE(2013,9,6)</f>
        <v>41523</v>
      </c>
      <c r="B8275" t="s">
        <v>19</v>
      </c>
      <c r="C8275" t="s">
        <v>6</v>
      </c>
      <c r="D8275" s="3">
        <v>12437.772300000001</v>
      </c>
      <c r="E8275" s="3">
        <v>0</v>
      </c>
      <c r="F8275" t="s">
        <v>45</v>
      </c>
      <c r="G8275" s="3">
        <f t="shared" si="983"/>
        <v>-12437.772300000001</v>
      </c>
      <c r="H8275" s="3">
        <f t="shared" si="984"/>
        <v>12437.772300000001</v>
      </c>
      <c r="I8275" s="5" t="str">
        <f t="shared" si="985"/>
        <v>018</v>
      </c>
      <c r="J8275" s="5" t="str">
        <f t="shared" si="986"/>
        <v>2100</v>
      </c>
      <c r="K8275" s="5" t="str">
        <f t="shared" si="987"/>
        <v>000</v>
      </c>
      <c r="L8275" s="5">
        <f t="shared" si="988"/>
        <v>9</v>
      </c>
      <c r="M8275" s="5">
        <f t="shared" si="989"/>
        <v>2013</v>
      </c>
    </row>
    <row r="8276" spans="1:13" ht="15" x14ac:dyDescent="0.25">
      <c r="A8276" s="1">
        <f>DATE(2013,9,6)</f>
        <v>41523</v>
      </c>
      <c r="B8276" t="s">
        <v>20</v>
      </c>
      <c r="C8276" t="s">
        <v>8</v>
      </c>
      <c r="D8276" s="3">
        <v>3668.9876000000004</v>
      </c>
      <c r="E8276" s="3">
        <v>0</v>
      </c>
      <c r="F8276" t="s">
        <v>45</v>
      </c>
      <c r="G8276" s="3">
        <f t="shared" si="983"/>
        <v>-3668.9876000000004</v>
      </c>
      <c r="H8276" s="3">
        <f t="shared" si="984"/>
        <v>3668.9876000000004</v>
      </c>
      <c r="I8276" s="5" t="str">
        <f t="shared" si="985"/>
        <v>018</v>
      </c>
      <c r="J8276" s="5" t="str">
        <f t="shared" si="986"/>
        <v>2210</v>
      </c>
      <c r="K8276" s="5" t="str">
        <f t="shared" si="987"/>
        <v>000</v>
      </c>
      <c r="L8276" s="5">
        <f t="shared" si="988"/>
        <v>9</v>
      </c>
      <c r="M8276" s="5">
        <f t="shared" si="989"/>
        <v>2013</v>
      </c>
    </row>
    <row r="8277" spans="1:13" ht="15" x14ac:dyDescent="0.25">
      <c r="A8277" s="1">
        <f>DATE(2013,9,6)</f>
        <v>41523</v>
      </c>
      <c r="B8277" t="s">
        <v>21</v>
      </c>
      <c r="C8277" t="s">
        <v>9</v>
      </c>
      <c r="D8277" s="3">
        <v>584.42759999999998</v>
      </c>
      <c r="E8277" s="3">
        <v>0</v>
      </c>
      <c r="F8277" t="s">
        <v>45</v>
      </c>
      <c r="G8277" s="3">
        <f t="shared" si="983"/>
        <v>-584.42759999999998</v>
      </c>
      <c r="H8277" s="3">
        <f t="shared" si="984"/>
        <v>584.42759999999998</v>
      </c>
      <c r="I8277" s="5" t="str">
        <f t="shared" si="985"/>
        <v>018</v>
      </c>
      <c r="J8277" s="5" t="str">
        <f t="shared" si="986"/>
        <v>2220</v>
      </c>
      <c r="K8277" s="5" t="str">
        <f t="shared" si="987"/>
        <v>000</v>
      </c>
      <c r="L8277" s="5">
        <f t="shared" si="988"/>
        <v>9</v>
      </c>
      <c r="M8277" s="5">
        <f t="shared" si="989"/>
        <v>2013</v>
      </c>
    </row>
    <row r="8278" spans="1:13" ht="15" x14ac:dyDescent="0.25">
      <c r="A8278" s="1">
        <f>DATE(2013,9,6)</f>
        <v>41523</v>
      </c>
      <c r="B8278" t="s">
        <v>22</v>
      </c>
      <c r="C8278" t="s">
        <v>10</v>
      </c>
      <c r="D8278" s="3">
        <v>98.576400000000007</v>
      </c>
      <c r="E8278" s="3">
        <v>0</v>
      </c>
      <c r="F8278" t="s">
        <v>45</v>
      </c>
      <c r="G8278" s="3">
        <f t="shared" si="983"/>
        <v>-98.576400000000007</v>
      </c>
      <c r="H8278" s="3">
        <f t="shared" si="984"/>
        <v>98.576400000000007</v>
      </c>
      <c r="I8278" s="5" t="str">
        <f t="shared" si="985"/>
        <v>018</v>
      </c>
      <c r="J8278" s="5" t="str">
        <f t="shared" si="986"/>
        <v>2230</v>
      </c>
      <c r="K8278" s="5" t="str">
        <f t="shared" si="987"/>
        <v>000</v>
      </c>
      <c r="L8278" s="5">
        <f t="shared" si="988"/>
        <v>9</v>
      </c>
      <c r="M8278" s="5">
        <f t="shared" si="989"/>
        <v>2013</v>
      </c>
    </row>
    <row r="8279" spans="1:13" ht="15" x14ac:dyDescent="0.25">
      <c r="A8279" s="1">
        <f>DATE(2013,9,7)</f>
        <v>41524</v>
      </c>
      <c r="B8279" t="s">
        <v>19</v>
      </c>
      <c r="C8279" t="s">
        <v>6</v>
      </c>
      <c r="D8279" s="3">
        <v>14622.551600000001</v>
      </c>
      <c r="E8279" s="3">
        <v>0</v>
      </c>
      <c r="F8279" t="s">
        <v>45</v>
      </c>
      <c r="G8279" s="3">
        <f t="shared" si="983"/>
        <v>-14622.551600000001</v>
      </c>
      <c r="H8279" s="3">
        <f t="shared" si="984"/>
        <v>14622.551600000001</v>
      </c>
      <c r="I8279" s="5" t="str">
        <f t="shared" si="985"/>
        <v>018</v>
      </c>
      <c r="J8279" s="5" t="str">
        <f t="shared" si="986"/>
        <v>2100</v>
      </c>
      <c r="K8279" s="5" t="str">
        <f t="shared" si="987"/>
        <v>000</v>
      </c>
      <c r="L8279" s="5">
        <f t="shared" si="988"/>
        <v>9</v>
      </c>
      <c r="M8279" s="5">
        <f t="shared" si="989"/>
        <v>2013</v>
      </c>
    </row>
    <row r="8280" spans="1:13" ht="15" x14ac:dyDescent="0.25">
      <c r="A8280" s="1">
        <f>DATE(2013,9,7)</f>
        <v>41524</v>
      </c>
      <c r="B8280" t="s">
        <v>20</v>
      </c>
      <c r="C8280" t="s">
        <v>8</v>
      </c>
      <c r="D8280" s="3">
        <v>2649.7249999999999</v>
      </c>
      <c r="E8280" s="3">
        <v>0</v>
      </c>
      <c r="F8280" t="s">
        <v>45</v>
      </c>
      <c r="G8280" s="3">
        <f t="shared" si="983"/>
        <v>-2649.7249999999999</v>
      </c>
      <c r="H8280" s="3">
        <f t="shared" si="984"/>
        <v>2649.7249999999999</v>
      </c>
      <c r="I8280" s="5" t="str">
        <f t="shared" si="985"/>
        <v>018</v>
      </c>
      <c r="J8280" s="5" t="str">
        <f t="shared" si="986"/>
        <v>2210</v>
      </c>
      <c r="K8280" s="5" t="str">
        <f t="shared" si="987"/>
        <v>000</v>
      </c>
      <c r="L8280" s="5">
        <f t="shared" si="988"/>
        <v>9</v>
      </c>
      <c r="M8280" s="5">
        <f t="shared" si="989"/>
        <v>2013</v>
      </c>
    </row>
    <row r="8281" spans="1:13" ht="15" x14ac:dyDescent="0.25">
      <c r="A8281" s="1">
        <f>DATE(2013,9,7)</f>
        <v>41524</v>
      </c>
      <c r="B8281" t="s">
        <v>21</v>
      </c>
      <c r="C8281" t="s">
        <v>9</v>
      </c>
      <c r="D8281" s="3">
        <v>457.358</v>
      </c>
      <c r="E8281" s="3">
        <v>0</v>
      </c>
      <c r="F8281" t="s">
        <v>45</v>
      </c>
      <c r="G8281" s="3">
        <f t="shared" si="983"/>
        <v>-457.358</v>
      </c>
      <c r="H8281" s="3">
        <f t="shared" si="984"/>
        <v>457.358</v>
      </c>
      <c r="I8281" s="5" t="str">
        <f t="shared" si="985"/>
        <v>018</v>
      </c>
      <c r="J8281" s="5" t="str">
        <f t="shared" si="986"/>
        <v>2220</v>
      </c>
      <c r="K8281" s="5" t="str">
        <f t="shared" si="987"/>
        <v>000</v>
      </c>
      <c r="L8281" s="5">
        <f t="shared" si="988"/>
        <v>9</v>
      </c>
      <c r="M8281" s="5">
        <f t="shared" si="989"/>
        <v>2013</v>
      </c>
    </row>
    <row r="8282" spans="1:13" ht="15" x14ac:dyDescent="0.25">
      <c r="A8282" s="1">
        <f>DATE(2013,9,7)</f>
        <v>41524</v>
      </c>
      <c r="B8282" t="s">
        <v>22</v>
      </c>
      <c r="C8282" t="s">
        <v>10</v>
      </c>
      <c r="D8282" s="3">
        <v>115.7535</v>
      </c>
      <c r="E8282" s="3">
        <v>0</v>
      </c>
      <c r="F8282" t="s">
        <v>45</v>
      </c>
      <c r="G8282" s="3">
        <f t="shared" si="983"/>
        <v>-115.7535</v>
      </c>
      <c r="H8282" s="3">
        <f t="shared" si="984"/>
        <v>115.7535</v>
      </c>
      <c r="I8282" s="5" t="str">
        <f t="shared" si="985"/>
        <v>018</v>
      </c>
      <c r="J8282" s="5" t="str">
        <f t="shared" si="986"/>
        <v>2230</v>
      </c>
      <c r="K8282" s="5" t="str">
        <f t="shared" si="987"/>
        <v>000</v>
      </c>
      <c r="L8282" s="5">
        <f t="shared" si="988"/>
        <v>9</v>
      </c>
      <c r="M8282" s="5">
        <f t="shared" si="989"/>
        <v>2013</v>
      </c>
    </row>
    <row r="8283" spans="1:13" ht="15" x14ac:dyDescent="0.25">
      <c r="A8283" s="1">
        <f>DATE(2013,9,8)</f>
        <v>41525</v>
      </c>
      <c r="B8283" t="s">
        <v>19</v>
      </c>
      <c r="C8283" t="s">
        <v>6</v>
      </c>
      <c r="D8283" s="3">
        <v>7001.8361999999997</v>
      </c>
      <c r="E8283" s="3">
        <v>0</v>
      </c>
      <c r="F8283" t="s">
        <v>45</v>
      </c>
      <c r="G8283" s="3">
        <f t="shared" si="983"/>
        <v>-7001.8361999999997</v>
      </c>
      <c r="H8283" s="3">
        <f t="shared" si="984"/>
        <v>7001.8361999999997</v>
      </c>
      <c r="I8283" s="5" t="str">
        <f t="shared" si="985"/>
        <v>018</v>
      </c>
      <c r="J8283" s="5" t="str">
        <f t="shared" si="986"/>
        <v>2100</v>
      </c>
      <c r="K8283" s="5" t="str">
        <f t="shared" si="987"/>
        <v>000</v>
      </c>
      <c r="L8283" s="5">
        <f t="shared" si="988"/>
        <v>9</v>
      </c>
      <c r="M8283" s="5">
        <f t="shared" si="989"/>
        <v>2013</v>
      </c>
    </row>
    <row r="8284" spans="1:13" ht="15" x14ac:dyDescent="0.25">
      <c r="A8284" s="1">
        <f>DATE(2013,9,8)</f>
        <v>41525</v>
      </c>
      <c r="B8284" t="s">
        <v>20</v>
      </c>
      <c r="C8284" t="s">
        <v>8</v>
      </c>
      <c r="D8284" s="3">
        <v>1089.1422</v>
      </c>
      <c r="E8284" s="3">
        <v>0</v>
      </c>
      <c r="F8284" t="s">
        <v>45</v>
      </c>
      <c r="G8284" s="3">
        <f t="shared" si="983"/>
        <v>-1089.1422</v>
      </c>
      <c r="H8284" s="3">
        <f t="shared" si="984"/>
        <v>1089.1422</v>
      </c>
      <c r="I8284" s="5" t="str">
        <f t="shared" si="985"/>
        <v>018</v>
      </c>
      <c r="J8284" s="5" t="str">
        <f t="shared" si="986"/>
        <v>2210</v>
      </c>
      <c r="K8284" s="5" t="str">
        <f t="shared" si="987"/>
        <v>000</v>
      </c>
      <c r="L8284" s="5">
        <f t="shared" si="988"/>
        <v>9</v>
      </c>
      <c r="M8284" s="5">
        <f t="shared" si="989"/>
        <v>2013</v>
      </c>
    </row>
    <row r="8285" spans="1:13" ht="15" x14ac:dyDescent="0.25">
      <c r="A8285" s="1">
        <f>DATE(2013,9,8)</f>
        <v>41525</v>
      </c>
      <c r="B8285" t="s">
        <v>21</v>
      </c>
      <c r="C8285" t="s">
        <v>9</v>
      </c>
      <c r="D8285" s="3">
        <v>282.94560000000001</v>
      </c>
      <c r="E8285" s="3">
        <v>0</v>
      </c>
      <c r="F8285" t="s">
        <v>45</v>
      </c>
      <c r="G8285" s="3">
        <f t="shared" si="983"/>
        <v>-282.94560000000001</v>
      </c>
      <c r="H8285" s="3">
        <f t="shared" si="984"/>
        <v>282.94560000000001</v>
      </c>
      <c r="I8285" s="5" t="str">
        <f t="shared" si="985"/>
        <v>018</v>
      </c>
      <c r="J8285" s="5" t="str">
        <f t="shared" si="986"/>
        <v>2220</v>
      </c>
      <c r="K8285" s="5" t="str">
        <f t="shared" si="987"/>
        <v>000</v>
      </c>
      <c r="L8285" s="5">
        <f t="shared" si="988"/>
        <v>9</v>
      </c>
      <c r="M8285" s="5">
        <f t="shared" si="989"/>
        <v>2013</v>
      </c>
    </row>
    <row r="8286" spans="1:13" ht="15" x14ac:dyDescent="0.25">
      <c r="A8286" s="1">
        <f>DATE(2013,9,8)</f>
        <v>41525</v>
      </c>
      <c r="B8286" t="s">
        <v>22</v>
      </c>
      <c r="C8286" t="s">
        <v>10</v>
      </c>
      <c r="D8286" s="3">
        <v>36.148499999999999</v>
      </c>
      <c r="E8286" s="3">
        <v>0</v>
      </c>
      <c r="F8286" t="s">
        <v>45</v>
      </c>
      <c r="G8286" s="3">
        <f t="shared" si="983"/>
        <v>-36.148499999999999</v>
      </c>
      <c r="H8286" s="3">
        <f t="shared" si="984"/>
        <v>36.148499999999999</v>
      </c>
      <c r="I8286" s="5" t="str">
        <f t="shared" si="985"/>
        <v>018</v>
      </c>
      <c r="J8286" s="5" t="str">
        <f t="shared" si="986"/>
        <v>2230</v>
      </c>
      <c r="K8286" s="5" t="str">
        <f t="shared" si="987"/>
        <v>000</v>
      </c>
      <c r="L8286" s="5">
        <f t="shared" si="988"/>
        <v>9</v>
      </c>
      <c r="M8286" s="5">
        <f t="shared" si="989"/>
        <v>2013</v>
      </c>
    </row>
    <row r="8287" spans="1:13" ht="15" x14ac:dyDescent="0.25">
      <c r="A8287" s="1">
        <f>DATE(2013,9,2)</f>
        <v>41519</v>
      </c>
      <c r="B8287" t="s">
        <v>23</v>
      </c>
      <c r="C8287" t="s">
        <v>6</v>
      </c>
      <c r="D8287" s="3">
        <v>2947.0950000000003</v>
      </c>
      <c r="E8287" s="3">
        <v>0</v>
      </c>
      <c r="F8287" t="s">
        <v>45</v>
      </c>
      <c r="G8287" s="3">
        <f t="shared" si="983"/>
        <v>-2947.0950000000003</v>
      </c>
      <c r="H8287" s="3">
        <f t="shared" si="984"/>
        <v>2947.0950000000003</v>
      </c>
      <c r="I8287" s="5" t="str">
        <f t="shared" si="985"/>
        <v>019</v>
      </c>
      <c r="J8287" s="5" t="str">
        <f t="shared" si="986"/>
        <v>2100</v>
      </c>
      <c r="K8287" s="5" t="str">
        <f t="shared" si="987"/>
        <v>000</v>
      </c>
      <c r="L8287" s="5">
        <f t="shared" si="988"/>
        <v>9</v>
      </c>
      <c r="M8287" s="5">
        <f t="shared" si="989"/>
        <v>2013</v>
      </c>
    </row>
    <row r="8288" spans="1:13" ht="15" x14ac:dyDescent="0.25">
      <c r="A8288" s="1">
        <f>DATE(2013,9,2)</f>
        <v>41519</v>
      </c>
      <c r="B8288" t="s">
        <v>24</v>
      </c>
      <c r="C8288" t="s">
        <v>8</v>
      </c>
      <c r="D8288" s="3">
        <v>826.13369999999998</v>
      </c>
      <c r="E8288" s="3">
        <v>0</v>
      </c>
      <c r="F8288" t="s">
        <v>45</v>
      </c>
      <c r="G8288" s="3">
        <f t="shared" si="983"/>
        <v>-826.13369999999998</v>
      </c>
      <c r="H8288" s="3">
        <f t="shared" si="984"/>
        <v>826.13369999999998</v>
      </c>
      <c r="I8288" s="5" t="str">
        <f t="shared" si="985"/>
        <v>019</v>
      </c>
      <c r="J8288" s="5" t="str">
        <f t="shared" si="986"/>
        <v>2210</v>
      </c>
      <c r="K8288" s="5" t="str">
        <f t="shared" si="987"/>
        <v>000</v>
      </c>
      <c r="L8288" s="5">
        <f t="shared" si="988"/>
        <v>9</v>
      </c>
      <c r="M8288" s="5">
        <f t="shared" si="989"/>
        <v>2013</v>
      </c>
    </row>
    <row r="8289" spans="1:13" ht="15" x14ac:dyDescent="0.25">
      <c r="A8289" s="1">
        <f>DATE(2013,9,2)</f>
        <v>41519</v>
      </c>
      <c r="B8289" t="s">
        <v>25</v>
      </c>
      <c r="C8289" t="s">
        <v>9</v>
      </c>
      <c r="D8289" s="3">
        <v>137.15259999999998</v>
      </c>
      <c r="E8289" s="3">
        <v>0</v>
      </c>
      <c r="F8289" t="s">
        <v>45</v>
      </c>
      <c r="G8289" s="3">
        <f t="shared" si="983"/>
        <v>-137.15259999999998</v>
      </c>
      <c r="H8289" s="3">
        <f t="shared" si="984"/>
        <v>137.15259999999998</v>
      </c>
      <c r="I8289" s="5" t="str">
        <f t="shared" si="985"/>
        <v>019</v>
      </c>
      <c r="J8289" s="5" t="str">
        <f t="shared" si="986"/>
        <v>2220</v>
      </c>
      <c r="K8289" s="5" t="str">
        <f t="shared" si="987"/>
        <v>000</v>
      </c>
      <c r="L8289" s="5">
        <f t="shared" si="988"/>
        <v>9</v>
      </c>
      <c r="M8289" s="5">
        <f t="shared" si="989"/>
        <v>2013</v>
      </c>
    </row>
    <row r="8290" spans="1:13" ht="15" x14ac:dyDescent="0.25">
      <c r="A8290" s="1">
        <f>DATE(2013,9,2)</f>
        <v>41519</v>
      </c>
      <c r="B8290" t="s">
        <v>26</v>
      </c>
      <c r="C8290" t="s">
        <v>10</v>
      </c>
      <c r="D8290" s="3">
        <v>24.446999999999999</v>
      </c>
      <c r="E8290" s="3">
        <v>0</v>
      </c>
      <c r="F8290" t="s">
        <v>45</v>
      </c>
      <c r="G8290" s="3">
        <f t="shared" si="983"/>
        <v>-24.446999999999999</v>
      </c>
      <c r="H8290" s="3">
        <f t="shared" si="984"/>
        <v>24.446999999999999</v>
      </c>
      <c r="I8290" s="5" t="str">
        <f t="shared" si="985"/>
        <v>019</v>
      </c>
      <c r="J8290" s="5" t="str">
        <f t="shared" si="986"/>
        <v>2230</v>
      </c>
      <c r="K8290" s="5" t="str">
        <f t="shared" si="987"/>
        <v>000</v>
      </c>
      <c r="L8290" s="5">
        <f t="shared" si="988"/>
        <v>9</v>
      </c>
      <c r="M8290" s="5">
        <f t="shared" si="989"/>
        <v>2013</v>
      </c>
    </row>
    <row r="8291" spans="1:13" ht="15" x14ac:dyDescent="0.25">
      <c r="A8291" s="1">
        <f>DATE(2013,9,3)</f>
        <v>41520</v>
      </c>
      <c r="B8291" t="s">
        <v>23</v>
      </c>
      <c r="C8291" t="s">
        <v>6</v>
      </c>
      <c r="D8291" s="3">
        <v>2477.9454999999998</v>
      </c>
      <c r="E8291" s="3">
        <v>0</v>
      </c>
      <c r="F8291" t="s">
        <v>45</v>
      </c>
      <c r="G8291" s="3">
        <f t="shared" si="983"/>
        <v>-2477.9454999999998</v>
      </c>
      <c r="H8291" s="3">
        <f t="shared" si="984"/>
        <v>2477.9454999999998</v>
      </c>
      <c r="I8291" s="5" t="str">
        <f t="shared" si="985"/>
        <v>019</v>
      </c>
      <c r="J8291" s="5" t="str">
        <f t="shared" si="986"/>
        <v>2100</v>
      </c>
      <c r="K8291" s="5" t="str">
        <f t="shared" si="987"/>
        <v>000</v>
      </c>
      <c r="L8291" s="5">
        <f t="shared" si="988"/>
        <v>9</v>
      </c>
      <c r="M8291" s="5">
        <f t="shared" si="989"/>
        <v>2013</v>
      </c>
    </row>
    <row r="8292" spans="1:13" ht="15" x14ac:dyDescent="0.25">
      <c r="A8292" s="1">
        <f>DATE(2013,9,3)</f>
        <v>41520</v>
      </c>
      <c r="B8292" t="s">
        <v>24</v>
      </c>
      <c r="C8292" t="s">
        <v>8</v>
      </c>
      <c r="D8292" s="3">
        <v>632.61599999999999</v>
      </c>
      <c r="E8292" s="3">
        <v>0</v>
      </c>
      <c r="F8292" t="s">
        <v>45</v>
      </c>
      <c r="G8292" s="3">
        <f t="shared" si="983"/>
        <v>-632.61599999999999</v>
      </c>
      <c r="H8292" s="3">
        <f t="shared" si="984"/>
        <v>632.61599999999999</v>
      </c>
      <c r="I8292" s="5" t="str">
        <f t="shared" si="985"/>
        <v>019</v>
      </c>
      <c r="J8292" s="5" t="str">
        <f t="shared" si="986"/>
        <v>2210</v>
      </c>
      <c r="K8292" s="5" t="str">
        <f t="shared" si="987"/>
        <v>000</v>
      </c>
      <c r="L8292" s="5">
        <f t="shared" si="988"/>
        <v>9</v>
      </c>
      <c r="M8292" s="5">
        <f t="shared" si="989"/>
        <v>2013</v>
      </c>
    </row>
    <row r="8293" spans="1:13" ht="15" x14ac:dyDescent="0.25">
      <c r="A8293" s="1">
        <f>DATE(2013,9,3)</f>
        <v>41520</v>
      </c>
      <c r="B8293" t="s">
        <v>25</v>
      </c>
      <c r="C8293" t="s">
        <v>9</v>
      </c>
      <c r="D8293" s="3">
        <v>112.38499999999999</v>
      </c>
      <c r="E8293" s="3">
        <v>0</v>
      </c>
      <c r="F8293" t="s">
        <v>45</v>
      </c>
      <c r="G8293" s="3">
        <f t="shared" si="983"/>
        <v>-112.38499999999999</v>
      </c>
      <c r="H8293" s="3">
        <f t="shared" si="984"/>
        <v>112.38499999999999</v>
      </c>
      <c r="I8293" s="5" t="str">
        <f t="shared" si="985"/>
        <v>019</v>
      </c>
      <c r="J8293" s="5" t="str">
        <f t="shared" si="986"/>
        <v>2220</v>
      </c>
      <c r="K8293" s="5" t="str">
        <f t="shared" si="987"/>
        <v>000</v>
      </c>
      <c r="L8293" s="5">
        <f t="shared" si="988"/>
        <v>9</v>
      </c>
      <c r="M8293" s="5">
        <f t="shared" si="989"/>
        <v>2013</v>
      </c>
    </row>
    <row r="8294" spans="1:13" ht="15" x14ac:dyDescent="0.25">
      <c r="A8294" s="1">
        <f>DATE(2013,9,3)</f>
        <v>41520</v>
      </c>
      <c r="B8294" t="s">
        <v>26</v>
      </c>
      <c r="C8294" t="s">
        <v>10</v>
      </c>
      <c r="D8294" s="3">
        <v>27.462999999999997</v>
      </c>
      <c r="E8294" s="3">
        <v>0</v>
      </c>
      <c r="F8294" t="s">
        <v>45</v>
      </c>
      <c r="G8294" s="3">
        <f t="shared" si="983"/>
        <v>-27.462999999999997</v>
      </c>
      <c r="H8294" s="3">
        <f t="shared" si="984"/>
        <v>27.462999999999997</v>
      </c>
      <c r="I8294" s="5" t="str">
        <f t="shared" si="985"/>
        <v>019</v>
      </c>
      <c r="J8294" s="5" t="str">
        <f t="shared" si="986"/>
        <v>2230</v>
      </c>
      <c r="K8294" s="5" t="str">
        <f t="shared" si="987"/>
        <v>000</v>
      </c>
      <c r="L8294" s="5">
        <f t="shared" si="988"/>
        <v>9</v>
      </c>
      <c r="M8294" s="5">
        <f t="shared" si="989"/>
        <v>2013</v>
      </c>
    </row>
    <row r="8295" spans="1:13" ht="15" x14ac:dyDescent="0.25">
      <c r="A8295" s="1">
        <f>DATE(2013,9,4)</f>
        <v>41521</v>
      </c>
      <c r="B8295" t="s">
        <v>23</v>
      </c>
      <c r="C8295" t="s">
        <v>6</v>
      </c>
      <c r="D8295" s="3">
        <v>2104.9270000000001</v>
      </c>
      <c r="E8295" s="3">
        <v>0</v>
      </c>
      <c r="F8295" t="s">
        <v>45</v>
      </c>
      <c r="G8295" s="3">
        <f t="shared" si="983"/>
        <v>-2104.9270000000001</v>
      </c>
      <c r="H8295" s="3">
        <f t="shared" si="984"/>
        <v>2104.9270000000001</v>
      </c>
      <c r="I8295" s="5" t="str">
        <f t="shared" si="985"/>
        <v>019</v>
      </c>
      <c r="J8295" s="5" t="str">
        <f t="shared" si="986"/>
        <v>2100</v>
      </c>
      <c r="K8295" s="5" t="str">
        <f t="shared" si="987"/>
        <v>000</v>
      </c>
      <c r="L8295" s="5">
        <f t="shared" si="988"/>
        <v>9</v>
      </c>
      <c r="M8295" s="5">
        <f t="shared" si="989"/>
        <v>2013</v>
      </c>
    </row>
    <row r="8296" spans="1:13" ht="15" x14ac:dyDescent="0.25">
      <c r="A8296" s="1">
        <f>DATE(2013,9,4)</f>
        <v>41521</v>
      </c>
      <c r="B8296" t="s">
        <v>24</v>
      </c>
      <c r="C8296" t="s">
        <v>8</v>
      </c>
      <c r="D8296" s="3">
        <v>759.71230000000003</v>
      </c>
      <c r="E8296" s="3">
        <v>0</v>
      </c>
      <c r="F8296" t="s">
        <v>45</v>
      </c>
      <c r="G8296" s="3">
        <f t="shared" si="983"/>
        <v>-759.71230000000003</v>
      </c>
      <c r="H8296" s="3">
        <f t="shared" si="984"/>
        <v>759.71230000000003</v>
      </c>
      <c r="I8296" s="5" t="str">
        <f t="shared" si="985"/>
        <v>019</v>
      </c>
      <c r="J8296" s="5" t="str">
        <f t="shared" si="986"/>
        <v>2210</v>
      </c>
      <c r="K8296" s="5" t="str">
        <f t="shared" si="987"/>
        <v>000</v>
      </c>
      <c r="L8296" s="5">
        <f t="shared" si="988"/>
        <v>9</v>
      </c>
      <c r="M8296" s="5">
        <f t="shared" si="989"/>
        <v>2013</v>
      </c>
    </row>
    <row r="8297" spans="1:13" ht="15" x14ac:dyDescent="0.25">
      <c r="A8297" s="1">
        <f>DATE(2013,9,4)</f>
        <v>41521</v>
      </c>
      <c r="B8297" t="s">
        <v>25</v>
      </c>
      <c r="C8297" t="s">
        <v>9</v>
      </c>
      <c r="D8297" s="3">
        <v>180.54749999999999</v>
      </c>
      <c r="E8297" s="3">
        <v>0</v>
      </c>
      <c r="F8297" t="s">
        <v>45</v>
      </c>
      <c r="G8297" s="3">
        <f t="shared" si="983"/>
        <v>-180.54749999999999</v>
      </c>
      <c r="H8297" s="3">
        <f t="shared" si="984"/>
        <v>180.54749999999999</v>
      </c>
      <c r="I8297" s="5" t="str">
        <f t="shared" si="985"/>
        <v>019</v>
      </c>
      <c r="J8297" s="5" t="str">
        <f t="shared" si="986"/>
        <v>2220</v>
      </c>
      <c r="K8297" s="5" t="str">
        <f t="shared" si="987"/>
        <v>000</v>
      </c>
      <c r="L8297" s="5">
        <f t="shared" si="988"/>
        <v>9</v>
      </c>
      <c r="M8297" s="5">
        <f t="shared" si="989"/>
        <v>2013</v>
      </c>
    </row>
    <row r="8298" spans="1:13" ht="15" x14ac:dyDescent="0.25">
      <c r="A8298" s="1">
        <f>DATE(2013,9,4)</f>
        <v>41521</v>
      </c>
      <c r="B8298" t="s">
        <v>26</v>
      </c>
      <c r="C8298" t="s">
        <v>10</v>
      </c>
      <c r="D8298" s="3">
        <v>61.974000000000004</v>
      </c>
      <c r="E8298" s="3">
        <v>0</v>
      </c>
      <c r="F8298" t="s">
        <v>45</v>
      </c>
      <c r="G8298" s="3">
        <f t="shared" si="983"/>
        <v>-61.974000000000004</v>
      </c>
      <c r="H8298" s="3">
        <f t="shared" si="984"/>
        <v>61.974000000000004</v>
      </c>
      <c r="I8298" s="5" t="str">
        <f t="shared" si="985"/>
        <v>019</v>
      </c>
      <c r="J8298" s="5" t="str">
        <f t="shared" si="986"/>
        <v>2230</v>
      </c>
      <c r="K8298" s="5" t="str">
        <f t="shared" si="987"/>
        <v>000</v>
      </c>
      <c r="L8298" s="5">
        <f t="shared" si="988"/>
        <v>9</v>
      </c>
      <c r="M8298" s="5">
        <f t="shared" si="989"/>
        <v>2013</v>
      </c>
    </row>
    <row r="8299" spans="1:13" ht="15" x14ac:dyDescent="0.25">
      <c r="A8299" s="1">
        <f>DATE(2013,9,5)</f>
        <v>41522</v>
      </c>
      <c r="B8299" t="s">
        <v>23</v>
      </c>
      <c r="C8299" t="s">
        <v>6</v>
      </c>
      <c r="D8299" s="3">
        <v>2433.7445000000002</v>
      </c>
      <c r="E8299" s="3">
        <v>0</v>
      </c>
      <c r="F8299" t="s">
        <v>45</v>
      </c>
      <c r="G8299" s="3">
        <f t="shared" si="983"/>
        <v>-2433.7445000000002</v>
      </c>
      <c r="H8299" s="3">
        <f t="shared" si="984"/>
        <v>2433.7445000000002</v>
      </c>
      <c r="I8299" s="5" t="str">
        <f t="shared" si="985"/>
        <v>019</v>
      </c>
      <c r="J8299" s="5" t="str">
        <f t="shared" si="986"/>
        <v>2100</v>
      </c>
      <c r="K8299" s="5" t="str">
        <f t="shared" si="987"/>
        <v>000</v>
      </c>
      <c r="L8299" s="5">
        <f t="shared" si="988"/>
        <v>9</v>
      </c>
      <c r="M8299" s="5">
        <f t="shared" si="989"/>
        <v>2013</v>
      </c>
    </row>
    <row r="8300" spans="1:13" ht="15" x14ac:dyDescent="0.25">
      <c r="A8300" s="1">
        <f>DATE(2013,9,5)</f>
        <v>41522</v>
      </c>
      <c r="B8300" t="s">
        <v>24</v>
      </c>
      <c r="C8300" t="s">
        <v>8</v>
      </c>
      <c r="D8300" s="3">
        <v>1393.9471000000001</v>
      </c>
      <c r="E8300" s="3">
        <v>0</v>
      </c>
      <c r="F8300" t="s">
        <v>45</v>
      </c>
      <c r="G8300" s="3">
        <f t="shared" si="983"/>
        <v>-1393.9471000000001</v>
      </c>
      <c r="H8300" s="3">
        <f t="shared" si="984"/>
        <v>1393.9471000000001</v>
      </c>
      <c r="I8300" s="5" t="str">
        <f t="shared" si="985"/>
        <v>019</v>
      </c>
      <c r="J8300" s="5" t="str">
        <f t="shared" si="986"/>
        <v>2210</v>
      </c>
      <c r="K8300" s="5" t="str">
        <f t="shared" si="987"/>
        <v>000</v>
      </c>
      <c r="L8300" s="5">
        <f t="shared" si="988"/>
        <v>9</v>
      </c>
      <c r="M8300" s="5">
        <f t="shared" si="989"/>
        <v>2013</v>
      </c>
    </row>
    <row r="8301" spans="1:13" ht="15" x14ac:dyDescent="0.25">
      <c r="A8301" s="1">
        <f>DATE(2013,9,5)</f>
        <v>41522</v>
      </c>
      <c r="B8301" t="s">
        <v>25</v>
      </c>
      <c r="C8301" t="s">
        <v>9</v>
      </c>
      <c r="D8301" s="3">
        <v>223.125</v>
      </c>
      <c r="E8301" s="3">
        <v>0</v>
      </c>
      <c r="F8301" t="s">
        <v>45</v>
      </c>
      <c r="G8301" s="3">
        <f t="shared" si="983"/>
        <v>-223.125</v>
      </c>
      <c r="H8301" s="3">
        <f t="shared" si="984"/>
        <v>223.125</v>
      </c>
      <c r="I8301" s="5" t="str">
        <f t="shared" si="985"/>
        <v>019</v>
      </c>
      <c r="J8301" s="5" t="str">
        <f t="shared" si="986"/>
        <v>2220</v>
      </c>
      <c r="K8301" s="5" t="str">
        <f t="shared" si="987"/>
        <v>000</v>
      </c>
      <c r="L8301" s="5">
        <f t="shared" si="988"/>
        <v>9</v>
      </c>
      <c r="M8301" s="5">
        <f t="shared" si="989"/>
        <v>2013</v>
      </c>
    </row>
    <row r="8302" spans="1:13" ht="15" x14ac:dyDescent="0.25">
      <c r="A8302" s="1">
        <f>DATE(2013,9,5)</f>
        <v>41522</v>
      </c>
      <c r="B8302" t="s">
        <v>26</v>
      </c>
      <c r="C8302" t="s">
        <v>10</v>
      </c>
      <c r="D8302" s="3">
        <v>24.532199999999996</v>
      </c>
      <c r="E8302" s="3">
        <v>0</v>
      </c>
      <c r="F8302" t="s">
        <v>45</v>
      </c>
      <c r="G8302" s="3">
        <f t="shared" si="983"/>
        <v>-24.532199999999996</v>
      </c>
      <c r="H8302" s="3">
        <f t="shared" si="984"/>
        <v>24.532199999999996</v>
      </c>
      <c r="I8302" s="5" t="str">
        <f t="shared" si="985"/>
        <v>019</v>
      </c>
      <c r="J8302" s="5" t="str">
        <f t="shared" si="986"/>
        <v>2230</v>
      </c>
      <c r="K8302" s="5" t="str">
        <f t="shared" si="987"/>
        <v>000</v>
      </c>
      <c r="L8302" s="5">
        <f t="shared" si="988"/>
        <v>9</v>
      </c>
      <c r="M8302" s="5">
        <f t="shared" si="989"/>
        <v>2013</v>
      </c>
    </row>
    <row r="8303" spans="1:13" ht="15" x14ac:dyDescent="0.25">
      <c r="A8303" s="1">
        <f>DATE(2013,9,6)</f>
        <v>41523</v>
      </c>
      <c r="B8303" t="s">
        <v>23</v>
      </c>
      <c r="C8303" t="s">
        <v>6</v>
      </c>
      <c r="D8303" s="3">
        <v>6068.3015999999998</v>
      </c>
      <c r="E8303" s="3">
        <v>0</v>
      </c>
      <c r="F8303" t="s">
        <v>45</v>
      </c>
      <c r="G8303" s="3">
        <f t="shared" si="983"/>
        <v>-6068.3015999999998</v>
      </c>
      <c r="H8303" s="3">
        <f t="shared" si="984"/>
        <v>6068.3015999999998</v>
      </c>
      <c r="I8303" s="5" t="str">
        <f t="shared" si="985"/>
        <v>019</v>
      </c>
      <c r="J8303" s="5" t="str">
        <f t="shared" si="986"/>
        <v>2100</v>
      </c>
      <c r="K8303" s="5" t="str">
        <f t="shared" si="987"/>
        <v>000</v>
      </c>
      <c r="L8303" s="5">
        <f t="shared" si="988"/>
        <v>9</v>
      </c>
      <c r="M8303" s="5">
        <f t="shared" si="989"/>
        <v>2013</v>
      </c>
    </row>
    <row r="8304" spans="1:13" ht="15" x14ac:dyDescent="0.25">
      <c r="A8304" s="1">
        <f>DATE(2013,9,6)</f>
        <v>41523</v>
      </c>
      <c r="B8304" t="s">
        <v>24</v>
      </c>
      <c r="C8304" t="s">
        <v>8</v>
      </c>
      <c r="D8304" s="3">
        <v>2347.0862000000002</v>
      </c>
      <c r="E8304" s="3">
        <v>0</v>
      </c>
      <c r="F8304" t="s">
        <v>45</v>
      </c>
      <c r="G8304" s="3">
        <f t="shared" si="983"/>
        <v>-2347.0862000000002</v>
      </c>
      <c r="H8304" s="3">
        <f t="shared" si="984"/>
        <v>2347.0862000000002</v>
      </c>
      <c r="I8304" s="5" t="str">
        <f t="shared" si="985"/>
        <v>019</v>
      </c>
      <c r="J8304" s="5" t="str">
        <f t="shared" si="986"/>
        <v>2210</v>
      </c>
      <c r="K8304" s="5" t="str">
        <f t="shared" si="987"/>
        <v>000</v>
      </c>
      <c r="L8304" s="5">
        <f t="shared" si="988"/>
        <v>9</v>
      </c>
      <c r="M8304" s="5">
        <f t="shared" si="989"/>
        <v>2013</v>
      </c>
    </row>
    <row r="8305" spans="1:13" ht="15" x14ac:dyDescent="0.25">
      <c r="A8305" s="1">
        <f>DATE(2013,9,6)</f>
        <v>41523</v>
      </c>
      <c r="B8305" t="s">
        <v>25</v>
      </c>
      <c r="C8305" t="s">
        <v>9</v>
      </c>
      <c r="D8305" s="3">
        <v>205.1968</v>
      </c>
      <c r="E8305" s="3">
        <v>0</v>
      </c>
      <c r="F8305" t="s">
        <v>45</v>
      </c>
      <c r="G8305" s="3">
        <f t="shared" si="983"/>
        <v>-205.1968</v>
      </c>
      <c r="H8305" s="3">
        <f t="shared" si="984"/>
        <v>205.1968</v>
      </c>
      <c r="I8305" s="5" t="str">
        <f t="shared" si="985"/>
        <v>019</v>
      </c>
      <c r="J8305" s="5" t="str">
        <f t="shared" si="986"/>
        <v>2220</v>
      </c>
      <c r="K8305" s="5" t="str">
        <f t="shared" si="987"/>
        <v>000</v>
      </c>
      <c r="L8305" s="5">
        <f t="shared" si="988"/>
        <v>9</v>
      </c>
      <c r="M8305" s="5">
        <f t="shared" si="989"/>
        <v>2013</v>
      </c>
    </row>
    <row r="8306" spans="1:13" ht="15" x14ac:dyDescent="0.25">
      <c r="A8306" s="1">
        <f>DATE(2013,9,6)</f>
        <v>41523</v>
      </c>
      <c r="B8306" t="s">
        <v>26</v>
      </c>
      <c r="C8306" t="s">
        <v>10</v>
      </c>
      <c r="D8306" s="3">
        <v>50.267700000000005</v>
      </c>
      <c r="E8306" s="3">
        <v>0</v>
      </c>
      <c r="F8306" t="s">
        <v>45</v>
      </c>
      <c r="G8306" s="3">
        <f t="shared" si="983"/>
        <v>-50.267700000000005</v>
      </c>
      <c r="H8306" s="3">
        <f t="shared" si="984"/>
        <v>50.267700000000005</v>
      </c>
      <c r="I8306" s="5" t="str">
        <f t="shared" si="985"/>
        <v>019</v>
      </c>
      <c r="J8306" s="5" t="str">
        <f t="shared" si="986"/>
        <v>2230</v>
      </c>
      <c r="K8306" s="5" t="str">
        <f t="shared" si="987"/>
        <v>000</v>
      </c>
      <c r="L8306" s="5">
        <f t="shared" si="988"/>
        <v>9</v>
      </c>
      <c r="M8306" s="5">
        <f t="shared" si="989"/>
        <v>2013</v>
      </c>
    </row>
    <row r="8307" spans="1:13" ht="15" x14ac:dyDescent="0.25">
      <c r="A8307" s="1">
        <f>DATE(2013,9,7)</f>
        <v>41524</v>
      </c>
      <c r="B8307" t="s">
        <v>23</v>
      </c>
      <c r="C8307" t="s">
        <v>6</v>
      </c>
      <c r="D8307" s="3">
        <v>4345.4927000000007</v>
      </c>
      <c r="E8307" s="3">
        <v>0</v>
      </c>
      <c r="F8307" t="s">
        <v>45</v>
      </c>
      <c r="G8307" s="3">
        <f t="shared" si="983"/>
        <v>-4345.4927000000007</v>
      </c>
      <c r="H8307" s="3">
        <f t="shared" si="984"/>
        <v>4345.4927000000007</v>
      </c>
      <c r="I8307" s="5" t="str">
        <f t="shared" si="985"/>
        <v>019</v>
      </c>
      <c r="J8307" s="5" t="str">
        <f t="shared" si="986"/>
        <v>2100</v>
      </c>
      <c r="K8307" s="5" t="str">
        <f t="shared" si="987"/>
        <v>000</v>
      </c>
      <c r="L8307" s="5">
        <f t="shared" si="988"/>
        <v>9</v>
      </c>
      <c r="M8307" s="5">
        <f t="shared" si="989"/>
        <v>2013</v>
      </c>
    </row>
    <row r="8308" spans="1:13" ht="15" x14ac:dyDescent="0.25">
      <c r="A8308" s="1">
        <f>DATE(2013,9,7)</f>
        <v>41524</v>
      </c>
      <c r="B8308" t="s">
        <v>24</v>
      </c>
      <c r="C8308" t="s">
        <v>8</v>
      </c>
      <c r="D8308" s="3">
        <v>1861.0239999999999</v>
      </c>
      <c r="E8308" s="3">
        <v>0</v>
      </c>
      <c r="F8308" t="s">
        <v>45</v>
      </c>
      <c r="G8308" s="3">
        <f t="shared" si="983"/>
        <v>-1861.0239999999999</v>
      </c>
      <c r="H8308" s="3">
        <f t="shared" si="984"/>
        <v>1861.0239999999999</v>
      </c>
      <c r="I8308" s="5" t="str">
        <f t="shared" si="985"/>
        <v>019</v>
      </c>
      <c r="J8308" s="5" t="str">
        <f t="shared" si="986"/>
        <v>2210</v>
      </c>
      <c r="K8308" s="5" t="str">
        <f t="shared" si="987"/>
        <v>000</v>
      </c>
      <c r="L8308" s="5">
        <f t="shared" si="988"/>
        <v>9</v>
      </c>
      <c r="M8308" s="5">
        <f t="shared" si="989"/>
        <v>2013</v>
      </c>
    </row>
    <row r="8309" spans="1:13" ht="15" x14ac:dyDescent="0.25">
      <c r="A8309" s="1">
        <f>DATE(2013,9,7)</f>
        <v>41524</v>
      </c>
      <c r="B8309" t="s">
        <v>25</v>
      </c>
      <c r="C8309" t="s">
        <v>9</v>
      </c>
      <c r="D8309" s="3">
        <v>595.15599999999995</v>
      </c>
      <c r="E8309" s="3">
        <v>0</v>
      </c>
      <c r="F8309" t="s">
        <v>45</v>
      </c>
      <c r="G8309" s="3">
        <f t="shared" si="983"/>
        <v>-595.15599999999995</v>
      </c>
      <c r="H8309" s="3">
        <f t="shared" si="984"/>
        <v>595.15599999999995</v>
      </c>
      <c r="I8309" s="5" t="str">
        <f t="shared" si="985"/>
        <v>019</v>
      </c>
      <c r="J8309" s="5" t="str">
        <f t="shared" si="986"/>
        <v>2220</v>
      </c>
      <c r="K8309" s="5" t="str">
        <f t="shared" si="987"/>
        <v>000</v>
      </c>
      <c r="L8309" s="5">
        <f t="shared" si="988"/>
        <v>9</v>
      </c>
      <c r="M8309" s="5">
        <f t="shared" si="989"/>
        <v>2013</v>
      </c>
    </row>
    <row r="8310" spans="1:13" ht="15" x14ac:dyDescent="0.25">
      <c r="A8310" s="1">
        <f>DATE(2013,9,7)</f>
        <v>41524</v>
      </c>
      <c r="B8310" t="s">
        <v>26</v>
      </c>
      <c r="C8310" t="s">
        <v>10</v>
      </c>
      <c r="D8310" s="3">
        <v>34.060699999999997</v>
      </c>
      <c r="E8310" s="3">
        <v>0</v>
      </c>
      <c r="F8310" t="s">
        <v>45</v>
      </c>
      <c r="G8310" s="3">
        <f t="shared" si="983"/>
        <v>-34.060699999999997</v>
      </c>
      <c r="H8310" s="3">
        <f t="shared" si="984"/>
        <v>34.060699999999997</v>
      </c>
      <c r="I8310" s="5" t="str">
        <f t="shared" si="985"/>
        <v>019</v>
      </c>
      <c r="J8310" s="5" t="str">
        <f t="shared" si="986"/>
        <v>2230</v>
      </c>
      <c r="K8310" s="5" t="str">
        <f t="shared" si="987"/>
        <v>000</v>
      </c>
      <c r="L8310" s="5">
        <f t="shared" si="988"/>
        <v>9</v>
      </c>
      <c r="M8310" s="5">
        <f t="shared" si="989"/>
        <v>2013</v>
      </c>
    </row>
    <row r="8311" spans="1:13" ht="15" x14ac:dyDescent="0.25">
      <c r="A8311" s="1">
        <f>DATE(2013,9,8)</f>
        <v>41525</v>
      </c>
      <c r="B8311" t="s">
        <v>23</v>
      </c>
      <c r="C8311" t="s">
        <v>6</v>
      </c>
      <c r="D8311" s="3">
        <v>3202.8528000000001</v>
      </c>
      <c r="E8311" s="3">
        <v>0</v>
      </c>
      <c r="F8311" t="s">
        <v>45</v>
      </c>
      <c r="G8311" s="3">
        <f t="shared" si="983"/>
        <v>-3202.8528000000001</v>
      </c>
      <c r="H8311" s="3">
        <f t="shared" si="984"/>
        <v>3202.8528000000001</v>
      </c>
      <c r="I8311" s="5" t="str">
        <f t="shared" si="985"/>
        <v>019</v>
      </c>
      <c r="J8311" s="5" t="str">
        <f t="shared" si="986"/>
        <v>2100</v>
      </c>
      <c r="K8311" s="5" t="str">
        <f t="shared" si="987"/>
        <v>000</v>
      </c>
      <c r="L8311" s="5">
        <f t="shared" si="988"/>
        <v>9</v>
      </c>
      <c r="M8311" s="5">
        <f t="shared" si="989"/>
        <v>2013</v>
      </c>
    </row>
    <row r="8312" spans="1:13" ht="15" x14ac:dyDescent="0.25">
      <c r="A8312" s="1">
        <f>DATE(2013,9,8)</f>
        <v>41525</v>
      </c>
      <c r="B8312" t="s">
        <v>24</v>
      </c>
      <c r="C8312" t="s">
        <v>8</v>
      </c>
      <c r="D8312" s="3">
        <v>1334.0855999999999</v>
      </c>
      <c r="E8312" s="3">
        <v>0</v>
      </c>
      <c r="F8312" t="s">
        <v>45</v>
      </c>
      <c r="G8312" s="3">
        <f t="shared" si="983"/>
        <v>-1334.0855999999999</v>
      </c>
      <c r="H8312" s="3">
        <f t="shared" si="984"/>
        <v>1334.0855999999999</v>
      </c>
      <c r="I8312" s="5" t="str">
        <f t="shared" si="985"/>
        <v>019</v>
      </c>
      <c r="J8312" s="5" t="str">
        <f t="shared" si="986"/>
        <v>2210</v>
      </c>
      <c r="K8312" s="5" t="str">
        <f t="shared" si="987"/>
        <v>000</v>
      </c>
      <c r="L8312" s="5">
        <f t="shared" si="988"/>
        <v>9</v>
      </c>
      <c r="M8312" s="5">
        <f t="shared" si="989"/>
        <v>2013</v>
      </c>
    </row>
    <row r="8313" spans="1:13" ht="15" x14ac:dyDescent="0.25">
      <c r="A8313" s="1">
        <f>DATE(2013,9,8)</f>
        <v>41525</v>
      </c>
      <c r="B8313" t="s">
        <v>25</v>
      </c>
      <c r="C8313" t="s">
        <v>9</v>
      </c>
      <c r="D8313" s="3">
        <v>214.84539999999998</v>
      </c>
      <c r="E8313" s="3">
        <v>0</v>
      </c>
      <c r="F8313" t="s">
        <v>45</v>
      </c>
      <c r="G8313" s="3">
        <f t="shared" si="983"/>
        <v>-214.84539999999998</v>
      </c>
      <c r="H8313" s="3">
        <f t="shared" si="984"/>
        <v>214.84539999999998</v>
      </c>
      <c r="I8313" s="5" t="str">
        <f t="shared" si="985"/>
        <v>019</v>
      </c>
      <c r="J8313" s="5" t="str">
        <f t="shared" si="986"/>
        <v>2220</v>
      </c>
      <c r="K8313" s="5" t="str">
        <f t="shared" si="987"/>
        <v>000</v>
      </c>
      <c r="L8313" s="5">
        <f t="shared" si="988"/>
        <v>9</v>
      </c>
      <c r="M8313" s="5">
        <f t="shared" si="989"/>
        <v>2013</v>
      </c>
    </row>
    <row r="8314" spans="1:13" ht="15" x14ac:dyDescent="0.25">
      <c r="A8314" s="1">
        <f>DATE(2013,9,8)</f>
        <v>41525</v>
      </c>
      <c r="B8314" t="s">
        <v>26</v>
      </c>
      <c r="C8314" t="s">
        <v>10</v>
      </c>
      <c r="D8314" s="3">
        <v>38.369</v>
      </c>
      <c r="E8314" s="3">
        <v>0</v>
      </c>
      <c r="F8314" t="s">
        <v>45</v>
      </c>
      <c r="G8314" s="3">
        <f t="shared" si="983"/>
        <v>-38.369</v>
      </c>
      <c r="H8314" s="3">
        <f t="shared" si="984"/>
        <v>38.369</v>
      </c>
      <c r="I8314" s="5" t="str">
        <f t="shared" si="985"/>
        <v>019</v>
      </c>
      <c r="J8314" s="5" t="str">
        <f t="shared" si="986"/>
        <v>2230</v>
      </c>
      <c r="K8314" s="5" t="str">
        <f t="shared" si="987"/>
        <v>000</v>
      </c>
      <c r="L8314" s="5">
        <f t="shared" si="988"/>
        <v>9</v>
      </c>
      <c r="M8314" s="5">
        <f t="shared" si="989"/>
        <v>2013</v>
      </c>
    </row>
    <row r="8315" spans="1:13" ht="15" x14ac:dyDescent="0.25">
      <c r="A8315" s="1">
        <f>DATE(2013,9,9)</f>
        <v>41526</v>
      </c>
      <c r="B8315" t="s">
        <v>11</v>
      </c>
      <c r="C8315" t="s">
        <v>6</v>
      </c>
      <c r="D8315" s="3">
        <v>1756.5827999999999</v>
      </c>
      <c r="E8315" s="3">
        <v>0</v>
      </c>
      <c r="F8315" t="s">
        <v>45</v>
      </c>
      <c r="G8315" s="3">
        <f t="shared" si="983"/>
        <v>-1756.5827999999999</v>
      </c>
      <c r="H8315" s="3">
        <f t="shared" si="984"/>
        <v>1756.5827999999999</v>
      </c>
      <c r="I8315" s="5" t="str">
        <f t="shared" si="985"/>
        <v>016</v>
      </c>
      <c r="J8315" s="5" t="str">
        <f t="shared" si="986"/>
        <v>2100</v>
      </c>
      <c r="K8315" s="5" t="str">
        <f t="shared" si="987"/>
        <v>000</v>
      </c>
      <c r="L8315" s="5">
        <f t="shared" si="988"/>
        <v>9</v>
      </c>
      <c r="M8315" s="5">
        <f t="shared" si="989"/>
        <v>2013</v>
      </c>
    </row>
    <row r="8316" spans="1:13" ht="15" x14ac:dyDescent="0.25">
      <c r="A8316" s="1">
        <f>DATE(2013,9,9)</f>
        <v>41526</v>
      </c>
      <c r="B8316" t="s">
        <v>12</v>
      </c>
      <c r="C8316" t="s">
        <v>8</v>
      </c>
      <c r="D8316" s="3">
        <v>373.91160000000002</v>
      </c>
      <c r="E8316" s="3">
        <v>0</v>
      </c>
      <c r="F8316" t="s">
        <v>45</v>
      </c>
      <c r="G8316" s="3">
        <f t="shared" si="983"/>
        <v>-373.91160000000002</v>
      </c>
      <c r="H8316" s="3">
        <f t="shared" si="984"/>
        <v>373.91160000000002</v>
      </c>
      <c r="I8316" s="5" t="str">
        <f t="shared" si="985"/>
        <v>016</v>
      </c>
      <c r="J8316" s="5" t="str">
        <f t="shared" si="986"/>
        <v>2210</v>
      </c>
      <c r="K8316" s="5" t="str">
        <f t="shared" si="987"/>
        <v>000</v>
      </c>
      <c r="L8316" s="5">
        <f t="shared" si="988"/>
        <v>9</v>
      </c>
      <c r="M8316" s="5">
        <f t="shared" si="989"/>
        <v>2013</v>
      </c>
    </row>
    <row r="8317" spans="1:13" ht="15" x14ac:dyDescent="0.25">
      <c r="A8317" s="1">
        <f>DATE(2013,9,9)</f>
        <v>41526</v>
      </c>
      <c r="B8317" t="s">
        <v>13</v>
      </c>
      <c r="C8317" t="s">
        <v>9</v>
      </c>
      <c r="D8317" s="3">
        <v>85.608000000000004</v>
      </c>
      <c r="E8317" s="3">
        <v>0</v>
      </c>
      <c r="F8317" t="s">
        <v>45</v>
      </c>
      <c r="G8317" s="3">
        <f t="shared" si="983"/>
        <v>-85.608000000000004</v>
      </c>
      <c r="H8317" s="3">
        <f t="shared" si="984"/>
        <v>85.608000000000004</v>
      </c>
      <c r="I8317" s="5" t="str">
        <f t="shared" si="985"/>
        <v>016</v>
      </c>
      <c r="J8317" s="5" t="str">
        <f t="shared" si="986"/>
        <v>2220</v>
      </c>
      <c r="K8317" s="5" t="str">
        <f t="shared" si="987"/>
        <v>000</v>
      </c>
      <c r="L8317" s="5">
        <f t="shared" si="988"/>
        <v>9</v>
      </c>
      <c r="M8317" s="5">
        <f t="shared" si="989"/>
        <v>2013</v>
      </c>
    </row>
    <row r="8318" spans="1:13" ht="15" x14ac:dyDescent="0.25">
      <c r="A8318" s="1">
        <f>DATE(2013,9,9)</f>
        <v>41526</v>
      </c>
      <c r="B8318" t="s">
        <v>14</v>
      </c>
      <c r="C8318" t="s">
        <v>10</v>
      </c>
      <c r="D8318" s="3">
        <v>17.093399999999999</v>
      </c>
      <c r="E8318" s="3">
        <v>0</v>
      </c>
      <c r="F8318" t="s">
        <v>45</v>
      </c>
      <c r="G8318" s="3">
        <f t="shared" si="983"/>
        <v>-17.093399999999999</v>
      </c>
      <c r="H8318" s="3">
        <f t="shared" si="984"/>
        <v>17.093399999999999</v>
      </c>
      <c r="I8318" s="5" t="str">
        <f t="shared" si="985"/>
        <v>016</v>
      </c>
      <c r="J8318" s="5" t="str">
        <f t="shared" si="986"/>
        <v>2230</v>
      </c>
      <c r="K8318" s="5" t="str">
        <f t="shared" si="987"/>
        <v>000</v>
      </c>
      <c r="L8318" s="5">
        <f t="shared" si="988"/>
        <v>9</v>
      </c>
      <c r="M8318" s="5">
        <f t="shared" si="989"/>
        <v>2013</v>
      </c>
    </row>
    <row r="8319" spans="1:13" ht="15" x14ac:dyDescent="0.25">
      <c r="A8319" s="1">
        <f>DATE(2013,9,10)</f>
        <v>41527</v>
      </c>
      <c r="B8319" t="s">
        <v>11</v>
      </c>
      <c r="C8319" t="s">
        <v>6</v>
      </c>
      <c r="D8319" s="3">
        <v>6916.3752000000004</v>
      </c>
      <c r="E8319" s="3">
        <v>0</v>
      </c>
      <c r="F8319" t="s">
        <v>45</v>
      </c>
      <c r="G8319" s="3">
        <f t="shared" si="983"/>
        <v>-6916.3752000000004</v>
      </c>
      <c r="H8319" s="3">
        <f t="shared" si="984"/>
        <v>6916.3752000000004</v>
      </c>
      <c r="I8319" s="5" t="str">
        <f t="shared" si="985"/>
        <v>016</v>
      </c>
      <c r="J8319" s="5" t="str">
        <f t="shared" si="986"/>
        <v>2100</v>
      </c>
      <c r="K8319" s="5" t="str">
        <f t="shared" si="987"/>
        <v>000</v>
      </c>
      <c r="L8319" s="5">
        <f t="shared" si="988"/>
        <v>9</v>
      </c>
      <c r="M8319" s="5">
        <f t="shared" si="989"/>
        <v>2013</v>
      </c>
    </row>
    <row r="8320" spans="1:13" ht="15" x14ac:dyDescent="0.25">
      <c r="A8320" s="1">
        <f>DATE(2013,9,10)</f>
        <v>41527</v>
      </c>
      <c r="B8320" t="s">
        <v>12</v>
      </c>
      <c r="C8320" t="s">
        <v>8</v>
      </c>
      <c r="D8320" s="3">
        <v>1280.1800999999998</v>
      </c>
      <c r="E8320" s="3">
        <v>0</v>
      </c>
      <c r="F8320" t="s">
        <v>45</v>
      </c>
      <c r="G8320" s="3">
        <f t="shared" si="983"/>
        <v>-1280.1800999999998</v>
      </c>
      <c r="H8320" s="3">
        <f t="shared" si="984"/>
        <v>1280.1800999999998</v>
      </c>
      <c r="I8320" s="5" t="str">
        <f t="shared" si="985"/>
        <v>016</v>
      </c>
      <c r="J8320" s="5" t="str">
        <f t="shared" si="986"/>
        <v>2210</v>
      </c>
      <c r="K8320" s="5" t="str">
        <f t="shared" si="987"/>
        <v>000</v>
      </c>
      <c r="L8320" s="5">
        <f t="shared" si="988"/>
        <v>9</v>
      </c>
      <c r="M8320" s="5">
        <f t="shared" si="989"/>
        <v>2013</v>
      </c>
    </row>
    <row r="8321" spans="1:13" ht="15" x14ac:dyDescent="0.25">
      <c r="A8321" s="1">
        <f>DATE(2013,9,10)</f>
        <v>41527</v>
      </c>
      <c r="B8321" t="s">
        <v>13</v>
      </c>
      <c r="C8321" t="s">
        <v>9</v>
      </c>
      <c r="D8321" s="3">
        <v>889.94399999999996</v>
      </c>
      <c r="E8321" s="3">
        <v>0</v>
      </c>
      <c r="F8321" t="s">
        <v>45</v>
      </c>
      <c r="G8321" s="3">
        <f t="shared" si="983"/>
        <v>-889.94399999999996</v>
      </c>
      <c r="H8321" s="3">
        <f t="shared" si="984"/>
        <v>889.94399999999996</v>
      </c>
      <c r="I8321" s="5" t="str">
        <f t="shared" si="985"/>
        <v>016</v>
      </c>
      <c r="J8321" s="5" t="str">
        <f t="shared" si="986"/>
        <v>2220</v>
      </c>
      <c r="K8321" s="5" t="str">
        <f t="shared" si="987"/>
        <v>000</v>
      </c>
      <c r="L8321" s="5">
        <f t="shared" si="988"/>
        <v>9</v>
      </c>
      <c r="M8321" s="5">
        <f t="shared" si="989"/>
        <v>2013</v>
      </c>
    </row>
    <row r="8322" spans="1:13" ht="15" x14ac:dyDescent="0.25">
      <c r="A8322" s="1">
        <f>DATE(2013,9,10)</f>
        <v>41527</v>
      </c>
      <c r="B8322" t="s">
        <v>14</v>
      </c>
      <c r="C8322" t="s">
        <v>10</v>
      </c>
      <c r="D8322" s="3">
        <v>54.8523</v>
      </c>
      <c r="E8322" s="3">
        <v>0</v>
      </c>
      <c r="F8322" t="s">
        <v>45</v>
      </c>
      <c r="G8322" s="3">
        <f t="shared" ref="G8322:G8385" si="990">E8322-D8322</f>
        <v>-54.8523</v>
      </c>
      <c r="H8322" s="3">
        <f t="shared" ref="H8322:H8385" si="991">ABS(G8322)</f>
        <v>54.8523</v>
      </c>
      <c r="I8322" s="5" t="str">
        <f t="shared" ref="I8322:I8385" si="992">MID(B8322,1,3)</f>
        <v>016</v>
      </c>
      <c r="J8322" s="5" t="str">
        <f t="shared" ref="J8322:J8385" si="993">MID(B8322,5,4)</f>
        <v>2230</v>
      </c>
      <c r="K8322" s="5" t="str">
        <f t="shared" ref="K8322:K8385" si="994">MID(B8322,10,3)</f>
        <v>000</v>
      </c>
      <c r="L8322" s="5">
        <f t="shared" ref="L8322:L8385" si="995">MONTH(A8322)</f>
        <v>9</v>
      </c>
      <c r="M8322" s="5">
        <f t="shared" ref="M8322:M8385" si="996">YEAR(A8322)</f>
        <v>2013</v>
      </c>
    </row>
    <row r="8323" spans="1:13" ht="15" x14ac:dyDescent="0.25">
      <c r="A8323" s="1">
        <f>DATE(2013,9,11)</f>
        <v>41528</v>
      </c>
      <c r="B8323" t="s">
        <v>11</v>
      </c>
      <c r="C8323" t="s">
        <v>6</v>
      </c>
      <c r="D8323" s="3">
        <v>2836.4661000000001</v>
      </c>
      <c r="E8323" s="3">
        <v>0</v>
      </c>
      <c r="F8323" t="s">
        <v>45</v>
      </c>
      <c r="G8323" s="3">
        <f t="shared" si="990"/>
        <v>-2836.4661000000001</v>
      </c>
      <c r="H8323" s="3">
        <f t="shared" si="991"/>
        <v>2836.4661000000001</v>
      </c>
      <c r="I8323" s="5" t="str">
        <f t="shared" si="992"/>
        <v>016</v>
      </c>
      <c r="J8323" s="5" t="str">
        <f t="shared" si="993"/>
        <v>2100</v>
      </c>
      <c r="K8323" s="5" t="str">
        <f t="shared" si="994"/>
        <v>000</v>
      </c>
      <c r="L8323" s="5">
        <f t="shared" si="995"/>
        <v>9</v>
      </c>
      <c r="M8323" s="5">
        <f t="shared" si="996"/>
        <v>2013</v>
      </c>
    </row>
    <row r="8324" spans="1:13" ht="15" x14ac:dyDescent="0.25">
      <c r="A8324" s="1">
        <f>DATE(2013,9,11)</f>
        <v>41528</v>
      </c>
      <c r="B8324" t="s">
        <v>12</v>
      </c>
      <c r="C8324" t="s">
        <v>8</v>
      </c>
      <c r="D8324" s="3">
        <v>514.17989999999998</v>
      </c>
      <c r="E8324" s="3">
        <v>0</v>
      </c>
      <c r="F8324" t="s">
        <v>45</v>
      </c>
      <c r="G8324" s="3">
        <f t="shared" si="990"/>
        <v>-514.17989999999998</v>
      </c>
      <c r="H8324" s="3">
        <f t="shared" si="991"/>
        <v>514.17989999999998</v>
      </c>
      <c r="I8324" s="5" t="str">
        <f t="shared" si="992"/>
        <v>016</v>
      </c>
      <c r="J8324" s="5" t="str">
        <f t="shared" si="993"/>
        <v>2210</v>
      </c>
      <c r="K8324" s="5" t="str">
        <f t="shared" si="994"/>
        <v>000</v>
      </c>
      <c r="L8324" s="5">
        <f t="shared" si="995"/>
        <v>9</v>
      </c>
      <c r="M8324" s="5">
        <f t="shared" si="996"/>
        <v>2013</v>
      </c>
    </row>
    <row r="8325" spans="1:13" ht="15" x14ac:dyDescent="0.25">
      <c r="A8325" s="1">
        <f>DATE(2013,9,11)</f>
        <v>41528</v>
      </c>
      <c r="B8325" t="s">
        <v>13</v>
      </c>
      <c r="C8325" t="s">
        <v>9</v>
      </c>
      <c r="D8325" s="3">
        <v>188.91319999999999</v>
      </c>
      <c r="E8325" s="3">
        <v>0</v>
      </c>
      <c r="F8325" t="s">
        <v>45</v>
      </c>
      <c r="G8325" s="3">
        <f t="shared" si="990"/>
        <v>-188.91319999999999</v>
      </c>
      <c r="H8325" s="3">
        <f t="shared" si="991"/>
        <v>188.91319999999999</v>
      </c>
      <c r="I8325" s="5" t="str">
        <f t="shared" si="992"/>
        <v>016</v>
      </c>
      <c r="J8325" s="5" t="str">
        <f t="shared" si="993"/>
        <v>2220</v>
      </c>
      <c r="K8325" s="5" t="str">
        <f t="shared" si="994"/>
        <v>000</v>
      </c>
      <c r="L8325" s="5">
        <f t="shared" si="995"/>
        <v>9</v>
      </c>
      <c r="M8325" s="5">
        <f t="shared" si="996"/>
        <v>2013</v>
      </c>
    </row>
    <row r="8326" spans="1:13" ht="15" x14ac:dyDescent="0.25">
      <c r="A8326" s="1">
        <f>DATE(2013,9,11)</f>
        <v>41528</v>
      </c>
      <c r="B8326" t="s">
        <v>14</v>
      </c>
      <c r="C8326" t="s">
        <v>10</v>
      </c>
      <c r="D8326" s="3">
        <v>101.504</v>
      </c>
      <c r="E8326" s="3">
        <v>0</v>
      </c>
      <c r="F8326" t="s">
        <v>45</v>
      </c>
      <c r="G8326" s="3">
        <f t="shared" si="990"/>
        <v>-101.504</v>
      </c>
      <c r="H8326" s="3">
        <f t="shared" si="991"/>
        <v>101.504</v>
      </c>
      <c r="I8326" s="5" t="str">
        <f t="shared" si="992"/>
        <v>016</v>
      </c>
      <c r="J8326" s="5" t="str">
        <f t="shared" si="993"/>
        <v>2230</v>
      </c>
      <c r="K8326" s="5" t="str">
        <f t="shared" si="994"/>
        <v>000</v>
      </c>
      <c r="L8326" s="5">
        <f t="shared" si="995"/>
        <v>9</v>
      </c>
      <c r="M8326" s="5">
        <f t="shared" si="996"/>
        <v>2013</v>
      </c>
    </row>
    <row r="8327" spans="1:13" ht="15" x14ac:dyDescent="0.25">
      <c r="A8327" s="1">
        <f>DATE(2013,9,12)</f>
        <v>41529</v>
      </c>
      <c r="B8327" t="s">
        <v>11</v>
      </c>
      <c r="C8327" t="s">
        <v>6</v>
      </c>
      <c r="D8327" s="3">
        <v>6313.2134999999998</v>
      </c>
      <c r="E8327" s="3">
        <v>0</v>
      </c>
      <c r="F8327" t="s">
        <v>45</v>
      </c>
      <c r="G8327" s="3">
        <f t="shared" si="990"/>
        <v>-6313.2134999999998</v>
      </c>
      <c r="H8327" s="3">
        <f t="shared" si="991"/>
        <v>6313.2134999999998</v>
      </c>
      <c r="I8327" s="5" t="str">
        <f t="shared" si="992"/>
        <v>016</v>
      </c>
      <c r="J8327" s="5" t="str">
        <f t="shared" si="993"/>
        <v>2100</v>
      </c>
      <c r="K8327" s="5" t="str">
        <f t="shared" si="994"/>
        <v>000</v>
      </c>
      <c r="L8327" s="5">
        <f t="shared" si="995"/>
        <v>9</v>
      </c>
      <c r="M8327" s="5">
        <f t="shared" si="996"/>
        <v>2013</v>
      </c>
    </row>
    <row r="8328" spans="1:13" ht="15" x14ac:dyDescent="0.25">
      <c r="A8328" s="1">
        <f>DATE(2013,9,12)</f>
        <v>41529</v>
      </c>
      <c r="B8328" t="s">
        <v>12</v>
      </c>
      <c r="C8328" t="s">
        <v>8</v>
      </c>
      <c r="D8328" s="3">
        <v>3201.7868999999996</v>
      </c>
      <c r="E8328" s="3">
        <v>0</v>
      </c>
      <c r="F8328" t="s">
        <v>45</v>
      </c>
      <c r="G8328" s="3">
        <f t="shared" si="990"/>
        <v>-3201.7868999999996</v>
      </c>
      <c r="H8328" s="3">
        <f t="shared" si="991"/>
        <v>3201.7868999999996</v>
      </c>
      <c r="I8328" s="5" t="str">
        <f t="shared" si="992"/>
        <v>016</v>
      </c>
      <c r="J8328" s="5" t="str">
        <f t="shared" si="993"/>
        <v>2210</v>
      </c>
      <c r="K8328" s="5" t="str">
        <f t="shared" si="994"/>
        <v>000</v>
      </c>
      <c r="L8328" s="5">
        <f t="shared" si="995"/>
        <v>9</v>
      </c>
      <c r="M8328" s="5">
        <f t="shared" si="996"/>
        <v>2013</v>
      </c>
    </row>
    <row r="8329" spans="1:13" ht="15" x14ac:dyDescent="0.25">
      <c r="A8329" s="1">
        <f>DATE(2013,9,12)</f>
        <v>41529</v>
      </c>
      <c r="B8329" t="s">
        <v>13</v>
      </c>
      <c r="C8329" t="s">
        <v>9</v>
      </c>
      <c r="D8329" s="3">
        <v>1131.1101999999998</v>
      </c>
      <c r="E8329" s="3">
        <v>0</v>
      </c>
      <c r="F8329" t="s">
        <v>45</v>
      </c>
      <c r="G8329" s="3">
        <f t="shared" si="990"/>
        <v>-1131.1101999999998</v>
      </c>
      <c r="H8329" s="3">
        <f t="shared" si="991"/>
        <v>1131.1101999999998</v>
      </c>
      <c r="I8329" s="5" t="str">
        <f t="shared" si="992"/>
        <v>016</v>
      </c>
      <c r="J8329" s="5" t="str">
        <f t="shared" si="993"/>
        <v>2220</v>
      </c>
      <c r="K8329" s="5" t="str">
        <f t="shared" si="994"/>
        <v>000</v>
      </c>
      <c r="L8329" s="5">
        <f t="shared" si="995"/>
        <v>9</v>
      </c>
      <c r="M8329" s="5">
        <f t="shared" si="996"/>
        <v>2013</v>
      </c>
    </row>
    <row r="8330" spans="1:13" ht="15" x14ac:dyDescent="0.25">
      <c r="A8330" s="1">
        <f>DATE(2013,9,12)</f>
        <v>41529</v>
      </c>
      <c r="B8330" t="s">
        <v>14</v>
      </c>
      <c r="C8330" t="s">
        <v>10</v>
      </c>
      <c r="D8330" s="3">
        <v>553.50400000000002</v>
      </c>
      <c r="E8330" s="3">
        <v>0</v>
      </c>
      <c r="F8330" t="s">
        <v>45</v>
      </c>
      <c r="G8330" s="3">
        <f t="shared" si="990"/>
        <v>-553.50400000000002</v>
      </c>
      <c r="H8330" s="3">
        <f t="shared" si="991"/>
        <v>553.50400000000002</v>
      </c>
      <c r="I8330" s="5" t="str">
        <f t="shared" si="992"/>
        <v>016</v>
      </c>
      <c r="J8330" s="5" t="str">
        <f t="shared" si="993"/>
        <v>2230</v>
      </c>
      <c r="K8330" s="5" t="str">
        <f t="shared" si="994"/>
        <v>000</v>
      </c>
      <c r="L8330" s="5">
        <f t="shared" si="995"/>
        <v>9</v>
      </c>
      <c r="M8330" s="5">
        <f t="shared" si="996"/>
        <v>2013</v>
      </c>
    </row>
    <row r="8331" spans="1:13" ht="15" x14ac:dyDescent="0.25">
      <c r="A8331" s="1">
        <f t="shared" ref="A8331:A8334" si="997">DATE(2013,9,13)</f>
        <v>41530</v>
      </c>
      <c r="B8331" t="s">
        <v>11</v>
      </c>
      <c r="C8331" t="s">
        <v>6</v>
      </c>
      <c r="D8331" s="3">
        <v>5277.5475999999999</v>
      </c>
      <c r="E8331" s="3">
        <v>0</v>
      </c>
      <c r="F8331" t="s">
        <v>45</v>
      </c>
      <c r="G8331" s="3">
        <f t="shared" si="990"/>
        <v>-5277.5475999999999</v>
      </c>
      <c r="H8331" s="3">
        <f t="shared" si="991"/>
        <v>5277.5475999999999</v>
      </c>
      <c r="I8331" s="5" t="str">
        <f t="shared" si="992"/>
        <v>016</v>
      </c>
      <c r="J8331" s="5" t="str">
        <f t="shared" si="993"/>
        <v>2100</v>
      </c>
      <c r="K8331" s="5" t="str">
        <f t="shared" si="994"/>
        <v>000</v>
      </c>
      <c r="L8331" s="5">
        <f t="shared" si="995"/>
        <v>9</v>
      </c>
      <c r="M8331" s="5">
        <f t="shared" si="996"/>
        <v>2013</v>
      </c>
    </row>
    <row r="8332" spans="1:13" ht="15" x14ac:dyDescent="0.25">
      <c r="A8332" s="1">
        <f t="shared" si="997"/>
        <v>41530</v>
      </c>
      <c r="B8332" t="s">
        <v>12</v>
      </c>
      <c r="C8332" t="s">
        <v>8</v>
      </c>
      <c r="D8332" s="3">
        <v>2183.0219999999999</v>
      </c>
      <c r="E8332" s="3">
        <v>0</v>
      </c>
      <c r="F8332" t="s">
        <v>45</v>
      </c>
      <c r="G8332" s="3">
        <f t="shared" si="990"/>
        <v>-2183.0219999999999</v>
      </c>
      <c r="H8332" s="3">
        <f t="shared" si="991"/>
        <v>2183.0219999999999</v>
      </c>
      <c r="I8332" s="5" t="str">
        <f t="shared" si="992"/>
        <v>016</v>
      </c>
      <c r="J8332" s="5" t="str">
        <f t="shared" si="993"/>
        <v>2210</v>
      </c>
      <c r="K8332" s="5" t="str">
        <f t="shared" si="994"/>
        <v>000</v>
      </c>
      <c r="L8332" s="5">
        <f t="shared" si="995"/>
        <v>9</v>
      </c>
      <c r="M8332" s="5">
        <f t="shared" si="996"/>
        <v>2013</v>
      </c>
    </row>
    <row r="8333" spans="1:13" ht="15" x14ac:dyDescent="0.25">
      <c r="A8333" s="1">
        <f t="shared" si="997"/>
        <v>41530</v>
      </c>
      <c r="B8333" t="s">
        <v>13</v>
      </c>
      <c r="C8333" t="s">
        <v>9</v>
      </c>
      <c r="D8333" s="3">
        <v>341.58890000000002</v>
      </c>
      <c r="E8333" s="3">
        <v>0</v>
      </c>
      <c r="F8333" t="s">
        <v>45</v>
      </c>
      <c r="G8333" s="3">
        <f t="shared" si="990"/>
        <v>-341.58890000000002</v>
      </c>
      <c r="H8333" s="3">
        <f t="shared" si="991"/>
        <v>341.58890000000002</v>
      </c>
      <c r="I8333" s="5" t="str">
        <f t="shared" si="992"/>
        <v>016</v>
      </c>
      <c r="J8333" s="5" t="str">
        <f t="shared" si="993"/>
        <v>2220</v>
      </c>
      <c r="K8333" s="5" t="str">
        <f t="shared" si="994"/>
        <v>000</v>
      </c>
      <c r="L8333" s="5">
        <f t="shared" si="995"/>
        <v>9</v>
      </c>
      <c r="M8333" s="5">
        <f t="shared" si="996"/>
        <v>2013</v>
      </c>
    </row>
    <row r="8334" spans="1:13" ht="15" x14ac:dyDescent="0.25">
      <c r="A8334" s="1">
        <f t="shared" si="997"/>
        <v>41530</v>
      </c>
      <c r="B8334" t="s">
        <v>14</v>
      </c>
      <c r="C8334" t="s">
        <v>10</v>
      </c>
      <c r="D8334" s="3">
        <v>134.56799999999998</v>
      </c>
      <c r="E8334" s="3">
        <v>0</v>
      </c>
      <c r="F8334" t="s">
        <v>45</v>
      </c>
      <c r="G8334" s="3">
        <f t="shared" si="990"/>
        <v>-134.56799999999998</v>
      </c>
      <c r="H8334" s="3">
        <f t="shared" si="991"/>
        <v>134.56799999999998</v>
      </c>
      <c r="I8334" s="5" t="str">
        <f t="shared" si="992"/>
        <v>016</v>
      </c>
      <c r="J8334" s="5" t="str">
        <f t="shared" si="993"/>
        <v>2230</v>
      </c>
      <c r="K8334" s="5" t="str">
        <f t="shared" si="994"/>
        <v>000</v>
      </c>
      <c r="L8334" s="5">
        <f t="shared" si="995"/>
        <v>9</v>
      </c>
      <c r="M8334" s="5">
        <f t="shared" si="996"/>
        <v>2013</v>
      </c>
    </row>
    <row r="8335" spans="1:13" ht="15" x14ac:dyDescent="0.25">
      <c r="A8335" s="1">
        <f t="shared" ref="A8335:A8338" si="998">DATE(2013,9,14)</f>
        <v>41531</v>
      </c>
      <c r="B8335" t="s">
        <v>11</v>
      </c>
      <c r="C8335" t="s">
        <v>6</v>
      </c>
      <c r="D8335" s="3">
        <v>6317.6835999999994</v>
      </c>
      <c r="E8335" s="3">
        <v>0</v>
      </c>
      <c r="F8335" t="s">
        <v>45</v>
      </c>
      <c r="G8335" s="3">
        <f t="shared" si="990"/>
        <v>-6317.6835999999994</v>
      </c>
      <c r="H8335" s="3">
        <f t="shared" si="991"/>
        <v>6317.6835999999994</v>
      </c>
      <c r="I8335" s="5" t="str">
        <f t="shared" si="992"/>
        <v>016</v>
      </c>
      <c r="J8335" s="5" t="str">
        <f t="shared" si="993"/>
        <v>2100</v>
      </c>
      <c r="K8335" s="5" t="str">
        <f t="shared" si="994"/>
        <v>000</v>
      </c>
      <c r="L8335" s="5">
        <f t="shared" si="995"/>
        <v>9</v>
      </c>
      <c r="M8335" s="5">
        <f t="shared" si="996"/>
        <v>2013</v>
      </c>
    </row>
    <row r="8336" spans="1:13" ht="15" x14ac:dyDescent="0.25">
      <c r="A8336" s="1">
        <f t="shared" si="998"/>
        <v>41531</v>
      </c>
      <c r="B8336" t="s">
        <v>12</v>
      </c>
      <c r="C8336" t="s">
        <v>8</v>
      </c>
      <c r="D8336" s="3">
        <v>958.83459999999991</v>
      </c>
      <c r="E8336" s="3">
        <v>0</v>
      </c>
      <c r="F8336" t="s">
        <v>45</v>
      </c>
      <c r="G8336" s="3">
        <f t="shared" si="990"/>
        <v>-958.83459999999991</v>
      </c>
      <c r="H8336" s="3">
        <f t="shared" si="991"/>
        <v>958.83459999999991</v>
      </c>
      <c r="I8336" s="5" t="str">
        <f t="shared" si="992"/>
        <v>016</v>
      </c>
      <c r="J8336" s="5" t="str">
        <f t="shared" si="993"/>
        <v>2210</v>
      </c>
      <c r="K8336" s="5" t="str">
        <f t="shared" si="994"/>
        <v>000</v>
      </c>
      <c r="L8336" s="5">
        <f t="shared" si="995"/>
        <v>9</v>
      </c>
      <c r="M8336" s="5">
        <f t="shared" si="996"/>
        <v>2013</v>
      </c>
    </row>
    <row r="8337" spans="1:13" ht="15" x14ac:dyDescent="0.25">
      <c r="A8337" s="1">
        <f t="shared" si="998"/>
        <v>41531</v>
      </c>
      <c r="B8337" t="s">
        <v>13</v>
      </c>
      <c r="C8337" t="s">
        <v>9</v>
      </c>
      <c r="D8337" s="3">
        <v>190.01920000000001</v>
      </c>
      <c r="E8337" s="3">
        <v>0</v>
      </c>
      <c r="F8337" t="s">
        <v>45</v>
      </c>
      <c r="G8337" s="3">
        <f t="shared" si="990"/>
        <v>-190.01920000000001</v>
      </c>
      <c r="H8337" s="3">
        <f t="shared" si="991"/>
        <v>190.01920000000001</v>
      </c>
      <c r="I8337" s="5" t="str">
        <f t="shared" si="992"/>
        <v>016</v>
      </c>
      <c r="J8337" s="5" t="str">
        <f t="shared" si="993"/>
        <v>2220</v>
      </c>
      <c r="K8337" s="5" t="str">
        <f t="shared" si="994"/>
        <v>000</v>
      </c>
      <c r="L8337" s="5">
        <f t="shared" si="995"/>
        <v>9</v>
      </c>
      <c r="M8337" s="5">
        <f t="shared" si="996"/>
        <v>2013</v>
      </c>
    </row>
    <row r="8338" spans="1:13" ht="15" x14ac:dyDescent="0.25">
      <c r="A8338" s="1">
        <f t="shared" si="998"/>
        <v>41531</v>
      </c>
      <c r="B8338" t="s">
        <v>14</v>
      </c>
      <c r="C8338" t="s">
        <v>10</v>
      </c>
      <c r="D8338" s="3">
        <v>129.91319999999999</v>
      </c>
      <c r="E8338" s="3">
        <v>0</v>
      </c>
      <c r="F8338" t="s">
        <v>45</v>
      </c>
      <c r="G8338" s="3">
        <f t="shared" si="990"/>
        <v>-129.91319999999999</v>
      </c>
      <c r="H8338" s="3">
        <f t="shared" si="991"/>
        <v>129.91319999999999</v>
      </c>
      <c r="I8338" s="5" t="str">
        <f t="shared" si="992"/>
        <v>016</v>
      </c>
      <c r="J8338" s="5" t="str">
        <f t="shared" si="993"/>
        <v>2230</v>
      </c>
      <c r="K8338" s="5" t="str">
        <f t="shared" si="994"/>
        <v>000</v>
      </c>
      <c r="L8338" s="5">
        <f t="shared" si="995"/>
        <v>9</v>
      </c>
      <c r="M8338" s="5">
        <f t="shared" si="996"/>
        <v>2013</v>
      </c>
    </row>
    <row r="8339" spans="1:13" ht="15" x14ac:dyDescent="0.25">
      <c r="A8339" s="1">
        <f>DATE(2013,9,15)</f>
        <v>41532</v>
      </c>
      <c r="B8339" t="s">
        <v>11</v>
      </c>
      <c r="C8339" t="s">
        <v>6</v>
      </c>
      <c r="D8339" s="3">
        <v>2913.4568000000004</v>
      </c>
      <c r="E8339" s="3">
        <v>0</v>
      </c>
      <c r="F8339" t="s">
        <v>45</v>
      </c>
      <c r="G8339" s="3">
        <f t="shared" si="990"/>
        <v>-2913.4568000000004</v>
      </c>
      <c r="H8339" s="3">
        <f t="shared" si="991"/>
        <v>2913.4568000000004</v>
      </c>
      <c r="I8339" s="5" t="str">
        <f t="shared" si="992"/>
        <v>016</v>
      </c>
      <c r="J8339" s="5" t="str">
        <f t="shared" si="993"/>
        <v>2100</v>
      </c>
      <c r="K8339" s="5" t="str">
        <f t="shared" si="994"/>
        <v>000</v>
      </c>
      <c r="L8339" s="5">
        <f t="shared" si="995"/>
        <v>9</v>
      </c>
      <c r="M8339" s="5">
        <f t="shared" si="996"/>
        <v>2013</v>
      </c>
    </row>
    <row r="8340" spans="1:13" ht="15" x14ac:dyDescent="0.25">
      <c r="A8340" s="1">
        <f>DATE(2013,9,15)</f>
        <v>41532</v>
      </c>
      <c r="B8340" t="s">
        <v>12</v>
      </c>
      <c r="C8340" t="s">
        <v>8</v>
      </c>
      <c r="D8340" s="3">
        <v>613.08030000000008</v>
      </c>
      <c r="E8340" s="3">
        <v>0</v>
      </c>
      <c r="F8340" t="s">
        <v>45</v>
      </c>
      <c r="G8340" s="3">
        <f t="shared" si="990"/>
        <v>-613.08030000000008</v>
      </c>
      <c r="H8340" s="3">
        <f t="shared" si="991"/>
        <v>613.08030000000008</v>
      </c>
      <c r="I8340" s="5" t="str">
        <f t="shared" si="992"/>
        <v>016</v>
      </c>
      <c r="J8340" s="5" t="str">
        <f t="shared" si="993"/>
        <v>2210</v>
      </c>
      <c r="K8340" s="5" t="str">
        <f t="shared" si="994"/>
        <v>000</v>
      </c>
      <c r="L8340" s="5">
        <f t="shared" si="995"/>
        <v>9</v>
      </c>
      <c r="M8340" s="5">
        <f t="shared" si="996"/>
        <v>2013</v>
      </c>
    </row>
    <row r="8341" spans="1:13" ht="15" x14ac:dyDescent="0.25">
      <c r="A8341" s="1">
        <f>DATE(2013,9,15)</f>
        <v>41532</v>
      </c>
      <c r="B8341" t="s">
        <v>13</v>
      </c>
      <c r="C8341" t="s">
        <v>9</v>
      </c>
      <c r="D8341" s="3">
        <v>63.654800000000002</v>
      </c>
      <c r="E8341" s="3">
        <v>0</v>
      </c>
      <c r="F8341" t="s">
        <v>45</v>
      </c>
      <c r="G8341" s="3">
        <f t="shared" si="990"/>
        <v>-63.654800000000002</v>
      </c>
      <c r="H8341" s="3">
        <f t="shared" si="991"/>
        <v>63.654800000000002</v>
      </c>
      <c r="I8341" s="5" t="str">
        <f t="shared" si="992"/>
        <v>016</v>
      </c>
      <c r="J8341" s="5" t="str">
        <f t="shared" si="993"/>
        <v>2220</v>
      </c>
      <c r="K8341" s="5" t="str">
        <f t="shared" si="994"/>
        <v>000</v>
      </c>
      <c r="L8341" s="5">
        <f t="shared" si="995"/>
        <v>9</v>
      </c>
      <c r="M8341" s="5">
        <f t="shared" si="996"/>
        <v>2013</v>
      </c>
    </row>
    <row r="8342" spans="1:13" ht="15" x14ac:dyDescent="0.25">
      <c r="A8342" s="1">
        <f>DATE(2013,9,15)</f>
        <v>41532</v>
      </c>
      <c r="B8342" t="s">
        <v>14</v>
      </c>
      <c r="C8342" t="s">
        <v>10</v>
      </c>
      <c r="D8342" s="3">
        <v>58.376500000000007</v>
      </c>
      <c r="E8342" s="3">
        <v>0</v>
      </c>
      <c r="F8342" t="s">
        <v>45</v>
      </c>
      <c r="G8342" s="3">
        <f t="shared" si="990"/>
        <v>-58.376500000000007</v>
      </c>
      <c r="H8342" s="3">
        <f t="shared" si="991"/>
        <v>58.376500000000007</v>
      </c>
      <c r="I8342" s="5" t="str">
        <f t="shared" si="992"/>
        <v>016</v>
      </c>
      <c r="J8342" s="5" t="str">
        <f t="shared" si="993"/>
        <v>2230</v>
      </c>
      <c r="K8342" s="5" t="str">
        <f t="shared" si="994"/>
        <v>000</v>
      </c>
      <c r="L8342" s="5">
        <f t="shared" si="995"/>
        <v>9</v>
      </c>
      <c r="M8342" s="5">
        <f t="shared" si="996"/>
        <v>2013</v>
      </c>
    </row>
    <row r="8343" spans="1:13" ht="15" x14ac:dyDescent="0.25">
      <c r="A8343" s="1">
        <f>DATE(2013,9,9)</f>
        <v>41526</v>
      </c>
      <c r="B8343" t="s">
        <v>15</v>
      </c>
      <c r="C8343" t="s">
        <v>6</v>
      </c>
      <c r="D8343" s="3">
        <v>3553.83</v>
      </c>
      <c r="E8343" s="3">
        <v>0</v>
      </c>
      <c r="F8343" t="s">
        <v>45</v>
      </c>
      <c r="G8343" s="3">
        <f t="shared" si="990"/>
        <v>-3553.83</v>
      </c>
      <c r="H8343" s="3">
        <f t="shared" si="991"/>
        <v>3553.83</v>
      </c>
      <c r="I8343" s="5" t="str">
        <f t="shared" si="992"/>
        <v>017</v>
      </c>
      <c r="J8343" s="5" t="str">
        <f t="shared" si="993"/>
        <v>2100</v>
      </c>
      <c r="K8343" s="5" t="str">
        <f t="shared" si="994"/>
        <v>000</v>
      </c>
      <c r="L8343" s="5">
        <f t="shared" si="995"/>
        <v>9</v>
      </c>
      <c r="M8343" s="5">
        <f t="shared" si="996"/>
        <v>2013</v>
      </c>
    </row>
    <row r="8344" spans="1:13" ht="15" x14ac:dyDescent="0.25">
      <c r="A8344" s="1">
        <f>DATE(2013,9,9)</f>
        <v>41526</v>
      </c>
      <c r="B8344" t="s">
        <v>16</v>
      </c>
      <c r="C8344" t="s">
        <v>8</v>
      </c>
      <c r="D8344" s="3">
        <v>1038.3522</v>
      </c>
      <c r="E8344" s="3">
        <v>0</v>
      </c>
      <c r="F8344" t="s">
        <v>45</v>
      </c>
      <c r="G8344" s="3">
        <f t="shared" si="990"/>
        <v>-1038.3522</v>
      </c>
      <c r="H8344" s="3">
        <f t="shared" si="991"/>
        <v>1038.3522</v>
      </c>
      <c r="I8344" s="5" t="str">
        <f t="shared" si="992"/>
        <v>017</v>
      </c>
      <c r="J8344" s="5" t="str">
        <f t="shared" si="993"/>
        <v>2210</v>
      </c>
      <c r="K8344" s="5" t="str">
        <f t="shared" si="994"/>
        <v>000</v>
      </c>
      <c r="L8344" s="5">
        <f t="shared" si="995"/>
        <v>9</v>
      </c>
      <c r="M8344" s="5">
        <f t="shared" si="996"/>
        <v>2013</v>
      </c>
    </row>
    <row r="8345" spans="1:13" ht="15" x14ac:dyDescent="0.25">
      <c r="A8345" s="1">
        <f>DATE(2013,9,9)</f>
        <v>41526</v>
      </c>
      <c r="B8345" t="s">
        <v>17</v>
      </c>
      <c r="C8345" t="s">
        <v>9</v>
      </c>
      <c r="D8345" s="3">
        <v>325.5675</v>
      </c>
      <c r="E8345" s="3">
        <v>0</v>
      </c>
      <c r="F8345" t="s">
        <v>45</v>
      </c>
      <c r="G8345" s="3">
        <f t="shared" si="990"/>
        <v>-325.5675</v>
      </c>
      <c r="H8345" s="3">
        <f t="shared" si="991"/>
        <v>325.5675</v>
      </c>
      <c r="I8345" s="5" t="str">
        <f t="shared" si="992"/>
        <v>017</v>
      </c>
      <c r="J8345" s="5" t="str">
        <f t="shared" si="993"/>
        <v>2220</v>
      </c>
      <c r="K8345" s="5" t="str">
        <f t="shared" si="994"/>
        <v>000</v>
      </c>
      <c r="L8345" s="5">
        <f t="shared" si="995"/>
        <v>9</v>
      </c>
      <c r="M8345" s="5">
        <f t="shared" si="996"/>
        <v>2013</v>
      </c>
    </row>
    <row r="8346" spans="1:13" ht="15" x14ac:dyDescent="0.25">
      <c r="A8346" s="1">
        <f>DATE(2013,9,9)</f>
        <v>41526</v>
      </c>
      <c r="B8346" t="s">
        <v>18</v>
      </c>
      <c r="C8346" t="s">
        <v>10</v>
      </c>
      <c r="D8346" s="3">
        <v>113.2128</v>
      </c>
      <c r="E8346" s="3">
        <v>0</v>
      </c>
      <c r="F8346" t="s">
        <v>45</v>
      </c>
      <c r="G8346" s="3">
        <f t="shared" si="990"/>
        <v>-113.2128</v>
      </c>
      <c r="H8346" s="3">
        <f t="shared" si="991"/>
        <v>113.2128</v>
      </c>
      <c r="I8346" s="5" t="str">
        <f t="shared" si="992"/>
        <v>017</v>
      </c>
      <c r="J8346" s="5" t="str">
        <f t="shared" si="993"/>
        <v>2230</v>
      </c>
      <c r="K8346" s="5" t="str">
        <f t="shared" si="994"/>
        <v>000</v>
      </c>
      <c r="L8346" s="5">
        <f t="shared" si="995"/>
        <v>9</v>
      </c>
      <c r="M8346" s="5">
        <f t="shared" si="996"/>
        <v>2013</v>
      </c>
    </row>
    <row r="8347" spans="1:13" ht="15" x14ac:dyDescent="0.25">
      <c r="A8347" s="1">
        <f>DATE(2013,9,10)</f>
        <v>41527</v>
      </c>
      <c r="B8347" t="s">
        <v>15</v>
      </c>
      <c r="C8347" t="s">
        <v>6</v>
      </c>
      <c r="D8347" s="3">
        <v>6344.905999999999</v>
      </c>
      <c r="E8347" s="3">
        <v>0</v>
      </c>
      <c r="F8347" t="s">
        <v>45</v>
      </c>
      <c r="G8347" s="3">
        <f t="shared" si="990"/>
        <v>-6344.905999999999</v>
      </c>
      <c r="H8347" s="3">
        <f t="shared" si="991"/>
        <v>6344.905999999999</v>
      </c>
      <c r="I8347" s="5" t="str">
        <f t="shared" si="992"/>
        <v>017</v>
      </c>
      <c r="J8347" s="5" t="str">
        <f t="shared" si="993"/>
        <v>2100</v>
      </c>
      <c r="K8347" s="5" t="str">
        <f t="shared" si="994"/>
        <v>000</v>
      </c>
      <c r="L8347" s="5">
        <f t="shared" si="995"/>
        <v>9</v>
      </c>
      <c r="M8347" s="5">
        <f t="shared" si="996"/>
        <v>2013</v>
      </c>
    </row>
    <row r="8348" spans="1:13" ht="15" x14ac:dyDescent="0.25">
      <c r="A8348" s="1">
        <f>DATE(2013,9,10)</f>
        <v>41527</v>
      </c>
      <c r="B8348" t="s">
        <v>16</v>
      </c>
      <c r="C8348" t="s">
        <v>8</v>
      </c>
      <c r="D8348" s="3">
        <v>957.36940000000004</v>
      </c>
      <c r="E8348" s="3">
        <v>0</v>
      </c>
      <c r="F8348" t="s">
        <v>45</v>
      </c>
      <c r="G8348" s="3">
        <f t="shared" si="990"/>
        <v>-957.36940000000004</v>
      </c>
      <c r="H8348" s="3">
        <f t="shared" si="991"/>
        <v>957.36940000000004</v>
      </c>
      <c r="I8348" s="5" t="str">
        <f t="shared" si="992"/>
        <v>017</v>
      </c>
      <c r="J8348" s="5" t="str">
        <f t="shared" si="993"/>
        <v>2210</v>
      </c>
      <c r="K8348" s="5" t="str">
        <f t="shared" si="994"/>
        <v>000</v>
      </c>
      <c r="L8348" s="5">
        <f t="shared" si="995"/>
        <v>9</v>
      </c>
      <c r="M8348" s="5">
        <f t="shared" si="996"/>
        <v>2013</v>
      </c>
    </row>
    <row r="8349" spans="1:13" ht="15" x14ac:dyDescent="0.25">
      <c r="A8349" s="1">
        <f>DATE(2013,9,10)</f>
        <v>41527</v>
      </c>
      <c r="B8349" t="s">
        <v>17</v>
      </c>
      <c r="C8349" t="s">
        <v>9</v>
      </c>
      <c r="D8349" s="3">
        <v>400.05760000000004</v>
      </c>
      <c r="E8349" s="3">
        <v>0</v>
      </c>
      <c r="F8349" t="s">
        <v>45</v>
      </c>
      <c r="G8349" s="3">
        <f t="shared" si="990"/>
        <v>-400.05760000000004</v>
      </c>
      <c r="H8349" s="3">
        <f t="shared" si="991"/>
        <v>400.05760000000004</v>
      </c>
      <c r="I8349" s="5" t="str">
        <f t="shared" si="992"/>
        <v>017</v>
      </c>
      <c r="J8349" s="5" t="str">
        <f t="shared" si="993"/>
        <v>2220</v>
      </c>
      <c r="K8349" s="5" t="str">
        <f t="shared" si="994"/>
        <v>000</v>
      </c>
      <c r="L8349" s="5">
        <f t="shared" si="995"/>
        <v>9</v>
      </c>
      <c r="M8349" s="5">
        <f t="shared" si="996"/>
        <v>2013</v>
      </c>
    </row>
    <row r="8350" spans="1:13" ht="15" x14ac:dyDescent="0.25">
      <c r="A8350" s="1">
        <f>DATE(2013,9,10)</f>
        <v>41527</v>
      </c>
      <c r="B8350" t="s">
        <v>18</v>
      </c>
      <c r="C8350" t="s">
        <v>10</v>
      </c>
      <c r="D8350" s="3">
        <v>46.146100000000004</v>
      </c>
      <c r="E8350" s="3">
        <v>0</v>
      </c>
      <c r="F8350" t="s">
        <v>45</v>
      </c>
      <c r="G8350" s="3">
        <f t="shared" si="990"/>
        <v>-46.146100000000004</v>
      </c>
      <c r="H8350" s="3">
        <f t="shared" si="991"/>
        <v>46.146100000000004</v>
      </c>
      <c r="I8350" s="5" t="str">
        <f t="shared" si="992"/>
        <v>017</v>
      </c>
      <c r="J8350" s="5" t="str">
        <f t="shared" si="993"/>
        <v>2230</v>
      </c>
      <c r="K8350" s="5" t="str">
        <f t="shared" si="994"/>
        <v>000</v>
      </c>
      <c r="L8350" s="5">
        <f t="shared" si="995"/>
        <v>9</v>
      </c>
      <c r="M8350" s="5">
        <f t="shared" si="996"/>
        <v>2013</v>
      </c>
    </row>
    <row r="8351" spans="1:13" ht="15" x14ac:dyDescent="0.25">
      <c r="A8351" s="1">
        <f>DATE(2013,9,11)</f>
        <v>41528</v>
      </c>
      <c r="B8351" t="s">
        <v>15</v>
      </c>
      <c r="C8351" t="s">
        <v>6</v>
      </c>
      <c r="D8351" s="3">
        <v>7312.5560000000005</v>
      </c>
      <c r="E8351" s="3">
        <v>0</v>
      </c>
      <c r="F8351" t="s">
        <v>45</v>
      </c>
      <c r="G8351" s="3">
        <f t="shared" si="990"/>
        <v>-7312.5560000000005</v>
      </c>
      <c r="H8351" s="3">
        <f t="shared" si="991"/>
        <v>7312.5560000000005</v>
      </c>
      <c r="I8351" s="5" t="str">
        <f t="shared" si="992"/>
        <v>017</v>
      </c>
      <c r="J8351" s="5" t="str">
        <f t="shared" si="993"/>
        <v>2100</v>
      </c>
      <c r="K8351" s="5" t="str">
        <f t="shared" si="994"/>
        <v>000</v>
      </c>
      <c r="L8351" s="5">
        <f t="shared" si="995"/>
        <v>9</v>
      </c>
      <c r="M8351" s="5">
        <f t="shared" si="996"/>
        <v>2013</v>
      </c>
    </row>
    <row r="8352" spans="1:13" ht="15" x14ac:dyDescent="0.25">
      <c r="A8352" s="1">
        <f>DATE(2013,9,11)</f>
        <v>41528</v>
      </c>
      <c r="B8352" t="s">
        <v>16</v>
      </c>
      <c r="C8352" t="s">
        <v>8</v>
      </c>
      <c r="D8352" s="3">
        <v>1927.913</v>
      </c>
      <c r="E8352" s="3">
        <v>0</v>
      </c>
      <c r="F8352" t="s">
        <v>45</v>
      </c>
      <c r="G8352" s="3">
        <f t="shared" si="990"/>
        <v>-1927.913</v>
      </c>
      <c r="H8352" s="3">
        <f t="shared" si="991"/>
        <v>1927.913</v>
      </c>
      <c r="I8352" s="5" t="str">
        <f t="shared" si="992"/>
        <v>017</v>
      </c>
      <c r="J8352" s="5" t="str">
        <f t="shared" si="993"/>
        <v>2210</v>
      </c>
      <c r="K8352" s="5" t="str">
        <f t="shared" si="994"/>
        <v>000</v>
      </c>
      <c r="L8352" s="5">
        <f t="shared" si="995"/>
        <v>9</v>
      </c>
      <c r="M8352" s="5">
        <f t="shared" si="996"/>
        <v>2013</v>
      </c>
    </row>
    <row r="8353" spans="1:13" ht="15" x14ac:dyDescent="0.25">
      <c r="A8353" s="1">
        <f>DATE(2013,9,11)</f>
        <v>41528</v>
      </c>
      <c r="B8353" t="s">
        <v>17</v>
      </c>
      <c r="C8353" t="s">
        <v>9</v>
      </c>
      <c r="D8353" s="3">
        <v>820.93299999999999</v>
      </c>
      <c r="E8353" s="3">
        <v>0</v>
      </c>
      <c r="F8353" t="s">
        <v>45</v>
      </c>
      <c r="G8353" s="3">
        <f t="shared" si="990"/>
        <v>-820.93299999999999</v>
      </c>
      <c r="H8353" s="3">
        <f t="shared" si="991"/>
        <v>820.93299999999999</v>
      </c>
      <c r="I8353" s="5" t="str">
        <f t="shared" si="992"/>
        <v>017</v>
      </c>
      <c r="J8353" s="5" t="str">
        <f t="shared" si="993"/>
        <v>2220</v>
      </c>
      <c r="K8353" s="5" t="str">
        <f t="shared" si="994"/>
        <v>000</v>
      </c>
      <c r="L8353" s="5">
        <f t="shared" si="995"/>
        <v>9</v>
      </c>
      <c r="M8353" s="5">
        <f t="shared" si="996"/>
        <v>2013</v>
      </c>
    </row>
    <row r="8354" spans="1:13" ht="15" x14ac:dyDescent="0.25">
      <c r="A8354" s="1">
        <f>DATE(2013,9,11)</f>
        <v>41528</v>
      </c>
      <c r="B8354" t="s">
        <v>18</v>
      </c>
      <c r="C8354" t="s">
        <v>10</v>
      </c>
      <c r="D8354" s="3">
        <v>107.21040000000001</v>
      </c>
      <c r="E8354" s="3">
        <v>0</v>
      </c>
      <c r="F8354" t="s">
        <v>45</v>
      </c>
      <c r="G8354" s="3">
        <f t="shared" si="990"/>
        <v>-107.21040000000001</v>
      </c>
      <c r="H8354" s="3">
        <f t="shared" si="991"/>
        <v>107.21040000000001</v>
      </c>
      <c r="I8354" s="5" t="str">
        <f t="shared" si="992"/>
        <v>017</v>
      </c>
      <c r="J8354" s="5" t="str">
        <f t="shared" si="993"/>
        <v>2230</v>
      </c>
      <c r="K8354" s="5" t="str">
        <f t="shared" si="994"/>
        <v>000</v>
      </c>
      <c r="L8354" s="5">
        <f t="shared" si="995"/>
        <v>9</v>
      </c>
      <c r="M8354" s="5">
        <f t="shared" si="996"/>
        <v>2013</v>
      </c>
    </row>
    <row r="8355" spans="1:13" ht="15" x14ac:dyDescent="0.25">
      <c r="A8355" s="1">
        <f>DATE(2013,9,12)</f>
        <v>41529</v>
      </c>
      <c r="B8355" t="s">
        <v>15</v>
      </c>
      <c r="C8355" t="s">
        <v>6</v>
      </c>
      <c r="D8355" s="3">
        <v>5556.0540000000001</v>
      </c>
      <c r="E8355" s="3">
        <v>0</v>
      </c>
      <c r="F8355" t="s">
        <v>45</v>
      </c>
      <c r="G8355" s="3">
        <f t="shared" si="990"/>
        <v>-5556.0540000000001</v>
      </c>
      <c r="H8355" s="3">
        <f t="shared" si="991"/>
        <v>5556.0540000000001</v>
      </c>
      <c r="I8355" s="5" t="str">
        <f t="shared" si="992"/>
        <v>017</v>
      </c>
      <c r="J8355" s="5" t="str">
        <f t="shared" si="993"/>
        <v>2100</v>
      </c>
      <c r="K8355" s="5" t="str">
        <f t="shared" si="994"/>
        <v>000</v>
      </c>
      <c r="L8355" s="5">
        <f t="shared" si="995"/>
        <v>9</v>
      </c>
      <c r="M8355" s="5">
        <f t="shared" si="996"/>
        <v>2013</v>
      </c>
    </row>
    <row r="8356" spans="1:13" ht="15" x14ac:dyDescent="0.25">
      <c r="A8356" s="1">
        <f>DATE(2013,9,12)</f>
        <v>41529</v>
      </c>
      <c r="B8356" t="s">
        <v>16</v>
      </c>
      <c r="C8356" t="s">
        <v>8</v>
      </c>
      <c r="D8356" s="3">
        <v>1059.0735999999999</v>
      </c>
      <c r="E8356" s="3">
        <v>0</v>
      </c>
      <c r="F8356" t="s">
        <v>45</v>
      </c>
      <c r="G8356" s="3">
        <f t="shared" si="990"/>
        <v>-1059.0735999999999</v>
      </c>
      <c r="H8356" s="3">
        <f t="shared" si="991"/>
        <v>1059.0735999999999</v>
      </c>
      <c r="I8356" s="5" t="str">
        <f t="shared" si="992"/>
        <v>017</v>
      </c>
      <c r="J8356" s="5" t="str">
        <f t="shared" si="993"/>
        <v>2210</v>
      </c>
      <c r="K8356" s="5" t="str">
        <f t="shared" si="994"/>
        <v>000</v>
      </c>
      <c r="L8356" s="5">
        <f t="shared" si="995"/>
        <v>9</v>
      </c>
      <c r="M8356" s="5">
        <f t="shared" si="996"/>
        <v>2013</v>
      </c>
    </row>
    <row r="8357" spans="1:13" ht="15" x14ac:dyDescent="0.25">
      <c r="A8357" s="1">
        <f>DATE(2013,9,12)</f>
        <v>41529</v>
      </c>
      <c r="B8357" t="s">
        <v>17</v>
      </c>
      <c r="C8357" t="s">
        <v>9</v>
      </c>
      <c r="D8357" s="3">
        <v>284.92860000000002</v>
      </c>
      <c r="E8357" s="3">
        <v>0</v>
      </c>
      <c r="F8357" t="s">
        <v>45</v>
      </c>
      <c r="G8357" s="3">
        <f t="shared" si="990"/>
        <v>-284.92860000000002</v>
      </c>
      <c r="H8357" s="3">
        <f t="shared" si="991"/>
        <v>284.92860000000002</v>
      </c>
      <c r="I8357" s="5" t="str">
        <f t="shared" si="992"/>
        <v>017</v>
      </c>
      <c r="J8357" s="5" t="str">
        <f t="shared" si="993"/>
        <v>2220</v>
      </c>
      <c r="K8357" s="5" t="str">
        <f t="shared" si="994"/>
        <v>000</v>
      </c>
      <c r="L8357" s="5">
        <f t="shared" si="995"/>
        <v>9</v>
      </c>
      <c r="M8357" s="5">
        <f t="shared" si="996"/>
        <v>2013</v>
      </c>
    </row>
    <row r="8358" spans="1:13" ht="15" x14ac:dyDescent="0.25">
      <c r="A8358" s="1">
        <f>DATE(2013,9,12)</f>
        <v>41529</v>
      </c>
      <c r="B8358" t="s">
        <v>18</v>
      </c>
      <c r="C8358" t="s">
        <v>10</v>
      </c>
      <c r="D8358" s="3">
        <v>92.969200000000001</v>
      </c>
      <c r="E8358" s="3">
        <v>0</v>
      </c>
      <c r="F8358" t="s">
        <v>45</v>
      </c>
      <c r="G8358" s="3">
        <f t="shared" si="990"/>
        <v>-92.969200000000001</v>
      </c>
      <c r="H8358" s="3">
        <f t="shared" si="991"/>
        <v>92.969200000000001</v>
      </c>
      <c r="I8358" s="5" t="str">
        <f t="shared" si="992"/>
        <v>017</v>
      </c>
      <c r="J8358" s="5" t="str">
        <f t="shared" si="993"/>
        <v>2230</v>
      </c>
      <c r="K8358" s="5" t="str">
        <f t="shared" si="994"/>
        <v>000</v>
      </c>
      <c r="L8358" s="5">
        <f t="shared" si="995"/>
        <v>9</v>
      </c>
      <c r="M8358" s="5">
        <f t="shared" si="996"/>
        <v>2013</v>
      </c>
    </row>
    <row r="8359" spans="1:13" ht="15" x14ac:dyDescent="0.25">
      <c r="A8359" s="1">
        <f>DATE(2013,9,13)</f>
        <v>41530</v>
      </c>
      <c r="B8359" t="s">
        <v>15</v>
      </c>
      <c r="C8359" t="s">
        <v>6</v>
      </c>
      <c r="D8359" s="3">
        <v>7285.5156000000006</v>
      </c>
      <c r="E8359" s="3">
        <v>0</v>
      </c>
      <c r="F8359" t="s">
        <v>45</v>
      </c>
      <c r="G8359" s="3">
        <f t="shared" si="990"/>
        <v>-7285.5156000000006</v>
      </c>
      <c r="H8359" s="3">
        <f t="shared" si="991"/>
        <v>7285.5156000000006</v>
      </c>
      <c r="I8359" s="5" t="str">
        <f t="shared" si="992"/>
        <v>017</v>
      </c>
      <c r="J8359" s="5" t="str">
        <f t="shared" si="993"/>
        <v>2100</v>
      </c>
      <c r="K8359" s="5" t="str">
        <f t="shared" si="994"/>
        <v>000</v>
      </c>
      <c r="L8359" s="5">
        <f t="shared" si="995"/>
        <v>9</v>
      </c>
      <c r="M8359" s="5">
        <f t="shared" si="996"/>
        <v>2013</v>
      </c>
    </row>
    <row r="8360" spans="1:13" ht="15" x14ac:dyDescent="0.25">
      <c r="A8360" s="1">
        <f>DATE(2013,9,13)</f>
        <v>41530</v>
      </c>
      <c r="B8360" t="s">
        <v>16</v>
      </c>
      <c r="C8360" t="s">
        <v>8</v>
      </c>
      <c r="D8360" s="3">
        <v>3498.6894000000002</v>
      </c>
      <c r="E8360" s="3">
        <v>0</v>
      </c>
      <c r="F8360" t="s">
        <v>45</v>
      </c>
      <c r="G8360" s="3">
        <f t="shared" si="990"/>
        <v>-3498.6894000000002</v>
      </c>
      <c r="H8360" s="3">
        <f t="shared" si="991"/>
        <v>3498.6894000000002</v>
      </c>
      <c r="I8360" s="5" t="str">
        <f t="shared" si="992"/>
        <v>017</v>
      </c>
      <c r="J8360" s="5" t="str">
        <f t="shared" si="993"/>
        <v>2210</v>
      </c>
      <c r="K8360" s="5" t="str">
        <f t="shared" si="994"/>
        <v>000</v>
      </c>
      <c r="L8360" s="5">
        <f t="shared" si="995"/>
        <v>9</v>
      </c>
      <c r="M8360" s="5">
        <f t="shared" si="996"/>
        <v>2013</v>
      </c>
    </row>
    <row r="8361" spans="1:13" ht="15" x14ac:dyDescent="0.25">
      <c r="A8361" s="1">
        <f>DATE(2013,9,13)</f>
        <v>41530</v>
      </c>
      <c r="B8361" t="s">
        <v>17</v>
      </c>
      <c r="C8361" t="s">
        <v>9</v>
      </c>
      <c r="D8361" s="3">
        <v>366.31319999999999</v>
      </c>
      <c r="E8361" s="3">
        <v>0</v>
      </c>
      <c r="F8361" t="s">
        <v>45</v>
      </c>
      <c r="G8361" s="3">
        <f t="shared" si="990"/>
        <v>-366.31319999999999</v>
      </c>
      <c r="H8361" s="3">
        <f t="shared" si="991"/>
        <v>366.31319999999999</v>
      </c>
      <c r="I8361" s="5" t="str">
        <f t="shared" si="992"/>
        <v>017</v>
      </c>
      <c r="J8361" s="5" t="str">
        <f t="shared" si="993"/>
        <v>2220</v>
      </c>
      <c r="K8361" s="5" t="str">
        <f t="shared" si="994"/>
        <v>000</v>
      </c>
      <c r="L8361" s="5">
        <f t="shared" si="995"/>
        <v>9</v>
      </c>
      <c r="M8361" s="5">
        <f t="shared" si="996"/>
        <v>2013</v>
      </c>
    </row>
    <row r="8362" spans="1:13" ht="15" x14ac:dyDescent="0.25">
      <c r="A8362" s="1">
        <f>DATE(2013,9,13)</f>
        <v>41530</v>
      </c>
      <c r="B8362" t="s">
        <v>18</v>
      </c>
      <c r="C8362" t="s">
        <v>10</v>
      </c>
      <c r="D8362" s="3">
        <v>141.47050000000002</v>
      </c>
      <c r="E8362" s="3">
        <v>0</v>
      </c>
      <c r="F8362" t="s">
        <v>45</v>
      </c>
      <c r="G8362" s="3">
        <f t="shared" si="990"/>
        <v>-141.47050000000002</v>
      </c>
      <c r="H8362" s="3">
        <f t="shared" si="991"/>
        <v>141.47050000000002</v>
      </c>
      <c r="I8362" s="5" t="str">
        <f t="shared" si="992"/>
        <v>017</v>
      </c>
      <c r="J8362" s="5" t="str">
        <f t="shared" si="993"/>
        <v>2230</v>
      </c>
      <c r="K8362" s="5" t="str">
        <f t="shared" si="994"/>
        <v>000</v>
      </c>
      <c r="L8362" s="5">
        <f t="shared" si="995"/>
        <v>9</v>
      </c>
      <c r="M8362" s="5">
        <f t="shared" si="996"/>
        <v>2013</v>
      </c>
    </row>
    <row r="8363" spans="1:13" ht="15" x14ac:dyDescent="0.25">
      <c r="A8363" s="1">
        <f>DATE(2013,9,14)</f>
        <v>41531</v>
      </c>
      <c r="B8363" t="s">
        <v>15</v>
      </c>
      <c r="C8363" t="s">
        <v>6</v>
      </c>
      <c r="D8363" s="3">
        <v>5465.6976000000004</v>
      </c>
      <c r="E8363" s="3">
        <v>0</v>
      </c>
      <c r="F8363" t="s">
        <v>45</v>
      </c>
      <c r="G8363" s="3">
        <f t="shared" si="990"/>
        <v>-5465.6976000000004</v>
      </c>
      <c r="H8363" s="3">
        <f t="shared" si="991"/>
        <v>5465.6976000000004</v>
      </c>
      <c r="I8363" s="5" t="str">
        <f t="shared" si="992"/>
        <v>017</v>
      </c>
      <c r="J8363" s="5" t="str">
        <f t="shared" si="993"/>
        <v>2100</v>
      </c>
      <c r="K8363" s="5" t="str">
        <f t="shared" si="994"/>
        <v>000</v>
      </c>
      <c r="L8363" s="5">
        <f t="shared" si="995"/>
        <v>9</v>
      </c>
      <c r="M8363" s="5">
        <f t="shared" si="996"/>
        <v>2013</v>
      </c>
    </row>
    <row r="8364" spans="1:13" ht="15" x14ac:dyDescent="0.25">
      <c r="A8364" s="1">
        <f>DATE(2013,9,14)</f>
        <v>41531</v>
      </c>
      <c r="B8364" t="s">
        <v>16</v>
      </c>
      <c r="C8364" t="s">
        <v>8</v>
      </c>
      <c r="D8364" s="3">
        <v>1405.056</v>
      </c>
      <c r="E8364" s="3">
        <v>0</v>
      </c>
      <c r="F8364" t="s">
        <v>45</v>
      </c>
      <c r="G8364" s="3">
        <f t="shared" si="990"/>
        <v>-1405.056</v>
      </c>
      <c r="H8364" s="3">
        <f t="shared" si="991"/>
        <v>1405.056</v>
      </c>
      <c r="I8364" s="5" t="str">
        <f t="shared" si="992"/>
        <v>017</v>
      </c>
      <c r="J8364" s="5" t="str">
        <f t="shared" si="993"/>
        <v>2210</v>
      </c>
      <c r="K8364" s="5" t="str">
        <f t="shared" si="994"/>
        <v>000</v>
      </c>
      <c r="L8364" s="5">
        <f t="shared" si="995"/>
        <v>9</v>
      </c>
      <c r="M8364" s="5">
        <f t="shared" si="996"/>
        <v>2013</v>
      </c>
    </row>
    <row r="8365" spans="1:13" ht="15" x14ac:dyDescent="0.25">
      <c r="A8365" s="1">
        <f>DATE(2013,9,14)</f>
        <v>41531</v>
      </c>
      <c r="B8365" t="s">
        <v>17</v>
      </c>
      <c r="C8365" t="s">
        <v>9</v>
      </c>
      <c r="D8365" s="3">
        <v>251.5968</v>
      </c>
      <c r="E8365" s="3">
        <v>0</v>
      </c>
      <c r="F8365" t="s">
        <v>45</v>
      </c>
      <c r="G8365" s="3">
        <f t="shared" si="990"/>
        <v>-251.5968</v>
      </c>
      <c r="H8365" s="3">
        <f t="shared" si="991"/>
        <v>251.5968</v>
      </c>
      <c r="I8365" s="5" t="str">
        <f t="shared" si="992"/>
        <v>017</v>
      </c>
      <c r="J8365" s="5" t="str">
        <f t="shared" si="993"/>
        <v>2220</v>
      </c>
      <c r="K8365" s="5" t="str">
        <f t="shared" si="994"/>
        <v>000</v>
      </c>
      <c r="L8365" s="5">
        <f t="shared" si="995"/>
        <v>9</v>
      </c>
      <c r="M8365" s="5">
        <f t="shared" si="996"/>
        <v>2013</v>
      </c>
    </row>
    <row r="8366" spans="1:13" ht="15" x14ac:dyDescent="0.25">
      <c r="A8366" s="1">
        <f>DATE(2013,9,14)</f>
        <v>41531</v>
      </c>
      <c r="B8366" t="s">
        <v>18</v>
      </c>
      <c r="C8366" t="s">
        <v>10</v>
      </c>
      <c r="D8366" s="3">
        <v>83.225700000000003</v>
      </c>
      <c r="E8366" s="3">
        <v>0</v>
      </c>
      <c r="F8366" t="s">
        <v>45</v>
      </c>
      <c r="G8366" s="3">
        <f t="shared" si="990"/>
        <v>-83.225700000000003</v>
      </c>
      <c r="H8366" s="3">
        <f t="shared" si="991"/>
        <v>83.225700000000003</v>
      </c>
      <c r="I8366" s="5" t="str">
        <f t="shared" si="992"/>
        <v>017</v>
      </c>
      <c r="J8366" s="5" t="str">
        <f t="shared" si="993"/>
        <v>2230</v>
      </c>
      <c r="K8366" s="5" t="str">
        <f t="shared" si="994"/>
        <v>000</v>
      </c>
      <c r="L8366" s="5">
        <f t="shared" si="995"/>
        <v>9</v>
      </c>
      <c r="M8366" s="5">
        <f t="shared" si="996"/>
        <v>2013</v>
      </c>
    </row>
    <row r="8367" spans="1:13" ht="15" x14ac:dyDescent="0.25">
      <c r="A8367" s="1">
        <f>DATE(2013,9,15)</f>
        <v>41532</v>
      </c>
      <c r="B8367" t="s">
        <v>15</v>
      </c>
      <c r="C8367" t="s">
        <v>6</v>
      </c>
      <c r="D8367" s="3">
        <v>4974.0150000000003</v>
      </c>
      <c r="E8367" s="3">
        <v>0</v>
      </c>
      <c r="F8367" t="s">
        <v>45</v>
      </c>
      <c r="G8367" s="3">
        <f t="shared" si="990"/>
        <v>-4974.0150000000003</v>
      </c>
      <c r="H8367" s="3">
        <f t="shared" si="991"/>
        <v>4974.0150000000003</v>
      </c>
      <c r="I8367" s="5" t="str">
        <f t="shared" si="992"/>
        <v>017</v>
      </c>
      <c r="J8367" s="5" t="str">
        <f t="shared" si="993"/>
        <v>2100</v>
      </c>
      <c r="K8367" s="5" t="str">
        <f t="shared" si="994"/>
        <v>000</v>
      </c>
      <c r="L8367" s="5">
        <f t="shared" si="995"/>
        <v>9</v>
      </c>
      <c r="M8367" s="5">
        <f t="shared" si="996"/>
        <v>2013</v>
      </c>
    </row>
    <row r="8368" spans="1:13" ht="15" x14ac:dyDescent="0.25">
      <c r="A8368" s="1">
        <f>DATE(2013,9,15)</f>
        <v>41532</v>
      </c>
      <c r="B8368" t="s">
        <v>16</v>
      </c>
      <c r="C8368" t="s">
        <v>8</v>
      </c>
      <c r="D8368" s="3">
        <v>1025.2242000000001</v>
      </c>
      <c r="E8368" s="3">
        <v>0</v>
      </c>
      <c r="F8368" t="s">
        <v>45</v>
      </c>
      <c r="G8368" s="3">
        <f t="shared" si="990"/>
        <v>-1025.2242000000001</v>
      </c>
      <c r="H8368" s="3">
        <f t="shared" si="991"/>
        <v>1025.2242000000001</v>
      </c>
      <c r="I8368" s="5" t="str">
        <f t="shared" si="992"/>
        <v>017</v>
      </c>
      <c r="J8368" s="5" t="str">
        <f t="shared" si="993"/>
        <v>2210</v>
      </c>
      <c r="K8368" s="5" t="str">
        <f t="shared" si="994"/>
        <v>000</v>
      </c>
      <c r="L8368" s="5">
        <f t="shared" si="995"/>
        <v>9</v>
      </c>
      <c r="M8368" s="5">
        <f t="shared" si="996"/>
        <v>2013</v>
      </c>
    </row>
    <row r="8369" spans="1:13" ht="15" x14ac:dyDescent="0.25">
      <c r="A8369" s="1">
        <f>DATE(2013,9,15)</f>
        <v>41532</v>
      </c>
      <c r="B8369" t="s">
        <v>17</v>
      </c>
      <c r="C8369" t="s">
        <v>9</v>
      </c>
      <c r="D8369" s="3">
        <v>274.60950000000003</v>
      </c>
      <c r="E8369" s="3">
        <v>0</v>
      </c>
      <c r="F8369" t="s">
        <v>45</v>
      </c>
      <c r="G8369" s="3">
        <f t="shared" si="990"/>
        <v>-274.60950000000003</v>
      </c>
      <c r="H8369" s="3">
        <f t="shared" si="991"/>
        <v>274.60950000000003</v>
      </c>
      <c r="I8369" s="5" t="str">
        <f t="shared" si="992"/>
        <v>017</v>
      </c>
      <c r="J8369" s="5" t="str">
        <f t="shared" si="993"/>
        <v>2220</v>
      </c>
      <c r="K8369" s="5" t="str">
        <f t="shared" si="994"/>
        <v>000</v>
      </c>
      <c r="L8369" s="5">
        <f t="shared" si="995"/>
        <v>9</v>
      </c>
      <c r="M8369" s="5">
        <f t="shared" si="996"/>
        <v>2013</v>
      </c>
    </row>
    <row r="8370" spans="1:13" ht="15" x14ac:dyDescent="0.25">
      <c r="A8370" s="1">
        <f>DATE(2013,9,15)</f>
        <v>41532</v>
      </c>
      <c r="B8370" t="s">
        <v>18</v>
      </c>
      <c r="C8370" t="s">
        <v>10</v>
      </c>
      <c r="D8370" s="3">
        <v>69.184799999999996</v>
      </c>
      <c r="E8370" s="3">
        <v>0</v>
      </c>
      <c r="F8370" t="s">
        <v>45</v>
      </c>
      <c r="G8370" s="3">
        <f t="shared" si="990"/>
        <v>-69.184799999999996</v>
      </c>
      <c r="H8370" s="3">
        <f t="shared" si="991"/>
        <v>69.184799999999996</v>
      </c>
      <c r="I8370" s="5" t="str">
        <f t="shared" si="992"/>
        <v>017</v>
      </c>
      <c r="J8370" s="5" t="str">
        <f t="shared" si="993"/>
        <v>2230</v>
      </c>
      <c r="K8370" s="5" t="str">
        <f t="shared" si="994"/>
        <v>000</v>
      </c>
      <c r="L8370" s="5">
        <f t="shared" si="995"/>
        <v>9</v>
      </c>
      <c r="M8370" s="5">
        <f t="shared" si="996"/>
        <v>2013</v>
      </c>
    </row>
    <row r="8371" spans="1:13" ht="15" x14ac:dyDescent="0.25">
      <c r="A8371" s="1">
        <f>DATE(2013,9,9)</f>
        <v>41526</v>
      </c>
      <c r="B8371" t="s">
        <v>19</v>
      </c>
      <c r="C8371" t="s">
        <v>6</v>
      </c>
      <c r="D8371" s="3">
        <v>2589.5488</v>
      </c>
      <c r="E8371" s="3">
        <v>0</v>
      </c>
      <c r="F8371" t="s">
        <v>45</v>
      </c>
      <c r="G8371" s="3">
        <f t="shared" si="990"/>
        <v>-2589.5488</v>
      </c>
      <c r="H8371" s="3">
        <f t="shared" si="991"/>
        <v>2589.5488</v>
      </c>
      <c r="I8371" s="5" t="str">
        <f t="shared" si="992"/>
        <v>018</v>
      </c>
      <c r="J8371" s="5" t="str">
        <f t="shared" si="993"/>
        <v>2100</v>
      </c>
      <c r="K8371" s="5" t="str">
        <f t="shared" si="994"/>
        <v>000</v>
      </c>
      <c r="L8371" s="5">
        <f t="shared" si="995"/>
        <v>9</v>
      </c>
      <c r="M8371" s="5">
        <f t="shared" si="996"/>
        <v>2013</v>
      </c>
    </row>
    <row r="8372" spans="1:13" ht="15" x14ac:dyDescent="0.25">
      <c r="A8372" s="1">
        <f>DATE(2013,9,9)</f>
        <v>41526</v>
      </c>
      <c r="B8372" t="s">
        <v>20</v>
      </c>
      <c r="C8372" t="s">
        <v>8</v>
      </c>
      <c r="D8372" s="3">
        <v>285.755</v>
      </c>
      <c r="E8372" s="3">
        <v>0</v>
      </c>
      <c r="F8372" t="s">
        <v>45</v>
      </c>
      <c r="G8372" s="3">
        <f t="shared" si="990"/>
        <v>-285.755</v>
      </c>
      <c r="H8372" s="3">
        <f t="shared" si="991"/>
        <v>285.755</v>
      </c>
      <c r="I8372" s="5" t="str">
        <f t="shared" si="992"/>
        <v>018</v>
      </c>
      <c r="J8372" s="5" t="str">
        <f t="shared" si="993"/>
        <v>2210</v>
      </c>
      <c r="K8372" s="5" t="str">
        <f t="shared" si="994"/>
        <v>000</v>
      </c>
      <c r="L8372" s="5">
        <f t="shared" si="995"/>
        <v>9</v>
      </c>
      <c r="M8372" s="5">
        <f t="shared" si="996"/>
        <v>2013</v>
      </c>
    </row>
    <row r="8373" spans="1:13" ht="15" x14ac:dyDescent="0.25">
      <c r="A8373" s="1">
        <f>DATE(2013,9,9)</f>
        <v>41526</v>
      </c>
      <c r="B8373" t="s">
        <v>21</v>
      </c>
      <c r="C8373" t="s">
        <v>9</v>
      </c>
      <c r="D8373" s="3">
        <v>77.523600000000002</v>
      </c>
      <c r="E8373" s="3">
        <v>0</v>
      </c>
      <c r="F8373" t="s">
        <v>45</v>
      </c>
      <c r="G8373" s="3">
        <f t="shared" si="990"/>
        <v>-77.523600000000002</v>
      </c>
      <c r="H8373" s="3">
        <f t="shared" si="991"/>
        <v>77.523600000000002</v>
      </c>
      <c r="I8373" s="5" t="str">
        <f t="shared" si="992"/>
        <v>018</v>
      </c>
      <c r="J8373" s="5" t="str">
        <f t="shared" si="993"/>
        <v>2220</v>
      </c>
      <c r="K8373" s="5" t="str">
        <f t="shared" si="994"/>
        <v>000</v>
      </c>
      <c r="L8373" s="5">
        <f t="shared" si="995"/>
        <v>9</v>
      </c>
      <c r="M8373" s="5">
        <f t="shared" si="996"/>
        <v>2013</v>
      </c>
    </row>
    <row r="8374" spans="1:13" ht="15" x14ac:dyDescent="0.25">
      <c r="A8374" s="1">
        <f>DATE(2013,9,9)</f>
        <v>41526</v>
      </c>
      <c r="B8374" t="s">
        <v>22</v>
      </c>
      <c r="C8374" t="s">
        <v>10</v>
      </c>
      <c r="D8374" s="3">
        <v>15.7311</v>
      </c>
      <c r="E8374" s="3">
        <v>0</v>
      </c>
      <c r="F8374" t="s">
        <v>45</v>
      </c>
      <c r="G8374" s="3">
        <f t="shared" si="990"/>
        <v>-15.7311</v>
      </c>
      <c r="H8374" s="3">
        <f t="shared" si="991"/>
        <v>15.7311</v>
      </c>
      <c r="I8374" s="5" t="str">
        <f t="shared" si="992"/>
        <v>018</v>
      </c>
      <c r="J8374" s="5" t="str">
        <f t="shared" si="993"/>
        <v>2230</v>
      </c>
      <c r="K8374" s="5" t="str">
        <f t="shared" si="994"/>
        <v>000</v>
      </c>
      <c r="L8374" s="5">
        <f t="shared" si="995"/>
        <v>9</v>
      </c>
      <c r="M8374" s="5">
        <f t="shared" si="996"/>
        <v>2013</v>
      </c>
    </row>
    <row r="8375" spans="1:13" ht="15" x14ac:dyDescent="0.25">
      <c r="A8375" s="1">
        <f>DATE(2013,9,10)</f>
        <v>41527</v>
      </c>
      <c r="B8375" t="s">
        <v>19</v>
      </c>
      <c r="C8375" t="s">
        <v>6</v>
      </c>
      <c r="D8375" s="3">
        <v>3437.3352000000004</v>
      </c>
      <c r="E8375" s="3">
        <v>0</v>
      </c>
      <c r="F8375" t="s">
        <v>45</v>
      </c>
      <c r="G8375" s="3">
        <f t="shared" si="990"/>
        <v>-3437.3352000000004</v>
      </c>
      <c r="H8375" s="3">
        <f t="shared" si="991"/>
        <v>3437.3352000000004</v>
      </c>
      <c r="I8375" s="5" t="str">
        <f t="shared" si="992"/>
        <v>018</v>
      </c>
      <c r="J8375" s="5" t="str">
        <f t="shared" si="993"/>
        <v>2100</v>
      </c>
      <c r="K8375" s="5" t="str">
        <f t="shared" si="994"/>
        <v>000</v>
      </c>
      <c r="L8375" s="5">
        <f t="shared" si="995"/>
        <v>9</v>
      </c>
      <c r="M8375" s="5">
        <f t="shared" si="996"/>
        <v>2013</v>
      </c>
    </row>
    <row r="8376" spans="1:13" ht="15" x14ac:dyDescent="0.25">
      <c r="A8376" s="1">
        <f>DATE(2013,9,10)</f>
        <v>41527</v>
      </c>
      <c r="B8376" t="s">
        <v>20</v>
      </c>
      <c r="C8376" t="s">
        <v>8</v>
      </c>
      <c r="D8376" s="3">
        <v>602.21199999999999</v>
      </c>
      <c r="E8376" s="3">
        <v>0</v>
      </c>
      <c r="F8376" t="s">
        <v>45</v>
      </c>
      <c r="G8376" s="3">
        <f t="shared" si="990"/>
        <v>-602.21199999999999</v>
      </c>
      <c r="H8376" s="3">
        <f t="shared" si="991"/>
        <v>602.21199999999999</v>
      </c>
      <c r="I8376" s="5" t="str">
        <f t="shared" si="992"/>
        <v>018</v>
      </c>
      <c r="J8376" s="5" t="str">
        <f t="shared" si="993"/>
        <v>2210</v>
      </c>
      <c r="K8376" s="5" t="str">
        <f t="shared" si="994"/>
        <v>000</v>
      </c>
      <c r="L8376" s="5">
        <f t="shared" si="995"/>
        <v>9</v>
      </c>
      <c r="M8376" s="5">
        <f t="shared" si="996"/>
        <v>2013</v>
      </c>
    </row>
    <row r="8377" spans="1:13" ht="15" x14ac:dyDescent="0.25">
      <c r="A8377" s="1">
        <f>DATE(2013,9,10)</f>
        <v>41527</v>
      </c>
      <c r="B8377" t="s">
        <v>21</v>
      </c>
      <c r="C8377" t="s">
        <v>9</v>
      </c>
      <c r="D8377" s="3">
        <v>105.8904</v>
      </c>
      <c r="E8377" s="3">
        <v>0</v>
      </c>
      <c r="F8377" t="s">
        <v>45</v>
      </c>
      <c r="G8377" s="3">
        <f t="shared" si="990"/>
        <v>-105.8904</v>
      </c>
      <c r="H8377" s="3">
        <f t="shared" si="991"/>
        <v>105.8904</v>
      </c>
      <c r="I8377" s="5" t="str">
        <f t="shared" si="992"/>
        <v>018</v>
      </c>
      <c r="J8377" s="5" t="str">
        <f t="shared" si="993"/>
        <v>2220</v>
      </c>
      <c r="K8377" s="5" t="str">
        <f t="shared" si="994"/>
        <v>000</v>
      </c>
      <c r="L8377" s="5">
        <f t="shared" si="995"/>
        <v>9</v>
      </c>
      <c r="M8377" s="5">
        <f t="shared" si="996"/>
        <v>2013</v>
      </c>
    </row>
    <row r="8378" spans="1:13" ht="15" x14ac:dyDescent="0.25">
      <c r="A8378" s="1">
        <f>DATE(2013,9,10)</f>
        <v>41527</v>
      </c>
      <c r="B8378" t="s">
        <v>22</v>
      </c>
      <c r="C8378" t="s">
        <v>10</v>
      </c>
      <c r="D8378" s="3">
        <v>18.228099999999998</v>
      </c>
      <c r="E8378" s="3">
        <v>0</v>
      </c>
      <c r="F8378" t="s">
        <v>45</v>
      </c>
      <c r="G8378" s="3">
        <f t="shared" si="990"/>
        <v>-18.228099999999998</v>
      </c>
      <c r="H8378" s="3">
        <f t="shared" si="991"/>
        <v>18.228099999999998</v>
      </c>
      <c r="I8378" s="5" t="str">
        <f t="shared" si="992"/>
        <v>018</v>
      </c>
      <c r="J8378" s="5" t="str">
        <f t="shared" si="993"/>
        <v>2230</v>
      </c>
      <c r="K8378" s="5" t="str">
        <f t="shared" si="994"/>
        <v>000</v>
      </c>
      <c r="L8378" s="5">
        <f t="shared" si="995"/>
        <v>9</v>
      </c>
      <c r="M8378" s="5">
        <f t="shared" si="996"/>
        <v>2013</v>
      </c>
    </row>
    <row r="8379" spans="1:13" ht="15" x14ac:dyDescent="0.25">
      <c r="A8379" s="1">
        <f>DATE(2013,9,11)</f>
        <v>41528</v>
      </c>
      <c r="B8379" t="s">
        <v>19</v>
      </c>
      <c r="C8379" t="s">
        <v>6</v>
      </c>
      <c r="D8379" s="3">
        <v>3029.6630000000005</v>
      </c>
      <c r="E8379" s="3">
        <v>0</v>
      </c>
      <c r="F8379" t="s">
        <v>45</v>
      </c>
      <c r="G8379" s="3">
        <f t="shared" si="990"/>
        <v>-3029.6630000000005</v>
      </c>
      <c r="H8379" s="3">
        <f t="shared" si="991"/>
        <v>3029.6630000000005</v>
      </c>
      <c r="I8379" s="5" t="str">
        <f t="shared" si="992"/>
        <v>018</v>
      </c>
      <c r="J8379" s="5" t="str">
        <f t="shared" si="993"/>
        <v>2100</v>
      </c>
      <c r="K8379" s="5" t="str">
        <f t="shared" si="994"/>
        <v>000</v>
      </c>
      <c r="L8379" s="5">
        <f t="shared" si="995"/>
        <v>9</v>
      </c>
      <c r="M8379" s="5">
        <f t="shared" si="996"/>
        <v>2013</v>
      </c>
    </row>
    <row r="8380" spans="1:13" ht="15" x14ac:dyDescent="0.25">
      <c r="A8380" s="1">
        <f>DATE(2013,9,11)</f>
        <v>41528</v>
      </c>
      <c r="B8380" t="s">
        <v>20</v>
      </c>
      <c r="C8380" t="s">
        <v>8</v>
      </c>
      <c r="D8380" s="3">
        <v>732.53539999999998</v>
      </c>
      <c r="E8380" s="3">
        <v>0</v>
      </c>
      <c r="F8380" t="s">
        <v>45</v>
      </c>
      <c r="G8380" s="3">
        <f t="shared" si="990"/>
        <v>-732.53539999999998</v>
      </c>
      <c r="H8380" s="3">
        <f t="shared" si="991"/>
        <v>732.53539999999998</v>
      </c>
      <c r="I8380" s="5" t="str">
        <f t="shared" si="992"/>
        <v>018</v>
      </c>
      <c r="J8380" s="5" t="str">
        <f t="shared" si="993"/>
        <v>2210</v>
      </c>
      <c r="K8380" s="5" t="str">
        <f t="shared" si="994"/>
        <v>000</v>
      </c>
      <c r="L8380" s="5">
        <f t="shared" si="995"/>
        <v>9</v>
      </c>
      <c r="M8380" s="5">
        <f t="shared" si="996"/>
        <v>2013</v>
      </c>
    </row>
    <row r="8381" spans="1:13" ht="15" x14ac:dyDescent="0.25">
      <c r="A8381" s="1">
        <f>DATE(2013,9,11)</f>
        <v>41528</v>
      </c>
      <c r="B8381" t="s">
        <v>21</v>
      </c>
      <c r="C8381" t="s">
        <v>9</v>
      </c>
      <c r="D8381" s="3">
        <v>112.96829999999999</v>
      </c>
      <c r="E8381" s="3">
        <v>0</v>
      </c>
      <c r="F8381" t="s">
        <v>45</v>
      </c>
      <c r="G8381" s="3">
        <f t="shared" si="990"/>
        <v>-112.96829999999999</v>
      </c>
      <c r="H8381" s="3">
        <f t="shared" si="991"/>
        <v>112.96829999999999</v>
      </c>
      <c r="I8381" s="5" t="str">
        <f t="shared" si="992"/>
        <v>018</v>
      </c>
      <c r="J8381" s="5" t="str">
        <f t="shared" si="993"/>
        <v>2220</v>
      </c>
      <c r="K8381" s="5" t="str">
        <f t="shared" si="994"/>
        <v>000</v>
      </c>
      <c r="L8381" s="5">
        <f t="shared" si="995"/>
        <v>9</v>
      </c>
      <c r="M8381" s="5">
        <f t="shared" si="996"/>
        <v>2013</v>
      </c>
    </row>
    <row r="8382" spans="1:13" ht="15" x14ac:dyDescent="0.25">
      <c r="A8382" s="1">
        <f>DATE(2013,9,11)</f>
        <v>41528</v>
      </c>
      <c r="B8382" t="s">
        <v>22</v>
      </c>
      <c r="C8382" t="s">
        <v>10</v>
      </c>
      <c r="D8382" s="3">
        <v>38.398800000000001</v>
      </c>
      <c r="E8382" s="3">
        <v>0</v>
      </c>
      <c r="F8382" t="s">
        <v>45</v>
      </c>
      <c r="G8382" s="3">
        <f t="shared" si="990"/>
        <v>-38.398800000000001</v>
      </c>
      <c r="H8382" s="3">
        <f t="shared" si="991"/>
        <v>38.398800000000001</v>
      </c>
      <c r="I8382" s="5" t="str">
        <f t="shared" si="992"/>
        <v>018</v>
      </c>
      <c r="J8382" s="5" t="str">
        <f t="shared" si="993"/>
        <v>2230</v>
      </c>
      <c r="K8382" s="5" t="str">
        <f t="shared" si="994"/>
        <v>000</v>
      </c>
      <c r="L8382" s="5">
        <f t="shared" si="995"/>
        <v>9</v>
      </c>
      <c r="M8382" s="5">
        <f t="shared" si="996"/>
        <v>2013</v>
      </c>
    </row>
    <row r="8383" spans="1:13" ht="15" x14ac:dyDescent="0.25">
      <c r="A8383" s="1">
        <f>DATE(2013,9,12)</f>
        <v>41529</v>
      </c>
      <c r="B8383" t="s">
        <v>19</v>
      </c>
      <c r="C8383" t="s">
        <v>6</v>
      </c>
      <c r="D8383" s="3">
        <v>3196.4612000000002</v>
      </c>
      <c r="E8383" s="3">
        <v>0</v>
      </c>
      <c r="F8383" t="s">
        <v>45</v>
      </c>
      <c r="G8383" s="3">
        <f t="shared" si="990"/>
        <v>-3196.4612000000002</v>
      </c>
      <c r="H8383" s="3">
        <f t="shared" si="991"/>
        <v>3196.4612000000002</v>
      </c>
      <c r="I8383" s="5" t="str">
        <f t="shared" si="992"/>
        <v>018</v>
      </c>
      <c r="J8383" s="5" t="str">
        <f t="shared" si="993"/>
        <v>2100</v>
      </c>
      <c r="K8383" s="5" t="str">
        <f t="shared" si="994"/>
        <v>000</v>
      </c>
      <c r="L8383" s="5">
        <f t="shared" si="995"/>
        <v>9</v>
      </c>
      <c r="M8383" s="5">
        <f t="shared" si="996"/>
        <v>2013</v>
      </c>
    </row>
    <row r="8384" spans="1:13" ht="15" x14ac:dyDescent="0.25">
      <c r="A8384" s="1">
        <f>DATE(2013,9,12)</f>
        <v>41529</v>
      </c>
      <c r="B8384" t="s">
        <v>20</v>
      </c>
      <c r="C8384" t="s">
        <v>8</v>
      </c>
      <c r="D8384" s="3">
        <v>687.00400000000002</v>
      </c>
      <c r="E8384" s="3">
        <v>0</v>
      </c>
      <c r="F8384" t="s">
        <v>45</v>
      </c>
      <c r="G8384" s="3">
        <f t="shared" si="990"/>
        <v>-687.00400000000002</v>
      </c>
      <c r="H8384" s="3">
        <f t="shared" si="991"/>
        <v>687.00400000000002</v>
      </c>
      <c r="I8384" s="5" t="str">
        <f t="shared" si="992"/>
        <v>018</v>
      </c>
      <c r="J8384" s="5" t="str">
        <f t="shared" si="993"/>
        <v>2210</v>
      </c>
      <c r="K8384" s="5" t="str">
        <f t="shared" si="994"/>
        <v>000</v>
      </c>
      <c r="L8384" s="5">
        <f t="shared" si="995"/>
        <v>9</v>
      </c>
      <c r="M8384" s="5">
        <f t="shared" si="996"/>
        <v>2013</v>
      </c>
    </row>
    <row r="8385" spans="1:13" ht="15" x14ac:dyDescent="0.25">
      <c r="A8385" s="1">
        <f>DATE(2013,9,12)</f>
        <v>41529</v>
      </c>
      <c r="B8385" t="s">
        <v>21</v>
      </c>
      <c r="C8385" t="s">
        <v>9</v>
      </c>
      <c r="D8385" s="3">
        <v>171.01919999999998</v>
      </c>
      <c r="E8385" s="3">
        <v>0</v>
      </c>
      <c r="F8385" t="s">
        <v>45</v>
      </c>
      <c r="G8385" s="3">
        <f t="shared" si="990"/>
        <v>-171.01919999999998</v>
      </c>
      <c r="H8385" s="3">
        <f t="shared" si="991"/>
        <v>171.01919999999998</v>
      </c>
      <c r="I8385" s="5" t="str">
        <f t="shared" si="992"/>
        <v>018</v>
      </c>
      <c r="J8385" s="5" t="str">
        <f t="shared" si="993"/>
        <v>2220</v>
      </c>
      <c r="K8385" s="5" t="str">
        <f t="shared" si="994"/>
        <v>000</v>
      </c>
      <c r="L8385" s="5">
        <f t="shared" si="995"/>
        <v>9</v>
      </c>
      <c r="M8385" s="5">
        <f t="shared" si="996"/>
        <v>2013</v>
      </c>
    </row>
    <row r="8386" spans="1:13" ht="15" x14ac:dyDescent="0.25">
      <c r="A8386" s="1">
        <f>DATE(2013,9,12)</f>
        <v>41529</v>
      </c>
      <c r="B8386" t="s">
        <v>22</v>
      </c>
      <c r="C8386" t="s">
        <v>10</v>
      </c>
      <c r="D8386" s="3">
        <v>88.961799999999997</v>
      </c>
      <c r="E8386" s="3">
        <v>0</v>
      </c>
      <c r="F8386" t="s">
        <v>45</v>
      </c>
      <c r="G8386" s="3">
        <f t="shared" ref="G8386:G8449" si="999">E8386-D8386</f>
        <v>-88.961799999999997</v>
      </c>
      <c r="H8386" s="3">
        <f t="shared" ref="H8386:H8449" si="1000">ABS(G8386)</f>
        <v>88.961799999999997</v>
      </c>
      <c r="I8386" s="5" t="str">
        <f t="shared" ref="I8386:I8449" si="1001">MID(B8386,1,3)</f>
        <v>018</v>
      </c>
      <c r="J8386" s="5" t="str">
        <f t="shared" ref="J8386:J8449" si="1002">MID(B8386,5,4)</f>
        <v>2230</v>
      </c>
      <c r="K8386" s="5" t="str">
        <f t="shared" ref="K8386:K8449" si="1003">MID(B8386,10,3)</f>
        <v>000</v>
      </c>
      <c r="L8386" s="5">
        <f t="shared" ref="L8386:L8449" si="1004">MONTH(A8386)</f>
        <v>9</v>
      </c>
      <c r="M8386" s="5">
        <f t="shared" ref="M8386:M8449" si="1005">YEAR(A8386)</f>
        <v>2013</v>
      </c>
    </row>
    <row r="8387" spans="1:13" ht="15" x14ac:dyDescent="0.25">
      <c r="A8387" s="1">
        <f>DATE(2013,9,13)</f>
        <v>41530</v>
      </c>
      <c r="B8387" t="s">
        <v>19</v>
      </c>
      <c r="C8387" t="s">
        <v>6</v>
      </c>
      <c r="D8387" s="3">
        <v>8573.4719999999998</v>
      </c>
      <c r="E8387" s="3">
        <v>0</v>
      </c>
      <c r="F8387" t="s">
        <v>45</v>
      </c>
      <c r="G8387" s="3">
        <f t="shared" si="999"/>
        <v>-8573.4719999999998</v>
      </c>
      <c r="H8387" s="3">
        <f t="shared" si="1000"/>
        <v>8573.4719999999998</v>
      </c>
      <c r="I8387" s="5" t="str">
        <f t="shared" si="1001"/>
        <v>018</v>
      </c>
      <c r="J8387" s="5" t="str">
        <f t="shared" si="1002"/>
        <v>2100</v>
      </c>
      <c r="K8387" s="5" t="str">
        <f t="shared" si="1003"/>
        <v>000</v>
      </c>
      <c r="L8387" s="5">
        <f t="shared" si="1004"/>
        <v>9</v>
      </c>
      <c r="M8387" s="5">
        <f t="shared" si="1005"/>
        <v>2013</v>
      </c>
    </row>
    <row r="8388" spans="1:13" ht="15" x14ac:dyDescent="0.25">
      <c r="A8388" s="1">
        <f>DATE(2013,9,13)</f>
        <v>41530</v>
      </c>
      <c r="B8388" t="s">
        <v>20</v>
      </c>
      <c r="C8388" t="s">
        <v>8</v>
      </c>
      <c r="D8388" s="3">
        <v>2260.7145000000005</v>
      </c>
      <c r="E8388" s="3">
        <v>0</v>
      </c>
      <c r="F8388" t="s">
        <v>45</v>
      </c>
      <c r="G8388" s="3">
        <f t="shared" si="999"/>
        <v>-2260.7145000000005</v>
      </c>
      <c r="H8388" s="3">
        <f t="shared" si="1000"/>
        <v>2260.7145000000005</v>
      </c>
      <c r="I8388" s="5" t="str">
        <f t="shared" si="1001"/>
        <v>018</v>
      </c>
      <c r="J8388" s="5" t="str">
        <f t="shared" si="1002"/>
        <v>2210</v>
      </c>
      <c r="K8388" s="5" t="str">
        <f t="shared" si="1003"/>
        <v>000</v>
      </c>
      <c r="L8388" s="5">
        <f t="shared" si="1004"/>
        <v>9</v>
      </c>
      <c r="M8388" s="5">
        <f t="shared" si="1005"/>
        <v>2013</v>
      </c>
    </row>
    <row r="8389" spans="1:13" ht="15" x14ac:dyDescent="0.25">
      <c r="A8389" s="1">
        <f>DATE(2013,9,13)</f>
        <v>41530</v>
      </c>
      <c r="B8389" t="s">
        <v>21</v>
      </c>
      <c r="C8389" t="s">
        <v>9</v>
      </c>
      <c r="D8389" s="3">
        <v>922.77919999999995</v>
      </c>
      <c r="E8389" s="3">
        <v>0</v>
      </c>
      <c r="F8389" t="s">
        <v>45</v>
      </c>
      <c r="G8389" s="3">
        <f t="shared" si="999"/>
        <v>-922.77919999999995</v>
      </c>
      <c r="H8389" s="3">
        <f t="shared" si="1000"/>
        <v>922.77919999999995</v>
      </c>
      <c r="I8389" s="5" t="str">
        <f t="shared" si="1001"/>
        <v>018</v>
      </c>
      <c r="J8389" s="5" t="str">
        <f t="shared" si="1002"/>
        <v>2220</v>
      </c>
      <c r="K8389" s="5" t="str">
        <f t="shared" si="1003"/>
        <v>000</v>
      </c>
      <c r="L8389" s="5">
        <f t="shared" si="1004"/>
        <v>9</v>
      </c>
      <c r="M8389" s="5">
        <f t="shared" si="1005"/>
        <v>2013</v>
      </c>
    </row>
    <row r="8390" spans="1:13" ht="15" x14ac:dyDescent="0.25">
      <c r="A8390" s="1">
        <f>DATE(2013,9,13)</f>
        <v>41530</v>
      </c>
      <c r="B8390" t="s">
        <v>22</v>
      </c>
      <c r="C8390" t="s">
        <v>10</v>
      </c>
      <c r="D8390" s="3">
        <v>135.51300000000001</v>
      </c>
      <c r="E8390" s="3">
        <v>0</v>
      </c>
      <c r="F8390" t="s">
        <v>45</v>
      </c>
      <c r="G8390" s="3">
        <f t="shared" si="999"/>
        <v>-135.51300000000001</v>
      </c>
      <c r="H8390" s="3">
        <f t="shared" si="1000"/>
        <v>135.51300000000001</v>
      </c>
      <c r="I8390" s="5" t="str">
        <f t="shared" si="1001"/>
        <v>018</v>
      </c>
      <c r="J8390" s="5" t="str">
        <f t="shared" si="1002"/>
        <v>2230</v>
      </c>
      <c r="K8390" s="5" t="str">
        <f t="shared" si="1003"/>
        <v>000</v>
      </c>
      <c r="L8390" s="5">
        <f t="shared" si="1004"/>
        <v>9</v>
      </c>
      <c r="M8390" s="5">
        <f t="shared" si="1005"/>
        <v>2013</v>
      </c>
    </row>
    <row r="8391" spans="1:13" ht="15" x14ac:dyDescent="0.25">
      <c r="A8391" s="1">
        <f>DATE(2013,9,14)</f>
        <v>41531</v>
      </c>
      <c r="B8391" t="s">
        <v>19</v>
      </c>
      <c r="C8391" t="s">
        <v>6</v>
      </c>
      <c r="D8391" s="3">
        <v>13817.782999999998</v>
      </c>
      <c r="E8391" s="3">
        <v>0</v>
      </c>
      <c r="F8391" t="s">
        <v>45</v>
      </c>
      <c r="G8391" s="3">
        <f t="shared" si="999"/>
        <v>-13817.782999999998</v>
      </c>
      <c r="H8391" s="3">
        <f t="shared" si="1000"/>
        <v>13817.782999999998</v>
      </c>
      <c r="I8391" s="5" t="str">
        <f t="shared" si="1001"/>
        <v>018</v>
      </c>
      <c r="J8391" s="5" t="str">
        <f t="shared" si="1002"/>
        <v>2100</v>
      </c>
      <c r="K8391" s="5" t="str">
        <f t="shared" si="1003"/>
        <v>000</v>
      </c>
      <c r="L8391" s="5">
        <f t="shared" si="1004"/>
        <v>9</v>
      </c>
      <c r="M8391" s="5">
        <f t="shared" si="1005"/>
        <v>2013</v>
      </c>
    </row>
    <row r="8392" spans="1:13" ht="15" x14ac:dyDescent="0.25">
      <c r="A8392" s="1">
        <f>DATE(2013,9,14)</f>
        <v>41531</v>
      </c>
      <c r="B8392" t="s">
        <v>20</v>
      </c>
      <c r="C8392" t="s">
        <v>8</v>
      </c>
      <c r="D8392" s="3">
        <v>1909.5572</v>
      </c>
      <c r="E8392" s="3">
        <v>0</v>
      </c>
      <c r="F8392" t="s">
        <v>45</v>
      </c>
      <c r="G8392" s="3">
        <f t="shared" si="999"/>
        <v>-1909.5572</v>
      </c>
      <c r="H8392" s="3">
        <f t="shared" si="1000"/>
        <v>1909.5572</v>
      </c>
      <c r="I8392" s="5" t="str">
        <f t="shared" si="1001"/>
        <v>018</v>
      </c>
      <c r="J8392" s="5" t="str">
        <f t="shared" si="1002"/>
        <v>2210</v>
      </c>
      <c r="K8392" s="5" t="str">
        <f t="shared" si="1003"/>
        <v>000</v>
      </c>
      <c r="L8392" s="5">
        <f t="shared" si="1004"/>
        <v>9</v>
      </c>
      <c r="M8392" s="5">
        <f t="shared" si="1005"/>
        <v>2013</v>
      </c>
    </row>
    <row r="8393" spans="1:13" ht="15" x14ac:dyDescent="0.25">
      <c r="A8393" s="1">
        <f>DATE(2013,9,14)</f>
        <v>41531</v>
      </c>
      <c r="B8393" t="s">
        <v>21</v>
      </c>
      <c r="C8393" t="s">
        <v>9</v>
      </c>
      <c r="D8393" s="3">
        <v>582.12180000000001</v>
      </c>
      <c r="E8393" s="3">
        <v>0</v>
      </c>
      <c r="F8393" t="s">
        <v>45</v>
      </c>
      <c r="G8393" s="3">
        <f t="shared" si="999"/>
        <v>-582.12180000000001</v>
      </c>
      <c r="H8393" s="3">
        <f t="shared" si="1000"/>
        <v>582.12180000000001</v>
      </c>
      <c r="I8393" s="5" t="str">
        <f t="shared" si="1001"/>
        <v>018</v>
      </c>
      <c r="J8393" s="5" t="str">
        <f t="shared" si="1002"/>
        <v>2220</v>
      </c>
      <c r="K8393" s="5" t="str">
        <f t="shared" si="1003"/>
        <v>000</v>
      </c>
      <c r="L8393" s="5">
        <f t="shared" si="1004"/>
        <v>9</v>
      </c>
      <c r="M8393" s="5">
        <f t="shared" si="1005"/>
        <v>2013</v>
      </c>
    </row>
    <row r="8394" spans="1:13" ht="15" x14ac:dyDescent="0.25">
      <c r="A8394" s="1">
        <f>DATE(2013,9,14)</f>
        <v>41531</v>
      </c>
      <c r="B8394" t="s">
        <v>22</v>
      </c>
      <c r="C8394" t="s">
        <v>10</v>
      </c>
      <c r="D8394" s="3">
        <v>188.9024</v>
      </c>
      <c r="E8394" s="3">
        <v>0</v>
      </c>
      <c r="F8394" t="s">
        <v>45</v>
      </c>
      <c r="G8394" s="3">
        <f t="shared" si="999"/>
        <v>-188.9024</v>
      </c>
      <c r="H8394" s="3">
        <f t="shared" si="1000"/>
        <v>188.9024</v>
      </c>
      <c r="I8394" s="5" t="str">
        <f t="shared" si="1001"/>
        <v>018</v>
      </c>
      <c r="J8394" s="5" t="str">
        <f t="shared" si="1002"/>
        <v>2230</v>
      </c>
      <c r="K8394" s="5" t="str">
        <f t="shared" si="1003"/>
        <v>000</v>
      </c>
      <c r="L8394" s="5">
        <f t="shared" si="1004"/>
        <v>9</v>
      </c>
      <c r="M8394" s="5">
        <f t="shared" si="1005"/>
        <v>2013</v>
      </c>
    </row>
    <row r="8395" spans="1:13" ht="15" x14ac:dyDescent="0.25">
      <c r="A8395" s="1">
        <f>DATE(2013,9,15)</f>
        <v>41532</v>
      </c>
      <c r="B8395" t="s">
        <v>19</v>
      </c>
      <c r="C8395" t="s">
        <v>6</v>
      </c>
      <c r="D8395" s="3">
        <v>9981.7115999999987</v>
      </c>
      <c r="E8395" s="3">
        <v>0</v>
      </c>
      <c r="F8395" t="s">
        <v>45</v>
      </c>
      <c r="G8395" s="3">
        <f t="shared" si="999"/>
        <v>-9981.7115999999987</v>
      </c>
      <c r="H8395" s="3">
        <f t="shared" si="1000"/>
        <v>9981.7115999999987</v>
      </c>
      <c r="I8395" s="5" t="str">
        <f t="shared" si="1001"/>
        <v>018</v>
      </c>
      <c r="J8395" s="5" t="str">
        <f t="shared" si="1002"/>
        <v>2100</v>
      </c>
      <c r="K8395" s="5" t="str">
        <f t="shared" si="1003"/>
        <v>000</v>
      </c>
      <c r="L8395" s="5">
        <f t="shared" si="1004"/>
        <v>9</v>
      </c>
      <c r="M8395" s="5">
        <f t="shared" si="1005"/>
        <v>2013</v>
      </c>
    </row>
    <row r="8396" spans="1:13" ht="15" x14ac:dyDescent="0.25">
      <c r="A8396" s="1">
        <f>DATE(2013,9,15)</f>
        <v>41532</v>
      </c>
      <c r="B8396" t="s">
        <v>20</v>
      </c>
      <c r="C8396" t="s">
        <v>8</v>
      </c>
      <c r="D8396" s="3">
        <v>762.14429999999993</v>
      </c>
      <c r="E8396" s="3">
        <v>0</v>
      </c>
      <c r="F8396" t="s">
        <v>45</v>
      </c>
      <c r="G8396" s="3">
        <f t="shared" si="999"/>
        <v>-762.14429999999993</v>
      </c>
      <c r="H8396" s="3">
        <f t="shared" si="1000"/>
        <v>762.14429999999993</v>
      </c>
      <c r="I8396" s="5" t="str">
        <f t="shared" si="1001"/>
        <v>018</v>
      </c>
      <c r="J8396" s="5" t="str">
        <f t="shared" si="1002"/>
        <v>2210</v>
      </c>
      <c r="K8396" s="5" t="str">
        <f t="shared" si="1003"/>
        <v>000</v>
      </c>
      <c r="L8396" s="5">
        <f t="shared" si="1004"/>
        <v>9</v>
      </c>
      <c r="M8396" s="5">
        <f t="shared" si="1005"/>
        <v>2013</v>
      </c>
    </row>
    <row r="8397" spans="1:13" ht="15" x14ac:dyDescent="0.25">
      <c r="A8397" s="1">
        <f>DATE(2013,9,15)</f>
        <v>41532</v>
      </c>
      <c r="B8397" t="s">
        <v>21</v>
      </c>
      <c r="C8397" t="s">
        <v>9</v>
      </c>
      <c r="D8397" s="3">
        <v>385.88049999999998</v>
      </c>
      <c r="E8397" s="3">
        <v>0</v>
      </c>
      <c r="F8397" t="s">
        <v>45</v>
      </c>
      <c r="G8397" s="3">
        <f t="shared" si="999"/>
        <v>-385.88049999999998</v>
      </c>
      <c r="H8397" s="3">
        <f t="shared" si="1000"/>
        <v>385.88049999999998</v>
      </c>
      <c r="I8397" s="5" t="str">
        <f t="shared" si="1001"/>
        <v>018</v>
      </c>
      <c r="J8397" s="5" t="str">
        <f t="shared" si="1002"/>
        <v>2220</v>
      </c>
      <c r="K8397" s="5" t="str">
        <f t="shared" si="1003"/>
        <v>000</v>
      </c>
      <c r="L8397" s="5">
        <f t="shared" si="1004"/>
        <v>9</v>
      </c>
      <c r="M8397" s="5">
        <f t="shared" si="1005"/>
        <v>2013</v>
      </c>
    </row>
    <row r="8398" spans="1:13" ht="15" x14ac:dyDescent="0.25">
      <c r="A8398" s="1">
        <f>DATE(2013,9,15)</f>
        <v>41532</v>
      </c>
      <c r="B8398" t="s">
        <v>22</v>
      </c>
      <c r="C8398" t="s">
        <v>10</v>
      </c>
      <c r="D8398" s="3">
        <v>70.444800000000001</v>
      </c>
      <c r="E8398" s="3">
        <v>0</v>
      </c>
      <c r="F8398" t="s">
        <v>45</v>
      </c>
      <c r="G8398" s="3">
        <f t="shared" si="999"/>
        <v>-70.444800000000001</v>
      </c>
      <c r="H8398" s="3">
        <f t="shared" si="1000"/>
        <v>70.444800000000001</v>
      </c>
      <c r="I8398" s="5" t="str">
        <f t="shared" si="1001"/>
        <v>018</v>
      </c>
      <c r="J8398" s="5" t="str">
        <f t="shared" si="1002"/>
        <v>2230</v>
      </c>
      <c r="K8398" s="5" t="str">
        <f t="shared" si="1003"/>
        <v>000</v>
      </c>
      <c r="L8398" s="5">
        <f t="shared" si="1004"/>
        <v>9</v>
      </c>
      <c r="M8398" s="5">
        <f t="shared" si="1005"/>
        <v>2013</v>
      </c>
    </row>
    <row r="8399" spans="1:13" ht="15" x14ac:dyDescent="0.25">
      <c r="A8399" s="1">
        <f>DATE(2013,9,9)</f>
        <v>41526</v>
      </c>
      <c r="B8399" t="s">
        <v>23</v>
      </c>
      <c r="C8399" t="s">
        <v>6</v>
      </c>
      <c r="D8399" s="3">
        <v>2485.8015</v>
      </c>
      <c r="E8399" s="3">
        <v>0</v>
      </c>
      <c r="F8399" t="s">
        <v>45</v>
      </c>
      <c r="G8399" s="3">
        <f t="shared" si="999"/>
        <v>-2485.8015</v>
      </c>
      <c r="H8399" s="3">
        <f t="shared" si="1000"/>
        <v>2485.8015</v>
      </c>
      <c r="I8399" s="5" t="str">
        <f t="shared" si="1001"/>
        <v>019</v>
      </c>
      <c r="J8399" s="5" t="str">
        <f t="shared" si="1002"/>
        <v>2100</v>
      </c>
      <c r="K8399" s="5" t="str">
        <f t="shared" si="1003"/>
        <v>000</v>
      </c>
      <c r="L8399" s="5">
        <f t="shared" si="1004"/>
        <v>9</v>
      </c>
      <c r="M8399" s="5">
        <f t="shared" si="1005"/>
        <v>2013</v>
      </c>
    </row>
    <row r="8400" spans="1:13" ht="15" x14ac:dyDescent="0.25">
      <c r="A8400" s="1">
        <f>DATE(2013,9,9)</f>
        <v>41526</v>
      </c>
      <c r="B8400" t="s">
        <v>24</v>
      </c>
      <c r="C8400" t="s">
        <v>8</v>
      </c>
      <c r="D8400" s="3">
        <v>487.37919999999997</v>
      </c>
      <c r="E8400" s="3">
        <v>0</v>
      </c>
      <c r="F8400" t="s">
        <v>45</v>
      </c>
      <c r="G8400" s="3">
        <f t="shared" si="999"/>
        <v>-487.37919999999997</v>
      </c>
      <c r="H8400" s="3">
        <f t="shared" si="1000"/>
        <v>487.37919999999997</v>
      </c>
      <c r="I8400" s="5" t="str">
        <f t="shared" si="1001"/>
        <v>019</v>
      </c>
      <c r="J8400" s="5" t="str">
        <f t="shared" si="1002"/>
        <v>2210</v>
      </c>
      <c r="K8400" s="5" t="str">
        <f t="shared" si="1003"/>
        <v>000</v>
      </c>
      <c r="L8400" s="5">
        <f t="shared" si="1004"/>
        <v>9</v>
      </c>
      <c r="M8400" s="5">
        <f t="shared" si="1005"/>
        <v>2013</v>
      </c>
    </row>
    <row r="8401" spans="1:13" ht="15" x14ac:dyDescent="0.25">
      <c r="A8401" s="1">
        <f>DATE(2013,9,9)</f>
        <v>41526</v>
      </c>
      <c r="B8401" t="s">
        <v>25</v>
      </c>
      <c r="C8401" t="s">
        <v>9</v>
      </c>
      <c r="D8401" s="3">
        <v>189.6234</v>
      </c>
      <c r="E8401" s="3">
        <v>0</v>
      </c>
      <c r="F8401" t="s">
        <v>45</v>
      </c>
      <c r="G8401" s="3">
        <f t="shared" si="999"/>
        <v>-189.6234</v>
      </c>
      <c r="H8401" s="3">
        <f t="shared" si="1000"/>
        <v>189.6234</v>
      </c>
      <c r="I8401" s="5" t="str">
        <f t="shared" si="1001"/>
        <v>019</v>
      </c>
      <c r="J8401" s="5" t="str">
        <f t="shared" si="1002"/>
        <v>2220</v>
      </c>
      <c r="K8401" s="5" t="str">
        <f t="shared" si="1003"/>
        <v>000</v>
      </c>
      <c r="L8401" s="5">
        <f t="shared" si="1004"/>
        <v>9</v>
      </c>
      <c r="M8401" s="5">
        <f t="shared" si="1005"/>
        <v>2013</v>
      </c>
    </row>
    <row r="8402" spans="1:13" ht="15" x14ac:dyDescent="0.25">
      <c r="A8402" s="1">
        <f>DATE(2013,9,9)</f>
        <v>41526</v>
      </c>
      <c r="B8402" t="s">
        <v>26</v>
      </c>
      <c r="C8402" t="s">
        <v>10</v>
      </c>
      <c r="D8402" s="3">
        <v>26.7624</v>
      </c>
      <c r="E8402" s="3">
        <v>0</v>
      </c>
      <c r="F8402" t="s">
        <v>45</v>
      </c>
      <c r="G8402" s="3">
        <f t="shared" si="999"/>
        <v>-26.7624</v>
      </c>
      <c r="H8402" s="3">
        <f t="shared" si="1000"/>
        <v>26.7624</v>
      </c>
      <c r="I8402" s="5" t="str">
        <f t="shared" si="1001"/>
        <v>019</v>
      </c>
      <c r="J8402" s="5" t="str">
        <f t="shared" si="1002"/>
        <v>2230</v>
      </c>
      <c r="K8402" s="5" t="str">
        <f t="shared" si="1003"/>
        <v>000</v>
      </c>
      <c r="L8402" s="5">
        <f t="shared" si="1004"/>
        <v>9</v>
      </c>
      <c r="M8402" s="5">
        <f t="shared" si="1005"/>
        <v>2013</v>
      </c>
    </row>
    <row r="8403" spans="1:13" ht="15" x14ac:dyDescent="0.25">
      <c r="A8403" s="1">
        <f>DATE(2013,9,10)</f>
        <v>41527</v>
      </c>
      <c r="B8403" t="s">
        <v>23</v>
      </c>
      <c r="C8403" t="s">
        <v>6</v>
      </c>
      <c r="D8403" s="3">
        <v>3958.752</v>
      </c>
      <c r="E8403" s="3">
        <v>0</v>
      </c>
      <c r="F8403" t="s">
        <v>45</v>
      </c>
      <c r="G8403" s="3">
        <f t="shared" si="999"/>
        <v>-3958.752</v>
      </c>
      <c r="H8403" s="3">
        <f t="shared" si="1000"/>
        <v>3958.752</v>
      </c>
      <c r="I8403" s="5" t="str">
        <f t="shared" si="1001"/>
        <v>019</v>
      </c>
      <c r="J8403" s="5" t="str">
        <f t="shared" si="1002"/>
        <v>2100</v>
      </c>
      <c r="K8403" s="5" t="str">
        <f t="shared" si="1003"/>
        <v>000</v>
      </c>
      <c r="L8403" s="5">
        <f t="shared" si="1004"/>
        <v>9</v>
      </c>
      <c r="M8403" s="5">
        <f t="shared" si="1005"/>
        <v>2013</v>
      </c>
    </row>
    <row r="8404" spans="1:13" ht="15" x14ac:dyDescent="0.25">
      <c r="A8404" s="1">
        <f>DATE(2013,9,10)</f>
        <v>41527</v>
      </c>
      <c r="B8404" t="s">
        <v>24</v>
      </c>
      <c r="C8404" t="s">
        <v>8</v>
      </c>
      <c r="D8404" s="3">
        <v>766.72269999999992</v>
      </c>
      <c r="E8404" s="3">
        <v>0</v>
      </c>
      <c r="F8404" t="s">
        <v>45</v>
      </c>
      <c r="G8404" s="3">
        <f t="shared" si="999"/>
        <v>-766.72269999999992</v>
      </c>
      <c r="H8404" s="3">
        <f t="shared" si="1000"/>
        <v>766.72269999999992</v>
      </c>
      <c r="I8404" s="5" t="str">
        <f t="shared" si="1001"/>
        <v>019</v>
      </c>
      <c r="J8404" s="5" t="str">
        <f t="shared" si="1002"/>
        <v>2210</v>
      </c>
      <c r="K8404" s="5" t="str">
        <f t="shared" si="1003"/>
        <v>000</v>
      </c>
      <c r="L8404" s="5">
        <f t="shared" si="1004"/>
        <v>9</v>
      </c>
      <c r="M8404" s="5">
        <f t="shared" si="1005"/>
        <v>2013</v>
      </c>
    </row>
    <row r="8405" spans="1:13" ht="15" x14ac:dyDescent="0.25">
      <c r="A8405" s="1">
        <f>DATE(2013,9,10)</f>
        <v>41527</v>
      </c>
      <c r="B8405" t="s">
        <v>25</v>
      </c>
      <c r="C8405" t="s">
        <v>9</v>
      </c>
      <c r="D8405" s="3">
        <v>224.744</v>
      </c>
      <c r="E8405" s="3">
        <v>0</v>
      </c>
      <c r="F8405" t="s">
        <v>45</v>
      </c>
      <c r="G8405" s="3">
        <f t="shared" si="999"/>
        <v>-224.744</v>
      </c>
      <c r="H8405" s="3">
        <f t="shared" si="1000"/>
        <v>224.744</v>
      </c>
      <c r="I8405" s="5" t="str">
        <f t="shared" si="1001"/>
        <v>019</v>
      </c>
      <c r="J8405" s="5" t="str">
        <f t="shared" si="1002"/>
        <v>2220</v>
      </c>
      <c r="K8405" s="5" t="str">
        <f t="shared" si="1003"/>
        <v>000</v>
      </c>
      <c r="L8405" s="5">
        <f t="shared" si="1004"/>
        <v>9</v>
      </c>
      <c r="M8405" s="5">
        <f t="shared" si="1005"/>
        <v>2013</v>
      </c>
    </row>
    <row r="8406" spans="1:13" ht="15" x14ac:dyDescent="0.25">
      <c r="A8406" s="1">
        <f>DATE(2013,9,10)</f>
        <v>41527</v>
      </c>
      <c r="B8406" t="s">
        <v>26</v>
      </c>
      <c r="C8406" t="s">
        <v>10</v>
      </c>
      <c r="D8406" s="3">
        <v>78.014799999999994</v>
      </c>
      <c r="E8406" s="3">
        <v>0</v>
      </c>
      <c r="F8406" t="s">
        <v>45</v>
      </c>
      <c r="G8406" s="3">
        <f t="shared" si="999"/>
        <v>-78.014799999999994</v>
      </c>
      <c r="H8406" s="3">
        <f t="shared" si="1000"/>
        <v>78.014799999999994</v>
      </c>
      <c r="I8406" s="5" t="str">
        <f t="shared" si="1001"/>
        <v>019</v>
      </c>
      <c r="J8406" s="5" t="str">
        <f t="shared" si="1002"/>
        <v>2230</v>
      </c>
      <c r="K8406" s="5" t="str">
        <f t="shared" si="1003"/>
        <v>000</v>
      </c>
      <c r="L8406" s="5">
        <f t="shared" si="1004"/>
        <v>9</v>
      </c>
      <c r="M8406" s="5">
        <f t="shared" si="1005"/>
        <v>2013</v>
      </c>
    </row>
    <row r="8407" spans="1:13" ht="15" x14ac:dyDescent="0.25">
      <c r="A8407" s="1">
        <f>DATE(2013,9,11)</f>
        <v>41528</v>
      </c>
      <c r="B8407" t="s">
        <v>23</v>
      </c>
      <c r="C8407" t="s">
        <v>6</v>
      </c>
      <c r="D8407" s="3">
        <v>2872.4848000000002</v>
      </c>
      <c r="E8407" s="3">
        <v>0</v>
      </c>
      <c r="F8407" t="s">
        <v>45</v>
      </c>
      <c r="G8407" s="3">
        <f t="shared" si="999"/>
        <v>-2872.4848000000002</v>
      </c>
      <c r="H8407" s="3">
        <f t="shared" si="1000"/>
        <v>2872.4848000000002</v>
      </c>
      <c r="I8407" s="5" t="str">
        <f t="shared" si="1001"/>
        <v>019</v>
      </c>
      <c r="J8407" s="5" t="str">
        <f t="shared" si="1002"/>
        <v>2100</v>
      </c>
      <c r="K8407" s="5" t="str">
        <f t="shared" si="1003"/>
        <v>000</v>
      </c>
      <c r="L8407" s="5">
        <f t="shared" si="1004"/>
        <v>9</v>
      </c>
      <c r="M8407" s="5">
        <f t="shared" si="1005"/>
        <v>2013</v>
      </c>
    </row>
    <row r="8408" spans="1:13" ht="15" x14ac:dyDescent="0.25">
      <c r="A8408" s="1">
        <f>DATE(2013,9,11)</f>
        <v>41528</v>
      </c>
      <c r="B8408" t="s">
        <v>24</v>
      </c>
      <c r="C8408" t="s">
        <v>8</v>
      </c>
      <c r="D8408" s="3">
        <v>769.7749</v>
      </c>
      <c r="E8408" s="3">
        <v>0</v>
      </c>
      <c r="F8408" t="s">
        <v>45</v>
      </c>
      <c r="G8408" s="3">
        <f t="shared" si="999"/>
        <v>-769.7749</v>
      </c>
      <c r="H8408" s="3">
        <f t="shared" si="1000"/>
        <v>769.7749</v>
      </c>
      <c r="I8408" s="5" t="str">
        <f t="shared" si="1001"/>
        <v>019</v>
      </c>
      <c r="J8408" s="5" t="str">
        <f t="shared" si="1002"/>
        <v>2210</v>
      </c>
      <c r="K8408" s="5" t="str">
        <f t="shared" si="1003"/>
        <v>000</v>
      </c>
      <c r="L8408" s="5">
        <f t="shared" si="1004"/>
        <v>9</v>
      </c>
      <c r="M8408" s="5">
        <f t="shared" si="1005"/>
        <v>2013</v>
      </c>
    </row>
    <row r="8409" spans="1:13" ht="15" x14ac:dyDescent="0.25">
      <c r="A8409" s="1">
        <f>DATE(2013,9,11)</f>
        <v>41528</v>
      </c>
      <c r="B8409" t="s">
        <v>25</v>
      </c>
      <c r="C8409" t="s">
        <v>9</v>
      </c>
      <c r="D8409" s="3">
        <v>230.2056</v>
      </c>
      <c r="E8409" s="3">
        <v>0</v>
      </c>
      <c r="F8409" t="s">
        <v>45</v>
      </c>
      <c r="G8409" s="3">
        <f t="shared" si="999"/>
        <v>-230.2056</v>
      </c>
      <c r="H8409" s="3">
        <f t="shared" si="1000"/>
        <v>230.2056</v>
      </c>
      <c r="I8409" s="5" t="str">
        <f t="shared" si="1001"/>
        <v>019</v>
      </c>
      <c r="J8409" s="5" t="str">
        <f t="shared" si="1002"/>
        <v>2220</v>
      </c>
      <c r="K8409" s="5" t="str">
        <f t="shared" si="1003"/>
        <v>000</v>
      </c>
      <c r="L8409" s="5">
        <f t="shared" si="1004"/>
        <v>9</v>
      </c>
      <c r="M8409" s="5">
        <f t="shared" si="1005"/>
        <v>2013</v>
      </c>
    </row>
    <row r="8410" spans="1:13" ht="15" x14ac:dyDescent="0.25">
      <c r="A8410" s="1">
        <f>DATE(2013,9,11)</f>
        <v>41528</v>
      </c>
      <c r="B8410" t="s">
        <v>26</v>
      </c>
      <c r="C8410" t="s">
        <v>10</v>
      </c>
      <c r="D8410" s="3">
        <v>36.308999999999997</v>
      </c>
      <c r="E8410" s="3">
        <v>0</v>
      </c>
      <c r="F8410" t="s">
        <v>45</v>
      </c>
      <c r="G8410" s="3">
        <f t="shared" si="999"/>
        <v>-36.308999999999997</v>
      </c>
      <c r="H8410" s="3">
        <f t="shared" si="1000"/>
        <v>36.308999999999997</v>
      </c>
      <c r="I8410" s="5" t="str">
        <f t="shared" si="1001"/>
        <v>019</v>
      </c>
      <c r="J8410" s="5" t="str">
        <f t="shared" si="1002"/>
        <v>2230</v>
      </c>
      <c r="K8410" s="5" t="str">
        <f t="shared" si="1003"/>
        <v>000</v>
      </c>
      <c r="L8410" s="5">
        <f t="shared" si="1004"/>
        <v>9</v>
      </c>
      <c r="M8410" s="5">
        <f t="shared" si="1005"/>
        <v>2013</v>
      </c>
    </row>
    <row r="8411" spans="1:13" ht="15" x14ac:dyDescent="0.25">
      <c r="A8411" s="1">
        <f>DATE(2013,9,12)</f>
        <v>41529</v>
      </c>
      <c r="B8411" t="s">
        <v>23</v>
      </c>
      <c r="C8411" t="s">
        <v>6</v>
      </c>
      <c r="D8411" s="3">
        <v>3164.7894999999999</v>
      </c>
      <c r="E8411" s="3">
        <v>0</v>
      </c>
      <c r="F8411" t="s">
        <v>45</v>
      </c>
      <c r="G8411" s="3">
        <f t="shared" si="999"/>
        <v>-3164.7894999999999</v>
      </c>
      <c r="H8411" s="3">
        <f t="shared" si="1000"/>
        <v>3164.7894999999999</v>
      </c>
      <c r="I8411" s="5" t="str">
        <f t="shared" si="1001"/>
        <v>019</v>
      </c>
      <c r="J8411" s="5" t="str">
        <f t="shared" si="1002"/>
        <v>2100</v>
      </c>
      <c r="K8411" s="5" t="str">
        <f t="shared" si="1003"/>
        <v>000</v>
      </c>
      <c r="L8411" s="5">
        <f t="shared" si="1004"/>
        <v>9</v>
      </c>
      <c r="M8411" s="5">
        <f t="shared" si="1005"/>
        <v>2013</v>
      </c>
    </row>
    <row r="8412" spans="1:13" ht="15" x14ac:dyDescent="0.25">
      <c r="A8412" s="1">
        <f>DATE(2013,9,12)</f>
        <v>41529</v>
      </c>
      <c r="B8412" t="s">
        <v>24</v>
      </c>
      <c r="C8412" t="s">
        <v>8</v>
      </c>
      <c r="D8412" s="3">
        <v>1021.6423</v>
      </c>
      <c r="E8412" s="3">
        <v>0</v>
      </c>
      <c r="F8412" t="s">
        <v>45</v>
      </c>
      <c r="G8412" s="3">
        <f t="shared" si="999"/>
        <v>-1021.6423</v>
      </c>
      <c r="H8412" s="3">
        <f t="shared" si="1000"/>
        <v>1021.6423</v>
      </c>
      <c r="I8412" s="5" t="str">
        <f t="shared" si="1001"/>
        <v>019</v>
      </c>
      <c r="J8412" s="5" t="str">
        <f t="shared" si="1002"/>
        <v>2210</v>
      </c>
      <c r="K8412" s="5" t="str">
        <f t="shared" si="1003"/>
        <v>000</v>
      </c>
      <c r="L8412" s="5">
        <f t="shared" si="1004"/>
        <v>9</v>
      </c>
      <c r="M8412" s="5">
        <f t="shared" si="1005"/>
        <v>2013</v>
      </c>
    </row>
    <row r="8413" spans="1:13" ht="15" x14ac:dyDescent="0.25">
      <c r="A8413" s="1">
        <f>DATE(2013,9,12)</f>
        <v>41529</v>
      </c>
      <c r="B8413" t="s">
        <v>25</v>
      </c>
      <c r="C8413" t="s">
        <v>9</v>
      </c>
      <c r="D8413" s="3">
        <v>282.31200000000001</v>
      </c>
      <c r="E8413" s="3">
        <v>0</v>
      </c>
      <c r="F8413" t="s">
        <v>45</v>
      </c>
      <c r="G8413" s="3">
        <f t="shared" si="999"/>
        <v>-282.31200000000001</v>
      </c>
      <c r="H8413" s="3">
        <f t="shared" si="1000"/>
        <v>282.31200000000001</v>
      </c>
      <c r="I8413" s="5" t="str">
        <f t="shared" si="1001"/>
        <v>019</v>
      </c>
      <c r="J8413" s="5" t="str">
        <f t="shared" si="1002"/>
        <v>2220</v>
      </c>
      <c r="K8413" s="5" t="str">
        <f t="shared" si="1003"/>
        <v>000</v>
      </c>
      <c r="L8413" s="5">
        <f t="shared" si="1004"/>
        <v>9</v>
      </c>
      <c r="M8413" s="5">
        <f t="shared" si="1005"/>
        <v>2013</v>
      </c>
    </row>
    <row r="8414" spans="1:13" ht="15" x14ac:dyDescent="0.25">
      <c r="A8414" s="1">
        <f>DATE(2013,9,12)</f>
        <v>41529</v>
      </c>
      <c r="B8414" t="s">
        <v>26</v>
      </c>
      <c r="C8414" t="s">
        <v>10</v>
      </c>
      <c r="D8414" s="3">
        <v>84.594399999999993</v>
      </c>
      <c r="E8414" s="3">
        <v>0</v>
      </c>
      <c r="F8414" t="s">
        <v>45</v>
      </c>
      <c r="G8414" s="3">
        <f t="shared" si="999"/>
        <v>-84.594399999999993</v>
      </c>
      <c r="H8414" s="3">
        <f t="shared" si="1000"/>
        <v>84.594399999999993</v>
      </c>
      <c r="I8414" s="5" t="str">
        <f t="shared" si="1001"/>
        <v>019</v>
      </c>
      <c r="J8414" s="5" t="str">
        <f t="shared" si="1002"/>
        <v>2230</v>
      </c>
      <c r="K8414" s="5" t="str">
        <f t="shared" si="1003"/>
        <v>000</v>
      </c>
      <c r="L8414" s="5">
        <f t="shared" si="1004"/>
        <v>9</v>
      </c>
      <c r="M8414" s="5">
        <f t="shared" si="1005"/>
        <v>2013</v>
      </c>
    </row>
    <row r="8415" spans="1:13" ht="15" x14ac:dyDescent="0.25">
      <c r="A8415" s="1">
        <f>DATE(2013,9,13)</f>
        <v>41530</v>
      </c>
      <c r="B8415" t="s">
        <v>23</v>
      </c>
      <c r="C8415" t="s">
        <v>6</v>
      </c>
      <c r="D8415" s="3">
        <v>5648.7470999999996</v>
      </c>
      <c r="E8415" s="3">
        <v>0</v>
      </c>
      <c r="F8415" t="s">
        <v>45</v>
      </c>
      <c r="G8415" s="3">
        <f t="shared" si="999"/>
        <v>-5648.7470999999996</v>
      </c>
      <c r="H8415" s="3">
        <f t="shared" si="1000"/>
        <v>5648.7470999999996</v>
      </c>
      <c r="I8415" s="5" t="str">
        <f t="shared" si="1001"/>
        <v>019</v>
      </c>
      <c r="J8415" s="5" t="str">
        <f t="shared" si="1002"/>
        <v>2100</v>
      </c>
      <c r="K8415" s="5" t="str">
        <f t="shared" si="1003"/>
        <v>000</v>
      </c>
      <c r="L8415" s="5">
        <f t="shared" si="1004"/>
        <v>9</v>
      </c>
      <c r="M8415" s="5">
        <f t="shared" si="1005"/>
        <v>2013</v>
      </c>
    </row>
    <row r="8416" spans="1:13" ht="15" x14ac:dyDescent="0.25">
      <c r="A8416" s="1">
        <f>DATE(2013,9,13)</f>
        <v>41530</v>
      </c>
      <c r="B8416" t="s">
        <v>24</v>
      </c>
      <c r="C8416" t="s">
        <v>8</v>
      </c>
      <c r="D8416" s="3">
        <v>2671.0264000000002</v>
      </c>
      <c r="E8416" s="3">
        <v>0</v>
      </c>
      <c r="F8416" t="s">
        <v>45</v>
      </c>
      <c r="G8416" s="3">
        <f t="shared" si="999"/>
        <v>-2671.0264000000002</v>
      </c>
      <c r="H8416" s="3">
        <f t="shared" si="1000"/>
        <v>2671.0264000000002</v>
      </c>
      <c r="I8416" s="5" t="str">
        <f t="shared" si="1001"/>
        <v>019</v>
      </c>
      <c r="J8416" s="5" t="str">
        <f t="shared" si="1002"/>
        <v>2210</v>
      </c>
      <c r="K8416" s="5" t="str">
        <f t="shared" si="1003"/>
        <v>000</v>
      </c>
      <c r="L8416" s="5">
        <f t="shared" si="1004"/>
        <v>9</v>
      </c>
      <c r="M8416" s="5">
        <f t="shared" si="1005"/>
        <v>2013</v>
      </c>
    </row>
    <row r="8417" spans="1:13" ht="15" x14ac:dyDescent="0.25">
      <c r="A8417" s="1">
        <f>DATE(2013,9,13)</f>
        <v>41530</v>
      </c>
      <c r="B8417" t="s">
        <v>25</v>
      </c>
      <c r="C8417" t="s">
        <v>9</v>
      </c>
      <c r="D8417" s="3">
        <v>518.5680000000001</v>
      </c>
      <c r="E8417" s="3">
        <v>0</v>
      </c>
      <c r="F8417" t="s">
        <v>45</v>
      </c>
      <c r="G8417" s="3">
        <f t="shared" si="999"/>
        <v>-518.5680000000001</v>
      </c>
      <c r="H8417" s="3">
        <f t="shared" si="1000"/>
        <v>518.5680000000001</v>
      </c>
      <c r="I8417" s="5" t="str">
        <f t="shared" si="1001"/>
        <v>019</v>
      </c>
      <c r="J8417" s="5" t="str">
        <f t="shared" si="1002"/>
        <v>2220</v>
      </c>
      <c r="K8417" s="5" t="str">
        <f t="shared" si="1003"/>
        <v>000</v>
      </c>
      <c r="L8417" s="5">
        <f t="shared" si="1004"/>
        <v>9</v>
      </c>
      <c r="M8417" s="5">
        <f t="shared" si="1005"/>
        <v>2013</v>
      </c>
    </row>
    <row r="8418" spans="1:13" ht="15" x14ac:dyDescent="0.25">
      <c r="A8418" s="1">
        <f>DATE(2013,9,13)</f>
        <v>41530</v>
      </c>
      <c r="B8418" t="s">
        <v>26</v>
      </c>
      <c r="C8418" t="s">
        <v>10</v>
      </c>
      <c r="D8418" s="3">
        <v>51.041599999999995</v>
      </c>
      <c r="E8418" s="3">
        <v>0</v>
      </c>
      <c r="F8418" t="s">
        <v>45</v>
      </c>
      <c r="G8418" s="3">
        <f t="shared" si="999"/>
        <v>-51.041599999999995</v>
      </c>
      <c r="H8418" s="3">
        <f t="shared" si="1000"/>
        <v>51.041599999999995</v>
      </c>
      <c r="I8418" s="5" t="str">
        <f t="shared" si="1001"/>
        <v>019</v>
      </c>
      <c r="J8418" s="5" t="str">
        <f t="shared" si="1002"/>
        <v>2230</v>
      </c>
      <c r="K8418" s="5" t="str">
        <f t="shared" si="1003"/>
        <v>000</v>
      </c>
      <c r="L8418" s="5">
        <f t="shared" si="1004"/>
        <v>9</v>
      </c>
      <c r="M8418" s="5">
        <f t="shared" si="1005"/>
        <v>2013</v>
      </c>
    </row>
    <row r="8419" spans="1:13" ht="15" x14ac:dyDescent="0.25">
      <c r="A8419" s="1">
        <f>DATE(2013,9,14)</f>
        <v>41531</v>
      </c>
      <c r="B8419" t="s">
        <v>23</v>
      </c>
      <c r="C8419" t="s">
        <v>6</v>
      </c>
      <c r="D8419" s="3">
        <v>4882.5199999999995</v>
      </c>
      <c r="E8419" s="3">
        <v>0</v>
      </c>
      <c r="F8419" t="s">
        <v>45</v>
      </c>
      <c r="G8419" s="3">
        <f t="shared" si="999"/>
        <v>-4882.5199999999995</v>
      </c>
      <c r="H8419" s="3">
        <f t="shared" si="1000"/>
        <v>4882.5199999999995</v>
      </c>
      <c r="I8419" s="5" t="str">
        <f t="shared" si="1001"/>
        <v>019</v>
      </c>
      <c r="J8419" s="5" t="str">
        <f t="shared" si="1002"/>
        <v>2100</v>
      </c>
      <c r="K8419" s="5" t="str">
        <f t="shared" si="1003"/>
        <v>000</v>
      </c>
      <c r="L8419" s="5">
        <f t="shared" si="1004"/>
        <v>9</v>
      </c>
      <c r="M8419" s="5">
        <f t="shared" si="1005"/>
        <v>2013</v>
      </c>
    </row>
    <row r="8420" spans="1:13" ht="15" x14ac:dyDescent="0.25">
      <c r="A8420" s="1">
        <f>DATE(2013,9,14)</f>
        <v>41531</v>
      </c>
      <c r="B8420" t="s">
        <v>24</v>
      </c>
      <c r="C8420" t="s">
        <v>8</v>
      </c>
      <c r="D8420" s="3">
        <v>1630.2528</v>
      </c>
      <c r="E8420" s="3">
        <v>0</v>
      </c>
      <c r="F8420" t="s">
        <v>45</v>
      </c>
      <c r="G8420" s="3">
        <f t="shared" si="999"/>
        <v>-1630.2528</v>
      </c>
      <c r="H8420" s="3">
        <f t="shared" si="1000"/>
        <v>1630.2528</v>
      </c>
      <c r="I8420" s="5" t="str">
        <f t="shared" si="1001"/>
        <v>019</v>
      </c>
      <c r="J8420" s="5" t="str">
        <f t="shared" si="1002"/>
        <v>2210</v>
      </c>
      <c r="K8420" s="5" t="str">
        <f t="shared" si="1003"/>
        <v>000</v>
      </c>
      <c r="L8420" s="5">
        <f t="shared" si="1004"/>
        <v>9</v>
      </c>
      <c r="M8420" s="5">
        <f t="shared" si="1005"/>
        <v>2013</v>
      </c>
    </row>
    <row r="8421" spans="1:13" ht="15" x14ac:dyDescent="0.25">
      <c r="A8421" s="1">
        <f>DATE(2013,9,14)</f>
        <v>41531</v>
      </c>
      <c r="B8421" t="s">
        <v>25</v>
      </c>
      <c r="C8421" t="s">
        <v>9</v>
      </c>
      <c r="D8421" s="3">
        <v>372.76</v>
      </c>
      <c r="E8421" s="3">
        <v>0</v>
      </c>
      <c r="F8421" t="s">
        <v>45</v>
      </c>
      <c r="G8421" s="3">
        <f t="shared" si="999"/>
        <v>-372.76</v>
      </c>
      <c r="H8421" s="3">
        <f t="shared" si="1000"/>
        <v>372.76</v>
      </c>
      <c r="I8421" s="5" t="str">
        <f t="shared" si="1001"/>
        <v>019</v>
      </c>
      <c r="J8421" s="5" t="str">
        <f t="shared" si="1002"/>
        <v>2220</v>
      </c>
      <c r="K8421" s="5" t="str">
        <f t="shared" si="1003"/>
        <v>000</v>
      </c>
      <c r="L8421" s="5">
        <f t="shared" si="1004"/>
        <v>9</v>
      </c>
      <c r="M8421" s="5">
        <f t="shared" si="1005"/>
        <v>2013</v>
      </c>
    </row>
    <row r="8422" spans="1:13" ht="15" x14ac:dyDescent="0.25">
      <c r="A8422" s="1">
        <f>DATE(2013,9,14)</f>
        <v>41531</v>
      </c>
      <c r="B8422" t="s">
        <v>26</v>
      </c>
      <c r="C8422" t="s">
        <v>10</v>
      </c>
      <c r="D8422" s="3">
        <v>105.7724</v>
      </c>
      <c r="E8422" s="3">
        <v>0</v>
      </c>
      <c r="F8422" t="s">
        <v>45</v>
      </c>
      <c r="G8422" s="3">
        <f t="shared" si="999"/>
        <v>-105.7724</v>
      </c>
      <c r="H8422" s="3">
        <f t="shared" si="1000"/>
        <v>105.7724</v>
      </c>
      <c r="I8422" s="5" t="str">
        <f t="shared" si="1001"/>
        <v>019</v>
      </c>
      <c r="J8422" s="5" t="str">
        <f t="shared" si="1002"/>
        <v>2230</v>
      </c>
      <c r="K8422" s="5" t="str">
        <f t="shared" si="1003"/>
        <v>000</v>
      </c>
      <c r="L8422" s="5">
        <f t="shared" si="1004"/>
        <v>9</v>
      </c>
      <c r="M8422" s="5">
        <f t="shared" si="1005"/>
        <v>2013</v>
      </c>
    </row>
    <row r="8423" spans="1:13" ht="15" x14ac:dyDescent="0.25">
      <c r="A8423" s="1">
        <f>DATE(2013,9,15)</f>
        <v>41532</v>
      </c>
      <c r="B8423" t="s">
        <v>23</v>
      </c>
      <c r="C8423" t="s">
        <v>6</v>
      </c>
      <c r="D8423" s="3">
        <v>2986.4245000000005</v>
      </c>
      <c r="E8423" s="3">
        <v>0</v>
      </c>
      <c r="F8423" t="s">
        <v>45</v>
      </c>
      <c r="G8423" s="3">
        <f t="shared" si="999"/>
        <v>-2986.4245000000005</v>
      </c>
      <c r="H8423" s="3">
        <f t="shared" si="1000"/>
        <v>2986.4245000000005</v>
      </c>
      <c r="I8423" s="5" t="str">
        <f t="shared" si="1001"/>
        <v>019</v>
      </c>
      <c r="J8423" s="5" t="str">
        <f t="shared" si="1002"/>
        <v>2100</v>
      </c>
      <c r="K8423" s="5" t="str">
        <f t="shared" si="1003"/>
        <v>000</v>
      </c>
      <c r="L8423" s="5">
        <f t="shared" si="1004"/>
        <v>9</v>
      </c>
      <c r="M8423" s="5">
        <f t="shared" si="1005"/>
        <v>2013</v>
      </c>
    </row>
    <row r="8424" spans="1:13" ht="15" x14ac:dyDescent="0.25">
      <c r="A8424" s="1">
        <f>DATE(2013,9,15)</f>
        <v>41532</v>
      </c>
      <c r="B8424" t="s">
        <v>24</v>
      </c>
      <c r="C8424" t="s">
        <v>8</v>
      </c>
      <c r="D8424" s="3">
        <v>1190.5355000000002</v>
      </c>
      <c r="E8424" s="3">
        <v>0</v>
      </c>
      <c r="F8424" t="s">
        <v>45</v>
      </c>
      <c r="G8424" s="3">
        <f t="shared" si="999"/>
        <v>-1190.5355000000002</v>
      </c>
      <c r="H8424" s="3">
        <f t="shared" si="1000"/>
        <v>1190.5355000000002</v>
      </c>
      <c r="I8424" s="5" t="str">
        <f t="shared" si="1001"/>
        <v>019</v>
      </c>
      <c r="J8424" s="5" t="str">
        <f t="shared" si="1002"/>
        <v>2210</v>
      </c>
      <c r="K8424" s="5" t="str">
        <f t="shared" si="1003"/>
        <v>000</v>
      </c>
      <c r="L8424" s="5">
        <f t="shared" si="1004"/>
        <v>9</v>
      </c>
      <c r="M8424" s="5">
        <f t="shared" si="1005"/>
        <v>2013</v>
      </c>
    </row>
    <row r="8425" spans="1:13" ht="15" x14ac:dyDescent="0.25">
      <c r="A8425" s="1">
        <f>DATE(2013,9,15)</f>
        <v>41532</v>
      </c>
      <c r="B8425" t="s">
        <v>25</v>
      </c>
      <c r="C8425" t="s">
        <v>9</v>
      </c>
      <c r="D8425" s="3">
        <v>290.36579999999998</v>
      </c>
      <c r="E8425" s="3">
        <v>0</v>
      </c>
      <c r="F8425" t="s">
        <v>45</v>
      </c>
      <c r="G8425" s="3">
        <f t="shared" si="999"/>
        <v>-290.36579999999998</v>
      </c>
      <c r="H8425" s="3">
        <f t="shared" si="1000"/>
        <v>290.36579999999998</v>
      </c>
      <c r="I8425" s="5" t="str">
        <f t="shared" si="1001"/>
        <v>019</v>
      </c>
      <c r="J8425" s="5" t="str">
        <f t="shared" si="1002"/>
        <v>2220</v>
      </c>
      <c r="K8425" s="5" t="str">
        <f t="shared" si="1003"/>
        <v>000</v>
      </c>
      <c r="L8425" s="5">
        <f t="shared" si="1004"/>
        <v>9</v>
      </c>
      <c r="M8425" s="5">
        <f t="shared" si="1005"/>
        <v>2013</v>
      </c>
    </row>
    <row r="8426" spans="1:13" ht="15" x14ac:dyDescent="0.25">
      <c r="A8426" s="1">
        <f>DATE(2013,9,15)</f>
        <v>41532</v>
      </c>
      <c r="B8426" t="s">
        <v>26</v>
      </c>
      <c r="C8426" t="s">
        <v>10</v>
      </c>
      <c r="D8426" s="3">
        <v>40.768000000000001</v>
      </c>
      <c r="E8426" s="3">
        <v>0</v>
      </c>
      <c r="F8426" t="s">
        <v>45</v>
      </c>
      <c r="G8426" s="3">
        <f t="shared" si="999"/>
        <v>-40.768000000000001</v>
      </c>
      <c r="H8426" s="3">
        <f t="shared" si="1000"/>
        <v>40.768000000000001</v>
      </c>
      <c r="I8426" s="5" t="str">
        <f t="shared" si="1001"/>
        <v>019</v>
      </c>
      <c r="J8426" s="5" t="str">
        <f t="shared" si="1002"/>
        <v>2230</v>
      </c>
      <c r="K8426" s="5" t="str">
        <f t="shared" si="1003"/>
        <v>000</v>
      </c>
      <c r="L8426" s="5">
        <f t="shared" si="1004"/>
        <v>9</v>
      </c>
      <c r="M8426" s="5">
        <f t="shared" si="1005"/>
        <v>2013</v>
      </c>
    </row>
    <row r="8427" spans="1:13" ht="15" x14ac:dyDescent="0.25">
      <c r="A8427" s="1">
        <f>DATE(2013,9,16)</f>
        <v>41533</v>
      </c>
      <c r="B8427" t="s">
        <v>11</v>
      </c>
      <c r="C8427" t="s">
        <v>6</v>
      </c>
      <c r="D8427" s="3">
        <v>1684.3083999999999</v>
      </c>
      <c r="E8427" s="3">
        <v>0</v>
      </c>
      <c r="F8427" t="s">
        <v>45</v>
      </c>
      <c r="G8427" s="3">
        <f t="shared" si="999"/>
        <v>-1684.3083999999999</v>
      </c>
      <c r="H8427" s="3">
        <f t="shared" si="1000"/>
        <v>1684.3083999999999</v>
      </c>
      <c r="I8427" s="5" t="str">
        <f t="shared" si="1001"/>
        <v>016</v>
      </c>
      <c r="J8427" s="5" t="str">
        <f t="shared" si="1002"/>
        <v>2100</v>
      </c>
      <c r="K8427" s="5" t="str">
        <f t="shared" si="1003"/>
        <v>000</v>
      </c>
      <c r="L8427" s="5">
        <f t="shared" si="1004"/>
        <v>9</v>
      </c>
      <c r="M8427" s="5">
        <f t="shared" si="1005"/>
        <v>2013</v>
      </c>
    </row>
    <row r="8428" spans="1:13" ht="15" x14ac:dyDescent="0.25">
      <c r="A8428" s="1">
        <f>DATE(2013,9,16)</f>
        <v>41533</v>
      </c>
      <c r="B8428" t="s">
        <v>12</v>
      </c>
      <c r="C8428" t="s">
        <v>8</v>
      </c>
      <c r="D8428" s="3">
        <v>494.00109999999995</v>
      </c>
      <c r="E8428" s="3">
        <v>0</v>
      </c>
      <c r="F8428" t="s">
        <v>45</v>
      </c>
      <c r="G8428" s="3">
        <f t="shared" si="999"/>
        <v>-494.00109999999995</v>
      </c>
      <c r="H8428" s="3">
        <f t="shared" si="1000"/>
        <v>494.00109999999995</v>
      </c>
      <c r="I8428" s="5" t="str">
        <f t="shared" si="1001"/>
        <v>016</v>
      </c>
      <c r="J8428" s="5" t="str">
        <f t="shared" si="1002"/>
        <v>2210</v>
      </c>
      <c r="K8428" s="5" t="str">
        <f t="shared" si="1003"/>
        <v>000</v>
      </c>
      <c r="L8428" s="5">
        <f t="shared" si="1004"/>
        <v>9</v>
      </c>
      <c r="M8428" s="5">
        <f t="shared" si="1005"/>
        <v>2013</v>
      </c>
    </row>
    <row r="8429" spans="1:13" ht="15" x14ac:dyDescent="0.25">
      <c r="A8429" s="1">
        <f>DATE(2013,9,16)</f>
        <v>41533</v>
      </c>
      <c r="B8429" t="s">
        <v>13</v>
      </c>
      <c r="C8429" t="s">
        <v>9</v>
      </c>
      <c r="D8429" s="3">
        <v>68.902500000000003</v>
      </c>
      <c r="E8429" s="3">
        <v>0</v>
      </c>
      <c r="F8429" t="s">
        <v>45</v>
      </c>
      <c r="G8429" s="3">
        <f t="shared" si="999"/>
        <v>-68.902500000000003</v>
      </c>
      <c r="H8429" s="3">
        <f t="shared" si="1000"/>
        <v>68.902500000000003</v>
      </c>
      <c r="I8429" s="5" t="str">
        <f t="shared" si="1001"/>
        <v>016</v>
      </c>
      <c r="J8429" s="5" t="str">
        <f t="shared" si="1002"/>
        <v>2220</v>
      </c>
      <c r="K8429" s="5" t="str">
        <f t="shared" si="1003"/>
        <v>000</v>
      </c>
      <c r="L8429" s="5">
        <f t="shared" si="1004"/>
        <v>9</v>
      </c>
      <c r="M8429" s="5">
        <f t="shared" si="1005"/>
        <v>2013</v>
      </c>
    </row>
    <row r="8430" spans="1:13" ht="15" x14ac:dyDescent="0.25">
      <c r="A8430" s="1">
        <f>DATE(2013,9,16)</f>
        <v>41533</v>
      </c>
      <c r="B8430" t="s">
        <v>14</v>
      </c>
      <c r="C8430" t="s">
        <v>10</v>
      </c>
      <c r="D8430" s="3">
        <v>46.774000000000001</v>
      </c>
      <c r="E8430" s="3">
        <v>0</v>
      </c>
      <c r="F8430" t="s">
        <v>45</v>
      </c>
      <c r="G8430" s="3">
        <f t="shared" si="999"/>
        <v>-46.774000000000001</v>
      </c>
      <c r="H8430" s="3">
        <f t="shared" si="1000"/>
        <v>46.774000000000001</v>
      </c>
      <c r="I8430" s="5" t="str">
        <f t="shared" si="1001"/>
        <v>016</v>
      </c>
      <c r="J8430" s="5" t="str">
        <f t="shared" si="1002"/>
        <v>2230</v>
      </c>
      <c r="K8430" s="5" t="str">
        <f t="shared" si="1003"/>
        <v>000</v>
      </c>
      <c r="L8430" s="5">
        <f t="shared" si="1004"/>
        <v>9</v>
      </c>
      <c r="M8430" s="5">
        <f t="shared" si="1005"/>
        <v>2013</v>
      </c>
    </row>
    <row r="8431" spans="1:13" ht="15" x14ac:dyDescent="0.25">
      <c r="A8431" s="1">
        <f t="shared" ref="A8431:A8434" si="1006">DATE(2013,9,17)</f>
        <v>41534</v>
      </c>
      <c r="B8431" t="s">
        <v>11</v>
      </c>
      <c r="C8431" t="s">
        <v>6</v>
      </c>
      <c r="D8431" s="3">
        <v>4398.2269999999999</v>
      </c>
      <c r="E8431" s="3">
        <v>0</v>
      </c>
      <c r="F8431" t="s">
        <v>45</v>
      </c>
      <c r="G8431" s="3">
        <f t="shared" si="999"/>
        <v>-4398.2269999999999</v>
      </c>
      <c r="H8431" s="3">
        <f t="shared" si="1000"/>
        <v>4398.2269999999999</v>
      </c>
      <c r="I8431" s="5" t="str">
        <f t="shared" si="1001"/>
        <v>016</v>
      </c>
      <c r="J8431" s="5" t="str">
        <f t="shared" si="1002"/>
        <v>2100</v>
      </c>
      <c r="K8431" s="5" t="str">
        <f t="shared" si="1003"/>
        <v>000</v>
      </c>
      <c r="L8431" s="5">
        <f t="shared" si="1004"/>
        <v>9</v>
      </c>
      <c r="M8431" s="5">
        <f t="shared" si="1005"/>
        <v>2013</v>
      </c>
    </row>
    <row r="8432" spans="1:13" ht="15" x14ac:dyDescent="0.25">
      <c r="A8432" s="1">
        <f t="shared" si="1006"/>
        <v>41534</v>
      </c>
      <c r="B8432" t="s">
        <v>12</v>
      </c>
      <c r="C8432" t="s">
        <v>8</v>
      </c>
      <c r="D8432" s="3">
        <v>1778.1320000000003</v>
      </c>
      <c r="E8432" s="3">
        <v>0</v>
      </c>
      <c r="F8432" t="s">
        <v>45</v>
      </c>
      <c r="G8432" s="3">
        <f t="shared" si="999"/>
        <v>-1778.1320000000003</v>
      </c>
      <c r="H8432" s="3">
        <f t="shared" si="1000"/>
        <v>1778.1320000000003</v>
      </c>
      <c r="I8432" s="5" t="str">
        <f t="shared" si="1001"/>
        <v>016</v>
      </c>
      <c r="J8432" s="5" t="str">
        <f t="shared" si="1002"/>
        <v>2210</v>
      </c>
      <c r="K8432" s="5" t="str">
        <f t="shared" si="1003"/>
        <v>000</v>
      </c>
      <c r="L8432" s="5">
        <f t="shared" si="1004"/>
        <v>9</v>
      </c>
      <c r="M8432" s="5">
        <f t="shared" si="1005"/>
        <v>2013</v>
      </c>
    </row>
    <row r="8433" spans="1:13" ht="15" x14ac:dyDescent="0.25">
      <c r="A8433" s="1">
        <f t="shared" si="1006"/>
        <v>41534</v>
      </c>
      <c r="B8433" t="s">
        <v>13</v>
      </c>
      <c r="C8433" t="s">
        <v>9</v>
      </c>
      <c r="D8433" s="3">
        <v>717.07140000000004</v>
      </c>
      <c r="E8433" s="3">
        <v>0</v>
      </c>
      <c r="F8433" t="s">
        <v>45</v>
      </c>
      <c r="G8433" s="3">
        <f t="shared" si="999"/>
        <v>-717.07140000000004</v>
      </c>
      <c r="H8433" s="3">
        <f t="shared" si="1000"/>
        <v>717.07140000000004</v>
      </c>
      <c r="I8433" s="5" t="str">
        <f t="shared" si="1001"/>
        <v>016</v>
      </c>
      <c r="J8433" s="5" t="str">
        <f t="shared" si="1002"/>
        <v>2220</v>
      </c>
      <c r="K8433" s="5" t="str">
        <f t="shared" si="1003"/>
        <v>000</v>
      </c>
      <c r="L8433" s="5">
        <f t="shared" si="1004"/>
        <v>9</v>
      </c>
      <c r="M8433" s="5">
        <f t="shared" si="1005"/>
        <v>2013</v>
      </c>
    </row>
    <row r="8434" spans="1:13" ht="15" x14ac:dyDescent="0.25">
      <c r="A8434" s="1">
        <f t="shared" si="1006"/>
        <v>41534</v>
      </c>
      <c r="B8434" t="s">
        <v>14</v>
      </c>
      <c r="C8434" t="s">
        <v>10</v>
      </c>
      <c r="D8434" s="3">
        <v>157.43209999999999</v>
      </c>
      <c r="E8434" s="3">
        <v>0</v>
      </c>
      <c r="F8434" t="s">
        <v>45</v>
      </c>
      <c r="G8434" s="3">
        <f t="shared" si="999"/>
        <v>-157.43209999999999</v>
      </c>
      <c r="H8434" s="3">
        <f t="shared" si="1000"/>
        <v>157.43209999999999</v>
      </c>
      <c r="I8434" s="5" t="str">
        <f t="shared" si="1001"/>
        <v>016</v>
      </c>
      <c r="J8434" s="5" t="str">
        <f t="shared" si="1002"/>
        <v>2230</v>
      </c>
      <c r="K8434" s="5" t="str">
        <f t="shared" si="1003"/>
        <v>000</v>
      </c>
      <c r="L8434" s="5">
        <f t="shared" si="1004"/>
        <v>9</v>
      </c>
      <c r="M8434" s="5">
        <f t="shared" si="1005"/>
        <v>2013</v>
      </c>
    </row>
    <row r="8435" spans="1:13" ht="15" x14ac:dyDescent="0.25">
      <c r="A8435" s="1">
        <f>DATE(2013,9,18)</f>
        <v>41535</v>
      </c>
      <c r="B8435" t="s">
        <v>11</v>
      </c>
      <c r="C8435" t="s">
        <v>6</v>
      </c>
      <c r="D8435" s="3">
        <v>6497.4825000000001</v>
      </c>
      <c r="E8435" s="3">
        <v>0</v>
      </c>
      <c r="F8435" t="s">
        <v>45</v>
      </c>
      <c r="G8435" s="3">
        <f t="shared" si="999"/>
        <v>-6497.4825000000001</v>
      </c>
      <c r="H8435" s="3">
        <f t="shared" si="1000"/>
        <v>6497.4825000000001</v>
      </c>
      <c r="I8435" s="5" t="str">
        <f t="shared" si="1001"/>
        <v>016</v>
      </c>
      <c r="J8435" s="5" t="str">
        <f t="shared" si="1002"/>
        <v>2100</v>
      </c>
      <c r="K8435" s="5" t="str">
        <f t="shared" si="1003"/>
        <v>000</v>
      </c>
      <c r="L8435" s="5">
        <f t="shared" si="1004"/>
        <v>9</v>
      </c>
      <c r="M8435" s="5">
        <f t="shared" si="1005"/>
        <v>2013</v>
      </c>
    </row>
    <row r="8436" spans="1:13" ht="15" x14ac:dyDescent="0.25">
      <c r="A8436" s="1">
        <f>DATE(2013,9,18)</f>
        <v>41535</v>
      </c>
      <c r="B8436" t="s">
        <v>12</v>
      </c>
      <c r="C8436" t="s">
        <v>8</v>
      </c>
      <c r="D8436" s="3">
        <v>3054.924</v>
      </c>
      <c r="E8436" s="3">
        <v>0</v>
      </c>
      <c r="F8436" t="s">
        <v>45</v>
      </c>
      <c r="G8436" s="3">
        <f t="shared" si="999"/>
        <v>-3054.924</v>
      </c>
      <c r="H8436" s="3">
        <f t="shared" si="1000"/>
        <v>3054.924</v>
      </c>
      <c r="I8436" s="5" t="str">
        <f t="shared" si="1001"/>
        <v>016</v>
      </c>
      <c r="J8436" s="5" t="str">
        <f t="shared" si="1002"/>
        <v>2210</v>
      </c>
      <c r="K8436" s="5" t="str">
        <f t="shared" si="1003"/>
        <v>000</v>
      </c>
      <c r="L8436" s="5">
        <f t="shared" si="1004"/>
        <v>9</v>
      </c>
      <c r="M8436" s="5">
        <f t="shared" si="1005"/>
        <v>2013</v>
      </c>
    </row>
    <row r="8437" spans="1:13" ht="15" x14ac:dyDescent="0.25">
      <c r="A8437" s="1">
        <f>DATE(2013,9,18)</f>
        <v>41535</v>
      </c>
      <c r="B8437" t="s">
        <v>13</v>
      </c>
      <c r="C8437" t="s">
        <v>9</v>
      </c>
      <c r="D8437" s="3">
        <v>1095.3951</v>
      </c>
      <c r="E8437" s="3">
        <v>0</v>
      </c>
      <c r="F8437" t="s">
        <v>45</v>
      </c>
      <c r="G8437" s="3">
        <f t="shared" si="999"/>
        <v>-1095.3951</v>
      </c>
      <c r="H8437" s="3">
        <f t="shared" si="1000"/>
        <v>1095.3951</v>
      </c>
      <c r="I8437" s="5" t="str">
        <f t="shared" si="1001"/>
        <v>016</v>
      </c>
      <c r="J8437" s="5" t="str">
        <f t="shared" si="1002"/>
        <v>2220</v>
      </c>
      <c r="K8437" s="5" t="str">
        <f t="shared" si="1003"/>
        <v>000</v>
      </c>
      <c r="L8437" s="5">
        <f t="shared" si="1004"/>
        <v>9</v>
      </c>
      <c r="M8437" s="5">
        <f t="shared" si="1005"/>
        <v>2013</v>
      </c>
    </row>
    <row r="8438" spans="1:13" ht="15" x14ac:dyDescent="0.25">
      <c r="A8438" s="1">
        <f>DATE(2013,9,18)</f>
        <v>41535</v>
      </c>
      <c r="B8438" t="s">
        <v>14</v>
      </c>
      <c r="C8438" t="s">
        <v>10</v>
      </c>
      <c r="D8438" s="3">
        <v>153.97829999999999</v>
      </c>
      <c r="E8438" s="3">
        <v>0</v>
      </c>
      <c r="F8438" t="s">
        <v>45</v>
      </c>
      <c r="G8438" s="3">
        <f t="shared" si="999"/>
        <v>-153.97829999999999</v>
      </c>
      <c r="H8438" s="3">
        <f t="shared" si="1000"/>
        <v>153.97829999999999</v>
      </c>
      <c r="I8438" s="5" t="str">
        <f t="shared" si="1001"/>
        <v>016</v>
      </c>
      <c r="J8438" s="5" t="str">
        <f t="shared" si="1002"/>
        <v>2230</v>
      </c>
      <c r="K8438" s="5" t="str">
        <f t="shared" si="1003"/>
        <v>000</v>
      </c>
      <c r="L8438" s="5">
        <f t="shared" si="1004"/>
        <v>9</v>
      </c>
      <c r="M8438" s="5">
        <f t="shared" si="1005"/>
        <v>2013</v>
      </c>
    </row>
    <row r="8439" spans="1:13" ht="15" x14ac:dyDescent="0.25">
      <c r="A8439" s="1">
        <f>DATE(2013,9,19)</f>
        <v>41536</v>
      </c>
      <c r="B8439" t="s">
        <v>11</v>
      </c>
      <c r="C8439" t="s">
        <v>6</v>
      </c>
      <c r="D8439" s="3">
        <v>2278.3915000000002</v>
      </c>
      <c r="E8439" s="3">
        <v>0</v>
      </c>
      <c r="F8439" t="s">
        <v>45</v>
      </c>
      <c r="G8439" s="3">
        <f t="shared" si="999"/>
        <v>-2278.3915000000002</v>
      </c>
      <c r="H8439" s="3">
        <f t="shared" si="1000"/>
        <v>2278.3915000000002</v>
      </c>
      <c r="I8439" s="5" t="str">
        <f t="shared" si="1001"/>
        <v>016</v>
      </c>
      <c r="J8439" s="5" t="str">
        <f t="shared" si="1002"/>
        <v>2100</v>
      </c>
      <c r="K8439" s="5" t="str">
        <f t="shared" si="1003"/>
        <v>000</v>
      </c>
      <c r="L8439" s="5">
        <f t="shared" si="1004"/>
        <v>9</v>
      </c>
      <c r="M8439" s="5">
        <f t="shared" si="1005"/>
        <v>2013</v>
      </c>
    </row>
    <row r="8440" spans="1:13" ht="15" x14ac:dyDescent="0.25">
      <c r="A8440" s="1">
        <f>DATE(2013,9,19)</f>
        <v>41536</v>
      </c>
      <c r="B8440" t="s">
        <v>12</v>
      </c>
      <c r="C8440" t="s">
        <v>8</v>
      </c>
      <c r="D8440" s="3">
        <v>592.13029999999992</v>
      </c>
      <c r="E8440" s="3">
        <v>0</v>
      </c>
      <c r="F8440" t="s">
        <v>45</v>
      </c>
      <c r="G8440" s="3">
        <f t="shared" si="999"/>
        <v>-592.13029999999992</v>
      </c>
      <c r="H8440" s="3">
        <f t="shared" si="1000"/>
        <v>592.13029999999992</v>
      </c>
      <c r="I8440" s="5" t="str">
        <f t="shared" si="1001"/>
        <v>016</v>
      </c>
      <c r="J8440" s="5" t="str">
        <f t="shared" si="1002"/>
        <v>2210</v>
      </c>
      <c r="K8440" s="5" t="str">
        <f t="shared" si="1003"/>
        <v>000</v>
      </c>
      <c r="L8440" s="5">
        <f t="shared" si="1004"/>
        <v>9</v>
      </c>
      <c r="M8440" s="5">
        <f t="shared" si="1005"/>
        <v>2013</v>
      </c>
    </row>
    <row r="8441" spans="1:13" ht="15" x14ac:dyDescent="0.25">
      <c r="A8441" s="1">
        <f>DATE(2013,9,19)</f>
        <v>41536</v>
      </c>
      <c r="B8441" t="s">
        <v>13</v>
      </c>
      <c r="C8441" t="s">
        <v>9</v>
      </c>
      <c r="D8441" s="3">
        <v>89.173700000000011</v>
      </c>
      <c r="E8441" s="3">
        <v>0</v>
      </c>
      <c r="F8441" t="s">
        <v>45</v>
      </c>
      <c r="G8441" s="3">
        <f t="shared" si="999"/>
        <v>-89.173700000000011</v>
      </c>
      <c r="H8441" s="3">
        <f t="shared" si="1000"/>
        <v>89.173700000000011</v>
      </c>
      <c r="I8441" s="5" t="str">
        <f t="shared" si="1001"/>
        <v>016</v>
      </c>
      <c r="J8441" s="5" t="str">
        <f t="shared" si="1002"/>
        <v>2220</v>
      </c>
      <c r="K8441" s="5" t="str">
        <f t="shared" si="1003"/>
        <v>000</v>
      </c>
      <c r="L8441" s="5">
        <f t="shared" si="1004"/>
        <v>9</v>
      </c>
      <c r="M8441" s="5">
        <f t="shared" si="1005"/>
        <v>2013</v>
      </c>
    </row>
    <row r="8442" spans="1:13" ht="15" x14ac:dyDescent="0.25">
      <c r="A8442" s="1">
        <f>DATE(2013,9,19)</f>
        <v>41536</v>
      </c>
      <c r="B8442" t="s">
        <v>14</v>
      </c>
      <c r="C8442" t="s">
        <v>10</v>
      </c>
      <c r="D8442" s="3">
        <v>33.732799999999997</v>
      </c>
      <c r="E8442" s="3">
        <v>0</v>
      </c>
      <c r="F8442" t="s">
        <v>45</v>
      </c>
      <c r="G8442" s="3">
        <f t="shared" si="999"/>
        <v>-33.732799999999997</v>
      </c>
      <c r="H8442" s="3">
        <f t="shared" si="1000"/>
        <v>33.732799999999997</v>
      </c>
      <c r="I8442" s="5" t="str">
        <f t="shared" si="1001"/>
        <v>016</v>
      </c>
      <c r="J8442" s="5" t="str">
        <f t="shared" si="1002"/>
        <v>2230</v>
      </c>
      <c r="K8442" s="5" t="str">
        <f t="shared" si="1003"/>
        <v>000</v>
      </c>
      <c r="L8442" s="5">
        <f t="shared" si="1004"/>
        <v>9</v>
      </c>
      <c r="M8442" s="5">
        <f t="shared" si="1005"/>
        <v>2013</v>
      </c>
    </row>
    <row r="8443" spans="1:13" ht="15" x14ac:dyDescent="0.25">
      <c r="A8443" s="1">
        <f>DATE(2013,9,20)</f>
        <v>41537</v>
      </c>
      <c r="B8443" t="s">
        <v>11</v>
      </c>
      <c r="C8443" t="s">
        <v>6</v>
      </c>
      <c r="D8443" s="3">
        <v>3940.1579999999999</v>
      </c>
      <c r="E8443" s="3">
        <v>0</v>
      </c>
      <c r="F8443" t="s">
        <v>45</v>
      </c>
      <c r="G8443" s="3">
        <f t="shared" si="999"/>
        <v>-3940.1579999999999</v>
      </c>
      <c r="H8443" s="3">
        <f t="shared" si="1000"/>
        <v>3940.1579999999999</v>
      </c>
      <c r="I8443" s="5" t="str">
        <f t="shared" si="1001"/>
        <v>016</v>
      </c>
      <c r="J8443" s="5" t="str">
        <f t="shared" si="1002"/>
        <v>2100</v>
      </c>
      <c r="K8443" s="5" t="str">
        <f t="shared" si="1003"/>
        <v>000</v>
      </c>
      <c r="L8443" s="5">
        <f t="shared" si="1004"/>
        <v>9</v>
      </c>
      <c r="M8443" s="5">
        <f t="shared" si="1005"/>
        <v>2013</v>
      </c>
    </row>
    <row r="8444" spans="1:13" ht="15" x14ac:dyDescent="0.25">
      <c r="A8444" s="1">
        <f>DATE(2013,9,20)</f>
        <v>41537</v>
      </c>
      <c r="B8444" t="s">
        <v>12</v>
      </c>
      <c r="C8444" t="s">
        <v>8</v>
      </c>
      <c r="D8444" s="3">
        <v>1067.8751999999999</v>
      </c>
      <c r="E8444" s="3">
        <v>0</v>
      </c>
      <c r="F8444" t="s">
        <v>45</v>
      </c>
      <c r="G8444" s="3">
        <f t="shared" si="999"/>
        <v>-1067.8751999999999</v>
      </c>
      <c r="H8444" s="3">
        <f t="shared" si="1000"/>
        <v>1067.8751999999999</v>
      </c>
      <c r="I8444" s="5" t="str">
        <f t="shared" si="1001"/>
        <v>016</v>
      </c>
      <c r="J8444" s="5" t="str">
        <f t="shared" si="1002"/>
        <v>2210</v>
      </c>
      <c r="K8444" s="5" t="str">
        <f t="shared" si="1003"/>
        <v>000</v>
      </c>
      <c r="L8444" s="5">
        <f t="shared" si="1004"/>
        <v>9</v>
      </c>
      <c r="M8444" s="5">
        <f t="shared" si="1005"/>
        <v>2013</v>
      </c>
    </row>
    <row r="8445" spans="1:13" ht="15" x14ac:dyDescent="0.25">
      <c r="A8445" s="1">
        <f>DATE(2013,9,20)</f>
        <v>41537</v>
      </c>
      <c r="B8445" t="s">
        <v>13</v>
      </c>
      <c r="C8445" t="s">
        <v>9</v>
      </c>
      <c r="D8445" s="3">
        <v>273.5369</v>
      </c>
      <c r="E8445" s="3">
        <v>0</v>
      </c>
      <c r="F8445" t="s">
        <v>45</v>
      </c>
      <c r="G8445" s="3">
        <f t="shared" si="999"/>
        <v>-273.5369</v>
      </c>
      <c r="H8445" s="3">
        <f t="shared" si="1000"/>
        <v>273.5369</v>
      </c>
      <c r="I8445" s="5" t="str">
        <f t="shared" si="1001"/>
        <v>016</v>
      </c>
      <c r="J8445" s="5" t="str">
        <f t="shared" si="1002"/>
        <v>2220</v>
      </c>
      <c r="K8445" s="5" t="str">
        <f t="shared" si="1003"/>
        <v>000</v>
      </c>
      <c r="L8445" s="5">
        <f t="shared" si="1004"/>
        <v>9</v>
      </c>
      <c r="M8445" s="5">
        <f t="shared" si="1005"/>
        <v>2013</v>
      </c>
    </row>
    <row r="8446" spans="1:13" ht="15" x14ac:dyDescent="0.25">
      <c r="A8446" s="1">
        <f>DATE(2013,9,20)</f>
        <v>41537</v>
      </c>
      <c r="B8446" t="s">
        <v>14</v>
      </c>
      <c r="C8446" t="s">
        <v>10</v>
      </c>
      <c r="D8446" s="3">
        <v>96.730200000000011</v>
      </c>
      <c r="E8446" s="3">
        <v>0</v>
      </c>
      <c r="F8446" t="s">
        <v>45</v>
      </c>
      <c r="G8446" s="3">
        <f t="shared" si="999"/>
        <v>-96.730200000000011</v>
      </c>
      <c r="H8446" s="3">
        <f t="shared" si="1000"/>
        <v>96.730200000000011</v>
      </c>
      <c r="I8446" s="5" t="str">
        <f t="shared" si="1001"/>
        <v>016</v>
      </c>
      <c r="J8446" s="5" t="str">
        <f t="shared" si="1002"/>
        <v>2230</v>
      </c>
      <c r="K8446" s="5" t="str">
        <f t="shared" si="1003"/>
        <v>000</v>
      </c>
      <c r="L8446" s="5">
        <f t="shared" si="1004"/>
        <v>9</v>
      </c>
      <c r="M8446" s="5">
        <f t="shared" si="1005"/>
        <v>2013</v>
      </c>
    </row>
    <row r="8447" spans="1:13" ht="15" x14ac:dyDescent="0.25">
      <c r="A8447" s="1">
        <f>DATE(2013,9,21)</f>
        <v>41538</v>
      </c>
      <c r="B8447" t="s">
        <v>11</v>
      </c>
      <c r="C8447" t="s">
        <v>6</v>
      </c>
      <c r="D8447" s="3">
        <v>7007.5401000000002</v>
      </c>
      <c r="E8447" s="3">
        <v>0</v>
      </c>
      <c r="F8447" t="s">
        <v>45</v>
      </c>
      <c r="G8447" s="3">
        <f t="shared" si="999"/>
        <v>-7007.5401000000002</v>
      </c>
      <c r="H8447" s="3">
        <f t="shared" si="1000"/>
        <v>7007.5401000000002</v>
      </c>
      <c r="I8447" s="5" t="str">
        <f t="shared" si="1001"/>
        <v>016</v>
      </c>
      <c r="J8447" s="5" t="str">
        <f t="shared" si="1002"/>
        <v>2100</v>
      </c>
      <c r="K8447" s="5" t="str">
        <f t="shared" si="1003"/>
        <v>000</v>
      </c>
      <c r="L8447" s="5">
        <f t="shared" si="1004"/>
        <v>9</v>
      </c>
      <c r="M8447" s="5">
        <f t="shared" si="1005"/>
        <v>2013</v>
      </c>
    </row>
    <row r="8448" spans="1:13" ht="15" x14ac:dyDescent="0.25">
      <c r="A8448" s="1">
        <f>DATE(2013,9,21)</f>
        <v>41538</v>
      </c>
      <c r="B8448" t="s">
        <v>12</v>
      </c>
      <c r="C8448" t="s">
        <v>8</v>
      </c>
      <c r="D8448" s="3">
        <v>1827.7308</v>
      </c>
      <c r="E8448" s="3">
        <v>0</v>
      </c>
      <c r="F8448" t="s">
        <v>45</v>
      </c>
      <c r="G8448" s="3">
        <f t="shared" si="999"/>
        <v>-1827.7308</v>
      </c>
      <c r="H8448" s="3">
        <f t="shared" si="1000"/>
        <v>1827.7308</v>
      </c>
      <c r="I8448" s="5" t="str">
        <f t="shared" si="1001"/>
        <v>016</v>
      </c>
      <c r="J8448" s="5" t="str">
        <f t="shared" si="1002"/>
        <v>2210</v>
      </c>
      <c r="K8448" s="5" t="str">
        <f t="shared" si="1003"/>
        <v>000</v>
      </c>
      <c r="L8448" s="5">
        <f t="shared" si="1004"/>
        <v>9</v>
      </c>
      <c r="M8448" s="5">
        <f t="shared" si="1005"/>
        <v>2013</v>
      </c>
    </row>
    <row r="8449" spans="1:13" ht="15" x14ac:dyDescent="0.25">
      <c r="A8449" s="1">
        <f>DATE(2013,9,21)</f>
        <v>41538</v>
      </c>
      <c r="B8449" t="s">
        <v>13</v>
      </c>
      <c r="C8449" t="s">
        <v>9</v>
      </c>
      <c r="D8449" s="3">
        <v>439.60140000000001</v>
      </c>
      <c r="E8449" s="3">
        <v>0</v>
      </c>
      <c r="F8449" t="s">
        <v>45</v>
      </c>
      <c r="G8449" s="3">
        <f t="shared" si="999"/>
        <v>-439.60140000000001</v>
      </c>
      <c r="H8449" s="3">
        <f t="shared" si="1000"/>
        <v>439.60140000000001</v>
      </c>
      <c r="I8449" s="5" t="str">
        <f t="shared" si="1001"/>
        <v>016</v>
      </c>
      <c r="J8449" s="5" t="str">
        <f t="shared" si="1002"/>
        <v>2220</v>
      </c>
      <c r="K8449" s="5" t="str">
        <f t="shared" si="1003"/>
        <v>000</v>
      </c>
      <c r="L8449" s="5">
        <f t="shared" si="1004"/>
        <v>9</v>
      </c>
      <c r="M8449" s="5">
        <f t="shared" si="1005"/>
        <v>2013</v>
      </c>
    </row>
    <row r="8450" spans="1:13" ht="15" x14ac:dyDescent="0.25">
      <c r="A8450" s="1">
        <f>DATE(2013,9,21)</f>
        <v>41538</v>
      </c>
      <c r="B8450" t="s">
        <v>14</v>
      </c>
      <c r="C8450" t="s">
        <v>10</v>
      </c>
      <c r="D8450" s="3">
        <v>191.19760000000002</v>
      </c>
      <c r="E8450" s="3">
        <v>0</v>
      </c>
      <c r="F8450" t="s">
        <v>45</v>
      </c>
      <c r="G8450" s="3">
        <f t="shared" ref="G8450:G8513" si="1007">E8450-D8450</f>
        <v>-191.19760000000002</v>
      </c>
      <c r="H8450" s="3">
        <f t="shared" ref="H8450:H8513" si="1008">ABS(G8450)</f>
        <v>191.19760000000002</v>
      </c>
      <c r="I8450" s="5" t="str">
        <f t="shared" ref="I8450:I8513" si="1009">MID(B8450,1,3)</f>
        <v>016</v>
      </c>
      <c r="J8450" s="5" t="str">
        <f t="shared" ref="J8450:J8513" si="1010">MID(B8450,5,4)</f>
        <v>2230</v>
      </c>
      <c r="K8450" s="5" t="str">
        <f t="shared" ref="K8450:K8513" si="1011">MID(B8450,10,3)</f>
        <v>000</v>
      </c>
      <c r="L8450" s="5">
        <f t="shared" ref="L8450:L8513" si="1012">MONTH(A8450)</f>
        <v>9</v>
      </c>
      <c r="M8450" s="5">
        <f t="shared" ref="M8450:M8513" si="1013">YEAR(A8450)</f>
        <v>2013</v>
      </c>
    </row>
    <row r="8451" spans="1:13" ht="15" x14ac:dyDescent="0.25">
      <c r="A8451" s="1">
        <f t="shared" ref="A8451:A8454" si="1014">DATE(2013,9,22)</f>
        <v>41539</v>
      </c>
      <c r="B8451" t="s">
        <v>11</v>
      </c>
      <c r="C8451" t="s">
        <v>6</v>
      </c>
      <c r="D8451" s="3">
        <v>3828.3120000000004</v>
      </c>
      <c r="E8451" s="3">
        <v>0</v>
      </c>
      <c r="F8451" t="s">
        <v>45</v>
      </c>
      <c r="G8451" s="3">
        <f t="shared" si="1007"/>
        <v>-3828.3120000000004</v>
      </c>
      <c r="H8451" s="3">
        <f t="shared" si="1008"/>
        <v>3828.3120000000004</v>
      </c>
      <c r="I8451" s="5" t="str">
        <f t="shared" si="1009"/>
        <v>016</v>
      </c>
      <c r="J8451" s="5" t="str">
        <f t="shared" si="1010"/>
        <v>2100</v>
      </c>
      <c r="K8451" s="5" t="str">
        <f t="shared" si="1011"/>
        <v>000</v>
      </c>
      <c r="L8451" s="5">
        <f t="shared" si="1012"/>
        <v>9</v>
      </c>
      <c r="M8451" s="5">
        <f t="shared" si="1013"/>
        <v>2013</v>
      </c>
    </row>
    <row r="8452" spans="1:13" ht="15" x14ac:dyDescent="0.25">
      <c r="A8452" s="1">
        <f t="shared" si="1014"/>
        <v>41539</v>
      </c>
      <c r="B8452" t="s">
        <v>12</v>
      </c>
      <c r="C8452" t="s">
        <v>8</v>
      </c>
      <c r="D8452" s="3">
        <v>597.17169999999999</v>
      </c>
      <c r="E8452" s="3">
        <v>0</v>
      </c>
      <c r="F8452" t="s">
        <v>45</v>
      </c>
      <c r="G8452" s="3">
        <f t="shared" si="1007"/>
        <v>-597.17169999999999</v>
      </c>
      <c r="H8452" s="3">
        <f t="shared" si="1008"/>
        <v>597.17169999999999</v>
      </c>
      <c r="I8452" s="5" t="str">
        <f t="shared" si="1009"/>
        <v>016</v>
      </c>
      <c r="J8452" s="5" t="str">
        <f t="shared" si="1010"/>
        <v>2210</v>
      </c>
      <c r="K8452" s="5" t="str">
        <f t="shared" si="1011"/>
        <v>000</v>
      </c>
      <c r="L8452" s="5">
        <f t="shared" si="1012"/>
        <v>9</v>
      </c>
      <c r="M8452" s="5">
        <f t="shared" si="1013"/>
        <v>2013</v>
      </c>
    </row>
    <row r="8453" spans="1:13" ht="15" x14ac:dyDescent="0.25">
      <c r="A8453" s="1">
        <f t="shared" si="1014"/>
        <v>41539</v>
      </c>
      <c r="B8453" t="s">
        <v>13</v>
      </c>
      <c r="C8453" t="s">
        <v>9</v>
      </c>
      <c r="D8453" s="3">
        <v>173.0778</v>
      </c>
      <c r="E8453" s="3">
        <v>0</v>
      </c>
      <c r="F8453" t="s">
        <v>45</v>
      </c>
      <c r="G8453" s="3">
        <f t="shared" si="1007"/>
        <v>-173.0778</v>
      </c>
      <c r="H8453" s="3">
        <f t="shared" si="1008"/>
        <v>173.0778</v>
      </c>
      <c r="I8453" s="5" t="str">
        <f t="shared" si="1009"/>
        <v>016</v>
      </c>
      <c r="J8453" s="5" t="str">
        <f t="shared" si="1010"/>
        <v>2220</v>
      </c>
      <c r="K8453" s="5" t="str">
        <f t="shared" si="1011"/>
        <v>000</v>
      </c>
      <c r="L8453" s="5">
        <f t="shared" si="1012"/>
        <v>9</v>
      </c>
      <c r="M8453" s="5">
        <f t="shared" si="1013"/>
        <v>2013</v>
      </c>
    </row>
    <row r="8454" spans="1:13" ht="15" x14ac:dyDescent="0.25">
      <c r="A8454" s="1">
        <f t="shared" si="1014"/>
        <v>41539</v>
      </c>
      <c r="B8454" t="s">
        <v>14</v>
      </c>
      <c r="C8454" t="s">
        <v>10</v>
      </c>
      <c r="D8454" s="3">
        <v>74.968000000000004</v>
      </c>
      <c r="E8454" s="3">
        <v>0</v>
      </c>
      <c r="F8454" t="s">
        <v>45</v>
      </c>
      <c r="G8454" s="3">
        <f t="shared" si="1007"/>
        <v>-74.968000000000004</v>
      </c>
      <c r="H8454" s="3">
        <f t="shared" si="1008"/>
        <v>74.968000000000004</v>
      </c>
      <c r="I8454" s="5" t="str">
        <f t="shared" si="1009"/>
        <v>016</v>
      </c>
      <c r="J8454" s="5" t="str">
        <f t="shared" si="1010"/>
        <v>2230</v>
      </c>
      <c r="K8454" s="5" t="str">
        <f t="shared" si="1011"/>
        <v>000</v>
      </c>
      <c r="L8454" s="5">
        <f t="shared" si="1012"/>
        <v>9</v>
      </c>
      <c r="M8454" s="5">
        <f t="shared" si="1013"/>
        <v>2013</v>
      </c>
    </row>
    <row r="8455" spans="1:13" ht="15" x14ac:dyDescent="0.25">
      <c r="A8455" s="1">
        <f>DATE(2013,9,16)</f>
        <v>41533</v>
      </c>
      <c r="B8455" t="s">
        <v>15</v>
      </c>
      <c r="C8455" t="s">
        <v>6</v>
      </c>
      <c r="D8455" s="3">
        <v>5251.1276999999991</v>
      </c>
      <c r="E8455" s="3">
        <v>0</v>
      </c>
      <c r="F8455" t="s">
        <v>45</v>
      </c>
      <c r="G8455" s="3">
        <f t="shared" si="1007"/>
        <v>-5251.1276999999991</v>
      </c>
      <c r="H8455" s="3">
        <f t="shared" si="1008"/>
        <v>5251.1276999999991</v>
      </c>
      <c r="I8455" s="5" t="str">
        <f t="shared" si="1009"/>
        <v>017</v>
      </c>
      <c r="J8455" s="5" t="str">
        <f t="shared" si="1010"/>
        <v>2100</v>
      </c>
      <c r="K8455" s="5" t="str">
        <f t="shared" si="1011"/>
        <v>000</v>
      </c>
      <c r="L8455" s="5">
        <f t="shared" si="1012"/>
        <v>9</v>
      </c>
      <c r="M8455" s="5">
        <f t="shared" si="1013"/>
        <v>2013</v>
      </c>
    </row>
    <row r="8456" spans="1:13" ht="15" x14ac:dyDescent="0.25">
      <c r="A8456" s="1">
        <f>DATE(2013,9,16)</f>
        <v>41533</v>
      </c>
      <c r="B8456" t="s">
        <v>16</v>
      </c>
      <c r="C8456" t="s">
        <v>8</v>
      </c>
      <c r="D8456" s="3">
        <v>1680.6635999999999</v>
      </c>
      <c r="E8456" s="3">
        <v>0</v>
      </c>
      <c r="F8456" t="s">
        <v>45</v>
      </c>
      <c r="G8456" s="3">
        <f t="shared" si="1007"/>
        <v>-1680.6635999999999</v>
      </c>
      <c r="H8456" s="3">
        <f t="shared" si="1008"/>
        <v>1680.6635999999999</v>
      </c>
      <c r="I8456" s="5" t="str">
        <f t="shared" si="1009"/>
        <v>017</v>
      </c>
      <c r="J8456" s="5" t="str">
        <f t="shared" si="1010"/>
        <v>2210</v>
      </c>
      <c r="K8456" s="5" t="str">
        <f t="shared" si="1011"/>
        <v>000</v>
      </c>
      <c r="L8456" s="5">
        <f t="shared" si="1012"/>
        <v>9</v>
      </c>
      <c r="M8456" s="5">
        <f t="shared" si="1013"/>
        <v>2013</v>
      </c>
    </row>
    <row r="8457" spans="1:13" ht="15" x14ac:dyDescent="0.25">
      <c r="A8457" s="1">
        <f>DATE(2013,9,16)</f>
        <v>41533</v>
      </c>
      <c r="B8457" t="s">
        <v>17</v>
      </c>
      <c r="C8457" t="s">
        <v>9</v>
      </c>
      <c r="D8457" s="3">
        <v>310.45949999999999</v>
      </c>
      <c r="E8457" s="3">
        <v>0</v>
      </c>
      <c r="F8457" t="s">
        <v>45</v>
      </c>
      <c r="G8457" s="3">
        <f t="shared" si="1007"/>
        <v>-310.45949999999999</v>
      </c>
      <c r="H8457" s="3">
        <f t="shared" si="1008"/>
        <v>310.45949999999999</v>
      </c>
      <c r="I8457" s="5" t="str">
        <f t="shared" si="1009"/>
        <v>017</v>
      </c>
      <c r="J8457" s="5" t="str">
        <f t="shared" si="1010"/>
        <v>2220</v>
      </c>
      <c r="K8457" s="5" t="str">
        <f t="shared" si="1011"/>
        <v>000</v>
      </c>
      <c r="L8457" s="5">
        <f t="shared" si="1012"/>
        <v>9</v>
      </c>
      <c r="M8457" s="5">
        <f t="shared" si="1013"/>
        <v>2013</v>
      </c>
    </row>
    <row r="8458" spans="1:13" ht="15" x14ac:dyDescent="0.25">
      <c r="A8458" s="1">
        <f>DATE(2013,9,16)</f>
        <v>41533</v>
      </c>
      <c r="B8458" t="s">
        <v>18</v>
      </c>
      <c r="C8458" t="s">
        <v>10</v>
      </c>
      <c r="D8458" s="3">
        <v>138.36959999999999</v>
      </c>
      <c r="E8458" s="3">
        <v>0</v>
      </c>
      <c r="F8458" t="s">
        <v>45</v>
      </c>
      <c r="G8458" s="3">
        <f t="shared" si="1007"/>
        <v>-138.36959999999999</v>
      </c>
      <c r="H8458" s="3">
        <f t="shared" si="1008"/>
        <v>138.36959999999999</v>
      </c>
      <c r="I8458" s="5" t="str">
        <f t="shared" si="1009"/>
        <v>017</v>
      </c>
      <c r="J8458" s="5" t="str">
        <f t="shared" si="1010"/>
        <v>2230</v>
      </c>
      <c r="K8458" s="5" t="str">
        <f t="shared" si="1011"/>
        <v>000</v>
      </c>
      <c r="L8458" s="5">
        <f t="shared" si="1012"/>
        <v>9</v>
      </c>
      <c r="M8458" s="5">
        <f t="shared" si="1013"/>
        <v>2013</v>
      </c>
    </row>
    <row r="8459" spans="1:13" ht="15" x14ac:dyDescent="0.25">
      <c r="A8459" s="1">
        <f>DATE(2013,9,17)</f>
        <v>41534</v>
      </c>
      <c r="B8459" t="s">
        <v>15</v>
      </c>
      <c r="C8459" t="s">
        <v>6</v>
      </c>
      <c r="D8459" s="3">
        <v>5747.5554999999995</v>
      </c>
      <c r="E8459" s="3">
        <v>0</v>
      </c>
      <c r="F8459" t="s">
        <v>45</v>
      </c>
      <c r="G8459" s="3">
        <f t="shared" si="1007"/>
        <v>-5747.5554999999995</v>
      </c>
      <c r="H8459" s="3">
        <f t="shared" si="1008"/>
        <v>5747.5554999999995</v>
      </c>
      <c r="I8459" s="5" t="str">
        <f t="shared" si="1009"/>
        <v>017</v>
      </c>
      <c r="J8459" s="5" t="str">
        <f t="shared" si="1010"/>
        <v>2100</v>
      </c>
      <c r="K8459" s="5" t="str">
        <f t="shared" si="1011"/>
        <v>000</v>
      </c>
      <c r="L8459" s="5">
        <f t="shared" si="1012"/>
        <v>9</v>
      </c>
      <c r="M8459" s="5">
        <f t="shared" si="1013"/>
        <v>2013</v>
      </c>
    </row>
    <row r="8460" spans="1:13" ht="15" x14ac:dyDescent="0.25">
      <c r="A8460" s="1">
        <f>DATE(2013,9,17)</f>
        <v>41534</v>
      </c>
      <c r="B8460" t="s">
        <v>16</v>
      </c>
      <c r="C8460" t="s">
        <v>8</v>
      </c>
      <c r="D8460" s="3">
        <v>872.33370000000002</v>
      </c>
      <c r="E8460" s="3">
        <v>0</v>
      </c>
      <c r="F8460" t="s">
        <v>45</v>
      </c>
      <c r="G8460" s="3">
        <f t="shared" si="1007"/>
        <v>-872.33370000000002</v>
      </c>
      <c r="H8460" s="3">
        <f t="shared" si="1008"/>
        <v>872.33370000000002</v>
      </c>
      <c r="I8460" s="5" t="str">
        <f t="shared" si="1009"/>
        <v>017</v>
      </c>
      <c r="J8460" s="5" t="str">
        <f t="shared" si="1010"/>
        <v>2210</v>
      </c>
      <c r="K8460" s="5" t="str">
        <f t="shared" si="1011"/>
        <v>000</v>
      </c>
      <c r="L8460" s="5">
        <f t="shared" si="1012"/>
        <v>9</v>
      </c>
      <c r="M8460" s="5">
        <f t="shared" si="1013"/>
        <v>2013</v>
      </c>
    </row>
    <row r="8461" spans="1:13" ht="15" x14ac:dyDescent="0.25">
      <c r="A8461" s="1">
        <f>DATE(2013,9,17)</f>
        <v>41534</v>
      </c>
      <c r="B8461" t="s">
        <v>17</v>
      </c>
      <c r="C8461" t="s">
        <v>9</v>
      </c>
      <c r="D8461" s="3">
        <v>327.86880000000002</v>
      </c>
      <c r="E8461" s="3">
        <v>0</v>
      </c>
      <c r="F8461" t="s">
        <v>45</v>
      </c>
      <c r="G8461" s="3">
        <f t="shared" si="1007"/>
        <v>-327.86880000000002</v>
      </c>
      <c r="H8461" s="3">
        <f t="shared" si="1008"/>
        <v>327.86880000000002</v>
      </c>
      <c r="I8461" s="5" t="str">
        <f t="shared" si="1009"/>
        <v>017</v>
      </c>
      <c r="J8461" s="5" t="str">
        <f t="shared" si="1010"/>
        <v>2220</v>
      </c>
      <c r="K8461" s="5" t="str">
        <f t="shared" si="1011"/>
        <v>000</v>
      </c>
      <c r="L8461" s="5">
        <f t="shared" si="1012"/>
        <v>9</v>
      </c>
      <c r="M8461" s="5">
        <f t="shared" si="1013"/>
        <v>2013</v>
      </c>
    </row>
    <row r="8462" spans="1:13" ht="15" x14ac:dyDescent="0.25">
      <c r="A8462" s="1">
        <f>DATE(2013,9,17)</f>
        <v>41534</v>
      </c>
      <c r="B8462" t="s">
        <v>18</v>
      </c>
      <c r="C8462" t="s">
        <v>10</v>
      </c>
      <c r="D8462" s="3">
        <v>115.46489999999999</v>
      </c>
      <c r="E8462" s="3">
        <v>0</v>
      </c>
      <c r="F8462" t="s">
        <v>45</v>
      </c>
      <c r="G8462" s="3">
        <f t="shared" si="1007"/>
        <v>-115.46489999999999</v>
      </c>
      <c r="H8462" s="3">
        <f t="shared" si="1008"/>
        <v>115.46489999999999</v>
      </c>
      <c r="I8462" s="5" t="str">
        <f t="shared" si="1009"/>
        <v>017</v>
      </c>
      <c r="J8462" s="5" t="str">
        <f t="shared" si="1010"/>
        <v>2230</v>
      </c>
      <c r="K8462" s="5" t="str">
        <f t="shared" si="1011"/>
        <v>000</v>
      </c>
      <c r="L8462" s="5">
        <f t="shared" si="1012"/>
        <v>9</v>
      </c>
      <c r="M8462" s="5">
        <f t="shared" si="1013"/>
        <v>2013</v>
      </c>
    </row>
    <row r="8463" spans="1:13" ht="15" x14ac:dyDescent="0.25">
      <c r="A8463" s="1">
        <f>DATE(2013,9,18)</f>
        <v>41535</v>
      </c>
      <c r="B8463" t="s">
        <v>15</v>
      </c>
      <c r="C8463" t="s">
        <v>6</v>
      </c>
      <c r="D8463" s="3">
        <v>7699.1724000000004</v>
      </c>
      <c r="E8463" s="3">
        <v>0</v>
      </c>
      <c r="F8463" t="s">
        <v>45</v>
      </c>
      <c r="G8463" s="3">
        <f t="shared" si="1007"/>
        <v>-7699.1724000000004</v>
      </c>
      <c r="H8463" s="3">
        <f t="shared" si="1008"/>
        <v>7699.1724000000004</v>
      </c>
      <c r="I8463" s="5" t="str">
        <f t="shared" si="1009"/>
        <v>017</v>
      </c>
      <c r="J8463" s="5" t="str">
        <f t="shared" si="1010"/>
        <v>2100</v>
      </c>
      <c r="K8463" s="5" t="str">
        <f t="shared" si="1011"/>
        <v>000</v>
      </c>
      <c r="L8463" s="5">
        <f t="shared" si="1012"/>
        <v>9</v>
      </c>
      <c r="M8463" s="5">
        <f t="shared" si="1013"/>
        <v>2013</v>
      </c>
    </row>
    <row r="8464" spans="1:13" ht="15" x14ac:dyDescent="0.25">
      <c r="A8464" s="1">
        <f>DATE(2013,9,18)</f>
        <v>41535</v>
      </c>
      <c r="B8464" t="s">
        <v>16</v>
      </c>
      <c r="C8464" t="s">
        <v>8</v>
      </c>
      <c r="D8464" s="3">
        <v>1893.6451999999999</v>
      </c>
      <c r="E8464" s="3">
        <v>0</v>
      </c>
      <c r="F8464" t="s">
        <v>45</v>
      </c>
      <c r="G8464" s="3">
        <f t="shared" si="1007"/>
        <v>-1893.6451999999999</v>
      </c>
      <c r="H8464" s="3">
        <f t="shared" si="1008"/>
        <v>1893.6451999999999</v>
      </c>
      <c r="I8464" s="5" t="str">
        <f t="shared" si="1009"/>
        <v>017</v>
      </c>
      <c r="J8464" s="5" t="str">
        <f t="shared" si="1010"/>
        <v>2210</v>
      </c>
      <c r="K8464" s="5" t="str">
        <f t="shared" si="1011"/>
        <v>000</v>
      </c>
      <c r="L8464" s="5">
        <f t="shared" si="1012"/>
        <v>9</v>
      </c>
      <c r="M8464" s="5">
        <f t="shared" si="1013"/>
        <v>2013</v>
      </c>
    </row>
    <row r="8465" spans="1:13" ht="15" x14ac:dyDescent="0.25">
      <c r="A8465" s="1">
        <f>DATE(2013,9,18)</f>
        <v>41535</v>
      </c>
      <c r="B8465" t="s">
        <v>17</v>
      </c>
      <c r="C8465" t="s">
        <v>9</v>
      </c>
      <c r="D8465" s="3">
        <v>530.90279999999996</v>
      </c>
      <c r="E8465" s="3">
        <v>0</v>
      </c>
      <c r="F8465" t="s">
        <v>45</v>
      </c>
      <c r="G8465" s="3">
        <f t="shared" si="1007"/>
        <v>-530.90279999999996</v>
      </c>
      <c r="H8465" s="3">
        <f t="shared" si="1008"/>
        <v>530.90279999999996</v>
      </c>
      <c r="I8465" s="5" t="str">
        <f t="shared" si="1009"/>
        <v>017</v>
      </c>
      <c r="J8465" s="5" t="str">
        <f t="shared" si="1010"/>
        <v>2220</v>
      </c>
      <c r="K8465" s="5" t="str">
        <f t="shared" si="1011"/>
        <v>000</v>
      </c>
      <c r="L8465" s="5">
        <f t="shared" si="1012"/>
        <v>9</v>
      </c>
      <c r="M8465" s="5">
        <f t="shared" si="1013"/>
        <v>2013</v>
      </c>
    </row>
    <row r="8466" spans="1:13" ht="15" x14ac:dyDescent="0.25">
      <c r="A8466" s="1">
        <f>DATE(2013,9,18)</f>
        <v>41535</v>
      </c>
      <c r="B8466" t="s">
        <v>18</v>
      </c>
      <c r="C8466" t="s">
        <v>10</v>
      </c>
      <c r="D8466" s="3">
        <v>47.416800000000002</v>
      </c>
      <c r="E8466" s="3">
        <v>0</v>
      </c>
      <c r="F8466" t="s">
        <v>45</v>
      </c>
      <c r="G8466" s="3">
        <f t="shared" si="1007"/>
        <v>-47.416800000000002</v>
      </c>
      <c r="H8466" s="3">
        <f t="shared" si="1008"/>
        <v>47.416800000000002</v>
      </c>
      <c r="I8466" s="5" t="str">
        <f t="shared" si="1009"/>
        <v>017</v>
      </c>
      <c r="J8466" s="5" t="str">
        <f t="shared" si="1010"/>
        <v>2230</v>
      </c>
      <c r="K8466" s="5" t="str">
        <f t="shared" si="1011"/>
        <v>000</v>
      </c>
      <c r="L8466" s="5">
        <f t="shared" si="1012"/>
        <v>9</v>
      </c>
      <c r="M8466" s="5">
        <f t="shared" si="1013"/>
        <v>2013</v>
      </c>
    </row>
    <row r="8467" spans="1:13" ht="15" x14ac:dyDescent="0.25">
      <c r="A8467" s="1">
        <f>DATE(2013,9,19)</f>
        <v>41536</v>
      </c>
      <c r="B8467" t="s">
        <v>15</v>
      </c>
      <c r="C8467" t="s">
        <v>6</v>
      </c>
      <c r="D8467" s="3">
        <v>4217.0502000000006</v>
      </c>
      <c r="E8467" s="3">
        <v>0</v>
      </c>
      <c r="F8467" t="s">
        <v>45</v>
      </c>
      <c r="G8467" s="3">
        <f t="shared" si="1007"/>
        <v>-4217.0502000000006</v>
      </c>
      <c r="H8467" s="3">
        <f t="shared" si="1008"/>
        <v>4217.0502000000006</v>
      </c>
      <c r="I8467" s="5" t="str">
        <f t="shared" si="1009"/>
        <v>017</v>
      </c>
      <c r="J8467" s="5" t="str">
        <f t="shared" si="1010"/>
        <v>2100</v>
      </c>
      <c r="K8467" s="5" t="str">
        <f t="shared" si="1011"/>
        <v>000</v>
      </c>
      <c r="L8467" s="5">
        <f t="shared" si="1012"/>
        <v>9</v>
      </c>
      <c r="M8467" s="5">
        <f t="shared" si="1013"/>
        <v>2013</v>
      </c>
    </row>
    <row r="8468" spans="1:13" ht="15" x14ac:dyDescent="0.25">
      <c r="A8468" s="1">
        <f>DATE(2013,9,19)</f>
        <v>41536</v>
      </c>
      <c r="B8468" t="s">
        <v>16</v>
      </c>
      <c r="C8468" t="s">
        <v>8</v>
      </c>
      <c r="D8468" s="3">
        <v>1182.2951</v>
      </c>
      <c r="E8468" s="3">
        <v>0</v>
      </c>
      <c r="F8468" t="s">
        <v>45</v>
      </c>
      <c r="G8468" s="3">
        <f t="shared" si="1007"/>
        <v>-1182.2951</v>
      </c>
      <c r="H8468" s="3">
        <f t="shared" si="1008"/>
        <v>1182.2951</v>
      </c>
      <c r="I8468" s="5" t="str">
        <f t="shared" si="1009"/>
        <v>017</v>
      </c>
      <c r="J8468" s="5" t="str">
        <f t="shared" si="1010"/>
        <v>2210</v>
      </c>
      <c r="K8468" s="5" t="str">
        <f t="shared" si="1011"/>
        <v>000</v>
      </c>
      <c r="L8468" s="5">
        <f t="shared" si="1012"/>
        <v>9</v>
      </c>
      <c r="M8468" s="5">
        <f t="shared" si="1013"/>
        <v>2013</v>
      </c>
    </row>
    <row r="8469" spans="1:13" ht="15" x14ac:dyDescent="0.25">
      <c r="A8469" s="1">
        <f>DATE(2013,9,19)</f>
        <v>41536</v>
      </c>
      <c r="B8469" t="s">
        <v>17</v>
      </c>
      <c r="C8469" t="s">
        <v>9</v>
      </c>
      <c r="D8469" s="3">
        <v>485.53949999999998</v>
      </c>
      <c r="E8469" s="3">
        <v>0</v>
      </c>
      <c r="F8469" t="s">
        <v>45</v>
      </c>
      <c r="G8469" s="3">
        <f t="shared" si="1007"/>
        <v>-485.53949999999998</v>
      </c>
      <c r="H8469" s="3">
        <f t="shared" si="1008"/>
        <v>485.53949999999998</v>
      </c>
      <c r="I8469" s="5" t="str">
        <f t="shared" si="1009"/>
        <v>017</v>
      </c>
      <c r="J8469" s="5" t="str">
        <f t="shared" si="1010"/>
        <v>2220</v>
      </c>
      <c r="K8469" s="5" t="str">
        <f t="shared" si="1011"/>
        <v>000</v>
      </c>
      <c r="L8469" s="5">
        <f t="shared" si="1012"/>
        <v>9</v>
      </c>
      <c r="M8469" s="5">
        <f t="shared" si="1013"/>
        <v>2013</v>
      </c>
    </row>
    <row r="8470" spans="1:13" ht="15" x14ac:dyDescent="0.25">
      <c r="A8470" s="1">
        <f>DATE(2013,9,19)</f>
        <v>41536</v>
      </c>
      <c r="B8470" t="s">
        <v>18</v>
      </c>
      <c r="C8470" t="s">
        <v>10</v>
      </c>
      <c r="D8470" s="3">
        <v>41.348600000000005</v>
      </c>
      <c r="E8470" s="3">
        <v>0</v>
      </c>
      <c r="F8470" t="s">
        <v>45</v>
      </c>
      <c r="G8470" s="3">
        <f t="shared" si="1007"/>
        <v>-41.348600000000005</v>
      </c>
      <c r="H8470" s="3">
        <f t="shared" si="1008"/>
        <v>41.348600000000005</v>
      </c>
      <c r="I8470" s="5" t="str">
        <f t="shared" si="1009"/>
        <v>017</v>
      </c>
      <c r="J8470" s="5" t="str">
        <f t="shared" si="1010"/>
        <v>2230</v>
      </c>
      <c r="K8470" s="5" t="str">
        <f t="shared" si="1011"/>
        <v>000</v>
      </c>
      <c r="L8470" s="5">
        <f t="shared" si="1012"/>
        <v>9</v>
      </c>
      <c r="M8470" s="5">
        <f t="shared" si="1013"/>
        <v>2013</v>
      </c>
    </row>
    <row r="8471" spans="1:13" ht="15" x14ac:dyDescent="0.25">
      <c r="A8471" s="1">
        <f>DATE(2013,9,20)</f>
        <v>41537</v>
      </c>
      <c r="B8471" t="s">
        <v>15</v>
      </c>
      <c r="C8471" t="s">
        <v>6</v>
      </c>
      <c r="D8471" s="3">
        <v>7846.7389000000003</v>
      </c>
      <c r="E8471" s="3">
        <v>0</v>
      </c>
      <c r="F8471" t="s">
        <v>45</v>
      </c>
      <c r="G8471" s="3">
        <f t="shared" si="1007"/>
        <v>-7846.7389000000003</v>
      </c>
      <c r="H8471" s="3">
        <f t="shared" si="1008"/>
        <v>7846.7389000000003</v>
      </c>
      <c r="I8471" s="5" t="str">
        <f t="shared" si="1009"/>
        <v>017</v>
      </c>
      <c r="J8471" s="5" t="str">
        <f t="shared" si="1010"/>
        <v>2100</v>
      </c>
      <c r="K8471" s="5" t="str">
        <f t="shared" si="1011"/>
        <v>000</v>
      </c>
      <c r="L8471" s="5">
        <f t="shared" si="1012"/>
        <v>9</v>
      </c>
      <c r="M8471" s="5">
        <f t="shared" si="1013"/>
        <v>2013</v>
      </c>
    </row>
    <row r="8472" spans="1:13" ht="15" x14ac:dyDescent="0.25">
      <c r="A8472" s="1">
        <f>DATE(2013,9,20)</f>
        <v>41537</v>
      </c>
      <c r="B8472" t="s">
        <v>16</v>
      </c>
      <c r="C8472" t="s">
        <v>8</v>
      </c>
      <c r="D8472" s="3">
        <v>1991.6197999999999</v>
      </c>
      <c r="E8472" s="3">
        <v>0</v>
      </c>
      <c r="F8472" t="s">
        <v>45</v>
      </c>
      <c r="G8472" s="3">
        <f t="shared" si="1007"/>
        <v>-1991.6197999999999</v>
      </c>
      <c r="H8472" s="3">
        <f t="shared" si="1008"/>
        <v>1991.6197999999999</v>
      </c>
      <c r="I8472" s="5" t="str">
        <f t="shared" si="1009"/>
        <v>017</v>
      </c>
      <c r="J8472" s="5" t="str">
        <f t="shared" si="1010"/>
        <v>2210</v>
      </c>
      <c r="K8472" s="5" t="str">
        <f t="shared" si="1011"/>
        <v>000</v>
      </c>
      <c r="L8472" s="5">
        <f t="shared" si="1012"/>
        <v>9</v>
      </c>
      <c r="M8472" s="5">
        <f t="shared" si="1013"/>
        <v>2013</v>
      </c>
    </row>
    <row r="8473" spans="1:13" ht="15" x14ac:dyDescent="0.25">
      <c r="A8473" s="1">
        <f>DATE(2013,9,20)</f>
        <v>41537</v>
      </c>
      <c r="B8473" t="s">
        <v>17</v>
      </c>
      <c r="C8473" t="s">
        <v>9</v>
      </c>
      <c r="D8473" s="3">
        <v>504.28559999999999</v>
      </c>
      <c r="E8473" s="3">
        <v>0</v>
      </c>
      <c r="F8473" t="s">
        <v>45</v>
      </c>
      <c r="G8473" s="3">
        <f t="shared" si="1007"/>
        <v>-504.28559999999999</v>
      </c>
      <c r="H8473" s="3">
        <f t="shared" si="1008"/>
        <v>504.28559999999999</v>
      </c>
      <c r="I8473" s="5" t="str">
        <f t="shared" si="1009"/>
        <v>017</v>
      </c>
      <c r="J8473" s="5" t="str">
        <f t="shared" si="1010"/>
        <v>2220</v>
      </c>
      <c r="K8473" s="5" t="str">
        <f t="shared" si="1011"/>
        <v>000</v>
      </c>
      <c r="L8473" s="5">
        <f t="shared" si="1012"/>
        <v>9</v>
      </c>
      <c r="M8473" s="5">
        <f t="shared" si="1013"/>
        <v>2013</v>
      </c>
    </row>
    <row r="8474" spans="1:13" ht="15" x14ac:dyDescent="0.25">
      <c r="A8474" s="1">
        <f>DATE(2013,9,20)</f>
        <v>41537</v>
      </c>
      <c r="B8474" t="s">
        <v>18</v>
      </c>
      <c r="C8474" t="s">
        <v>10</v>
      </c>
      <c r="D8474" s="3">
        <v>110.41340000000001</v>
      </c>
      <c r="E8474" s="3">
        <v>0</v>
      </c>
      <c r="F8474" t="s">
        <v>45</v>
      </c>
      <c r="G8474" s="3">
        <f t="shared" si="1007"/>
        <v>-110.41340000000001</v>
      </c>
      <c r="H8474" s="3">
        <f t="shared" si="1008"/>
        <v>110.41340000000001</v>
      </c>
      <c r="I8474" s="5" t="str">
        <f t="shared" si="1009"/>
        <v>017</v>
      </c>
      <c r="J8474" s="5" t="str">
        <f t="shared" si="1010"/>
        <v>2230</v>
      </c>
      <c r="K8474" s="5" t="str">
        <f t="shared" si="1011"/>
        <v>000</v>
      </c>
      <c r="L8474" s="5">
        <f t="shared" si="1012"/>
        <v>9</v>
      </c>
      <c r="M8474" s="5">
        <f t="shared" si="1013"/>
        <v>2013</v>
      </c>
    </row>
    <row r="8475" spans="1:13" ht="15" x14ac:dyDescent="0.25">
      <c r="A8475" s="1">
        <f>DATE(2013,9,21)</f>
        <v>41538</v>
      </c>
      <c r="B8475" t="s">
        <v>15</v>
      </c>
      <c r="C8475" t="s">
        <v>6</v>
      </c>
      <c r="D8475" s="3">
        <v>5760.3919999999998</v>
      </c>
      <c r="E8475" s="3">
        <v>0</v>
      </c>
      <c r="F8475" t="s">
        <v>45</v>
      </c>
      <c r="G8475" s="3">
        <f t="shared" si="1007"/>
        <v>-5760.3919999999998</v>
      </c>
      <c r="H8475" s="3">
        <f t="shared" si="1008"/>
        <v>5760.3919999999998</v>
      </c>
      <c r="I8475" s="5" t="str">
        <f t="shared" si="1009"/>
        <v>017</v>
      </c>
      <c r="J8475" s="5" t="str">
        <f t="shared" si="1010"/>
        <v>2100</v>
      </c>
      <c r="K8475" s="5" t="str">
        <f t="shared" si="1011"/>
        <v>000</v>
      </c>
      <c r="L8475" s="5">
        <f t="shared" si="1012"/>
        <v>9</v>
      </c>
      <c r="M8475" s="5">
        <f t="shared" si="1013"/>
        <v>2013</v>
      </c>
    </row>
    <row r="8476" spans="1:13" ht="15" x14ac:dyDescent="0.25">
      <c r="A8476" s="1">
        <f>DATE(2013,9,21)</f>
        <v>41538</v>
      </c>
      <c r="B8476" t="s">
        <v>16</v>
      </c>
      <c r="C8476" t="s">
        <v>8</v>
      </c>
      <c r="D8476" s="3">
        <v>1091.9916000000001</v>
      </c>
      <c r="E8476" s="3">
        <v>0</v>
      </c>
      <c r="F8476" t="s">
        <v>45</v>
      </c>
      <c r="G8476" s="3">
        <f t="shared" si="1007"/>
        <v>-1091.9916000000001</v>
      </c>
      <c r="H8476" s="3">
        <f t="shared" si="1008"/>
        <v>1091.9916000000001</v>
      </c>
      <c r="I8476" s="5" t="str">
        <f t="shared" si="1009"/>
        <v>017</v>
      </c>
      <c r="J8476" s="5" t="str">
        <f t="shared" si="1010"/>
        <v>2210</v>
      </c>
      <c r="K8476" s="5" t="str">
        <f t="shared" si="1011"/>
        <v>000</v>
      </c>
      <c r="L8476" s="5">
        <f t="shared" si="1012"/>
        <v>9</v>
      </c>
      <c r="M8476" s="5">
        <f t="shared" si="1013"/>
        <v>2013</v>
      </c>
    </row>
    <row r="8477" spans="1:13" ht="15" x14ac:dyDescent="0.25">
      <c r="A8477" s="1">
        <f>DATE(2013,9,21)</f>
        <v>41538</v>
      </c>
      <c r="B8477" t="s">
        <v>17</v>
      </c>
      <c r="C8477" t="s">
        <v>9</v>
      </c>
      <c r="D8477" s="3">
        <v>412.1216</v>
      </c>
      <c r="E8477" s="3">
        <v>0</v>
      </c>
      <c r="F8477" t="s">
        <v>45</v>
      </c>
      <c r="G8477" s="3">
        <f t="shared" si="1007"/>
        <v>-412.1216</v>
      </c>
      <c r="H8477" s="3">
        <f t="shared" si="1008"/>
        <v>412.1216</v>
      </c>
      <c r="I8477" s="5" t="str">
        <f t="shared" si="1009"/>
        <v>017</v>
      </c>
      <c r="J8477" s="5" t="str">
        <f t="shared" si="1010"/>
        <v>2220</v>
      </c>
      <c r="K8477" s="5" t="str">
        <f t="shared" si="1011"/>
        <v>000</v>
      </c>
      <c r="L8477" s="5">
        <f t="shared" si="1012"/>
        <v>9</v>
      </c>
      <c r="M8477" s="5">
        <f t="shared" si="1013"/>
        <v>2013</v>
      </c>
    </row>
    <row r="8478" spans="1:13" ht="15" x14ac:dyDescent="0.25">
      <c r="A8478" s="1">
        <f>DATE(2013,9,21)</f>
        <v>41538</v>
      </c>
      <c r="B8478" t="s">
        <v>18</v>
      </c>
      <c r="C8478" t="s">
        <v>10</v>
      </c>
      <c r="D8478" s="3">
        <v>138.2946</v>
      </c>
      <c r="E8478" s="3">
        <v>0</v>
      </c>
      <c r="F8478" t="s">
        <v>45</v>
      </c>
      <c r="G8478" s="3">
        <f t="shared" si="1007"/>
        <v>-138.2946</v>
      </c>
      <c r="H8478" s="3">
        <f t="shared" si="1008"/>
        <v>138.2946</v>
      </c>
      <c r="I8478" s="5" t="str">
        <f t="shared" si="1009"/>
        <v>017</v>
      </c>
      <c r="J8478" s="5" t="str">
        <f t="shared" si="1010"/>
        <v>2230</v>
      </c>
      <c r="K8478" s="5" t="str">
        <f t="shared" si="1011"/>
        <v>000</v>
      </c>
      <c r="L8478" s="5">
        <f t="shared" si="1012"/>
        <v>9</v>
      </c>
      <c r="M8478" s="5">
        <f t="shared" si="1013"/>
        <v>2013</v>
      </c>
    </row>
    <row r="8479" spans="1:13" ht="15" x14ac:dyDescent="0.25">
      <c r="A8479" s="1">
        <f>DATE(2013,9,22)</f>
        <v>41539</v>
      </c>
      <c r="B8479" t="s">
        <v>15</v>
      </c>
      <c r="C8479" t="s">
        <v>6</v>
      </c>
      <c r="D8479" s="3">
        <v>4844.4941999999992</v>
      </c>
      <c r="E8479" s="3">
        <v>0</v>
      </c>
      <c r="F8479" t="s">
        <v>45</v>
      </c>
      <c r="G8479" s="3">
        <f t="shared" si="1007"/>
        <v>-4844.4941999999992</v>
      </c>
      <c r="H8479" s="3">
        <f t="shared" si="1008"/>
        <v>4844.4941999999992</v>
      </c>
      <c r="I8479" s="5" t="str">
        <f t="shared" si="1009"/>
        <v>017</v>
      </c>
      <c r="J8479" s="5" t="str">
        <f t="shared" si="1010"/>
        <v>2100</v>
      </c>
      <c r="K8479" s="5" t="str">
        <f t="shared" si="1011"/>
        <v>000</v>
      </c>
      <c r="L8479" s="5">
        <f t="shared" si="1012"/>
        <v>9</v>
      </c>
      <c r="M8479" s="5">
        <f t="shared" si="1013"/>
        <v>2013</v>
      </c>
    </row>
    <row r="8480" spans="1:13" ht="15" x14ac:dyDescent="0.25">
      <c r="A8480" s="1">
        <f>DATE(2013,9,22)</f>
        <v>41539</v>
      </c>
      <c r="B8480" t="s">
        <v>16</v>
      </c>
      <c r="C8480" t="s">
        <v>8</v>
      </c>
      <c r="D8480" s="3">
        <v>774.80150000000003</v>
      </c>
      <c r="E8480" s="3">
        <v>0</v>
      </c>
      <c r="F8480" t="s">
        <v>45</v>
      </c>
      <c r="G8480" s="3">
        <f t="shared" si="1007"/>
        <v>-774.80150000000003</v>
      </c>
      <c r="H8480" s="3">
        <f t="shared" si="1008"/>
        <v>774.80150000000003</v>
      </c>
      <c r="I8480" s="5" t="str">
        <f t="shared" si="1009"/>
        <v>017</v>
      </c>
      <c r="J8480" s="5" t="str">
        <f t="shared" si="1010"/>
        <v>2210</v>
      </c>
      <c r="K8480" s="5" t="str">
        <f t="shared" si="1011"/>
        <v>000</v>
      </c>
      <c r="L8480" s="5">
        <f t="shared" si="1012"/>
        <v>9</v>
      </c>
      <c r="M8480" s="5">
        <f t="shared" si="1013"/>
        <v>2013</v>
      </c>
    </row>
    <row r="8481" spans="1:13" ht="15" x14ac:dyDescent="0.25">
      <c r="A8481" s="1">
        <f>DATE(2013,9,22)</f>
        <v>41539</v>
      </c>
      <c r="B8481" t="s">
        <v>17</v>
      </c>
      <c r="C8481" t="s">
        <v>9</v>
      </c>
      <c r="D8481" s="3">
        <v>220.29760000000002</v>
      </c>
      <c r="E8481" s="3">
        <v>0</v>
      </c>
      <c r="F8481" t="s">
        <v>45</v>
      </c>
      <c r="G8481" s="3">
        <f t="shared" si="1007"/>
        <v>-220.29760000000002</v>
      </c>
      <c r="H8481" s="3">
        <f t="shared" si="1008"/>
        <v>220.29760000000002</v>
      </c>
      <c r="I8481" s="5" t="str">
        <f t="shared" si="1009"/>
        <v>017</v>
      </c>
      <c r="J8481" s="5" t="str">
        <f t="shared" si="1010"/>
        <v>2220</v>
      </c>
      <c r="K8481" s="5" t="str">
        <f t="shared" si="1011"/>
        <v>000</v>
      </c>
      <c r="L8481" s="5">
        <f t="shared" si="1012"/>
        <v>9</v>
      </c>
      <c r="M8481" s="5">
        <f t="shared" si="1013"/>
        <v>2013</v>
      </c>
    </row>
    <row r="8482" spans="1:13" ht="15" x14ac:dyDescent="0.25">
      <c r="A8482" s="1">
        <f>DATE(2013,9,22)</f>
        <v>41539</v>
      </c>
      <c r="B8482" t="s">
        <v>18</v>
      </c>
      <c r="C8482" t="s">
        <v>10</v>
      </c>
      <c r="D8482" s="3">
        <v>71.543399999999991</v>
      </c>
      <c r="E8482" s="3">
        <v>0</v>
      </c>
      <c r="F8482" t="s">
        <v>45</v>
      </c>
      <c r="G8482" s="3">
        <f t="shared" si="1007"/>
        <v>-71.543399999999991</v>
      </c>
      <c r="H8482" s="3">
        <f t="shared" si="1008"/>
        <v>71.543399999999991</v>
      </c>
      <c r="I8482" s="5" t="str">
        <f t="shared" si="1009"/>
        <v>017</v>
      </c>
      <c r="J8482" s="5" t="str">
        <f t="shared" si="1010"/>
        <v>2230</v>
      </c>
      <c r="K8482" s="5" t="str">
        <f t="shared" si="1011"/>
        <v>000</v>
      </c>
      <c r="L8482" s="5">
        <f t="shared" si="1012"/>
        <v>9</v>
      </c>
      <c r="M8482" s="5">
        <f t="shared" si="1013"/>
        <v>2013</v>
      </c>
    </row>
    <row r="8483" spans="1:13" ht="15" x14ac:dyDescent="0.25">
      <c r="A8483" s="1">
        <f>DATE(2013,9,16)</f>
        <v>41533</v>
      </c>
      <c r="B8483" t="s">
        <v>19</v>
      </c>
      <c r="C8483" t="s">
        <v>6</v>
      </c>
      <c r="D8483" s="3">
        <v>2843.7999999999997</v>
      </c>
      <c r="E8483" s="3">
        <v>0</v>
      </c>
      <c r="F8483" t="s">
        <v>45</v>
      </c>
      <c r="G8483" s="3">
        <f t="shared" si="1007"/>
        <v>-2843.7999999999997</v>
      </c>
      <c r="H8483" s="3">
        <f t="shared" si="1008"/>
        <v>2843.7999999999997</v>
      </c>
      <c r="I8483" s="5" t="str">
        <f t="shared" si="1009"/>
        <v>018</v>
      </c>
      <c r="J8483" s="5" t="str">
        <f t="shared" si="1010"/>
        <v>2100</v>
      </c>
      <c r="K8483" s="5" t="str">
        <f t="shared" si="1011"/>
        <v>000</v>
      </c>
      <c r="L8483" s="5">
        <f t="shared" si="1012"/>
        <v>9</v>
      </c>
      <c r="M8483" s="5">
        <f t="shared" si="1013"/>
        <v>2013</v>
      </c>
    </row>
    <row r="8484" spans="1:13" ht="15" x14ac:dyDescent="0.25">
      <c r="A8484" s="1">
        <f>DATE(2013,9,16)</f>
        <v>41533</v>
      </c>
      <c r="B8484" t="s">
        <v>20</v>
      </c>
      <c r="C8484" t="s">
        <v>8</v>
      </c>
      <c r="D8484" s="3">
        <v>961.79170000000011</v>
      </c>
      <c r="E8484" s="3">
        <v>0</v>
      </c>
      <c r="F8484" t="s">
        <v>45</v>
      </c>
      <c r="G8484" s="3">
        <f t="shared" si="1007"/>
        <v>-961.79170000000011</v>
      </c>
      <c r="H8484" s="3">
        <f t="shared" si="1008"/>
        <v>961.79170000000011</v>
      </c>
      <c r="I8484" s="5" t="str">
        <f t="shared" si="1009"/>
        <v>018</v>
      </c>
      <c r="J8484" s="5" t="str">
        <f t="shared" si="1010"/>
        <v>2210</v>
      </c>
      <c r="K8484" s="5" t="str">
        <f t="shared" si="1011"/>
        <v>000</v>
      </c>
      <c r="L8484" s="5">
        <f t="shared" si="1012"/>
        <v>9</v>
      </c>
      <c r="M8484" s="5">
        <f t="shared" si="1013"/>
        <v>2013</v>
      </c>
    </row>
    <row r="8485" spans="1:13" ht="15" x14ac:dyDescent="0.25">
      <c r="A8485" s="1">
        <f>DATE(2013,9,16)</f>
        <v>41533</v>
      </c>
      <c r="B8485" t="s">
        <v>21</v>
      </c>
      <c r="C8485" t="s">
        <v>9</v>
      </c>
      <c r="D8485" s="3">
        <v>99.083100000000002</v>
      </c>
      <c r="E8485" s="3">
        <v>0</v>
      </c>
      <c r="F8485" t="s">
        <v>45</v>
      </c>
      <c r="G8485" s="3">
        <f t="shared" si="1007"/>
        <v>-99.083100000000002</v>
      </c>
      <c r="H8485" s="3">
        <f t="shared" si="1008"/>
        <v>99.083100000000002</v>
      </c>
      <c r="I8485" s="5" t="str">
        <f t="shared" si="1009"/>
        <v>018</v>
      </c>
      <c r="J8485" s="5" t="str">
        <f t="shared" si="1010"/>
        <v>2220</v>
      </c>
      <c r="K8485" s="5" t="str">
        <f t="shared" si="1011"/>
        <v>000</v>
      </c>
      <c r="L8485" s="5">
        <f t="shared" si="1012"/>
        <v>9</v>
      </c>
      <c r="M8485" s="5">
        <f t="shared" si="1013"/>
        <v>2013</v>
      </c>
    </row>
    <row r="8486" spans="1:13" ht="15" x14ac:dyDescent="0.25">
      <c r="A8486" s="1">
        <f>DATE(2013,9,16)</f>
        <v>41533</v>
      </c>
      <c r="B8486" t="s">
        <v>22</v>
      </c>
      <c r="C8486" t="s">
        <v>10</v>
      </c>
      <c r="D8486" s="3">
        <v>35.567999999999998</v>
      </c>
      <c r="E8486" s="3">
        <v>0</v>
      </c>
      <c r="F8486" t="s">
        <v>45</v>
      </c>
      <c r="G8486" s="3">
        <f t="shared" si="1007"/>
        <v>-35.567999999999998</v>
      </c>
      <c r="H8486" s="3">
        <f t="shared" si="1008"/>
        <v>35.567999999999998</v>
      </c>
      <c r="I8486" s="5" t="str">
        <f t="shared" si="1009"/>
        <v>018</v>
      </c>
      <c r="J8486" s="5" t="str">
        <f t="shared" si="1010"/>
        <v>2230</v>
      </c>
      <c r="K8486" s="5" t="str">
        <f t="shared" si="1011"/>
        <v>000</v>
      </c>
      <c r="L8486" s="5">
        <f t="shared" si="1012"/>
        <v>9</v>
      </c>
      <c r="M8486" s="5">
        <f t="shared" si="1013"/>
        <v>2013</v>
      </c>
    </row>
    <row r="8487" spans="1:13" ht="15" x14ac:dyDescent="0.25">
      <c r="A8487" s="1">
        <f>DATE(2013,9,17)</f>
        <v>41534</v>
      </c>
      <c r="B8487" t="s">
        <v>19</v>
      </c>
      <c r="C8487" t="s">
        <v>6</v>
      </c>
      <c r="D8487" s="3">
        <v>4510.5731999999998</v>
      </c>
      <c r="E8487" s="3">
        <v>0</v>
      </c>
      <c r="F8487" t="s">
        <v>45</v>
      </c>
      <c r="G8487" s="3">
        <f t="shared" si="1007"/>
        <v>-4510.5731999999998</v>
      </c>
      <c r="H8487" s="3">
        <f t="shared" si="1008"/>
        <v>4510.5731999999998</v>
      </c>
      <c r="I8487" s="5" t="str">
        <f t="shared" si="1009"/>
        <v>018</v>
      </c>
      <c r="J8487" s="5" t="str">
        <f t="shared" si="1010"/>
        <v>2100</v>
      </c>
      <c r="K8487" s="5" t="str">
        <f t="shared" si="1011"/>
        <v>000</v>
      </c>
      <c r="L8487" s="5">
        <f t="shared" si="1012"/>
        <v>9</v>
      </c>
      <c r="M8487" s="5">
        <f t="shared" si="1013"/>
        <v>2013</v>
      </c>
    </row>
    <row r="8488" spans="1:13" ht="15" x14ac:dyDescent="0.25">
      <c r="A8488" s="1">
        <f>DATE(2013,9,17)</f>
        <v>41534</v>
      </c>
      <c r="B8488" t="s">
        <v>20</v>
      </c>
      <c r="C8488" t="s">
        <v>8</v>
      </c>
      <c r="D8488" s="3">
        <v>564.45959999999991</v>
      </c>
      <c r="E8488" s="3">
        <v>0</v>
      </c>
      <c r="F8488" t="s">
        <v>45</v>
      </c>
      <c r="G8488" s="3">
        <f t="shared" si="1007"/>
        <v>-564.45959999999991</v>
      </c>
      <c r="H8488" s="3">
        <f t="shared" si="1008"/>
        <v>564.45959999999991</v>
      </c>
      <c r="I8488" s="5" t="str">
        <f t="shared" si="1009"/>
        <v>018</v>
      </c>
      <c r="J8488" s="5" t="str">
        <f t="shared" si="1010"/>
        <v>2210</v>
      </c>
      <c r="K8488" s="5" t="str">
        <f t="shared" si="1011"/>
        <v>000</v>
      </c>
      <c r="L8488" s="5">
        <f t="shared" si="1012"/>
        <v>9</v>
      </c>
      <c r="M8488" s="5">
        <f t="shared" si="1013"/>
        <v>2013</v>
      </c>
    </row>
    <row r="8489" spans="1:13" ht="15" x14ac:dyDescent="0.25">
      <c r="A8489" s="1">
        <f>DATE(2013,9,17)</f>
        <v>41534</v>
      </c>
      <c r="B8489" t="s">
        <v>21</v>
      </c>
      <c r="C8489" t="s">
        <v>9</v>
      </c>
      <c r="D8489" s="3">
        <v>139.04739999999998</v>
      </c>
      <c r="E8489" s="3">
        <v>0</v>
      </c>
      <c r="F8489" t="s">
        <v>45</v>
      </c>
      <c r="G8489" s="3">
        <f t="shared" si="1007"/>
        <v>-139.04739999999998</v>
      </c>
      <c r="H8489" s="3">
        <f t="shared" si="1008"/>
        <v>139.04739999999998</v>
      </c>
      <c r="I8489" s="5" t="str">
        <f t="shared" si="1009"/>
        <v>018</v>
      </c>
      <c r="J8489" s="5" t="str">
        <f t="shared" si="1010"/>
        <v>2220</v>
      </c>
      <c r="K8489" s="5" t="str">
        <f t="shared" si="1011"/>
        <v>000</v>
      </c>
      <c r="L8489" s="5">
        <f t="shared" si="1012"/>
        <v>9</v>
      </c>
      <c r="M8489" s="5">
        <f t="shared" si="1013"/>
        <v>2013</v>
      </c>
    </row>
    <row r="8490" spans="1:13" ht="15" x14ac:dyDescent="0.25">
      <c r="A8490" s="1">
        <f>DATE(2013,9,17)</f>
        <v>41534</v>
      </c>
      <c r="B8490" t="s">
        <v>22</v>
      </c>
      <c r="C8490" t="s">
        <v>10</v>
      </c>
      <c r="D8490" s="3">
        <v>22.248000000000001</v>
      </c>
      <c r="E8490" s="3">
        <v>0</v>
      </c>
      <c r="F8490" t="s">
        <v>45</v>
      </c>
      <c r="G8490" s="3">
        <f t="shared" si="1007"/>
        <v>-22.248000000000001</v>
      </c>
      <c r="H8490" s="3">
        <f t="shared" si="1008"/>
        <v>22.248000000000001</v>
      </c>
      <c r="I8490" s="5" t="str">
        <f t="shared" si="1009"/>
        <v>018</v>
      </c>
      <c r="J8490" s="5" t="str">
        <f t="shared" si="1010"/>
        <v>2230</v>
      </c>
      <c r="K8490" s="5" t="str">
        <f t="shared" si="1011"/>
        <v>000</v>
      </c>
      <c r="L8490" s="5">
        <f t="shared" si="1012"/>
        <v>9</v>
      </c>
      <c r="M8490" s="5">
        <f t="shared" si="1013"/>
        <v>2013</v>
      </c>
    </row>
    <row r="8491" spans="1:13" ht="15" x14ac:dyDescent="0.25">
      <c r="A8491" s="1">
        <f>DATE(2013,9,18)</f>
        <v>41535</v>
      </c>
      <c r="B8491" t="s">
        <v>19</v>
      </c>
      <c r="C8491" t="s">
        <v>6</v>
      </c>
      <c r="D8491" s="3">
        <v>4649.1365999999998</v>
      </c>
      <c r="E8491" s="3">
        <v>0</v>
      </c>
      <c r="F8491" t="s">
        <v>45</v>
      </c>
      <c r="G8491" s="3">
        <f t="shared" si="1007"/>
        <v>-4649.1365999999998</v>
      </c>
      <c r="H8491" s="3">
        <f t="shared" si="1008"/>
        <v>4649.1365999999998</v>
      </c>
      <c r="I8491" s="5" t="str">
        <f t="shared" si="1009"/>
        <v>018</v>
      </c>
      <c r="J8491" s="5" t="str">
        <f t="shared" si="1010"/>
        <v>2100</v>
      </c>
      <c r="K8491" s="5" t="str">
        <f t="shared" si="1011"/>
        <v>000</v>
      </c>
      <c r="L8491" s="5">
        <f t="shared" si="1012"/>
        <v>9</v>
      </c>
      <c r="M8491" s="5">
        <f t="shared" si="1013"/>
        <v>2013</v>
      </c>
    </row>
    <row r="8492" spans="1:13" ht="15" x14ac:dyDescent="0.25">
      <c r="A8492" s="1">
        <f>DATE(2013,9,18)</f>
        <v>41535</v>
      </c>
      <c r="B8492" t="s">
        <v>20</v>
      </c>
      <c r="C8492" t="s">
        <v>8</v>
      </c>
      <c r="D8492" s="3">
        <v>684.27689999999996</v>
      </c>
      <c r="E8492" s="3">
        <v>0</v>
      </c>
      <c r="F8492" t="s">
        <v>45</v>
      </c>
      <c r="G8492" s="3">
        <f t="shared" si="1007"/>
        <v>-684.27689999999996</v>
      </c>
      <c r="H8492" s="3">
        <f t="shared" si="1008"/>
        <v>684.27689999999996</v>
      </c>
      <c r="I8492" s="5" t="str">
        <f t="shared" si="1009"/>
        <v>018</v>
      </c>
      <c r="J8492" s="5" t="str">
        <f t="shared" si="1010"/>
        <v>2210</v>
      </c>
      <c r="K8492" s="5" t="str">
        <f t="shared" si="1011"/>
        <v>000</v>
      </c>
      <c r="L8492" s="5">
        <f t="shared" si="1012"/>
        <v>9</v>
      </c>
      <c r="M8492" s="5">
        <f t="shared" si="1013"/>
        <v>2013</v>
      </c>
    </row>
    <row r="8493" spans="1:13" ht="15" x14ac:dyDescent="0.25">
      <c r="A8493" s="1">
        <f>DATE(2013,9,18)</f>
        <v>41535</v>
      </c>
      <c r="B8493" t="s">
        <v>21</v>
      </c>
      <c r="C8493" t="s">
        <v>9</v>
      </c>
      <c r="D8493" s="3">
        <v>177.79320000000001</v>
      </c>
      <c r="E8493" s="3">
        <v>0</v>
      </c>
      <c r="F8493" t="s">
        <v>45</v>
      </c>
      <c r="G8493" s="3">
        <f t="shared" si="1007"/>
        <v>-177.79320000000001</v>
      </c>
      <c r="H8493" s="3">
        <f t="shared" si="1008"/>
        <v>177.79320000000001</v>
      </c>
      <c r="I8493" s="5" t="str">
        <f t="shared" si="1009"/>
        <v>018</v>
      </c>
      <c r="J8493" s="5" t="str">
        <f t="shared" si="1010"/>
        <v>2220</v>
      </c>
      <c r="K8493" s="5" t="str">
        <f t="shared" si="1011"/>
        <v>000</v>
      </c>
      <c r="L8493" s="5">
        <f t="shared" si="1012"/>
        <v>9</v>
      </c>
      <c r="M8493" s="5">
        <f t="shared" si="1013"/>
        <v>2013</v>
      </c>
    </row>
    <row r="8494" spans="1:13" ht="15" x14ac:dyDescent="0.25">
      <c r="A8494" s="1">
        <f>DATE(2013,9,18)</f>
        <v>41535</v>
      </c>
      <c r="B8494" t="s">
        <v>22</v>
      </c>
      <c r="C8494" t="s">
        <v>10</v>
      </c>
      <c r="D8494" s="3">
        <v>20.256599999999999</v>
      </c>
      <c r="E8494" s="3">
        <v>0</v>
      </c>
      <c r="F8494" t="s">
        <v>45</v>
      </c>
      <c r="G8494" s="3">
        <f t="shared" si="1007"/>
        <v>-20.256599999999999</v>
      </c>
      <c r="H8494" s="3">
        <f t="shared" si="1008"/>
        <v>20.256599999999999</v>
      </c>
      <c r="I8494" s="5" t="str">
        <f t="shared" si="1009"/>
        <v>018</v>
      </c>
      <c r="J8494" s="5" t="str">
        <f t="shared" si="1010"/>
        <v>2230</v>
      </c>
      <c r="K8494" s="5" t="str">
        <f t="shared" si="1011"/>
        <v>000</v>
      </c>
      <c r="L8494" s="5">
        <f t="shared" si="1012"/>
        <v>9</v>
      </c>
      <c r="M8494" s="5">
        <f t="shared" si="1013"/>
        <v>2013</v>
      </c>
    </row>
    <row r="8495" spans="1:13" ht="15" x14ac:dyDescent="0.25">
      <c r="A8495" s="1">
        <f>DATE(2013,9,19)</f>
        <v>41536</v>
      </c>
      <c r="B8495" t="s">
        <v>19</v>
      </c>
      <c r="C8495" t="s">
        <v>6</v>
      </c>
      <c r="D8495" s="3">
        <v>4367.9243000000006</v>
      </c>
      <c r="E8495" s="3">
        <v>0</v>
      </c>
      <c r="F8495" t="s">
        <v>45</v>
      </c>
      <c r="G8495" s="3">
        <f t="shared" si="1007"/>
        <v>-4367.9243000000006</v>
      </c>
      <c r="H8495" s="3">
        <f t="shared" si="1008"/>
        <v>4367.9243000000006</v>
      </c>
      <c r="I8495" s="5" t="str">
        <f t="shared" si="1009"/>
        <v>018</v>
      </c>
      <c r="J8495" s="5" t="str">
        <f t="shared" si="1010"/>
        <v>2100</v>
      </c>
      <c r="K8495" s="5" t="str">
        <f t="shared" si="1011"/>
        <v>000</v>
      </c>
      <c r="L8495" s="5">
        <f t="shared" si="1012"/>
        <v>9</v>
      </c>
      <c r="M8495" s="5">
        <f t="shared" si="1013"/>
        <v>2013</v>
      </c>
    </row>
    <row r="8496" spans="1:13" ht="15" x14ac:dyDescent="0.25">
      <c r="A8496" s="1">
        <f>DATE(2013,9,19)</f>
        <v>41536</v>
      </c>
      <c r="B8496" t="s">
        <v>20</v>
      </c>
      <c r="C8496" t="s">
        <v>8</v>
      </c>
      <c r="D8496" s="3">
        <v>795.17899999999997</v>
      </c>
      <c r="E8496" s="3">
        <v>0</v>
      </c>
      <c r="F8496" t="s">
        <v>45</v>
      </c>
      <c r="G8496" s="3">
        <f t="shared" si="1007"/>
        <v>-795.17899999999997</v>
      </c>
      <c r="H8496" s="3">
        <f t="shared" si="1008"/>
        <v>795.17899999999997</v>
      </c>
      <c r="I8496" s="5" t="str">
        <f t="shared" si="1009"/>
        <v>018</v>
      </c>
      <c r="J8496" s="5" t="str">
        <f t="shared" si="1010"/>
        <v>2210</v>
      </c>
      <c r="K8496" s="5" t="str">
        <f t="shared" si="1011"/>
        <v>000</v>
      </c>
      <c r="L8496" s="5">
        <f t="shared" si="1012"/>
        <v>9</v>
      </c>
      <c r="M8496" s="5">
        <f t="shared" si="1013"/>
        <v>2013</v>
      </c>
    </row>
    <row r="8497" spans="1:13" ht="15" x14ac:dyDescent="0.25">
      <c r="A8497" s="1">
        <f>DATE(2013,9,19)</f>
        <v>41536</v>
      </c>
      <c r="B8497" t="s">
        <v>21</v>
      </c>
      <c r="C8497" t="s">
        <v>9</v>
      </c>
      <c r="D8497" s="3">
        <v>163.84299999999999</v>
      </c>
      <c r="E8497" s="3">
        <v>0</v>
      </c>
      <c r="F8497" t="s">
        <v>45</v>
      </c>
      <c r="G8497" s="3">
        <f t="shared" si="1007"/>
        <v>-163.84299999999999</v>
      </c>
      <c r="H8497" s="3">
        <f t="shared" si="1008"/>
        <v>163.84299999999999</v>
      </c>
      <c r="I8497" s="5" t="str">
        <f t="shared" si="1009"/>
        <v>018</v>
      </c>
      <c r="J8497" s="5" t="str">
        <f t="shared" si="1010"/>
        <v>2220</v>
      </c>
      <c r="K8497" s="5" t="str">
        <f t="shared" si="1011"/>
        <v>000</v>
      </c>
      <c r="L8497" s="5">
        <f t="shared" si="1012"/>
        <v>9</v>
      </c>
      <c r="M8497" s="5">
        <f t="shared" si="1013"/>
        <v>2013</v>
      </c>
    </row>
    <row r="8498" spans="1:13" ht="15" x14ac:dyDescent="0.25">
      <c r="A8498" s="1">
        <f>DATE(2013,9,19)</f>
        <v>41536</v>
      </c>
      <c r="B8498" t="s">
        <v>22</v>
      </c>
      <c r="C8498" t="s">
        <v>10</v>
      </c>
      <c r="D8498" s="3">
        <v>28.128000000000004</v>
      </c>
      <c r="E8498" s="3">
        <v>0</v>
      </c>
      <c r="F8498" t="s">
        <v>45</v>
      </c>
      <c r="G8498" s="3">
        <f t="shared" si="1007"/>
        <v>-28.128000000000004</v>
      </c>
      <c r="H8498" s="3">
        <f t="shared" si="1008"/>
        <v>28.128000000000004</v>
      </c>
      <c r="I8498" s="5" t="str">
        <f t="shared" si="1009"/>
        <v>018</v>
      </c>
      <c r="J8498" s="5" t="str">
        <f t="shared" si="1010"/>
        <v>2230</v>
      </c>
      <c r="K8498" s="5" t="str">
        <f t="shared" si="1011"/>
        <v>000</v>
      </c>
      <c r="L8498" s="5">
        <f t="shared" si="1012"/>
        <v>9</v>
      </c>
      <c r="M8498" s="5">
        <f t="shared" si="1013"/>
        <v>2013</v>
      </c>
    </row>
    <row r="8499" spans="1:13" ht="15" x14ac:dyDescent="0.25">
      <c r="A8499" s="1">
        <f>DATE(2013,9,20)</f>
        <v>41537</v>
      </c>
      <c r="B8499" t="s">
        <v>19</v>
      </c>
      <c r="C8499" t="s">
        <v>6</v>
      </c>
      <c r="D8499" s="3">
        <v>11831.037200000001</v>
      </c>
      <c r="E8499" s="3">
        <v>0</v>
      </c>
      <c r="F8499" t="s">
        <v>45</v>
      </c>
      <c r="G8499" s="3">
        <f t="shared" si="1007"/>
        <v>-11831.037200000001</v>
      </c>
      <c r="H8499" s="3">
        <f t="shared" si="1008"/>
        <v>11831.037200000001</v>
      </c>
      <c r="I8499" s="5" t="str">
        <f t="shared" si="1009"/>
        <v>018</v>
      </c>
      <c r="J8499" s="5" t="str">
        <f t="shared" si="1010"/>
        <v>2100</v>
      </c>
      <c r="K8499" s="5" t="str">
        <f t="shared" si="1011"/>
        <v>000</v>
      </c>
      <c r="L8499" s="5">
        <f t="shared" si="1012"/>
        <v>9</v>
      </c>
      <c r="M8499" s="5">
        <f t="shared" si="1013"/>
        <v>2013</v>
      </c>
    </row>
    <row r="8500" spans="1:13" ht="15" x14ac:dyDescent="0.25">
      <c r="A8500" s="1">
        <f>DATE(2013,9,20)</f>
        <v>41537</v>
      </c>
      <c r="B8500" t="s">
        <v>20</v>
      </c>
      <c r="C8500" t="s">
        <v>8</v>
      </c>
      <c r="D8500" s="3">
        <v>2120.7296000000001</v>
      </c>
      <c r="E8500" s="3">
        <v>0</v>
      </c>
      <c r="F8500" t="s">
        <v>45</v>
      </c>
      <c r="G8500" s="3">
        <f t="shared" si="1007"/>
        <v>-2120.7296000000001</v>
      </c>
      <c r="H8500" s="3">
        <f t="shared" si="1008"/>
        <v>2120.7296000000001</v>
      </c>
      <c r="I8500" s="5" t="str">
        <f t="shared" si="1009"/>
        <v>018</v>
      </c>
      <c r="J8500" s="5" t="str">
        <f t="shared" si="1010"/>
        <v>2210</v>
      </c>
      <c r="K8500" s="5" t="str">
        <f t="shared" si="1011"/>
        <v>000</v>
      </c>
      <c r="L8500" s="5">
        <f t="shared" si="1012"/>
        <v>9</v>
      </c>
      <c r="M8500" s="5">
        <f t="shared" si="1013"/>
        <v>2013</v>
      </c>
    </row>
    <row r="8501" spans="1:13" ht="15" x14ac:dyDescent="0.25">
      <c r="A8501" s="1">
        <f>DATE(2013,9,20)</f>
        <v>41537</v>
      </c>
      <c r="B8501" t="s">
        <v>21</v>
      </c>
      <c r="C8501" t="s">
        <v>9</v>
      </c>
      <c r="D8501" s="3">
        <v>449.26799999999997</v>
      </c>
      <c r="E8501" s="3">
        <v>0</v>
      </c>
      <c r="F8501" t="s">
        <v>45</v>
      </c>
      <c r="G8501" s="3">
        <f t="shared" si="1007"/>
        <v>-449.26799999999997</v>
      </c>
      <c r="H8501" s="3">
        <f t="shared" si="1008"/>
        <v>449.26799999999997</v>
      </c>
      <c r="I8501" s="5" t="str">
        <f t="shared" si="1009"/>
        <v>018</v>
      </c>
      <c r="J8501" s="5" t="str">
        <f t="shared" si="1010"/>
        <v>2220</v>
      </c>
      <c r="K8501" s="5" t="str">
        <f t="shared" si="1011"/>
        <v>000</v>
      </c>
      <c r="L8501" s="5">
        <f t="shared" si="1012"/>
        <v>9</v>
      </c>
      <c r="M8501" s="5">
        <f t="shared" si="1013"/>
        <v>2013</v>
      </c>
    </row>
    <row r="8502" spans="1:13" ht="15" x14ac:dyDescent="0.25">
      <c r="A8502" s="1">
        <f>DATE(2013,9,20)</f>
        <v>41537</v>
      </c>
      <c r="B8502" t="s">
        <v>22</v>
      </c>
      <c r="C8502" t="s">
        <v>10</v>
      </c>
      <c r="D8502" s="3">
        <v>140.4708</v>
      </c>
      <c r="E8502" s="3">
        <v>0</v>
      </c>
      <c r="F8502" t="s">
        <v>45</v>
      </c>
      <c r="G8502" s="3">
        <f t="shared" si="1007"/>
        <v>-140.4708</v>
      </c>
      <c r="H8502" s="3">
        <f t="shared" si="1008"/>
        <v>140.4708</v>
      </c>
      <c r="I8502" s="5" t="str">
        <f t="shared" si="1009"/>
        <v>018</v>
      </c>
      <c r="J8502" s="5" t="str">
        <f t="shared" si="1010"/>
        <v>2230</v>
      </c>
      <c r="K8502" s="5" t="str">
        <f t="shared" si="1011"/>
        <v>000</v>
      </c>
      <c r="L8502" s="5">
        <f t="shared" si="1012"/>
        <v>9</v>
      </c>
      <c r="M8502" s="5">
        <f t="shared" si="1013"/>
        <v>2013</v>
      </c>
    </row>
    <row r="8503" spans="1:13" ht="15" x14ac:dyDescent="0.25">
      <c r="A8503" s="1">
        <f>DATE(2013,9,21)</f>
        <v>41538</v>
      </c>
      <c r="B8503" t="s">
        <v>19</v>
      </c>
      <c r="C8503" t="s">
        <v>6</v>
      </c>
      <c r="D8503" s="3">
        <v>9954.9184000000005</v>
      </c>
      <c r="E8503" s="3">
        <v>0</v>
      </c>
      <c r="F8503" t="s">
        <v>45</v>
      </c>
      <c r="G8503" s="3">
        <f t="shared" si="1007"/>
        <v>-9954.9184000000005</v>
      </c>
      <c r="H8503" s="3">
        <f t="shared" si="1008"/>
        <v>9954.9184000000005</v>
      </c>
      <c r="I8503" s="5" t="str">
        <f t="shared" si="1009"/>
        <v>018</v>
      </c>
      <c r="J8503" s="5" t="str">
        <f t="shared" si="1010"/>
        <v>2100</v>
      </c>
      <c r="K8503" s="5" t="str">
        <f t="shared" si="1011"/>
        <v>000</v>
      </c>
      <c r="L8503" s="5">
        <f t="shared" si="1012"/>
        <v>9</v>
      </c>
      <c r="M8503" s="5">
        <f t="shared" si="1013"/>
        <v>2013</v>
      </c>
    </row>
    <row r="8504" spans="1:13" ht="15" x14ac:dyDescent="0.25">
      <c r="A8504" s="1">
        <f>DATE(2013,9,21)</f>
        <v>41538</v>
      </c>
      <c r="B8504" t="s">
        <v>20</v>
      </c>
      <c r="C8504" t="s">
        <v>8</v>
      </c>
      <c r="D8504" s="3">
        <v>1899.6675</v>
      </c>
      <c r="E8504" s="3">
        <v>0</v>
      </c>
      <c r="F8504" t="s">
        <v>45</v>
      </c>
      <c r="G8504" s="3">
        <f t="shared" si="1007"/>
        <v>-1899.6675</v>
      </c>
      <c r="H8504" s="3">
        <f t="shared" si="1008"/>
        <v>1899.6675</v>
      </c>
      <c r="I8504" s="5" t="str">
        <f t="shared" si="1009"/>
        <v>018</v>
      </c>
      <c r="J8504" s="5" t="str">
        <f t="shared" si="1010"/>
        <v>2210</v>
      </c>
      <c r="K8504" s="5" t="str">
        <f t="shared" si="1011"/>
        <v>000</v>
      </c>
      <c r="L8504" s="5">
        <f t="shared" si="1012"/>
        <v>9</v>
      </c>
      <c r="M8504" s="5">
        <f t="shared" si="1013"/>
        <v>2013</v>
      </c>
    </row>
    <row r="8505" spans="1:13" ht="15" x14ac:dyDescent="0.25">
      <c r="A8505" s="1">
        <f>DATE(2013,9,21)</f>
        <v>41538</v>
      </c>
      <c r="B8505" t="s">
        <v>21</v>
      </c>
      <c r="C8505" t="s">
        <v>9</v>
      </c>
      <c r="D8505" s="3">
        <v>621.08369999999991</v>
      </c>
      <c r="E8505" s="3">
        <v>0</v>
      </c>
      <c r="F8505" t="s">
        <v>45</v>
      </c>
      <c r="G8505" s="3">
        <f t="shared" si="1007"/>
        <v>-621.08369999999991</v>
      </c>
      <c r="H8505" s="3">
        <f t="shared" si="1008"/>
        <v>621.08369999999991</v>
      </c>
      <c r="I8505" s="5" t="str">
        <f t="shared" si="1009"/>
        <v>018</v>
      </c>
      <c r="J8505" s="5" t="str">
        <f t="shared" si="1010"/>
        <v>2220</v>
      </c>
      <c r="K8505" s="5" t="str">
        <f t="shared" si="1011"/>
        <v>000</v>
      </c>
      <c r="L8505" s="5">
        <f t="shared" si="1012"/>
        <v>9</v>
      </c>
      <c r="M8505" s="5">
        <f t="shared" si="1013"/>
        <v>2013</v>
      </c>
    </row>
    <row r="8506" spans="1:13" ht="15" x14ac:dyDescent="0.25">
      <c r="A8506" s="1">
        <f>DATE(2013,9,21)</f>
        <v>41538</v>
      </c>
      <c r="B8506" t="s">
        <v>22</v>
      </c>
      <c r="C8506" t="s">
        <v>10</v>
      </c>
      <c r="D8506" s="3">
        <v>35.093299999999999</v>
      </c>
      <c r="E8506" s="3">
        <v>0</v>
      </c>
      <c r="F8506" t="s">
        <v>45</v>
      </c>
      <c r="G8506" s="3">
        <f t="shared" si="1007"/>
        <v>-35.093299999999999</v>
      </c>
      <c r="H8506" s="3">
        <f t="shared" si="1008"/>
        <v>35.093299999999999</v>
      </c>
      <c r="I8506" s="5" t="str">
        <f t="shared" si="1009"/>
        <v>018</v>
      </c>
      <c r="J8506" s="5" t="str">
        <f t="shared" si="1010"/>
        <v>2230</v>
      </c>
      <c r="K8506" s="5" t="str">
        <f t="shared" si="1011"/>
        <v>000</v>
      </c>
      <c r="L8506" s="5">
        <f t="shared" si="1012"/>
        <v>9</v>
      </c>
      <c r="M8506" s="5">
        <f t="shared" si="1013"/>
        <v>2013</v>
      </c>
    </row>
    <row r="8507" spans="1:13" ht="15" x14ac:dyDescent="0.25">
      <c r="A8507" s="1">
        <f>DATE(2013,9,22)</f>
        <v>41539</v>
      </c>
      <c r="B8507" t="s">
        <v>19</v>
      </c>
      <c r="C8507" t="s">
        <v>6</v>
      </c>
      <c r="D8507" s="3">
        <v>9881.5805999999993</v>
      </c>
      <c r="E8507" s="3">
        <v>0</v>
      </c>
      <c r="F8507" t="s">
        <v>45</v>
      </c>
      <c r="G8507" s="3">
        <f t="shared" si="1007"/>
        <v>-9881.5805999999993</v>
      </c>
      <c r="H8507" s="3">
        <f t="shared" si="1008"/>
        <v>9881.5805999999993</v>
      </c>
      <c r="I8507" s="5" t="str">
        <f t="shared" si="1009"/>
        <v>018</v>
      </c>
      <c r="J8507" s="5" t="str">
        <f t="shared" si="1010"/>
        <v>2100</v>
      </c>
      <c r="K8507" s="5" t="str">
        <f t="shared" si="1011"/>
        <v>000</v>
      </c>
      <c r="L8507" s="5">
        <f t="shared" si="1012"/>
        <v>9</v>
      </c>
      <c r="M8507" s="5">
        <f t="shared" si="1013"/>
        <v>2013</v>
      </c>
    </row>
    <row r="8508" spans="1:13" ht="15" x14ac:dyDescent="0.25">
      <c r="A8508" s="1">
        <f>DATE(2013,9,22)</f>
        <v>41539</v>
      </c>
      <c r="B8508" t="s">
        <v>20</v>
      </c>
      <c r="C8508" t="s">
        <v>8</v>
      </c>
      <c r="D8508" s="3">
        <v>914.59439999999995</v>
      </c>
      <c r="E8508" s="3">
        <v>0</v>
      </c>
      <c r="F8508" t="s">
        <v>45</v>
      </c>
      <c r="G8508" s="3">
        <f t="shared" si="1007"/>
        <v>-914.59439999999995</v>
      </c>
      <c r="H8508" s="3">
        <f t="shared" si="1008"/>
        <v>914.59439999999995</v>
      </c>
      <c r="I8508" s="5" t="str">
        <f t="shared" si="1009"/>
        <v>018</v>
      </c>
      <c r="J8508" s="5" t="str">
        <f t="shared" si="1010"/>
        <v>2210</v>
      </c>
      <c r="K8508" s="5" t="str">
        <f t="shared" si="1011"/>
        <v>000</v>
      </c>
      <c r="L8508" s="5">
        <f t="shared" si="1012"/>
        <v>9</v>
      </c>
      <c r="M8508" s="5">
        <f t="shared" si="1013"/>
        <v>2013</v>
      </c>
    </row>
    <row r="8509" spans="1:13" ht="15" x14ac:dyDescent="0.25">
      <c r="A8509" s="1">
        <f>DATE(2013,9,22)</f>
        <v>41539</v>
      </c>
      <c r="B8509" t="s">
        <v>21</v>
      </c>
      <c r="C8509" t="s">
        <v>9</v>
      </c>
      <c r="D8509" s="3">
        <v>313.09980000000002</v>
      </c>
      <c r="E8509" s="3">
        <v>0</v>
      </c>
      <c r="F8509" t="s">
        <v>45</v>
      </c>
      <c r="G8509" s="3">
        <f t="shared" si="1007"/>
        <v>-313.09980000000002</v>
      </c>
      <c r="H8509" s="3">
        <f t="shared" si="1008"/>
        <v>313.09980000000002</v>
      </c>
      <c r="I8509" s="5" t="str">
        <f t="shared" si="1009"/>
        <v>018</v>
      </c>
      <c r="J8509" s="5" t="str">
        <f t="shared" si="1010"/>
        <v>2220</v>
      </c>
      <c r="K8509" s="5" t="str">
        <f t="shared" si="1011"/>
        <v>000</v>
      </c>
      <c r="L8509" s="5">
        <f t="shared" si="1012"/>
        <v>9</v>
      </c>
      <c r="M8509" s="5">
        <f t="shared" si="1013"/>
        <v>2013</v>
      </c>
    </row>
    <row r="8510" spans="1:13" ht="15" x14ac:dyDescent="0.25">
      <c r="A8510" s="1">
        <f>DATE(2013,9,22)</f>
        <v>41539</v>
      </c>
      <c r="B8510" t="s">
        <v>22</v>
      </c>
      <c r="C8510" t="s">
        <v>10</v>
      </c>
      <c r="D8510" s="3">
        <v>82.032799999999995</v>
      </c>
      <c r="E8510" s="3">
        <v>0</v>
      </c>
      <c r="F8510" t="s">
        <v>45</v>
      </c>
      <c r="G8510" s="3">
        <f t="shared" si="1007"/>
        <v>-82.032799999999995</v>
      </c>
      <c r="H8510" s="3">
        <f t="shared" si="1008"/>
        <v>82.032799999999995</v>
      </c>
      <c r="I8510" s="5" t="str">
        <f t="shared" si="1009"/>
        <v>018</v>
      </c>
      <c r="J8510" s="5" t="str">
        <f t="shared" si="1010"/>
        <v>2230</v>
      </c>
      <c r="K8510" s="5" t="str">
        <f t="shared" si="1011"/>
        <v>000</v>
      </c>
      <c r="L8510" s="5">
        <f t="shared" si="1012"/>
        <v>9</v>
      </c>
      <c r="M8510" s="5">
        <f t="shared" si="1013"/>
        <v>2013</v>
      </c>
    </row>
    <row r="8511" spans="1:13" ht="15" x14ac:dyDescent="0.25">
      <c r="A8511" s="1">
        <f>DATE(2013,9,16)</f>
        <v>41533</v>
      </c>
      <c r="B8511" t="s">
        <v>23</v>
      </c>
      <c r="C8511" t="s">
        <v>6</v>
      </c>
      <c r="D8511" s="3">
        <v>3501.9591999999998</v>
      </c>
      <c r="E8511" s="3">
        <v>0</v>
      </c>
      <c r="F8511" t="s">
        <v>45</v>
      </c>
      <c r="G8511" s="3">
        <f t="shared" si="1007"/>
        <v>-3501.9591999999998</v>
      </c>
      <c r="H8511" s="3">
        <f t="shared" si="1008"/>
        <v>3501.9591999999998</v>
      </c>
      <c r="I8511" s="5" t="str">
        <f t="shared" si="1009"/>
        <v>019</v>
      </c>
      <c r="J8511" s="5" t="str">
        <f t="shared" si="1010"/>
        <v>2100</v>
      </c>
      <c r="K8511" s="5" t="str">
        <f t="shared" si="1011"/>
        <v>000</v>
      </c>
      <c r="L8511" s="5">
        <f t="shared" si="1012"/>
        <v>9</v>
      </c>
      <c r="M8511" s="5">
        <f t="shared" si="1013"/>
        <v>2013</v>
      </c>
    </row>
    <row r="8512" spans="1:13" ht="15" x14ac:dyDescent="0.25">
      <c r="A8512" s="1">
        <f>DATE(2013,9,16)</f>
        <v>41533</v>
      </c>
      <c r="B8512" t="s">
        <v>24</v>
      </c>
      <c r="C8512" t="s">
        <v>8</v>
      </c>
      <c r="D8512" s="3">
        <v>903.87360000000001</v>
      </c>
      <c r="E8512" s="3">
        <v>0</v>
      </c>
      <c r="F8512" t="s">
        <v>45</v>
      </c>
      <c r="G8512" s="3">
        <f t="shared" si="1007"/>
        <v>-903.87360000000001</v>
      </c>
      <c r="H8512" s="3">
        <f t="shared" si="1008"/>
        <v>903.87360000000001</v>
      </c>
      <c r="I8512" s="5" t="str">
        <f t="shared" si="1009"/>
        <v>019</v>
      </c>
      <c r="J8512" s="5" t="str">
        <f t="shared" si="1010"/>
        <v>2210</v>
      </c>
      <c r="K8512" s="5" t="str">
        <f t="shared" si="1011"/>
        <v>000</v>
      </c>
      <c r="L8512" s="5">
        <f t="shared" si="1012"/>
        <v>9</v>
      </c>
      <c r="M8512" s="5">
        <f t="shared" si="1013"/>
        <v>2013</v>
      </c>
    </row>
    <row r="8513" spans="1:13" ht="15" x14ac:dyDescent="0.25">
      <c r="A8513" s="1">
        <f>DATE(2013,9,16)</f>
        <v>41533</v>
      </c>
      <c r="B8513" t="s">
        <v>25</v>
      </c>
      <c r="C8513" t="s">
        <v>9</v>
      </c>
      <c r="D8513" s="3">
        <v>316.1028</v>
      </c>
      <c r="E8513" s="3">
        <v>0</v>
      </c>
      <c r="F8513" t="s">
        <v>45</v>
      </c>
      <c r="G8513" s="3">
        <f t="shared" si="1007"/>
        <v>-316.1028</v>
      </c>
      <c r="H8513" s="3">
        <f t="shared" si="1008"/>
        <v>316.1028</v>
      </c>
      <c r="I8513" s="5" t="str">
        <f t="shared" si="1009"/>
        <v>019</v>
      </c>
      <c r="J8513" s="5" t="str">
        <f t="shared" si="1010"/>
        <v>2220</v>
      </c>
      <c r="K8513" s="5" t="str">
        <f t="shared" si="1011"/>
        <v>000</v>
      </c>
      <c r="L8513" s="5">
        <f t="shared" si="1012"/>
        <v>9</v>
      </c>
      <c r="M8513" s="5">
        <f t="shared" si="1013"/>
        <v>2013</v>
      </c>
    </row>
    <row r="8514" spans="1:13" ht="15" x14ac:dyDescent="0.25">
      <c r="A8514" s="1">
        <f>DATE(2013,9,16)</f>
        <v>41533</v>
      </c>
      <c r="B8514" t="s">
        <v>26</v>
      </c>
      <c r="C8514" t="s">
        <v>10</v>
      </c>
      <c r="D8514" s="3">
        <v>88.725000000000009</v>
      </c>
      <c r="E8514" s="3">
        <v>0</v>
      </c>
      <c r="F8514" t="s">
        <v>45</v>
      </c>
      <c r="G8514" s="3">
        <f t="shared" ref="G8514:G8577" si="1015">E8514-D8514</f>
        <v>-88.725000000000009</v>
      </c>
      <c r="H8514" s="3">
        <f t="shared" ref="H8514:H8577" si="1016">ABS(G8514)</f>
        <v>88.725000000000009</v>
      </c>
      <c r="I8514" s="5" t="str">
        <f t="shared" ref="I8514:I8577" si="1017">MID(B8514,1,3)</f>
        <v>019</v>
      </c>
      <c r="J8514" s="5" t="str">
        <f t="shared" ref="J8514:J8577" si="1018">MID(B8514,5,4)</f>
        <v>2230</v>
      </c>
      <c r="K8514" s="5" t="str">
        <f t="shared" ref="K8514:K8577" si="1019">MID(B8514,10,3)</f>
        <v>000</v>
      </c>
      <c r="L8514" s="5">
        <f t="shared" ref="L8514:L8577" si="1020">MONTH(A8514)</f>
        <v>9</v>
      </c>
      <c r="M8514" s="5">
        <f t="shared" ref="M8514:M8577" si="1021">YEAR(A8514)</f>
        <v>2013</v>
      </c>
    </row>
    <row r="8515" spans="1:13" ht="15" x14ac:dyDescent="0.25">
      <c r="A8515" s="1">
        <f>DATE(2013,9,17)</f>
        <v>41534</v>
      </c>
      <c r="B8515" t="s">
        <v>23</v>
      </c>
      <c r="C8515" t="s">
        <v>6</v>
      </c>
      <c r="D8515" s="3">
        <v>5954.9481000000005</v>
      </c>
      <c r="E8515" s="3">
        <v>0</v>
      </c>
      <c r="F8515" t="s">
        <v>45</v>
      </c>
      <c r="G8515" s="3">
        <f t="shared" si="1015"/>
        <v>-5954.9481000000005</v>
      </c>
      <c r="H8515" s="3">
        <f t="shared" si="1016"/>
        <v>5954.9481000000005</v>
      </c>
      <c r="I8515" s="5" t="str">
        <f t="shared" si="1017"/>
        <v>019</v>
      </c>
      <c r="J8515" s="5" t="str">
        <f t="shared" si="1018"/>
        <v>2100</v>
      </c>
      <c r="K8515" s="5" t="str">
        <f t="shared" si="1019"/>
        <v>000</v>
      </c>
      <c r="L8515" s="5">
        <f t="shared" si="1020"/>
        <v>9</v>
      </c>
      <c r="M8515" s="5">
        <f t="shared" si="1021"/>
        <v>2013</v>
      </c>
    </row>
    <row r="8516" spans="1:13" ht="15" x14ac:dyDescent="0.25">
      <c r="A8516" s="1">
        <f>DATE(2013,9,17)</f>
        <v>41534</v>
      </c>
      <c r="B8516" t="s">
        <v>24</v>
      </c>
      <c r="C8516" t="s">
        <v>8</v>
      </c>
      <c r="D8516" s="3">
        <v>1270.9754</v>
      </c>
      <c r="E8516" s="3">
        <v>0</v>
      </c>
      <c r="F8516" t="s">
        <v>45</v>
      </c>
      <c r="G8516" s="3">
        <f t="shared" si="1015"/>
        <v>-1270.9754</v>
      </c>
      <c r="H8516" s="3">
        <f t="shared" si="1016"/>
        <v>1270.9754</v>
      </c>
      <c r="I8516" s="5" t="str">
        <f t="shared" si="1017"/>
        <v>019</v>
      </c>
      <c r="J8516" s="5" t="str">
        <f t="shared" si="1018"/>
        <v>2210</v>
      </c>
      <c r="K8516" s="5" t="str">
        <f t="shared" si="1019"/>
        <v>000</v>
      </c>
      <c r="L8516" s="5">
        <f t="shared" si="1020"/>
        <v>9</v>
      </c>
      <c r="M8516" s="5">
        <f t="shared" si="1021"/>
        <v>2013</v>
      </c>
    </row>
    <row r="8517" spans="1:13" ht="15" x14ac:dyDescent="0.25">
      <c r="A8517" s="1">
        <f>DATE(2013,9,17)</f>
        <v>41534</v>
      </c>
      <c r="B8517" t="s">
        <v>25</v>
      </c>
      <c r="C8517" t="s">
        <v>9</v>
      </c>
      <c r="D8517" s="3">
        <v>255.73680000000002</v>
      </c>
      <c r="E8517" s="3">
        <v>0</v>
      </c>
      <c r="F8517" t="s">
        <v>45</v>
      </c>
      <c r="G8517" s="3">
        <f t="shared" si="1015"/>
        <v>-255.73680000000002</v>
      </c>
      <c r="H8517" s="3">
        <f t="shared" si="1016"/>
        <v>255.73680000000002</v>
      </c>
      <c r="I8517" s="5" t="str">
        <f t="shared" si="1017"/>
        <v>019</v>
      </c>
      <c r="J8517" s="5" t="str">
        <f t="shared" si="1018"/>
        <v>2220</v>
      </c>
      <c r="K8517" s="5" t="str">
        <f t="shared" si="1019"/>
        <v>000</v>
      </c>
      <c r="L8517" s="5">
        <f t="shared" si="1020"/>
        <v>9</v>
      </c>
      <c r="M8517" s="5">
        <f t="shared" si="1021"/>
        <v>2013</v>
      </c>
    </row>
    <row r="8518" spans="1:13" ht="15" x14ac:dyDescent="0.25">
      <c r="A8518" s="1">
        <f>DATE(2013,9,17)</f>
        <v>41534</v>
      </c>
      <c r="B8518" t="s">
        <v>26</v>
      </c>
      <c r="C8518" t="s">
        <v>10</v>
      </c>
      <c r="D8518" s="3">
        <v>52.207999999999998</v>
      </c>
      <c r="E8518" s="3">
        <v>0</v>
      </c>
      <c r="F8518" t="s">
        <v>45</v>
      </c>
      <c r="G8518" s="3">
        <f t="shared" si="1015"/>
        <v>-52.207999999999998</v>
      </c>
      <c r="H8518" s="3">
        <f t="shared" si="1016"/>
        <v>52.207999999999998</v>
      </c>
      <c r="I8518" s="5" t="str">
        <f t="shared" si="1017"/>
        <v>019</v>
      </c>
      <c r="J8518" s="5" t="str">
        <f t="shared" si="1018"/>
        <v>2230</v>
      </c>
      <c r="K8518" s="5" t="str">
        <f t="shared" si="1019"/>
        <v>000</v>
      </c>
      <c r="L8518" s="5">
        <f t="shared" si="1020"/>
        <v>9</v>
      </c>
      <c r="M8518" s="5">
        <f t="shared" si="1021"/>
        <v>2013</v>
      </c>
    </row>
    <row r="8519" spans="1:13" ht="15" x14ac:dyDescent="0.25">
      <c r="A8519" s="1">
        <f>DATE(2013,9,18)</f>
        <v>41535</v>
      </c>
      <c r="B8519" t="s">
        <v>23</v>
      </c>
      <c r="C8519" t="s">
        <v>6</v>
      </c>
      <c r="D8519" s="3">
        <v>5408.2910999999995</v>
      </c>
      <c r="E8519" s="3">
        <v>0</v>
      </c>
      <c r="F8519" t="s">
        <v>45</v>
      </c>
      <c r="G8519" s="3">
        <f t="shared" si="1015"/>
        <v>-5408.2910999999995</v>
      </c>
      <c r="H8519" s="3">
        <f t="shared" si="1016"/>
        <v>5408.2910999999995</v>
      </c>
      <c r="I8519" s="5" t="str">
        <f t="shared" si="1017"/>
        <v>019</v>
      </c>
      <c r="J8519" s="5" t="str">
        <f t="shared" si="1018"/>
        <v>2100</v>
      </c>
      <c r="K8519" s="5" t="str">
        <f t="shared" si="1019"/>
        <v>000</v>
      </c>
      <c r="L8519" s="5">
        <f t="shared" si="1020"/>
        <v>9</v>
      </c>
      <c r="M8519" s="5">
        <f t="shared" si="1021"/>
        <v>2013</v>
      </c>
    </row>
    <row r="8520" spans="1:13" ht="15" x14ac:dyDescent="0.25">
      <c r="A8520" s="1">
        <f>DATE(2013,9,18)</f>
        <v>41535</v>
      </c>
      <c r="B8520" t="s">
        <v>24</v>
      </c>
      <c r="C8520" t="s">
        <v>8</v>
      </c>
      <c r="D8520" s="3">
        <v>2250.8615999999997</v>
      </c>
      <c r="E8520" s="3">
        <v>0</v>
      </c>
      <c r="F8520" t="s">
        <v>45</v>
      </c>
      <c r="G8520" s="3">
        <f t="shared" si="1015"/>
        <v>-2250.8615999999997</v>
      </c>
      <c r="H8520" s="3">
        <f t="shared" si="1016"/>
        <v>2250.8615999999997</v>
      </c>
      <c r="I8520" s="5" t="str">
        <f t="shared" si="1017"/>
        <v>019</v>
      </c>
      <c r="J8520" s="5" t="str">
        <f t="shared" si="1018"/>
        <v>2210</v>
      </c>
      <c r="K8520" s="5" t="str">
        <f t="shared" si="1019"/>
        <v>000</v>
      </c>
      <c r="L8520" s="5">
        <f t="shared" si="1020"/>
        <v>9</v>
      </c>
      <c r="M8520" s="5">
        <f t="shared" si="1021"/>
        <v>2013</v>
      </c>
    </row>
    <row r="8521" spans="1:13" ht="15" x14ac:dyDescent="0.25">
      <c r="A8521" s="1">
        <f>DATE(2013,9,18)</f>
        <v>41535</v>
      </c>
      <c r="B8521" t="s">
        <v>25</v>
      </c>
      <c r="C8521" t="s">
        <v>9</v>
      </c>
      <c r="D8521" s="3">
        <v>559.17470000000003</v>
      </c>
      <c r="E8521" s="3">
        <v>0</v>
      </c>
      <c r="F8521" t="s">
        <v>45</v>
      </c>
      <c r="G8521" s="3">
        <f t="shared" si="1015"/>
        <v>-559.17470000000003</v>
      </c>
      <c r="H8521" s="3">
        <f t="shared" si="1016"/>
        <v>559.17470000000003</v>
      </c>
      <c r="I8521" s="5" t="str">
        <f t="shared" si="1017"/>
        <v>019</v>
      </c>
      <c r="J8521" s="5" t="str">
        <f t="shared" si="1018"/>
        <v>2220</v>
      </c>
      <c r="K8521" s="5" t="str">
        <f t="shared" si="1019"/>
        <v>000</v>
      </c>
      <c r="L8521" s="5">
        <f t="shared" si="1020"/>
        <v>9</v>
      </c>
      <c r="M8521" s="5">
        <f t="shared" si="1021"/>
        <v>2013</v>
      </c>
    </row>
    <row r="8522" spans="1:13" ht="15" x14ac:dyDescent="0.25">
      <c r="A8522" s="1">
        <f>DATE(2013,9,18)</f>
        <v>41535</v>
      </c>
      <c r="B8522" t="s">
        <v>26</v>
      </c>
      <c r="C8522" t="s">
        <v>10</v>
      </c>
      <c r="D8522" s="3">
        <v>90.078699999999984</v>
      </c>
      <c r="E8522" s="3">
        <v>0</v>
      </c>
      <c r="F8522" t="s">
        <v>45</v>
      </c>
      <c r="G8522" s="3">
        <f t="shared" si="1015"/>
        <v>-90.078699999999984</v>
      </c>
      <c r="H8522" s="3">
        <f t="shared" si="1016"/>
        <v>90.078699999999984</v>
      </c>
      <c r="I8522" s="5" t="str">
        <f t="shared" si="1017"/>
        <v>019</v>
      </c>
      <c r="J8522" s="5" t="str">
        <f t="shared" si="1018"/>
        <v>2230</v>
      </c>
      <c r="K8522" s="5" t="str">
        <f t="shared" si="1019"/>
        <v>000</v>
      </c>
      <c r="L8522" s="5">
        <f t="shared" si="1020"/>
        <v>9</v>
      </c>
      <c r="M8522" s="5">
        <f t="shared" si="1021"/>
        <v>2013</v>
      </c>
    </row>
    <row r="8523" spans="1:13" ht="15" x14ac:dyDescent="0.25">
      <c r="A8523" s="1">
        <f>DATE(2013,9,19)</f>
        <v>41536</v>
      </c>
      <c r="B8523" t="s">
        <v>23</v>
      </c>
      <c r="C8523" t="s">
        <v>6</v>
      </c>
      <c r="D8523" s="3">
        <v>6792.7922999999992</v>
      </c>
      <c r="E8523" s="3">
        <v>0</v>
      </c>
      <c r="F8523" t="s">
        <v>45</v>
      </c>
      <c r="G8523" s="3">
        <f t="shared" si="1015"/>
        <v>-6792.7922999999992</v>
      </c>
      <c r="H8523" s="3">
        <f t="shared" si="1016"/>
        <v>6792.7922999999992</v>
      </c>
      <c r="I8523" s="5" t="str">
        <f t="shared" si="1017"/>
        <v>019</v>
      </c>
      <c r="J8523" s="5" t="str">
        <f t="shared" si="1018"/>
        <v>2100</v>
      </c>
      <c r="K8523" s="5" t="str">
        <f t="shared" si="1019"/>
        <v>000</v>
      </c>
      <c r="L8523" s="5">
        <f t="shared" si="1020"/>
        <v>9</v>
      </c>
      <c r="M8523" s="5">
        <f t="shared" si="1021"/>
        <v>2013</v>
      </c>
    </row>
    <row r="8524" spans="1:13" ht="15" x14ac:dyDescent="0.25">
      <c r="A8524" s="1">
        <f>DATE(2013,9,19)</f>
        <v>41536</v>
      </c>
      <c r="B8524" t="s">
        <v>24</v>
      </c>
      <c r="C8524" t="s">
        <v>8</v>
      </c>
      <c r="D8524" s="3">
        <v>3318.8597999999997</v>
      </c>
      <c r="E8524" s="3">
        <v>0</v>
      </c>
      <c r="F8524" t="s">
        <v>45</v>
      </c>
      <c r="G8524" s="3">
        <f t="shared" si="1015"/>
        <v>-3318.8597999999997</v>
      </c>
      <c r="H8524" s="3">
        <f t="shared" si="1016"/>
        <v>3318.8597999999997</v>
      </c>
      <c r="I8524" s="5" t="str">
        <f t="shared" si="1017"/>
        <v>019</v>
      </c>
      <c r="J8524" s="5" t="str">
        <f t="shared" si="1018"/>
        <v>2210</v>
      </c>
      <c r="K8524" s="5" t="str">
        <f t="shared" si="1019"/>
        <v>000</v>
      </c>
      <c r="L8524" s="5">
        <f t="shared" si="1020"/>
        <v>9</v>
      </c>
      <c r="M8524" s="5">
        <f t="shared" si="1021"/>
        <v>2013</v>
      </c>
    </row>
    <row r="8525" spans="1:13" ht="15" x14ac:dyDescent="0.25">
      <c r="A8525" s="1">
        <f>DATE(2013,9,19)</f>
        <v>41536</v>
      </c>
      <c r="B8525" t="s">
        <v>25</v>
      </c>
      <c r="C8525" t="s">
        <v>9</v>
      </c>
      <c r="D8525" s="3">
        <v>508.02120000000008</v>
      </c>
      <c r="E8525" s="3">
        <v>0</v>
      </c>
      <c r="F8525" t="s">
        <v>45</v>
      </c>
      <c r="G8525" s="3">
        <f t="shared" si="1015"/>
        <v>-508.02120000000008</v>
      </c>
      <c r="H8525" s="3">
        <f t="shared" si="1016"/>
        <v>508.02120000000008</v>
      </c>
      <c r="I8525" s="5" t="str">
        <f t="shared" si="1017"/>
        <v>019</v>
      </c>
      <c r="J8525" s="5" t="str">
        <f t="shared" si="1018"/>
        <v>2220</v>
      </c>
      <c r="K8525" s="5" t="str">
        <f t="shared" si="1019"/>
        <v>000</v>
      </c>
      <c r="L8525" s="5">
        <f t="shared" si="1020"/>
        <v>9</v>
      </c>
      <c r="M8525" s="5">
        <f t="shared" si="1021"/>
        <v>2013</v>
      </c>
    </row>
    <row r="8526" spans="1:13" ht="15" x14ac:dyDescent="0.25">
      <c r="A8526" s="1">
        <f>DATE(2013,9,19)</f>
        <v>41536</v>
      </c>
      <c r="B8526" t="s">
        <v>26</v>
      </c>
      <c r="C8526" t="s">
        <v>10</v>
      </c>
      <c r="D8526" s="3">
        <v>151.21040000000002</v>
      </c>
      <c r="E8526" s="3">
        <v>0</v>
      </c>
      <c r="F8526" t="s">
        <v>45</v>
      </c>
      <c r="G8526" s="3">
        <f t="shared" si="1015"/>
        <v>-151.21040000000002</v>
      </c>
      <c r="H8526" s="3">
        <f t="shared" si="1016"/>
        <v>151.21040000000002</v>
      </c>
      <c r="I8526" s="5" t="str">
        <f t="shared" si="1017"/>
        <v>019</v>
      </c>
      <c r="J8526" s="5" t="str">
        <f t="shared" si="1018"/>
        <v>2230</v>
      </c>
      <c r="K8526" s="5" t="str">
        <f t="shared" si="1019"/>
        <v>000</v>
      </c>
      <c r="L8526" s="5">
        <f t="shared" si="1020"/>
        <v>9</v>
      </c>
      <c r="M8526" s="5">
        <f t="shared" si="1021"/>
        <v>2013</v>
      </c>
    </row>
    <row r="8527" spans="1:13" ht="15" x14ac:dyDescent="0.25">
      <c r="A8527" s="1">
        <f>DATE(2013,9,20)</f>
        <v>41537</v>
      </c>
      <c r="B8527" t="s">
        <v>23</v>
      </c>
      <c r="C8527" t="s">
        <v>6</v>
      </c>
      <c r="D8527" s="3">
        <v>4099.5767999999998</v>
      </c>
      <c r="E8527" s="3">
        <v>0</v>
      </c>
      <c r="F8527" t="s">
        <v>45</v>
      </c>
      <c r="G8527" s="3">
        <f t="shared" si="1015"/>
        <v>-4099.5767999999998</v>
      </c>
      <c r="H8527" s="3">
        <f t="shared" si="1016"/>
        <v>4099.5767999999998</v>
      </c>
      <c r="I8527" s="5" t="str">
        <f t="shared" si="1017"/>
        <v>019</v>
      </c>
      <c r="J8527" s="5" t="str">
        <f t="shared" si="1018"/>
        <v>2100</v>
      </c>
      <c r="K8527" s="5" t="str">
        <f t="shared" si="1019"/>
        <v>000</v>
      </c>
      <c r="L8527" s="5">
        <f t="shared" si="1020"/>
        <v>9</v>
      </c>
      <c r="M8527" s="5">
        <f t="shared" si="1021"/>
        <v>2013</v>
      </c>
    </row>
    <row r="8528" spans="1:13" ht="15" x14ac:dyDescent="0.25">
      <c r="A8528" s="1">
        <f>DATE(2013,9,20)</f>
        <v>41537</v>
      </c>
      <c r="B8528" t="s">
        <v>24</v>
      </c>
      <c r="C8528" t="s">
        <v>8</v>
      </c>
      <c r="D8528" s="3">
        <v>1698.8216000000002</v>
      </c>
      <c r="E8528" s="3">
        <v>0</v>
      </c>
      <c r="F8528" t="s">
        <v>45</v>
      </c>
      <c r="G8528" s="3">
        <f t="shared" si="1015"/>
        <v>-1698.8216000000002</v>
      </c>
      <c r="H8528" s="3">
        <f t="shared" si="1016"/>
        <v>1698.8216000000002</v>
      </c>
      <c r="I8528" s="5" t="str">
        <f t="shared" si="1017"/>
        <v>019</v>
      </c>
      <c r="J8528" s="5" t="str">
        <f t="shared" si="1018"/>
        <v>2210</v>
      </c>
      <c r="K8528" s="5" t="str">
        <f t="shared" si="1019"/>
        <v>000</v>
      </c>
      <c r="L8528" s="5">
        <f t="shared" si="1020"/>
        <v>9</v>
      </c>
      <c r="M8528" s="5">
        <f t="shared" si="1021"/>
        <v>2013</v>
      </c>
    </row>
    <row r="8529" spans="1:13" ht="15" x14ac:dyDescent="0.25">
      <c r="A8529" s="1">
        <f>DATE(2013,9,20)</f>
        <v>41537</v>
      </c>
      <c r="B8529" t="s">
        <v>25</v>
      </c>
      <c r="C8529" t="s">
        <v>9</v>
      </c>
      <c r="D8529" s="3">
        <v>398.85680000000002</v>
      </c>
      <c r="E8529" s="3">
        <v>0</v>
      </c>
      <c r="F8529" t="s">
        <v>45</v>
      </c>
      <c r="G8529" s="3">
        <f t="shared" si="1015"/>
        <v>-398.85680000000002</v>
      </c>
      <c r="H8529" s="3">
        <f t="shared" si="1016"/>
        <v>398.85680000000002</v>
      </c>
      <c r="I8529" s="5" t="str">
        <f t="shared" si="1017"/>
        <v>019</v>
      </c>
      <c r="J8529" s="5" t="str">
        <f t="shared" si="1018"/>
        <v>2220</v>
      </c>
      <c r="K8529" s="5" t="str">
        <f t="shared" si="1019"/>
        <v>000</v>
      </c>
      <c r="L8529" s="5">
        <f t="shared" si="1020"/>
        <v>9</v>
      </c>
      <c r="M8529" s="5">
        <f t="shared" si="1021"/>
        <v>2013</v>
      </c>
    </row>
    <row r="8530" spans="1:13" ht="15" x14ac:dyDescent="0.25">
      <c r="A8530" s="1">
        <f>DATE(2013,9,20)</f>
        <v>41537</v>
      </c>
      <c r="B8530" t="s">
        <v>26</v>
      </c>
      <c r="C8530" t="s">
        <v>10</v>
      </c>
      <c r="D8530" s="3">
        <v>96.751300000000001</v>
      </c>
      <c r="E8530" s="3">
        <v>0</v>
      </c>
      <c r="F8530" t="s">
        <v>45</v>
      </c>
      <c r="G8530" s="3">
        <f t="shared" si="1015"/>
        <v>-96.751300000000001</v>
      </c>
      <c r="H8530" s="3">
        <f t="shared" si="1016"/>
        <v>96.751300000000001</v>
      </c>
      <c r="I8530" s="5" t="str">
        <f t="shared" si="1017"/>
        <v>019</v>
      </c>
      <c r="J8530" s="5" t="str">
        <f t="shared" si="1018"/>
        <v>2230</v>
      </c>
      <c r="K8530" s="5" t="str">
        <f t="shared" si="1019"/>
        <v>000</v>
      </c>
      <c r="L8530" s="5">
        <f t="shared" si="1020"/>
        <v>9</v>
      </c>
      <c r="M8530" s="5">
        <f t="shared" si="1021"/>
        <v>2013</v>
      </c>
    </row>
    <row r="8531" spans="1:13" ht="15" x14ac:dyDescent="0.25">
      <c r="A8531" s="1">
        <f>DATE(2013,9,21)</f>
        <v>41538</v>
      </c>
      <c r="B8531" t="s">
        <v>23</v>
      </c>
      <c r="C8531" t="s">
        <v>6</v>
      </c>
      <c r="D8531" s="3">
        <v>3878.502</v>
      </c>
      <c r="E8531" s="3">
        <v>0</v>
      </c>
      <c r="F8531" t="s">
        <v>45</v>
      </c>
      <c r="G8531" s="3">
        <f t="shared" si="1015"/>
        <v>-3878.502</v>
      </c>
      <c r="H8531" s="3">
        <f t="shared" si="1016"/>
        <v>3878.502</v>
      </c>
      <c r="I8531" s="5" t="str">
        <f t="shared" si="1017"/>
        <v>019</v>
      </c>
      <c r="J8531" s="5" t="str">
        <f t="shared" si="1018"/>
        <v>2100</v>
      </c>
      <c r="K8531" s="5" t="str">
        <f t="shared" si="1019"/>
        <v>000</v>
      </c>
      <c r="L8531" s="5">
        <f t="shared" si="1020"/>
        <v>9</v>
      </c>
      <c r="M8531" s="5">
        <f t="shared" si="1021"/>
        <v>2013</v>
      </c>
    </row>
    <row r="8532" spans="1:13" ht="15" x14ac:dyDescent="0.25">
      <c r="A8532" s="1">
        <f>DATE(2013,9,21)</f>
        <v>41538</v>
      </c>
      <c r="B8532" t="s">
        <v>24</v>
      </c>
      <c r="C8532" t="s">
        <v>8</v>
      </c>
      <c r="D8532" s="3">
        <v>2289.3701999999998</v>
      </c>
      <c r="E8532" s="3">
        <v>0</v>
      </c>
      <c r="F8532" t="s">
        <v>45</v>
      </c>
      <c r="G8532" s="3">
        <f t="shared" si="1015"/>
        <v>-2289.3701999999998</v>
      </c>
      <c r="H8532" s="3">
        <f t="shared" si="1016"/>
        <v>2289.3701999999998</v>
      </c>
      <c r="I8532" s="5" t="str">
        <f t="shared" si="1017"/>
        <v>019</v>
      </c>
      <c r="J8532" s="5" t="str">
        <f t="shared" si="1018"/>
        <v>2210</v>
      </c>
      <c r="K8532" s="5" t="str">
        <f t="shared" si="1019"/>
        <v>000</v>
      </c>
      <c r="L8532" s="5">
        <f t="shared" si="1020"/>
        <v>9</v>
      </c>
      <c r="M8532" s="5">
        <f t="shared" si="1021"/>
        <v>2013</v>
      </c>
    </row>
    <row r="8533" spans="1:13" ht="15" x14ac:dyDescent="0.25">
      <c r="A8533" s="1">
        <f>DATE(2013,9,21)</f>
        <v>41538</v>
      </c>
      <c r="B8533" t="s">
        <v>25</v>
      </c>
      <c r="C8533" t="s">
        <v>9</v>
      </c>
      <c r="D8533" s="3">
        <v>492.16320000000007</v>
      </c>
      <c r="E8533" s="3">
        <v>0</v>
      </c>
      <c r="F8533" t="s">
        <v>45</v>
      </c>
      <c r="G8533" s="3">
        <f t="shared" si="1015"/>
        <v>-492.16320000000007</v>
      </c>
      <c r="H8533" s="3">
        <f t="shared" si="1016"/>
        <v>492.16320000000007</v>
      </c>
      <c r="I8533" s="5" t="str">
        <f t="shared" si="1017"/>
        <v>019</v>
      </c>
      <c r="J8533" s="5" t="str">
        <f t="shared" si="1018"/>
        <v>2220</v>
      </c>
      <c r="K8533" s="5" t="str">
        <f t="shared" si="1019"/>
        <v>000</v>
      </c>
      <c r="L8533" s="5">
        <f t="shared" si="1020"/>
        <v>9</v>
      </c>
      <c r="M8533" s="5">
        <f t="shared" si="1021"/>
        <v>2013</v>
      </c>
    </row>
    <row r="8534" spans="1:13" ht="15" x14ac:dyDescent="0.25">
      <c r="A8534" s="1">
        <f>DATE(2013,9,21)</f>
        <v>41538</v>
      </c>
      <c r="B8534" t="s">
        <v>26</v>
      </c>
      <c r="C8534" t="s">
        <v>10</v>
      </c>
      <c r="D8534" s="3">
        <v>128.184</v>
      </c>
      <c r="E8534" s="3">
        <v>0</v>
      </c>
      <c r="F8534" t="s">
        <v>45</v>
      </c>
      <c r="G8534" s="3">
        <f t="shared" si="1015"/>
        <v>-128.184</v>
      </c>
      <c r="H8534" s="3">
        <f t="shared" si="1016"/>
        <v>128.184</v>
      </c>
      <c r="I8534" s="5" t="str">
        <f t="shared" si="1017"/>
        <v>019</v>
      </c>
      <c r="J8534" s="5" t="str">
        <f t="shared" si="1018"/>
        <v>2230</v>
      </c>
      <c r="K8534" s="5" t="str">
        <f t="shared" si="1019"/>
        <v>000</v>
      </c>
      <c r="L8534" s="5">
        <f t="shared" si="1020"/>
        <v>9</v>
      </c>
      <c r="M8534" s="5">
        <f t="shared" si="1021"/>
        <v>2013</v>
      </c>
    </row>
    <row r="8535" spans="1:13" ht="15" x14ac:dyDescent="0.25">
      <c r="A8535" s="1">
        <f>DATE(2013,9,22)</f>
        <v>41539</v>
      </c>
      <c r="B8535" t="s">
        <v>23</v>
      </c>
      <c r="C8535" t="s">
        <v>6</v>
      </c>
      <c r="D8535" s="3">
        <v>2446.422</v>
      </c>
      <c r="E8535" s="3">
        <v>0</v>
      </c>
      <c r="F8535" t="s">
        <v>45</v>
      </c>
      <c r="G8535" s="3">
        <f t="shared" si="1015"/>
        <v>-2446.422</v>
      </c>
      <c r="H8535" s="3">
        <f t="shared" si="1016"/>
        <v>2446.422</v>
      </c>
      <c r="I8535" s="5" t="str">
        <f t="shared" si="1017"/>
        <v>019</v>
      </c>
      <c r="J8535" s="5" t="str">
        <f t="shared" si="1018"/>
        <v>2100</v>
      </c>
      <c r="K8535" s="5" t="str">
        <f t="shared" si="1019"/>
        <v>000</v>
      </c>
      <c r="L8535" s="5">
        <f t="shared" si="1020"/>
        <v>9</v>
      </c>
      <c r="M8535" s="5">
        <f t="shared" si="1021"/>
        <v>2013</v>
      </c>
    </row>
    <row r="8536" spans="1:13" ht="15" x14ac:dyDescent="0.25">
      <c r="A8536" s="1">
        <f>DATE(2013,9,22)</f>
        <v>41539</v>
      </c>
      <c r="B8536" t="s">
        <v>24</v>
      </c>
      <c r="C8536" t="s">
        <v>8</v>
      </c>
      <c r="D8536" s="3">
        <v>1049.5847999999999</v>
      </c>
      <c r="E8536" s="3">
        <v>0</v>
      </c>
      <c r="F8536" t="s">
        <v>45</v>
      </c>
      <c r="G8536" s="3">
        <f t="shared" si="1015"/>
        <v>-1049.5847999999999</v>
      </c>
      <c r="H8536" s="3">
        <f t="shared" si="1016"/>
        <v>1049.5847999999999</v>
      </c>
      <c r="I8536" s="5" t="str">
        <f t="shared" si="1017"/>
        <v>019</v>
      </c>
      <c r="J8536" s="5" t="str">
        <f t="shared" si="1018"/>
        <v>2210</v>
      </c>
      <c r="K8536" s="5" t="str">
        <f t="shared" si="1019"/>
        <v>000</v>
      </c>
      <c r="L8536" s="5">
        <f t="shared" si="1020"/>
        <v>9</v>
      </c>
      <c r="M8536" s="5">
        <f t="shared" si="1021"/>
        <v>2013</v>
      </c>
    </row>
    <row r="8537" spans="1:13" ht="15" x14ac:dyDescent="0.25">
      <c r="A8537" s="1">
        <f>DATE(2013,9,22)</f>
        <v>41539</v>
      </c>
      <c r="B8537" t="s">
        <v>25</v>
      </c>
      <c r="C8537" t="s">
        <v>9</v>
      </c>
      <c r="D8537" s="3">
        <v>164.8</v>
      </c>
      <c r="E8537" s="3">
        <v>0</v>
      </c>
      <c r="F8537" t="s">
        <v>45</v>
      </c>
      <c r="G8537" s="3">
        <f t="shared" si="1015"/>
        <v>-164.8</v>
      </c>
      <c r="H8537" s="3">
        <f t="shared" si="1016"/>
        <v>164.8</v>
      </c>
      <c r="I8537" s="5" t="str">
        <f t="shared" si="1017"/>
        <v>019</v>
      </c>
      <c r="J8537" s="5" t="str">
        <f t="shared" si="1018"/>
        <v>2220</v>
      </c>
      <c r="K8537" s="5" t="str">
        <f t="shared" si="1019"/>
        <v>000</v>
      </c>
      <c r="L8537" s="5">
        <f t="shared" si="1020"/>
        <v>9</v>
      </c>
      <c r="M8537" s="5">
        <f t="shared" si="1021"/>
        <v>2013</v>
      </c>
    </row>
    <row r="8538" spans="1:13" ht="15" x14ac:dyDescent="0.25">
      <c r="A8538" s="1">
        <f>DATE(2013,9,22)</f>
        <v>41539</v>
      </c>
      <c r="B8538" t="s">
        <v>26</v>
      </c>
      <c r="C8538" t="s">
        <v>10</v>
      </c>
      <c r="D8538" s="3">
        <v>81.585600000000014</v>
      </c>
      <c r="E8538" s="3">
        <v>0</v>
      </c>
      <c r="F8538" t="s">
        <v>45</v>
      </c>
      <c r="G8538" s="3">
        <f t="shared" si="1015"/>
        <v>-81.585600000000014</v>
      </c>
      <c r="H8538" s="3">
        <f t="shared" si="1016"/>
        <v>81.585600000000014</v>
      </c>
      <c r="I8538" s="5" t="str">
        <f t="shared" si="1017"/>
        <v>019</v>
      </c>
      <c r="J8538" s="5" t="str">
        <f t="shared" si="1018"/>
        <v>2230</v>
      </c>
      <c r="K8538" s="5" t="str">
        <f t="shared" si="1019"/>
        <v>000</v>
      </c>
      <c r="L8538" s="5">
        <f t="shared" si="1020"/>
        <v>9</v>
      </c>
      <c r="M8538" s="5">
        <f t="shared" si="1021"/>
        <v>2013</v>
      </c>
    </row>
    <row r="8539" spans="1:13" ht="15" x14ac:dyDescent="0.25">
      <c r="A8539" s="1">
        <f>DATE(2013,9,23)</f>
        <v>41540</v>
      </c>
      <c r="B8539" t="s">
        <v>11</v>
      </c>
      <c r="C8539" t="s">
        <v>6</v>
      </c>
      <c r="D8539" s="3">
        <v>2686.3512000000001</v>
      </c>
      <c r="E8539" s="3">
        <v>0</v>
      </c>
      <c r="F8539" t="s">
        <v>45</v>
      </c>
      <c r="G8539" s="3">
        <f t="shared" si="1015"/>
        <v>-2686.3512000000001</v>
      </c>
      <c r="H8539" s="3">
        <f t="shared" si="1016"/>
        <v>2686.3512000000001</v>
      </c>
      <c r="I8539" s="5" t="str">
        <f t="shared" si="1017"/>
        <v>016</v>
      </c>
      <c r="J8539" s="5" t="str">
        <f t="shared" si="1018"/>
        <v>2100</v>
      </c>
      <c r="K8539" s="5" t="str">
        <f t="shared" si="1019"/>
        <v>000</v>
      </c>
      <c r="L8539" s="5">
        <f t="shared" si="1020"/>
        <v>9</v>
      </c>
      <c r="M8539" s="5">
        <f t="shared" si="1021"/>
        <v>2013</v>
      </c>
    </row>
    <row r="8540" spans="1:13" ht="15" x14ac:dyDescent="0.25">
      <c r="A8540" s="1">
        <f>DATE(2013,9,23)</f>
        <v>41540</v>
      </c>
      <c r="B8540" t="s">
        <v>12</v>
      </c>
      <c r="C8540" t="s">
        <v>8</v>
      </c>
      <c r="D8540" s="3">
        <v>739.63919999999996</v>
      </c>
      <c r="E8540" s="3">
        <v>0</v>
      </c>
      <c r="F8540" t="s">
        <v>45</v>
      </c>
      <c r="G8540" s="3">
        <f t="shared" si="1015"/>
        <v>-739.63919999999996</v>
      </c>
      <c r="H8540" s="3">
        <f t="shared" si="1016"/>
        <v>739.63919999999996</v>
      </c>
      <c r="I8540" s="5" t="str">
        <f t="shared" si="1017"/>
        <v>016</v>
      </c>
      <c r="J8540" s="5" t="str">
        <f t="shared" si="1018"/>
        <v>2210</v>
      </c>
      <c r="K8540" s="5" t="str">
        <f t="shared" si="1019"/>
        <v>000</v>
      </c>
      <c r="L8540" s="5">
        <f t="shared" si="1020"/>
        <v>9</v>
      </c>
      <c r="M8540" s="5">
        <f t="shared" si="1021"/>
        <v>2013</v>
      </c>
    </row>
    <row r="8541" spans="1:13" ht="15" x14ac:dyDescent="0.25">
      <c r="A8541" s="1">
        <f>DATE(2013,9,23)</f>
        <v>41540</v>
      </c>
      <c r="B8541" t="s">
        <v>13</v>
      </c>
      <c r="C8541" t="s">
        <v>9</v>
      </c>
      <c r="D8541" s="3">
        <v>143.18370000000002</v>
      </c>
      <c r="E8541" s="3">
        <v>0</v>
      </c>
      <c r="F8541" t="s">
        <v>45</v>
      </c>
      <c r="G8541" s="3">
        <f t="shared" si="1015"/>
        <v>-143.18370000000002</v>
      </c>
      <c r="H8541" s="3">
        <f t="shared" si="1016"/>
        <v>143.18370000000002</v>
      </c>
      <c r="I8541" s="5" t="str">
        <f t="shared" si="1017"/>
        <v>016</v>
      </c>
      <c r="J8541" s="5" t="str">
        <f t="shared" si="1018"/>
        <v>2220</v>
      </c>
      <c r="K8541" s="5" t="str">
        <f t="shared" si="1019"/>
        <v>000</v>
      </c>
      <c r="L8541" s="5">
        <f t="shared" si="1020"/>
        <v>9</v>
      </c>
      <c r="M8541" s="5">
        <f t="shared" si="1021"/>
        <v>2013</v>
      </c>
    </row>
    <row r="8542" spans="1:13" ht="15" x14ac:dyDescent="0.25">
      <c r="A8542" s="1">
        <f>DATE(2013,9,23)</f>
        <v>41540</v>
      </c>
      <c r="B8542" t="s">
        <v>14</v>
      </c>
      <c r="C8542" t="s">
        <v>10</v>
      </c>
      <c r="D8542" s="3">
        <v>4.41</v>
      </c>
      <c r="E8542" s="3">
        <v>0</v>
      </c>
      <c r="F8542" t="s">
        <v>45</v>
      </c>
      <c r="G8542" s="3">
        <f t="shared" si="1015"/>
        <v>-4.41</v>
      </c>
      <c r="H8542" s="3">
        <f t="shared" si="1016"/>
        <v>4.41</v>
      </c>
      <c r="I8542" s="5" t="str">
        <f t="shared" si="1017"/>
        <v>016</v>
      </c>
      <c r="J8542" s="5" t="str">
        <f t="shared" si="1018"/>
        <v>2230</v>
      </c>
      <c r="K8542" s="5" t="str">
        <f t="shared" si="1019"/>
        <v>000</v>
      </c>
      <c r="L8542" s="5">
        <f t="shared" si="1020"/>
        <v>9</v>
      </c>
      <c r="M8542" s="5">
        <f t="shared" si="1021"/>
        <v>2013</v>
      </c>
    </row>
    <row r="8543" spans="1:13" ht="15" x14ac:dyDescent="0.25">
      <c r="A8543" s="1">
        <f>DATE(2013,9,24)</f>
        <v>41541</v>
      </c>
      <c r="B8543" t="s">
        <v>11</v>
      </c>
      <c r="C8543" t="s">
        <v>6</v>
      </c>
      <c r="D8543" s="3">
        <v>4435.7143999999998</v>
      </c>
      <c r="E8543" s="3">
        <v>0</v>
      </c>
      <c r="F8543" t="s">
        <v>45</v>
      </c>
      <c r="G8543" s="3">
        <f t="shared" si="1015"/>
        <v>-4435.7143999999998</v>
      </c>
      <c r="H8543" s="3">
        <f t="shared" si="1016"/>
        <v>4435.7143999999998</v>
      </c>
      <c r="I8543" s="5" t="str">
        <f t="shared" si="1017"/>
        <v>016</v>
      </c>
      <c r="J8543" s="5" t="str">
        <f t="shared" si="1018"/>
        <v>2100</v>
      </c>
      <c r="K8543" s="5" t="str">
        <f t="shared" si="1019"/>
        <v>000</v>
      </c>
      <c r="L8543" s="5">
        <f t="shared" si="1020"/>
        <v>9</v>
      </c>
      <c r="M8543" s="5">
        <f t="shared" si="1021"/>
        <v>2013</v>
      </c>
    </row>
    <row r="8544" spans="1:13" ht="15" x14ac:dyDescent="0.25">
      <c r="A8544" s="1">
        <f>DATE(2013,9,24)</f>
        <v>41541</v>
      </c>
      <c r="B8544" t="s">
        <v>12</v>
      </c>
      <c r="C8544" t="s">
        <v>8</v>
      </c>
      <c r="D8544" s="3">
        <v>1789.8248000000001</v>
      </c>
      <c r="E8544" s="3">
        <v>0</v>
      </c>
      <c r="F8544" t="s">
        <v>45</v>
      </c>
      <c r="G8544" s="3">
        <f t="shared" si="1015"/>
        <v>-1789.8248000000001</v>
      </c>
      <c r="H8544" s="3">
        <f t="shared" si="1016"/>
        <v>1789.8248000000001</v>
      </c>
      <c r="I8544" s="5" t="str">
        <f t="shared" si="1017"/>
        <v>016</v>
      </c>
      <c r="J8544" s="5" t="str">
        <f t="shared" si="1018"/>
        <v>2210</v>
      </c>
      <c r="K8544" s="5" t="str">
        <f t="shared" si="1019"/>
        <v>000</v>
      </c>
      <c r="L8544" s="5">
        <f t="shared" si="1020"/>
        <v>9</v>
      </c>
      <c r="M8544" s="5">
        <f t="shared" si="1021"/>
        <v>2013</v>
      </c>
    </row>
    <row r="8545" spans="1:13" ht="15" x14ac:dyDescent="0.25">
      <c r="A8545" s="1">
        <f>DATE(2013,9,24)</f>
        <v>41541</v>
      </c>
      <c r="B8545" t="s">
        <v>13</v>
      </c>
      <c r="C8545" t="s">
        <v>9</v>
      </c>
      <c r="D8545" s="3">
        <v>823.36500000000001</v>
      </c>
      <c r="E8545" s="3">
        <v>0</v>
      </c>
      <c r="F8545" t="s">
        <v>45</v>
      </c>
      <c r="G8545" s="3">
        <f t="shared" si="1015"/>
        <v>-823.36500000000001</v>
      </c>
      <c r="H8545" s="3">
        <f t="shared" si="1016"/>
        <v>823.36500000000001</v>
      </c>
      <c r="I8545" s="5" t="str">
        <f t="shared" si="1017"/>
        <v>016</v>
      </c>
      <c r="J8545" s="5" t="str">
        <f t="shared" si="1018"/>
        <v>2220</v>
      </c>
      <c r="K8545" s="5" t="str">
        <f t="shared" si="1019"/>
        <v>000</v>
      </c>
      <c r="L8545" s="5">
        <f t="shared" si="1020"/>
        <v>9</v>
      </c>
      <c r="M8545" s="5">
        <f t="shared" si="1021"/>
        <v>2013</v>
      </c>
    </row>
    <row r="8546" spans="1:13" ht="15" x14ac:dyDescent="0.25">
      <c r="A8546" s="1">
        <f>DATE(2013,9,24)</f>
        <v>41541</v>
      </c>
      <c r="B8546" t="s">
        <v>14</v>
      </c>
      <c r="C8546" t="s">
        <v>10</v>
      </c>
      <c r="D8546" s="3">
        <v>117.7914</v>
      </c>
      <c r="E8546" s="3">
        <v>0</v>
      </c>
      <c r="F8546" t="s">
        <v>45</v>
      </c>
      <c r="G8546" s="3">
        <f t="shared" si="1015"/>
        <v>-117.7914</v>
      </c>
      <c r="H8546" s="3">
        <f t="shared" si="1016"/>
        <v>117.7914</v>
      </c>
      <c r="I8546" s="5" t="str">
        <f t="shared" si="1017"/>
        <v>016</v>
      </c>
      <c r="J8546" s="5" t="str">
        <f t="shared" si="1018"/>
        <v>2230</v>
      </c>
      <c r="K8546" s="5" t="str">
        <f t="shared" si="1019"/>
        <v>000</v>
      </c>
      <c r="L8546" s="5">
        <f t="shared" si="1020"/>
        <v>9</v>
      </c>
      <c r="M8546" s="5">
        <f t="shared" si="1021"/>
        <v>2013</v>
      </c>
    </row>
    <row r="8547" spans="1:13" ht="15" x14ac:dyDescent="0.25">
      <c r="A8547" s="1">
        <f t="shared" ref="A8547:A8550" si="1022">DATE(2013,9,25)</f>
        <v>41542</v>
      </c>
      <c r="B8547" t="s">
        <v>11</v>
      </c>
      <c r="C8547" t="s">
        <v>6</v>
      </c>
      <c r="D8547" s="3">
        <v>2067.4816000000001</v>
      </c>
      <c r="E8547" s="3">
        <v>0</v>
      </c>
      <c r="F8547" t="s">
        <v>45</v>
      </c>
      <c r="G8547" s="3">
        <f t="shared" si="1015"/>
        <v>-2067.4816000000001</v>
      </c>
      <c r="H8547" s="3">
        <f t="shared" si="1016"/>
        <v>2067.4816000000001</v>
      </c>
      <c r="I8547" s="5" t="str">
        <f t="shared" si="1017"/>
        <v>016</v>
      </c>
      <c r="J8547" s="5" t="str">
        <f t="shared" si="1018"/>
        <v>2100</v>
      </c>
      <c r="K8547" s="5" t="str">
        <f t="shared" si="1019"/>
        <v>000</v>
      </c>
      <c r="L8547" s="5">
        <f t="shared" si="1020"/>
        <v>9</v>
      </c>
      <c r="M8547" s="5">
        <f t="shared" si="1021"/>
        <v>2013</v>
      </c>
    </row>
    <row r="8548" spans="1:13" ht="15" x14ac:dyDescent="0.25">
      <c r="A8548" s="1">
        <f t="shared" si="1022"/>
        <v>41542</v>
      </c>
      <c r="B8548" t="s">
        <v>12</v>
      </c>
      <c r="C8548" t="s">
        <v>8</v>
      </c>
      <c r="D8548" s="3">
        <v>621.28000000000009</v>
      </c>
      <c r="E8548" s="3">
        <v>0</v>
      </c>
      <c r="F8548" t="s">
        <v>45</v>
      </c>
      <c r="G8548" s="3">
        <f t="shared" si="1015"/>
        <v>-621.28000000000009</v>
      </c>
      <c r="H8548" s="3">
        <f t="shared" si="1016"/>
        <v>621.28000000000009</v>
      </c>
      <c r="I8548" s="5" t="str">
        <f t="shared" si="1017"/>
        <v>016</v>
      </c>
      <c r="J8548" s="5" t="str">
        <f t="shared" si="1018"/>
        <v>2210</v>
      </c>
      <c r="K8548" s="5" t="str">
        <f t="shared" si="1019"/>
        <v>000</v>
      </c>
      <c r="L8548" s="5">
        <f t="shared" si="1020"/>
        <v>9</v>
      </c>
      <c r="M8548" s="5">
        <f t="shared" si="1021"/>
        <v>2013</v>
      </c>
    </row>
    <row r="8549" spans="1:13" ht="15" x14ac:dyDescent="0.25">
      <c r="A8549" s="1">
        <f t="shared" si="1022"/>
        <v>41542</v>
      </c>
      <c r="B8549" t="s">
        <v>13</v>
      </c>
      <c r="C8549" t="s">
        <v>9</v>
      </c>
      <c r="D8549" s="3">
        <v>94.781999999999996</v>
      </c>
      <c r="E8549" s="3">
        <v>0</v>
      </c>
      <c r="F8549" t="s">
        <v>45</v>
      </c>
      <c r="G8549" s="3">
        <f t="shared" si="1015"/>
        <v>-94.781999999999996</v>
      </c>
      <c r="H8549" s="3">
        <f t="shared" si="1016"/>
        <v>94.781999999999996</v>
      </c>
      <c r="I8549" s="5" t="str">
        <f t="shared" si="1017"/>
        <v>016</v>
      </c>
      <c r="J8549" s="5" t="str">
        <f t="shared" si="1018"/>
        <v>2220</v>
      </c>
      <c r="K8549" s="5" t="str">
        <f t="shared" si="1019"/>
        <v>000</v>
      </c>
      <c r="L8549" s="5">
        <f t="shared" si="1020"/>
        <v>9</v>
      </c>
      <c r="M8549" s="5">
        <f t="shared" si="1021"/>
        <v>2013</v>
      </c>
    </row>
    <row r="8550" spans="1:13" ht="15" x14ac:dyDescent="0.25">
      <c r="A8550" s="1">
        <f t="shared" si="1022"/>
        <v>41542</v>
      </c>
      <c r="B8550" t="s">
        <v>14</v>
      </c>
      <c r="C8550" t="s">
        <v>10</v>
      </c>
      <c r="D8550" s="3">
        <v>113.97750000000001</v>
      </c>
      <c r="E8550" s="3">
        <v>0</v>
      </c>
      <c r="F8550" t="s">
        <v>45</v>
      </c>
      <c r="G8550" s="3">
        <f t="shared" si="1015"/>
        <v>-113.97750000000001</v>
      </c>
      <c r="H8550" s="3">
        <f t="shared" si="1016"/>
        <v>113.97750000000001</v>
      </c>
      <c r="I8550" s="5" t="str">
        <f t="shared" si="1017"/>
        <v>016</v>
      </c>
      <c r="J8550" s="5" t="str">
        <f t="shared" si="1018"/>
        <v>2230</v>
      </c>
      <c r="K8550" s="5" t="str">
        <f t="shared" si="1019"/>
        <v>000</v>
      </c>
      <c r="L8550" s="5">
        <f t="shared" si="1020"/>
        <v>9</v>
      </c>
      <c r="M8550" s="5">
        <f t="shared" si="1021"/>
        <v>2013</v>
      </c>
    </row>
    <row r="8551" spans="1:13" ht="15" x14ac:dyDescent="0.25">
      <c r="A8551" s="1">
        <f>DATE(2013,9,26)</f>
        <v>41543</v>
      </c>
      <c r="B8551" t="s">
        <v>11</v>
      </c>
      <c r="C8551" t="s">
        <v>6</v>
      </c>
      <c r="D8551" s="3">
        <v>1854.8585</v>
      </c>
      <c r="E8551" s="3">
        <v>0</v>
      </c>
      <c r="F8551" t="s">
        <v>45</v>
      </c>
      <c r="G8551" s="3">
        <f t="shared" si="1015"/>
        <v>-1854.8585</v>
      </c>
      <c r="H8551" s="3">
        <f t="shared" si="1016"/>
        <v>1854.8585</v>
      </c>
      <c r="I8551" s="5" t="str">
        <f t="shared" si="1017"/>
        <v>016</v>
      </c>
      <c r="J8551" s="5" t="str">
        <f t="shared" si="1018"/>
        <v>2100</v>
      </c>
      <c r="K8551" s="5" t="str">
        <f t="shared" si="1019"/>
        <v>000</v>
      </c>
      <c r="L8551" s="5">
        <f t="shared" si="1020"/>
        <v>9</v>
      </c>
      <c r="M8551" s="5">
        <f t="shared" si="1021"/>
        <v>2013</v>
      </c>
    </row>
    <row r="8552" spans="1:13" ht="15" x14ac:dyDescent="0.25">
      <c r="A8552" s="1">
        <f>DATE(2013,9,26)</f>
        <v>41543</v>
      </c>
      <c r="B8552" t="s">
        <v>12</v>
      </c>
      <c r="C8552" t="s">
        <v>8</v>
      </c>
      <c r="D8552" s="3">
        <v>616.69299999999998</v>
      </c>
      <c r="E8552" s="3">
        <v>0</v>
      </c>
      <c r="F8552" t="s">
        <v>45</v>
      </c>
      <c r="G8552" s="3">
        <f t="shared" si="1015"/>
        <v>-616.69299999999998</v>
      </c>
      <c r="H8552" s="3">
        <f t="shared" si="1016"/>
        <v>616.69299999999998</v>
      </c>
      <c r="I8552" s="5" t="str">
        <f t="shared" si="1017"/>
        <v>016</v>
      </c>
      <c r="J8552" s="5" t="str">
        <f t="shared" si="1018"/>
        <v>2210</v>
      </c>
      <c r="K8552" s="5" t="str">
        <f t="shared" si="1019"/>
        <v>000</v>
      </c>
      <c r="L8552" s="5">
        <f t="shared" si="1020"/>
        <v>9</v>
      </c>
      <c r="M8552" s="5">
        <f t="shared" si="1021"/>
        <v>2013</v>
      </c>
    </row>
    <row r="8553" spans="1:13" ht="15" x14ac:dyDescent="0.25">
      <c r="A8553" s="1">
        <f>DATE(2013,9,26)</f>
        <v>41543</v>
      </c>
      <c r="B8553" t="s">
        <v>13</v>
      </c>
      <c r="C8553" t="s">
        <v>9</v>
      </c>
      <c r="D8553" s="3">
        <v>121.33710000000001</v>
      </c>
      <c r="E8553" s="3">
        <v>0</v>
      </c>
      <c r="F8553" t="s">
        <v>45</v>
      </c>
      <c r="G8553" s="3">
        <f t="shared" si="1015"/>
        <v>-121.33710000000001</v>
      </c>
      <c r="H8553" s="3">
        <f t="shared" si="1016"/>
        <v>121.33710000000001</v>
      </c>
      <c r="I8553" s="5" t="str">
        <f t="shared" si="1017"/>
        <v>016</v>
      </c>
      <c r="J8553" s="5" t="str">
        <f t="shared" si="1018"/>
        <v>2220</v>
      </c>
      <c r="K8553" s="5" t="str">
        <f t="shared" si="1019"/>
        <v>000</v>
      </c>
      <c r="L8553" s="5">
        <f t="shared" si="1020"/>
        <v>9</v>
      </c>
      <c r="M8553" s="5">
        <f t="shared" si="1021"/>
        <v>2013</v>
      </c>
    </row>
    <row r="8554" spans="1:13" ht="15" x14ac:dyDescent="0.25">
      <c r="A8554" s="1">
        <f>DATE(2013,9,26)</f>
        <v>41543</v>
      </c>
      <c r="B8554" t="s">
        <v>14</v>
      </c>
      <c r="C8554" t="s">
        <v>10</v>
      </c>
      <c r="D8554" s="3">
        <v>13.92</v>
      </c>
      <c r="E8554" s="3">
        <v>0</v>
      </c>
      <c r="F8554" t="s">
        <v>45</v>
      </c>
      <c r="G8554" s="3">
        <f t="shared" si="1015"/>
        <v>-13.92</v>
      </c>
      <c r="H8554" s="3">
        <f t="shared" si="1016"/>
        <v>13.92</v>
      </c>
      <c r="I8554" s="5" t="str">
        <f t="shared" si="1017"/>
        <v>016</v>
      </c>
      <c r="J8554" s="5" t="str">
        <f t="shared" si="1018"/>
        <v>2230</v>
      </c>
      <c r="K8554" s="5" t="str">
        <f t="shared" si="1019"/>
        <v>000</v>
      </c>
      <c r="L8554" s="5">
        <f t="shared" si="1020"/>
        <v>9</v>
      </c>
      <c r="M8554" s="5">
        <f t="shared" si="1021"/>
        <v>2013</v>
      </c>
    </row>
    <row r="8555" spans="1:13" ht="15" x14ac:dyDescent="0.25">
      <c r="A8555" s="1">
        <f>DATE(2013,9,27)</f>
        <v>41544</v>
      </c>
      <c r="B8555" t="s">
        <v>11</v>
      </c>
      <c r="C8555" t="s">
        <v>6</v>
      </c>
      <c r="D8555" s="3">
        <v>5125.3360000000002</v>
      </c>
      <c r="E8555" s="3">
        <v>0</v>
      </c>
      <c r="F8555" t="s">
        <v>45</v>
      </c>
      <c r="G8555" s="3">
        <f t="shared" si="1015"/>
        <v>-5125.3360000000002</v>
      </c>
      <c r="H8555" s="3">
        <f t="shared" si="1016"/>
        <v>5125.3360000000002</v>
      </c>
      <c r="I8555" s="5" t="str">
        <f t="shared" si="1017"/>
        <v>016</v>
      </c>
      <c r="J8555" s="5" t="str">
        <f t="shared" si="1018"/>
        <v>2100</v>
      </c>
      <c r="K8555" s="5" t="str">
        <f t="shared" si="1019"/>
        <v>000</v>
      </c>
      <c r="L8555" s="5">
        <f t="shared" si="1020"/>
        <v>9</v>
      </c>
      <c r="M8555" s="5">
        <f t="shared" si="1021"/>
        <v>2013</v>
      </c>
    </row>
    <row r="8556" spans="1:13" ht="15" x14ac:dyDescent="0.25">
      <c r="A8556" s="1">
        <f>DATE(2013,9,27)</f>
        <v>41544</v>
      </c>
      <c r="B8556" t="s">
        <v>12</v>
      </c>
      <c r="C8556" t="s">
        <v>8</v>
      </c>
      <c r="D8556" s="3">
        <v>1157.8808999999999</v>
      </c>
      <c r="E8556" s="3">
        <v>0</v>
      </c>
      <c r="F8556" t="s">
        <v>45</v>
      </c>
      <c r="G8556" s="3">
        <f t="shared" si="1015"/>
        <v>-1157.8808999999999</v>
      </c>
      <c r="H8556" s="3">
        <f t="shared" si="1016"/>
        <v>1157.8808999999999</v>
      </c>
      <c r="I8556" s="5" t="str">
        <f t="shared" si="1017"/>
        <v>016</v>
      </c>
      <c r="J8556" s="5" t="str">
        <f t="shared" si="1018"/>
        <v>2210</v>
      </c>
      <c r="K8556" s="5" t="str">
        <f t="shared" si="1019"/>
        <v>000</v>
      </c>
      <c r="L8556" s="5">
        <f t="shared" si="1020"/>
        <v>9</v>
      </c>
      <c r="M8556" s="5">
        <f t="shared" si="1021"/>
        <v>2013</v>
      </c>
    </row>
    <row r="8557" spans="1:13" ht="15" x14ac:dyDescent="0.25">
      <c r="A8557" s="1">
        <f>DATE(2013,9,27)</f>
        <v>41544</v>
      </c>
      <c r="B8557" t="s">
        <v>13</v>
      </c>
      <c r="C8557" t="s">
        <v>9</v>
      </c>
      <c r="D8557" s="3">
        <v>296.48079999999999</v>
      </c>
      <c r="E8557" s="3">
        <v>0</v>
      </c>
      <c r="F8557" t="s">
        <v>45</v>
      </c>
      <c r="G8557" s="3">
        <f t="shared" si="1015"/>
        <v>-296.48079999999999</v>
      </c>
      <c r="H8557" s="3">
        <f t="shared" si="1016"/>
        <v>296.48079999999999</v>
      </c>
      <c r="I8557" s="5" t="str">
        <f t="shared" si="1017"/>
        <v>016</v>
      </c>
      <c r="J8557" s="5" t="str">
        <f t="shared" si="1018"/>
        <v>2220</v>
      </c>
      <c r="K8557" s="5" t="str">
        <f t="shared" si="1019"/>
        <v>000</v>
      </c>
      <c r="L8557" s="5">
        <f t="shared" si="1020"/>
        <v>9</v>
      </c>
      <c r="M8557" s="5">
        <f t="shared" si="1021"/>
        <v>2013</v>
      </c>
    </row>
    <row r="8558" spans="1:13" ht="15" x14ac:dyDescent="0.25">
      <c r="A8558" s="1">
        <f>DATE(2013,9,27)</f>
        <v>41544</v>
      </c>
      <c r="B8558" t="s">
        <v>14</v>
      </c>
      <c r="C8558" t="s">
        <v>10</v>
      </c>
      <c r="D8558" s="3">
        <v>146.17360000000002</v>
      </c>
      <c r="E8558" s="3">
        <v>0</v>
      </c>
      <c r="F8558" t="s">
        <v>45</v>
      </c>
      <c r="G8558" s="3">
        <f t="shared" si="1015"/>
        <v>-146.17360000000002</v>
      </c>
      <c r="H8558" s="3">
        <f t="shared" si="1016"/>
        <v>146.17360000000002</v>
      </c>
      <c r="I8558" s="5" t="str">
        <f t="shared" si="1017"/>
        <v>016</v>
      </c>
      <c r="J8558" s="5" t="str">
        <f t="shared" si="1018"/>
        <v>2230</v>
      </c>
      <c r="K8558" s="5" t="str">
        <f t="shared" si="1019"/>
        <v>000</v>
      </c>
      <c r="L8558" s="5">
        <f t="shared" si="1020"/>
        <v>9</v>
      </c>
      <c r="M8558" s="5">
        <f t="shared" si="1021"/>
        <v>2013</v>
      </c>
    </row>
    <row r="8559" spans="1:13" ht="15" x14ac:dyDescent="0.25">
      <c r="A8559" s="1">
        <f>DATE(2013,9,28)</f>
        <v>41545</v>
      </c>
      <c r="B8559" t="s">
        <v>11</v>
      </c>
      <c r="C8559" t="s">
        <v>6</v>
      </c>
      <c r="D8559" s="3">
        <v>5981.0944</v>
      </c>
      <c r="E8559" s="3">
        <v>0</v>
      </c>
      <c r="F8559" t="s">
        <v>45</v>
      </c>
      <c r="G8559" s="3">
        <f t="shared" si="1015"/>
        <v>-5981.0944</v>
      </c>
      <c r="H8559" s="3">
        <f t="shared" si="1016"/>
        <v>5981.0944</v>
      </c>
      <c r="I8559" s="5" t="str">
        <f t="shared" si="1017"/>
        <v>016</v>
      </c>
      <c r="J8559" s="5" t="str">
        <f t="shared" si="1018"/>
        <v>2100</v>
      </c>
      <c r="K8559" s="5" t="str">
        <f t="shared" si="1019"/>
        <v>000</v>
      </c>
      <c r="L8559" s="5">
        <f t="shared" si="1020"/>
        <v>9</v>
      </c>
      <c r="M8559" s="5">
        <f t="shared" si="1021"/>
        <v>2013</v>
      </c>
    </row>
    <row r="8560" spans="1:13" ht="15" x14ac:dyDescent="0.25">
      <c r="A8560" s="1">
        <f>DATE(2013,9,28)</f>
        <v>41545</v>
      </c>
      <c r="B8560" t="s">
        <v>12</v>
      </c>
      <c r="C8560" t="s">
        <v>8</v>
      </c>
      <c r="D8560" s="3">
        <v>1728.3994</v>
      </c>
      <c r="E8560" s="3">
        <v>0</v>
      </c>
      <c r="F8560" t="s">
        <v>45</v>
      </c>
      <c r="G8560" s="3">
        <f t="shared" si="1015"/>
        <v>-1728.3994</v>
      </c>
      <c r="H8560" s="3">
        <f t="shared" si="1016"/>
        <v>1728.3994</v>
      </c>
      <c r="I8560" s="5" t="str">
        <f t="shared" si="1017"/>
        <v>016</v>
      </c>
      <c r="J8560" s="5" t="str">
        <f t="shared" si="1018"/>
        <v>2210</v>
      </c>
      <c r="K8560" s="5" t="str">
        <f t="shared" si="1019"/>
        <v>000</v>
      </c>
      <c r="L8560" s="5">
        <f t="shared" si="1020"/>
        <v>9</v>
      </c>
      <c r="M8560" s="5">
        <f t="shared" si="1021"/>
        <v>2013</v>
      </c>
    </row>
    <row r="8561" spans="1:13" ht="15" x14ac:dyDescent="0.25">
      <c r="A8561" s="1">
        <f>DATE(2013,9,28)</f>
        <v>41545</v>
      </c>
      <c r="B8561" t="s">
        <v>13</v>
      </c>
      <c r="C8561" t="s">
        <v>9</v>
      </c>
      <c r="D8561" s="3">
        <v>451.65899999999999</v>
      </c>
      <c r="E8561" s="3">
        <v>0</v>
      </c>
      <c r="F8561" t="s">
        <v>45</v>
      </c>
      <c r="G8561" s="3">
        <f t="shared" si="1015"/>
        <v>-451.65899999999999</v>
      </c>
      <c r="H8561" s="3">
        <f t="shared" si="1016"/>
        <v>451.65899999999999</v>
      </c>
      <c r="I8561" s="5" t="str">
        <f t="shared" si="1017"/>
        <v>016</v>
      </c>
      <c r="J8561" s="5" t="str">
        <f t="shared" si="1018"/>
        <v>2220</v>
      </c>
      <c r="K8561" s="5" t="str">
        <f t="shared" si="1019"/>
        <v>000</v>
      </c>
      <c r="L8561" s="5">
        <f t="shared" si="1020"/>
        <v>9</v>
      </c>
      <c r="M8561" s="5">
        <f t="shared" si="1021"/>
        <v>2013</v>
      </c>
    </row>
    <row r="8562" spans="1:13" ht="15" x14ac:dyDescent="0.25">
      <c r="A8562" s="1">
        <f>DATE(2013,9,28)</f>
        <v>41545</v>
      </c>
      <c r="B8562" t="s">
        <v>14</v>
      </c>
      <c r="C8562" t="s">
        <v>10</v>
      </c>
      <c r="D8562" s="3">
        <v>182.52800000000002</v>
      </c>
      <c r="E8562" s="3">
        <v>0</v>
      </c>
      <c r="F8562" t="s">
        <v>45</v>
      </c>
      <c r="G8562" s="3">
        <f t="shared" si="1015"/>
        <v>-182.52800000000002</v>
      </c>
      <c r="H8562" s="3">
        <f t="shared" si="1016"/>
        <v>182.52800000000002</v>
      </c>
      <c r="I8562" s="5" t="str">
        <f t="shared" si="1017"/>
        <v>016</v>
      </c>
      <c r="J8562" s="5" t="str">
        <f t="shared" si="1018"/>
        <v>2230</v>
      </c>
      <c r="K8562" s="5" t="str">
        <f t="shared" si="1019"/>
        <v>000</v>
      </c>
      <c r="L8562" s="5">
        <f t="shared" si="1020"/>
        <v>9</v>
      </c>
      <c r="M8562" s="5">
        <f t="shared" si="1021"/>
        <v>2013</v>
      </c>
    </row>
    <row r="8563" spans="1:13" ht="15" x14ac:dyDescent="0.25">
      <c r="A8563" s="1">
        <f>DATE(2013,9,29)</f>
        <v>41546</v>
      </c>
      <c r="B8563" t="s">
        <v>11</v>
      </c>
      <c r="C8563" t="s">
        <v>6</v>
      </c>
      <c r="D8563" s="3">
        <v>3933.2046</v>
      </c>
      <c r="E8563" s="3">
        <v>0</v>
      </c>
      <c r="F8563" t="s">
        <v>45</v>
      </c>
      <c r="G8563" s="3">
        <f t="shared" si="1015"/>
        <v>-3933.2046</v>
      </c>
      <c r="H8563" s="3">
        <f t="shared" si="1016"/>
        <v>3933.2046</v>
      </c>
      <c r="I8563" s="5" t="str">
        <f t="shared" si="1017"/>
        <v>016</v>
      </c>
      <c r="J8563" s="5" t="str">
        <f t="shared" si="1018"/>
        <v>2100</v>
      </c>
      <c r="K8563" s="5" t="str">
        <f t="shared" si="1019"/>
        <v>000</v>
      </c>
      <c r="L8563" s="5">
        <f t="shared" si="1020"/>
        <v>9</v>
      </c>
      <c r="M8563" s="5">
        <f t="shared" si="1021"/>
        <v>2013</v>
      </c>
    </row>
    <row r="8564" spans="1:13" ht="15" x14ac:dyDescent="0.25">
      <c r="A8564" s="1">
        <f>DATE(2013,9,29)</f>
        <v>41546</v>
      </c>
      <c r="B8564" t="s">
        <v>12</v>
      </c>
      <c r="C8564" t="s">
        <v>8</v>
      </c>
      <c r="D8564" s="3">
        <v>1125.6634999999999</v>
      </c>
      <c r="E8564" s="3">
        <v>0</v>
      </c>
      <c r="F8564" t="s">
        <v>45</v>
      </c>
      <c r="G8564" s="3">
        <f t="shared" si="1015"/>
        <v>-1125.6634999999999</v>
      </c>
      <c r="H8564" s="3">
        <f t="shared" si="1016"/>
        <v>1125.6634999999999</v>
      </c>
      <c r="I8564" s="5" t="str">
        <f t="shared" si="1017"/>
        <v>016</v>
      </c>
      <c r="J8564" s="5" t="str">
        <f t="shared" si="1018"/>
        <v>2210</v>
      </c>
      <c r="K8564" s="5" t="str">
        <f t="shared" si="1019"/>
        <v>000</v>
      </c>
      <c r="L8564" s="5">
        <f t="shared" si="1020"/>
        <v>9</v>
      </c>
      <c r="M8564" s="5">
        <f t="shared" si="1021"/>
        <v>2013</v>
      </c>
    </row>
    <row r="8565" spans="1:13" ht="15" x14ac:dyDescent="0.25">
      <c r="A8565" s="1">
        <f>DATE(2013,9,29)</f>
        <v>41546</v>
      </c>
      <c r="B8565" t="s">
        <v>13</v>
      </c>
      <c r="C8565" t="s">
        <v>9</v>
      </c>
      <c r="D8565" s="3">
        <v>206.60640000000001</v>
      </c>
      <c r="E8565" s="3">
        <v>0</v>
      </c>
      <c r="F8565" t="s">
        <v>45</v>
      </c>
      <c r="G8565" s="3">
        <f t="shared" si="1015"/>
        <v>-206.60640000000001</v>
      </c>
      <c r="H8565" s="3">
        <f t="shared" si="1016"/>
        <v>206.60640000000001</v>
      </c>
      <c r="I8565" s="5" t="str">
        <f t="shared" si="1017"/>
        <v>016</v>
      </c>
      <c r="J8565" s="5" t="str">
        <f t="shared" si="1018"/>
        <v>2220</v>
      </c>
      <c r="K8565" s="5" t="str">
        <f t="shared" si="1019"/>
        <v>000</v>
      </c>
      <c r="L8565" s="5">
        <f t="shared" si="1020"/>
        <v>9</v>
      </c>
      <c r="M8565" s="5">
        <f t="shared" si="1021"/>
        <v>2013</v>
      </c>
    </row>
    <row r="8566" spans="1:13" ht="15" x14ac:dyDescent="0.25">
      <c r="A8566" s="1">
        <f>DATE(2013,9,29)</f>
        <v>41546</v>
      </c>
      <c r="B8566" t="s">
        <v>14</v>
      </c>
      <c r="C8566" t="s">
        <v>10</v>
      </c>
      <c r="D8566" s="3">
        <v>83.260099999999994</v>
      </c>
      <c r="E8566" s="3">
        <v>0</v>
      </c>
      <c r="F8566" t="s">
        <v>45</v>
      </c>
      <c r="G8566" s="3">
        <f t="shared" si="1015"/>
        <v>-83.260099999999994</v>
      </c>
      <c r="H8566" s="3">
        <f t="shared" si="1016"/>
        <v>83.260099999999994</v>
      </c>
      <c r="I8566" s="5" t="str">
        <f t="shared" si="1017"/>
        <v>016</v>
      </c>
      <c r="J8566" s="5" t="str">
        <f t="shared" si="1018"/>
        <v>2230</v>
      </c>
      <c r="K8566" s="5" t="str">
        <f t="shared" si="1019"/>
        <v>000</v>
      </c>
      <c r="L8566" s="5">
        <f t="shared" si="1020"/>
        <v>9</v>
      </c>
      <c r="M8566" s="5">
        <f t="shared" si="1021"/>
        <v>2013</v>
      </c>
    </row>
    <row r="8567" spans="1:13" ht="15" x14ac:dyDescent="0.25">
      <c r="A8567" s="1">
        <f>DATE(2013,9,23)</f>
        <v>41540</v>
      </c>
      <c r="B8567" t="s">
        <v>15</v>
      </c>
      <c r="C8567" t="s">
        <v>6</v>
      </c>
      <c r="D8567" s="3">
        <v>4732.6509999999998</v>
      </c>
      <c r="E8567" s="3">
        <v>0</v>
      </c>
      <c r="F8567" t="s">
        <v>45</v>
      </c>
      <c r="G8567" s="3">
        <f t="shared" si="1015"/>
        <v>-4732.6509999999998</v>
      </c>
      <c r="H8567" s="3">
        <f t="shared" si="1016"/>
        <v>4732.6509999999998</v>
      </c>
      <c r="I8567" s="5" t="str">
        <f t="shared" si="1017"/>
        <v>017</v>
      </c>
      <c r="J8567" s="5" t="str">
        <f t="shared" si="1018"/>
        <v>2100</v>
      </c>
      <c r="K8567" s="5" t="str">
        <f t="shared" si="1019"/>
        <v>000</v>
      </c>
      <c r="L8567" s="5">
        <f t="shared" si="1020"/>
        <v>9</v>
      </c>
      <c r="M8567" s="5">
        <f t="shared" si="1021"/>
        <v>2013</v>
      </c>
    </row>
    <row r="8568" spans="1:13" ht="15" x14ac:dyDescent="0.25">
      <c r="A8568" s="1">
        <f>DATE(2013,9,23)</f>
        <v>41540</v>
      </c>
      <c r="B8568" t="s">
        <v>16</v>
      </c>
      <c r="C8568" t="s">
        <v>8</v>
      </c>
      <c r="D8568" s="3">
        <v>880.19999999999993</v>
      </c>
      <c r="E8568" s="3">
        <v>0</v>
      </c>
      <c r="F8568" t="s">
        <v>45</v>
      </c>
      <c r="G8568" s="3">
        <f t="shared" si="1015"/>
        <v>-880.19999999999993</v>
      </c>
      <c r="H8568" s="3">
        <f t="shared" si="1016"/>
        <v>880.19999999999993</v>
      </c>
      <c r="I8568" s="5" t="str">
        <f t="shared" si="1017"/>
        <v>017</v>
      </c>
      <c r="J8568" s="5" t="str">
        <f t="shared" si="1018"/>
        <v>2210</v>
      </c>
      <c r="K8568" s="5" t="str">
        <f t="shared" si="1019"/>
        <v>000</v>
      </c>
      <c r="L8568" s="5">
        <f t="shared" si="1020"/>
        <v>9</v>
      </c>
      <c r="M8568" s="5">
        <f t="shared" si="1021"/>
        <v>2013</v>
      </c>
    </row>
    <row r="8569" spans="1:13" ht="15" x14ac:dyDescent="0.25">
      <c r="A8569" s="1">
        <f>DATE(2013,9,23)</f>
        <v>41540</v>
      </c>
      <c r="B8569" t="s">
        <v>17</v>
      </c>
      <c r="C8569" t="s">
        <v>9</v>
      </c>
      <c r="D8569" s="3">
        <v>432</v>
      </c>
      <c r="E8569" s="3">
        <v>0</v>
      </c>
      <c r="F8569" t="s">
        <v>45</v>
      </c>
      <c r="G8569" s="3">
        <f t="shared" si="1015"/>
        <v>-432</v>
      </c>
      <c r="H8569" s="3">
        <f t="shared" si="1016"/>
        <v>432</v>
      </c>
      <c r="I8569" s="5" t="str">
        <f t="shared" si="1017"/>
        <v>017</v>
      </c>
      <c r="J8569" s="5" t="str">
        <f t="shared" si="1018"/>
        <v>2220</v>
      </c>
      <c r="K8569" s="5" t="str">
        <f t="shared" si="1019"/>
        <v>000</v>
      </c>
      <c r="L8569" s="5">
        <f t="shared" si="1020"/>
        <v>9</v>
      </c>
      <c r="M8569" s="5">
        <f t="shared" si="1021"/>
        <v>2013</v>
      </c>
    </row>
    <row r="8570" spans="1:13" ht="15" x14ac:dyDescent="0.25">
      <c r="A8570" s="1">
        <f>DATE(2013,9,23)</f>
        <v>41540</v>
      </c>
      <c r="B8570" t="s">
        <v>18</v>
      </c>
      <c r="C8570" t="s">
        <v>10</v>
      </c>
      <c r="D8570" s="3">
        <v>49.896000000000001</v>
      </c>
      <c r="E8570" s="3">
        <v>0</v>
      </c>
      <c r="F8570" t="s">
        <v>45</v>
      </c>
      <c r="G8570" s="3">
        <f t="shared" si="1015"/>
        <v>-49.896000000000001</v>
      </c>
      <c r="H8570" s="3">
        <f t="shared" si="1016"/>
        <v>49.896000000000001</v>
      </c>
      <c r="I8570" s="5" t="str">
        <f t="shared" si="1017"/>
        <v>017</v>
      </c>
      <c r="J8570" s="5" t="str">
        <f t="shared" si="1018"/>
        <v>2230</v>
      </c>
      <c r="K8570" s="5" t="str">
        <f t="shared" si="1019"/>
        <v>000</v>
      </c>
      <c r="L8570" s="5">
        <f t="shared" si="1020"/>
        <v>9</v>
      </c>
      <c r="M8570" s="5">
        <f t="shared" si="1021"/>
        <v>2013</v>
      </c>
    </row>
    <row r="8571" spans="1:13" ht="15" x14ac:dyDescent="0.25">
      <c r="A8571" s="1">
        <f>DATE(2013,9,24)</f>
        <v>41541</v>
      </c>
      <c r="B8571" t="s">
        <v>15</v>
      </c>
      <c r="C8571" t="s">
        <v>6</v>
      </c>
      <c r="D8571" s="3">
        <v>4586.1060000000007</v>
      </c>
      <c r="E8571" s="3">
        <v>0</v>
      </c>
      <c r="F8571" t="s">
        <v>45</v>
      </c>
      <c r="G8571" s="3">
        <f t="shared" si="1015"/>
        <v>-4586.1060000000007</v>
      </c>
      <c r="H8571" s="3">
        <f t="shared" si="1016"/>
        <v>4586.1060000000007</v>
      </c>
      <c r="I8571" s="5" t="str">
        <f t="shared" si="1017"/>
        <v>017</v>
      </c>
      <c r="J8571" s="5" t="str">
        <f t="shared" si="1018"/>
        <v>2100</v>
      </c>
      <c r="K8571" s="5" t="str">
        <f t="shared" si="1019"/>
        <v>000</v>
      </c>
      <c r="L8571" s="5">
        <f t="shared" si="1020"/>
        <v>9</v>
      </c>
      <c r="M8571" s="5">
        <f t="shared" si="1021"/>
        <v>2013</v>
      </c>
    </row>
    <row r="8572" spans="1:13" ht="15" x14ac:dyDescent="0.25">
      <c r="A8572" s="1">
        <f>DATE(2013,9,24)</f>
        <v>41541</v>
      </c>
      <c r="B8572" t="s">
        <v>16</v>
      </c>
      <c r="C8572" t="s">
        <v>8</v>
      </c>
      <c r="D8572" s="3">
        <v>1195.1120000000001</v>
      </c>
      <c r="E8572" s="3">
        <v>0</v>
      </c>
      <c r="F8572" t="s">
        <v>45</v>
      </c>
      <c r="G8572" s="3">
        <f t="shared" si="1015"/>
        <v>-1195.1120000000001</v>
      </c>
      <c r="H8572" s="3">
        <f t="shared" si="1016"/>
        <v>1195.1120000000001</v>
      </c>
      <c r="I8572" s="5" t="str">
        <f t="shared" si="1017"/>
        <v>017</v>
      </c>
      <c r="J8572" s="5" t="str">
        <f t="shared" si="1018"/>
        <v>2210</v>
      </c>
      <c r="K8572" s="5" t="str">
        <f t="shared" si="1019"/>
        <v>000</v>
      </c>
      <c r="L8572" s="5">
        <f t="shared" si="1020"/>
        <v>9</v>
      </c>
      <c r="M8572" s="5">
        <f t="shared" si="1021"/>
        <v>2013</v>
      </c>
    </row>
    <row r="8573" spans="1:13" ht="15" x14ac:dyDescent="0.25">
      <c r="A8573" s="1">
        <f>DATE(2013,9,24)</f>
        <v>41541</v>
      </c>
      <c r="B8573" t="s">
        <v>17</v>
      </c>
      <c r="C8573" t="s">
        <v>9</v>
      </c>
      <c r="D8573" s="3">
        <v>375.14879999999999</v>
      </c>
      <c r="E8573" s="3">
        <v>0</v>
      </c>
      <c r="F8573" t="s">
        <v>45</v>
      </c>
      <c r="G8573" s="3">
        <f t="shared" si="1015"/>
        <v>-375.14879999999999</v>
      </c>
      <c r="H8573" s="3">
        <f t="shared" si="1016"/>
        <v>375.14879999999999</v>
      </c>
      <c r="I8573" s="5" t="str">
        <f t="shared" si="1017"/>
        <v>017</v>
      </c>
      <c r="J8573" s="5" t="str">
        <f t="shared" si="1018"/>
        <v>2220</v>
      </c>
      <c r="K8573" s="5" t="str">
        <f t="shared" si="1019"/>
        <v>000</v>
      </c>
      <c r="L8573" s="5">
        <f t="shared" si="1020"/>
        <v>9</v>
      </c>
      <c r="M8573" s="5">
        <f t="shared" si="1021"/>
        <v>2013</v>
      </c>
    </row>
    <row r="8574" spans="1:13" ht="15" x14ac:dyDescent="0.25">
      <c r="A8574" s="1">
        <f>DATE(2013,9,24)</f>
        <v>41541</v>
      </c>
      <c r="B8574" t="s">
        <v>18</v>
      </c>
      <c r="C8574" t="s">
        <v>10</v>
      </c>
      <c r="D8574" s="3">
        <v>146.18610000000001</v>
      </c>
      <c r="E8574" s="3">
        <v>0</v>
      </c>
      <c r="F8574" t="s">
        <v>45</v>
      </c>
      <c r="G8574" s="3">
        <f t="shared" si="1015"/>
        <v>-146.18610000000001</v>
      </c>
      <c r="H8574" s="3">
        <f t="shared" si="1016"/>
        <v>146.18610000000001</v>
      </c>
      <c r="I8574" s="5" t="str">
        <f t="shared" si="1017"/>
        <v>017</v>
      </c>
      <c r="J8574" s="5" t="str">
        <f t="shared" si="1018"/>
        <v>2230</v>
      </c>
      <c r="K8574" s="5" t="str">
        <f t="shared" si="1019"/>
        <v>000</v>
      </c>
      <c r="L8574" s="5">
        <f t="shared" si="1020"/>
        <v>9</v>
      </c>
      <c r="M8574" s="5">
        <f t="shared" si="1021"/>
        <v>2013</v>
      </c>
    </row>
    <row r="8575" spans="1:13" ht="15" x14ac:dyDescent="0.25">
      <c r="A8575" s="1">
        <f>DATE(2013,9,25)</f>
        <v>41542</v>
      </c>
      <c r="B8575" t="s">
        <v>15</v>
      </c>
      <c r="C8575" t="s">
        <v>6</v>
      </c>
      <c r="D8575" s="3">
        <v>5316.1639999999998</v>
      </c>
      <c r="E8575" s="3">
        <v>0</v>
      </c>
      <c r="F8575" t="s">
        <v>45</v>
      </c>
      <c r="G8575" s="3">
        <f t="shared" si="1015"/>
        <v>-5316.1639999999998</v>
      </c>
      <c r="H8575" s="3">
        <f t="shared" si="1016"/>
        <v>5316.1639999999998</v>
      </c>
      <c r="I8575" s="5" t="str">
        <f t="shared" si="1017"/>
        <v>017</v>
      </c>
      <c r="J8575" s="5" t="str">
        <f t="shared" si="1018"/>
        <v>2100</v>
      </c>
      <c r="K8575" s="5" t="str">
        <f t="shared" si="1019"/>
        <v>000</v>
      </c>
      <c r="L8575" s="5">
        <f t="shared" si="1020"/>
        <v>9</v>
      </c>
      <c r="M8575" s="5">
        <f t="shared" si="1021"/>
        <v>2013</v>
      </c>
    </row>
    <row r="8576" spans="1:13" ht="15" x14ac:dyDescent="0.25">
      <c r="A8576" s="1">
        <f>DATE(2013,9,25)</f>
        <v>41542</v>
      </c>
      <c r="B8576" t="s">
        <v>16</v>
      </c>
      <c r="C8576" t="s">
        <v>8</v>
      </c>
      <c r="D8576" s="3">
        <v>1485.7200000000003</v>
      </c>
      <c r="E8576" s="3">
        <v>0</v>
      </c>
      <c r="F8576" t="s">
        <v>45</v>
      </c>
      <c r="G8576" s="3">
        <f t="shared" si="1015"/>
        <v>-1485.7200000000003</v>
      </c>
      <c r="H8576" s="3">
        <f t="shared" si="1016"/>
        <v>1485.7200000000003</v>
      </c>
      <c r="I8576" s="5" t="str">
        <f t="shared" si="1017"/>
        <v>017</v>
      </c>
      <c r="J8576" s="5" t="str">
        <f t="shared" si="1018"/>
        <v>2210</v>
      </c>
      <c r="K8576" s="5" t="str">
        <f t="shared" si="1019"/>
        <v>000</v>
      </c>
      <c r="L8576" s="5">
        <f t="shared" si="1020"/>
        <v>9</v>
      </c>
      <c r="M8576" s="5">
        <f t="shared" si="1021"/>
        <v>2013</v>
      </c>
    </row>
    <row r="8577" spans="1:13" ht="15" x14ac:dyDescent="0.25">
      <c r="A8577" s="1">
        <f>DATE(2013,9,25)</f>
        <v>41542</v>
      </c>
      <c r="B8577" t="s">
        <v>17</v>
      </c>
      <c r="C8577" t="s">
        <v>9</v>
      </c>
      <c r="D8577" s="3">
        <v>334.56149999999997</v>
      </c>
      <c r="E8577" s="3">
        <v>0</v>
      </c>
      <c r="F8577" t="s">
        <v>45</v>
      </c>
      <c r="G8577" s="3">
        <f t="shared" si="1015"/>
        <v>-334.56149999999997</v>
      </c>
      <c r="H8577" s="3">
        <f t="shared" si="1016"/>
        <v>334.56149999999997</v>
      </c>
      <c r="I8577" s="5" t="str">
        <f t="shared" si="1017"/>
        <v>017</v>
      </c>
      <c r="J8577" s="5" t="str">
        <f t="shared" si="1018"/>
        <v>2220</v>
      </c>
      <c r="K8577" s="5" t="str">
        <f t="shared" si="1019"/>
        <v>000</v>
      </c>
      <c r="L8577" s="5">
        <f t="shared" si="1020"/>
        <v>9</v>
      </c>
      <c r="M8577" s="5">
        <f t="shared" si="1021"/>
        <v>2013</v>
      </c>
    </row>
    <row r="8578" spans="1:13" ht="15" x14ac:dyDescent="0.25">
      <c r="A8578" s="1">
        <f>DATE(2013,9,25)</f>
        <v>41542</v>
      </c>
      <c r="B8578" t="s">
        <v>18</v>
      </c>
      <c r="C8578" t="s">
        <v>10</v>
      </c>
      <c r="D8578" s="3">
        <v>156.75659999999999</v>
      </c>
      <c r="E8578" s="3">
        <v>0</v>
      </c>
      <c r="F8578" t="s">
        <v>45</v>
      </c>
      <c r="G8578" s="3">
        <f t="shared" ref="G8578:G8641" si="1023">E8578-D8578</f>
        <v>-156.75659999999999</v>
      </c>
      <c r="H8578" s="3">
        <f t="shared" ref="H8578:H8641" si="1024">ABS(G8578)</f>
        <v>156.75659999999999</v>
      </c>
      <c r="I8578" s="5" t="str">
        <f t="shared" ref="I8578:I8641" si="1025">MID(B8578,1,3)</f>
        <v>017</v>
      </c>
      <c r="J8578" s="5" t="str">
        <f t="shared" ref="J8578:J8641" si="1026">MID(B8578,5,4)</f>
        <v>2230</v>
      </c>
      <c r="K8578" s="5" t="str">
        <f t="shared" ref="K8578:K8641" si="1027">MID(B8578,10,3)</f>
        <v>000</v>
      </c>
      <c r="L8578" s="5">
        <f t="shared" ref="L8578:L8641" si="1028">MONTH(A8578)</f>
        <v>9</v>
      </c>
      <c r="M8578" s="5">
        <f t="shared" ref="M8578:M8641" si="1029">YEAR(A8578)</f>
        <v>2013</v>
      </c>
    </row>
    <row r="8579" spans="1:13" ht="15" x14ac:dyDescent="0.25">
      <c r="A8579" s="1">
        <f>DATE(2013,9,26)</f>
        <v>41543</v>
      </c>
      <c r="B8579" t="s">
        <v>15</v>
      </c>
      <c r="C8579" t="s">
        <v>6</v>
      </c>
      <c r="D8579" s="3">
        <v>4414.6544999999996</v>
      </c>
      <c r="E8579" s="3">
        <v>0</v>
      </c>
      <c r="F8579" t="s">
        <v>45</v>
      </c>
      <c r="G8579" s="3">
        <f t="shared" si="1023"/>
        <v>-4414.6544999999996</v>
      </c>
      <c r="H8579" s="3">
        <f t="shared" si="1024"/>
        <v>4414.6544999999996</v>
      </c>
      <c r="I8579" s="5" t="str">
        <f t="shared" si="1025"/>
        <v>017</v>
      </c>
      <c r="J8579" s="5" t="str">
        <f t="shared" si="1026"/>
        <v>2100</v>
      </c>
      <c r="K8579" s="5" t="str">
        <f t="shared" si="1027"/>
        <v>000</v>
      </c>
      <c r="L8579" s="5">
        <f t="shared" si="1028"/>
        <v>9</v>
      </c>
      <c r="M8579" s="5">
        <f t="shared" si="1029"/>
        <v>2013</v>
      </c>
    </row>
    <row r="8580" spans="1:13" ht="15" x14ac:dyDescent="0.25">
      <c r="A8580" s="1">
        <f>DATE(2013,9,26)</f>
        <v>41543</v>
      </c>
      <c r="B8580" t="s">
        <v>16</v>
      </c>
      <c r="C8580" t="s">
        <v>8</v>
      </c>
      <c r="D8580" s="3">
        <v>1238.4218999999998</v>
      </c>
      <c r="E8580" s="3">
        <v>0</v>
      </c>
      <c r="F8580" t="s">
        <v>45</v>
      </c>
      <c r="G8580" s="3">
        <f t="shared" si="1023"/>
        <v>-1238.4218999999998</v>
      </c>
      <c r="H8580" s="3">
        <f t="shared" si="1024"/>
        <v>1238.4218999999998</v>
      </c>
      <c r="I8580" s="5" t="str">
        <f t="shared" si="1025"/>
        <v>017</v>
      </c>
      <c r="J8580" s="5" t="str">
        <f t="shared" si="1026"/>
        <v>2210</v>
      </c>
      <c r="K8580" s="5" t="str">
        <f t="shared" si="1027"/>
        <v>000</v>
      </c>
      <c r="L8580" s="5">
        <f t="shared" si="1028"/>
        <v>9</v>
      </c>
      <c r="M8580" s="5">
        <f t="shared" si="1029"/>
        <v>2013</v>
      </c>
    </row>
    <row r="8581" spans="1:13" ht="15" x14ac:dyDescent="0.25">
      <c r="A8581" s="1">
        <f>DATE(2013,9,26)</f>
        <v>41543</v>
      </c>
      <c r="B8581" t="s">
        <v>17</v>
      </c>
      <c r="C8581" t="s">
        <v>9</v>
      </c>
      <c r="D8581" s="3">
        <v>529.68719999999996</v>
      </c>
      <c r="E8581" s="3">
        <v>0</v>
      </c>
      <c r="F8581" t="s">
        <v>45</v>
      </c>
      <c r="G8581" s="3">
        <f t="shared" si="1023"/>
        <v>-529.68719999999996</v>
      </c>
      <c r="H8581" s="3">
        <f t="shared" si="1024"/>
        <v>529.68719999999996</v>
      </c>
      <c r="I8581" s="5" t="str">
        <f t="shared" si="1025"/>
        <v>017</v>
      </c>
      <c r="J8581" s="5" t="str">
        <f t="shared" si="1026"/>
        <v>2220</v>
      </c>
      <c r="K8581" s="5" t="str">
        <f t="shared" si="1027"/>
        <v>000</v>
      </c>
      <c r="L8581" s="5">
        <f t="shared" si="1028"/>
        <v>9</v>
      </c>
      <c r="M8581" s="5">
        <f t="shared" si="1029"/>
        <v>2013</v>
      </c>
    </row>
    <row r="8582" spans="1:13" ht="15" x14ac:dyDescent="0.25">
      <c r="A8582" s="1">
        <f>DATE(2013,9,26)</f>
        <v>41543</v>
      </c>
      <c r="B8582" t="s">
        <v>18</v>
      </c>
      <c r="C8582" t="s">
        <v>10</v>
      </c>
      <c r="D8582" s="3">
        <v>58.778199999999998</v>
      </c>
      <c r="E8582" s="3">
        <v>0</v>
      </c>
      <c r="F8582" t="s">
        <v>45</v>
      </c>
      <c r="G8582" s="3">
        <f t="shared" si="1023"/>
        <v>-58.778199999999998</v>
      </c>
      <c r="H8582" s="3">
        <f t="shared" si="1024"/>
        <v>58.778199999999998</v>
      </c>
      <c r="I8582" s="5" t="str">
        <f t="shared" si="1025"/>
        <v>017</v>
      </c>
      <c r="J8582" s="5" t="str">
        <f t="shared" si="1026"/>
        <v>2230</v>
      </c>
      <c r="K8582" s="5" t="str">
        <f t="shared" si="1027"/>
        <v>000</v>
      </c>
      <c r="L8582" s="5">
        <f t="shared" si="1028"/>
        <v>9</v>
      </c>
      <c r="M8582" s="5">
        <f t="shared" si="1029"/>
        <v>2013</v>
      </c>
    </row>
    <row r="8583" spans="1:13" ht="15" x14ac:dyDescent="0.25">
      <c r="A8583" s="1">
        <f>DATE(2013,9,27)</f>
        <v>41544</v>
      </c>
      <c r="B8583" t="s">
        <v>15</v>
      </c>
      <c r="C8583" t="s">
        <v>6</v>
      </c>
      <c r="D8583" s="3">
        <v>6922.0532000000003</v>
      </c>
      <c r="E8583" s="3">
        <v>0</v>
      </c>
      <c r="F8583" t="s">
        <v>45</v>
      </c>
      <c r="G8583" s="3">
        <f t="shared" si="1023"/>
        <v>-6922.0532000000003</v>
      </c>
      <c r="H8583" s="3">
        <f t="shared" si="1024"/>
        <v>6922.0532000000003</v>
      </c>
      <c r="I8583" s="5" t="str">
        <f t="shared" si="1025"/>
        <v>017</v>
      </c>
      <c r="J8583" s="5" t="str">
        <f t="shared" si="1026"/>
        <v>2100</v>
      </c>
      <c r="K8583" s="5" t="str">
        <f t="shared" si="1027"/>
        <v>000</v>
      </c>
      <c r="L8583" s="5">
        <f t="shared" si="1028"/>
        <v>9</v>
      </c>
      <c r="M8583" s="5">
        <f t="shared" si="1029"/>
        <v>2013</v>
      </c>
    </row>
    <row r="8584" spans="1:13" ht="15" x14ac:dyDescent="0.25">
      <c r="A8584" s="1">
        <f>DATE(2013,9,27)</f>
        <v>41544</v>
      </c>
      <c r="B8584" t="s">
        <v>16</v>
      </c>
      <c r="C8584" t="s">
        <v>8</v>
      </c>
      <c r="D8584" s="3">
        <v>2764.6135999999997</v>
      </c>
      <c r="E8584" s="3">
        <v>0</v>
      </c>
      <c r="F8584" t="s">
        <v>45</v>
      </c>
      <c r="G8584" s="3">
        <f t="shared" si="1023"/>
        <v>-2764.6135999999997</v>
      </c>
      <c r="H8584" s="3">
        <f t="shared" si="1024"/>
        <v>2764.6135999999997</v>
      </c>
      <c r="I8584" s="5" t="str">
        <f t="shared" si="1025"/>
        <v>017</v>
      </c>
      <c r="J8584" s="5" t="str">
        <f t="shared" si="1026"/>
        <v>2210</v>
      </c>
      <c r="K8584" s="5" t="str">
        <f t="shared" si="1027"/>
        <v>000</v>
      </c>
      <c r="L8584" s="5">
        <f t="shared" si="1028"/>
        <v>9</v>
      </c>
      <c r="M8584" s="5">
        <f t="shared" si="1029"/>
        <v>2013</v>
      </c>
    </row>
    <row r="8585" spans="1:13" ht="15" x14ac:dyDescent="0.25">
      <c r="A8585" s="1">
        <f>DATE(2013,9,27)</f>
        <v>41544</v>
      </c>
      <c r="B8585" t="s">
        <v>17</v>
      </c>
      <c r="C8585" t="s">
        <v>9</v>
      </c>
      <c r="D8585" s="3">
        <v>513.18900000000008</v>
      </c>
      <c r="E8585" s="3">
        <v>0</v>
      </c>
      <c r="F8585" t="s">
        <v>45</v>
      </c>
      <c r="G8585" s="3">
        <f t="shared" si="1023"/>
        <v>-513.18900000000008</v>
      </c>
      <c r="H8585" s="3">
        <f t="shared" si="1024"/>
        <v>513.18900000000008</v>
      </c>
      <c r="I8585" s="5" t="str">
        <f t="shared" si="1025"/>
        <v>017</v>
      </c>
      <c r="J8585" s="5" t="str">
        <f t="shared" si="1026"/>
        <v>2220</v>
      </c>
      <c r="K8585" s="5" t="str">
        <f t="shared" si="1027"/>
        <v>000</v>
      </c>
      <c r="L8585" s="5">
        <f t="shared" si="1028"/>
        <v>9</v>
      </c>
      <c r="M8585" s="5">
        <f t="shared" si="1029"/>
        <v>2013</v>
      </c>
    </row>
    <row r="8586" spans="1:13" ht="15" x14ac:dyDescent="0.25">
      <c r="A8586" s="1">
        <f>DATE(2013,9,27)</f>
        <v>41544</v>
      </c>
      <c r="B8586" t="s">
        <v>18</v>
      </c>
      <c r="C8586" t="s">
        <v>10</v>
      </c>
      <c r="D8586" s="3">
        <v>124.6575</v>
      </c>
      <c r="E8586" s="3">
        <v>0</v>
      </c>
      <c r="F8586" t="s">
        <v>45</v>
      </c>
      <c r="G8586" s="3">
        <f t="shared" si="1023"/>
        <v>-124.6575</v>
      </c>
      <c r="H8586" s="3">
        <f t="shared" si="1024"/>
        <v>124.6575</v>
      </c>
      <c r="I8586" s="5" t="str">
        <f t="shared" si="1025"/>
        <v>017</v>
      </c>
      <c r="J8586" s="5" t="str">
        <f t="shared" si="1026"/>
        <v>2230</v>
      </c>
      <c r="K8586" s="5" t="str">
        <f t="shared" si="1027"/>
        <v>000</v>
      </c>
      <c r="L8586" s="5">
        <f t="shared" si="1028"/>
        <v>9</v>
      </c>
      <c r="M8586" s="5">
        <f t="shared" si="1029"/>
        <v>2013</v>
      </c>
    </row>
    <row r="8587" spans="1:13" ht="15" x14ac:dyDescent="0.25">
      <c r="A8587" s="1">
        <f>DATE(2013,9,28)</f>
        <v>41545</v>
      </c>
      <c r="B8587" t="s">
        <v>15</v>
      </c>
      <c r="C8587" t="s">
        <v>6</v>
      </c>
      <c r="D8587" s="3">
        <v>5869.9344000000001</v>
      </c>
      <c r="E8587" s="3">
        <v>0</v>
      </c>
      <c r="F8587" t="s">
        <v>45</v>
      </c>
      <c r="G8587" s="3">
        <f t="shared" si="1023"/>
        <v>-5869.9344000000001</v>
      </c>
      <c r="H8587" s="3">
        <f t="shared" si="1024"/>
        <v>5869.9344000000001</v>
      </c>
      <c r="I8587" s="5" t="str">
        <f t="shared" si="1025"/>
        <v>017</v>
      </c>
      <c r="J8587" s="5" t="str">
        <f t="shared" si="1026"/>
        <v>2100</v>
      </c>
      <c r="K8587" s="5" t="str">
        <f t="shared" si="1027"/>
        <v>000</v>
      </c>
      <c r="L8587" s="5">
        <f t="shared" si="1028"/>
        <v>9</v>
      </c>
      <c r="M8587" s="5">
        <f t="shared" si="1029"/>
        <v>2013</v>
      </c>
    </row>
    <row r="8588" spans="1:13" ht="15" x14ac:dyDescent="0.25">
      <c r="A8588" s="1">
        <f>DATE(2013,9,28)</f>
        <v>41545</v>
      </c>
      <c r="B8588" t="s">
        <v>16</v>
      </c>
      <c r="C8588" t="s">
        <v>8</v>
      </c>
      <c r="D8588" s="3">
        <v>1526.4775</v>
      </c>
      <c r="E8588" s="3">
        <v>0</v>
      </c>
      <c r="F8588" t="s">
        <v>45</v>
      </c>
      <c r="G8588" s="3">
        <f t="shared" si="1023"/>
        <v>-1526.4775</v>
      </c>
      <c r="H8588" s="3">
        <f t="shared" si="1024"/>
        <v>1526.4775</v>
      </c>
      <c r="I8588" s="5" t="str">
        <f t="shared" si="1025"/>
        <v>017</v>
      </c>
      <c r="J8588" s="5" t="str">
        <f t="shared" si="1026"/>
        <v>2210</v>
      </c>
      <c r="K8588" s="5" t="str">
        <f t="shared" si="1027"/>
        <v>000</v>
      </c>
      <c r="L8588" s="5">
        <f t="shared" si="1028"/>
        <v>9</v>
      </c>
      <c r="M8588" s="5">
        <f t="shared" si="1029"/>
        <v>2013</v>
      </c>
    </row>
    <row r="8589" spans="1:13" ht="15" x14ac:dyDescent="0.25">
      <c r="A8589" s="1">
        <f>DATE(2013,9,28)</f>
        <v>41545</v>
      </c>
      <c r="B8589" t="s">
        <v>17</v>
      </c>
      <c r="C8589" t="s">
        <v>9</v>
      </c>
      <c r="D8589" s="3">
        <v>338.74189999999999</v>
      </c>
      <c r="E8589" s="3">
        <v>0</v>
      </c>
      <c r="F8589" t="s">
        <v>45</v>
      </c>
      <c r="G8589" s="3">
        <f t="shared" si="1023"/>
        <v>-338.74189999999999</v>
      </c>
      <c r="H8589" s="3">
        <f t="shared" si="1024"/>
        <v>338.74189999999999</v>
      </c>
      <c r="I8589" s="5" t="str">
        <f t="shared" si="1025"/>
        <v>017</v>
      </c>
      <c r="J8589" s="5" t="str">
        <f t="shared" si="1026"/>
        <v>2220</v>
      </c>
      <c r="K8589" s="5" t="str">
        <f t="shared" si="1027"/>
        <v>000</v>
      </c>
      <c r="L8589" s="5">
        <f t="shared" si="1028"/>
        <v>9</v>
      </c>
      <c r="M8589" s="5">
        <f t="shared" si="1029"/>
        <v>2013</v>
      </c>
    </row>
    <row r="8590" spans="1:13" ht="15" x14ac:dyDescent="0.25">
      <c r="A8590" s="1">
        <f>DATE(2013,9,28)</f>
        <v>41545</v>
      </c>
      <c r="B8590" t="s">
        <v>18</v>
      </c>
      <c r="C8590" t="s">
        <v>10</v>
      </c>
      <c r="D8590" s="3">
        <v>82.866499999999988</v>
      </c>
      <c r="E8590" s="3">
        <v>0</v>
      </c>
      <c r="F8590" t="s">
        <v>45</v>
      </c>
      <c r="G8590" s="3">
        <f t="shared" si="1023"/>
        <v>-82.866499999999988</v>
      </c>
      <c r="H8590" s="3">
        <f t="shared" si="1024"/>
        <v>82.866499999999988</v>
      </c>
      <c r="I8590" s="5" t="str">
        <f t="shared" si="1025"/>
        <v>017</v>
      </c>
      <c r="J8590" s="5" t="str">
        <f t="shared" si="1026"/>
        <v>2230</v>
      </c>
      <c r="K8590" s="5" t="str">
        <f t="shared" si="1027"/>
        <v>000</v>
      </c>
      <c r="L8590" s="5">
        <f t="shared" si="1028"/>
        <v>9</v>
      </c>
      <c r="M8590" s="5">
        <f t="shared" si="1029"/>
        <v>2013</v>
      </c>
    </row>
    <row r="8591" spans="1:13" ht="15" x14ac:dyDescent="0.25">
      <c r="A8591" s="1">
        <f>DATE(2013,9,29)</f>
        <v>41546</v>
      </c>
      <c r="B8591" t="s">
        <v>15</v>
      </c>
      <c r="C8591" t="s">
        <v>6</v>
      </c>
      <c r="D8591" s="3">
        <v>3967.6559999999995</v>
      </c>
      <c r="E8591" s="3">
        <v>0</v>
      </c>
      <c r="F8591" t="s">
        <v>45</v>
      </c>
      <c r="G8591" s="3">
        <f t="shared" si="1023"/>
        <v>-3967.6559999999995</v>
      </c>
      <c r="H8591" s="3">
        <f t="shared" si="1024"/>
        <v>3967.6559999999995</v>
      </c>
      <c r="I8591" s="5" t="str">
        <f t="shared" si="1025"/>
        <v>017</v>
      </c>
      <c r="J8591" s="5" t="str">
        <f t="shared" si="1026"/>
        <v>2100</v>
      </c>
      <c r="K8591" s="5" t="str">
        <f t="shared" si="1027"/>
        <v>000</v>
      </c>
      <c r="L8591" s="5">
        <f t="shared" si="1028"/>
        <v>9</v>
      </c>
      <c r="M8591" s="5">
        <f t="shared" si="1029"/>
        <v>2013</v>
      </c>
    </row>
    <row r="8592" spans="1:13" ht="15" x14ac:dyDescent="0.25">
      <c r="A8592" s="1">
        <f>DATE(2013,9,29)</f>
        <v>41546</v>
      </c>
      <c r="B8592" t="s">
        <v>16</v>
      </c>
      <c r="C8592" t="s">
        <v>8</v>
      </c>
      <c r="D8592" s="3">
        <v>920.13199999999995</v>
      </c>
      <c r="E8592" s="3">
        <v>0</v>
      </c>
      <c r="F8592" t="s">
        <v>45</v>
      </c>
      <c r="G8592" s="3">
        <f t="shared" si="1023"/>
        <v>-920.13199999999995</v>
      </c>
      <c r="H8592" s="3">
        <f t="shared" si="1024"/>
        <v>920.13199999999995</v>
      </c>
      <c r="I8592" s="5" t="str">
        <f t="shared" si="1025"/>
        <v>017</v>
      </c>
      <c r="J8592" s="5" t="str">
        <f t="shared" si="1026"/>
        <v>2210</v>
      </c>
      <c r="K8592" s="5" t="str">
        <f t="shared" si="1027"/>
        <v>000</v>
      </c>
      <c r="L8592" s="5">
        <f t="shared" si="1028"/>
        <v>9</v>
      </c>
      <c r="M8592" s="5">
        <f t="shared" si="1029"/>
        <v>2013</v>
      </c>
    </row>
    <row r="8593" spans="1:13" ht="15" x14ac:dyDescent="0.25">
      <c r="A8593" s="1">
        <f>DATE(2013,9,29)</f>
        <v>41546</v>
      </c>
      <c r="B8593" t="s">
        <v>17</v>
      </c>
      <c r="C8593" t="s">
        <v>9</v>
      </c>
      <c r="D8593" s="3">
        <v>117.1768</v>
      </c>
      <c r="E8593" s="3">
        <v>0</v>
      </c>
      <c r="F8593" t="s">
        <v>45</v>
      </c>
      <c r="G8593" s="3">
        <f t="shared" si="1023"/>
        <v>-117.1768</v>
      </c>
      <c r="H8593" s="3">
        <f t="shared" si="1024"/>
        <v>117.1768</v>
      </c>
      <c r="I8593" s="5" t="str">
        <f t="shared" si="1025"/>
        <v>017</v>
      </c>
      <c r="J8593" s="5" t="str">
        <f t="shared" si="1026"/>
        <v>2220</v>
      </c>
      <c r="K8593" s="5" t="str">
        <f t="shared" si="1027"/>
        <v>000</v>
      </c>
      <c r="L8593" s="5">
        <f t="shared" si="1028"/>
        <v>9</v>
      </c>
      <c r="M8593" s="5">
        <f t="shared" si="1029"/>
        <v>2013</v>
      </c>
    </row>
    <row r="8594" spans="1:13" ht="15" x14ac:dyDescent="0.25">
      <c r="A8594" s="1">
        <f>DATE(2013,9,29)</f>
        <v>41546</v>
      </c>
      <c r="B8594" t="s">
        <v>18</v>
      </c>
      <c r="C8594" t="s">
        <v>10</v>
      </c>
      <c r="D8594" s="3">
        <v>125.9684</v>
      </c>
      <c r="E8594" s="3">
        <v>0</v>
      </c>
      <c r="F8594" t="s">
        <v>45</v>
      </c>
      <c r="G8594" s="3">
        <f t="shared" si="1023"/>
        <v>-125.9684</v>
      </c>
      <c r="H8594" s="3">
        <f t="shared" si="1024"/>
        <v>125.9684</v>
      </c>
      <c r="I8594" s="5" t="str">
        <f t="shared" si="1025"/>
        <v>017</v>
      </c>
      <c r="J8594" s="5" t="str">
        <f t="shared" si="1026"/>
        <v>2230</v>
      </c>
      <c r="K8594" s="5" t="str">
        <f t="shared" si="1027"/>
        <v>000</v>
      </c>
      <c r="L8594" s="5">
        <f t="shared" si="1028"/>
        <v>9</v>
      </c>
      <c r="M8594" s="5">
        <f t="shared" si="1029"/>
        <v>2013</v>
      </c>
    </row>
    <row r="8595" spans="1:13" ht="15" x14ac:dyDescent="0.25">
      <c r="A8595" s="1">
        <f>DATE(2013,9,23)</f>
        <v>41540</v>
      </c>
      <c r="B8595" t="s">
        <v>19</v>
      </c>
      <c r="C8595" t="s">
        <v>6</v>
      </c>
      <c r="D8595" s="3">
        <v>3268.74</v>
      </c>
      <c r="E8595" s="3">
        <v>0</v>
      </c>
      <c r="F8595" t="s">
        <v>45</v>
      </c>
      <c r="G8595" s="3">
        <f t="shared" si="1023"/>
        <v>-3268.74</v>
      </c>
      <c r="H8595" s="3">
        <f t="shared" si="1024"/>
        <v>3268.74</v>
      </c>
      <c r="I8595" s="5" t="str">
        <f t="shared" si="1025"/>
        <v>018</v>
      </c>
      <c r="J8595" s="5" t="str">
        <f t="shared" si="1026"/>
        <v>2100</v>
      </c>
      <c r="K8595" s="5" t="str">
        <f t="shared" si="1027"/>
        <v>000</v>
      </c>
      <c r="L8595" s="5">
        <f t="shared" si="1028"/>
        <v>9</v>
      </c>
      <c r="M8595" s="5">
        <f t="shared" si="1029"/>
        <v>2013</v>
      </c>
    </row>
    <row r="8596" spans="1:13" ht="15" x14ac:dyDescent="0.25">
      <c r="A8596" s="1">
        <f>DATE(2013,9,23)</f>
        <v>41540</v>
      </c>
      <c r="B8596" t="s">
        <v>20</v>
      </c>
      <c r="C8596" t="s">
        <v>8</v>
      </c>
      <c r="D8596" s="3">
        <v>640.22850000000005</v>
      </c>
      <c r="E8596" s="3">
        <v>0</v>
      </c>
      <c r="F8596" t="s">
        <v>45</v>
      </c>
      <c r="G8596" s="3">
        <f t="shared" si="1023"/>
        <v>-640.22850000000005</v>
      </c>
      <c r="H8596" s="3">
        <f t="shared" si="1024"/>
        <v>640.22850000000005</v>
      </c>
      <c r="I8596" s="5" t="str">
        <f t="shared" si="1025"/>
        <v>018</v>
      </c>
      <c r="J8596" s="5" t="str">
        <f t="shared" si="1026"/>
        <v>2210</v>
      </c>
      <c r="K8596" s="5" t="str">
        <f t="shared" si="1027"/>
        <v>000</v>
      </c>
      <c r="L8596" s="5">
        <f t="shared" si="1028"/>
        <v>9</v>
      </c>
      <c r="M8596" s="5">
        <f t="shared" si="1029"/>
        <v>2013</v>
      </c>
    </row>
    <row r="8597" spans="1:13" ht="15" x14ac:dyDescent="0.25">
      <c r="A8597" s="1">
        <f>DATE(2013,9,23)</f>
        <v>41540</v>
      </c>
      <c r="B8597" t="s">
        <v>21</v>
      </c>
      <c r="C8597" t="s">
        <v>9</v>
      </c>
      <c r="D8597" s="3">
        <v>140.25</v>
      </c>
      <c r="E8597" s="3">
        <v>0</v>
      </c>
      <c r="F8597" t="s">
        <v>45</v>
      </c>
      <c r="G8597" s="3">
        <f t="shared" si="1023"/>
        <v>-140.25</v>
      </c>
      <c r="H8597" s="3">
        <f t="shared" si="1024"/>
        <v>140.25</v>
      </c>
      <c r="I8597" s="5" t="str">
        <f t="shared" si="1025"/>
        <v>018</v>
      </c>
      <c r="J8597" s="5" t="str">
        <f t="shared" si="1026"/>
        <v>2220</v>
      </c>
      <c r="K8597" s="5" t="str">
        <f t="shared" si="1027"/>
        <v>000</v>
      </c>
      <c r="L8597" s="5">
        <f t="shared" si="1028"/>
        <v>9</v>
      </c>
      <c r="M8597" s="5">
        <f t="shared" si="1029"/>
        <v>2013</v>
      </c>
    </row>
    <row r="8598" spans="1:13" ht="15" x14ac:dyDescent="0.25">
      <c r="A8598" s="1">
        <f>DATE(2013,9,23)</f>
        <v>41540</v>
      </c>
      <c r="B8598" t="s">
        <v>22</v>
      </c>
      <c r="C8598" t="s">
        <v>10</v>
      </c>
      <c r="D8598" s="3">
        <v>51.479599999999998</v>
      </c>
      <c r="E8598" s="3">
        <v>0</v>
      </c>
      <c r="F8598" t="s">
        <v>45</v>
      </c>
      <c r="G8598" s="3">
        <f t="shared" si="1023"/>
        <v>-51.479599999999998</v>
      </c>
      <c r="H8598" s="3">
        <f t="shared" si="1024"/>
        <v>51.479599999999998</v>
      </c>
      <c r="I8598" s="5" t="str">
        <f t="shared" si="1025"/>
        <v>018</v>
      </c>
      <c r="J8598" s="5" t="str">
        <f t="shared" si="1026"/>
        <v>2230</v>
      </c>
      <c r="K8598" s="5" t="str">
        <f t="shared" si="1027"/>
        <v>000</v>
      </c>
      <c r="L8598" s="5">
        <f t="shared" si="1028"/>
        <v>9</v>
      </c>
      <c r="M8598" s="5">
        <f t="shared" si="1029"/>
        <v>2013</v>
      </c>
    </row>
    <row r="8599" spans="1:13" ht="15" x14ac:dyDescent="0.25">
      <c r="A8599" s="1">
        <f>DATE(2013,9,24)</f>
        <v>41541</v>
      </c>
      <c r="B8599" t="s">
        <v>19</v>
      </c>
      <c r="C8599" t="s">
        <v>6</v>
      </c>
      <c r="D8599" s="3">
        <v>3975.8706000000006</v>
      </c>
      <c r="E8599" s="3">
        <v>0</v>
      </c>
      <c r="F8599" t="s">
        <v>45</v>
      </c>
      <c r="G8599" s="3">
        <f t="shared" si="1023"/>
        <v>-3975.8706000000006</v>
      </c>
      <c r="H8599" s="3">
        <f t="shared" si="1024"/>
        <v>3975.8706000000006</v>
      </c>
      <c r="I8599" s="5" t="str">
        <f t="shared" si="1025"/>
        <v>018</v>
      </c>
      <c r="J8599" s="5" t="str">
        <f t="shared" si="1026"/>
        <v>2100</v>
      </c>
      <c r="K8599" s="5" t="str">
        <f t="shared" si="1027"/>
        <v>000</v>
      </c>
      <c r="L8599" s="5">
        <f t="shared" si="1028"/>
        <v>9</v>
      </c>
      <c r="M8599" s="5">
        <f t="shared" si="1029"/>
        <v>2013</v>
      </c>
    </row>
    <row r="8600" spans="1:13" ht="15" x14ac:dyDescent="0.25">
      <c r="A8600" s="1">
        <f>DATE(2013,9,24)</f>
        <v>41541</v>
      </c>
      <c r="B8600" t="s">
        <v>20</v>
      </c>
      <c r="C8600" t="s">
        <v>8</v>
      </c>
      <c r="D8600" s="3">
        <v>696.32290000000012</v>
      </c>
      <c r="E8600" s="3">
        <v>0</v>
      </c>
      <c r="F8600" t="s">
        <v>45</v>
      </c>
      <c r="G8600" s="3">
        <f t="shared" si="1023"/>
        <v>-696.32290000000012</v>
      </c>
      <c r="H8600" s="3">
        <f t="shared" si="1024"/>
        <v>696.32290000000012</v>
      </c>
      <c r="I8600" s="5" t="str">
        <f t="shared" si="1025"/>
        <v>018</v>
      </c>
      <c r="J8600" s="5" t="str">
        <f t="shared" si="1026"/>
        <v>2210</v>
      </c>
      <c r="K8600" s="5" t="str">
        <f t="shared" si="1027"/>
        <v>000</v>
      </c>
      <c r="L8600" s="5">
        <f t="shared" si="1028"/>
        <v>9</v>
      </c>
      <c r="M8600" s="5">
        <f t="shared" si="1029"/>
        <v>2013</v>
      </c>
    </row>
    <row r="8601" spans="1:13" ht="15" x14ac:dyDescent="0.25">
      <c r="A8601" s="1">
        <f>DATE(2013,9,24)</f>
        <v>41541</v>
      </c>
      <c r="B8601" t="s">
        <v>21</v>
      </c>
      <c r="C8601" t="s">
        <v>9</v>
      </c>
      <c r="D8601" s="3">
        <v>139.48259999999999</v>
      </c>
      <c r="E8601" s="3">
        <v>0</v>
      </c>
      <c r="F8601" t="s">
        <v>45</v>
      </c>
      <c r="G8601" s="3">
        <f t="shared" si="1023"/>
        <v>-139.48259999999999</v>
      </c>
      <c r="H8601" s="3">
        <f t="shared" si="1024"/>
        <v>139.48259999999999</v>
      </c>
      <c r="I8601" s="5" t="str">
        <f t="shared" si="1025"/>
        <v>018</v>
      </c>
      <c r="J8601" s="5" t="str">
        <f t="shared" si="1026"/>
        <v>2220</v>
      </c>
      <c r="K8601" s="5" t="str">
        <f t="shared" si="1027"/>
        <v>000</v>
      </c>
      <c r="L8601" s="5">
        <f t="shared" si="1028"/>
        <v>9</v>
      </c>
      <c r="M8601" s="5">
        <f t="shared" si="1029"/>
        <v>2013</v>
      </c>
    </row>
    <row r="8602" spans="1:13" ht="15" x14ac:dyDescent="0.25">
      <c r="A8602" s="1">
        <f>DATE(2013,9,24)</f>
        <v>41541</v>
      </c>
      <c r="B8602" t="s">
        <v>22</v>
      </c>
      <c r="C8602" t="s">
        <v>10</v>
      </c>
      <c r="D8602" s="3">
        <v>47.903699999999994</v>
      </c>
      <c r="E8602" s="3">
        <v>0</v>
      </c>
      <c r="F8602" t="s">
        <v>45</v>
      </c>
      <c r="G8602" s="3">
        <f t="shared" si="1023"/>
        <v>-47.903699999999994</v>
      </c>
      <c r="H8602" s="3">
        <f t="shared" si="1024"/>
        <v>47.903699999999994</v>
      </c>
      <c r="I8602" s="5" t="str">
        <f t="shared" si="1025"/>
        <v>018</v>
      </c>
      <c r="J8602" s="5" t="str">
        <f t="shared" si="1026"/>
        <v>2230</v>
      </c>
      <c r="K8602" s="5" t="str">
        <f t="shared" si="1027"/>
        <v>000</v>
      </c>
      <c r="L8602" s="5">
        <f t="shared" si="1028"/>
        <v>9</v>
      </c>
      <c r="M8602" s="5">
        <f t="shared" si="1029"/>
        <v>2013</v>
      </c>
    </row>
    <row r="8603" spans="1:13" ht="15" x14ac:dyDescent="0.25">
      <c r="A8603" s="1">
        <f>DATE(2013,9,25)</f>
        <v>41542</v>
      </c>
      <c r="B8603" t="s">
        <v>19</v>
      </c>
      <c r="C8603" t="s">
        <v>6</v>
      </c>
      <c r="D8603" s="3">
        <v>3574.2294000000002</v>
      </c>
      <c r="E8603" s="3">
        <v>0</v>
      </c>
      <c r="F8603" t="s">
        <v>45</v>
      </c>
      <c r="G8603" s="3">
        <f t="shared" si="1023"/>
        <v>-3574.2294000000002</v>
      </c>
      <c r="H8603" s="3">
        <f t="shared" si="1024"/>
        <v>3574.2294000000002</v>
      </c>
      <c r="I8603" s="5" t="str">
        <f t="shared" si="1025"/>
        <v>018</v>
      </c>
      <c r="J8603" s="5" t="str">
        <f t="shared" si="1026"/>
        <v>2100</v>
      </c>
      <c r="K8603" s="5" t="str">
        <f t="shared" si="1027"/>
        <v>000</v>
      </c>
      <c r="L8603" s="5">
        <f t="shared" si="1028"/>
        <v>9</v>
      </c>
      <c r="M8603" s="5">
        <f t="shared" si="1029"/>
        <v>2013</v>
      </c>
    </row>
    <row r="8604" spans="1:13" ht="15" x14ac:dyDescent="0.25">
      <c r="A8604" s="1">
        <f>DATE(2013,9,25)</f>
        <v>41542</v>
      </c>
      <c r="B8604" t="s">
        <v>20</v>
      </c>
      <c r="C8604" t="s">
        <v>8</v>
      </c>
      <c r="D8604" s="3">
        <v>491.88149999999996</v>
      </c>
      <c r="E8604" s="3">
        <v>0</v>
      </c>
      <c r="F8604" t="s">
        <v>45</v>
      </c>
      <c r="G8604" s="3">
        <f t="shared" si="1023"/>
        <v>-491.88149999999996</v>
      </c>
      <c r="H8604" s="3">
        <f t="shared" si="1024"/>
        <v>491.88149999999996</v>
      </c>
      <c r="I8604" s="5" t="str">
        <f t="shared" si="1025"/>
        <v>018</v>
      </c>
      <c r="J8604" s="5" t="str">
        <f t="shared" si="1026"/>
        <v>2210</v>
      </c>
      <c r="K8604" s="5" t="str">
        <f t="shared" si="1027"/>
        <v>000</v>
      </c>
      <c r="L8604" s="5">
        <f t="shared" si="1028"/>
        <v>9</v>
      </c>
      <c r="M8604" s="5">
        <f t="shared" si="1029"/>
        <v>2013</v>
      </c>
    </row>
    <row r="8605" spans="1:13" ht="15" x14ac:dyDescent="0.25">
      <c r="A8605" s="1">
        <f>DATE(2013,9,25)</f>
        <v>41542</v>
      </c>
      <c r="B8605" t="s">
        <v>21</v>
      </c>
      <c r="C8605" t="s">
        <v>9</v>
      </c>
      <c r="D8605" s="3">
        <v>302.61</v>
      </c>
      <c r="E8605" s="3">
        <v>0</v>
      </c>
      <c r="F8605" t="s">
        <v>45</v>
      </c>
      <c r="G8605" s="3">
        <f t="shared" si="1023"/>
        <v>-302.61</v>
      </c>
      <c r="H8605" s="3">
        <f t="shared" si="1024"/>
        <v>302.61</v>
      </c>
      <c r="I8605" s="5" t="str">
        <f t="shared" si="1025"/>
        <v>018</v>
      </c>
      <c r="J8605" s="5" t="str">
        <f t="shared" si="1026"/>
        <v>2220</v>
      </c>
      <c r="K8605" s="5" t="str">
        <f t="shared" si="1027"/>
        <v>000</v>
      </c>
      <c r="L8605" s="5">
        <f t="shared" si="1028"/>
        <v>9</v>
      </c>
      <c r="M8605" s="5">
        <f t="shared" si="1029"/>
        <v>2013</v>
      </c>
    </row>
    <row r="8606" spans="1:13" ht="15" x14ac:dyDescent="0.25">
      <c r="A8606" s="1">
        <f>DATE(2013,9,25)</f>
        <v>41542</v>
      </c>
      <c r="B8606" t="s">
        <v>22</v>
      </c>
      <c r="C8606" t="s">
        <v>10</v>
      </c>
      <c r="D8606" s="3">
        <v>82.809200000000004</v>
      </c>
      <c r="E8606" s="3">
        <v>0</v>
      </c>
      <c r="F8606" t="s">
        <v>45</v>
      </c>
      <c r="G8606" s="3">
        <f t="shared" si="1023"/>
        <v>-82.809200000000004</v>
      </c>
      <c r="H8606" s="3">
        <f t="shared" si="1024"/>
        <v>82.809200000000004</v>
      </c>
      <c r="I8606" s="5" t="str">
        <f t="shared" si="1025"/>
        <v>018</v>
      </c>
      <c r="J8606" s="5" t="str">
        <f t="shared" si="1026"/>
        <v>2230</v>
      </c>
      <c r="K8606" s="5" t="str">
        <f t="shared" si="1027"/>
        <v>000</v>
      </c>
      <c r="L8606" s="5">
        <f t="shared" si="1028"/>
        <v>9</v>
      </c>
      <c r="M8606" s="5">
        <f t="shared" si="1029"/>
        <v>2013</v>
      </c>
    </row>
    <row r="8607" spans="1:13" ht="15" x14ac:dyDescent="0.25">
      <c r="A8607" s="1">
        <f>DATE(2013,9,26)</f>
        <v>41543</v>
      </c>
      <c r="B8607" t="s">
        <v>19</v>
      </c>
      <c r="C8607" t="s">
        <v>6</v>
      </c>
      <c r="D8607" s="3">
        <v>4605.8054999999995</v>
      </c>
      <c r="E8607" s="3">
        <v>0</v>
      </c>
      <c r="F8607" t="s">
        <v>45</v>
      </c>
      <c r="G8607" s="3">
        <f t="shared" si="1023"/>
        <v>-4605.8054999999995</v>
      </c>
      <c r="H8607" s="3">
        <f t="shared" si="1024"/>
        <v>4605.8054999999995</v>
      </c>
      <c r="I8607" s="5" t="str">
        <f t="shared" si="1025"/>
        <v>018</v>
      </c>
      <c r="J8607" s="5" t="str">
        <f t="shared" si="1026"/>
        <v>2100</v>
      </c>
      <c r="K8607" s="5" t="str">
        <f t="shared" si="1027"/>
        <v>000</v>
      </c>
      <c r="L8607" s="5">
        <f t="shared" si="1028"/>
        <v>9</v>
      </c>
      <c r="M8607" s="5">
        <f t="shared" si="1029"/>
        <v>2013</v>
      </c>
    </row>
    <row r="8608" spans="1:13" ht="15" x14ac:dyDescent="0.25">
      <c r="A8608" s="1">
        <f>DATE(2013,9,26)</f>
        <v>41543</v>
      </c>
      <c r="B8608" t="s">
        <v>20</v>
      </c>
      <c r="C8608" t="s">
        <v>8</v>
      </c>
      <c r="D8608" s="3">
        <v>886.59899999999993</v>
      </c>
      <c r="E8608" s="3">
        <v>0</v>
      </c>
      <c r="F8608" t="s">
        <v>45</v>
      </c>
      <c r="G8608" s="3">
        <f t="shared" si="1023"/>
        <v>-886.59899999999993</v>
      </c>
      <c r="H8608" s="3">
        <f t="shared" si="1024"/>
        <v>886.59899999999993</v>
      </c>
      <c r="I8608" s="5" t="str">
        <f t="shared" si="1025"/>
        <v>018</v>
      </c>
      <c r="J8608" s="5" t="str">
        <f t="shared" si="1026"/>
        <v>2210</v>
      </c>
      <c r="K8608" s="5" t="str">
        <f t="shared" si="1027"/>
        <v>000</v>
      </c>
      <c r="L8608" s="5">
        <f t="shared" si="1028"/>
        <v>9</v>
      </c>
      <c r="M8608" s="5">
        <f t="shared" si="1029"/>
        <v>2013</v>
      </c>
    </row>
    <row r="8609" spans="1:13" ht="15" x14ac:dyDescent="0.25">
      <c r="A8609" s="1">
        <f>DATE(2013,9,26)</f>
        <v>41543</v>
      </c>
      <c r="B8609" t="s">
        <v>21</v>
      </c>
      <c r="C8609" t="s">
        <v>9</v>
      </c>
      <c r="D8609" s="3">
        <v>207.01799999999997</v>
      </c>
      <c r="E8609" s="3">
        <v>0</v>
      </c>
      <c r="F8609" t="s">
        <v>45</v>
      </c>
      <c r="G8609" s="3">
        <f t="shared" si="1023"/>
        <v>-207.01799999999997</v>
      </c>
      <c r="H8609" s="3">
        <f t="shared" si="1024"/>
        <v>207.01799999999997</v>
      </c>
      <c r="I8609" s="5" t="str">
        <f t="shared" si="1025"/>
        <v>018</v>
      </c>
      <c r="J8609" s="5" t="str">
        <f t="shared" si="1026"/>
        <v>2220</v>
      </c>
      <c r="K8609" s="5" t="str">
        <f t="shared" si="1027"/>
        <v>000</v>
      </c>
      <c r="L8609" s="5">
        <f t="shared" si="1028"/>
        <v>9</v>
      </c>
      <c r="M8609" s="5">
        <f t="shared" si="1029"/>
        <v>2013</v>
      </c>
    </row>
    <row r="8610" spans="1:13" ht="15" x14ac:dyDescent="0.25">
      <c r="A8610" s="1">
        <f>DATE(2013,9,26)</f>
        <v>41543</v>
      </c>
      <c r="B8610" t="s">
        <v>22</v>
      </c>
      <c r="C8610" t="s">
        <v>10</v>
      </c>
      <c r="D8610" s="3">
        <v>23.846400000000003</v>
      </c>
      <c r="E8610" s="3">
        <v>0</v>
      </c>
      <c r="F8610" t="s">
        <v>45</v>
      </c>
      <c r="G8610" s="3">
        <f t="shared" si="1023"/>
        <v>-23.846400000000003</v>
      </c>
      <c r="H8610" s="3">
        <f t="shared" si="1024"/>
        <v>23.846400000000003</v>
      </c>
      <c r="I8610" s="5" t="str">
        <f t="shared" si="1025"/>
        <v>018</v>
      </c>
      <c r="J8610" s="5" t="str">
        <f t="shared" si="1026"/>
        <v>2230</v>
      </c>
      <c r="K8610" s="5" t="str">
        <f t="shared" si="1027"/>
        <v>000</v>
      </c>
      <c r="L8610" s="5">
        <f t="shared" si="1028"/>
        <v>9</v>
      </c>
      <c r="M8610" s="5">
        <f t="shared" si="1029"/>
        <v>2013</v>
      </c>
    </row>
    <row r="8611" spans="1:13" ht="15" x14ac:dyDescent="0.25">
      <c r="A8611" s="1">
        <f>DATE(2013,9,27)</f>
        <v>41544</v>
      </c>
      <c r="B8611" t="s">
        <v>19</v>
      </c>
      <c r="C8611" t="s">
        <v>6</v>
      </c>
      <c r="D8611" s="3">
        <v>8222.8079999999991</v>
      </c>
      <c r="E8611" s="3">
        <v>0</v>
      </c>
      <c r="F8611" t="s">
        <v>45</v>
      </c>
      <c r="G8611" s="3">
        <f t="shared" si="1023"/>
        <v>-8222.8079999999991</v>
      </c>
      <c r="H8611" s="3">
        <f t="shared" si="1024"/>
        <v>8222.8079999999991</v>
      </c>
      <c r="I8611" s="5" t="str">
        <f t="shared" si="1025"/>
        <v>018</v>
      </c>
      <c r="J8611" s="5" t="str">
        <f t="shared" si="1026"/>
        <v>2100</v>
      </c>
      <c r="K8611" s="5" t="str">
        <f t="shared" si="1027"/>
        <v>000</v>
      </c>
      <c r="L8611" s="5">
        <f t="shared" si="1028"/>
        <v>9</v>
      </c>
      <c r="M8611" s="5">
        <f t="shared" si="1029"/>
        <v>2013</v>
      </c>
    </row>
    <row r="8612" spans="1:13" ht="15" x14ac:dyDescent="0.25">
      <c r="A8612" s="1">
        <f>DATE(2013,9,27)</f>
        <v>41544</v>
      </c>
      <c r="B8612" t="s">
        <v>20</v>
      </c>
      <c r="C8612" t="s">
        <v>8</v>
      </c>
      <c r="D8612" s="3">
        <v>1874.9466</v>
      </c>
      <c r="E8612" s="3">
        <v>0</v>
      </c>
      <c r="F8612" t="s">
        <v>45</v>
      </c>
      <c r="G8612" s="3">
        <f t="shared" si="1023"/>
        <v>-1874.9466</v>
      </c>
      <c r="H8612" s="3">
        <f t="shared" si="1024"/>
        <v>1874.9466</v>
      </c>
      <c r="I8612" s="5" t="str">
        <f t="shared" si="1025"/>
        <v>018</v>
      </c>
      <c r="J8612" s="5" t="str">
        <f t="shared" si="1026"/>
        <v>2210</v>
      </c>
      <c r="K8612" s="5" t="str">
        <f t="shared" si="1027"/>
        <v>000</v>
      </c>
      <c r="L8612" s="5">
        <f t="shared" si="1028"/>
        <v>9</v>
      </c>
      <c r="M8612" s="5">
        <f t="shared" si="1029"/>
        <v>2013</v>
      </c>
    </row>
    <row r="8613" spans="1:13" ht="15" x14ac:dyDescent="0.25">
      <c r="A8613" s="1">
        <f>DATE(2013,9,27)</f>
        <v>41544</v>
      </c>
      <c r="B8613" t="s">
        <v>21</v>
      </c>
      <c r="C8613" t="s">
        <v>9</v>
      </c>
      <c r="D8613" s="3">
        <v>475.803</v>
      </c>
      <c r="E8613" s="3">
        <v>0</v>
      </c>
      <c r="F8613" t="s">
        <v>45</v>
      </c>
      <c r="G8613" s="3">
        <f t="shared" si="1023"/>
        <v>-475.803</v>
      </c>
      <c r="H8613" s="3">
        <f t="shared" si="1024"/>
        <v>475.803</v>
      </c>
      <c r="I8613" s="5" t="str">
        <f t="shared" si="1025"/>
        <v>018</v>
      </c>
      <c r="J8613" s="5" t="str">
        <f t="shared" si="1026"/>
        <v>2220</v>
      </c>
      <c r="K8613" s="5" t="str">
        <f t="shared" si="1027"/>
        <v>000</v>
      </c>
      <c r="L8613" s="5">
        <f t="shared" si="1028"/>
        <v>9</v>
      </c>
      <c r="M8613" s="5">
        <f t="shared" si="1029"/>
        <v>2013</v>
      </c>
    </row>
    <row r="8614" spans="1:13" ht="15" x14ac:dyDescent="0.25">
      <c r="A8614" s="1">
        <f>DATE(2013,9,27)</f>
        <v>41544</v>
      </c>
      <c r="B8614" t="s">
        <v>22</v>
      </c>
      <c r="C8614" t="s">
        <v>10</v>
      </c>
      <c r="D8614" s="3">
        <v>52.762500000000003</v>
      </c>
      <c r="E8614" s="3">
        <v>0</v>
      </c>
      <c r="F8614" t="s">
        <v>45</v>
      </c>
      <c r="G8614" s="3">
        <f t="shared" si="1023"/>
        <v>-52.762500000000003</v>
      </c>
      <c r="H8614" s="3">
        <f t="shared" si="1024"/>
        <v>52.762500000000003</v>
      </c>
      <c r="I8614" s="5" t="str">
        <f t="shared" si="1025"/>
        <v>018</v>
      </c>
      <c r="J8614" s="5" t="str">
        <f t="shared" si="1026"/>
        <v>2230</v>
      </c>
      <c r="K8614" s="5" t="str">
        <f t="shared" si="1027"/>
        <v>000</v>
      </c>
      <c r="L8614" s="5">
        <f t="shared" si="1028"/>
        <v>9</v>
      </c>
      <c r="M8614" s="5">
        <f t="shared" si="1029"/>
        <v>2013</v>
      </c>
    </row>
    <row r="8615" spans="1:13" ht="15" x14ac:dyDescent="0.25">
      <c r="A8615" s="1">
        <f>DATE(2013,9,28)</f>
        <v>41545</v>
      </c>
      <c r="B8615" t="s">
        <v>19</v>
      </c>
      <c r="C8615" t="s">
        <v>6</v>
      </c>
      <c r="D8615" s="3">
        <v>14839.4316</v>
      </c>
      <c r="E8615" s="3">
        <v>0</v>
      </c>
      <c r="F8615" t="s">
        <v>45</v>
      </c>
      <c r="G8615" s="3">
        <f t="shared" si="1023"/>
        <v>-14839.4316</v>
      </c>
      <c r="H8615" s="3">
        <f t="shared" si="1024"/>
        <v>14839.4316</v>
      </c>
      <c r="I8615" s="5" t="str">
        <f t="shared" si="1025"/>
        <v>018</v>
      </c>
      <c r="J8615" s="5" t="str">
        <f t="shared" si="1026"/>
        <v>2100</v>
      </c>
      <c r="K8615" s="5" t="str">
        <f t="shared" si="1027"/>
        <v>000</v>
      </c>
      <c r="L8615" s="5">
        <f t="shared" si="1028"/>
        <v>9</v>
      </c>
      <c r="M8615" s="5">
        <f t="shared" si="1029"/>
        <v>2013</v>
      </c>
    </row>
    <row r="8616" spans="1:13" ht="15" x14ac:dyDescent="0.25">
      <c r="A8616" s="1">
        <f>DATE(2013,9,28)</f>
        <v>41545</v>
      </c>
      <c r="B8616" t="s">
        <v>20</v>
      </c>
      <c r="C8616" t="s">
        <v>8</v>
      </c>
      <c r="D8616" s="3">
        <v>3612.3469999999998</v>
      </c>
      <c r="E8616" s="3">
        <v>0</v>
      </c>
      <c r="F8616" t="s">
        <v>45</v>
      </c>
      <c r="G8616" s="3">
        <f t="shared" si="1023"/>
        <v>-3612.3469999999998</v>
      </c>
      <c r="H8616" s="3">
        <f t="shared" si="1024"/>
        <v>3612.3469999999998</v>
      </c>
      <c r="I8616" s="5" t="str">
        <f t="shared" si="1025"/>
        <v>018</v>
      </c>
      <c r="J8616" s="5" t="str">
        <f t="shared" si="1026"/>
        <v>2210</v>
      </c>
      <c r="K8616" s="5" t="str">
        <f t="shared" si="1027"/>
        <v>000</v>
      </c>
      <c r="L8616" s="5">
        <f t="shared" si="1028"/>
        <v>9</v>
      </c>
      <c r="M8616" s="5">
        <f t="shared" si="1029"/>
        <v>2013</v>
      </c>
    </row>
    <row r="8617" spans="1:13" ht="15" x14ac:dyDescent="0.25">
      <c r="A8617" s="1">
        <f>DATE(2013,9,28)</f>
        <v>41545</v>
      </c>
      <c r="B8617" t="s">
        <v>21</v>
      </c>
      <c r="C8617" t="s">
        <v>9</v>
      </c>
      <c r="D8617" s="3">
        <v>716.35199999999998</v>
      </c>
      <c r="E8617" s="3">
        <v>0</v>
      </c>
      <c r="F8617" t="s">
        <v>45</v>
      </c>
      <c r="G8617" s="3">
        <f t="shared" si="1023"/>
        <v>-716.35199999999998</v>
      </c>
      <c r="H8617" s="3">
        <f t="shared" si="1024"/>
        <v>716.35199999999998</v>
      </c>
      <c r="I8617" s="5" t="str">
        <f t="shared" si="1025"/>
        <v>018</v>
      </c>
      <c r="J8617" s="5" t="str">
        <f t="shared" si="1026"/>
        <v>2220</v>
      </c>
      <c r="K8617" s="5" t="str">
        <f t="shared" si="1027"/>
        <v>000</v>
      </c>
      <c r="L8617" s="5">
        <f t="shared" si="1028"/>
        <v>9</v>
      </c>
      <c r="M8617" s="5">
        <f t="shared" si="1029"/>
        <v>2013</v>
      </c>
    </row>
    <row r="8618" spans="1:13" ht="15" x14ac:dyDescent="0.25">
      <c r="A8618" s="1">
        <f>DATE(2013,9,28)</f>
        <v>41545</v>
      </c>
      <c r="B8618" t="s">
        <v>22</v>
      </c>
      <c r="C8618" t="s">
        <v>10</v>
      </c>
      <c r="D8618" s="3">
        <v>147.30939999999998</v>
      </c>
      <c r="E8618" s="3">
        <v>0</v>
      </c>
      <c r="F8618" t="s">
        <v>45</v>
      </c>
      <c r="G8618" s="3">
        <f t="shared" si="1023"/>
        <v>-147.30939999999998</v>
      </c>
      <c r="H8618" s="3">
        <f t="shared" si="1024"/>
        <v>147.30939999999998</v>
      </c>
      <c r="I8618" s="5" t="str">
        <f t="shared" si="1025"/>
        <v>018</v>
      </c>
      <c r="J8618" s="5" t="str">
        <f t="shared" si="1026"/>
        <v>2230</v>
      </c>
      <c r="K8618" s="5" t="str">
        <f t="shared" si="1027"/>
        <v>000</v>
      </c>
      <c r="L8618" s="5">
        <f t="shared" si="1028"/>
        <v>9</v>
      </c>
      <c r="M8618" s="5">
        <f t="shared" si="1029"/>
        <v>2013</v>
      </c>
    </row>
    <row r="8619" spans="1:13" ht="15" x14ac:dyDescent="0.25">
      <c r="A8619" s="1">
        <f>DATE(2013,9,29)</f>
        <v>41546</v>
      </c>
      <c r="B8619" t="s">
        <v>19</v>
      </c>
      <c r="C8619" t="s">
        <v>6</v>
      </c>
      <c r="D8619" s="3">
        <v>11410.4288</v>
      </c>
      <c r="E8619" s="3">
        <v>0</v>
      </c>
      <c r="F8619" t="s">
        <v>45</v>
      </c>
      <c r="G8619" s="3">
        <f t="shared" si="1023"/>
        <v>-11410.4288</v>
      </c>
      <c r="H8619" s="3">
        <f t="shared" si="1024"/>
        <v>11410.4288</v>
      </c>
      <c r="I8619" s="5" t="str">
        <f t="shared" si="1025"/>
        <v>018</v>
      </c>
      <c r="J8619" s="5" t="str">
        <f t="shared" si="1026"/>
        <v>2100</v>
      </c>
      <c r="K8619" s="5" t="str">
        <f t="shared" si="1027"/>
        <v>000</v>
      </c>
      <c r="L8619" s="5">
        <f t="shared" si="1028"/>
        <v>9</v>
      </c>
      <c r="M8619" s="5">
        <f t="shared" si="1029"/>
        <v>2013</v>
      </c>
    </row>
    <row r="8620" spans="1:13" ht="15" x14ac:dyDescent="0.25">
      <c r="A8620" s="1">
        <f>DATE(2013,9,29)</f>
        <v>41546</v>
      </c>
      <c r="B8620" t="s">
        <v>20</v>
      </c>
      <c r="C8620" t="s">
        <v>8</v>
      </c>
      <c r="D8620" s="3">
        <v>835.79480000000001</v>
      </c>
      <c r="E8620" s="3">
        <v>0</v>
      </c>
      <c r="F8620" t="s">
        <v>45</v>
      </c>
      <c r="G8620" s="3">
        <f t="shared" si="1023"/>
        <v>-835.79480000000001</v>
      </c>
      <c r="H8620" s="3">
        <f t="shared" si="1024"/>
        <v>835.79480000000001</v>
      </c>
      <c r="I8620" s="5" t="str">
        <f t="shared" si="1025"/>
        <v>018</v>
      </c>
      <c r="J8620" s="5" t="str">
        <f t="shared" si="1026"/>
        <v>2210</v>
      </c>
      <c r="K8620" s="5" t="str">
        <f t="shared" si="1027"/>
        <v>000</v>
      </c>
      <c r="L8620" s="5">
        <f t="shared" si="1028"/>
        <v>9</v>
      </c>
      <c r="M8620" s="5">
        <f t="shared" si="1029"/>
        <v>2013</v>
      </c>
    </row>
    <row r="8621" spans="1:13" ht="15" x14ac:dyDescent="0.25">
      <c r="A8621" s="1">
        <f>DATE(2013,9,29)</f>
        <v>41546</v>
      </c>
      <c r="B8621" t="s">
        <v>21</v>
      </c>
      <c r="C8621" t="s">
        <v>9</v>
      </c>
      <c r="D8621" s="3">
        <v>137.61520000000002</v>
      </c>
      <c r="E8621" s="3">
        <v>0</v>
      </c>
      <c r="F8621" t="s">
        <v>45</v>
      </c>
      <c r="G8621" s="3">
        <f t="shared" si="1023"/>
        <v>-137.61520000000002</v>
      </c>
      <c r="H8621" s="3">
        <f t="shared" si="1024"/>
        <v>137.61520000000002</v>
      </c>
      <c r="I8621" s="5" t="str">
        <f t="shared" si="1025"/>
        <v>018</v>
      </c>
      <c r="J8621" s="5" t="str">
        <f t="shared" si="1026"/>
        <v>2220</v>
      </c>
      <c r="K8621" s="5" t="str">
        <f t="shared" si="1027"/>
        <v>000</v>
      </c>
      <c r="L8621" s="5">
        <f t="shared" si="1028"/>
        <v>9</v>
      </c>
      <c r="M8621" s="5">
        <f t="shared" si="1029"/>
        <v>2013</v>
      </c>
    </row>
    <row r="8622" spans="1:13" ht="15" x14ac:dyDescent="0.25">
      <c r="A8622" s="1">
        <f>DATE(2013,9,29)</f>
        <v>41546</v>
      </c>
      <c r="B8622" t="s">
        <v>22</v>
      </c>
      <c r="C8622" t="s">
        <v>10</v>
      </c>
      <c r="D8622" s="3">
        <v>56.393999999999998</v>
      </c>
      <c r="E8622" s="3">
        <v>0</v>
      </c>
      <c r="F8622" t="s">
        <v>45</v>
      </c>
      <c r="G8622" s="3">
        <f t="shared" si="1023"/>
        <v>-56.393999999999998</v>
      </c>
      <c r="H8622" s="3">
        <f t="shared" si="1024"/>
        <v>56.393999999999998</v>
      </c>
      <c r="I8622" s="5" t="str">
        <f t="shared" si="1025"/>
        <v>018</v>
      </c>
      <c r="J8622" s="5" t="str">
        <f t="shared" si="1026"/>
        <v>2230</v>
      </c>
      <c r="K8622" s="5" t="str">
        <f t="shared" si="1027"/>
        <v>000</v>
      </c>
      <c r="L8622" s="5">
        <f t="shared" si="1028"/>
        <v>9</v>
      </c>
      <c r="M8622" s="5">
        <f t="shared" si="1029"/>
        <v>2013</v>
      </c>
    </row>
    <row r="8623" spans="1:13" ht="15" x14ac:dyDescent="0.25">
      <c r="A8623" s="1">
        <f>DATE(2013,9,23)</f>
        <v>41540</v>
      </c>
      <c r="B8623" t="s">
        <v>23</v>
      </c>
      <c r="C8623" t="s">
        <v>6</v>
      </c>
      <c r="D8623" s="3">
        <v>2812.4960000000001</v>
      </c>
      <c r="E8623" s="3">
        <v>0</v>
      </c>
      <c r="F8623" t="s">
        <v>45</v>
      </c>
      <c r="G8623" s="3">
        <f t="shared" si="1023"/>
        <v>-2812.4960000000001</v>
      </c>
      <c r="H8623" s="3">
        <f t="shared" si="1024"/>
        <v>2812.4960000000001</v>
      </c>
      <c r="I8623" s="5" t="str">
        <f t="shared" si="1025"/>
        <v>019</v>
      </c>
      <c r="J8623" s="5" t="str">
        <f t="shared" si="1026"/>
        <v>2100</v>
      </c>
      <c r="K8623" s="5" t="str">
        <f t="shared" si="1027"/>
        <v>000</v>
      </c>
      <c r="L8623" s="5">
        <f t="shared" si="1028"/>
        <v>9</v>
      </c>
      <c r="M8623" s="5">
        <f t="shared" si="1029"/>
        <v>2013</v>
      </c>
    </row>
    <row r="8624" spans="1:13" ht="15" x14ac:dyDescent="0.25">
      <c r="A8624" s="1">
        <f>DATE(2013,9,23)</f>
        <v>41540</v>
      </c>
      <c r="B8624" t="s">
        <v>24</v>
      </c>
      <c r="C8624" t="s">
        <v>8</v>
      </c>
      <c r="D8624" s="3">
        <v>272.66390000000001</v>
      </c>
      <c r="E8624" s="3">
        <v>0</v>
      </c>
      <c r="F8624" t="s">
        <v>45</v>
      </c>
      <c r="G8624" s="3">
        <f t="shared" si="1023"/>
        <v>-272.66390000000001</v>
      </c>
      <c r="H8624" s="3">
        <f t="shared" si="1024"/>
        <v>272.66390000000001</v>
      </c>
      <c r="I8624" s="5" t="str">
        <f t="shared" si="1025"/>
        <v>019</v>
      </c>
      <c r="J8624" s="5" t="str">
        <f t="shared" si="1026"/>
        <v>2210</v>
      </c>
      <c r="K8624" s="5" t="str">
        <f t="shared" si="1027"/>
        <v>000</v>
      </c>
      <c r="L8624" s="5">
        <f t="shared" si="1028"/>
        <v>9</v>
      </c>
      <c r="M8624" s="5">
        <f t="shared" si="1029"/>
        <v>2013</v>
      </c>
    </row>
    <row r="8625" spans="1:13" ht="15" x14ac:dyDescent="0.25">
      <c r="A8625" s="1">
        <f>DATE(2013,9,23)</f>
        <v>41540</v>
      </c>
      <c r="B8625" t="s">
        <v>25</v>
      </c>
      <c r="C8625" t="s">
        <v>9</v>
      </c>
      <c r="D8625" s="3">
        <v>175.28319999999999</v>
      </c>
      <c r="E8625" s="3">
        <v>0</v>
      </c>
      <c r="F8625" t="s">
        <v>45</v>
      </c>
      <c r="G8625" s="3">
        <f t="shared" si="1023"/>
        <v>-175.28319999999999</v>
      </c>
      <c r="H8625" s="3">
        <f t="shared" si="1024"/>
        <v>175.28319999999999</v>
      </c>
      <c r="I8625" s="5" t="str">
        <f t="shared" si="1025"/>
        <v>019</v>
      </c>
      <c r="J8625" s="5" t="str">
        <f t="shared" si="1026"/>
        <v>2220</v>
      </c>
      <c r="K8625" s="5" t="str">
        <f t="shared" si="1027"/>
        <v>000</v>
      </c>
      <c r="L8625" s="5">
        <f t="shared" si="1028"/>
        <v>9</v>
      </c>
      <c r="M8625" s="5">
        <f t="shared" si="1029"/>
        <v>2013</v>
      </c>
    </row>
    <row r="8626" spans="1:13" ht="15" x14ac:dyDescent="0.25">
      <c r="A8626" s="1">
        <f>DATE(2013,9,23)</f>
        <v>41540</v>
      </c>
      <c r="B8626" t="s">
        <v>26</v>
      </c>
      <c r="C8626" t="s">
        <v>10</v>
      </c>
      <c r="D8626" s="3">
        <v>47.844000000000001</v>
      </c>
      <c r="E8626" s="3">
        <v>0</v>
      </c>
      <c r="F8626" t="s">
        <v>45</v>
      </c>
      <c r="G8626" s="3">
        <f t="shared" si="1023"/>
        <v>-47.844000000000001</v>
      </c>
      <c r="H8626" s="3">
        <f t="shared" si="1024"/>
        <v>47.844000000000001</v>
      </c>
      <c r="I8626" s="5" t="str">
        <f t="shared" si="1025"/>
        <v>019</v>
      </c>
      <c r="J8626" s="5" t="str">
        <f t="shared" si="1026"/>
        <v>2230</v>
      </c>
      <c r="K8626" s="5" t="str">
        <f t="shared" si="1027"/>
        <v>000</v>
      </c>
      <c r="L8626" s="5">
        <f t="shared" si="1028"/>
        <v>9</v>
      </c>
      <c r="M8626" s="5">
        <f t="shared" si="1029"/>
        <v>2013</v>
      </c>
    </row>
    <row r="8627" spans="1:13" ht="15" x14ac:dyDescent="0.25">
      <c r="A8627" s="1">
        <f>DATE(2013,9,24)</f>
        <v>41541</v>
      </c>
      <c r="B8627" t="s">
        <v>23</v>
      </c>
      <c r="C8627" t="s">
        <v>6</v>
      </c>
      <c r="D8627" s="3">
        <v>3634.3679999999999</v>
      </c>
      <c r="E8627" s="3">
        <v>0</v>
      </c>
      <c r="F8627" t="s">
        <v>45</v>
      </c>
      <c r="G8627" s="3">
        <f t="shared" si="1023"/>
        <v>-3634.3679999999999</v>
      </c>
      <c r="H8627" s="3">
        <f t="shared" si="1024"/>
        <v>3634.3679999999999</v>
      </c>
      <c r="I8627" s="5" t="str">
        <f t="shared" si="1025"/>
        <v>019</v>
      </c>
      <c r="J8627" s="5" t="str">
        <f t="shared" si="1026"/>
        <v>2100</v>
      </c>
      <c r="K8627" s="5" t="str">
        <f t="shared" si="1027"/>
        <v>000</v>
      </c>
      <c r="L8627" s="5">
        <f t="shared" si="1028"/>
        <v>9</v>
      </c>
      <c r="M8627" s="5">
        <f t="shared" si="1029"/>
        <v>2013</v>
      </c>
    </row>
    <row r="8628" spans="1:13" ht="15" x14ac:dyDescent="0.25">
      <c r="A8628" s="1">
        <f>DATE(2013,9,24)</f>
        <v>41541</v>
      </c>
      <c r="B8628" t="s">
        <v>24</v>
      </c>
      <c r="C8628" t="s">
        <v>8</v>
      </c>
      <c r="D8628" s="3">
        <v>971.0444</v>
      </c>
      <c r="E8628" s="3">
        <v>0</v>
      </c>
      <c r="F8628" t="s">
        <v>45</v>
      </c>
      <c r="G8628" s="3">
        <f t="shared" si="1023"/>
        <v>-971.0444</v>
      </c>
      <c r="H8628" s="3">
        <f t="shared" si="1024"/>
        <v>971.0444</v>
      </c>
      <c r="I8628" s="5" t="str">
        <f t="shared" si="1025"/>
        <v>019</v>
      </c>
      <c r="J8628" s="5" t="str">
        <f t="shared" si="1026"/>
        <v>2210</v>
      </c>
      <c r="K8628" s="5" t="str">
        <f t="shared" si="1027"/>
        <v>000</v>
      </c>
      <c r="L8628" s="5">
        <f t="shared" si="1028"/>
        <v>9</v>
      </c>
      <c r="M8628" s="5">
        <f t="shared" si="1029"/>
        <v>2013</v>
      </c>
    </row>
    <row r="8629" spans="1:13" ht="15" x14ac:dyDescent="0.25">
      <c r="A8629" s="1">
        <f>DATE(2013,9,24)</f>
        <v>41541</v>
      </c>
      <c r="B8629" t="s">
        <v>25</v>
      </c>
      <c r="C8629" t="s">
        <v>9</v>
      </c>
      <c r="D8629" s="3">
        <v>220.23</v>
      </c>
      <c r="E8629" s="3">
        <v>0</v>
      </c>
      <c r="F8629" t="s">
        <v>45</v>
      </c>
      <c r="G8629" s="3">
        <f t="shared" si="1023"/>
        <v>-220.23</v>
      </c>
      <c r="H8629" s="3">
        <f t="shared" si="1024"/>
        <v>220.23</v>
      </c>
      <c r="I8629" s="5" t="str">
        <f t="shared" si="1025"/>
        <v>019</v>
      </c>
      <c r="J8629" s="5" t="str">
        <f t="shared" si="1026"/>
        <v>2220</v>
      </c>
      <c r="K8629" s="5" t="str">
        <f t="shared" si="1027"/>
        <v>000</v>
      </c>
      <c r="L8629" s="5">
        <f t="shared" si="1028"/>
        <v>9</v>
      </c>
      <c r="M8629" s="5">
        <f t="shared" si="1029"/>
        <v>2013</v>
      </c>
    </row>
    <row r="8630" spans="1:13" ht="15" x14ac:dyDescent="0.25">
      <c r="A8630" s="1">
        <f>DATE(2013,9,24)</f>
        <v>41541</v>
      </c>
      <c r="B8630" t="s">
        <v>26</v>
      </c>
      <c r="C8630" t="s">
        <v>10</v>
      </c>
      <c r="D8630" s="3">
        <v>13.724</v>
      </c>
      <c r="E8630" s="3">
        <v>0</v>
      </c>
      <c r="F8630" t="s">
        <v>45</v>
      </c>
      <c r="G8630" s="3">
        <f t="shared" si="1023"/>
        <v>-13.724</v>
      </c>
      <c r="H8630" s="3">
        <f t="shared" si="1024"/>
        <v>13.724</v>
      </c>
      <c r="I8630" s="5" t="str">
        <f t="shared" si="1025"/>
        <v>019</v>
      </c>
      <c r="J8630" s="5" t="str">
        <f t="shared" si="1026"/>
        <v>2230</v>
      </c>
      <c r="K8630" s="5" t="str">
        <f t="shared" si="1027"/>
        <v>000</v>
      </c>
      <c r="L8630" s="5">
        <f t="shared" si="1028"/>
        <v>9</v>
      </c>
      <c r="M8630" s="5">
        <f t="shared" si="1029"/>
        <v>2013</v>
      </c>
    </row>
    <row r="8631" spans="1:13" ht="15" x14ac:dyDescent="0.25">
      <c r="A8631" s="1">
        <f>DATE(2013,9,25)</f>
        <v>41542</v>
      </c>
      <c r="B8631" t="s">
        <v>23</v>
      </c>
      <c r="C8631" t="s">
        <v>6</v>
      </c>
      <c r="D8631" s="3">
        <v>6642.1621999999998</v>
      </c>
      <c r="E8631" s="3">
        <v>0</v>
      </c>
      <c r="F8631" t="s">
        <v>45</v>
      </c>
      <c r="G8631" s="3">
        <f t="shared" si="1023"/>
        <v>-6642.1621999999998</v>
      </c>
      <c r="H8631" s="3">
        <f t="shared" si="1024"/>
        <v>6642.1621999999998</v>
      </c>
      <c r="I8631" s="5" t="str">
        <f t="shared" si="1025"/>
        <v>019</v>
      </c>
      <c r="J8631" s="5" t="str">
        <f t="shared" si="1026"/>
        <v>2100</v>
      </c>
      <c r="K8631" s="5" t="str">
        <f t="shared" si="1027"/>
        <v>000</v>
      </c>
      <c r="L8631" s="5">
        <f t="shared" si="1028"/>
        <v>9</v>
      </c>
      <c r="M8631" s="5">
        <f t="shared" si="1029"/>
        <v>2013</v>
      </c>
    </row>
    <row r="8632" spans="1:13" ht="15" x14ac:dyDescent="0.25">
      <c r="A8632" s="1">
        <f>DATE(2013,9,25)</f>
        <v>41542</v>
      </c>
      <c r="B8632" t="s">
        <v>24</v>
      </c>
      <c r="C8632" t="s">
        <v>8</v>
      </c>
      <c r="D8632" s="3">
        <v>2151.5948000000003</v>
      </c>
      <c r="E8632" s="3">
        <v>0</v>
      </c>
      <c r="F8632" t="s">
        <v>45</v>
      </c>
      <c r="G8632" s="3">
        <f t="shared" si="1023"/>
        <v>-2151.5948000000003</v>
      </c>
      <c r="H8632" s="3">
        <f t="shared" si="1024"/>
        <v>2151.5948000000003</v>
      </c>
      <c r="I8632" s="5" t="str">
        <f t="shared" si="1025"/>
        <v>019</v>
      </c>
      <c r="J8632" s="5" t="str">
        <f t="shared" si="1026"/>
        <v>2210</v>
      </c>
      <c r="K8632" s="5" t="str">
        <f t="shared" si="1027"/>
        <v>000</v>
      </c>
      <c r="L8632" s="5">
        <f t="shared" si="1028"/>
        <v>9</v>
      </c>
      <c r="M8632" s="5">
        <f t="shared" si="1029"/>
        <v>2013</v>
      </c>
    </row>
    <row r="8633" spans="1:13" ht="15" x14ac:dyDescent="0.25">
      <c r="A8633" s="1">
        <f>DATE(2013,9,25)</f>
        <v>41542</v>
      </c>
      <c r="B8633" t="s">
        <v>25</v>
      </c>
      <c r="C8633" t="s">
        <v>9</v>
      </c>
      <c r="D8633" s="3">
        <v>424.86990000000003</v>
      </c>
      <c r="E8633" s="3">
        <v>0</v>
      </c>
      <c r="F8633" t="s">
        <v>45</v>
      </c>
      <c r="G8633" s="3">
        <f t="shared" si="1023"/>
        <v>-424.86990000000003</v>
      </c>
      <c r="H8633" s="3">
        <f t="shared" si="1024"/>
        <v>424.86990000000003</v>
      </c>
      <c r="I8633" s="5" t="str">
        <f t="shared" si="1025"/>
        <v>019</v>
      </c>
      <c r="J8633" s="5" t="str">
        <f t="shared" si="1026"/>
        <v>2220</v>
      </c>
      <c r="K8633" s="5" t="str">
        <f t="shared" si="1027"/>
        <v>000</v>
      </c>
      <c r="L8633" s="5">
        <f t="shared" si="1028"/>
        <v>9</v>
      </c>
      <c r="M8633" s="5">
        <f t="shared" si="1029"/>
        <v>2013</v>
      </c>
    </row>
    <row r="8634" spans="1:13" ht="15" x14ac:dyDescent="0.25">
      <c r="A8634" s="1">
        <f>DATE(2013,9,25)</f>
        <v>41542</v>
      </c>
      <c r="B8634" t="s">
        <v>26</v>
      </c>
      <c r="C8634" t="s">
        <v>10</v>
      </c>
      <c r="D8634" s="3">
        <v>120.08759999999998</v>
      </c>
      <c r="E8634" s="3">
        <v>0</v>
      </c>
      <c r="F8634" t="s">
        <v>45</v>
      </c>
      <c r="G8634" s="3">
        <f t="shared" si="1023"/>
        <v>-120.08759999999998</v>
      </c>
      <c r="H8634" s="3">
        <f t="shared" si="1024"/>
        <v>120.08759999999998</v>
      </c>
      <c r="I8634" s="5" t="str">
        <f t="shared" si="1025"/>
        <v>019</v>
      </c>
      <c r="J8634" s="5" t="str">
        <f t="shared" si="1026"/>
        <v>2230</v>
      </c>
      <c r="K8634" s="5" t="str">
        <f t="shared" si="1027"/>
        <v>000</v>
      </c>
      <c r="L8634" s="5">
        <f t="shared" si="1028"/>
        <v>9</v>
      </c>
      <c r="M8634" s="5">
        <f t="shared" si="1029"/>
        <v>2013</v>
      </c>
    </row>
    <row r="8635" spans="1:13" ht="15" x14ac:dyDescent="0.25">
      <c r="A8635" s="1">
        <f>DATE(2013,9,26)</f>
        <v>41543</v>
      </c>
      <c r="B8635" t="s">
        <v>23</v>
      </c>
      <c r="C8635" t="s">
        <v>6</v>
      </c>
      <c r="D8635" s="3">
        <v>4047.3043000000002</v>
      </c>
      <c r="E8635" s="3">
        <v>0</v>
      </c>
      <c r="F8635" t="s">
        <v>45</v>
      </c>
      <c r="G8635" s="3">
        <f t="shared" si="1023"/>
        <v>-4047.3043000000002</v>
      </c>
      <c r="H8635" s="3">
        <f t="shared" si="1024"/>
        <v>4047.3043000000002</v>
      </c>
      <c r="I8635" s="5" t="str">
        <f t="shared" si="1025"/>
        <v>019</v>
      </c>
      <c r="J8635" s="5" t="str">
        <f t="shared" si="1026"/>
        <v>2100</v>
      </c>
      <c r="K8635" s="5" t="str">
        <f t="shared" si="1027"/>
        <v>000</v>
      </c>
      <c r="L8635" s="5">
        <f t="shared" si="1028"/>
        <v>9</v>
      </c>
      <c r="M8635" s="5">
        <f t="shared" si="1029"/>
        <v>2013</v>
      </c>
    </row>
    <row r="8636" spans="1:13" ht="15" x14ac:dyDescent="0.25">
      <c r="A8636" s="1">
        <f>DATE(2013,9,26)</f>
        <v>41543</v>
      </c>
      <c r="B8636" t="s">
        <v>24</v>
      </c>
      <c r="C8636" t="s">
        <v>8</v>
      </c>
      <c r="D8636" s="3">
        <v>774.92250000000013</v>
      </c>
      <c r="E8636" s="3">
        <v>0</v>
      </c>
      <c r="F8636" t="s">
        <v>45</v>
      </c>
      <c r="G8636" s="3">
        <f t="shared" si="1023"/>
        <v>-774.92250000000013</v>
      </c>
      <c r="H8636" s="3">
        <f t="shared" si="1024"/>
        <v>774.92250000000013</v>
      </c>
      <c r="I8636" s="5" t="str">
        <f t="shared" si="1025"/>
        <v>019</v>
      </c>
      <c r="J8636" s="5" t="str">
        <f t="shared" si="1026"/>
        <v>2210</v>
      </c>
      <c r="K8636" s="5" t="str">
        <f t="shared" si="1027"/>
        <v>000</v>
      </c>
      <c r="L8636" s="5">
        <f t="shared" si="1028"/>
        <v>9</v>
      </c>
      <c r="M8636" s="5">
        <f t="shared" si="1029"/>
        <v>2013</v>
      </c>
    </row>
    <row r="8637" spans="1:13" ht="15" x14ac:dyDescent="0.25">
      <c r="A8637" s="1">
        <f>DATE(2013,9,26)</f>
        <v>41543</v>
      </c>
      <c r="B8637" t="s">
        <v>25</v>
      </c>
      <c r="C8637" t="s">
        <v>9</v>
      </c>
      <c r="D8637" s="3">
        <v>121.794</v>
      </c>
      <c r="E8637" s="3">
        <v>0</v>
      </c>
      <c r="F8637" t="s">
        <v>45</v>
      </c>
      <c r="G8637" s="3">
        <f t="shared" si="1023"/>
        <v>-121.794</v>
      </c>
      <c r="H8637" s="3">
        <f t="shared" si="1024"/>
        <v>121.794</v>
      </c>
      <c r="I8637" s="5" t="str">
        <f t="shared" si="1025"/>
        <v>019</v>
      </c>
      <c r="J8637" s="5" t="str">
        <f t="shared" si="1026"/>
        <v>2220</v>
      </c>
      <c r="K8637" s="5" t="str">
        <f t="shared" si="1027"/>
        <v>000</v>
      </c>
      <c r="L8637" s="5">
        <f t="shared" si="1028"/>
        <v>9</v>
      </c>
      <c r="M8637" s="5">
        <f t="shared" si="1029"/>
        <v>2013</v>
      </c>
    </row>
    <row r="8638" spans="1:13" ht="15" x14ac:dyDescent="0.25">
      <c r="A8638" s="1">
        <f>DATE(2013,9,26)</f>
        <v>41543</v>
      </c>
      <c r="B8638" t="s">
        <v>26</v>
      </c>
      <c r="C8638" t="s">
        <v>10</v>
      </c>
      <c r="D8638" s="3">
        <v>30.3324</v>
      </c>
      <c r="E8638" s="3">
        <v>0</v>
      </c>
      <c r="F8638" t="s">
        <v>45</v>
      </c>
      <c r="G8638" s="3">
        <f t="shared" si="1023"/>
        <v>-30.3324</v>
      </c>
      <c r="H8638" s="3">
        <f t="shared" si="1024"/>
        <v>30.3324</v>
      </c>
      <c r="I8638" s="5" t="str">
        <f t="shared" si="1025"/>
        <v>019</v>
      </c>
      <c r="J8638" s="5" t="str">
        <f t="shared" si="1026"/>
        <v>2230</v>
      </c>
      <c r="K8638" s="5" t="str">
        <f t="shared" si="1027"/>
        <v>000</v>
      </c>
      <c r="L8638" s="5">
        <f t="shared" si="1028"/>
        <v>9</v>
      </c>
      <c r="M8638" s="5">
        <f t="shared" si="1029"/>
        <v>2013</v>
      </c>
    </row>
    <row r="8639" spans="1:13" ht="15" x14ac:dyDescent="0.25">
      <c r="A8639" s="1">
        <f>DATE(2013,9,27)</f>
        <v>41544</v>
      </c>
      <c r="B8639" t="s">
        <v>23</v>
      </c>
      <c r="C8639" t="s">
        <v>6</v>
      </c>
      <c r="D8639" s="3">
        <v>5315.1665000000003</v>
      </c>
      <c r="E8639" s="3">
        <v>0</v>
      </c>
      <c r="F8639" t="s">
        <v>45</v>
      </c>
      <c r="G8639" s="3">
        <f t="shared" si="1023"/>
        <v>-5315.1665000000003</v>
      </c>
      <c r="H8639" s="3">
        <f t="shared" si="1024"/>
        <v>5315.1665000000003</v>
      </c>
      <c r="I8639" s="5" t="str">
        <f t="shared" si="1025"/>
        <v>019</v>
      </c>
      <c r="J8639" s="5" t="str">
        <f t="shared" si="1026"/>
        <v>2100</v>
      </c>
      <c r="K8639" s="5" t="str">
        <f t="shared" si="1027"/>
        <v>000</v>
      </c>
      <c r="L8639" s="5">
        <f t="shared" si="1028"/>
        <v>9</v>
      </c>
      <c r="M8639" s="5">
        <f t="shared" si="1029"/>
        <v>2013</v>
      </c>
    </row>
    <row r="8640" spans="1:13" ht="15" x14ac:dyDescent="0.25">
      <c r="A8640" s="1">
        <f>DATE(2013,9,27)</f>
        <v>41544</v>
      </c>
      <c r="B8640" t="s">
        <v>24</v>
      </c>
      <c r="C8640" t="s">
        <v>8</v>
      </c>
      <c r="D8640" s="3">
        <v>2424.6864</v>
      </c>
      <c r="E8640" s="3">
        <v>0</v>
      </c>
      <c r="F8640" t="s">
        <v>45</v>
      </c>
      <c r="G8640" s="3">
        <f t="shared" si="1023"/>
        <v>-2424.6864</v>
      </c>
      <c r="H8640" s="3">
        <f t="shared" si="1024"/>
        <v>2424.6864</v>
      </c>
      <c r="I8640" s="5" t="str">
        <f t="shared" si="1025"/>
        <v>019</v>
      </c>
      <c r="J8640" s="5" t="str">
        <f t="shared" si="1026"/>
        <v>2210</v>
      </c>
      <c r="K8640" s="5" t="str">
        <f t="shared" si="1027"/>
        <v>000</v>
      </c>
      <c r="L8640" s="5">
        <f t="shared" si="1028"/>
        <v>9</v>
      </c>
      <c r="M8640" s="5">
        <f t="shared" si="1029"/>
        <v>2013</v>
      </c>
    </row>
    <row r="8641" spans="1:13" ht="15" x14ac:dyDescent="0.25">
      <c r="A8641" s="1">
        <f>DATE(2013,9,27)</f>
        <v>41544</v>
      </c>
      <c r="B8641" t="s">
        <v>25</v>
      </c>
      <c r="C8641" t="s">
        <v>9</v>
      </c>
      <c r="D8641" s="3">
        <v>227.90399999999997</v>
      </c>
      <c r="E8641" s="3">
        <v>0</v>
      </c>
      <c r="F8641" t="s">
        <v>45</v>
      </c>
      <c r="G8641" s="3">
        <f t="shared" si="1023"/>
        <v>-227.90399999999997</v>
      </c>
      <c r="H8641" s="3">
        <f t="shared" si="1024"/>
        <v>227.90399999999997</v>
      </c>
      <c r="I8641" s="5" t="str">
        <f t="shared" si="1025"/>
        <v>019</v>
      </c>
      <c r="J8641" s="5" t="str">
        <f t="shared" si="1026"/>
        <v>2220</v>
      </c>
      <c r="K8641" s="5" t="str">
        <f t="shared" si="1027"/>
        <v>000</v>
      </c>
      <c r="L8641" s="5">
        <f t="shared" si="1028"/>
        <v>9</v>
      </c>
      <c r="M8641" s="5">
        <f t="shared" si="1029"/>
        <v>2013</v>
      </c>
    </row>
    <row r="8642" spans="1:13" ht="15" x14ac:dyDescent="0.25">
      <c r="A8642" s="1">
        <f>DATE(2013,9,27)</f>
        <v>41544</v>
      </c>
      <c r="B8642" t="s">
        <v>26</v>
      </c>
      <c r="C8642" t="s">
        <v>10</v>
      </c>
      <c r="D8642" s="3">
        <v>71.801100000000005</v>
      </c>
      <c r="E8642" s="3">
        <v>0</v>
      </c>
      <c r="F8642" t="s">
        <v>45</v>
      </c>
      <c r="G8642" s="3">
        <f t="shared" ref="G8642:G8705" si="1030">E8642-D8642</f>
        <v>-71.801100000000005</v>
      </c>
      <c r="H8642" s="3">
        <f t="shared" ref="H8642:H8705" si="1031">ABS(G8642)</f>
        <v>71.801100000000005</v>
      </c>
      <c r="I8642" s="5" t="str">
        <f t="shared" ref="I8642:I8705" si="1032">MID(B8642,1,3)</f>
        <v>019</v>
      </c>
      <c r="J8642" s="5" t="str">
        <f t="shared" ref="J8642:J8705" si="1033">MID(B8642,5,4)</f>
        <v>2230</v>
      </c>
      <c r="K8642" s="5" t="str">
        <f t="shared" ref="K8642:K8705" si="1034">MID(B8642,10,3)</f>
        <v>000</v>
      </c>
      <c r="L8642" s="5">
        <f t="shared" ref="L8642:L8705" si="1035">MONTH(A8642)</f>
        <v>9</v>
      </c>
      <c r="M8642" s="5">
        <f t="shared" ref="M8642:M8705" si="1036">YEAR(A8642)</f>
        <v>2013</v>
      </c>
    </row>
    <row r="8643" spans="1:13" ht="15" x14ac:dyDescent="0.25">
      <c r="A8643" s="1">
        <f>DATE(2013,9,28)</f>
        <v>41545</v>
      </c>
      <c r="B8643" t="s">
        <v>23</v>
      </c>
      <c r="C8643" t="s">
        <v>6</v>
      </c>
      <c r="D8643" s="3">
        <v>4852.7932000000001</v>
      </c>
      <c r="E8643" s="3">
        <v>0</v>
      </c>
      <c r="F8643" t="s">
        <v>45</v>
      </c>
      <c r="G8643" s="3">
        <f t="shared" si="1030"/>
        <v>-4852.7932000000001</v>
      </c>
      <c r="H8643" s="3">
        <f t="shared" si="1031"/>
        <v>4852.7932000000001</v>
      </c>
      <c r="I8643" s="5" t="str">
        <f t="shared" si="1032"/>
        <v>019</v>
      </c>
      <c r="J8643" s="5" t="str">
        <f t="shared" si="1033"/>
        <v>2100</v>
      </c>
      <c r="K8643" s="5" t="str">
        <f t="shared" si="1034"/>
        <v>000</v>
      </c>
      <c r="L8643" s="5">
        <f t="shared" si="1035"/>
        <v>9</v>
      </c>
      <c r="M8643" s="5">
        <f t="shared" si="1036"/>
        <v>2013</v>
      </c>
    </row>
    <row r="8644" spans="1:13" ht="15" x14ac:dyDescent="0.25">
      <c r="A8644" s="1">
        <f>DATE(2013,9,28)</f>
        <v>41545</v>
      </c>
      <c r="B8644" t="s">
        <v>24</v>
      </c>
      <c r="C8644" t="s">
        <v>8</v>
      </c>
      <c r="D8644" s="3">
        <v>2186.8110000000001</v>
      </c>
      <c r="E8644" s="3">
        <v>0</v>
      </c>
      <c r="F8644" t="s">
        <v>45</v>
      </c>
      <c r="G8644" s="3">
        <f t="shared" si="1030"/>
        <v>-2186.8110000000001</v>
      </c>
      <c r="H8644" s="3">
        <f t="shared" si="1031"/>
        <v>2186.8110000000001</v>
      </c>
      <c r="I8644" s="5" t="str">
        <f t="shared" si="1032"/>
        <v>019</v>
      </c>
      <c r="J8644" s="5" t="str">
        <f t="shared" si="1033"/>
        <v>2210</v>
      </c>
      <c r="K8644" s="5" t="str">
        <f t="shared" si="1034"/>
        <v>000</v>
      </c>
      <c r="L8644" s="5">
        <f t="shared" si="1035"/>
        <v>9</v>
      </c>
      <c r="M8644" s="5">
        <f t="shared" si="1036"/>
        <v>2013</v>
      </c>
    </row>
    <row r="8645" spans="1:13" ht="15" x14ac:dyDescent="0.25">
      <c r="A8645" s="1">
        <f>DATE(2013,9,28)</f>
        <v>41545</v>
      </c>
      <c r="B8645" t="s">
        <v>25</v>
      </c>
      <c r="C8645" t="s">
        <v>9</v>
      </c>
      <c r="D8645" s="3">
        <v>420.88600000000002</v>
      </c>
      <c r="E8645" s="3">
        <v>0</v>
      </c>
      <c r="F8645" t="s">
        <v>45</v>
      </c>
      <c r="G8645" s="3">
        <f t="shared" si="1030"/>
        <v>-420.88600000000002</v>
      </c>
      <c r="H8645" s="3">
        <f t="shared" si="1031"/>
        <v>420.88600000000002</v>
      </c>
      <c r="I8645" s="5" t="str">
        <f t="shared" si="1032"/>
        <v>019</v>
      </c>
      <c r="J8645" s="5" t="str">
        <f t="shared" si="1033"/>
        <v>2220</v>
      </c>
      <c r="K8645" s="5" t="str">
        <f t="shared" si="1034"/>
        <v>000</v>
      </c>
      <c r="L8645" s="5">
        <f t="shared" si="1035"/>
        <v>9</v>
      </c>
      <c r="M8645" s="5">
        <f t="shared" si="1036"/>
        <v>2013</v>
      </c>
    </row>
    <row r="8646" spans="1:13" ht="15" x14ac:dyDescent="0.25">
      <c r="A8646" s="1">
        <f>DATE(2013,9,28)</f>
        <v>41545</v>
      </c>
      <c r="B8646" t="s">
        <v>26</v>
      </c>
      <c r="C8646" t="s">
        <v>10</v>
      </c>
      <c r="D8646" s="3">
        <v>108.19480000000001</v>
      </c>
      <c r="E8646" s="3">
        <v>0</v>
      </c>
      <c r="F8646" t="s">
        <v>45</v>
      </c>
      <c r="G8646" s="3">
        <f t="shared" si="1030"/>
        <v>-108.19480000000001</v>
      </c>
      <c r="H8646" s="3">
        <f t="shared" si="1031"/>
        <v>108.19480000000001</v>
      </c>
      <c r="I8646" s="5" t="str">
        <f t="shared" si="1032"/>
        <v>019</v>
      </c>
      <c r="J8646" s="5" t="str">
        <f t="shared" si="1033"/>
        <v>2230</v>
      </c>
      <c r="K8646" s="5" t="str">
        <f t="shared" si="1034"/>
        <v>000</v>
      </c>
      <c r="L8646" s="5">
        <f t="shared" si="1035"/>
        <v>9</v>
      </c>
      <c r="M8646" s="5">
        <f t="shared" si="1036"/>
        <v>2013</v>
      </c>
    </row>
    <row r="8647" spans="1:13" ht="15" x14ac:dyDescent="0.25">
      <c r="A8647" s="1">
        <f>DATE(2013,9,29)</f>
        <v>41546</v>
      </c>
      <c r="B8647" t="s">
        <v>23</v>
      </c>
      <c r="C8647" t="s">
        <v>6</v>
      </c>
      <c r="D8647" s="3">
        <v>2587.6566000000003</v>
      </c>
      <c r="E8647" s="3">
        <v>0</v>
      </c>
      <c r="F8647" t="s">
        <v>45</v>
      </c>
      <c r="G8647" s="3">
        <f t="shared" si="1030"/>
        <v>-2587.6566000000003</v>
      </c>
      <c r="H8647" s="3">
        <f t="shared" si="1031"/>
        <v>2587.6566000000003</v>
      </c>
      <c r="I8647" s="5" t="str">
        <f t="shared" si="1032"/>
        <v>019</v>
      </c>
      <c r="J8647" s="5" t="str">
        <f t="shared" si="1033"/>
        <v>2100</v>
      </c>
      <c r="K8647" s="5" t="str">
        <f t="shared" si="1034"/>
        <v>000</v>
      </c>
      <c r="L8647" s="5">
        <f t="shared" si="1035"/>
        <v>9</v>
      </c>
      <c r="M8647" s="5">
        <f t="shared" si="1036"/>
        <v>2013</v>
      </c>
    </row>
    <row r="8648" spans="1:13" ht="15" x14ac:dyDescent="0.25">
      <c r="A8648" s="1">
        <f>DATE(2013,9,29)</f>
        <v>41546</v>
      </c>
      <c r="B8648" t="s">
        <v>24</v>
      </c>
      <c r="C8648" t="s">
        <v>8</v>
      </c>
      <c r="D8648" s="3">
        <v>799.19669999999996</v>
      </c>
      <c r="E8648" s="3">
        <v>0</v>
      </c>
      <c r="F8648" t="s">
        <v>45</v>
      </c>
      <c r="G8648" s="3">
        <f t="shared" si="1030"/>
        <v>-799.19669999999996</v>
      </c>
      <c r="H8648" s="3">
        <f t="shared" si="1031"/>
        <v>799.19669999999996</v>
      </c>
      <c r="I8648" s="5" t="str">
        <f t="shared" si="1032"/>
        <v>019</v>
      </c>
      <c r="J8648" s="5" t="str">
        <f t="shared" si="1033"/>
        <v>2210</v>
      </c>
      <c r="K8648" s="5" t="str">
        <f t="shared" si="1034"/>
        <v>000</v>
      </c>
      <c r="L8648" s="5">
        <f t="shared" si="1035"/>
        <v>9</v>
      </c>
      <c r="M8648" s="5">
        <f t="shared" si="1036"/>
        <v>2013</v>
      </c>
    </row>
    <row r="8649" spans="1:13" ht="15" x14ac:dyDescent="0.25">
      <c r="A8649" s="1">
        <f>DATE(2013,9,29)</f>
        <v>41546</v>
      </c>
      <c r="B8649" t="s">
        <v>25</v>
      </c>
      <c r="C8649" t="s">
        <v>9</v>
      </c>
      <c r="D8649" s="3">
        <v>245.80919999999998</v>
      </c>
      <c r="E8649" s="3">
        <v>0</v>
      </c>
      <c r="F8649" t="s">
        <v>45</v>
      </c>
      <c r="G8649" s="3">
        <f t="shared" si="1030"/>
        <v>-245.80919999999998</v>
      </c>
      <c r="H8649" s="3">
        <f t="shared" si="1031"/>
        <v>245.80919999999998</v>
      </c>
      <c r="I8649" s="5" t="str">
        <f t="shared" si="1032"/>
        <v>019</v>
      </c>
      <c r="J8649" s="5" t="str">
        <f t="shared" si="1033"/>
        <v>2220</v>
      </c>
      <c r="K8649" s="5" t="str">
        <f t="shared" si="1034"/>
        <v>000</v>
      </c>
      <c r="L8649" s="5">
        <f t="shared" si="1035"/>
        <v>9</v>
      </c>
      <c r="M8649" s="5">
        <f t="shared" si="1036"/>
        <v>2013</v>
      </c>
    </row>
    <row r="8650" spans="1:13" ht="15" x14ac:dyDescent="0.25">
      <c r="A8650" s="1">
        <f>DATE(2013,9,29)</f>
        <v>41546</v>
      </c>
      <c r="B8650" t="s">
        <v>26</v>
      </c>
      <c r="C8650" t="s">
        <v>10</v>
      </c>
      <c r="D8650" s="3">
        <v>131.33679999999998</v>
      </c>
      <c r="E8650" s="3">
        <v>0</v>
      </c>
      <c r="F8650" t="s">
        <v>45</v>
      </c>
      <c r="G8650" s="3">
        <f t="shared" si="1030"/>
        <v>-131.33679999999998</v>
      </c>
      <c r="H8650" s="3">
        <f t="shared" si="1031"/>
        <v>131.33679999999998</v>
      </c>
      <c r="I8650" s="5" t="str">
        <f t="shared" si="1032"/>
        <v>019</v>
      </c>
      <c r="J8650" s="5" t="str">
        <f t="shared" si="1033"/>
        <v>2230</v>
      </c>
      <c r="K8650" s="5" t="str">
        <f t="shared" si="1034"/>
        <v>000</v>
      </c>
      <c r="L8650" s="5">
        <f t="shared" si="1035"/>
        <v>9</v>
      </c>
      <c r="M8650" s="5">
        <f t="shared" si="1036"/>
        <v>2013</v>
      </c>
    </row>
    <row r="8651" spans="1:13" ht="15" x14ac:dyDescent="0.25">
      <c r="A8651" s="1">
        <f>DATE(2013,9,30)</f>
        <v>41547</v>
      </c>
      <c r="B8651" t="s">
        <v>11</v>
      </c>
      <c r="C8651" t="s">
        <v>6</v>
      </c>
      <c r="D8651" s="3">
        <v>2289.3849999999998</v>
      </c>
      <c r="E8651" s="3">
        <v>0</v>
      </c>
      <c r="F8651" t="s">
        <v>45</v>
      </c>
      <c r="G8651" s="3">
        <f t="shared" si="1030"/>
        <v>-2289.3849999999998</v>
      </c>
      <c r="H8651" s="3">
        <f t="shared" si="1031"/>
        <v>2289.3849999999998</v>
      </c>
      <c r="I8651" s="5" t="str">
        <f t="shared" si="1032"/>
        <v>016</v>
      </c>
      <c r="J8651" s="5" t="str">
        <f t="shared" si="1033"/>
        <v>2100</v>
      </c>
      <c r="K8651" s="5" t="str">
        <f t="shared" si="1034"/>
        <v>000</v>
      </c>
      <c r="L8651" s="5">
        <f t="shared" si="1035"/>
        <v>9</v>
      </c>
      <c r="M8651" s="5">
        <f t="shared" si="1036"/>
        <v>2013</v>
      </c>
    </row>
    <row r="8652" spans="1:13" ht="15" x14ac:dyDescent="0.25">
      <c r="A8652" s="1">
        <f>DATE(2013,9,30)</f>
        <v>41547</v>
      </c>
      <c r="B8652" t="s">
        <v>12</v>
      </c>
      <c r="C8652" t="s">
        <v>8</v>
      </c>
      <c r="D8652" s="3">
        <v>801.38959999999997</v>
      </c>
      <c r="E8652" s="3">
        <v>0</v>
      </c>
      <c r="F8652" t="s">
        <v>45</v>
      </c>
      <c r="G8652" s="3">
        <f t="shared" si="1030"/>
        <v>-801.38959999999997</v>
      </c>
      <c r="H8652" s="3">
        <f t="shared" si="1031"/>
        <v>801.38959999999997</v>
      </c>
      <c r="I8652" s="5" t="str">
        <f t="shared" si="1032"/>
        <v>016</v>
      </c>
      <c r="J8652" s="5" t="str">
        <f t="shared" si="1033"/>
        <v>2210</v>
      </c>
      <c r="K8652" s="5" t="str">
        <f t="shared" si="1034"/>
        <v>000</v>
      </c>
      <c r="L8652" s="5">
        <f t="shared" si="1035"/>
        <v>9</v>
      </c>
      <c r="M8652" s="5">
        <f t="shared" si="1036"/>
        <v>2013</v>
      </c>
    </row>
    <row r="8653" spans="1:13" ht="15" x14ac:dyDescent="0.25">
      <c r="A8653" s="1">
        <f>DATE(2013,9,30)</f>
        <v>41547</v>
      </c>
      <c r="B8653" t="s">
        <v>13</v>
      </c>
      <c r="C8653" t="s">
        <v>9</v>
      </c>
      <c r="D8653" s="3">
        <v>137.86779999999999</v>
      </c>
      <c r="E8653" s="3">
        <v>0</v>
      </c>
      <c r="F8653" t="s">
        <v>45</v>
      </c>
      <c r="G8653" s="3">
        <f t="shared" si="1030"/>
        <v>-137.86779999999999</v>
      </c>
      <c r="H8653" s="3">
        <f t="shared" si="1031"/>
        <v>137.86779999999999</v>
      </c>
      <c r="I8653" s="5" t="str">
        <f t="shared" si="1032"/>
        <v>016</v>
      </c>
      <c r="J8653" s="5" t="str">
        <f t="shared" si="1033"/>
        <v>2220</v>
      </c>
      <c r="K8653" s="5" t="str">
        <f t="shared" si="1034"/>
        <v>000</v>
      </c>
      <c r="L8653" s="5">
        <f t="shared" si="1035"/>
        <v>9</v>
      </c>
      <c r="M8653" s="5">
        <f t="shared" si="1036"/>
        <v>2013</v>
      </c>
    </row>
    <row r="8654" spans="1:13" ht="15" x14ac:dyDescent="0.25">
      <c r="A8654" s="1">
        <f>DATE(2013,9,30)</f>
        <v>41547</v>
      </c>
      <c r="B8654" t="s">
        <v>14</v>
      </c>
      <c r="C8654" t="s">
        <v>10</v>
      </c>
      <c r="D8654" s="3">
        <v>135.303</v>
      </c>
      <c r="E8654" s="3">
        <v>0</v>
      </c>
      <c r="F8654" t="s">
        <v>45</v>
      </c>
      <c r="G8654" s="3">
        <f t="shared" si="1030"/>
        <v>-135.303</v>
      </c>
      <c r="H8654" s="3">
        <f t="shared" si="1031"/>
        <v>135.303</v>
      </c>
      <c r="I8654" s="5" t="str">
        <f t="shared" si="1032"/>
        <v>016</v>
      </c>
      <c r="J8654" s="5" t="str">
        <f t="shared" si="1033"/>
        <v>2230</v>
      </c>
      <c r="K8654" s="5" t="str">
        <f t="shared" si="1034"/>
        <v>000</v>
      </c>
      <c r="L8654" s="5">
        <f t="shared" si="1035"/>
        <v>9</v>
      </c>
      <c r="M8654" s="5">
        <f t="shared" si="1036"/>
        <v>2013</v>
      </c>
    </row>
    <row r="8655" spans="1:13" ht="15" x14ac:dyDescent="0.25">
      <c r="A8655" s="1">
        <f>DATE(2013,10,1)</f>
        <v>41548</v>
      </c>
      <c r="B8655" t="s">
        <v>11</v>
      </c>
      <c r="C8655" t="s">
        <v>6</v>
      </c>
      <c r="D8655" s="3">
        <v>4996.9560000000001</v>
      </c>
      <c r="E8655" s="3">
        <v>0</v>
      </c>
      <c r="F8655" t="s">
        <v>45</v>
      </c>
      <c r="G8655" s="3">
        <f t="shared" si="1030"/>
        <v>-4996.9560000000001</v>
      </c>
      <c r="H8655" s="3">
        <f t="shared" si="1031"/>
        <v>4996.9560000000001</v>
      </c>
      <c r="I8655" s="5" t="str">
        <f t="shared" si="1032"/>
        <v>016</v>
      </c>
      <c r="J8655" s="5" t="str">
        <f t="shared" si="1033"/>
        <v>2100</v>
      </c>
      <c r="K8655" s="5" t="str">
        <f t="shared" si="1034"/>
        <v>000</v>
      </c>
      <c r="L8655" s="5">
        <f t="shared" si="1035"/>
        <v>10</v>
      </c>
      <c r="M8655" s="5">
        <f t="shared" si="1036"/>
        <v>2013</v>
      </c>
    </row>
    <row r="8656" spans="1:13" ht="15" x14ac:dyDescent="0.25">
      <c r="A8656" s="1">
        <f>DATE(2013,10,1)</f>
        <v>41548</v>
      </c>
      <c r="B8656" t="s">
        <v>12</v>
      </c>
      <c r="C8656" t="s">
        <v>8</v>
      </c>
      <c r="D8656" s="3">
        <v>2499.489</v>
      </c>
      <c r="E8656" s="3">
        <v>0</v>
      </c>
      <c r="F8656" t="s">
        <v>45</v>
      </c>
      <c r="G8656" s="3">
        <f t="shared" si="1030"/>
        <v>-2499.489</v>
      </c>
      <c r="H8656" s="3">
        <f t="shared" si="1031"/>
        <v>2499.489</v>
      </c>
      <c r="I8656" s="5" t="str">
        <f t="shared" si="1032"/>
        <v>016</v>
      </c>
      <c r="J8656" s="5" t="str">
        <f t="shared" si="1033"/>
        <v>2210</v>
      </c>
      <c r="K8656" s="5" t="str">
        <f t="shared" si="1034"/>
        <v>000</v>
      </c>
      <c r="L8656" s="5">
        <f t="shared" si="1035"/>
        <v>10</v>
      </c>
      <c r="M8656" s="5">
        <f t="shared" si="1036"/>
        <v>2013</v>
      </c>
    </row>
    <row r="8657" spans="1:13" ht="15" x14ac:dyDescent="0.25">
      <c r="A8657" s="1">
        <f>DATE(2013,10,1)</f>
        <v>41548</v>
      </c>
      <c r="B8657" t="s">
        <v>13</v>
      </c>
      <c r="C8657" t="s">
        <v>9</v>
      </c>
      <c r="D8657" s="3">
        <v>823.50059999999985</v>
      </c>
      <c r="E8657" s="3">
        <v>0</v>
      </c>
      <c r="F8657" t="s">
        <v>45</v>
      </c>
      <c r="G8657" s="3">
        <f t="shared" si="1030"/>
        <v>-823.50059999999985</v>
      </c>
      <c r="H8657" s="3">
        <f t="shared" si="1031"/>
        <v>823.50059999999985</v>
      </c>
      <c r="I8657" s="5" t="str">
        <f t="shared" si="1032"/>
        <v>016</v>
      </c>
      <c r="J8657" s="5" t="str">
        <f t="shared" si="1033"/>
        <v>2220</v>
      </c>
      <c r="K8657" s="5" t="str">
        <f t="shared" si="1034"/>
        <v>000</v>
      </c>
      <c r="L8657" s="5">
        <f t="shared" si="1035"/>
        <v>10</v>
      </c>
      <c r="M8657" s="5">
        <f t="shared" si="1036"/>
        <v>2013</v>
      </c>
    </row>
    <row r="8658" spans="1:13" ht="15" x14ac:dyDescent="0.25">
      <c r="A8658" s="1">
        <f>DATE(2013,10,1)</f>
        <v>41548</v>
      </c>
      <c r="B8658" t="s">
        <v>14</v>
      </c>
      <c r="C8658" t="s">
        <v>10</v>
      </c>
      <c r="D8658" s="3">
        <v>213.88500000000002</v>
      </c>
      <c r="E8658" s="3">
        <v>0</v>
      </c>
      <c r="F8658" t="s">
        <v>45</v>
      </c>
      <c r="G8658" s="3">
        <f t="shared" si="1030"/>
        <v>-213.88500000000002</v>
      </c>
      <c r="H8658" s="3">
        <f t="shared" si="1031"/>
        <v>213.88500000000002</v>
      </c>
      <c r="I8658" s="5" t="str">
        <f t="shared" si="1032"/>
        <v>016</v>
      </c>
      <c r="J8658" s="5" t="str">
        <f t="shared" si="1033"/>
        <v>2230</v>
      </c>
      <c r="K8658" s="5" t="str">
        <f t="shared" si="1034"/>
        <v>000</v>
      </c>
      <c r="L8658" s="5">
        <f t="shared" si="1035"/>
        <v>10</v>
      </c>
      <c r="M8658" s="5">
        <f t="shared" si="1036"/>
        <v>2013</v>
      </c>
    </row>
    <row r="8659" spans="1:13" ht="15" x14ac:dyDescent="0.25">
      <c r="A8659" s="1">
        <f>DATE(2013,10,2)</f>
        <v>41549</v>
      </c>
      <c r="B8659" t="s">
        <v>11</v>
      </c>
      <c r="C8659" t="s">
        <v>6</v>
      </c>
      <c r="D8659" s="3">
        <v>1688.2002</v>
      </c>
      <c r="E8659" s="3">
        <v>0</v>
      </c>
      <c r="F8659" t="s">
        <v>45</v>
      </c>
      <c r="G8659" s="3">
        <f t="shared" si="1030"/>
        <v>-1688.2002</v>
      </c>
      <c r="H8659" s="3">
        <f t="shared" si="1031"/>
        <v>1688.2002</v>
      </c>
      <c r="I8659" s="5" t="str">
        <f t="shared" si="1032"/>
        <v>016</v>
      </c>
      <c r="J8659" s="5" t="str">
        <f t="shared" si="1033"/>
        <v>2100</v>
      </c>
      <c r="K8659" s="5" t="str">
        <f t="shared" si="1034"/>
        <v>000</v>
      </c>
      <c r="L8659" s="5">
        <f t="shared" si="1035"/>
        <v>10</v>
      </c>
      <c r="M8659" s="5">
        <f t="shared" si="1036"/>
        <v>2013</v>
      </c>
    </row>
    <row r="8660" spans="1:13" ht="15" x14ac:dyDescent="0.25">
      <c r="A8660" s="1">
        <f>DATE(2013,10,2)</f>
        <v>41549</v>
      </c>
      <c r="B8660" t="s">
        <v>12</v>
      </c>
      <c r="C8660" t="s">
        <v>8</v>
      </c>
      <c r="D8660" s="3">
        <v>697.92000000000007</v>
      </c>
      <c r="E8660" s="3">
        <v>0</v>
      </c>
      <c r="F8660" t="s">
        <v>45</v>
      </c>
      <c r="G8660" s="3">
        <f t="shared" si="1030"/>
        <v>-697.92000000000007</v>
      </c>
      <c r="H8660" s="3">
        <f t="shared" si="1031"/>
        <v>697.92000000000007</v>
      </c>
      <c r="I8660" s="5" t="str">
        <f t="shared" si="1032"/>
        <v>016</v>
      </c>
      <c r="J8660" s="5" t="str">
        <f t="shared" si="1033"/>
        <v>2210</v>
      </c>
      <c r="K8660" s="5" t="str">
        <f t="shared" si="1034"/>
        <v>000</v>
      </c>
      <c r="L8660" s="5">
        <f t="shared" si="1035"/>
        <v>10</v>
      </c>
      <c r="M8660" s="5">
        <f t="shared" si="1036"/>
        <v>2013</v>
      </c>
    </row>
    <row r="8661" spans="1:13" ht="15" x14ac:dyDescent="0.25">
      <c r="A8661" s="1">
        <f>DATE(2013,10,2)</f>
        <v>41549</v>
      </c>
      <c r="B8661" t="s">
        <v>13</v>
      </c>
      <c r="C8661" t="s">
        <v>9</v>
      </c>
      <c r="D8661" s="3">
        <v>124.94819999999999</v>
      </c>
      <c r="E8661" s="3">
        <v>0</v>
      </c>
      <c r="F8661" t="s">
        <v>45</v>
      </c>
      <c r="G8661" s="3">
        <f t="shared" si="1030"/>
        <v>-124.94819999999999</v>
      </c>
      <c r="H8661" s="3">
        <f t="shared" si="1031"/>
        <v>124.94819999999999</v>
      </c>
      <c r="I8661" s="5" t="str">
        <f t="shared" si="1032"/>
        <v>016</v>
      </c>
      <c r="J8661" s="5" t="str">
        <f t="shared" si="1033"/>
        <v>2220</v>
      </c>
      <c r="K8661" s="5" t="str">
        <f t="shared" si="1034"/>
        <v>000</v>
      </c>
      <c r="L8661" s="5">
        <f t="shared" si="1035"/>
        <v>10</v>
      </c>
      <c r="M8661" s="5">
        <f t="shared" si="1036"/>
        <v>2013</v>
      </c>
    </row>
    <row r="8662" spans="1:13" ht="15" x14ac:dyDescent="0.25">
      <c r="A8662" s="1">
        <f>DATE(2013,10,2)</f>
        <v>41549</v>
      </c>
      <c r="B8662" t="s">
        <v>14</v>
      </c>
      <c r="C8662" t="s">
        <v>10</v>
      </c>
      <c r="D8662" s="3">
        <v>57.63150000000001</v>
      </c>
      <c r="E8662" s="3">
        <v>0</v>
      </c>
      <c r="F8662" t="s">
        <v>45</v>
      </c>
      <c r="G8662" s="3">
        <f t="shared" si="1030"/>
        <v>-57.63150000000001</v>
      </c>
      <c r="H8662" s="3">
        <f t="shared" si="1031"/>
        <v>57.63150000000001</v>
      </c>
      <c r="I8662" s="5" t="str">
        <f t="shared" si="1032"/>
        <v>016</v>
      </c>
      <c r="J8662" s="5" t="str">
        <f t="shared" si="1033"/>
        <v>2230</v>
      </c>
      <c r="K8662" s="5" t="str">
        <f t="shared" si="1034"/>
        <v>000</v>
      </c>
      <c r="L8662" s="5">
        <f t="shared" si="1035"/>
        <v>10</v>
      </c>
      <c r="M8662" s="5">
        <f t="shared" si="1036"/>
        <v>2013</v>
      </c>
    </row>
    <row r="8663" spans="1:13" ht="15" x14ac:dyDescent="0.25">
      <c r="A8663" s="1">
        <f>DATE(2013,10,3)</f>
        <v>41550</v>
      </c>
      <c r="B8663" t="s">
        <v>11</v>
      </c>
      <c r="C8663" t="s">
        <v>6</v>
      </c>
      <c r="D8663" s="3">
        <v>3312.4108999999999</v>
      </c>
      <c r="E8663" s="3">
        <v>0</v>
      </c>
      <c r="F8663" t="s">
        <v>45</v>
      </c>
      <c r="G8663" s="3">
        <f t="shared" si="1030"/>
        <v>-3312.4108999999999</v>
      </c>
      <c r="H8663" s="3">
        <f t="shared" si="1031"/>
        <v>3312.4108999999999</v>
      </c>
      <c r="I8663" s="5" t="str">
        <f t="shared" si="1032"/>
        <v>016</v>
      </c>
      <c r="J8663" s="5" t="str">
        <f t="shared" si="1033"/>
        <v>2100</v>
      </c>
      <c r="K8663" s="5" t="str">
        <f t="shared" si="1034"/>
        <v>000</v>
      </c>
      <c r="L8663" s="5">
        <f t="shared" si="1035"/>
        <v>10</v>
      </c>
      <c r="M8663" s="5">
        <f t="shared" si="1036"/>
        <v>2013</v>
      </c>
    </row>
    <row r="8664" spans="1:13" ht="15" x14ac:dyDescent="0.25">
      <c r="A8664" s="1">
        <f>DATE(2013,10,3)</f>
        <v>41550</v>
      </c>
      <c r="B8664" t="s">
        <v>12</v>
      </c>
      <c r="C8664" t="s">
        <v>8</v>
      </c>
      <c r="D8664" s="3">
        <v>420.01920000000001</v>
      </c>
      <c r="E8664" s="3">
        <v>0</v>
      </c>
      <c r="F8664" t="s">
        <v>45</v>
      </c>
      <c r="G8664" s="3">
        <f t="shared" si="1030"/>
        <v>-420.01920000000001</v>
      </c>
      <c r="H8664" s="3">
        <f t="shared" si="1031"/>
        <v>420.01920000000001</v>
      </c>
      <c r="I8664" s="5" t="str">
        <f t="shared" si="1032"/>
        <v>016</v>
      </c>
      <c r="J8664" s="5" t="str">
        <f t="shared" si="1033"/>
        <v>2210</v>
      </c>
      <c r="K8664" s="5" t="str">
        <f t="shared" si="1034"/>
        <v>000</v>
      </c>
      <c r="L8664" s="5">
        <f t="shared" si="1035"/>
        <v>10</v>
      </c>
      <c r="M8664" s="5">
        <f t="shared" si="1036"/>
        <v>2013</v>
      </c>
    </row>
    <row r="8665" spans="1:13" ht="15" x14ac:dyDescent="0.25">
      <c r="A8665" s="1">
        <f>DATE(2013,10,3)</f>
        <v>41550</v>
      </c>
      <c r="B8665" t="s">
        <v>13</v>
      </c>
      <c r="C8665" t="s">
        <v>9</v>
      </c>
      <c r="D8665" s="3">
        <v>97.037999999999997</v>
      </c>
      <c r="E8665" s="3">
        <v>0</v>
      </c>
      <c r="F8665" t="s">
        <v>45</v>
      </c>
      <c r="G8665" s="3">
        <f t="shared" si="1030"/>
        <v>-97.037999999999997</v>
      </c>
      <c r="H8665" s="3">
        <f t="shared" si="1031"/>
        <v>97.037999999999997</v>
      </c>
      <c r="I8665" s="5" t="str">
        <f t="shared" si="1032"/>
        <v>016</v>
      </c>
      <c r="J8665" s="5" t="str">
        <f t="shared" si="1033"/>
        <v>2220</v>
      </c>
      <c r="K8665" s="5" t="str">
        <f t="shared" si="1034"/>
        <v>000</v>
      </c>
      <c r="L8665" s="5">
        <f t="shared" si="1035"/>
        <v>10</v>
      </c>
      <c r="M8665" s="5">
        <f t="shared" si="1036"/>
        <v>2013</v>
      </c>
    </row>
    <row r="8666" spans="1:13" ht="15" x14ac:dyDescent="0.25">
      <c r="A8666" s="1">
        <f>DATE(2013,10,3)</f>
        <v>41550</v>
      </c>
      <c r="B8666" t="s">
        <v>14</v>
      </c>
      <c r="C8666" t="s">
        <v>10</v>
      </c>
      <c r="D8666" s="3">
        <v>10.671100000000001</v>
      </c>
      <c r="E8666" s="3">
        <v>0</v>
      </c>
      <c r="F8666" t="s">
        <v>45</v>
      </c>
      <c r="G8666" s="3">
        <f t="shared" si="1030"/>
        <v>-10.671100000000001</v>
      </c>
      <c r="H8666" s="3">
        <f t="shared" si="1031"/>
        <v>10.671100000000001</v>
      </c>
      <c r="I8666" s="5" t="str">
        <f t="shared" si="1032"/>
        <v>016</v>
      </c>
      <c r="J8666" s="5" t="str">
        <f t="shared" si="1033"/>
        <v>2230</v>
      </c>
      <c r="K8666" s="5" t="str">
        <f t="shared" si="1034"/>
        <v>000</v>
      </c>
      <c r="L8666" s="5">
        <f t="shared" si="1035"/>
        <v>10</v>
      </c>
      <c r="M8666" s="5">
        <f t="shared" si="1036"/>
        <v>2013</v>
      </c>
    </row>
    <row r="8667" spans="1:13" ht="15" x14ac:dyDescent="0.25">
      <c r="A8667" s="1">
        <f>DATE(2013,10,4)</f>
        <v>41551</v>
      </c>
      <c r="B8667" t="s">
        <v>11</v>
      </c>
      <c r="C8667" t="s">
        <v>6</v>
      </c>
      <c r="D8667" s="3">
        <v>5351.5365000000002</v>
      </c>
      <c r="E8667" s="3">
        <v>0</v>
      </c>
      <c r="F8667" t="s">
        <v>45</v>
      </c>
      <c r="G8667" s="3">
        <f t="shared" si="1030"/>
        <v>-5351.5365000000002</v>
      </c>
      <c r="H8667" s="3">
        <f t="shared" si="1031"/>
        <v>5351.5365000000002</v>
      </c>
      <c r="I8667" s="5" t="str">
        <f t="shared" si="1032"/>
        <v>016</v>
      </c>
      <c r="J8667" s="5" t="str">
        <f t="shared" si="1033"/>
        <v>2100</v>
      </c>
      <c r="K8667" s="5" t="str">
        <f t="shared" si="1034"/>
        <v>000</v>
      </c>
      <c r="L8667" s="5">
        <f t="shared" si="1035"/>
        <v>10</v>
      </c>
      <c r="M8667" s="5">
        <f t="shared" si="1036"/>
        <v>2013</v>
      </c>
    </row>
    <row r="8668" spans="1:13" ht="15" x14ac:dyDescent="0.25">
      <c r="A8668" s="1">
        <f>DATE(2013,10,4)</f>
        <v>41551</v>
      </c>
      <c r="B8668" t="s">
        <v>12</v>
      </c>
      <c r="C8668" t="s">
        <v>8</v>
      </c>
      <c r="D8668" s="3">
        <v>1687.2432000000001</v>
      </c>
      <c r="E8668" s="3">
        <v>0</v>
      </c>
      <c r="F8668" t="s">
        <v>45</v>
      </c>
      <c r="G8668" s="3">
        <f t="shared" si="1030"/>
        <v>-1687.2432000000001</v>
      </c>
      <c r="H8668" s="3">
        <f t="shared" si="1031"/>
        <v>1687.2432000000001</v>
      </c>
      <c r="I8668" s="5" t="str">
        <f t="shared" si="1032"/>
        <v>016</v>
      </c>
      <c r="J8668" s="5" t="str">
        <f t="shared" si="1033"/>
        <v>2210</v>
      </c>
      <c r="K8668" s="5" t="str">
        <f t="shared" si="1034"/>
        <v>000</v>
      </c>
      <c r="L8668" s="5">
        <f t="shared" si="1035"/>
        <v>10</v>
      </c>
      <c r="M8668" s="5">
        <f t="shared" si="1036"/>
        <v>2013</v>
      </c>
    </row>
    <row r="8669" spans="1:13" ht="15" x14ac:dyDescent="0.25">
      <c r="A8669" s="1">
        <f>DATE(2013,10,4)</f>
        <v>41551</v>
      </c>
      <c r="B8669" t="s">
        <v>13</v>
      </c>
      <c r="C8669" t="s">
        <v>9</v>
      </c>
      <c r="D8669" s="3">
        <v>289.27430000000004</v>
      </c>
      <c r="E8669" s="3">
        <v>0</v>
      </c>
      <c r="F8669" t="s">
        <v>45</v>
      </c>
      <c r="G8669" s="3">
        <f t="shared" si="1030"/>
        <v>-289.27430000000004</v>
      </c>
      <c r="H8669" s="3">
        <f t="shared" si="1031"/>
        <v>289.27430000000004</v>
      </c>
      <c r="I8669" s="5" t="str">
        <f t="shared" si="1032"/>
        <v>016</v>
      </c>
      <c r="J8669" s="5" t="str">
        <f t="shared" si="1033"/>
        <v>2220</v>
      </c>
      <c r="K8669" s="5" t="str">
        <f t="shared" si="1034"/>
        <v>000</v>
      </c>
      <c r="L8669" s="5">
        <f t="shared" si="1035"/>
        <v>10</v>
      </c>
      <c r="M8669" s="5">
        <f t="shared" si="1036"/>
        <v>2013</v>
      </c>
    </row>
    <row r="8670" spans="1:13" ht="15" x14ac:dyDescent="0.25">
      <c r="A8670" s="1">
        <f>DATE(2013,10,4)</f>
        <v>41551</v>
      </c>
      <c r="B8670" t="s">
        <v>14</v>
      </c>
      <c r="C8670" t="s">
        <v>10</v>
      </c>
      <c r="D8670" s="3">
        <v>230.11199999999999</v>
      </c>
      <c r="E8670" s="3">
        <v>0</v>
      </c>
      <c r="F8670" t="s">
        <v>45</v>
      </c>
      <c r="G8670" s="3">
        <f t="shared" si="1030"/>
        <v>-230.11199999999999</v>
      </c>
      <c r="H8670" s="3">
        <f t="shared" si="1031"/>
        <v>230.11199999999999</v>
      </c>
      <c r="I8670" s="5" t="str">
        <f t="shared" si="1032"/>
        <v>016</v>
      </c>
      <c r="J8670" s="5" t="str">
        <f t="shared" si="1033"/>
        <v>2230</v>
      </c>
      <c r="K8670" s="5" t="str">
        <f t="shared" si="1034"/>
        <v>000</v>
      </c>
      <c r="L8670" s="5">
        <f t="shared" si="1035"/>
        <v>10</v>
      </c>
      <c r="M8670" s="5">
        <f t="shared" si="1036"/>
        <v>2013</v>
      </c>
    </row>
    <row r="8671" spans="1:13" ht="15" x14ac:dyDescent="0.25">
      <c r="A8671" s="1">
        <f>DATE(2013,10,5)</f>
        <v>41552</v>
      </c>
      <c r="B8671" t="s">
        <v>11</v>
      </c>
      <c r="C8671" t="s">
        <v>6</v>
      </c>
      <c r="D8671" s="3">
        <v>8390.0105000000003</v>
      </c>
      <c r="E8671" s="3">
        <v>0</v>
      </c>
      <c r="F8671" t="s">
        <v>45</v>
      </c>
      <c r="G8671" s="3">
        <f t="shared" si="1030"/>
        <v>-8390.0105000000003</v>
      </c>
      <c r="H8671" s="3">
        <f t="shared" si="1031"/>
        <v>8390.0105000000003</v>
      </c>
      <c r="I8671" s="5" t="str">
        <f t="shared" si="1032"/>
        <v>016</v>
      </c>
      <c r="J8671" s="5" t="str">
        <f t="shared" si="1033"/>
        <v>2100</v>
      </c>
      <c r="K8671" s="5" t="str">
        <f t="shared" si="1034"/>
        <v>000</v>
      </c>
      <c r="L8671" s="5">
        <f t="shared" si="1035"/>
        <v>10</v>
      </c>
      <c r="M8671" s="5">
        <f t="shared" si="1036"/>
        <v>2013</v>
      </c>
    </row>
    <row r="8672" spans="1:13" ht="15" x14ac:dyDescent="0.25">
      <c r="A8672" s="1">
        <f>DATE(2013,10,5)</f>
        <v>41552</v>
      </c>
      <c r="B8672" t="s">
        <v>12</v>
      </c>
      <c r="C8672" t="s">
        <v>8</v>
      </c>
      <c r="D8672" s="3">
        <v>1485.4872</v>
      </c>
      <c r="E8672" s="3">
        <v>0</v>
      </c>
      <c r="F8672" t="s">
        <v>45</v>
      </c>
      <c r="G8672" s="3">
        <f t="shared" si="1030"/>
        <v>-1485.4872</v>
      </c>
      <c r="H8672" s="3">
        <f t="shared" si="1031"/>
        <v>1485.4872</v>
      </c>
      <c r="I8672" s="5" t="str">
        <f t="shared" si="1032"/>
        <v>016</v>
      </c>
      <c r="J8672" s="5" t="str">
        <f t="shared" si="1033"/>
        <v>2210</v>
      </c>
      <c r="K8672" s="5" t="str">
        <f t="shared" si="1034"/>
        <v>000</v>
      </c>
      <c r="L8672" s="5">
        <f t="shared" si="1035"/>
        <v>10</v>
      </c>
      <c r="M8672" s="5">
        <f t="shared" si="1036"/>
        <v>2013</v>
      </c>
    </row>
    <row r="8673" spans="1:13" ht="15" x14ac:dyDescent="0.25">
      <c r="A8673" s="1">
        <f>DATE(2013,10,5)</f>
        <v>41552</v>
      </c>
      <c r="B8673" t="s">
        <v>13</v>
      </c>
      <c r="C8673" t="s">
        <v>9</v>
      </c>
      <c r="D8673" s="3">
        <v>277.88399999999996</v>
      </c>
      <c r="E8673" s="3">
        <v>0</v>
      </c>
      <c r="F8673" t="s">
        <v>45</v>
      </c>
      <c r="G8673" s="3">
        <f t="shared" si="1030"/>
        <v>-277.88399999999996</v>
      </c>
      <c r="H8673" s="3">
        <f t="shared" si="1031"/>
        <v>277.88399999999996</v>
      </c>
      <c r="I8673" s="5" t="str">
        <f t="shared" si="1032"/>
        <v>016</v>
      </c>
      <c r="J8673" s="5" t="str">
        <f t="shared" si="1033"/>
        <v>2220</v>
      </c>
      <c r="K8673" s="5" t="str">
        <f t="shared" si="1034"/>
        <v>000</v>
      </c>
      <c r="L8673" s="5">
        <f t="shared" si="1035"/>
        <v>10</v>
      </c>
      <c r="M8673" s="5">
        <f t="shared" si="1036"/>
        <v>2013</v>
      </c>
    </row>
    <row r="8674" spans="1:13" ht="15" x14ac:dyDescent="0.25">
      <c r="A8674" s="1">
        <f>DATE(2013,10,5)</f>
        <v>41552</v>
      </c>
      <c r="B8674" t="s">
        <v>14</v>
      </c>
      <c r="C8674" t="s">
        <v>10</v>
      </c>
      <c r="D8674" s="3">
        <v>144.97120000000001</v>
      </c>
      <c r="E8674" s="3">
        <v>0</v>
      </c>
      <c r="F8674" t="s">
        <v>45</v>
      </c>
      <c r="G8674" s="3">
        <f t="shared" si="1030"/>
        <v>-144.97120000000001</v>
      </c>
      <c r="H8674" s="3">
        <f t="shared" si="1031"/>
        <v>144.97120000000001</v>
      </c>
      <c r="I8674" s="5" t="str">
        <f t="shared" si="1032"/>
        <v>016</v>
      </c>
      <c r="J8674" s="5" t="str">
        <f t="shared" si="1033"/>
        <v>2230</v>
      </c>
      <c r="K8674" s="5" t="str">
        <f t="shared" si="1034"/>
        <v>000</v>
      </c>
      <c r="L8674" s="5">
        <f t="shared" si="1035"/>
        <v>10</v>
      </c>
      <c r="M8674" s="5">
        <f t="shared" si="1036"/>
        <v>2013</v>
      </c>
    </row>
    <row r="8675" spans="1:13" ht="15" x14ac:dyDescent="0.25">
      <c r="A8675" s="1">
        <f>DATE(2013,10,6)</f>
        <v>41553</v>
      </c>
      <c r="B8675" t="s">
        <v>11</v>
      </c>
      <c r="C8675" t="s">
        <v>6</v>
      </c>
      <c r="D8675" s="3">
        <v>4409.4726000000001</v>
      </c>
      <c r="E8675" s="3">
        <v>0</v>
      </c>
      <c r="F8675" t="s">
        <v>45</v>
      </c>
      <c r="G8675" s="3">
        <f t="shared" si="1030"/>
        <v>-4409.4726000000001</v>
      </c>
      <c r="H8675" s="3">
        <f t="shared" si="1031"/>
        <v>4409.4726000000001</v>
      </c>
      <c r="I8675" s="5" t="str">
        <f t="shared" si="1032"/>
        <v>016</v>
      </c>
      <c r="J8675" s="5" t="str">
        <f t="shared" si="1033"/>
        <v>2100</v>
      </c>
      <c r="K8675" s="5" t="str">
        <f t="shared" si="1034"/>
        <v>000</v>
      </c>
      <c r="L8675" s="5">
        <f t="shared" si="1035"/>
        <v>10</v>
      </c>
      <c r="M8675" s="5">
        <f t="shared" si="1036"/>
        <v>2013</v>
      </c>
    </row>
    <row r="8676" spans="1:13" ht="15" x14ac:dyDescent="0.25">
      <c r="A8676" s="1">
        <f>DATE(2013,10,6)</f>
        <v>41553</v>
      </c>
      <c r="B8676" t="s">
        <v>12</v>
      </c>
      <c r="C8676" t="s">
        <v>8</v>
      </c>
      <c r="D8676" s="3">
        <v>812.84619999999995</v>
      </c>
      <c r="E8676" s="3">
        <v>0</v>
      </c>
      <c r="F8676" t="s">
        <v>45</v>
      </c>
      <c r="G8676" s="3">
        <f t="shared" si="1030"/>
        <v>-812.84619999999995</v>
      </c>
      <c r="H8676" s="3">
        <f t="shared" si="1031"/>
        <v>812.84619999999995</v>
      </c>
      <c r="I8676" s="5" t="str">
        <f t="shared" si="1032"/>
        <v>016</v>
      </c>
      <c r="J8676" s="5" t="str">
        <f t="shared" si="1033"/>
        <v>2210</v>
      </c>
      <c r="K8676" s="5" t="str">
        <f t="shared" si="1034"/>
        <v>000</v>
      </c>
      <c r="L8676" s="5">
        <f t="shared" si="1035"/>
        <v>10</v>
      </c>
      <c r="M8676" s="5">
        <f t="shared" si="1036"/>
        <v>2013</v>
      </c>
    </row>
    <row r="8677" spans="1:13" ht="15" x14ac:dyDescent="0.25">
      <c r="A8677" s="1">
        <f>DATE(2013,10,6)</f>
        <v>41553</v>
      </c>
      <c r="B8677" t="s">
        <v>13</v>
      </c>
      <c r="C8677" t="s">
        <v>9</v>
      </c>
      <c r="D8677" s="3">
        <v>147.87989999999999</v>
      </c>
      <c r="E8677" s="3">
        <v>0</v>
      </c>
      <c r="F8677" t="s">
        <v>45</v>
      </c>
      <c r="G8677" s="3">
        <f t="shared" si="1030"/>
        <v>-147.87989999999999</v>
      </c>
      <c r="H8677" s="3">
        <f t="shared" si="1031"/>
        <v>147.87989999999999</v>
      </c>
      <c r="I8677" s="5" t="str">
        <f t="shared" si="1032"/>
        <v>016</v>
      </c>
      <c r="J8677" s="5" t="str">
        <f t="shared" si="1033"/>
        <v>2220</v>
      </c>
      <c r="K8677" s="5" t="str">
        <f t="shared" si="1034"/>
        <v>000</v>
      </c>
      <c r="L8677" s="5">
        <f t="shared" si="1035"/>
        <v>10</v>
      </c>
      <c r="M8677" s="5">
        <f t="shared" si="1036"/>
        <v>2013</v>
      </c>
    </row>
    <row r="8678" spans="1:13" ht="15" x14ac:dyDescent="0.25">
      <c r="A8678" s="1">
        <f>DATE(2013,10,6)</f>
        <v>41553</v>
      </c>
      <c r="B8678" t="s">
        <v>14</v>
      </c>
      <c r="C8678" t="s">
        <v>10</v>
      </c>
      <c r="D8678" s="3">
        <v>85.113600000000005</v>
      </c>
      <c r="E8678" s="3">
        <v>0</v>
      </c>
      <c r="F8678" t="s">
        <v>45</v>
      </c>
      <c r="G8678" s="3">
        <f t="shared" si="1030"/>
        <v>-85.113600000000005</v>
      </c>
      <c r="H8678" s="3">
        <f t="shared" si="1031"/>
        <v>85.113600000000005</v>
      </c>
      <c r="I8678" s="5" t="str">
        <f t="shared" si="1032"/>
        <v>016</v>
      </c>
      <c r="J8678" s="5" t="str">
        <f t="shared" si="1033"/>
        <v>2230</v>
      </c>
      <c r="K8678" s="5" t="str">
        <f t="shared" si="1034"/>
        <v>000</v>
      </c>
      <c r="L8678" s="5">
        <f t="shared" si="1035"/>
        <v>10</v>
      </c>
      <c r="M8678" s="5">
        <f t="shared" si="1036"/>
        <v>2013</v>
      </c>
    </row>
    <row r="8679" spans="1:13" ht="15" x14ac:dyDescent="0.25">
      <c r="A8679" s="1">
        <f>DATE(2013,9,30)</f>
        <v>41547</v>
      </c>
      <c r="B8679" t="s">
        <v>15</v>
      </c>
      <c r="C8679" t="s">
        <v>6</v>
      </c>
      <c r="D8679" s="3">
        <v>5663.9189999999999</v>
      </c>
      <c r="E8679" s="3">
        <v>0</v>
      </c>
      <c r="F8679" t="s">
        <v>45</v>
      </c>
      <c r="G8679" s="3">
        <f t="shared" si="1030"/>
        <v>-5663.9189999999999</v>
      </c>
      <c r="H8679" s="3">
        <f t="shared" si="1031"/>
        <v>5663.9189999999999</v>
      </c>
      <c r="I8679" s="5" t="str">
        <f t="shared" si="1032"/>
        <v>017</v>
      </c>
      <c r="J8679" s="5" t="str">
        <f t="shared" si="1033"/>
        <v>2100</v>
      </c>
      <c r="K8679" s="5" t="str">
        <f t="shared" si="1034"/>
        <v>000</v>
      </c>
      <c r="L8679" s="5">
        <f t="shared" si="1035"/>
        <v>9</v>
      </c>
      <c r="M8679" s="5">
        <f t="shared" si="1036"/>
        <v>2013</v>
      </c>
    </row>
    <row r="8680" spans="1:13" ht="15" x14ac:dyDescent="0.25">
      <c r="A8680" s="1">
        <f>DATE(2013,9,30)</f>
        <v>41547</v>
      </c>
      <c r="B8680" t="s">
        <v>16</v>
      </c>
      <c r="C8680" t="s">
        <v>8</v>
      </c>
      <c r="D8680" s="3">
        <v>798.81329999999991</v>
      </c>
      <c r="E8680" s="3">
        <v>0</v>
      </c>
      <c r="F8680" t="s">
        <v>45</v>
      </c>
      <c r="G8680" s="3">
        <f t="shared" si="1030"/>
        <v>-798.81329999999991</v>
      </c>
      <c r="H8680" s="3">
        <f t="shared" si="1031"/>
        <v>798.81329999999991</v>
      </c>
      <c r="I8680" s="5" t="str">
        <f t="shared" si="1032"/>
        <v>017</v>
      </c>
      <c r="J8680" s="5" t="str">
        <f t="shared" si="1033"/>
        <v>2210</v>
      </c>
      <c r="K8680" s="5" t="str">
        <f t="shared" si="1034"/>
        <v>000</v>
      </c>
      <c r="L8680" s="5">
        <f t="shared" si="1035"/>
        <v>9</v>
      </c>
      <c r="M8680" s="5">
        <f t="shared" si="1036"/>
        <v>2013</v>
      </c>
    </row>
    <row r="8681" spans="1:13" ht="15" x14ac:dyDescent="0.25">
      <c r="A8681" s="1">
        <f>DATE(2013,9,30)</f>
        <v>41547</v>
      </c>
      <c r="B8681" t="s">
        <v>17</v>
      </c>
      <c r="C8681" t="s">
        <v>9</v>
      </c>
      <c r="D8681" s="3">
        <v>406.51920000000001</v>
      </c>
      <c r="E8681" s="3">
        <v>0</v>
      </c>
      <c r="F8681" t="s">
        <v>45</v>
      </c>
      <c r="G8681" s="3">
        <f t="shared" si="1030"/>
        <v>-406.51920000000001</v>
      </c>
      <c r="H8681" s="3">
        <f t="shared" si="1031"/>
        <v>406.51920000000001</v>
      </c>
      <c r="I8681" s="5" t="str">
        <f t="shared" si="1032"/>
        <v>017</v>
      </c>
      <c r="J8681" s="5" t="str">
        <f t="shared" si="1033"/>
        <v>2220</v>
      </c>
      <c r="K8681" s="5" t="str">
        <f t="shared" si="1034"/>
        <v>000</v>
      </c>
      <c r="L8681" s="5">
        <f t="shared" si="1035"/>
        <v>9</v>
      </c>
      <c r="M8681" s="5">
        <f t="shared" si="1036"/>
        <v>2013</v>
      </c>
    </row>
    <row r="8682" spans="1:13" ht="15" x14ac:dyDescent="0.25">
      <c r="A8682" s="1">
        <f>DATE(2013,9,30)</f>
        <v>41547</v>
      </c>
      <c r="B8682" t="s">
        <v>18</v>
      </c>
      <c r="C8682" t="s">
        <v>10</v>
      </c>
      <c r="D8682" s="3">
        <v>56.582300000000004</v>
      </c>
      <c r="E8682" s="3">
        <v>0</v>
      </c>
      <c r="F8682" t="s">
        <v>45</v>
      </c>
      <c r="G8682" s="3">
        <f t="shared" si="1030"/>
        <v>-56.582300000000004</v>
      </c>
      <c r="H8682" s="3">
        <f t="shared" si="1031"/>
        <v>56.582300000000004</v>
      </c>
      <c r="I8682" s="5" t="str">
        <f t="shared" si="1032"/>
        <v>017</v>
      </c>
      <c r="J8682" s="5" t="str">
        <f t="shared" si="1033"/>
        <v>2230</v>
      </c>
      <c r="K8682" s="5" t="str">
        <f t="shared" si="1034"/>
        <v>000</v>
      </c>
      <c r="L8682" s="5">
        <f t="shared" si="1035"/>
        <v>9</v>
      </c>
      <c r="M8682" s="5">
        <f t="shared" si="1036"/>
        <v>2013</v>
      </c>
    </row>
    <row r="8683" spans="1:13" ht="15" x14ac:dyDescent="0.25">
      <c r="A8683" s="1">
        <f>DATE(2013,10,1)</f>
        <v>41548</v>
      </c>
      <c r="B8683" t="s">
        <v>15</v>
      </c>
      <c r="C8683" t="s">
        <v>6</v>
      </c>
      <c r="D8683" s="3">
        <v>4794.4710000000005</v>
      </c>
      <c r="E8683" s="3">
        <v>0</v>
      </c>
      <c r="F8683" t="s">
        <v>45</v>
      </c>
      <c r="G8683" s="3">
        <f t="shared" si="1030"/>
        <v>-4794.4710000000005</v>
      </c>
      <c r="H8683" s="3">
        <f t="shared" si="1031"/>
        <v>4794.4710000000005</v>
      </c>
      <c r="I8683" s="5" t="str">
        <f t="shared" si="1032"/>
        <v>017</v>
      </c>
      <c r="J8683" s="5" t="str">
        <f t="shared" si="1033"/>
        <v>2100</v>
      </c>
      <c r="K8683" s="5" t="str">
        <f t="shared" si="1034"/>
        <v>000</v>
      </c>
      <c r="L8683" s="5">
        <f t="shared" si="1035"/>
        <v>10</v>
      </c>
      <c r="M8683" s="5">
        <f t="shared" si="1036"/>
        <v>2013</v>
      </c>
    </row>
    <row r="8684" spans="1:13" ht="15" x14ac:dyDescent="0.25">
      <c r="A8684" s="1">
        <f>DATE(2013,10,1)</f>
        <v>41548</v>
      </c>
      <c r="B8684" t="s">
        <v>16</v>
      </c>
      <c r="C8684" t="s">
        <v>8</v>
      </c>
      <c r="D8684" s="3">
        <v>1337.5149999999999</v>
      </c>
      <c r="E8684" s="3">
        <v>0</v>
      </c>
      <c r="F8684" t="s">
        <v>45</v>
      </c>
      <c r="G8684" s="3">
        <f t="shared" si="1030"/>
        <v>-1337.5149999999999</v>
      </c>
      <c r="H8684" s="3">
        <f t="shared" si="1031"/>
        <v>1337.5149999999999</v>
      </c>
      <c r="I8684" s="5" t="str">
        <f t="shared" si="1032"/>
        <v>017</v>
      </c>
      <c r="J8684" s="5" t="str">
        <f t="shared" si="1033"/>
        <v>2210</v>
      </c>
      <c r="K8684" s="5" t="str">
        <f t="shared" si="1034"/>
        <v>000</v>
      </c>
      <c r="L8684" s="5">
        <f t="shared" si="1035"/>
        <v>10</v>
      </c>
      <c r="M8684" s="5">
        <f t="shared" si="1036"/>
        <v>2013</v>
      </c>
    </row>
    <row r="8685" spans="1:13" ht="15" x14ac:dyDescent="0.25">
      <c r="A8685" s="1">
        <f>DATE(2013,10,1)</f>
        <v>41548</v>
      </c>
      <c r="B8685" t="s">
        <v>17</v>
      </c>
      <c r="C8685" t="s">
        <v>9</v>
      </c>
      <c r="D8685" s="3">
        <v>350.32339999999999</v>
      </c>
      <c r="E8685" s="3">
        <v>0</v>
      </c>
      <c r="F8685" t="s">
        <v>45</v>
      </c>
      <c r="G8685" s="3">
        <f t="shared" si="1030"/>
        <v>-350.32339999999999</v>
      </c>
      <c r="H8685" s="3">
        <f t="shared" si="1031"/>
        <v>350.32339999999999</v>
      </c>
      <c r="I8685" s="5" t="str">
        <f t="shared" si="1032"/>
        <v>017</v>
      </c>
      <c r="J8685" s="5" t="str">
        <f t="shared" si="1033"/>
        <v>2220</v>
      </c>
      <c r="K8685" s="5" t="str">
        <f t="shared" si="1034"/>
        <v>000</v>
      </c>
      <c r="L8685" s="5">
        <f t="shared" si="1035"/>
        <v>10</v>
      </c>
      <c r="M8685" s="5">
        <f t="shared" si="1036"/>
        <v>2013</v>
      </c>
    </row>
    <row r="8686" spans="1:13" ht="15" x14ac:dyDescent="0.25">
      <c r="A8686" s="1">
        <f>DATE(2013,10,1)</f>
        <v>41548</v>
      </c>
      <c r="B8686" t="s">
        <v>18</v>
      </c>
      <c r="C8686" t="s">
        <v>10</v>
      </c>
      <c r="D8686" s="3">
        <v>66.739199999999997</v>
      </c>
      <c r="E8686" s="3">
        <v>0</v>
      </c>
      <c r="F8686" t="s">
        <v>45</v>
      </c>
      <c r="G8686" s="3">
        <f t="shared" si="1030"/>
        <v>-66.739199999999997</v>
      </c>
      <c r="H8686" s="3">
        <f t="shared" si="1031"/>
        <v>66.739199999999997</v>
      </c>
      <c r="I8686" s="5" t="str">
        <f t="shared" si="1032"/>
        <v>017</v>
      </c>
      <c r="J8686" s="5" t="str">
        <f t="shared" si="1033"/>
        <v>2230</v>
      </c>
      <c r="K8686" s="5" t="str">
        <f t="shared" si="1034"/>
        <v>000</v>
      </c>
      <c r="L8686" s="5">
        <f t="shared" si="1035"/>
        <v>10</v>
      </c>
      <c r="M8686" s="5">
        <f t="shared" si="1036"/>
        <v>2013</v>
      </c>
    </row>
    <row r="8687" spans="1:13" ht="15" x14ac:dyDescent="0.25">
      <c r="A8687" s="1">
        <f>DATE(2013,10,2)</f>
        <v>41549</v>
      </c>
      <c r="B8687" t="s">
        <v>15</v>
      </c>
      <c r="C8687" t="s">
        <v>6</v>
      </c>
      <c r="D8687" s="3">
        <v>6011.7147000000004</v>
      </c>
      <c r="E8687" s="3">
        <v>0</v>
      </c>
      <c r="F8687" t="s">
        <v>45</v>
      </c>
      <c r="G8687" s="3">
        <f t="shared" si="1030"/>
        <v>-6011.7147000000004</v>
      </c>
      <c r="H8687" s="3">
        <f t="shared" si="1031"/>
        <v>6011.7147000000004</v>
      </c>
      <c r="I8687" s="5" t="str">
        <f t="shared" si="1032"/>
        <v>017</v>
      </c>
      <c r="J8687" s="5" t="str">
        <f t="shared" si="1033"/>
        <v>2100</v>
      </c>
      <c r="K8687" s="5" t="str">
        <f t="shared" si="1034"/>
        <v>000</v>
      </c>
      <c r="L8687" s="5">
        <f t="shared" si="1035"/>
        <v>10</v>
      </c>
      <c r="M8687" s="5">
        <f t="shared" si="1036"/>
        <v>2013</v>
      </c>
    </row>
    <row r="8688" spans="1:13" ht="15" x14ac:dyDescent="0.25">
      <c r="A8688" s="1">
        <f>DATE(2013,10,2)</f>
        <v>41549</v>
      </c>
      <c r="B8688" t="s">
        <v>16</v>
      </c>
      <c r="C8688" t="s">
        <v>8</v>
      </c>
      <c r="D8688" s="3">
        <v>2072.5614</v>
      </c>
      <c r="E8688" s="3">
        <v>0</v>
      </c>
      <c r="F8688" t="s">
        <v>45</v>
      </c>
      <c r="G8688" s="3">
        <f t="shared" si="1030"/>
        <v>-2072.5614</v>
      </c>
      <c r="H8688" s="3">
        <f t="shared" si="1031"/>
        <v>2072.5614</v>
      </c>
      <c r="I8688" s="5" t="str">
        <f t="shared" si="1032"/>
        <v>017</v>
      </c>
      <c r="J8688" s="5" t="str">
        <f t="shared" si="1033"/>
        <v>2210</v>
      </c>
      <c r="K8688" s="5" t="str">
        <f t="shared" si="1034"/>
        <v>000</v>
      </c>
      <c r="L8688" s="5">
        <f t="shared" si="1035"/>
        <v>10</v>
      </c>
      <c r="M8688" s="5">
        <f t="shared" si="1036"/>
        <v>2013</v>
      </c>
    </row>
    <row r="8689" spans="1:13" ht="15" x14ac:dyDescent="0.25">
      <c r="A8689" s="1">
        <f>DATE(2013,10,2)</f>
        <v>41549</v>
      </c>
      <c r="B8689" t="s">
        <v>17</v>
      </c>
      <c r="C8689" t="s">
        <v>9</v>
      </c>
      <c r="D8689" s="3">
        <v>543.58920000000001</v>
      </c>
      <c r="E8689" s="3">
        <v>0</v>
      </c>
      <c r="F8689" t="s">
        <v>45</v>
      </c>
      <c r="G8689" s="3">
        <f t="shared" si="1030"/>
        <v>-543.58920000000001</v>
      </c>
      <c r="H8689" s="3">
        <f t="shared" si="1031"/>
        <v>543.58920000000001</v>
      </c>
      <c r="I8689" s="5" t="str">
        <f t="shared" si="1032"/>
        <v>017</v>
      </c>
      <c r="J8689" s="5" t="str">
        <f t="shared" si="1033"/>
        <v>2220</v>
      </c>
      <c r="K8689" s="5" t="str">
        <f t="shared" si="1034"/>
        <v>000</v>
      </c>
      <c r="L8689" s="5">
        <f t="shared" si="1035"/>
        <v>10</v>
      </c>
      <c r="M8689" s="5">
        <f t="shared" si="1036"/>
        <v>2013</v>
      </c>
    </row>
    <row r="8690" spans="1:13" ht="15" x14ac:dyDescent="0.25">
      <c r="A8690" s="1">
        <f>DATE(2013,10,2)</f>
        <v>41549</v>
      </c>
      <c r="B8690" t="s">
        <v>18</v>
      </c>
      <c r="C8690" t="s">
        <v>10</v>
      </c>
      <c r="D8690" s="3">
        <v>166.29820000000001</v>
      </c>
      <c r="E8690" s="3">
        <v>0</v>
      </c>
      <c r="F8690" t="s">
        <v>45</v>
      </c>
      <c r="G8690" s="3">
        <f t="shared" si="1030"/>
        <v>-166.29820000000001</v>
      </c>
      <c r="H8690" s="3">
        <f t="shared" si="1031"/>
        <v>166.29820000000001</v>
      </c>
      <c r="I8690" s="5" t="str">
        <f t="shared" si="1032"/>
        <v>017</v>
      </c>
      <c r="J8690" s="5" t="str">
        <f t="shared" si="1033"/>
        <v>2230</v>
      </c>
      <c r="K8690" s="5" t="str">
        <f t="shared" si="1034"/>
        <v>000</v>
      </c>
      <c r="L8690" s="5">
        <f t="shared" si="1035"/>
        <v>10</v>
      </c>
      <c r="M8690" s="5">
        <f t="shared" si="1036"/>
        <v>2013</v>
      </c>
    </row>
    <row r="8691" spans="1:13" ht="15" x14ac:dyDescent="0.25">
      <c r="A8691" s="1">
        <f>DATE(2013,10,3)</f>
        <v>41550</v>
      </c>
      <c r="B8691" t="s">
        <v>15</v>
      </c>
      <c r="C8691" t="s">
        <v>6</v>
      </c>
      <c r="D8691" s="3">
        <v>5870.3060999999998</v>
      </c>
      <c r="E8691" s="3">
        <v>0</v>
      </c>
      <c r="F8691" t="s">
        <v>45</v>
      </c>
      <c r="G8691" s="3">
        <f t="shared" si="1030"/>
        <v>-5870.3060999999998</v>
      </c>
      <c r="H8691" s="3">
        <f t="shared" si="1031"/>
        <v>5870.3060999999998</v>
      </c>
      <c r="I8691" s="5" t="str">
        <f t="shared" si="1032"/>
        <v>017</v>
      </c>
      <c r="J8691" s="5" t="str">
        <f t="shared" si="1033"/>
        <v>2100</v>
      </c>
      <c r="K8691" s="5" t="str">
        <f t="shared" si="1034"/>
        <v>000</v>
      </c>
      <c r="L8691" s="5">
        <f t="shared" si="1035"/>
        <v>10</v>
      </c>
      <c r="M8691" s="5">
        <f t="shared" si="1036"/>
        <v>2013</v>
      </c>
    </row>
    <row r="8692" spans="1:13" ht="15" x14ac:dyDescent="0.25">
      <c r="A8692" s="1">
        <f>DATE(2013,10,3)</f>
        <v>41550</v>
      </c>
      <c r="B8692" t="s">
        <v>16</v>
      </c>
      <c r="C8692" t="s">
        <v>8</v>
      </c>
      <c r="D8692" s="3">
        <v>1386.5766000000001</v>
      </c>
      <c r="E8692" s="3">
        <v>0</v>
      </c>
      <c r="F8692" t="s">
        <v>45</v>
      </c>
      <c r="G8692" s="3">
        <f t="shared" si="1030"/>
        <v>-1386.5766000000001</v>
      </c>
      <c r="H8692" s="3">
        <f t="shared" si="1031"/>
        <v>1386.5766000000001</v>
      </c>
      <c r="I8692" s="5" t="str">
        <f t="shared" si="1032"/>
        <v>017</v>
      </c>
      <c r="J8692" s="5" t="str">
        <f t="shared" si="1033"/>
        <v>2210</v>
      </c>
      <c r="K8692" s="5" t="str">
        <f t="shared" si="1034"/>
        <v>000</v>
      </c>
      <c r="L8692" s="5">
        <f t="shared" si="1035"/>
        <v>10</v>
      </c>
      <c r="M8692" s="5">
        <f t="shared" si="1036"/>
        <v>2013</v>
      </c>
    </row>
    <row r="8693" spans="1:13" ht="15" x14ac:dyDescent="0.25">
      <c r="A8693" s="1">
        <f>DATE(2013,10,3)</f>
        <v>41550</v>
      </c>
      <c r="B8693" t="s">
        <v>17</v>
      </c>
      <c r="C8693" t="s">
        <v>9</v>
      </c>
      <c r="D8693" s="3">
        <v>611.1105</v>
      </c>
      <c r="E8693" s="3">
        <v>0</v>
      </c>
      <c r="F8693" t="s">
        <v>45</v>
      </c>
      <c r="G8693" s="3">
        <f t="shared" si="1030"/>
        <v>-611.1105</v>
      </c>
      <c r="H8693" s="3">
        <f t="shared" si="1031"/>
        <v>611.1105</v>
      </c>
      <c r="I8693" s="5" t="str">
        <f t="shared" si="1032"/>
        <v>017</v>
      </c>
      <c r="J8693" s="5" t="str">
        <f t="shared" si="1033"/>
        <v>2220</v>
      </c>
      <c r="K8693" s="5" t="str">
        <f t="shared" si="1034"/>
        <v>000</v>
      </c>
      <c r="L8693" s="5">
        <f t="shared" si="1035"/>
        <v>10</v>
      </c>
      <c r="M8693" s="5">
        <f t="shared" si="1036"/>
        <v>2013</v>
      </c>
    </row>
    <row r="8694" spans="1:13" ht="15" x14ac:dyDescent="0.25">
      <c r="A8694" s="1">
        <f>DATE(2013,10,3)</f>
        <v>41550</v>
      </c>
      <c r="B8694" t="s">
        <v>18</v>
      </c>
      <c r="C8694" t="s">
        <v>10</v>
      </c>
      <c r="D8694" s="3">
        <v>150.3279</v>
      </c>
      <c r="E8694" s="3">
        <v>0</v>
      </c>
      <c r="F8694" t="s">
        <v>45</v>
      </c>
      <c r="G8694" s="3">
        <f t="shared" si="1030"/>
        <v>-150.3279</v>
      </c>
      <c r="H8694" s="3">
        <f t="shared" si="1031"/>
        <v>150.3279</v>
      </c>
      <c r="I8694" s="5" t="str">
        <f t="shared" si="1032"/>
        <v>017</v>
      </c>
      <c r="J8694" s="5" t="str">
        <f t="shared" si="1033"/>
        <v>2230</v>
      </c>
      <c r="K8694" s="5" t="str">
        <f t="shared" si="1034"/>
        <v>000</v>
      </c>
      <c r="L8694" s="5">
        <f t="shared" si="1035"/>
        <v>10</v>
      </c>
      <c r="M8694" s="5">
        <f t="shared" si="1036"/>
        <v>2013</v>
      </c>
    </row>
    <row r="8695" spans="1:13" ht="15" x14ac:dyDescent="0.25">
      <c r="A8695" s="1">
        <f>DATE(2013,10,4)</f>
        <v>41551</v>
      </c>
      <c r="B8695" t="s">
        <v>15</v>
      </c>
      <c r="C8695" t="s">
        <v>6</v>
      </c>
      <c r="D8695" s="3">
        <v>8687.0607999999993</v>
      </c>
      <c r="E8695" s="3">
        <v>0</v>
      </c>
      <c r="F8695" t="s">
        <v>45</v>
      </c>
      <c r="G8695" s="3">
        <f t="shared" si="1030"/>
        <v>-8687.0607999999993</v>
      </c>
      <c r="H8695" s="3">
        <f t="shared" si="1031"/>
        <v>8687.0607999999993</v>
      </c>
      <c r="I8695" s="5" t="str">
        <f t="shared" si="1032"/>
        <v>017</v>
      </c>
      <c r="J8695" s="5" t="str">
        <f t="shared" si="1033"/>
        <v>2100</v>
      </c>
      <c r="K8695" s="5" t="str">
        <f t="shared" si="1034"/>
        <v>000</v>
      </c>
      <c r="L8695" s="5">
        <f t="shared" si="1035"/>
        <v>10</v>
      </c>
      <c r="M8695" s="5">
        <f t="shared" si="1036"/>
        <v>2013</v>
      </c>
    </row>
    <row r="8696" spans="1:13" ht="15" x14ac:dyDescent="0.25">
      <c r="A8696" s="1">
        <f>DATE(2013,10,4)</f>
        <v>41551</v>
      </c>
      <c r="B8696" t="s">
        <v>16</v>
      </c>
      <c r="C8696" t="s">
        <v>8</v>
      </c>
      <c r="D8696" s="3">
        <v>2243.0549999999998</v>
      </c>
      <c r="E8696" s="3">
        <v>0</v>
      </c>
      <c r="F8696" t="s">
        <v>45</v>
      </c>
      <c r="G8696" s="3">
        <f t="shared" si="1030"/>
        <v>-2243.0549999999998</v>
      </c>
      <c r="H8696" s="3">
        <f t="shared" si="1031"/>
        <v>2243.0549999999998</v>
      </c>
      <c r="I8696" s="5" t="str">
        <f t="shared" si="1032"/>
        <v>017</v>
      </c>
      <c r="J8696" s="5" t="str">
        <f t="shared" si="1033"/>
        <v>2210</v>
      </c>
      <c r="K8696" s="5" t="str">
        <f t="shared" si="1034"/>
        <v>000</v>
      </c>
      <c r="L8696" s="5">
        <f t="shared" si="1035"/>
        <v>10</v>
      </c>
      <c r="M8696" s="5">
        <f t="shared" si="1036"/>
        <v>2013</v>
      </c>
    </row>
    <row r="8697" spans="1:13" ht="15" x14ac:dyDescent="0.25">
      <c r="A8697" s="1">
        <f>DATE(2013,10,4)</f>
        <v>41551</v>
      </c>
      <c r="B8697" t="s">
        <v>17</v>
      </c>
      <c r="C8697" t="s">
        <v>9</v>
      </c>
      <c r="D8697" s="3">
        <v>524.43299999999999</v>
      </c>
      <c r="E8697" s="3">
        <v>0</v>
      </c>
      <c r="F8697" t="s">
        <v>45</v>
      </c>
      <c r="G8697" s="3">
        <f t="shared" si="1030"/>
        <v>-524.43299999999999</v>
      </c>
      <c r="H8697" s="3">
        <f t="shared" si="1031"/>
        <v>524.43299999999999</v>
      </c>
      <c r="I8697" s="5" t="str">
        <f t="shared" si="1032"/>
        <v>017</v>
      </c>
      <c r="J8697" s="5" t="str">
        <f t="shared" si="1033"/>
        <v>2220</v>
      </c>
      <c r="K8697" s="5" t="str">
        <f t="shared" si="1034"/>
        <v>000</v>
      </c>
      <c r="L8697" s="5">
        <f t="shared" si="1035"/>
        <v>10</v>
      </c>
      <c r="M8697" s="5">
        <f t="shared" si="1036"/>
        <v>2013</v>
      </c>
    </row>
    <row r="8698" spans="1:13" ht="15" x14ac:dyDescent="0.25">
      <c r="A8698" s="1">
        <f>DATE(2013,10,4)</f>
        <v>41551</v>
      </c>
      <c r="B8698" t="s">
        <v>18</v>
      </c>
      <c r="C8698" t="s">
        <v>10</v>
      </c>
      <c r="D8698" s="3">
        <v>68.752799999999993</v>
      </c>
      <c r="E8698" s="3">
        <v>0</v>
      </c>
      <c r="F8698" t="s">
        <v>45</v>
      </c>
      <c r="G8698" s="3">
        <f t="shared" si="1030"/>
        <v>-68.752799999999993</v>
      </c>
      <c r="H8698" s="3">
        <f t="shared" si="1031"/>
        <v>68.752799999999993</v>
      </c>
      <c r="I8698" s="5" t="str">
        <f t="shared" si="1032"/>
        <v>017</v>
      </c>
      <c r="J8698" s="5" t="str">
        <f t="shared" si="1033"/>
        <v>2230</v>
      </c>
      <c r="K8698" s="5" t="str">
        <f t="shared" si="1034"/>
        <v>000</v>
      </c>
      <c r="L8698" s="5">
        <f t="shared" si="1035"/>
        <v>10</v>
      </c>
      <c r="M8698" s="5">
        <f t="shared" si="1036"/>
        <v>2013</v>
      </c>
    </row>
    <row r="8699" spans="1:13" ht="15" x14ac:dyDescent="0.25">
      <c r="A8699" s="1">
        <f>DATE(2013,10,5)</f>
        <v>41552</v>
      </c>
      <c r="B8699" t="s">
        <v>15</v>
      </c>
      <c r="C8699" t="s">
        <v>6</v>
      </c>
      <c r="D8699" s="3">
        <v>6737.1120000000001</v>
      </c>
      <c r="E8699" s="3">
        <v>0</v>
      </c>
      <c r="F8699" t="s">
        <v>45</v>
      </c>
      <c r="G8699" s="3">
        <f t="shared" si="1030"/>
        <v>-6737.1120000000001</v>
      </c>
      <c r="H8699" s="3">
        <f t="shared" si="1031"/>
        <v>6737.1120000000001</v>
      </c>
      <c r="I8699" s="5" t="str">
        <f t="shared" si="1032"/>
        <v>017</v>
      </c>
      <c r="J8699" s="5" t="str">
        <f t="shared" si="1033"/>
        <v>2100</v>
      </c>
      <c r="K8699" s="5" t="str">
        <f t="shared" si="1034"/>
        <v>000</v>
      </c>
      <c r="L8699" s="5">
        <f t="shared" si="1035"/>
        <v>10</v>
      </c>
      <c r="M8699" s="5">
        <f t="shared" si="1036"/>
        <v>2013</v>
      </c>
    </row>
    <row r="8700" spans="1:13" ht="15" x14ac:dyDescent="0.25">
      <c r="A8700" s="1">
        <f>DATE(2013,10,5)</f>
        <v>41552</v>
      </c>
      <c r="B8700" t="s">
        <v>16</v>
      </c>
      <c r="C8700" t="s">
        <v>8</v>
      </c>
      <c r="D8700" s="3">
        <v>1612.1712000000002</v>
      </c>
      <c r="E8700" s="3">
        <v>0</v>
      </c>
      <c r="F8700" t="s">
        <v>45</v>
      </c>
      <c r="G8700" s="3">
        <f t="shared" si="1030"/>
        <v>-1612.1712000000002</v>
      </c>
      <c r="H8700" s="3">
        <f t="shared" si="1031"/>
        <v>1612.1712000000002</v>
      </c>
      <c r="I8700" s="5" t="str">
        <f t="shared" si="1032"/>
        <v>017</v>
      </c>
      <c r="J8700" s="5" t="str">
        <f t="shared" si="1033"/>
        <v>2210</v>
      </c>
      <c r="K8700" s="5" t="str">
        <f t="shared" si="1034"/>
        <v>000</v>
      </c>
      <c r="L8700" s="5">
        <f t="shared" si="1035"/>
        <v>10</v>
      </c>
      <c r="M8700" s="5">
        <f t="shared" si="1036"/>
        <v>2013</v>
      </c>
    </row>
    <row r="8701" spans="1:13" ht="15" x14ac:dyDescent="0.25">
      <c r="A8701" s="1">
        <f>DATE(2013,10,5)</f>
        <v>41552</v>
      </c>
      <c r="B8701" t="s">
        <v>17</v>
      </c>
      <c r="C8701" t="s">
        <v>9</v>
      </c>
      <c r="D8701" s="3">
        <v>299.39490000000001</v>
      </c>
      <c r="E8701" s="3">
        <v>0</v>
      </c>
      <c r="F8701" t="s">
        <v>45</v>
      </c>
      <c r="G8701" s="3">
        <f t="shared" si="1030"/>
        <v>-299.39490000000001</v>
      </c>
      <c r="H8701" s="3">
        <f t="shared" si="1031"/>
        <v>299.39490000000001</v>
      </c>
      <c r="I8701" s="5" t="str">
        <f t="shared" si="1032"/>
        <v>017</v>
      </c>
      <c r="J8701" s="5" t="str">
        <f t="shared" si="1033"/>
        <v>2220</v>
      </c>
      <c r="K8701" s="5" t="str">
        <f t="shared" si="1034"/>
        <v>000</v>
      </c>
      <c r="L8701" s="5">
        <f t="shared" si="1035"/>
        <v>10</v>
      </c>
      <c r="M8701" s="5">
        <f t="shared" si="1036"/>
        <v>2013</v>
      </c>
    </row>
    <row r="8702" spans="1:13" ht="15" x14ac:dyDescent="0.25">
      <c r="A8702" s="1">
        <f>DATE(2013,10,5)</f>
        <v>41552</v>
      </c>
      <c r="B8702" t="s">
        <v>18</v>
      </c>
      <c r="C8702" t="s">
        <v>10</v>
      </c>
      <c r="D8702" s="3">
        <v>46.235199999999999</v>
      </c>
      <c r="E8702" s="3">
        <v>0</v>
      </c>
      <c r="F8702" t="s">
        <v>45</v>
      </c>
      <c r="G8702" s="3">
        <f t="shared" si="1030"/>
        <v>-46.235199999999999</v>
      </c>
      <c r="H8702" s="3">
        <f t="shared" si="1031"/>
        <v>46.235199999999999</v>
      </c>
      <c r="I8702" s="5" t="str">
        <f t="shared" si="1032"/>
        <v>017</v>
      </c>
      <c r="J8702" s="5" t="str">
        <f t="shared" si="1033"/>
        <v>2230</v>
      </c>
      <c r="K8702" s="5" t="str">
        <f t="shared" si="1034"/>
        <v>000</v>
      </c>
      <c r="L8702" s="5">
        <f t="shared" si="1035"/>
        <v>10</v>
      </c>
      <c r="M8702" s="5">
        <f t="shared" si="1036"/>
        <v>2013</v>
      </c>
    </row>
    <row r="8703" spans="1:13" ht="15" x14ac:dyDescent="0.25">
      <c r="A8703" s="1">
        <f>DATE(2013,10,6)</f>
        <v>41553</v>
      </c>
      <c r="B8703" t="s">
        <v>15</v>
      </c>
      <c r="C8703" t="s">
        <v>6</v>
      </c>
      <c r="D8703" s="3">
        <v>4031.2560000000003</v>
      </c>
      <c r="E8703" s="3">
        <v>0</v>
      </c>
      <c r="F8703" t="s">
        <v>45</v>
      </c>
      <c r="G8703" s="3">
        <f t="shared" si="1030"/>
        <v>-4031.2560000000003</v>
      </c>
      <c r="H8703" s="3">
        <f t="shared" si="1031"/>
        <v>4031.2560000000003</v>
      </c>
      <c r="I8703" s="5" t="str">
        <f t="shared" si="1032"/>
        <v>017</v>
      </c>
      <c r="J8703" s="5" t="str">
        <f t="shared" si="1033"/>
        <v>2100</v>
      </c>
      <c r="K8703" s="5" t="str">
        <f t="shared" si="1034"/>
        <v>000</v>
      </c>
      <c r="L8703" s="5">
        <f t="shared" si="1035"/>
        <v>10</v>
      </c>
      <c r="M8703" s="5">
        <f t="shared" si="1036"/>
        <v>2013</v>
      </c>
    </row>
    <row r="8704" spans="1:13" ht="15" x14ac:dyDescent="0.25">
      <c r="A8704" s="1">
        <f>DATE(2013,10,6)</f>
        <v>41553</v>
      </c>
      <c r="B8704" t="s">
        <v>16</v>
      </c>
      <c r="C8704" t="s">
        <v>8</v>
      </c>
      <c r="D8704" s="3">
        <v>668.78730000000007</v>
      </c>
      <c r="E8704" s="3">
        <v>0</v>
      </c>
      <c r="F8704" t="s">
        <v>45</v>
      </c>
      <c r="G8704" s="3">
        <f t="shared" si="1030"/>
        <v>-668.78730000000007</v>
      </c>
      <c r="H8704" s="3">
        <f t="shared" si="1031"/>
        <v>668.78730000000007</v>
      </c>
      <c r="I8704" s="5" t="str">
        <f t="shared" si="1032"/>
        <v>017</v>
      </c>
      <c r="J8704" s="5" t="str">
        <f t="shared" si="1033"/>
        <v>2210</v>
      </c>
      <c r="K8704" s="5" t="str">
        <f t="shared" si="1034"/>
        <v>000</v>
      </c>
      <c r="L8704" s="5">
        <f t="shared" si="1035"/>
        <v>10</v>
      </c>
      <c r="M8704" s="5">
        <f t="shared" si="1036"/>
        <v>2013</v>
      </c>
    </row>
    <row r="8705" spans="1:13" ht="15" x14ac:dyDescent="0.25">
      <c r="A8705" s="1">
        <f>DATE(2013,10,6)</f>
        <v>41553</v>
      </c>
      <c r="B8705" t="s">
        <v>17</v>
      </c>
      <c r="C8705" t="s">
        <v>9</v>
      </c>
      <c r="D8705" s="3">
        <v>119.80799999999999</v>
      </c>
      <c r="E8705" s="3">
        <v>0</v>
      </c>
      <c r="F8705" t="s">
        <v>45</v>
      </c>
      <c r="G8705" s="3">
        <f t="shared" si="1030"/>
        <v>-119.80799999999999</v>
      </c>
      <c r="H8705" s="3">
        <f t="shared" si="1031"/>
        <v>119.80799999999999</v>
      </c>
      <c r="I8705" s="5" t="str">
        <f t="shared" si="1032"/>
        <v>017</v>
      </c>
      <c r="J8705" s="5" t="str">
        <f t="shared" si="1033"/>
        <v>2220</v>
      </c>
      <c r="K8705" s="5" t="str">
        <f t="shared" si="1034"/>
        <v>000</v>
      </c>
      <c r="L8705" s="5">
        <f t="shared" si="1035"/>
        <v>10</v>
      </c>
      <c r="M8705" s="5">
        <f t="shared" si="1036"/>
        <v>2013</v>
      </c>
    </row>
    <row r="8706" spans="1:13" ht="15" x14ac:dyDescent="0.25">
      <c r="A8706" s="1">
        <f>DATE(2013,10,6)</f>
        <v>41553</v>
      </c>
      <c r="B8706" t="s">
        <v>18</v>
      </c>
      <c r="C8706" t="s">
        <v>10</v>
      </c>
      <c r="D8706" s="3">
        <v>88.078499999999991</v>
      </c>
      <c r="E8706" s="3">
        <v>0</v>
      </c>
      <c r="F8706" t="s">
        <v>45</v>
      </c>
      <c r="G8706" s="3">
        <f t="shared" ref="G8706:G8769" si="1037">E8706-D8706</f>
        <v>-88.078499999999991</v>
      </c>
      <c r="H8706" s="3">
        <f t="shared" ref="H8706:H8769" si="1038">ABS(G8706)</f>
        <v>88.078499999999991</v>
      </c>
      <c r="I8706" s="5" t="str">
        <f t="shared" ref="I8706:I8769" si="1039">MID(B8706,1,3)</f>
        <v>017</v>
      </c>
      <c r="J8706" s="5" t="str">
        <f t="shared" ref="J8706:J8769" si="1040">MID(B8706,5,4)</f>
        <v>2230</v>
      </c>
      <c r="K8706" s="5" t="str">
        <f t="shared" ref="K8706:K8769" si="1041">MID(B8706,10,3)</f>
        <v>000</v>
      </c>
      <c r="L8706" s="5">
        <f t="shared" ref="L8706:L8769" si="1042">MONTH(A8706)</f>
        <v>10</v>
      </c>
      <c r="M8706" s="5">
        <f t="shared" ref="M8706:M8769" si="1043">YEAR(A8706)</f>
        <v>2013</v>
      </c>
    </row>
    <row r="8707" spans="1:13" ht="15" x14ac:dyDescent="0.25">
      <c r="A8707" s="1">
        <f>DATE(2013,9,30)</f>
        <v>41547</v>
      </c>
      <c r="B8707" t="s">
        <v>19</v>
      </c>
      <c r="C8707" t="s">
        <v>6</v>
      </c>
      <c r="D8707" s="3">
        <v>4118.8480000000009</v>
      </c>
      <c r="E8707" s="3">
        <v>0</v>
      </c>
      <c r="F8707" t="s">
        <v>45</v>
      </c>
      <c r="G8707" s="3">
        <f t="shared" si="1037"/>
        <v>-4118.8480000000009</v>
      </c>
      <c r="H8707" s="3">
        <f t="shared" si="1038"/>
        <v>4118.8480000000009</v>
      </c>
      <c r="I8707" s="5" t="str">
        <f t="shared" si="1039"/>
        <v>018</v>
      </c>
      <c r="J8707" s="5" t="str">
        <f t="shared" si="1040"/>
        <v>2100</v>
      </c>
      <c r="K8707" s="5" t="str">
        <f t="shared" si="1041"/>
        <v>000</v>
      </c>
      <c r="L8707" s="5">
        <f t="shared" si="1042"/>
        <v>9</v>
      </c>
      <c r="M8707" s="5">
        <f t="shared" si="1043"/>
        <v>2013</v>
      </c>
    </row>
    <row r="8708" spans="1:13" ht="15" x14ac:dyDescent="0.25">
      <c r="A8708" s="1">
        <f>DATE(2013,9,30)</f>
        <v>41547</v>
      </c>
      <c r="B8708" t="s">
        <v>20</v>
      </c>
      <c r="C8708" t="s">
        <v>8</v>
      </c>
      <c r="D8708" s="3">
        <v>593.40510000000006</v>
      </c>
      <c r="E8708" s="3">
        <v>0</v>
      </c>
      <c r="F8708" t="s">
        <v>45</v>
      </c>
      <c r="G8708" s="3">
        <f t="shared" si="1037"/>
        <v>-593.40510000000006</v>
      </c>
      <c r="H8708" s="3">
        <f t="shared" si="1038"/>
        <v>593.40510000000006</v>
      </c>
      <c r="I8708" s="5" t="str">
        <f t="shared" si="1039"/>
        <v>018</v>
      </c>
      <c r="J8708" s="5" t="str">
        <f t="shared" si="1040"/>
        <v>2210</v>
      </c>
      <c r="K8708" s="5" t="str">
        <f t="shared" si="1041"/>
        <v>000</v>
      </c>
      <c r="L8708" s="5">
        <f t="shared" si="1042"/>
        <v>9</v>
      </c>
      <c r="M8708" s="5">
        <f t="shared" si="1043"/>
        <v>2013</v>
      </c>
    </row>
    <row r="8709" spans="1:13" ht="15" x14ac:dyDescent="0.25">
      <c r="A8709" s="1">
        <f>DATE(2013,9,30)</f>
        <v>41547</v>
      </c>
      <c r="B8709" t="s">
        <v>21</v>
      </c>
      <c r="C8709" t="s">
        <v>9</v>
      </c>
      <c r="D8709" s="3">
        <v>212.89840000000001</v>
      </c>
      <c r="E8709" s="3">
        <v>0</v>
      </c>
      <c r="F8709" t="s">
        <v>45</v>
      </c>
      <c r="G8709" s="3">
        <f t="shared" si="1037"/>
        <v>-212.89840000000001</v>
      </c>
      <c r="H8709" s="3">
        <f t="shared" si="1038"/>
        <v>212.89840000000001</v>
      </c>
      <c r="I8709" s="5" t="str">
        <f t="shared" si="1039"/>
        <v>018</v>
      </c>
      <c r="J8709" s="5" t="str">
        <f t="shared" si="1040"/>
        <v>2220</v>
      </c>
      <c r="K8709" s="5" t="str">
        <f t="shared" si="1041"/>
        <v>000</v>
      </c>
      <c r="L8709" s="5">
        <f t="shared" si="1042"/>
        <v>9</v>
      </c>
      <c r="M8709" s="5">
        <f t="shared" si="1043"/>
        <v>2013</v>
      </c>
    </row>
    <row r="8710" spans="1:13" ht="15" x14ac:dyDescent="0.25">
      <c r="A8710" s="1">
        <f>DATE(2013,9,30)</f>
        <v>41547</v>
      </c>
      <c r="B8710" t="s">
        <v>22</v>
      </c>
      <c r="C8710" t="s">
        <v>10</v>
      </c>
      <c r="D8710" s="3">
        <v>14.0244</v>
      </c>
      <c r="E8710" s="3">
        <v>0</v>
      </c>
      <c r="F8710" t="s">
        <v>45</v>
      </c>
      <c r="G8710" s="3">
        <f t="shared" si="1037"/>
        <v>-14.0244</v>
      </c>
      <c r="H8710" s="3">
        <f t="shared" si="1038"/>
        <v>14.0244</v>
      </c>
      <c r="I8710" s="5" t="str">
        <f t="shared" si="1039"/>
        <v>018</v>
      </c>
      <c r="J8710" s="5" t="str">
        <f t="shared" si="1040"/>
        <v>2230</v>
      </c>
      <c r="K8710" s="5" t="str">
        <f t="shared" si="1041"/>
        <v>000</v>
      </c>
      <c r="L8710" s="5">
        <f t="shared" si="1042"/>
        <v>9</v>
      </c>
      <c r="M8710" s="5">
        <f t="shared" si="1043"/>
        <v>2013</v>
      </c>
    </row>
    <row r="8711" spans="1:13" ht="15" x14ac:dyDescent="0.25">
      <c r="A8711" s="1">
        <f>DATE(2013,10,1)</f>
        <v>41548</v>
      </c>
      <c r="B8711" t="s">
        <v>19</v>
      </c>
      <c r="C8711" t="s">
        <v>6</v>
      </c>
      <c r="D8711" s="3">
        <v>4498.1772000000001</v>
      </c>
      <c r="E8711" s="3">
        <v>0</v>
      </c>
      <c r="F8711" t="s">
        <v>45</v>
      </c>
      <c r="G8711" s="3">
        <f t="shared" si="1037"/>
        <v>-4498.1772000000001</v>
      </c>
      <c r="H8711" s="3">
        <f t="shared" si="1038"/>
        <v>4498.1772000000001</v>
      </c>
      <c r="I8711" s="5" t="str">
        <f t="shared" si="1039"/>
        <v>018</v>
      </c>
      <c r="J8711" s="5" t="str">
        <f t="shared" si="1040"/>
        <v>2100</v>
      </c>
      <c r="K8711" s="5" t="str">
        <f t="shared" si="1041"/>
        <v>000</v>
      </c>
      <c r="L8711" s="5">
        <f t="shared" si="1042"/>
        <v>10</v>
      </c>
      <c r="M8711" s="5">
        <f t="shared" si="1043"/>
        <v>2013</v>
      </c>
    </row>
    <row r="8712" spans="1:13" ht="15" x14ac:dyDescent="0.25">
      <c r="A8712" s="1">
        <f>DATE(2013,10,1)</f>
        <v>41548</v>
      </c>
      <c r="B8712" t="s">
        <v>20</v>
      </c>
      <c r="C8712" t="s">
        <v>8</v>
      </c>
      <c r="D8712" s="3">
        <v>758.94119999999998</v>
      </c>
      <c r="E8712" s="3">
        <v>0</v>
      </c>
      <c r="F8712" t="s">
        <v>45</v>
      </c>
      <c r="G8712" s="3">
        <f t="shared" si="1037"/>
        <v>-758.94119999999998</v>
      </c>
      <c r="H8712" s="3">
        <f t="shared" si="1038"/>
        <v>758.94119999999998</v>
      </c>
      <c r="I8712" s="5" t="str">
        <f t="shared" si="1039"/>
        <v>018</v>
      </c>
      <c r="J8712" s="5" t="str">
        <f t="shared" si="1040"/>
        <v>2210</v>
      </c>
      <c r="K8712" s="5" t="str">
        <f t="shared" si="1041"/>
        <v>000</v>
      </c>
      <c r="L8712" s="5">
        <f t="shared" si="1042"/>
        <v>10</v>
      </c>
      <c r="M8712" s="5">
        <f t="shared" si="1043"/>
        <v>2013</v>
      </c>
    </row>
    <row r="8713" spans="1:13" ht="15" x14ac:dyDescent="0.25">
      <c r="A8713" s="1">
        <f>DATE(2013,10,1)</f>
        <v>41548</v>
      </c>
      <c r="B8713" t="s">
        <v>21</v>
      </c>
      <c r="C8713" t="s">
        <v>9</v>
      </c>
      <c r="D8713" s="3">
        <v>141.19560000000001</v>
      </c>
      <c r="E8713" s="3">
        <v>0</v>
      </c>
      <c r="F8713" t="s">
        <v>45</v>
      </c>
      <c r="G8713" s="3">
        <f t="shared" si="1037"/>
        <v>-141.19560000000001</v>
      </c>
      <c r="H8713" s="3">
        <f t="shared" si="1038"/>
        <v>141.19560000000001</v>
      </c>
      <c r="I8713" s="5" t="str">
        <f t="shared" si="1039"/>
        <v>018</v>
      </c>
      <c r="J8713" s="5" t="str">
        <f t="shared" si="1040"/>
        <v>2220</v>
      </c>
      <c r="K8713" s="5" t="str">
        <f t="shared" si="1041"/>
        <v>000</v>
      </c>
      <c r="L8713" s="5">
        <f t="shared" si="1042"/>
        <v>10</v>
      </c>
      <c r="M8713" s="5">
        <f t="shared" si="1043"/>
        <v>2013</v>
      </c>
    </row>
    <row r="8714" spans="1:13" ht="15" x14ac:dyDescent="0.25">
      <c r="A8714" s="1">
        <f>DATE(2013,10,1)</f>
        <v>41548</v>
      </c>
      <c r="B8714" t="s">
        <v>22</v>
      </c>
      <c r="C8714" t="s">
        <v>10</v>
      </c>
      <c r="D8714" s="3">
        <v>113.77200000000001</v>
      </c>
      <c r="E8714" s="3">
        <v>0</v>
      </c>
      <c r="F8714" t="s">
        <v>45</v>
      </c>
      <c r="G8714" s="3">
        <f t="shared" si="1037"/>
        <v>-113.77200000000001</v>
      </c>
      <c r="H8714" s="3">
        <f t="shared" si="1038"/>
        <v>113.77200000000001</v>
      </c>
      <c r="I8714" s="5" t="str">
        <f t="shared" si="1039"/>
        <v>018</v>
      </c>
      <c r="J8714" s="5" t="str">
        <f t="shared" si="1040"/>
        <v>2230</v>
      </c>
      <c r="K8714" s="5" t="str">
        <f t="shared" si="1041"/>
        <v>000</v>
      </c>
      <c r="L8714" s="5">
        <f t="shared" si="1042"/>
        <v>10</v>
      </c>
      <c r="M8714" s="5">
        <f t="shared" si="1043"/>
        <v>2013</v>
      </c>
    </row>
    <row r="8715" spans="1:13" ht="15" x14ac:dyDescent="0.25">
      <c r="A8715" s="1">
        <f>DATE(2013,10,2)</f>
        <v>41549</v>
      </c>
      <c r="B8715" t="s">
        <v>19</v>
      </c>
      <c r="C8715" t="s">
        <v>6</v>
      </c>
      <c r="D8715" s="3">
        <v>4438.6217999999999</v>
      </c>
      <c r="E8715" s="3">
        <v>0</v>
      </c>
      <c r="F8715" t="s">
        <v>45</v>
      </c>
      <c r="G8715" s="3">
        <f t="shared" si="1037"/>
        <v>-4438.6217999999999</v>
      </c>
      <c r="H8715" s="3">
        <f t="shared" si="1038"/>
        <v>4438.6217999999999</v>
      </c>
      <c r="I8715" s="5" t="str">
        <f t="shared" si="1039"/>
        <v>018</v>
      </c>
      <c r="J8715" s="5" t="str">
        <f t="shared" si="1040"/>
        <v>2100</v>
      </c>
      <c r="K8715" s="5" t="str">
        <f t="shared" si="1041"/>
        <v>000</v>
      </c>
      <c r="L8715" s="5">
        <f t="shared" si="1042"/>
        <v>10</v>
      </c>
      <c r="M8715" s="5">
        <f t="shared" si="1043"/>
        <v>2013</v>
      </c>
    </row>
    <row r="8716" spans="1:13" ht="15" x14ac:dyDescent="0.25">
      <c r="A8716" s="1">
        <f>DATE(2013,10,2)</f>
        <v>41549</v>
      </c>
      <c r="B8716" t="s">
        <v>20</v>
      </c>
      <c r="C8716" t="s">
        <v>8</v>
      </c>
      <c r="D8716" s="3">
        <v>622.05719999999997</v>
      </c>
      <c r="E8716" s="3">
        <v>0</v>
      </c>
      <c r="F8716" t="s">
        <v>45</v>
      </c>
      <c r="G8716" s="3">
        <f t="shared" si="1037"/>
        <v>-622.05719999999997</v>
      </c>
      <c r="H8716" s="3">
        <f t="shared" si="1038"/>
        <v>622.05719999999997</v>
      </c>
      <c r="I8716" s="5" t="str">
        <f t="shared" si="1039"/>
        <v>018</v>
      </c>
      <c r="J8716" s="5" t="str">
        <f t="shared" si="1040"/>
        <v>2210</v>
      </c>
      <c r="K8716" s="5" t="str">
        <f t="shared" si="1041"/>
        <v>000</v>
      </c>
      <c r="L8716" s="5">
        <f t="shared" si="1042"/>
        <v>10</v>
      </c>
      <c r="M8716" s="5">
        <f t="shared" si="1043"/>
        <v>2013</v>
      </c>
    </row>
    <row r="8717" spans="1:13" ht="15" x14ac:dyDescent="0.25">
      <c r="A8717" s="1">
        <f>DATE(2013,10,2)</f>
        <v>41549</v>
      </c>
      <c r="B8717" t="s">
        <v>21</v>
      </c>
      <c r="C8717" t="s">
        <v>9</v>
      </c>
      <c r="D8717" s="3">
        <v>138.42599999999999</v>
      </c>
      <c r="E8717" s="3">
        <v>0</v>
      </c>
      <c r="F8717" t="s">
        <v>45</v>
      </c>
      <c r="G8717" s="3">
        <f t="shared" si="1037"/>
        <v>-138.42599999999999</v>
      </c>
      <c r="H8717" s="3">
        <f t="shared" si="1038"/>
        <v>138.42599999999999</v>
      </c>
      <c r="I8717" s="5" t="str">
        <f t="shared" si="1039"/>
        <v>018</v>
      </c>
      <c r="J8717" s="5" t="str">
        <f t="shared" si="1040"/>
        <v>2220</v>
      </c>
      <c r="K8717" s="5" t="str">
        <f t="shared" si="1041"/>
        <v>000</v>
      </c>
      <c r="L8717" s="5">
        <f t="shared" si="1042"/>
        <v>10</v>
      </c>
      <c r="M8717" s="5">
        <f t="shared" si="1043"/>
        <v>2013</v>
      </c>
    </row>
    <row r="8718" spans="1:13" ht="15" x14ac:dyDescent="0.25">
      <c r="A8718" s="1">
        <f>DATE(2013,10,2)</f>
        <v>41549</v>
      </c>
      <c r="B8718" t="s">
        <v>22</v>
      </c>
      <c r="C8718" t="s">
        <v>10</v>
      </c>
      <c r="D8718" s="3">
        <v>58.470999999999997</v>
      </c>
      <c r="E8718" s="3">
        <v>0</v>
      </c>
      <c r="F8718" t="s">
        <v>45</v>
      </c>
      <c r="G8718" s="3">
        <f t="shared" si="1037"/>
        <v>-58.470999999999997</v>
      </c>
      <c r="H8718" s="3">
        <f t="shared" si="1038"/>
        <v>58.470999999999997</v>
      </c>
      <c r="I8718" s="5" t="str">
        <f t="shared" si="1039"/>
        <v>018</v>
      </c>
      <c r="J8718" s="5" t="str">
        <f t="shared" si="1040"/>
        <v>2230</v>
      </c>
      <c r="K8718" s="5" t="str">
        <f t="shared" si="1041"/>
        <v>000</v>
      </c>
      <c r="L8718" s="5">
        <f t="shared" si="1042"/>
        <v>10</v>
      </c>
      <c r="M8718" s="5">
        <f t="shared" si="1043"/>
        <v>2013</v>
      </c>
    </row>
    <row r="8719" spans="1:13" ht="15" x14ac:dyDescent="0.25">
      <c r="A8719" s="1">
        <f>DATE(2013,10,3)</f>
        <v>41550</v>
      </c>
      <c r="B8719" t="s">
        <v>19</v>
      </c>
      <c r="C8719" t="s">
        <v>6</v>
      </c>
      <c r="D8719" s="3">
        <v>4183.8150000000005</v>
      </c>
      <c r="E8719" s="3">
        <v>0</v>
      </c>
      <c r="F8719" t="s">
        <v>45</v>
      </c>
      <c r="G8719" s="3">
        <f t="shared" si="1037"/>
        <v>-4183.8150000000005</v>
      </c>
      <c r="H8719" s="3">
        <f t="shared" si="1038"/>
        <v>4183.8150000000005</v>
      </c>
      <c r="I8719" s="5" t="str">
        <f t="shared" si="1039"/>
        <v>018</v>
      </c>
      <c r="J8719" s="5" t="str">
        <f t="shared" si="1040"/>
        <v>2100</v>
      </c>
      <c r="K8719" s="5" t="str">
        <f t="shared" si="1041"/>
        <v>000</v>
      </c>
      <c r="L8719" s="5">
        <f t="shared" si="1042"/>
        <v>10</v>
      </c>
      <c r="M8719" s="5">
        <f t="shared" si="1043"/>
        <v>2013</v>
      </c>
    </row>
    <row r="8720" spans="1:13" ht="15" x14ac:dyDescent="0.25">
      <c r="A8720" s="1">
        <f>DATE(2013,10,3)</f>
        <v>41550</v>
      </c>
      <c r="B8720" t="s">
        <v>20</v>
      </c>
      <c r="C8720" t="s">
        <v>8</v>
      </c>
      <c r="D8720" s="3">
        <v>1159.0369000000001</v>
      </c>
      <c r="E8720" s="3">
        <v>0</v>
      </c>
      <c r="F8720" t="s">
        <v>45</v>
      </c>
      <c r="G8720" s="3">
        <f t="shared" si="1037"/>
        <v>-1159.0369000000001</v>
      </c>
      <c r="H8720" s="3">
        <f t="shared" si="1038"/>
        <v>1159.0369000000001</v>
      </c>
      <c r="I8720" s="5" t="str">
        <f t="shared" si="1039"/>
        <v>018</v>
      </c>
      <c r="J8720" s="5" t="str">
        <f t="shared" si="1040"/>
        <v>2210</v>
      </c>
      <c r="K8720" s="5" t="str">
        <f t="shared" si="1041"/>
        <v>000</v>
      </c>
      <c r="L8720" s="5">
        <f t="shared" si="1042"/>
        <v>10</v>
      </c>
      <c r="M8720" s="5">
        <f t="shared" si="1043"/>
        <v>2013</v>
      </c>
    </row>
    <row r="8721" spans="1:13" ht="15" x14ac:dyDescent="0.25">
      <c r="A8721" s="1">
        <f>DATE(2013,10,3)</f>
        <v>41550</v>
      </c>
      <c r="B8721" t="s">
        <v>21</v>
      </c>
      <c r="C8721" t="s">
        <v>9</v>
      </c>
      <c r="D8721" s="3">
        <v>304.72620000000001</v>
      </c>
      <c r="E8721" s="3">
        <v>0</v>
      </c>
      <c r="F8721" t="s">
        <v>45</v>
      </c>
      <c r="G8721" s="3">
        <f t="shared" si="1037"/>
        <v>-304.72620000000001</v>
      </c>
      <c r="H8721" s="3">
        <f t="shared" si="1038"/>
        <v>304.72620000000001</v>
      </c>
      <c r="I8721" s="5" t="str">
        <f t="shared" si="1039"/>
        <v>018</v>
      </c>
      <c r="J8721" s="5" t="str">
        <f t="shared" si="1040"/>
        <v>2220</v>
      </c>
      <c r="K8721" s="5" t="str">
        <f t="shared" si="1041"/>
        <v>000</v>
      </c>
      <c r="L8721" s="5">
        <f t="shared" si="1042"/>
        <v>10</v>
      </c>
      <c r="M8721" s="5">
        <f t="shared" si="1043"/>
        <v>2013</v>
      </c>
    </row>
    <row r="8722" spans="1:13" ht="15" x14ac:dyDescent="0.25">
      <c r="A8722" s="1">
        <f>DATE(2013,10,3)</f>
        <v>41550</v>
      </c>
      <c r="B8722" t="s">
        <v>22</v>
      </c>
      <c r="C8722" t="s">
        <v>10</v>
      </c>
      <c r="D8722" s="3">
        <v>50.963200000000001</v>
      </c>
      <c r="E8722" s="3">
        <v>0</v>
      </c>
      <c r="F8722" t="s">
        <v>45</v>
      </c>
      <c r="G8722" s="3">
        <f t="shared" si="1037"/>
        <v>-50.963200000000001</v>
      </c>
      <c r="H8722" s="3">
        <f t="shared" si="1038"/>
        <v>50.963200000000001</v>
      </c>
      <c r="I8722" s="5" t="str">
        <f t="shared" si="1039"/>
        <v>018</v>
      </c>
      <c r="J8722" s="5" t="str">
        <f t="shared" si="1040"/>
        <v>2230</v>
      </c>
      <c r="K8722" s="5" t="str">
        <f t="shared" si="1041"/>
        <v>000</v>
      </c>
      <c r="L8722" s="5">
        <f t="shared" si="1042"/>
        <v>10</v>
      </c>
      <c r="M8722" s="5">
        <f t="shared" si="1043"/>
        <v>2013</v>
      </c>
    </row>
    <row r="8723" spans="1:13" ht="15" x14ac:dyDescent="0.25">
      <c r="A8723" s="1">
        <f>DATE(2013,10,4)</f>
        <v>41551</v>
      </c>
      <c r="B8723" t="s">
        <v>19</v>
      </c>
      <c r="C8723" t="s">
        <v>6</v>
      </c>
      <c r="D8723" s="3">
        <v>9753.7369999999992</v>
      </c>
      <c r="E8723" s="3">
        <v>0</v>
      </c>
      <c r="F8723" t="s">
        <v>45</v>
      </c>
      <c r="G8723" s="3">
        <f t="shared" si="1037"/>
        <v>-9753.7369999999992</v>
      </c>
      <c r="H8723" s="3">
        <f t="shared" si="1038"/>
        <v>9753.7369999999992</v>
      </c>
      <c r="I8723" s="5" t="str">
        <f t="shared" si="1039"/>
        <v>018</v>
      </c>
      <c r="J8723" s="5" t="str">
        <f t="shared" si="1040"/>
        <v>2100</v>
      </c>
      <c r="K8723" s="5" t="str">
        <f t="shared" si="1041"/>
        <v>000</v>
      </c>
      <c r="L8723" s="5">
        <f t="shared" si="1042"/>
        <v>10</v>
      </c>
      <c r="M8723" s="5">
        <f t="shared" si="1043"/>
        <v>2013</v>
      </c>
    </row>
    <row r="8724" spans="1:13" ht="15" x14ac:dyDescent="0.25">
      <c r="A8724" s="1">
        <f>DATE(2013,10,4)</f>
        <v>41551</v>
      </c>
      <c r="B8724" t="s">
        <v>20</v>
      </c>
      <c r="C8724" t="s">
        <v>8</v>
      </c>
      <c r="D8724" s="3">
        <v>2985.0787999999998</v>
      </c>
      <c r="E8724" s="3">
        <v>0</v>
      </c>
      <c r="F8724" t="s">
        <v>45</v>
      </c>
      <c r="G8724" s="3">
        <f t="shared" si="1037"/>
        <v>-2985.0787999999998</v>
      </c>
      <c r="H8724" s="3">
        <f t="shared" si="1038"/>
        <v>2985.0787999999998</v>
      </c>
      <c r="I8724" s="5" t="str">
        <f t="shared" si="1039"/>
        <v>018</v>
      </c>
      <c r="J8724" s="5" t="str">
        <f t="shared" si="1040"/>
        <v>2210</v>
      </c>
      <c r="K8724" s="5" t="str">
        <f t="shared" si="1041"/>
        <v>000</v>
      </c>
      <c r="L8724" s="5">
        <f t="shared" si="1042"/>
        <v>10</v>
      </c>
      <c r="M8724" s="5">
        <f t="shared" si="1043"/>
        <v>2013</v>
      </c>
    </row>
    <row r="8725" spans="1:13" ht="15" x14ac:dyDescent="0.25">
      <c r="A8725" s="1">
        <f>DATE(2013,10,4)</f>
        <v>41551</v>
      </c>
      <c r="B8725" t="s">
        <v>21</v>
      </c>
      <c r="C8725" t="s">
        <v>9</v>
      </c>
      <c r="D8725" s="3">
        <v>417.42</v>
      </c>
      <c r="E8725" s="3">
        <v>0</v>
      </c>
      <c r="F8725" t="s">
        <v>45</v>
      </c>
      <c r="G8725" s="3">
        <f t="shared" si="1037"/>
        <v>-417.42</v>
      </c>
      <c r="H8725" s="3">
        <f t="shared" si="1038"/>
        <v>417.42</v>
      </c>
      <c r="I8725" s="5" t="str">
        <f t="shared" si="1039"/>
        <v>018</v>
      </c>
      <c r="J8725" s="5" t="str">
        <f t="shared" si="1040"/>
        <v>2220</v>
      </c>
      <c r="K8725" s="5" t="str">
        <f t="shared" si="1041"/>
        <v>000</v>
      </c>
      <c r="L8725" s="5">
        <f t="shared" si="1042"/>
        <v>10</v>
      </c>
      <c r="M8725" s="5">
        <f t="shared" si="1043"/>
        <v>2013</v>
      </c>
    </row>
    <row r="8726" spans="1:13" ht="15" x14ac:dyDescent="0.25">
      <c r="A8726" s="1">
        <f>DATE(2013,10,4)</f>
        <v>41551</v>
      </c>
      <c r="B8726" t="s">
        <v>22</v>
      </c>
      <c r="C8726" t="s">
        <v>10</v>
      </c>
      <c r="D8726" s="3">
        <v>49.964100000000002</v>
      </c>
      <c r="E8726" s="3">
        <v>0</v>
      </c>
      <c r="F8726" t="s">
        <v>45</v>
      </c>
      <c r="G8726" s="3">
        <f t="shared" si="1037"/>
        <v>-49.964100000000002</v>
      </c>
      <c r="H8726" s="3">
        <f t="shared" si="1038"/>
        <v>49.964100000000002</v>
      </c>
      <c r="I8726" s="5" t="str">
        <f t="shared" si="1039"/>
        <v>018</v>
      </c>
      <c r="J8726" s="5" t="str">
        <f t="shared" si="1040"/>
        <v>2230</v>
      </c>
      <c r="K8726" s="5" t="str">
        <f t="shared" si="1041"/>
        <v>000</v>
      </c>
      <c r="L8726" s="5">
        <f t="shared" si="1042"/>
        <v>10</v>
      </c>
      <c r="M8726" s="5">
        <f t="shared" si="1043"/>
        <v>2013</v>
      </c>
    </row>
    <row r="8727" spans="1:13" ht="15" x14ac:dyDescent="0.25">
      <c r="A8727" s="1">
        <f>DATE(2013,10,5)</f>
        <v>41552</v>
      </c>
      <c r="B8727" t="s">
        <v>19</v>
      </c>
      <c r="C8727" t="s">
        <v>6</v>
      </c>
      <c r="D8727" s="3">
        <v>17125.308000000001</v>
      </c>
      <c r="E8727" s="3">
        <v>0</v>
      </c>
      <c r="F8727" t="s">
        <v>45</v>
      </c>
      <c r="G8727" s="3">
        <f t="shared" si="1037"/>
        <v>-17125.308000000001</v>
      </c>
      <c r="H8727" s="3">
        <f t="shared" si="1038"/>
        <v>17125.308000000001</v>
      </c>
      <c r="I8727" s="5" t="str">
        <f t="shared" si="1039"/>
        <v>018</v>
      </c>
      <c r="J8727" s="5" t="str">
        <f t="shared" si="1040"/>
        <v>2100</v>
      </c>
      <c r="K8727" s="5" t="str">
        <f t="shared" si="1041"/>
        <v>000</v>
      </c>
      <c r="L8727" s="5">
        <f t="shared" si="1042"/>
        <v>10</v>
      </c>
      <c r="M8727" s="5">
        <f t="shared" si="1043"/>
        <v>2013</v>
      </c>
    </row>
    <row r="8728" spans="1:13" ht="15" x14ac:dyDescent="0.25">
      <c r="A8728" s="1">
        <f>DATE(2013,10,5)</f>
        <v>41552</v>
      </c>
      <c r="B8728" t="s">
        <v>20</v>
      </c>
      <c r="C8728" t="s">
        <v>8</v>
      </c>
      <c r="D8728" s="3">
        <v>2659.2323999999999</v>
      </c>
      <c r="E8728" s="3">
        <v>0</v>
      </c>
      <c r="F8728" t="s">
        <v>45</v>
      </c>
      <c r="G8728" s="3">
        <f t="shared" si="1037"/>
        <v>-2659.2323999999999</v>
      </c>
      <c r="H8728" s="3">
        <f t="shared" si="1038"/>
        <v>2659.2323999999999</v>
      </c>
      <c r="I8728" s="5" t="str">
        <f t="shared" si="1039"/>
        <v>018</v>
      </c>
      <c r="J8728" s="5" t="str">
        <f t="shared" si="1040"/>
        <v>2210</v>
      </c>
      <c r="K8728" s="5" t="str">
        <f t="shared" si="1041"/>
        <v>000</v>
      </c>
      <c r="L8728" s="5">
        <f t="shared" si="1042"/>
        <v>10</v>
      </c>
      <c r="M8728" s="5">
        <f t="shared" si="1043"/>
        <v>2013</v>
      </c>
    </row>
    <row r="8729" spans="1:13" ht="15" x14ac:dyDescent="0.25">
      <c r="A8729" s="1">
        <f>DATE(2013,10,5)</f>
        <v>41552</v>
      </c>
      <c r="B8729" t="s">
        <v>21</v>
      </c>
      <c r="C8729" t="s">
        <v>9</v>
      </c>
      <c r="D8729" s="3">
        <v>723.81440000000009</v>
      </c>
      <c r="E8729" s="3">
        <v>0</v>
      </c>
      <c r="F8729" t="s">
        <v>45</v>
      </c>
      <c r="G8729" s="3">
        <f t="shared" si="1037"/>
        <v>-723.81440000000009</v>
      </c>
      <c r="H8729" s="3">
        <f t="shared" si="1038"/>
        <v>723.81440000000009</v>
      </c>
      <c r="I8729" s="5" t="str">
        <f t="shared" si="1039"/>
        <v>018</v>
      </c>
      <c r="J8729" s="5" t="str">
        <f t="shared" si="1040"/>
        <v>2220</v>
      </c>
      <c r="K8729" s="5" t="str">
        <f t="shared" si="1041"/>
        <v>000</v>
      </c>
      <c r="L8729" s="5">
        <f t="shared" si="1042"/>
        <v>10</v>
      </c>
      <c r="M8729" s="5">
        <f t="shared" si="1043"/>
        <v>2013</v>
      </c>
    </row>
    <row r="8730" spans="1:13" ht="15" x14ac:dyDescent="0.25">
      <c r="A8730" s="1">
        <f>DATE(2013,10,5)</f>
        <v>41552</v>
      </c>
      <c r="B8730" t="s">
        <v>22</v>
      </c>
      <c r="C8730" t="s">
        <v>10</v>
      </c>
      <c r="D8730" s="3">
        <v>59.516800000000003</v>
      </c>
      <c r="E8730" s="3">
        <v>0</v>
      </c>
      <c r="F8730" t="s">
        <v>45</v>
      </c>
      <c r="G8730" s="3">
        <f t="shared" si="1037"/>
        <v>-59.516800000000003</v>
      </c>
      <c r="H8730" s="3">
        <f t="shared" si="1038"/>
        <v>59.516800000000003</v>
      </c>
      <c r="I8730" s="5" t="str">
        <f t="shared" si="1039"/>
        <v>018</v>
      </c>
      <c r="J8730" s="5" t="str">
        <f t="shared" si="1040"/>
        <v>2230</v>
      </c>
      <c r="K8730" s="5" t="str">
        <f t="shared" si="1041"/>
        <v>000</v>
      </c>
      <c r="L8730" s="5">
        <f t="shared" si="1042"/>
        <v>10</v>
      </c>
      <c r="M8730" s="5">
        <f t="shared" si="1043"/>
        <v>2013</v>
      </c>
    </row>
    <row r="8731" spans="1:13" ht="15" x14ac:dyDescent="0.25">
      <c r="A8731" s="1">
        <f>DATE(2013,10,6)</f>
        <v>41553</v>
      </c>
      <c r="B8731" t="s">
        <v>19</v>
      </c>
      <c r="C8731" t="s">
        <v>6</v>
      </c>
      <c r="D8731" s="3">
        <v>11013.7808</v>
      </c>
      <c r="E8731" s="3">
        <v>0</v>
      </c>
      <c r="F8731" t="s">
        <v>45</v>
      </c>
      <c r="G8731" s="3">
        <f t="shared" si="1037"/>
        <v>-11013.7808</v>
      </c>
      <c r="H8731" s="3">
        <f t="shared" si="1038"/>
        <v>11013.7808</v>
      </c>
      <c r="I8731" s="5" t="str">
        <f t="shared" si="1039"/>
        <v>018</v>
      </c>
      <c r="J8731" s="5" t="str">
        <f t="shared" si="1040"/>
        <v>2100</v>
      </c>
      <c r="K8731" s="5" t="str">
        <f t="shared" si="1041"/>
        <v>000</v>
      </c>
      <c r="L8731" s="5">
        <f t="shared" si="1042"/>
        <v>10</v>
      </c>
      <c r="M8731" s="5">
        <f t="shared" si="1043"/>
        <v>2013</v>
      </c>
    </row>
    <row r="8732" spans="1:13" ht="15" x14ac:dyDescent="0.25">
      <c r="A8732" s="1">
        <f>DATE(2013,10,6)</f>
        <v>41553</v>
      </c>
      <c r="B8732" t="s">
        <v>20</v>
      </c>
      <c r="C8732" t="s">
        <v>8</v>
      </c>
      <c r="D8732" s="3">
        <v>1144.9502</v>
      </c>
      <c r="E8732" s="3">
        <v>0</v>
      </c>
      <c r="F8732" t="s">
        <v>45</v>
      </c>
      <c r="G8732" s="3">
        <f t="shared" si="1037"/>
        <v>-1144.9502</v>
      </c>
      <c r="H8732" s="3">
        <f t="shared" si="1038"/>
        <v>1144.9502</v>
      </c>
      <c r="I8732" s="5" t="str">
        <f t="shared" si="1039"/>
        <v>018</v>
      </c>
      <c r="J8732" s="5" t="str">
        <f t="shared" si="1040"/>
        <v>2210</v>
      </c>
      <c r="K8732" s="5" t="str">
        <f t="shared" si="1041"/>
        <v>000</v>
      </c>
      <c r="L8732" s="5">
        <f t="shared" si="1042"/>
        <v>10</v>
      </c>
      <c r="M8732" s="5">
        <f t="shared" si="1043"/>
        <v>2013</v>
      </c>
    </row>
    <row r="8733" spans="1:13" ht="15" x14ac:dyDescent="0.25">
      <c r="A8733" s="1">
        <f>DATE(2013,10,6)</f>
        <v>41553</v>
      </c>
      <c r="B8733" t="s">
        <v>21</v>
      </c>
      <c r="C8733" t="s">
        <v>9</v>
      </c>
      <c r="D8733" s="3">
        <v>231.38080000000002</v>
      </c>
      <c r="E8733" s="3">
        <v>0</v>
      </c>
      <c r="F8733" t="s">
        <v>45</v>
      </c>
      <c r="G8733" s="3">
        <f t="shared" si="1037"/>
        <v>-231.38080000000002</v>
      </c>
      <c r="H8733" s="3">
        <f t="shared" si="1038"/>
        <v>231.38080000000002</v>
      </c>
      <c r="I8733" s="5" t="str">
        <f t="shared" si="1039"/>
        <v>018</v>
      </c>
      <c r="J8733" s="5" t="str">
        <f t="shared" si="1040"/>
        <v>2220</v>
      </c>
      <c r="K8733" s="5" t="str">
        <f t="shared" si="1041"/>
        <v>000</v>
      </c>
      <c r="L8733" s="5">
        <f t="shared" si="1042"/>
        <v>10</v>
      </c>
      <c r="M8733" s="5">
        <f t="shared" si="1043"/>
        <v>2013</v>
      </c>
    </row>
    <row r="8734" spans="1:13" ht="15" x14ac:dyDescent="0.25">
      <c r="A8734" s="1">
        <f>DATE(2013,10,6)</f>
        <v>41553</v>
      </c>
      <c r="B8734" t="s">
        <v>22</v>
      </c>
      <c r="C8734" t="s">
        <v>10</v>
      </c>
      <c r="D8734" s="3">
        <v>79.600499999999997</v>
      </c>
      <c r="E8734" s="3">
        <v>0</v>
      </c>
      <c r="F8734" t="s">
        <v>45</v>
      </c>
      <c r="G8734" s="3">
        <f t="shared" si="1037"/>
        <v>-79.600499999999997</v>
      </c>
      <c r="H8734" s="3">
        <f t="shared" si="1038"/>
        <v>79.600499999999997</v>
      </c>
      <c r="I8734" s="5" t="str">
        <f t="shared" si="1039"/>
        <v>018</v>
      </c>
      <c r="J8734" s="5" t="str">
        <f t="shared" si="1040"/>
        <v>2230</v>
      </c>
      <c r="K8734" s="5" t="str">
        <f t="shared" si="1041"/>
        <v>000</v>
      </c>
      <c r="L8734" s="5">
        <f t="shared" si="1042"/>
        <v>10</v>
      </c>
      <c r="M8734" s="5">
        <f t="shared" si="1043"/>
        <v>2013</v>
      </c>
    </row>
    <row r="8735" spans="1:13" ht="15" x14ac:dyDescent="0.25">
      <c r="A8735" s="1">
        <f>DATE(2013,9,30)</f>
        <v>41547</v>
      </c>
      <c r="B8735" t="s">
        <v>23</v>
      </c>
      <c r="C8735" t="s">
        <v>6</v>
      </c>
      <c r="D8735" s="3">
        <v>2696.5122999999999</v>
      </c>
      <c r="E8735" s="3">
        <v>0</v>
      </c>
      <c r="F8735" t="s">
        <v>45</v>
      </c>
      <c r="G8735" s="3">
        <f t="shared" si="1037"/>
        <v>-2696.5122999999999</v>
      </c>
      <c r="H8735" s="3">
        <f t="shared" si="1038"/>
        <v>2696.5122999999999</v>
      </c>
      <c r="I8735" s="5" t="str">
        <f t="shared" si="1039"/>
        <v>019</v>
      </c>
      <c r="J8735" s="5" t="str">
        <f t="shared" si="1040"/>
        <v>2100</v>
      </c>
      <c r="K8735" s="5" t="str">
        <f t="shared" si="1041"/>
        <v>000</v>
      </c>
      <c r="L8735" s="5">
        <f t="shared" si="1042"/>
        <v>9</v>
      </c>
      <c r="M8735" s="5">
        <f t="shared" si="1043"/>
        <v>2013</v>
      </c>
    </row>
    <row r="8736" spans="1:13" ht="15" x14ac:dyDescent="0.25">
      <c r="A8736" s="1">
        <f>DATE(2013,9,30)</f>
        <v>41547</v>
      </c>
      <c r="B8736" t="s">
        <v>24</v>
      </c>
      <c r="C8736" t="s">
        <v>8</v>
      </c>
      <c r="D8736" s="3">
        <v>515.26859999999999</v>
      </c>
      <c r="E8736" s="3">
        <v>0</v>
      </c>
      <c r="F8736" t="s">
        <v>45</v>
      </c>
      <c r="G8736" s="3">
        <f t="shared" si="1037"/>
        <v>-515.26859999999999</v>
      </c>
      <c r="H8736" s="3">
        <f t="shared" si="1038"/>
        <v>515.26859999999999</v>
      </c>
      <c r="I8736" s="5" t="str">
        <f t="shared" si="1039"/>
        <v>019</v>
      </c>
      <c r="J8736" s="5" t="str">
        <f t="shared" si="1040"/>
        <v>2210</v>
      </c>
      <c r="K8736" s="5" t="str">
        <f t="shared" si="1041"/>
        <v>000</v>
      </c>
      <c r="L8736" s="5">
        <f t="shared" si="1042"/>
        <v>9</v>
      </c>
      <c r="M8736" s="5">
        <f t="shared" si="1043"/>
        <v>2013</v>
      </c>
    </row>
    <row r="8737" spans="1:13" ht="15" x14ac:dyDescent="0.25">
      <c r="A8737" s="1">
        <f>DATE(2013,9,30)</f>
        <v>41547</v>
      </c>
      <c r="B8737" t="s">
        <v>25</v>
      </c>
      <c r="C8737" t="s">
        <v>9</v>
      </c>
      <c r="D8737" s="3">
        <v>144.01240000000001</v>
      </c>
      <c r="E8737" s="3">
        <v>0</v>
      </c>
      <c r="F8737" t="s">
        <v>45</v>
      </c>
      <c r="G8737" s="3">
        <f t="shared" si="1037"/>
        <v>-144.01240000000001</v>
      </c>
      <c r="H8737" s="3">
        <f t="shared" si="1038"/>
        <v>144.01240000000001</v>
      </c>
      <c r="I8737" s="5" t="str">
        <f t="shared" si="1039"/>
        <v>019</v>
      </c>
      <c r="J8737" s="5" t="str">
        <f t="shared" si="1040"/>
        <v>2220</v>
      </c>
      <c r="K8737" s="5" t="str">
        <f t="shared" si="1041"/>
        <v>000</v>
      </c>
      <c r="L8737" s="5">
        <f t="shared" si="1042"/>
        <v>9</v>
      </c>
      <c r="M8737" s="5">
        <f t="shared" si="1043"/>
        <v>2013</v>
      </c>
    </row>
    <row r="8738" spans="1:13" ht="15" x14ac:dyDescent="0.25">
      <c r="A8738" s="1">
        <f>DATE(2013,9,30)</f>
        <v>41547</v>
      </c>
      <c r="B8738" t="s">
        <v>26</v>
      </c>
      <c r="C8738" t="s">
        <v>10</v>
      </c>
      <c r="D8738" s="3">
        <v>44.8536</v>
      </c>
      <c r="E8738" s="3">
        <v>0</v>
      </c>
      <c r="F8738" t="s">
        <v>45</v>
      </c>
      <c r="G8738" s="3">
        <f t="shared" si="1037"/>
        <v>-44.8536</v>
      </c>
      <c r="H8738" s="3">
        <f t="shared" si="1038"/>
        <v>44.8536</v>
      </c>
      <c r="I8738" s="5" t="str">
        <f t="shared" si="1039"/>
        <v>019</v>
      </c>
      <c r="J8738" s="5" t="str">
        <f t="shared" si="1040"/>
        <v>2230</v>
      </c>
      <c r="K8738" s="5" t="str">
        <f t="shared" si="1041"/>
        <v>000</v>
      </c>
      <c r="L8738" s="5">
        <f t="shared" si="1042"/>
        <v>9</v>
      </c>
      <c r="M8738" s="5">
        <f t="shared" si="1043"/>
        <v>2013</v>
      </c>
    </row>
    <row r="8739" spans="1:13" ht="15" x14ac:dyDescent="0.25">
      <c r="A8739" s="1">
        <f>DATE(2013,10,1)</f>
        <v>41548</v>
      </c>
      <c r="B8739" t="s">
        <v>23</v>
      </c>
      <c r="C8739" t="s">
        <v>6</v>
      </c>
      <c r="D8739" s="3">
        <v>3844.0527000000006</v>
      </c>
      <c r="E8739" s="3">
        <v>0</v>
      </c>
      <c r="F8739" t="s">
        <v>45</v>
      </c>
      <c r="G8739" s="3">
        <f t="shared" si="1037"/>
        <v>-3844.0527000000006</v>
      </c>
      <c r="H8739" s="3">
        <f t="shared" si="1038"/>
        <v>3844.0527000000006</v>
      </c>
      <c r="I8739" s="5" t="str">
        <f t="shared" si="1039"/>
        <v>019</v>
      </c>
      <c r="J8739" s="5" t="str">
        <f t="shared" si="1040"/>
        <v>2100</v>
      </c>
      <c r="K8739" s="5" t="str">
        <f t="shared" si="1041"/>
        <v>000</v>
      </c>
      <c r="L8739" s="5">
        <f t="shared" si="1042"/>
        <v>10</v>
      </c>
      <c r="M8739" s="5">
        <f t="shared" si="1043"/>
        <v>2013</v>
      </c>
    </row>
    <row r="8740" spans="1:13" ht="15" x14ac:dyDescent="0.25">
      <c r="A8740" s="1">
        <f>DATE(2013,10,1)</f>
        <v>41548</v>
      </c>
      <c r="B8740" t="s">
        <v>24</v>
      </c>
      <c r="C8740" t="s">
        <v>8</v>
      </c>
      <c r="D8740" s="3">
        <v>576</v>
      </c>
      <c r="E8740" s="3">
        <v>0</v>
      </c>
      <c r="F8740" t="s">
        <v>45</v>
      </c>
      <c r="G8740" s="3">
        <f t="shared" si="1037"/>
        <v>-576</v>
      </c>
      <c r="H8740" s="3">
        <f t="shared" si="1038"/>
        <v>576</v>
      </c>
      <c r="I8740" s="5" t="str">
        <f t="shared" si="1039"/>
        <v>019</v>
      </c>
      <c r="J8740" s="5" t="str">
        <f t="shared" si="1040"/>
        <v>2210</v>
      </c>
      <c r="K8740" s="5" t="str">
        <f t="shared" si="1041"/>
        <v>000</v>
      </c>
      <c r="L8740" s="5">
        <f t="shared" si="1042"/>
        <v>10</v>
      </c>
      <c r="M8740" s="5">
        <f t="shared" si="1043"/>
        <v>2013</v>
      </c>
    </row>
    <row r="8741" spans="1:13" ht="15" x14ac:dyDescent="0.25">
      <c r="A8741" s="1">
        <f>DATE(2013,10,1)</f>
        <v>41548</v>
      </c>
      <c r="B8741" t="s">
        <v>25</v>
      </c>
      <c r="C8741" t="s">
        <v>9</v>
      </c>
      <c r="D8741" s="3">
        <v>224.24960000000002</v>
      </c>
      <c r="E8741" s="3">
        <v>0</v>
      </c>
      <c r="F8741" t="s">
        <v>45</v>
      </c>
      <c r="G8741" s="3">
        <f t="shared" si="1037"/>
        <v>-224.24960000000002</v>
      </c>
      <c r="H8741" s="3">
        <f t="shared" si="1038"/>
        <v>224.24960000000002</v>
      </c>
      <c r="I8741" s="5" t="str">
        <f t="shared" si="1039"/>
        <v>019</v>
      </c>
      <c r="J8741" s="5" t="str">
        <f t="shared" si="1040"/>
        <v>2220</v>
      </c>
      <c r="K8741" s="5" t="str">
        <f t="shared" si="1041"/>
        <v>000</v>
      </c>
      <c r="L8741" s="5">
        <f t="shared" si="1042"/>
        <v>10</v>
      </c>
      <c r="M8741" s="5">
        <f t="shared" si="1043"/>
        <v>2013</v>
      </c>
    </row>
    <row r="8742" spans="1:13" ht="15" x14ac:dyDescent="0.25">
      <c r="A8742" s="1">
        <f>DATE(2013,10,1)</f>
        <v>41548</v>
      </c>
      <c r="B8742" t="s">
        <v>26</v>
      </c>
      <c r="C8742" t="s">
        <v>10</v>
      </c>
      <c r="D8742" s="3">
        <v>50.0822</v>
      </c>
      <c r="E8742" s="3">
        <v>0</v>
      </c>
      <c r="F8742" t="s">
        <v>45</v>
      </c>
      <c r="G8742" s="3">
        <f t="shared" si="1037"/>
        <v>-50.0822</v>
      </c>
      <c r="H8742" s="3">
        <f t="shared" si="1038"/>
        <v>50.0822</v>
      </c>
      <c r="I8742" s="5" t="str">
        <f t="shared" si="1039"/>
        <v>019</v>
      </c>
      <c r="J8742" s="5" t="str">
        <f t="shared" si="1040"/>
        <v>2230</v>
      </c>
      <c r="K8742" s="5" t="str">
        <f t="shared" si="1041"/>
        <v>000</v>
      </c>
      <c r="L8742" s="5">
        <f t="shared" si="1042"/>
        <v>10</v>
      </c>
      <c r="M8742" s="5">
        <f t="shared" si="1043"/>
        <v>2013</v>
      </c>
    </row>
    <row r="8743" spans="1:13" ht="15" x14ac:dyDescent="0.25">
      <c r="A8743" s="1">
        <f>DATE(2013,10,2)</f>
        <v>41549</v>
      </c>
      <c r="B8743" t="s">
        <v>23</v>
      </c>
      <c r="C8743" t="s">
        <v>6</v>
      </c>
      <c r="D8743" s="3">
        <v>3092.0061000000001</v>
      </c>
      <c r="E8743" s="3">
        <v>0</v>
      </c>
      <c r="F8743" t="s">
        <v>45</v>
      </c>
      <c r="G8743" s="3">
        <f t="shared" si="1037"/>
        <v>-3092.0061000000001</v>
      </c>
      <c r="H8743" s="3">
        <f t="shared" si="1038"/>
        <v>3092.0061000000001</v>
      </c>
      <c r="I8743" s="5" t="str">
        <f t="shared" si="1039"/>
        <v>019</v>
      </c>
      <c r="J8743" s="5" t="str">
        <f t="shared" si="1040"/>
        <v>2100</v>
      </c>
      <c r="K8743" s="5" t="str">
        <f t="shared" si="1041"/>
        <v>000</v>
      </c>
      <c r="L8743" s="5">
        <f t="shared" si="1042"/>
        <v>10</v>
      </c>
      <c r="M8743" s="5">
        <f t="shared" si="1043"/>
        <v>2013</v>
      </c>
    </row>
    <row r="8744" spans="1:13" ht="15" x14ac:dyDescent="0.25">
      <c r="A8744" s="1">
        <f>DATE(2013,10,2)</f>
        <v>41549</v>
      </c>
      <c r="B8744" t="s">
        <v>24</v>
      </c>
      <c r="C8744" t="s">
        <v>8</v>
      </c>
      <c r="D8744" s="3">
        <v>673.98</v>
      </c>
      <c r="E8744" s="3">
        <v>0</v>
      </c>
      <c r="F8744" t="s">
        <v>45</v>
      </c>
      <c r="G8744" s="3">
        <f t="shared" si="1037"/>
        <v>-673.98</v>
      </c>
      <c r="H8744" s="3">
        <f t="shared" si="1038"/>
        <v>673.98</v>
      </c>
      <c r="I8744" s="5" t="str">
        <f t="shared" si="1039"/>
        <v>019</v>
      </c>
      <c r="J8744" s="5" t="str">
        <f t="shared" si="1040"/>
        <v>2210</v>
      </c>
      <c r="K8744" s="5" t="str">
        <f t="shared" si="1041"/>
        <v>000</v>
      </c>
      <c r="L8744" s="5">
        <f t="shared" si="1042"/>
        <v>10</v>
      </c>
      <c r="M8744" s="5">
        <f t="shared" si="1043"/>
        <v>2013</v>
      </c>
    </row>
    <row r="8745" spans="1:13" ht="15" x14ac:dyDescent="0.25">
      <c r="A8745" s="1">
        <f>DATE(2013,10,2)</f>
        <v>41549</v>
      </c>
      <c r="B8745" t="s">
        <v>25</v>
      </c>
      <c r="C8745" t="s">
        <v>9</v>
      </c>
      <c r="D8745" s="3">
        <v>245.12849999999997</v>
      </c>
      <c r="E8745" s="3">
        <v>0</v>
      </c>
      <c r="F8745" t="s">
        <v>45</v>
      </c>
      <c r="G8745" s="3">
        <f t="shared" si="1037"/>
        <v>-245.12849999999997</v>
      </c>
      <c r="H8745" s="3">
        <f t="shared" si="1038"/>
        <v>245.12849999999997</v>
      </c>
      <c r="I8745" s="5" t="str">
        <f t="shared" si="1039"/>
        <v>019</v>
      </c>
      <c r="J8745" s="5" t="str">
        <f t="shared" si="1040"/>
        <v>2220</v>
      </c>
      <c r="K8745" s="5" t="str">
        <f t="shared" si="1041"/>
        <v>000</v>
      </c>
      <c r="L8745" s="5">
        <f t="shared" si="1042"/>
        <v>10</v>
      </c>
      <c r="M8745" s="5">
        <f t="shared" si="1043"/>
        <v>2013</v>
      </c>
    </row>
    <row r="8746" spans="1:13" ht="15" x14ac:dyDescent="0.25">
      <c r="A8746" s="1">
        <f>DATE(2013,10,2)</f>
        <v>41549</v>
      </c>
      <c r="B8746" t="s">
        <v>26</v>
      </c>
      <c r="C8746" t="s">
        <v>10</v>
      </c>
      <c r="D8746" s="3">
        <v>35.196800000000003</v>
      </c>
      <c r="E8746" s="3">
        <v>0</v>
      </c>
      <c r="F8746" t="s">
        <v>45</v>
      </c>
      <c r="G8746" s="3">
        <f t="shared" si="1037"/>
        <v>-35.196800000000003</v>
      </c>
      <c r="H8746" s="3">
        <f t="shared" si="1038"/>
        <v>35.196800000000003</v>
      </c>
      <c r="I8746" s="5" t="str">
        <f t="shared" si="1039"/>
        <v>019</v>
      </c>
      <c r="J8746" s="5" t="str">
        <f t="shared" si="1040"/>
        <v>2230</v>
      </c>
      <c r="K8746" s="5" t="str">
        <f t="shared" si="1041"/>
        <v>000</v>
      </c>
      <c r="L8746" s="5">
        <f t="shared" si="1042"/>
        <v>10</v>
      </c>
      <c r="M8746" s="5">
        <f t="shared" si="1043"/>
        <v>2013</v>
      </c>
    </row>
    <row r="8747" spans="1:13" ht="15" x14ac:dyDescent="0.25">
      <c r="A8747" s="1">
        <f>DATE(2013,10,3)</f>
        <v>41550</v>
      </c>
      <c r="B8747" t="s">
        <v>23</v>
      </c>
      <c r="C8747" t="s">
        <v>6</v>
      </c>
      <c r="D8747" s="3">
        <v>4742.098</v>
      </c>
      <c r="E8747" s="3">
        <v>0</v>
      </c>
      <c r="F8747" t="s">
        <v>45</v>
      </c>
      <c r="G8747" s="3">
        <f t="shared" si="1037"/>
        <v>-4742.098</v>
      </c>
      <c r="H8747" s="3">
        <f t="shared" si="1038"/>
        <v>4742.098</v>
      </c>
      <c r="I8747" s="5" t="str">
        <f t="shared" si="1039"/>
        <v>019</v>
      </c>
      <c r="J8747" s="5" t="str">
        <f t="shared" si="1040"/>
        <v>2100</v>
      </c>
      <c r="K8747" s="5" t="str">
        <f t="shared" si="1041"/>
        <v>000</v>
      </c>
      <c r="L8747" s="5">
        <f t="shared" si="1042"/>
        <v>10</v>
      </c>
      <c r="M8747" s="5">
        <f t="shared" si="1043"/>
        <v>2013</v>
      </c>
    </row>
    <row r="8748" spans="1:13" ht="15" x14ac:dyDescent="0.25">
      <c r="A8748" s="1">
        <f>DATE(2013,10,3)</f>
        <v>41550</v>
      </c>
      <c r="B8748" t="s">
        <v>24</v>
      </c>
      <c r="C8748" t="s">
        <v>8</v>
      </c>
      <c r="D8748" s="3">
        <v>1378.1280000000002</v>
      </c>
      <c r="E8748" s="3">
        <v>0</v>
      </c>
      <c r="F8748" t="s">
        <v>45</v>
      </c>
      <c r="G8748" s="3">
        <f t="shared" si="1037"/>
        <v>-1378.1280000000002</v>
      </c>
      <c r="H8748" s="3">
        <f t="shared" si="1038"/>
        <v>1378.1280000000002</v>
      </c>
      <c r="I8748" s="5" t="str">
        <f t="shared" si="1039"/>
        <v>019</v>
      </c>
      <c r="J8748" s="5" t="str">
        <f t="shared" si="1040"/>
        <v>2210</v>
      </c>
      <c r="K8748" s="5" t="str">
        <f t="shared" si="1041"/>
        <v>000</v>
      </c>
      <c r="L8748" s="5">
        <f t="shared" si="1042"/>
        <v>10</v>
      </c>
      <c r="M8748" s="5">
        <f t="shared" si="1043"/>
        <v>2013</v>
      </c>
    </row>
    <row r="8749" spans="1:13" ht="15" x14ac:dyDescent="0.25">
      <c r="A8749" s="1">
        <f>DATE(2013,10,3)</f>
        <v>41550</v>
      </c>
      <c r="B8749" t="s">
        <v>25</v>
      </c>
      <c r="C8749" t="s">
        <v>9</v>
      </c>
      <c r="D8749" s="3">
        <v>336.42</v>
      </c>
      <c r="E8749" s="3">
        <v>0</v>
      </c>
      <c r="F8749" t="s">
        <v>45</v>
      </c>
      <c r="G8749" s="3">
        <f t="shared" si="1037"/>
        <v>-336.42</v>
      </c>
      <c r="H8749" s="3">
        <f t="shared" si="1038"/>
        <v>336.42</v>
      </c>
      <c r="I8749" s="5" t="str">
        <f t="shared" si="1039"/>
        <v>019</v>
      </c>
      <c r="J8749" s="5" t="str">
        <f t="shared" si="1040"/>
        <v>2220</v>
      </c>
      <c r="K8749" s="5" t="str">
        <f t="shared" si="1041"/>
        <v>000</v>
      </c>
      <c r="L8749" s="5">
        <f t="shared" si="1042"/>
        <v>10</v>
      </c>
      <c r="M8749" s="5">
        <f t="shared" si="1043"/>
        <v>2013</v>
      </c>
    </row>
    <row r="8750" spans="1:13" ht="15" x14ac:dyDescent="0.25">
      <c r="A8750" s="1">
        <f>DATE(2013,10,3)</f>
        <v>41550</v>
      </c>
      <c r="B8750" t="s">
        <v>26</v>
      </c>
      <c r="C8750" t="s">
        <v>10</v>
      </c>
      <c r="D8750" s="3">
        <v>105.5432</v>
      </c>
      <c r="E8750" s="3">
        <v>0</v>
      </c>
      <c r="F8750" t="s">
        <v>45</v>
      </c>
      <c r="G8750" s="3">
        <f t="shared" si="1037"/>
        <v>-105.5432</v>
      </c>
      <c r="H8750" s="3">
        <f t="shared" si="1038"/>
        <v>105.5432</v>
      </c>
      <c r="I8750" s="5" t="str">
        <f t="shared" si="1039"/>
        <v>019</v>
      </c>
      <c r="J8750" s="5" t="str">
        <f t="shared" si="1040"/>
        <v>2230</v>
      </c>
      <c r="K8750" s="5" t="str">
        <f t="shared" si="1041"/>
        <v>000</v>
      </c>
      <c r="L8750" s="5">
        <f t="shared" si="1042"/>
        <v>10</v>
      </c>
      <c r="M8750" s="5">
        <f t="shared" si="1043"/>
        <v>2013</v>
      </c>
    </row>
    <row r="8751" spans="1:13" ht="15" x14ac:dyDescent="0.25">
      <c r="A8751" s="1">
        <f>DATE(2013,10,4)</f>
        <v>41551</v>
      </c>
      <c r="B8751" t="s">
        <v>23</v>
      </c>
      <c r="C8751" t="s">
        <v>6</v>
      </c>
      <c r="D8751" s="3">
        <v>3870.2785000000003</v>
      </c>
      <c r="E8751" s="3">
        <v>0</v>
      </c>
      <c r="F8751" t="s">
        <v>45</v>
      </c>
      <c r="G8751" s="3">
        <f t="shared" si="1037"/>
        <v>-3870.2785000000003</v>
      </c>
      <c r="H8751" s="3">
        <f t="shared" si="1038"/>
        <v>3870.2785000000003</v>
      </c>
      <c r="I8751" s="5" t="str">
        <f t="shared" si="1039"/>
        <v>019</v>
      </c>
      <c r="J8751" s="5" t="str">
        <f t="shared" si="1040"/>
        <v>2100</v>
      </c>
      <c r="K8751" s="5" t="str">
        <f t="shared" si="1041"/>
        <v>000</v>
      </c>
      <c r="L8751" s="5">
        <f t="shared" si="1042"/>
        <v>10</v>
      </c>
      <c r="M8751" s="5">
        <f t="shared" si="1043"/>
        <v>2013</v>
      </c>
    </row>
    <row r="8752" spans="1:13" ht="15" x14ac:dyDescent="0.25">
      <c r="A8752" s="1">
        <f>DATE(2013,10,4)</f>
        <v>41551</v>
      </c>
      <c r="B8752" t="s">
        <v>24</v>
      </c>
      <c r="C8752" t="s">
        <v>8</v>
      </c>
      <c r="D8752" s="3">
        <v>2178.1929</v>
      </c>
      <c r="E8752" s="3">
        <v>0</v>
      </c>
      <c r="F8752" t="s">
        <v>45</v>
      </c>
      <c r="G8752" s="3">
        <f t="shared" si="1037"/>
        <v>-2178.1929</v>
      </c>
      <c r="H8752" s="3">
        <f t="shared" si="1038"/>
        <v>2178.1929</v>
      </c>
      <c r="I8752" s="5" t="str">
        <f t="shared" si="1039"/>
        <v>019</v>
      </c>
      <c r="J8752" s="5" t="str">
        <f t="shared" si="1040"/>
        <v>2210</v>
      </c>
      <c r="K8752" s="5" t="str">
        <f t="shared" si="1041"/>
        <v>000</v>
      </c>
      <c r="L8752" s="5">
        <f t="shared" si="1042"/>
        <v>10</v>
      </c>
      <c r="M8752" s="5">
        <f t="shared" si="1043"/>
        <v>2013</v>
      </c>
    </row>
    <row r="8753" spans="1:13" ht="15" x14ac:dyDescent="0.25">
      <c r="A8753" s="1">
        <f>DATE(2013,10,4)</f>
        <v>41551</v>
      </c>
      <c r="B8753" t="s">
        <v>25</v>
      </c>
      <c r="C8753" t="s">
        <v>9</v>
      </c>
      <c r="D8753" s="3">
        <v>442.03320000000002</v>
      </c>
      <c r="E8753" s="3">
        <v>0</v>
      </c>
      <c r="F8753" t="s">
        <v>45</v>
      </c>
      <c r="G8753" s="3">
        <f t="shared" si="1037"/>
        <v>-442.03320000000002</v>
      </c>
      <c r="H8753" s="3">
        <f t="shared" si="1038"/>
        <v>442.03320000000002</v>
      </c>
      <c r="I8753" s="5" t="str">
        <f t="shared" si="1039"/>
        <v>019</v>
      </c>
      <c r="J8753" s="5" t="str">
        <f t="shared" si="1040"/>
        <v>2220</v>
      </c>
      <c r="K8753" s="5" t="str">
        <f t="shared" si="1041"/>
        <v>000</v>
      </c>
      <c r="L8753" s="5">
        <f t="shared" si="1042"/>
        <v>10</v>
      </c>
      <c r="M8753" s="5">
        <f t="shared" si="1043"/>
        <v>2013</v>
      </c>
    </row>
    <row r="8754" spans="1:13" ht="15" x14ac:dyDescent="0.25">
      <c r="A8754" s="1">
        <f>DATE(2013,10,4)</f>
        <v>41551</v>
      </c>
      <c r="B8754" t="s">
        <v>26</v>
      </c>
      <c r="C8754" t="s">
        <v>10</v>
      </c>
      <c r="D8754" s="3">
        <v>29.07</v>
      </c>
      <c r="E8754" s="3">
        <v>0</v>
      </c>
      <c r="F8754" t="s">
        <v>45</v>
      </c>
      <c r="G8754" s="3">
        <f t="shared" si="1037"/>
        <v>-29.07</v>
      </c>
      <c r="H8754" s="3">
        <f t="shared" si="1038"/>
        <v>29.07</v>
      </c>
      <c r="I8754" s="5" t="str">
        <f t="shared" si="1039"/>
        <v>019</v>
      </c>
      <c r="J8754" s="5" t="str">
        <f t="shared" si="1040"/>
        <v>2230</v>
      </c>
      <c r="K8754" s="5" t="str">
        <f t="shared" si="1041"/>
        <v>000</v>
      </c>
      <c r="L8754" s="5">
        <f t="shared" si="1042"/>
        <v>10</v>
      </c>
      <c r="M8754" s="5">
        <f t="shared" si="1043"/>
        <v>2013</v>
      </c>
    </row>
    <row r="8755" spans="1:13" ht="15" x14ac:dyDescent="0.25">
      <c r="A8755" s="1">
        <f>DATE(2013,10,5)</f>
        <v>41552</v>
      </c>
      <c r="B8755" t="s">
        <v>23</v>
      </c>
      <c r="C8755" t="s">
        <v>6</v>
      </c>
      <c r="D8755" s="3">
        <v>4859.8281999999999</v>
      </c>
      <c r="E8755" s="3">
        <v>0</v>
      </c>
      <c r="F8755" t="s">
        <v>45</v>
      </c>
      <c r="G8755" s="3">
        <f t="shared" si="1037"/>
        <v>-4859.8281999999999</v>
      </c>
      <c r="H8755" s="3">
        <f t="shared" si="1038"/>
        <v>4859.8281999999999</v>
      </c>
      <c r="I8755" s="5" t="str">
        <f t="shared" si="1039"/>
        <v>019</v>
      </c>
      <c r="J8755" s="5" t="str">
        <f t="shared" si="1040"/>
        <v>2100</v>
      </c>
      <c r="K8755" s="5" t="str">
        <f t="shared" si="1041"/>
        <v>000</v>
      </c>
      <c r="L8755" s="5">
        <f t="shared" si="1042"/>
        <v>10</v>
      </c>
      <c r="M8755" s="5">
        <f t="shared" si="1043"/>
        <v>2013</v>
      </c>
    </row>
    <row r="8756" spans="1:13" ht="15" x14ac:dyDescent="0.25">
      <c r="A8756" s="1">
        <f>DATE(2013,10,5)</f>
        <v>41552</v>
      </c>
      <c r="B8756" t="s">
        <v>24</v>
      </c>
      <c r="C8756" t="s">
        <v>8</v>
      </c>
      <c r="D8756" s="3">
        <v>1497.5940000000001</v>
      </c>
      <c r="E8756" s="3">
        <v>0</v>
      </c>
      <c r="F8756" t="s">
        <v>45</v>
      </c>
      <c r="G8756" s="3">
        <f t="shared" si="1037"/>
        <v>-1497.5940000000001</v>
      </c>
      <c r="H8756" s="3">
        <f t="shared" si="1038"/>
        <v>1497.5940000000001</v>
      </c>
      <c r="I8756" s="5" t="str">
        <f t="shared" si="1039"/>
        <v>019</v>
      </c>
      <c r="J8756" s="5" t="str">
        <f t="shared" si="1040"/>
        <v>2210</v>
      </c>
      <c r="K8756" s="5" t="str">
        <f t="shared" si="1041"/>
        <v>000</v>
      </c>
      <c r="L8756" s="5">
        <f t="shared" si="1042"/>
        <v>10</v>
      </c>
      <c r="M8756" s="5">
        <f t="shared" si="1043"/>
        <v>2013</v>
      </c>
    </row>
    <row r="8757" spans="1:13" ht="15" x14ac:dyDescent="0.25">
      <c r="A8757" s="1">
        <f>DATE(2013,10,5)</f>
        <v>41552</v>
      </c>
      <c r="B8757" t="s">
        <v>25</v>
      </c>
      <c r="C8757" t="s">
        <v>9</v>
      </c>
      <c r="D8757" s="3">
        <v>375.79240000000004</v>
      </c>
      <c r="E8757" s="3">
        <v>0</v>
      </c>
      <c r="F8757" t="s">
        <v>45</v>
      </c>
      <c r="G8757" s="3">
        <f t="shared" si="1037"/>
        <v>-375.79240000000004</v>
      </c>
      <c r="H8757" s="3">
        <f t="shared" si="1038"/>
        <v>375.79240000000004</v>
      </c>
      <c r="I8757" s="5" t="str">
        <f t="shared" si="1039"/>
        <v>019</v>
      </c>
      <c r="J8757" s="5" t="str">
        <f t="shared" si="1040"/>
        <v>2220</v>
      </c>
      <c r="K8757" s="5" t="str">
        <f t="shared" si="1041"/>
        <v>000</v>
      </c>
      <c r="L8757" s="5">
        <f t="shared" si="1042"/>
        <v>10</v>
      </c>
      <c r="M8757" s="5">
        <f t="shared" si="1043"/>
        <v>2013</v>
      </c>
    </row>
    <row r="8758" spans="1:13" ht="15" x14ac:dyDescent="0.25">
      <c r="A8758" s="1">
        <f>DATE(2013,10,5)</f>
        <v>41552</v>
      </c>
      <c r="B8758" t="s">
        <v>26</v>
      </c>
      <c r="C8758" t="s">
        <v>10</v>
      </c>
      <c r="D8758" s="3">
        <v>71.042400000000001</v>
      </c>
      <c r="E8758" s="3">
        <v>0</v>
      </c>
      <c r="F8758" t="s">
        <v>45</v>
      </c>
      <c r="G8758" s="3">
        <f t="shared" si="1037"/>
        <v>-71.042400000000001</v>
      </c>
      <c r="H8758" s="3">
        <f t="shared" si="1038"/>
        <v>71.042400000000001</v>
      </c>
      <c r="I8758" s="5" t="str">
        <f t="shared" si="1039"/>
        <v>019</v>
      </c>
      <c r="J8758" s="5" t="str">
        <f t="shared" si="1040"/>
        <v>2230</v>
      </c>
      <c r="K8758" s="5" t="str">
        <f t="shared" si="1041"/>
        <v>000</v>
      </c>
      <c r="L8758" s="5">
        <f t="shared" si="1042"/>
        <v>10</v>
      </c>
      <c r="M8758" s="5">
        <f t="shared" si="1043"/>
        <v>2013</v>
      </c>
    </row>
    <row r="8759" spans="1:13" ht="15" x14ac:dyDescent="0.25">
      <c r="A8759" s="1">
        <f>DATE(2013,10,6)</f>
        <v>41553</v>
      </c>
      <c r="B8759" t="s">
        <v>23</v>
      </c>
      <c r="C8759" t="s">
        <v>6</v>
      </c>
      <c r="D8759" s="3">
        <v>3871.4027999999998</v>
      </c>
      <c r="E8759" s="3">
        <v>0</v>
      </c>
      <c r="F8759" t="s">
        <v>45</v>
      </c>
      <c r="G8759" s="3">
        <f t="shared" si="1037"/>
        <v>-3871.4027999999998</v>
      </c>
      <c r="H8759" s="3">
        <f t="shared" si="1038"/>
        <v>3871.4027999999998</v>
      </c>
      <c r="I8759" s="5" t="str">
        <f t="shared" si="1039"/>
        <v>019</v>
      </c>
      <c r="J8759" s="5" t="str">
        <f t="shared" si="1040"/>
        <v>2100</v>
      </c>
      <c r="K8759" s="5" t="str">
        <f t="shared" si="1041"/>
        <v>000</v>
      </c>
      <c r="L8759" s="5">
        <f t="shared" si="1042"/>
        <v>10</v>
      </c>
      <c r="M8759" s="5">
        <f t="shared" si="1043"/>
        <v>2013</v>
      </c>
    </row>
    <row r="8760" spans="1:13" ht="15" x14ac:dyDescent="0.25">
      <c r="A8760" s="1">
        <f>DATE(2013,10,6)</f>
        <v>41553</v>
      </c>
      <c r="B8760" t="s">
        <v>24</v>
      </c>
      <c r="C8760" t="s">
        <v>8</v>
      </c>
      <c r="D8760" s="3">
        <v>1197.114</v>
      </c>
      <c r="E8760" s="3">
        <v>0</v>
      </c>
      <c r="F8760" t="s">
        <v>45</v>
      </c>
      <c r="G8760" s="3">
        <f t="shared" si="1037"/>
        <v>-1197.114</v>
      </c>
      <c r="H8760" s="3">
        <f t="shared" si="1038"/>
        <v>1197.114</v>
      </c>
      <c r="I8760" s="5" t="str">
        <f t="shared" si="1039"/>
        <v>019</v>
      </c>
      <c r="J8760" s="5" t="str">
        <f t="shared" si="1040"/>
        <v>2210</v>
      </c>
      <c r="K8760" s="5" t="str">
        <f t="shared" si="1041"/>
        <v>000</v>
      </c>
      <c r="L8760" s="5">
        <f t="shared" si="1042"/>
        <v>10</v>
      </c>
      <c r="M8760" s="5">
        <f t="shared" si="1043"/>
        <v>2013</v>
      </c>
    </row>
    <row r="8761" spans="1:13" ht="15" x14ac:dyDescent="0.25">
      <c r="A8761" s="1">
        <f>DATE(2013,10,6)</f>
        <v>41553</v>
      </c>
      <c r="B8761" t="s">
        <v>25</v>
      </c>
      <c r="C8761" t="s">
        <v>9</v>
      </c>
      <c r="D8761" s="3">
        <v>300.31559999999996</v>
      </c>
      <c r="E8761" s="3">
        <v>0</v>
      </c>
      <c r="F8761" t="s">
        <v>45</v>
      </c>
      <c r="G8761" s="3">
        <f t="shared" si="1037"/>
        <v>-300.31559999999996</v>
      </c>
      <c r="H8761" s="3">
        <f t="shared" si="1038"/>
        <v>300.31559999999996</v>
      </c>
      <c r="I8761" s="5" t="str">
        <f t="shared" si="1039"/>
        <v>019</v>
      </c>
      <c r="J8761" s="5" t="str">
        <f t="shared" si="1040"/>
        <v>2220</v>
      </c>
      <c r="K8761" s="5" t="str">
        <f t="shared" si="1041"/>
        <v>000</v>
      </c>
      <c r="L8761" s="5">
        <f t="shared" si="1042"/>
        <v>10</v>
      </c>
      <c r="M8761" s="5">
        <f t="shared" si="1043"/>
        <v>2013</v>
      </c>
    </row>
    <row r="8762" spans="1:13" ht="15" x14ac:dyDescent="0.25">
      <c r="A8762" s="1">
        <f>DATE(2013,10,6)</f>
        <v>41553</v>
      </c>
      <c r="B8762" t="s">
        <v>26</v>
      </c>
      <c r="C8762" t="s">
        <v>10</v>
      </c>
      <c r="D8762" s="3">
        <v>165.7748</v>
      </c>
      <c r="E8762" s="3">
        <v>0</v>
      </c>
      <c r="F8762" t="s">
        <v>45</v>
      </c>
      <c r="G8762" s="3">
        <f t="shared" si="1037"/>
        <v>-165.7748</v>
      </c>
      <c r="H8762" s="3">
        <f t="shared" si="1038"/>
        <v>165.7748</v>
      </c>
      <c r="I8762" s="5" t="str">
        <f t="shared" si="1039"/>
        <v>019</v>
      </c>
      <c r="J8762" s="5" t="str">
        <f t="shared" si="1040"/>
        <v>2230</v>
      </c>
      <c r="K8762" s="5" t="str">
        <f t="shared" si="1041"/>
        <v>000</v>
      </c>
      <c r="L8762" s="5">
        <f t="shared" si="1042"/>
        <v>10</v>
      </c>
      <c r="M8762" s="5">
        <f t="shared" si="1043"/>
        <v>2013</v>
      </c>
    </row>
    <row r="8763" spans="1:13" ht="15" x14ac:dyDescent="0.25">
      <c r="A8763" s="1">
        <f>DATE(2013,10,7)</f>
        <v>41554</v>
      </c>
      <c r="B8763" t="s">
        <v>11</v>
      </c>
      <c r="C8763" t="s">
        <v>6</v>
      </c>
      <c r="D8763" s="3">
        <v>2621.5020000000004</v>
      </c>
      <c r="E8763" s="3">
        <v>0</v>
      </c>
      <c r="F8763" t="s">
        <v>45</v>
      </c>
      <c r="G8763" s="3">
        <f t="shared" si="1037"/>
        <v>-2621.5020000000004</v>
      </c>
      <c r="H8763" s="3">
        <f t="shared" si="1038"/>
        <v>2621.5020000000004</v>
      </c>
      <c r="I8763" s="5" t="str">
        <f t="shared" si="1039"/>
        <v>016</v>
      </c>
      <c r="J8763" s="5" t="str">
        <f t="shared" si="1040"/>
        <v>2100</v>
      </c>
      <c r="K8763" s="5" t="str">
        <f t="shared" si="1041"/>
        <v>000</v>
      </c>
      <c r="L8763" s="5">
        <f t="shared" si="1042"/>
        <v>10</v>
      </c>
      <c r="M8763" s="5">
        <f t="shared" si="1043"/>
        <v>2013</v>
      </c>
    </row>
    <row r="8764" spans="1:13" ht="15" x14ac:dyDescent="0.25">
      <c r="A8764" s="1">
        <f>DATE(2013,10,7)</f>
        <v>41554</v>
      </c>
      <c r="B8764" t="s">
        <v>12</v>
      </c>
      <c r="C8764" t="s">
        <v>8</v>
      </c>
      <c r="D8764" s="3">
        <v>292.2808</v>
      </c>
      <c r="E8764" s="3">
        <v>0</v>
      </c>
      <c r="F8764" t="s">
        <v>45</v>
      </c>
      <c r="G8764" s="3">
        <f t="shared" si="1037"/>
        <v>-292.2808</v>
      </c>
      <c r="H8764" s="3">
        <f t="shared" si="1038"/>
        <v>292.2808</v>
      </c>
      <c r="I8764" s="5" t="str">
        <f t="shared" si="1039"/>
        <v>016</v>
      </c>
      <c r="J8764" s="5" t="str">
        <f t="shared" si="1040"/>
        <v>2210</v>
      </c>
      <c r="K8764" s="5" t="str">
        <f t="shared" si="1041"/>
        <v>000</v>
      </c>
      <c r="L8764" s="5">
        <f t="shared" si="1042"/>
        <v>10</v>
      </c>
      <c r="M8764" s="5">
        <f t="shared" si="1043"/>
        <v>2013</v>
      </c>
    </row>
    <row r="8765" spans="1:13" ht="15" x14ac:dyDescent="0.25">
      <c r="A8765" s="1">
        <f>DATE(2013,10,7)</f>
        <v>41554</v>
      </c>
      <c r="B8765" t="s">
        <v>13</v>
      </c>
      <c r="C8765" t="s">
        <v>9</v>
      </c>
      <c r="D8765" s="3">
        <v>71.210999999999999</v>
      </c>
      <c r="E8765" s="3">
        <v>0</v>
      </c>
      <c r="F8765" t="s">
        <v>45</v>
      </c>
      <c r="G8765" s="3">
        <f t="shared" si="1037"/>
        <v>-71.210999999999999</v>
      </c>
      <c r="H8765" s="3">
        <f t="shared" si="1038"/>
        <v>71.210999999999999</v>
      </c>
      <c r="I8765" s="5" t="str">
        <f t="shared" si="1039"/>
        <v>016</v>
      </c>
      <c r="J8765" s="5" t="str">
        <f t="shared" si="1040"/>
        <v>2220</v>
      </c>
      <c r="K8765" s="5" t="str">
        <f t="shared" si="1041"/>
        <v>000</v>
      </c>
      <c r="L8765" s="5">
        <f t="shared" si="1042"/>
        <v>10</v>
      </c>
      <c r="M8765" s="5">
        <f t="shared" si="1043"/>
        <v>2013</v>
      </c>
    </row>
    <row r="8766" spans="1:13" ht="15" x14ac:dyDescent="0.25">
      <c r="A8766" s="1">
        <f>DATE(2013,10,7)</f>
        <v>41554</v>
      </c>
      <c r="B8766" t="s">
        <v>14</v>
      </c>
      <c r="C8766" t="s">
        <v>10</v>
      </c>
      <c r="D8766" s="3">
        <v>49.632699999999993</v>
      </c>
      <c r="E8766" s="3">
        <v>0</v>
      </c>
      <c r="F8766" t="s">
        <v>45</v>
      </c>
      <c r="G8766" s="3">
        <f t="shared" si="1037"/>
        <v>-49.632699999999993</v>
      </c>
      <c r="H8766" s="3">
        <f t="shared" si="1038"/>
        <v>49.632699999999993</v>
      </c>
      <c r="I8766" s="5" t="str">
        <f t="shared" si="1039"/>
        <v>016</v>
      </c>
      <c r="J8766" s="5" t="str">
        <f t="shared" si="1040"/>
        <v>2230</v>
      </c>
      <c r="K8766" s="5" t="str">
        <f t="shared" si="1041"/>
        <v>000</v>
      </c>
      <c r="L8766" s="5">
        <f t="shared" si="1042"/>
        <v>10</v>
      </c>
      <c r="M8766" s="5">
        <f t="shared" si="1043"/>
        <v>2013</v>
      </c>
    </row>
    <row r="8767" spans="1:13" ht="15" x14ac:dyDescent="0.25">
      <c r="A8767" s="1">
        <f>DATE(2013,10,8)</f>
        <v>41555</v>
      </c>
      <c r="B8767" t="s">
        <v>11</v>
      </c>
      <c r="C8767" t="s">
        <v>6</v>
      </c>
      <c r="D8767" s="3">
        <v>5003.2017999999989</v>
      </c>
      <c r="E8767" s="3">
        <v>0</v>
      </c>
      <c r="F8767" t="s">
        <v>45</v>
      </c>
      <c r="G8767" s="3">
        <f t="shared" si="1037"/>
        <v>-5003.2017999999989</v>
      </c>
      <c r="H8767" s="3">
        <f t="shared" si="1038"/>
        <v>5003.2017999999989</v>
      </c>
      <c r="I8767" s="5" t="str">
        <f t="shared" si="1039"/>
        <v>016</v>
      </c>
      <c r="J8767" s="5" t="str">
        <f t="shared" si="1040"/>
        <v>2100</v>
      </c>
      <c r="K8767" s="5" t="str">
        <f t="shared" si="1041"/>
        <v>000</v>
      </c>
      <c r="L8767" s="5">
        <f t="shared" si="1042"/>
        <v>10</v>
      </c>
      <c r="M8767" s="5">
        <f t="shared" si="1043"/>
        <v>2013</v>
      </c>
    </row>
    <row r="8768" spans="1:13" ht="15" x14ac:dyDescent="0.25">
      <c r="A8768" s="1">
        <f>DATE(2013,10,8)</f>
        <v>41555</v>
      </c>
      <c r="B8768" t="s">
        <v>12</v>
      </c>
      <c r="C8768" t="s">
        <v>8</v>
      </c>
      <c r="D8768" s="3">
        <v>2121.5532000000003</v>
      </c>
      <c r="E8768" s="3">
        <v>0</v>
      </c>
      <c r="F8768" t="s">
        <v>45</v>
      </c>
      <c r="G8768" s="3">
        <f t="shared" si="1037"/>
        <v>-2121.5532000000003</v>
      </c>
      <c r="H8768" s="3">
        <f t="shared" si="1038"/>
        <v>2121.5532000000003</v>
      </c>
      <c r="I8768" s="5" t="str">
        <f t="shared" si="1039"/>
        <v>016</v>
      </c>
      <c r="J8768" s="5" t="str">
        <f t="shared" si="1040"/>
        <v>2210</v>
      </c>
      <c r="K8768" s="5" t="str">
        <f t="shared" si="1041"/>
        <v>000</v>
      </c>
      <c r="L8768" s="5">
        <f t="shared" si="1042"/>
        <v>10</v>
      </c>
      <c r="M8768" s="5">
        <f t="shared" si="1043"/>
        <v>2013</v>
      </c>
    </row>
    <row r="8769" spans="1:13" ht="15" x14ac:dyDescent="0.25">
      <c r="A8769" s="1">
        <f>DATE(2013,10,8)</f>
        <v>41555</v>
      </c>
      <c r="B8769" t="s">
        <v>13</v>
      </c>
      <c r="C8769" t="s">
        <v>9</v>
      </c>
      <c r="D8769" s="3">
        <v>1005.7764000000001</v>
      </c>
      <c r="E8769" s="3">
        <v>0</v>
      </c>
      <c r="F8769" t="s">
        <v>45</v>
      </c>
      <c r="G8769" s="3">
        <f t="shared" si="1037"/>
        <v>-1005.7764000000001</v>
      </c>
      <c r="H8769" s="3">
        <f t="shared" si="1038"/>
        <v>1005.7764000000001</v>
      </c>
      <c r="I8769" s="5" t="str">
        <f t="shared" si="1039"/>
        <v>016</v>
      </c>
      <c r="J8769" s="5" t="str">
        <f t="shared" si="1040"/>
        <v>2220</v>
      </c>
      <c r="K8769" s="5" t="str">
        <f t="shared" si="1041"/>
        <v>000</v>
      </c>
      <c r="L8769" s="5">
        <f t="shared" si="1042"/>
        <v>10</v>
      </c>
      <c r="M8769" s="5">
        <f t="shared" si="1043"/>
        <v>2013</v>
      </c>
    </row>
    <row r="8770" spans="1:13" ht="15" x14ac:dyDescent="0.25">
      <c r="A8770" s="1">
        <f>DATE(2013,10,8)</f>
        <v>41555</v>
      </c>
      <c r="B8770" t="s">
        <v>14</v>
      </c>
      <c r="C8770" t="s">
        <v>10</v>
      </c>
      <c r="D8770" s="3">
        <v>101.4481</v>
      </c>
      <c r="E8770" s="3">
        <v>0</v>
      </c>
      <c r="F8770" t="s">
        <v>45</v>
      </c>
      <c r="G8770" s="3">
        <f t="shared" ref="G8770:G8833" si="1044">E8770-D8770</f>
        <v>-101.4481</v>
      </c>
      <c r="H8770" s="3">
        <f t="shared" ref="H8770:H8833" si="1045">ABS(G8770)</f>
        <v>101.4481</v>
      </c>
      <c r="I8770" s="5" t="str">
        <f t="shared" ref="I8770:I8833" si="1046">MID(B8770,1,3)</f>
        <v>016</v>
      </c>
      <c r="J8770" s="5" t="str">
        <f t="shared" ref="J8770:J8833" si="1047">MID(B8770,5,4)</f>
        <v>2230</v>
      </c>
      <c r="K8770" s="5" t="str">
        <f t="shared" ref="K8770:K8833" si="1048">MID(B8770,10,3)</f>
        <v>000</v>
      </c>
      <c r="L8770" s="5">
        <f t="shared" ref="L8770:L8833" si="1049">MONTH(A8770)</f>
        <v>10</v>
      </c>
      <c r="M8770" s="5">
        <f t="shared" ref="M8770:M8833" si="1050">YEAR(A8770)</f>
        <v>2013</v>
      </c>
    </row>
    <row r="8771" spans="1:13" ht="15" x14ac:dyDescent="0.25">
      <c r="A8771" s="1">
        <f>DATE(2013,10,9)</f>
        <v>41556</v>
      </c>
      <c r="B8771" t="s">
        <v>11</v>
      </c>
      <c r="C8771" t="s">
        <v>6</v>
      </c>
      <c r="D8771" s="3">
        <v>2558.9180999999999</v>
      </c>
      <c r="E8771" s="3">
        <v>0</v>
      </c>
      <c r="F8771" t="s">
        <v>45</v>
      </c>
      <c r="G8771" s="3">
        <f t="shared" si="1044"/>
        <v>-2558.9180999999999</v>
      </c>
      <c r="H8771" s="3">
        <f t="shared" si="1045"/>
        <v>2558.9180999999999</v>
      </c>
      <c r="I8771" s="5" t="str">
        <f t="shared" si="1046"/>
        <v>016</v>
      </c>
      <c r="J8771" s="5" t="str">
        <f t="shared" si="1047"/>
        <v>2100</v>
      </c>
      <c r="K8771" s="5" t="str">
        <f t="shared" si="1048"/>
        <v>000</v>
      </c>
      <c r="L8771" s="5">
        <f t="shared" si="1049"/>
        <v>10</v>
      </c>
      <c r="M8771" s="5">
        <f t="shared" si="1050"/>
        <v>2013</v>
      </c>
    </row>
    <row r="8772" spans="1:13" ht="15" x14ac:dyDescent="0.25">
      <c r="A8772" s="1">
        <f>DATE(2013,10,9)</f>
        <v>41556</v>
      </c>
      <c r="B8772" t="s">
        <v>12</v>
      </c>
      <c r="C8772" t="s">
        <v>8</v>
      </c>
      <c r="D8772" s="3">
        <v>579.86760000000004</v>
      </c>
      <c r="E8772" s="3">
        <v>0</v>
      </c>
      <c r="F8772" t="s">
        <v>45</v>
      </c>
      <c r="G8772" s="3">
        <f t="shared" si="1044"/>
        <v>-579.86760000000004</v>
      </c>
      <c r="H8772" s="3">
        <f t="shared" si="1045"/>
        <v>579.86760000000004</v>
      </c>
      <c r="I8772" s="5" t="str">
        <f t="shared" si="1046"/>
        <v>016</v>
      </c>
      <c r="J8772" s="5" t="str">
        <f t="shared" si="1047"/>
        <v>2210</v>
      </c>
      <c r="K8772" s="5" t="str">
        <f t="shared" si="1048"/>
        <v>000</v>
      </c>
      <c r="L8772" s="5">
        <f t="shared" si="1049"/>
        <v>10</v>
      </c>
      <c r="M8772" s="5">
        <f t="shared" si="1050"/>
        <v>2013</v>
      </c>
    </row>
    <row r="8773" spans="1:13" ht="15" x14ac:dyDescent="0.25">
      <c r="A8773" s="1">
        <f>DATE(2013,10,9)</f>
        <v>41556</v>
      </c>
      <c r="B8773" t="s">
        <v>13</v>
      </c>
      <c r="C8773" t="s">
        <v>9</v>
      </c>
      <c r="D8773" s="3">
        <v>55.859999999999992</v>
      </c>
      <c r="E8773" s="3">
        <v>0</v>
      </c>
      <c r="F8773" t="s">
        <v>45</v>
      </c>
      <c r="G8773" s="3">
        <f t="shared" si="1044"/>
        <v>-55.859999999999992</v>
      </c>
      <c r="H8773" s="3">
        <f t="shared" si="1045"/>
        <v>55.859999999999992</v>
      </c>
      <c r="I8773" s="5" t="str">
        <f t="shared" si="1046"/>
        <v>016</v>
      </c>
      <c r="J8773" s="5" t="str">
        <f t="shared" si="1047"/>
        <v>2220</v>
      </c>
      <c r="K8773" s="5" t="str">
        <f t="shared" si="1048"/>
        <v>000</v>
      </c>
      <c r="L8773" s="5">
        <f t="shared" si="1049"/>
        <v>10</v>
      </c>
      <c r="M8773" s="5">
        <f t="shared" si="1050"/>
        <v>2013</v>
      </c>
    </row>
    <row r="8774" spans="1:13" ht="15" x14ac:dyDescent="0.25">
      <c r="A8774" s="1">
        <f>DATE(2013,10,9)</f>
        <v>41556</v>
      </c>
      <c r="B8774" t="s">
        <v>14</v>
      </c>
      <c r="C8774" t="s">
        <v>10</v>
      </c>
      <c r="D8774" s="3">
        <v>105.5013</v>
      </c>
      <c r="E8774" s="3">
        <v>0</v>
      </c>
      <c r="F8774" t="s">
        <v>45</v>
      </c>
      <c r="G8774" s="3">
        <f t="shared" si="1044"/>
        <v>-105.5013</v>
      </c>
      <c r="H8774" s="3">
        <f t="shared" si="1045"/>
        <v>105.5013</v>
      </c>
      <c r="I8774" s="5" t="str">
        <f t="shared" si="1046"/>
        <v>016</v>
      </c>
      <c r="J8774" s="5" t="str">
        <f t="shared" si="1047"/>
        <v>2230</v>
      </c>
      <c r="K8774" s="5" t="str">
        <f t="shared" si="1048"/>
        <v>000</v>
      </c>
      <c r="L8774" s="5">
        <f t="shared" si="1049"/>
        <v>10</v>
      </c>
      <c r="M8774" s="5">
        <f t="shared" si="1050"/>
        <v>2013</v>
      </c>
    </row>
    <row r="8775" spans="1:13" ht="15" x14ac:dyDescent="0.25">
      <c r="A8775" s="1">
        <f>DATE(2013,10,10)</f>
        <v>41557</v>
      </c>
      <c r="B8775" t="s">
        <v>11</v>
      </c>
      <c r="C8775" t="s">
        <v>6</v>
      </c>
      <c r="D8775" s="3">
        <v>2709.1416000000004</v>
      </c>
      <c r="E8775" s="3">
        <v>0</v>
      </c>
      <c r="F8775" t="s">
        <v>45</v>
      </c>
      <c r="G8775" s="3">
        <f t="shared" si="1044"/>
        <v>-2709.1416000000004</v>
      </c>
      <c r="H8775" s="3">
        <f t="shared" si="1045"/>
        <v>2709.1416000000004</v>
      </c>
      <c r="I8775" s="5" t="str">
        <f t="shared" si="1046"/>
        <v>016</v>
      </c>
      <c r="J8775" s="5" t="str">
        <f t="shared" si="1047"/>
        <v>2100</v>
      </c>
      <c r="K8775" s="5" t="str">
        <f t="shared" si="1048"/>
        <v>000</v>
      </c>
      <c r="L8775" s="5">
        <f t="shared" si="1049"/>
        <v>10</v>
      </c>
      <c r="M8775" s="5">
        <f t="shared" si="1050"/>
        <v>2013</v>
      </c>
    </row>
    <row r="8776" spans="1:13" ht="15" x14ac:dyDescent="0.25">
      <c r="A8776" s="1">
        <f>DATE(2013,10,10)</f>
        <v>41557</v>
      </c>
      <c r="B8776" t="s">
        <v>12</v>
      </c>
      <c r="C8776" t="s">
        <v>8</v>
      </c>
      <c r="D8776" s="3">
        <v>684.62250000000006</v>
      </c>
      <c r="E8776" s="3">
        <v>0</v>
      </c>
      <c r="F8776" t="s">
        <v>45</v>
      </c>
      <c r="G8776" s="3">
        <f t="shared" si="1044"/>
        <v>-684.62250000000006</v>
      </c>
      <c r="H8776" s="3">
        <f t="shared" si="1045"/>
        <v>684.62250000000006</v>
      </c>
      <c r="I8776" s="5" t="str">
        <f t="shared" si="1046"/>
        <v>016</v>
      </c>
      <c r="J8776" s="5" t="str">
        <f t="shared" si="1047"/>
        <v>2210</v>
      </c>
      <c r="K8776" s="5" t="str">
        <f t="shared" si="1048"/>
        <v>000</v>
      </c>
      <c r="L8776" s="5">
        <f t="shared" si="1049"/>
        <v>10</v>
      </c>
      <c r="M8776" s="5">
        <f t="shared" si="1050"/>
        <v>2013</v>
      </c>
    </row>
    <row r="8777" spans="1:13" ht="15" x14ac:dyDescent="0.25">
      <c r="A8777" s="1">
        <f>DATE(2013,10,10)</f>
        <v>41557</v>
      </c>
      <c r="B8777" t="s">
        <v>13</v>
      </c>
      <c r="C8777" t="s">
        <v>9</v>
      </c>
      <c r="D8777" s="3">
        <v>132.5915</v>
      </c>
      <c r="E8777" s="3">
        <v>0</v>
      </c>
      <c r="F8777" t="s">
        <v>45</v>
      </c>
      <c r="G8777" s="3">
        <f t="shared" si="1044"/>
        <v>-132.5915</v>
      </c>
      <c r="H8777" s="3">
        <f t="shared" si="1045"/>
        <v>132.5915</v>
      </c>
      <c r="I8777" s="5" t="str">
        <f t="shared" si="1046"/>
        <v>016</v>
      </c>
      <c r="J8777" s="5" t="str">
        <f t="shared" si="1047"/>
        <v>2220</v>
      </c>
      <c r="K8777" s="5" t="str">
        <f t="shared" si="1048"/>
        <v>000</v>
      </c>
      <c r="L8777" s="5">
        <f t="shared" si="1049"/>
        <v>10</v>
      </c>
      <c r="M8777" s="5">
        <f t="shared" si="1050"/>
        <v>2013</v>
      </c>
    </row>
    <row r="8778" spans="1:13" ht="15" x14ac:dyDescent="0.25">
      <c r="A8778" s="1">
        <f>DATE(2013,10,10)</f>
        <v>41557</v>
      </c>
      <c r="B8778" t="s">
        <v>14</v>
      </c>
      <c r="C8778" t="s">
        <v>10</v>
      </c>
      <c r="D8778" s="3">
        <v>34.8613</v>
      </c>
      <c r="E8778" s="3">
        <v>0</v>
      </c>
      <c r="F8778" t="s">
        <v>45</v>
      </c>
      <c r="G8778" s="3">
        <f t="shared" si="1044"/>
        <v>-34.8613</v>
      </c>
      <c r="H8778" s="3">
        <f t="shared" si="1045"/>
        <v>34.8613</v>
      </c>
      <c r="I8778" s="5" t="str">
        <f t="shared" si="1046"/>
        <v>016</v>
      </c>
      <c r="J8778" s="5" t="str">
        <f t="shared" si="1047"/>
        <v>2230</v>
      </c>
      <c r="K8778" s="5" t="str">
        <f t="shared" si="1048"/>
        <v>000</v>
      </c>
      <c r="L8778" s="5">
        <f t="shared" si="1049"/>
        <v>10</v>
      </c>
      <c r="M8778" s="5">
        <f t="shared" si="1050"/>
        <v>2013</v>
      </c>
    </row>
    <row r="8779" spans="1:13" ht="15" x14ac:dyDescent="0.25">
      <c r="A8779" s="1">
        <f>DATE(2013,10,11)</f>
        <v>41558</v>
      </c>
      <c r="B8779" t="s">
        <v>11</v>
      </c>
      <c r="C8779" t="s">
        <v>6</v>
      </c>
      <c r="D8779" s="3">
        <v>4857.2370000000001</v>
      </c>
      <c r="E8779" s="3">
        <v>0</v>
      </c>
      <c r="F8779" t="s">
        <v>45</v>
      </c>
      <c r="G8779" s="3">
        <f t="shared" si="1044"/>
        <v>-4857.2370000000001</v>
      </c>
      <c r="H8779" s="3">
        <f t="shared" si="1045"/>
        <v>4857.2370000000001</v>
      </c>
      <c r="I8779" s="5" t="str">
        <f t="shared" si="1046"/>
        <v>016</v>
      </c>
      <c r="J8779" s="5" t="str">
        <f t="shared" si="1047"/>
        <v>2100</v>
      </c>
      <c r="K8779" s="5" t="str">
        <f t="shared" si="1048"/>
        <v>000</v>
      </c>
      <c r="L8779" s="5">
        <f t="shared" si="1049"/>
        <v>10</v>
      </c>
      <c r="M8779" s="5">
        <f t="shared" si="1050"/>
        <v>2013</v>
      </c>
    </row>
    <row r="8780" spans="1:13" ht="15" x14ac:dyDescent="0.25">
      <c r="A8780" s="1">
        <f>DATE(2013,10,11)</f>
        <v>41558</v>
      </c>
      <c r="B8780" t="s">
        <v>12</v>
      </c>
      <c r="C8780" t="s">
        <v>8</v>
      </c>
      <c r="D8780" s="3">
        <v>1962.0744000000002</v>
      </c>
      <c r="E8780" s="3">
        <v>0</v>
      </c>
      <c r="F8780" t="s">
        <v>45</v>
      </c>
      <c r="G8780" s="3">
        <f t="shared" si="1044"/>
        <v>-1962.0744000000002</v>
      </c>
      <c r="H8780" s="3">
        <f t="shared" si="1045"/>
        <v>1962.0744000000002</v>
      </c>
      <c r="I8780" s="5" t="str">
        <f t="shared" si="1046"/>
        <v>016</v>
      </c>
      <c r="J8780" s="5" t="str">
        <f t="shared" si="1047"/>
        <v>2210</v>
      </c>
      <c r="K8780" s="5" t="str">
        <f t="shared" si="1048"/>
        <v>000</v>
      </c>
      <c r="L8780" s="5">
        <f t="shared" si="1049"/>
        <v>10</v>
      </c>
      <c r="M8780" s="5">
        <f t="shared" si="1050"/>
        <v>2013</v>
      </c>
    </row>
    <row r="8781" spans="1:13" ht="15" x14ac:dyDescent="0.25">
      <c r="A8781" s="1">
        <f>DATE(2013,10,11)</f>
        <v>41558</v>
      </c>
      <c r="B8781" t="s">
        <v>13</v>
      </c>
      <c r="C8781" t="s">
        <v>9</v>
      </c>
      <c r="D8781" s="3">
        <v>306.01260000000002</v>
      </c>
      <c r="E8781" s="3">
        <v>0</v>
      </c>
      <c r="F8781" t="s">
        <v>45</v>
      </c>
      <c r="G8781" s="3">
        <f t="shared" si="1044"/>
        <v>-306.01260000000002</v>
      </c>
      <c r="H8781" s="3">
        <f t="shared" si="1045"/>
        <v>306.01260000000002</v>
      </c>
      <c r="I8781" s="5" t="str">
        <f t="shared" si="1046"/>
        <v>016</v>
      </c>
      <c r="J8781" s="5" t="str">
        <f t="shared" si="1047"/>
        <v>2220</v>
      </c>
      <c r="K8781" s="5" t="str">
        <f t="shared" si="1048"/>
        <v>000</v>
      </c>
      <c r="L8781" s="5">
        <f t="shared" si="1049"/>
        <v>10</v>
      </c>
      <c r="M8781" s="5">
        <f t="shared" si="1050"/>
        <v>2013</v>
      </c>
    </row>
    <row r="8782" spans="1:13" ht="15" x14ac:dyDescent="0.25">
      <c r="A8782" s="1">
        <f>DATE(2013,10,11)</f>
        <v>41558</v>
      </c>
      <c r="B8782" t="s">
        <v>14</v>
      </c>
      <c r="C8782" t="s">
        <v>10</v>
      </c>
      <c r="D8782" s="3">
        <v>74.040000000000006</v>
      </c>
      <c r="E8782" s="3">
        <v>0</v>
      </c>
      <c r="F8782" t="s">
        <v>45</v>
      </c>
      <c r="G8782" s="3">
        <f t="shared" si="1044"/>
        <v>-74.040000000000006</v>
      </c>
      <c r="H8782" s="3">
        <f t="shared" si="1045"/>
        <v>74.040000000000006</v>
      </c>
      <c r="I8782" s="5" t="str">
        <f t="shared" si="1046"/>
        <v>016</v>
      </c>
      <c r="J8782" s="5" t="str">
        <f t="shared" si="1047"/>
        <v>2230</v>
      </c>
      <c r="K8782" s="5" t="str">
        <f t="shared" si="1048"/>
        <v>000</v>
      </c>
      <c r="L8782" s="5">
        <f t="shared" si="1049"/>
        <v>10</v>
      </c>
      <c r="M8782" s="5">
        <f t="shared" si="1050"/>
        <v>2013</v>
      </c>
    </row>
    <row r="8783" spans="1:13" ht="15" x14ac:dyDescent="0.25">
      <c r="A8783" s="1">
        <f>DATE(2013,10,12)</f>
        <v>41559</v>
      </c>
      <c r="B8783" t="s">
        <v>11</v>
      </c>
      <c r="C8783" t="s">
        <v>6</v>
      </c>
      <c r="D8783" s="3">
        <v>5179.7341999999999</v>
      </c>
      <c r="E8783" s="3">
        <v>0</v>
      </c>
      <c r="F8783" t="s">
        <v>45</v>
      </c>
      <c r="G8783" s="3">
        <f t="shared" si="1044"/>
        <v>-5179.7341999999999</v>
      </c>
      <c r="H8783" s="3">
        <f t="shared" si="1045"/>
        <v>5179.7341999999999</v>
      </c>
      <c r="I8783" s="5" t="str">
        <f t="shared" si="1046"/>
        <v>016</v>
      </c>
      <c r="J8783" s="5" t="str">
        <f t="shared" si="1047"/>
        <v>2100</v>
      </c>
      <c r="K8783" s="5" t="str">
        <f t="shared" si="1048"/>
        <v>000</v>
      </c>
      <c r="L8783" s="5">
        <f t="shared" si="1049"/>
        <v>10</v>
      </c>
      <c r="M8783" s="5">
        <f t="shared" si="1050"/>
        <v>2013</v>
      </c>
    </row>
    <row r="8784" spans="1:13" ht="15" x14ac:dyDescent="0.25">
      <c r="A8784" s="1">
        <f>DATE(2013,10,12)</f>
        <v>41559</v>
      </c>
      <c r="B8784" t="s">
        <v>12</v>
      </c>
      <c r="C8784" t="s">
        <v>8</v>
      </c>
      <c r="D8784" s="3">
        <v>1870.6505999999999</v>
      </c>
      <c r="E8784" s="3">
        <v>0</v>
      </c>
      <c r="F8784" t="s">
        <v>45</v>
      </c>
      <c r="G8784" s="3">
        <f t="shared" si="1044"/>
        <v>-1870.6505999999999</v>
      </c>
      <c r="H8784" s="3">
        <f t="shared" si="1045"/>
        <v>1870.6505999999999</v>
      </c>
      <c r="I8784" s="5" t="str">
        <f t="shared" si="1046"/>
        <v>016</v>
      </c>
      <c r="J8784" s="5" t="str">
        <f t="shared" si="1047"/>
        <v>2210</v>
      </c>
      <c r="K8784" s="5" t="str">
        <f t="shared" si="1048"/>
        <v>000</v>
      </c>
      <c r="L8784" s="5">
        <f t="shared" si="1049"/>
        <v>10</v>
      </c>
      <c r="M8784" s="5">
        <f t="shared" si="1050"/>
        <v>2013</v>
      </c>
    </row>
    <row r="8785" spans="1:13" ht="15" x14ac:dyDescent="0.25">
      <c r="A8785" s="1">
        <f>DATE(2013,10,12)</f>
        <v>41559</v>
      </c>
      <c r="B8785" t="s">
        <v>13</v>
      </c>
      <c r="C8785" t="s">
        <v>9</v>
      </c>
      <c r="D8785" s="3">
        <v>426.38549999999998</v>
      </c>
      <c r="E8785" s="3">
        <v>0</v>
      </c>
      <c r="F8785" t="s">
        <v>45</v>
      </c>
      <c r="G8785" s="3">
        <f t="shared" si="1044"/>
        <v>-426.38549999999998</v>
      </c>
      <c r="H8785" s="3">
        <f t="shared" si="1045"/>
        <v>426.38549999999998</v>
      </c>
      <c r="I8785" s="5" t="str">
        <f t="shared" si="1046"/>
        <v>016</v>
      </c>
      <c r="J8785" s="5" t="str">
        <f t="shared" si="1047"/>
        <v>2220</v>
      </c>
      <c r="K8785" s="5" t="str">
        <f t="shared" si="1048"/>
        <v>000</v>
      </c>
      <c r="L8785" s="5">
        <f t="shared" si="1049"/>
        <v>10</v>
      </c>
      <c r="M8785" s="5">
        <f t="shared" si="1050"/>
        <v>2013</v>
      </c>
    </row>
    <row r="8786" spans="1:13" ht="15" x14ac:dyDescent="0.25">
      <c r="A8786" s="1">
        <f>DATE(2013,10,12)</f>
        <v>41559</v>
      </c>
      <c r="B8786" t="s">
        <v>14</v>
      </c>
      <c r="C8786" t="s">
        <v>10</v>
      </c>
      <c r="D8786" s="3">
        <v>158.9742</v>
      </c>
      <c r="E8786" s="3">
        <v>0</v>
      </c>
      <c r="F8786" t="s">
        <v>45</v>
      </c>
      <c r="G8786" s="3">
        <f t="shared" si="1044"/>
        <v>-158.9742</v>
      </c>
      <c r="H8786" s="3">
        <f t="shared" si="1045"/>
        <v>158.9742</v>
      </c>
      <c r="I8786" s="5" t="str">
        <f t="shared" si="1046"/>
        <v>016</v>
      </c>
      <c r="J8786" s="5" t="str">
        <f t="shared" si="1047"/>
        <v>2230</v>
      </c>
      <c r="K8786" s="5" t="str">
        <f t="shared" si="1048"/>
        <v>000</v>
      </c>
      <c r="L8786" s="5">
        <f t="shared" si="1049"/>
        <v>10</v>
      </c>
      <c r="M8786" s="5">
        <f t="shared" si="1050"/>
        <v>2013</v>
      </c>
    </row>
    <row r="8787" spans="1:13" ht="15" x14ac:dyDescent="0.25">
      <c r="A8787" s="1">
        <f>DATE(2013,10,13)</f>
        <v>41560</v>
      </c>
      <c r="B8787" t="s">
        <v>11</v>
      </c>
      <c r="C8787" t="s">
        <v>6</v>
      </c>
      <c r="D8787" s="3">
        <v>3908.1251999999995</v>
      </c>
      <c r="E8787" s="3">
        <v>0</v>
      </c>
      <c r="F8787" t="s">
        <v>45</v>
      </c>
      <c r="G8787" s="3">
        <f t="shared" si="1044"/>
        <v>-3908.1251999999995</v>
      </c>
      <c r="H8787" s="3">
        <f t="shared" si="1045"/>
        <v>3908.1251999999995</v>
      </c>
      <c r="I8787" s="5" t="str">
        <f t="shared" si="1046"/>
        <v>016</v>
      </c>
      <c r="J8787" s="5" t="str">
        <f t="shared" si="1047"/>
        <v>2100</v>
      </c>
      <c r="K8787" s="5" t="str">
        <f t="shared" si="1048"/>
        <v>000</v>
      </c>
      <c r="L8787" s="5">
        <f t="shared" si="1049"/>
        <v>10</v>
      </c>
      <c r="M8787" s="5">
        <f t="shared" si="1050"/>
        <v>2013</v>
      </c>
    </row>
    <row r="8788" spans="1:13" ht="15" x14ac:dyDescent="0.25">
      <c r="A8788" s="1">
        <f>DATE(2013,10,13)</f>
        <v>41560</v>
      </c>
      <c r="B8788" t="s">
        <v>12</v>
      </c>
      <c r="C8788" t="s">
        <v>8</v>
      </c>
      <c r="D8788" s="3">
        <v>1099.1781000000001</v>
      </c>
      <c r="E8788" s="3">
        <v>0</v>
      </c>
      <c r="F8788" t="s">
        <v>45</v>
      </c>
      <c r="G8788" s="3">
        <f t="shared" si="1044"/>
        <v>-1099.1781000000001</v>
      </c>
      <c r="H8788" s="3">
        <f t="shared" si="1045"/>
        <v>1099.1781000000001</v>
      </c>
      <c r="I8788" s="5" t="str">
        <f t="shared" si="1046"/>
        <v>016</v>
      </c>
      <c r="J8788" s="5" t="str">
        <f t="shared" si="1047"/>
        <v>2210</v>
      </c>
      <c r="K8788" s="5" t="str">
        <f t="shared" si="1048"/>
        <v>000</v>
      </c>
      <c r="L8788" s="5">
        <f t="shared" si="1049"/>
        <v>10</v>
      </c>
      <c r="M8788" s="5">
        <f t="shared" si="1050"/>
        <v>2013</v>
      </c>
    </row>
    <row r="8789" spans="1:13" ht="15" x14ac:dyDescent="0.25">
      <c r="A8789" s="1">
        <f>DATE(2013,10,13)</f>
        <v>41560</v>
      </c>
      <c r="B8789" t="s">
        <v>13</v>
      </c>
      <c r="C8789" t="s">
        <v>9</v>
      </c>
      <c r="D8789" s="3">
        <v>261.54480000000001</v>
      </c>
      <c r="E8789" s="3">
        <v>0</v>
      </c>
      <c r="F8789" t="s">
        <v>45</v>
      </c>
      <c r="G8789" s="3">
        <f t="shared" si="1044"/>
        <v>-261.54480000000001</v>
      </c>
      <c r="H8789" s="3">
        <f t="shared" si="1045"/>
        <v>261.54480000000001</v>
      </c>
      <c r="I8789" s="5" t="str">
        <f t="shared" si="1046"/>
        <v>016</v>
      </c>
      <c r="J8789" s="5" t="str">
        <f t="shared" si="1047"/>
        <v>2220</v>
      </c>
      <c r="K8789" s="5" t="str">
        <f t="shared" si="1048"/>
        <v>000</v>
      </c>
      <c r="L8789" s="5">
        <f t="shared" si="1049"/>
        <v>10</v>
      </c>
      <c r="M8789" s="5">
        <f t="shared" si="1050"/>
        <v>2013</v>
      </c>
    </row>
    <row r="8790" spans="1:13" ht="15" x14ac:dyDescent="0.25">
      <c r="A8790" s="1">
        <f>DATE(2013,10,13)</f>
        <v>41560</v>
      </c>
      <c r="B8790" t="s">
        <v>14</v>
      </c>
      <c r="C8790" t="s">
        <v>10</v>
      </c>
      <c r="D8790" s="3">
        <v>76.402799999999999</v>
      </c>
      <c r="E8790" s="3">
        <v>0</v>
      </c>
      <c r="F8790" t="s">
        <v>45</v>
      </c>
      <c r="G8790" s="3">
        <f t="shared" si="1044"/>
        <v>-76.402799999999999</v>
      </c>
      <c r="H8790" s="3">
        <f t="shared" si="1045"/>
        <v>76.402799999999999</v>
      </c>
      <c r="I8790" s="5" t="str">
        <f t="shared" si="1046"/>
        <v>016</v>
      </c>
      <c r="J8790" s="5" t="str">
        <f t="shared" si="1047"/>
        <v>2230</v>
      </c>
      <c r="K8790" s="5" t="str">
        <f t="shared" si="1048"/>
        <v>000</v>
      </c>
      <c r="L8790" s="5">
        <f t="shared" si="1049"/>
        <v>10</v>
      </c>
      <c r="M8790" s="5">
        <f t="shared" si="1050"/>
        <v>2013</v>
      </c>
    </row>
    <row r="8791" spans="1:13" ht="15" x14ac:dyDescent="0.25">
      <c r="A8791" s="1">
        <f>DATE(2013,10,7)</f>
        <v>41554</v>
      </c>
      <c r="B8791" t="s">
        <v>15</v>
      </c>
      <c r="C8791" t="s">
        <v>6</v>
      </c>
      <c r="D8791" s="3">
        <v>4802.4900000000007</v>
      </c>
      <c r="E8791" s="3">
        <v>0</v>
      </c>
      <c r="F8791" t="s">
        <v>45</v>
      </c>
      <c r="G8791" s="3">
        <f t="shared" si="1044"/>
        <v>-4802.4900000000007</v>
      </c>
      <c r="H8791" s="3">
        <f t="shared" si="1045"/>
        <v>4802.4900000000007</v>
      </c>
      <c r="I8791" s="5" t="str">
        <f t="shared" si="1046"/>
        <v>017</v>
      </c>
      <c r="J8791" s="5" t="str">
        <f t="shared" si="1047"/>
        <v>2100</v>
      </c>
      <c r="K8791" s="5" t="str">
        <f t="shared" si="1048"/>
        <v>000</v>
      </c>
      <c r="L8791" s="5">
        <f t="shared" si="1049"/>
        <v>10</v>
      </c>
      <c r="M8791" s="5">
        <f t="shared" si="1050"/>
        <v>2013</v>
      </c>
    </row>
    <row r="8792" spans="1:13" ht="15" x14ac:dyDescent="0.25">
      <c r="A8792" s="1">
        <f>DATE(2013,10,7)</f>
        <v>41554</v>
      </c>
      <c r="B8792" t="s">
        <v>16</v>
      </c>
      <c r="C8792" t="s">
        <v>8</v>
      </c>
      <c r="D8792" s="3">
        <v>1116.2853000000002</v>
      </c>
      <c r="E8792" s="3">
        <v>0</v>
      </c>
      <c r="F8792" t="s">
        <v>45</v>
      </c>
      <c r="G8792" s="3">
        <f t="shared" si="1044"/>
        <v>-1116.2853000000002</v>
      </c>
      <c r="H8792" s="3">
        <f t="shared" si="1045"/>
        <v>1116.2853000000002</v>
      </c>
      <c r="I8792" s="5" t="str">
        <f t="shared" si="1046"/>
        <v>017</v>
      </c>
      <c r="J8792" s="5" t="str">
        <f t="shared" si="1047"/>
        <v>2210</v>
      </c>
      <c r="K8792" s="5" t="str">
        <f t="shared" si="1048"/>
        <v>000</v>
      </c>
      <c r="L8792" s="5">
        <f t="shared" si="1049"/>
        <v>10</v>
      </c>
      <c r="M8792" s="5">
        <f t="shared" si="1050"/>
        <v>2013</v>
      </c>
    </row>
    <row r="8793" spans="1:13" ht="15" x14ac:dyDescent="0.25">
      <c r="A8793" s="1">
        <f>DATE(2013,10,7)</f>
        <v>41554</v>
      </c>
      <c r="B8793" t="s">
        <v>17</v>
      </c>
      <c r="C8793" t="s">
        <v>9</v>
      </c>
      <c r="D8793" s="3">
        <v>221.18680000000001</v>
      </c>
      <c r="E8793" s="3">
        <v>0</v>
      </c>
      <c r="F8793" t="s">
        <v>45</v>
      </c>
      <c r="G8793" s="3">
        <f t="shared" si="1044"/>
        <v>-221.18680000000001</v>
      </c>
      <c r="H8793" s="3">
        <f t="shared" si="1045"/>
        <v>221.18680000000001</v>
      </c>
      <c r="I8793" s="5" t="str">
        <f t="shared" si="1046"/>
        <v>017</v>
      </c>
      <c r="J8793" s="5" t="str">
        <f t="shared" si="1047"/>
        <v>2220</v>
      </c>
      <c r="K8793" s="5" t="str">
        <f t="shared" si="1048"/>
        <v>000</v>
      </c>
      <c r="L8793" s="5">
        <f t="shared" si="1049"/>
        <v>10</v>
      </c>
      <c r="M8793" s="5">
        <f t="shared" si="1050"/>
        <v>2013</v>
      </c>
    </row>
    <row r="8794" spans="1:13" ht="15" x14ac:dyDescent="0.25">
      <c r="A8794" s="1">
        <f>DATE(2013,10,7)</f>
        <v>41554</v>
      </c>
      <c r="B8794" t="s">
        <v>18</v>
      </c>
      <c r="C8794" t="s">
        <v>10</v>
      </c>
      <c r="D8794" s="3">
        <v>72.992599999999996</v>
      </c>
      <c r="E8794" s="3">
        <v>0</v>
      </c>
      <c r="F8794" t="s">
        <v>45</v>
      </c>
      <c r="G8794" s="3">
        <f t="shared" si="1044"/>
        <v>-72.992599999999996</v>
      </c>
      <c r="H8794" s="3">
        <f t="shared" si="1045"/>
        <v>72.992599999999996</v>
      </c>
      <c r="I8794" s="5" t="str">
        <f t="shared" si="1046"/>
        <v>017</v>
      </c>
      <c r="J8794" s="5" t="str">
        <f t="shared" si="1047"/>
        <v>2230</v>
      </c>
      <c r="K8794" s="5" t="str">
        <f t="shared" si="1048"/>
        <v>000</v>
      </c>
      <c r="L8794" s="5">
        <f t="shared" si="1049"/>
        <v>10</v>
      </c>
      <c r="M8794" s="5">
        <f t="shared" si="1050"/>
        <v>2013</v>
      </c>
    </row>
    <row r="8795" spans="1:13" ht="15" x14ac:dyDescent="0.25">
      <c r="A8795" s="1">
        <f>DATE(2013,10,8)</f>
        <v>41555</v>
      </c>
      <c r="B8795" t="s">
        <v>15</v>
      </c>
      <c r="C8795" t="s">
        <v>6</v>
      </c>
      <c r="D8795" s="3">
        <v>3552.6400000000003</v>
      </c>
      <c r="E8795" s="3">
        <v>0</v>
      </c>
      <c r="F8795" t="s">
        <v>45</v>
      </c>
      <c r="G8795" s="3">
        <f t="shared" si="1044"/>
        <v>-3552.6400000000003</v>
      </c>
      <c r="H8795" s="3">
        <f t="shared" si="1045"/>
        <v>3552.6400000000003</v>
      </c>
      <c r="I8795" s="5" t="str">
        <f t="shared" si="1046"/>
        <v>017</v>
      </c>
      <c r="J8795" s="5" t="str">
        <f t="shared" si="1047"/>
        <v>2100</v>
      </c>
      <c r="K8795" s="5" t="str">
        <f t="shared" si="1048"/>
        <v>000</v>
      </c>
      <c r="L8795" s="5">
        <f t="shared" si="1049"/>
        <v>10</v>
      </c>
      <c r="M8795" s="5">
        <f t="shared" si="1050"/>
        <v>2013</v>
      </c>
    </row>
    <row r="8796" spans="1:13" ht="15" x14ac:dyDescent="0.25">
      <c r="A8796" s="1">
        <f>DATE(2013,10,8)</f>
        <v>41555</v>
      </c>
      <c r="B8796" t="s">
        <v>16</v>
      </c>
      <c r="C8796" t="s">
        <v>8</v>
      </c>
      <c r="D8796" s="3">
        <v>1206.4176</v>
      </c>
      <c r="E8796" s="3">
        <v>0</v>
      </c>
      <c r="F8796" t="s">
        <v>45</v>
      </c>
      <c r="G8796" s="3">
        <f t="shared" si="1044"/>
        <v>-1206.4176</v>
      </c>
      <c r="H8796" s="3">
        <f t="shared" si="1045"/>
        <v>1206.4176</v>
      </c>
      <c r="I8796" s="5" t="str">
        <f t="shared" si="1046"/>
        <v>017</v>
      </c>
      <c r="J8796" s="5" t="str">
        <f t="shared" si="1047"/>
        <v>2210</v>
      </c>
      <c r="K8796" s="5" t="str">
        <f t="shared" si="1048"/>
        <v>000</v>
      </c>
      <c r="L8796" s="5">
        <f t="shared" si="1049"/>
        <v>10</v>
      </c>
      <c r="M8796" s="5">
        <f t="shared" si="1050"/>
        <v>2013</v>
      </c>
    </row>
    <row r="8797" spans="1:13" ht="15" x14ac:dyDescent="0.25">
      <c r="A8797" s="1">
        <f>DATE(2013,10,8)</f>
        <v>41555</v>
      </c>
      <c r="B8797" t="s">
        <v>17</v>
      </c>
      <c r="C8797" t="s">
        <v>9</v>
      </c>
      <c r="D8797" s="3">
        <v>395.93189999999998</v>
      </c>
      <c r="E8797" s="3">
        <v>0</v>
      </c>
      <c r="F8797" t="s">
        <v>45</v>
      </c>
      <c r="G8797" s="3">
        <f t="shared" si="1044"/>
        <v>-395.93189999999998</v>
      </c>
      <c r="H8797" s="3">
        <f t="shared" si="1045"/>
        <v>395.93189999999998</v>
      </c>
      <c r="I8797" s="5" t="str">
        <f t="shared" si="1046"/>
        <v>017</v>
      </c>
      <c r="J8797" s="5" t="str">
        <f t="shared" si="1047"/>
        <v>2220</v>
      </c>
      <c r="K8797" s="5" t="str">
        <f t="shared" si="1048"/>
        <v>000</v>
      </c>
      <c r="L8797" s="5">
        <f t="shared" si="1049"/>
        <v>10</v>
      </c>
      <c r="M8797" s="5">
        <f t="shared" si="1050"/>
        <v>2013</v>
      </c>
    </row>
    <row r="8798" spans="1:13" ht="15" x14ac:dyDescent="0.25">
      <c r="A8798" s="1">
        <f>DATE(2013,10,8)</f>
        <v>41555</v>
      </c>
      <c r="B8798" t="s">
        <v>18</v>
      </c>
      <c r="C8798" t="s">
        <v>10</v>
      </c>
      <c r="D8798" s="3">
        <v>91.424700000000016</v>
      </c>
      <c r="E8798" s="3">
        <v>0</v>
      </c>
      <c r="F8798" t="s">
        <v>45</v>
      </c>
      <c r="G8798" s="3">
        <f t="shared" si="1044"/>
        <v>-91.424700000000016</v>
      </c>
      <c r="H8798" s="3">
        <f t="shared" si="1045"/>
        <v>91.424700000000016</v>
      </c>
      <c r="I8798" s="5" t="str">
        <f t="shared" si="1046"/>
        <v>017</v>
      </c>
      <c r="J8798" s="5" t="str">
        <f t="shared" si="1047"/>
        <v>2230</v>
      </c>
      <c r="K8798" s="5" t="str">
        <f t="shared" si="1048"/>
        <v>000</v>
      </c>
      <c r="L8798" s="5">
        <f t="shared" si="1049"/>
        <v>10</v>
      </c>
      <c r="M8798" s="5">
        <f t="shared" si="1050"/>
        <v>2013</v>
      </c>
    </row>
    <row r="8799" spans="1:13" ht="15" x14ac:dyDescent="0.25">
      <c r="A8799" s="1">
        <f>DATE(2013,10,9)</f>
        <v>41556</v>
      </c>
      <c r="B8799" t="s">
        <v>15</v>
      </c>
      <c r="C8799" t="s">
        <v>6</v>
      </c>
      <c r="D8799" s="3">
        <v>5137.1334000000006</v>
      </c>
      <c r="E8799" s="3">
        <v>0</v>
      </c>
      <c r="F8799" t="s">
        <v>45</v>
      </c>
      <c r="G8799" s="3">
        <f t="shared" si="1044"/>
        <v>-5137.1334000000006</v>
      </c>
      <c r="H8799" s="3">
        <f t="shared" si="1045"/>
        <v>5137.1334000000006</v>
      </c>
      <c r="I8799" s="5" t="str">
        <f t="shared" si="1046"/>
        <v>017</v>
      </c>
      <c r="J8799" s="5" t="str">
        <f t="shared" si="1047"/>
        <v>2100</v>
      </c>
      <c r="K8799" s="5" t="str">
        <f t="shared" si="1048"/>
        <v>000</v>
      </c>
      <c r="L8799" s="5">
        <f t="shared" si="1049"/>
        <v>10</v>
      </c>
      <c r="M8799" s="5">
        <f t="shared" si="1050"/>
        <v>2013</v>
      </c>
    </row>
    <row r="8800" spans="1:13" ht="15" x14ac:dyDescent="0.25">
      <c r="A8800" s="1">
        <f>DATE(2013,10,9)</f>
        <v>41556</v>
      </c>
      <c r="B8800" t="s">
        <v>16</v>
      </c>
      <c r="C8800" t="s">
        <v>8</v>
      </c>
      <c r="D8800" s="3">
        <v>1530.2885000000001</v>
      </c>
      <c r="E8800" s="3">
        <v>0</v>
      </c>
      <c r="F8800" t="s">
        <v>45</v>
      </c>
      <c r="G8800" s="3">
        <f t="shared" si="1044"/>
        <v>-1530.2885000000001</v>
      </c>
      <c r="H8800" s="3">
        <f t="shared" si="1045"/>
        <v>1530.2885000000001</v>
      </c>
      <c r="I8800" s="5" t="str">
        <f t="shared" si="1046"/>
        <v>017</v>
      </c>
      <c r="J8800" s="5" t="str">
        <f t="shared" si="1047"/>
        <v>2210</v>
      </c>
      <c r="K8800" s="5" t="str">
        <f t="shared" si="1048"/>
        <v>000</v>
      </c>
      <c r="L8800" s="5">
        <f t="shared" si="1049"/>
        <v>10</v>
      </c>
      <c r="M8800" s="5">
        <f t="shared" si="1050"/>
        <v>2013</v>
      </c>
    </row>
    <row r="8801" spans="1:13" ht="15" x14ac:dyDescent="0.25">
      <c r="A8801" s="1">
        <f>DATE(2013,10,9)</f>
        <v>41556</v>
      </c>
      <c r="B8801" t="s">
        <v>17</v>
      </c>
      <c r="C8801" t="s">
        <v>9</v>
      </c>
      <c r="D8801" s="3">
        <v>847.78149999999994</v>
      </c>
      <c r="E8801" s="3">
        <v>0</v>
      </c>
      <c r="F8801" t="s">
        <v>45</v>
      </c>
      <c r="G8801" s="3">
        <f t="shared" si="1044"/>
        <v>-847.78149999999994</v>
      </c>
      <c r="H8801" s="3">
        <f t="shared" si="1045"/>
        <v>847.78149999999994</v>
      </c>
      <c r="I8801" s="5" t="str">
        <f t="shared" si="1046"/>
        <v>017</v>
      </c>
      <c r="J8801" s="5" t="str">
        <f t="shared" si="1047"/>
        <v>2220</v>
      </c>
      <c r="K8801" s="5" t="str">
        <f t="shared" si="1048"/>
        <v>000</v>
      </c>
      <c r="L8801" s="5">
        <f t="shared" si="1049"/>
        <v>10</v>
      </c>
      <c r="M8801" s="5">
        <f t="shared" si="1050"/>
        <v>2013</v>
      </c>
    </row>
    <row r="8802" spans="1:13" ht="15" x14ac:dyDescent="0.25">
      <c r="A8802" s="1">
        <f>DATE(2013,10,9)</f>
        <v>41556</v>
      </c>
      <c r="B8802" t="s">
        <v>18</v>
      </c>
      <c r="C8802" t="s">
        <v>10</v>
      </c>
      <c r="D8802" s="3">
        <v>92.646600000000007</v>
      </c>
      <c r="E8802" s="3">
        <v>0</v>
      </c>
      <c r="F8802" t="s">
        <v>45</v>
      </c>
      <c r="G8802" s="3">
        <f t="shared" si="1044"/>
        <v>-92.646600000000007</v>
      </c>
      <c r="H8802" s="3">
        <f t="shared" si="1045"/>
        <v>92.646600000000007</v>
      </c>
      <c r="I8802" s="5" t="str">
        <f t="shared" si="1046"/>
        <v>017</v>
      </c>
      <c r="J8802" s="5" t="str">
        <f t="shared" si="1047"/>
        <v>2230</v>
      </c>
      <c r="K8802" s="5" t="str">
        <f t="shared" si="1048"/>
        <v>000</v>
      </c>
      <c r="L8802" s="5">
        <f t="shared" si="1049"/>
        <v>10</v>
      </c>
      <c r="M8802" s="5">
        <f t="shared" si="1050"/>
        <v>2013</v>
      </c>
    </row>
    <row r="8803" spans="1:13" ht="15" x14ac:dyDescent="0.25">
      <c r="A8803" s="1">
        <f>DATE(2013,10,10)</f>
        <v>41557</v>
      </c>
      <c r="B8803" t="s">
        <v>15</v>
      </c>
      <c r="C8803" t="s">
        <v>6</v>
      </c>
      <c r="D8803" s="3">
        <v>5890.8477000000003</v>
      </c>
      <c r="E8803" s="3">
        <v>0</v>
      </c>
      <c r="F8803" t="s">
        <v>45</v>
      </c>
      <c r="G8803" s="3">
        <f t="shared" si="1044"/>
        <v>-5890.8477000000003</v>
      </c>
      <c r="H8803" s="3">
        <f t="shared" si="1045"/>
        <v>5890.8477000000003</v>
      </c>
      <c r="I8803" s="5" t="str">
        <f t="shared" si="1046"/>
        <v>017</v>
      </c>
      <c r="J8803" s="5" t="str">
        <f t="shared" si="1047"/>
        <v>2100</v>
      </c>
      <c r="K8803" s="5" t="str">
        <f t="shared" si="1048"/>
        <v>000</v>
      </c>
      <c r="L8803" s="5">
        <f t="shared" si="1049"/>
        <v>10</v>
      </c>
      <c r="M8803" s="5">
        <f t="shared" si="1050"/>
        <v>2013</v>
      </c>
    </row>
    <row r="8804" spans="1:13" ht="15" x14ac:dyDescent="0.25">
      <c r="A8804" s="1">
        <f>DATE(2013,10,10)</f>
        <v>41557</v>
      </c>
      <c r="B8804" t="s">
        <v>16</v>
      </c>
      <c r="C8804" t="s">
        <v>8</v>
      </c>
      <c r="D8804" s="3">
        <v>2286.6122999999998</v>
      </c>
      <c r="E8804" s="3">
        <v>0</v>
      </c>
      <c r="F8804" t="s">
        <v>45</v>
      </c>
      <c r="G8804" s="3">
        <f t="shared" si="1044"/>
        <v>-2286.6122999999998</v>
      </c>
      <c r="H8804" s="3">
        <f t="shared" si="1045"/>
        <v>2286.6122999999998</v>
      </c>
      <c r="I8804" s="5" t="str">
        <f t="shared" si="1046"/>
        <v>017</v>
      </c>
      <c r="J8804" s="5" t="str">
        <f t="shared" si="1047"/>
        <v>2210</v>
      </c>
      <c r="K8804" s="5" t="str">
        <f t="shared" si="1048"/>
        <v>000</v>
      </c>
      <c r="L8804" s="5">
        <f t="shared" si="1049"/>
        <v>10</v>
      </c>
      <c r="M8804" s="5">
        <f t="shared" si="1050"/>
        <v>2013</v>
      </c>
    </row>
    <row r="8805" spans="1:13" ht="15" x14ac:dyDescent="0.25">
      <c r="A8805" s="1">
        <f>DATE(2013,10,10)</f>
        <v>41557</v>
      </c>
      <c r="B8805" t="s">
        <v>17</v>
      </c>
      <c r="C8805" t="s">
        <v>9</v>
      </c>
      <c r="D8805" s="3">
        <v>979.68600000000004</v>
      </c>
      <c r="E8805" s="3">
        <v>0</v>
      </c>
      <c r="F8805" t="s">
        <v>45</v>
      </c>
      <c r="G8805" s="3">
        <f t="shared" si="1044"/>
        <v>-979.68600000000004</v>
      </c>
      <c r="H8805" s="3">
        <f t="shared" si="1045"/>
        <v>979.68600000000004</v>
      </c>
      <c r="I8805" s="5" t="str">
        <f t="shared" si="1046"/>
        <v>017</v>
      </c>
      <c r="J8805" s="5" t="str">
        <f t="shared" si="1047"/>
        <v>2220</v>
      </c>
      <c r="K8805" s="5" t="str">
        <f t="shared" si="1048"/>
        <v>000</v>
      </c>
      <c r="L8805" s="5">
        <f t="shared" si="1049"/>
        <v>10</v>
      </c>
      <c r="M8805" s="5">
        <f t="shared" si="1050"/>
        <v>2013</v>
      </c>
    </row>
    <row r="8806" spans="1:13" ht="15" x14ac:dyDescent="0.25">
      <c r="A8806" s="1">
        <f>DATE(2013,10,10)</f>
        <v>41557</v>
      </c>
      <c r="B8806" t="s">
        <v>18</v>
      </c>
      <c r="C8806" t="s">
        <v>10</v>
      </c>
      <c r="D8806" s="3">
        <v>348.16320000000002</v>
      </c>
      <c r="E8806" s="3">
        <v>0</v>
      </c>
      <c r="F8806" t="s">
        <v>45</v>
      </c>
      <c r="G8806" s="3">
        <f t="shared" si="1044"/>
        <v>-348.16320000000002</v>
      </c>
      <c r="H8806" s="3">
        <f t="shared" si="1045"/>
        <v>348.16320000000002</v>
      </c>
      <c r="I8806" s="5" t="str">
        <f t="shared" si="1046"/>
        <v>017</v>
      </c>
      <c r="J8806" s="5" t="str">
        <f t="shared" si="1047"/>
        <v>2230</v>
      </c>
      <c r="K8806" s="5" t="str">
        <f t="shared" si="1048"/>
        <v>000</v>
      </c>
      <c r="L8806" s="5">
        <f t="shared" si="1049"/>
        <v>10</v>
      </c>
      <c r="M8806" s="5">
        <f t="shared" si="1050"/>
        <v>2013</v>
      </c>
    </row>
    <row r="8807" spans="1:13" ht="15" x14ac:dyDescent="0.25">
      <c r="A8807" s="1">
        <f>DATE(2013,10,11)</f>
        <v>41558</v>
      </c>
      <c r="B8807" t="s">
        <v>15</v>
      </c>
      <c r="C8807" t="s">
        <v>6</v>
      </c>
      <c r="D8807" s="3">
        <v>7950.7172</v>
      </c>
      <c r="E8807" s="3">
        <v>0</v>
      </c>
      <c r="F8807" t="s">
        <v>45</v>
      </c>
      <c r="G8807" s="3">
        <f t="shared" si="1044"/>
        <v>-7950.7172</v>
      </c>
      <c r="H8807" s="3">
        <f t="shared" si="1045"/>
        <v>7950.7172</v>
      </c>
      <c r="I8807" s="5" t="str">
        <f t="shared" si="1046"/>
        <v>017</v>
      </c>
      <c r="J8807" s="5" t="str">
        <f t="shared" si="1047"/>
        <v>2100</v>
      </c>
      <c r="K8807" s="5" t="str">
        <f t="shared" si="1048"/>
        <v>000</v>
      </c>
      <c r="L8807" s="5">
        <f t="shared" si="1049"/>
        <v>10</v>
      </c>
      <c r="M8807" s="5">
        <f t="shared" si="1050"/>
        <v>2013</v>
      </c>
    </row>
    <row r="8808" spans="1:13" ht="15" x14ac:dyDescent="0.25">
      <c r="A8808" s="1">
        <f>DATE(2013,10,11)</f>
        <v>41558</v>
      </c>
      <c r="B8808" t="s">
        <v>16</v>
      </c>
      <c r="C8808" t="s">
        <v>8</v>
      </c>
      <c r="D8808" s="3">
        <v>2358.3002999999999</v>
      </c>
      <c r="E8808" s="3">
        <v>0</v>
      </c>
      <c r="F8808" t="s">
        <v>45</v>
      </c>
      <c r="G8808" s="3">
        <f t="shared" si="1044"/>
        <v>-2358.3002999999999</v>
      </c>
      <c r="H8808" s="3">
        <f t="shared" si="1045"/>
        <v>2358.3002999999999</v>
      </c>
      <c r="I8808" s="5" t="str">
        <f t="shared" si="1046"/>
        <v>017</v>
      </c>
      <c r="J8808" s="5" t="str">
        <f t="shared" si="1047"/>
        <v>2210</v>
      </c>
      <c r="K8808" s="5" t="str">
        <f t="shared" si="1048"/>
        <v>000</v>
      </c>
      <c r="L8808" s="5">
        <f t="shared" si="1049"/>
        <v>10</v>
      </c>
      <c r="M8808" s="5">
        <f t="shared" si="1050"/>
        <v>2013</v>
      </c>
    </row>
    <row r="8809" spans="1:13" ht="15" x14ac:dyDescent="0.25">
      <c r="A8809" s="1">
        <f>DATE(2013,10,11)</f>
        <v>41558</v>
      </c>
      <c r="B8809" t="s">
        <v>17</v>
      </c>
      <c r="C8809" t="s">
        <v>9</v>
      </c>
      <c r="D8809" s="3">
        <v>511.14050000000003</v>
      </c>
      <c r="E8809" s="3">
        <v>0</v>
      </c>
      <c r="F8809" t="s">
        <v>45</v>
      </c>
      <c r="G8809" s="3">
        <f t="shared" si="1044"/>
        <v>-511.14050000000003</v>
      </c>
      <c r="H8809" s="3">
        <f t="shared" si="1045"/>
        <v>511.14050000000003</v>
      </c>
      <c r="I8809" s="5" t="str">
        <f t="shared" si="1046"/>
        <v>017</v>
      </c>
      <c r="J8809" s="5" t="str">
        <f t="shared" si="1047"/>
        <v>2220</v>
      </c>
      <c r="K8809" s="5" t="str">
        <f t="shared" si="1048"/>
        <v>000</v>
      </c>
      <c r="L8809" s="5">
        <f t="shared" si="1049"/>
        <v>10</v>
      </c>
      <c r="M8809" s="5">
        <f t="shared" si="1050"/>
        <v>2013</v>
      </c>
    </row>
    <row r="8810" spans="1:13" ht="15" x14ac:dyDescent="0.25">
      <c r="A8810" s="1">
        <f>DATE(2013,10,11)</f>
        <v>41558</v>
      </c>
      <c r="B8810" t="s">
        <v>18</v>
      </c>
      <c r="C8810" t="s">
        <v>10</v>
      </c>
      <c r="D8810" s="3">
        <v>104.32639999999999</v>
      </c>
      <c r="E8810" s="3">
        <v>0</v>
      </c>
      <c r="F8810" t="s">
        <v>45</v>
      </c>
      <c r="G8810" s="3">
        <f t="shared" si="1044"/>
        <v>-104.32639999999999</v>
      </c>
      <c r="H8810" s="3">
        <f t="shared" si="1045"/>
        <v>104.32639999999999</v>
      </c>
      <c r="I8810" s="5" t="str">
        <f t="shared" si="1046"/>
        <v>017</v>
      </c>
      <c r="J8810" s="5" t="str">
        <f t="shared" si="1047"/>
        <v>2230</v>
      </c>
      <c r="K8810" s="5" t="str">
        <f t="shared" si="1048"/>
        <v>000</v>
      </c>
      <c r="L8810" s="5">
        <f t="shared" si="1049"/>
        <v>10</v>
      </c>
      <c r="M8810" s="5">
        <f t="shared" si="1050"/>
        <v>2013</v>
      </c>
    </row>
    <row r="8811" spans="1:13" ht="15" x14ac:dyDescent="0.25">
      <c r="A8811" s="1">
        <f>DATE(2013,10,12)</f>
        <v>41559</v>
      </c>
      <c r="B8811" t="s">
        <v>15</v>
      </c>
      <c r="C8811" t="s">
        <v>6</v>
      </c>
      <c r="D8811" s="3">
        <v>8812.8364999999994</v>
      </c>
      <c r="E8811" s="3">
        <v>0</v>
      </c>
      <c r="F8811" t="s">
        <v>45</v>
      </c>
      <c r="G8811" s="3">
        <f t="shared" si="1044"/>
        <v>-8812.8364999999994</v>
      </c>
      <c r="H8811" s="3">
        <f t="shared" si="1045"/>
        <v>8812.8364999999994</v>
      </c>
      <c r="I8811" s="5" t="str">
        <f t="shared" si="1046"/>
        <v>017</v>
      </c>
      <c r="J8811" s="5" t="str">
        <f t="shared" si="1047"/>
        <v>2100</v>
      </c>
      <c r="K8811" s="5" t="str">
        <f t="shared" si="1048"/>
        <v>000</v>
      </c>
      <c r="L8811" s="5">
        <f t="shared" si="1049"/>
        <v>10</v>
      </c>
      <c r="M8811" s="5">
        <f t="shared" si="1050"/>
        <v>2013</v>
      </c>
    </row>
    <row r="8812" spans="1:13" ht="15" x14ac:dyDescent="0.25">
      <c r="A8812" s="1">
        <f>DATE(2013,10,12)</f>
        <v>41559</v>
      </c>
      <c r="B8812" t="s">
        <v>16</v>
      </c>
      <c r="C8812" t="s">
        <v>8</v>
      </c>
      <c r="D8812" s="3">
        <v>1498.7504000000001</v>
      </c>
      <c r="E8812" s="3">
        <v>0</v>
      </c>
      <c r="F8812" t="s">
        <v>45</v>
      </c>
      <c r="G8812" s="3">
        <f t="shared" si="1044"/>
        <v>-1498.7504000000001</v>
      </c>
      <c r="H8812" s="3">
        <f t="shared" si="1045"/>
        <v>1498.7504000000001</v>
      </c>
      <c r="I8812" s="5" t="str">
        <f t="shared" si="1046"/>
        <v>017</v>
      </c>
      <c r="J8812" s="5" t="str">
        <f t="shared" si="1047"/>
        <v>2210</v>
      </c>
      <c r="K8812" s="5" t="str">
        <f t="shared" si="1048"/>
        <v>000</v>
      </c>
      <c r="L8812" s="5">
        <f t="shared" si="1049"/>
        <v>10</v>
      </c>
      <c r="M8812" s="5">
        <f t="shared" si="1050"/>
        <v>2013</v>
      </c>
    </row>
    <row r="8813" spans="1:13" ht="15" x14ac:dyDescent="0.25">
      <c r="A8813" s="1">
        <f>DATE(2013,10,12)</f>
        <v>41559</v>
      </c>
      <c r="B8813" t="s">
        <v>17</v>
      </c>
      <c r="C8813" t="s">
        <v>9</v>
      </c>
      <c r="D8813" s="3">
        <v>276.00720000000001</v>
      </c>
      <c r="E8813" s="3">
        <v>0</v>
      </c>
      <c r="F8813" t="s">
        <v>45</v>
      </c>
      <c r="G8813" s="3">
        <f t="shared" si="1044"/>
        <v>-276.00720000000001</v>
      </c>
      <c r="H8813" s="3">
        <f t="shared" si="1045"/>
        <v>276.00720000000001</v>
      </c>
      <c r="I8813" s="5" t="str">
        <f t="shared" si="1046"/>
        <v>017</v>
      </c>
      <c r="J8813" s="5" t="str">
        <f t="shared" si="1047"/>
        <v>2220</v>
      </c>
      <c r="K8813" s="5" t="str">
        <f t="shared" si="1048"/>
        <v>000</v>
      </c>
      <c r="L8813" s="5">
        <f t="shared" si="1049"/>
        <v>10</v>
      </c>
      <c r="M8813" s="5">
        <f t="shared" si="1050"/>
        <v>2013</v>
      </c>
    </row>
    <row r="8814" spans="1:13" ht="15" x14ac:dyDescent="0.25">
      <c r="A8814" s="1">
        <f>DATE(2013,10,12)</f>
        <v>41559</v>
      </c>
      <c r="B8814" t="s">
        <v>18</v>
      </c>
      <c r="C8814" t="s">
        <v>10</v>
      </c>
      <c r="D8814" s="3">
        <v>122.256</v>
      </c>
      <c r="E8814" s="3">
        <v>0</v>
      </c>
      <c r="F8814" t="s">
        <v>45</v>
      </c>
      <c r="G8814" s="3">
        <f t="shared" si="1044"/>
        <v>-122.256</v>
      </c>
      <c r="H8814" s="3">
        <f t="shared" si="1045"/>
        <v>122.256</v>
      </c>
      <c r="I8814" s="5" t="str">
        <f t="shared" si="1046"/>
        <v>017</v>
      </c>
      <c r="J8814" s="5" t="str">
        <f t="shared" si="1047"/>
        <v>2230</v>
      </c>
      <c r="K8814" s="5" t="str">
        <f t="shared" si="1048"/>
        <v>000</v>
      </c>
      <c r="L8814" s="5">
        <f t="shared" si="1049"/>
        <v>10</v>
      </c>
      <c r="M8814" s="5">
        <f t="shared" si="1050"/>
        <v>2013</v>
      </c>
    </row>
    <row r="8815" spans="1:13" ht="15" x14ac:dyDescent="0.25">
      <c r="A8815" s="1">
        <f>DATE(2013,10,13)</f>
        <v>41560</v>
      </c>
      <c r="B8815" t="s">
        <v>15</v>
      </c>
      <c r="C8815" t="s">
        <v>6</v>
      </c>
      <c r="D8815" s="3">
        <v>4232.5374000000002</v>
      </c>
      <c r="E8815" s="3">
        <v>0</v>
      </c>
      <c r="F8815" t="s">
        <v>45</v>
      </c>
      <c r="G8815" s="3">
        <f t="shared" si="1044"/>
        <v>-4232.5374000000002</v>
      </c>
      <c r="H8815" s="3">
        <f t="shared" si="1045"/>
        <v>4232.5374000000002</v>
      </c>
      <c r="I8815" s="5" t="str">
        <f t="shared" si="1046"/>
        <v>017</v>
      </c>
      <c r="J8815" s="5" t="str">
        <f t="shared" si="1047"/>
        <v>2100</v>
      </c>
      <c r="K8815" s="5" t="str">
        <f t="shared" si="1048"/>
        <v>000</v>
      </c>
      <c r="L8815" s="5">
        <f t="shared" si="1049"/>
        <v>10</v>
      </c>
      <c r="M8815" s="5">
        <f t="shared" si="1050"/>
        <v>2013</v>
      </c>
    </row>
    <row r="8816" spans="1:13" ht="15" x14ac:dyDescent="0.25">
      <c r="A8816" s="1">
        <f>DATE(2013,10,13)</f>
        <v>41560</v>
      </c>
      <c r="B8816" t="s">
        <v>16</v>
      </c>
      <c r="C8816" t="s">
        <v>8</v>
      </c>
      <c r="D8816" s="3">
        <v>1015.3224</v>
      </c>
      <c r="E8816" s="3">
        <v>0</v>
      </c>
      <c r="F8816" t="s">
        <v>45</v>
      </c>
      <c r="G8816" s="3">
        <f t="shared" si="1044"/>
        <v>-1015.3224</v>
      </c>
      <c r="H8816" s="3">
        <f t="shared" si="1045"/>
        <v>1015.3224</v>
      </c>
      <c r="I8816" s="5" t="str">
        <f t="shared" si="1046"/>
        <v>017</v>
      </c>
      <c r="J8816" s="5" t="str">
        <f t="shared" si="1047"/>
        <v>2210</v>
      </c>
      <c r="K8816" s="5" t="str">
        <f t="shared" si="1048"/>
        <v>000</v>
      </c>
      <c r="L8816" s="5">
        <f t="shared" si="1049"/>
        <v>10</v>
      </c>
      <c r="M8816" s="5">
        <f t="shared" si="1050"/>
        <v>2013</v>
      </c>
    </row>
    <row r="8817" spans="1:13" ht="15" x14ac:dyDescent="0.25">
      <c r="A8817" s="1">
        <f>DATE(2013,10,13)</f>
        <v>41560</v>
      </c>
      <c r="B8817" t="s">
        <v>17</v>
      </c>
      <c r="C8817" t="s">
        <v>9</v>
      </c>
      <c r="D8817" s="3">
        <v>128.66139999999999</v>
      </c>
      <c r="E8817" s="3">
        <v>0</v>
      </c>
      <c r="F8817" t="s">
        <v>45</v>
      </c>
      <c r="G8817" s="3">
        <f t="shared" si="1044"/>
        <v>-128.66139999999999</v>
      </c>
      <c r="H8817" s="3">
        <f t="shared" si="1045"/>
        <v>128.66139999999999</v>
      </c>
      <c r="I8817" s="5" t="str">
        <f t="shared" si="1046"/>
        <v>017</v>
      </c>
      <c r="J8817" s="5" t="str">
        <f t="shared" si="1047"/>
        <v>2220</v>
      </c>
      <c r="K8817" s="5" t="str">
        <f t="shared" si="1048"/>
        <v>000</v>
      </c>
      <c r="L8817" s="5">
        <f t="shared" si="1049"/>
        <v>10</v>
      </c>
      <c r="M8817" s="5">
        <f t="shared" si="1050"/>
        <v>2013</v>
      </c>
    </row>
    <row r="8818" spans="1:13" ht="15" x14ac:dyDescent="0.25">
      <c r="A8818" s="1">
        <f>DATE(2013,10,13)</f>
        <v>41560</v>
      </c>
      <c r="B8818" t="s">
        <v>18</v>
      </c>
      <c r="C8818" t="s">
        <v>10</v>
      </c>
      <c r="D8818" s="3">
        <v>42.0732</v>
      </c>
      <c r="E8818" s="3">
        <v>0</v>
      </c>
      <c r="F8818" t="s">
        <v>45</v>
      </c>
      <c r="G8818" s="3">
        <f t="shared" si="1044"/>
        <v>-42.0732</v>
      </c>
      <c r="H8818" s="3">
        <f t="shared" si="1045"/>
        <v>42.0732</v>
      </c>
      <c r="I8818" s="5" t="str">
        <f t="shared" si="1046"/>
        <v>017</v>
      </c>
      <c r="J8818" s="5" t="str">
        <f t="shared" si="1047"/>
        <v>2230</v>
      </c>
      <c r="K8818" s="5" t="str">
        <f t="shared" si="1048"/>
        <v>000</v>
      </c>
      <c r="L8818" s="5">
        <f t="shared" si="1049"/>
        <v>10</v>
      </c>
      <c r="M8818" s="5">
        <f t="shared" si="1050"/>
        <v>2013</v>
      </c>
    </row>
    <row r="8819" spans="1:13" ht="15" x14ac:dyDescent="0.25">
      <c r="A8819" s="1">
        <f>DATE(2013,10,7)</f>
        <v>41554</v>
      </c>
      <c r="B8819" t="s">
        <v>19</v>
      </c>
      <c r="C8819" t="s">
        <v>6</v>
      </c>
      <c r="D8819" s="3">
        <v>2730.1522</v>
      </c>
      <c r="E8819" s="3">
        <v>0</v>
      </c>
      <c r="F8819" t="s">
        <v>45</v>
      </c>
      <c r="G8819" s="3">
        <f t="shared" si="1044"/>
        <v>-2730.1522</v>
      </c>
      <c r="H8819" s="3">
        <f t="shared" si="1045"/>
        <v>2730.1522</v>
      </c>
      <c r="I8819" s="5" t="str">
        <f t="shared" si="1046"/>
        <v>018</v>
      </c>
      <c r="J8819" s="5" t="str">
        <f t="shared" si="1047"/>
        <v>2100</v>
      </c>
      <c r="K8819" s="5" t="str">
        <f t="shared" si="1048"/>
        <v>000</v>
      </c>
      <c r="L8819" s="5">
        <f t="shared" si="1049"/>
        <v>10</v>
      </c>
      <c r="M8819" s="5">
        <f t="shared" si="1050"/>
        <v>2013</v>
      </c>
    </row>
    <row r="8820" spans="1:13" ht="15" x14ac:dyDescent="0.25">
      <c r="A8820" s="1">
        <f>DATE(2013,10,7)</f>
        <v>41554</v>
      </c>
      <c r="B8820" t="s">
        <v>20</v>
      </c>
      <c r="C8820" t="s">
        <v>8</v>
      </c>
      <c r="D8820" s="3">
        <v>446.43300000000005</v>
      </c>
      <c r="E8820" s="3">
        <v>0</v>
      </c>
      <c r="F8820" t="s">
        <v>45</v>
      </c>
      <c r="G8820" s="3">
        <f t="shared" si="1044"/>
        <v>-446.43300000000005</v>
      </c>
      <c r="H8820" s="3">
        <f t="shared" si="1045"/>
        <v>446.43300000000005</v>
      </c>
      <c r="I8820" s="5" t="str">
        <f t="shared" si="1046"/>
        <v>018</v>
      </c>
      <c r="J8820" s="5" t="str">
        <f t="shared" si="1047"/>
        <v>2210</v>
      </c>
      <c r="K8820" s="5" t="str">
        <f t="shared" si="1048"/>
        <v>000</v>
      </c>
      <c r="L8820" s="5">
        <f t="shared" si="1049"/>
        <v>10</v>
      </c>
      <c r="M8820" s="5">
        <f t="shared" si="1050"/>
        <v>2013</v>
      </c>
    </row>
    <row r="8821" spans="1:13" ht="15" x14ac:dyDescent="0.25">
      <c r="A8821" s="1">
        <f>DATE(2013,10,7)</f>
        <v>41554</v>
      </c>
      <c r="B8821" t="s">
        <v>21</v>
      </c>
      <c r="C8821" t="s">
        <v>9</v>
      </c>
      <c r="D8821" s="3">
        <v>127.4448</v>
      </c>
      <c r="E8821" s="3">
        <v>0</v>
      </c>
      <c r="F8821" t="s">
        <v>45</v>
      </c>
      <c r="G8821" s="3">
        <f t="shared" si="1044"/>
        <v>-127.4448</v>
      </c>
      <c r="H8821" s="3">
        <f t="shared" si="1045"/>
        <v>127.4448</v>
      </c>
      <c r="I8821" s="5" t="str">
        <f t="shared" si="1046"/>
        <v>018</v>
      </c>
      <c r="J8821" s="5" t="str">
        <f t="shared" si="1047"/>
        <v>2220</v>
      </c>
      <c r="K8821" s="5" t="str">
        <f t="shared" si="1048"/>
        <v>000</v>
      </c>
      <c r="L8821" s="5">
        <f t="shared" si="1049"/>
        <v>10</v>
      </c>
      <c r="M8821" s="5">
        <f t="shared" si="1050"/>
        <v>2013</v>
      </c>
    </row>
    <row r="8822" spans="1:13" ht="15" x14ac:dyDescent="0.25">
      <c r="A8822" s="1">
        <f>DATE(2013,10,7)</f>
        <v>41554</v>
      </c>
      <c r="B8822" t="s">
        <v>22</v>
      </c>
      <c r="C8822" t="s">
        <v>10</v>
      </c>
      <c r="D8822" s="3">
        <v>40.269600000000004</v>
      </c>
      <c r="E8822" s="3">
        <v>0</v>
      </c>
      <c r="F8822" t="s">
        <v>45</v>
      </c>
      <c r="G8822" s="3">
        <f t="shared" si="1044"/>
        <v>-40.269600000000004</v>
      </c>
      <c r="H8822" s="3">
        <f t="shared" si="1045"/>
        <v>40.269600000000004</v>
      </c>
      <c r="I8822" s="5" t="str">
        <f t="shared" si="1046"/>
        <v>018</v>
      </c>
      <c r="J8822" s="5" t="str">
        <f t="shared" si="1047"/>
        <v>2230</v>
      </c>
      <c r="K8822" s="5" t="str">
        <f t="shared" si="1048"/>
        <v>000</v>
      </c>
      <c r="L8822" s="5">
        <f t="shared" si="1049"/>
        <v>10</v>
      </c>
      <c r="M8822" s="5">
        <f t="shared" si="1050"/>
        <v>2013</v>
      </c>
    </row>
    <row r="8823" spans="1:13" ht="15" x14ac:dyDescent="0.25">
      <c r="A8823" s="1">
        <f>DATE(2013,10,8)</f>
        <v>41555</v>
      </c>
      <c r="B8823" t="s">
        <v>19</v>
      </c>
      <c r="C8823" t="s">
        <v>6</v>
      </c>
      <c r="D8823" s="3">
        <v>4118.1457</v>
      </c>
      <c r="E8823" s="3">
        <v>0</v>
      </c>
      <c r="F8823" t="s">
        <v>45</v>
      </c>
      <c r="G8823" s="3">
        <f t="shared" si="1044"/>
        <v>-4118.1457</v>
      </c>
      <c r="H8823" s="3">
        <f t="shared" si="1045"/>
        <v>4118.1457</v>
      </c>
      <c r="I8823" s="5" t="str">
        <f t="shared" si="1046"/>
        <v>018</v>
      </c>
      <c r="J8823" s="5" t="str">
        <f t="shared" si="1047"/>
        <v>2100</v>
      </c>
      <c r="K8823" s="5" t="str">
        <f t="shared" si="1048"/>
        <v>000</v>
      </c>
      <c r="L8823" s="5">
        <f t="shared" si="1049"/>
        <v>10</v>
      </c>
      <c r="M8823" s="5">
        <f t="shared" si="1050"/>
        <v>2013</v>
      </c>
    </row>
    <row r="8824" spans="1:13" ht="15" x14ac:dyDescent="0.25">
      <c r="A8824" s="1">
        <f>DATE(2013,10,8)</f>
        <v>41555</v>
      </c>
      <c r="B8824" t="s">
        <v>20</v>
      </c>
      <c r="C8824" t="s">
        <v>8</v>
      </c>
      <c r="D8824" s="3">
        <v>575.96619999999996</v>
      </c>
      <c r="E8824" s="3">
        <v>0</v>
      </c>
      <c r="F8824" t="s">
        <v>45</v>
      </c>
      <c r="G8824" s="3">
        <f t="shared" si="1044"/>
        <v>-575.96619999999996</v>
      </c>
      <c r="H8824" s="3">
        <f t="shared" si="1045"/>
        <v>575.96619999999996</v>
      </c>
      <c r="I8824" s="5" t="str">
        <f t="shared" si="1046"/>
        <v>018</v>
      </c>
      <c r="J8824" s="5" t="str">
        <f t="shared" si="1047"/>
        <v>2210</v>
      </c>
      <c r="K8824" s="5" t="str">
        <f t="shared" si="1048"/>
        <v>000</v>
      </c>
      <c r="L8824" s="5">
        <f t="shared" si="1049"/>
        <v>10</v>
      </c>
      <c r="M8824" s="5">
        <f t="shared" si="1050"/>
        <v>2013</v>
      </c>
    </row>
    <row r="8825" spans="1:13" ht="15" x14ac:dyDescent="0.25">
      <c r="A8825" s="1">
        <f>DATE(2013,10,8)</f>
        <v>41555</v>
      </c>
      <c r="B8825" t="s">
        <v>21</v>
      </c>
      <c r="C8825" t="s">
        <v>9</v>
      </c>
      <c r="D8825" s="3">
        <v>152.232</v>
      </c>
      <c r="E8825" s="3">
        <v>0</v>
      </c>
      <c r="F8825" t="s">
        <v>45</v>
      </c>
      <c r="G8825" s="3">
        <f t="shared" si="1044"/>
        <v>-152.232</v>
      </c>
      <c r="H8825" s="3">
        <f t="shared" si="1045"/>
        <v>152.232</v>
      </c>
      <c r="I8825" s="5" t="str">
        <f t="shared" si="1046"/>
        <v>018</v>
      </c>
      <c r="J8825" s="5" t="str">
        <f t="shared" si="1047"/>
        <v>2220</v>
      </c>
      <c r="K8825" s="5" t="str">
        <f t="shared" si="1048"/>
        <v>000</v>
      </c>
      <c r="L8825" s="5">
        <f t="shared" si="1049"/>
        <v>10</v>
      </c>
      <c r="M8825" s="5">
        <f t="shared" si="1050"/>
        <v>2013</v>
      </c>
    </row>
    <row r="8826" spans="1:13" ht="15" x14ac:dyDescent="0.25">
      <c r="A8826" s="1">
        <f>DATE(2013,10,8)</f>
        <v>41555</v>
      </c>
      <c r="B8826" t="s">
        <v>22</v>
      </c>
      <c r="C8826" t="s">
        <v>10</v>
      </c>
      <c r="D8826" s="3">
        <v>23.423200000000001</v>
      </c>
      <c r="E8826" s="3">
        <v>0</v>
      </c>
      <c r="F8826" t="s">
        <v>45</v>
      </c>
      <c r="G8826" s="3">
        <f t="shared" si="1044"/>
        <v>-23.423200000000001</v>
      </c>
      <c r="H8826" s="3">
        <f t="shared" si="1045"/>
        <v>23.423200000000001</v>
      </c>
      <c r="I8826" s="5" t="str">
        <f t="shared" si="1046"/>
        <v>018</v>
      </c>
      <c r="J8826" s="5" t="str">
        <f t="shared" si="1047"/>
        <v>2230</v>
      </c>
      <c r="K8826" s="5" t="str">
        <f t="shared" si="1048"/>
        <v>000</v>
      </c>
      <c r="L8826" s="5">
        <f t="shared" si="1049"/>
        <v>10</v>
      </c>
      <c r="M8826" s="5">
        <f t="shared" si="1050"/>
        <v>2013</v>
      </c>
    </row>
    <row r="8827" spans="1:13" ht="15" x14ac:dyDescent="0.25">
      <c r="A8827" s="1">
        <f>DATE(2013,10,9)</f>
        <v>41556</v>
      </c>
      <c r="B8827" t="s">
        <v>19</v>
      </c>
      <c r="C8827" t="s">
        <v>6</v>
      </c>
      <c r="D8827" s="3">
        <v>4405.3668000000007</v>
      </c>
      <c r="E8827" s="3">
        <v>0</v>
      </c>
      <c r="F8827" t="s">
        <v>45</v>
      </c>
      <c r="G8827" s="3">
        <f t="shared" si="1044"/>
        <v>-4405.3668000000007</v>
      </c>
      <c r="H8827" s="3">
        <f t="shared" si="1045"/>
        <v>4405.3668000000007</v>
      </c>
      <c r="I8827" s="5" t="str">
        <f t="shared" si="1046"/>
        <v>018</v>
      </c>
      <c r="J8827" s="5" t="str">
        <f t="shared" si="1047"/>
        <v>2100</v>
      </c>
      <c r="K8827" s="5" t="str">
        <f t="shared" si="1048"/>
        <v>000</v>
      </c>
      <c r="L8827" s="5">
        <f t="shared" si="1049"/>
        <v>10</v>
      </c>
      <c r="M8827" s="5">
        <f t="shared" si="1050"/>
        <v>2013</v>
      </c>
    </row>
    <row r="8828" spans="1:13" ht="15" x14ac:dyDescent="0.25">
      <c r="A8828" s="1">
        <f>DATE(2013,10,9)</f>
        <v>41556</v>
      </c>
      <c r="B8828" t="s">
        <v>20</v>
      </c>
      <c r="C8828" t="s">
        <v>8</v>
      </c>
      <c r="D8828" s="3">
        <v>846.37799999999993</v>
      </c>
      <c r="E8828" s="3">
        <v>0</v>
      </c>
      <c r="F8828" t="s">
        <v>45</v>
      </c>
      <c r="G8828" s="3">
        <f t="shared" si="1044"/>
        <v>-846.37799999999993</v>
      </c>
      <c r="H8828" s="3">
        <f t="shared" si="1045"/>
        <v>846.37799999999993</v>
      </c>
      <c r="I8828" s="5" t="str">
        <f t="shared" si="1046"/>
        <v>018</v>
      </c>
      <c r="J8828" s="5" t="str">
        <f t="shared" si="1047"/>
        <v>2210</v>
      </c>
      <c r="K8828" s="5" t="str">
        <f t="shared" si="1048"/>
        <v>000</v>
      </c>
      <c r="L8828" s="5">
        <f t="shared" si="1049"/>
        <v>10</v>
      </c>
      <c r="M8828" s="5">
        <f t="shared" si="1050"/>
        <v>2013</v>
      </c>
    </row>
    <row r="8829" spans="1:13" ht="15" x14ac:dyDescent="0.25">
      <c r="A8829" s="1">
        <f>DATE(2013,10,9)</f>
        <v>41556</v>
      </c>
      <c r="B8829" t="s">
        <v>21</v>
      </c>
      <c r="C8829" t="s">
        <v>9</v>
      </c>
      <c r="D8829" s="3">
        <v>185.13220000000001</v>
      </c>
      <c r="E8829" s="3">
        <v>0</v>
      </c>
      <c r="F8829" t="s">
        <v>45</v>
      </c>
      <c r="G8829" s="3">
        <f t="shared" si="1044"/>
        <v>-185.13220000000001</v>
      </c>
      <c r="H8829" s="3">
        <f t="shared" si="1045"/>
        <v>185.13220000000001</v>
      </c>
      <c r="I8829" s="5" t="str">
        <f t="shared" si="1046"/>
        <v>018</v>
      </c>
      <c r="J8829" s="5" t="str">
        <f t="shared" si="1047"/>
        <v>2220</v>
      </c>
      <c r="K8829" s="5" t="str">
        <f t="shared" si="1048"/>
        <v>000</v>
      </c>
      <c r="L8829" s="5">
        <f t="shared" si="1049"/>
        <v>10</v>
      </c>
      <c r="M8829" s="5">
        <f t="shared" si="1050"/>
        <v>2013</v>
      </c>
    </row>
    <row r="8830" spans="1:13" ht="15" x14ac:dyDescent="0.25">
      <c r="A8830" s="1">
        <f>DATE(2013,10,9)</f>
        <v>41556</v>
      </c>
      <c r="B8830" t="s">
        <v>22</v>
      </c>
      <c r="C8830" t="s">
        <v>10</v>
      </c>
      <c r="D8830" s="3">
        <v>36.810899999999997</v>
      </c>
      <c r="E8830" s="3">
        <v>0</v>
      </c>
      <c r="F8830" t="s">
        <v>45</v>
      </c>
      <c r="G8830" s="3">
        <f t="shared" si="1044"/>
        <v>-36.810899999999997</v>
      </c>
      <c r="H8830" s="3">
        <f t="shared" si="1045"/>
        <v>36.810899999999997</v>
      </c>
      <c r="I8830" s="5" t="str">
        <f t="shared" si="1046"/>
        <v>018</v>
      </c>
      <c r="J8830" s="5" t="str">
        <f t="shared" si="1047"/>
        <v>2230</v>
      </c>
      <c r="K8830" s="5" t="str">
        <f t="shared" si="1048"/>
        <v>000</v>
      </c>
      <c r="L8830" s="5">
        <f t="shared" si="1049"/>
        <v>10</v>
      </c>
      <c r="M8830" s="5">
        <f t="shared" si="1050"/>
        <v>2013</v>
      </c>
    </row>
    <row r="8831" spans="1:13" ht="15" x14ac:dyDescent="0.25">
      <c r="A8831" s="1">
        <f>DATE(2013,10,10)</f>
        <v>41557</v>
      </c>
      <c r="B8831" t="s">
        <v>19</v>
      </c>
      <c r="C8831" t="s">
        <v>6</v>
      </c>
      <c r="D8831" s="3">
        <v>2701.3139999999999</v>
      </c>
      <c r="E8831" s="3">
        <v>0</v>
      </c>
      <c r="F8831" t="s">
        <v>45</v>
      </c>
      <c r="G8831" s="3">
        <f t="shared" si="1044"/>
        <v>-2701.3139999999999</v>
      </c>
      <c r="H8831" s="3">
        <f t="shared" si="1045"/>
        <v>2701.3139999999999</v>
      </c>
      <c r="I8831" s="5" t="str">
        <f t="shared" si="1046"/>
        <v>018</v>
      </c>
      <c r="J8831" s="5" t="str">
        <f t="shared" si="1047"/>
        <v>2100</v>
      </c>
      <c r="K8831" s="5" t="str">
        <f t="shared" si="1048"/>
        <v>000</v>
      </c>
      <c r="L8831" s="5">
        <f t="shared" si="1049"/>
        <v>10</v>
      </c>
      <c r="M8831" s="5">
        <f t="shared" si="1050"/>
        <v>2013</v>
      </c>
    </row>
    <row r="8832" spans="1:13" ht="15" x14ac:dyDescent="0.25">
      <c r="A8832" s="1">
        <f>DATE(2013,10,10)</f>
        <v>41557</v>
      </c>
      <c r="B8832" t="s">
        <v>20</v>
      </c>
      <c r="C8832" t="s">
        <v>8</v>
      </c>
      <c r="D8832" s="3">
        <v>1037.6279999999999</v>
      </c>
      <c r="E8832" s="3">
        <v>0</v>
      </c>
      <c r="F8832" t="s">
        <v>45</v>
      </c>
      <c r="G8832" s="3">
        <f t="shared" si="1044"/>
        <v>-1037.6279999999999</v>
      </c>
      <c r="H8832" s="3">
        <f t="shared" si="1045"/>
        <v>1037.6279999999999</v>
      </c>
      <c r="I8832" s="5" t="str">
        <f t="shared" si="1046"/>
        <v>018</v>
      </c>
      <c r="J8832" s="5" t="str">
        <f t="shared" si="1047"/>
        <v>2210</v>
      </c>
      <c r="K8832" s="5" t="str">
        <f t="shared" si="1048"/>
        <v>000</v>
      </c>
      <c r="L8832" s="5">
        <f t="shared" si="1049"/>
        <v>10</v>
      </c>
      <c r="M8832" s="5">
        <f t="shared" si="1050"/>
        <v>2013</v>
      </c>
    </row>
    <row r="8833" spans="1:13" ht="15" x14ac:dyDescent="0.25">
      <c r="A8833" s="1">
        <f>DATE(2013,10,10)</f>
        <v>41557</v>
      </c>
      <c r="B8833" t="s">
        <v>21</v>
      </c>
      <c r="C8833" t="s">
        <v>9</v>
      </c>
      <c r="D8833" s="3">
        <v>279.2713</v>
      </c>
      <c r="E8833" s="3">
        <v>0</v>
      </c>
      <c r="F8833" t="s">
        <v>45</v>
      </c>
      <c r="G8833" s="3">
        <f t="shared" si="1044"/>
        <v>-279.2713</v>
      </c>
      <c r="H8833" s="3">
        <f t="shared" si="1045"/>
        <v>279.2713</v>
      </c>
      <c r="I8833" s="5" t="str">
        <f t="shared" si="1046"/>
        <v>018</v>
      </c>
      <c r="J8833" s="5" t="str">
        <f t="shared" si="1047"/>
        <v>2220</v>
      </c>
      <c r="K8833" s="5" t="str">
        <f t="shared" si="1048"/>
        <v>000</v>
      </c>
      <c r="L8833" s="5">
        <f t="shared" si="1049"/>
        <v>10</v>
      </c>
      <c r="M8833" s="5">
        <f t="shared" si="1050"/>
        <v>2013</v>
      </c>
    </row>
    <row r="8834" spans="1:13" ht="15" x14ac:dyDescent="0.25">
      <c r="A8834" s="1">
        <f>DATE(2013,10,10)</f>
        <v>41557</v>
      </c>
      <c r="B8834" t="s">
        <v>22</v>
      </c>
      <c r="C8834" t="s">
        <v>10</v>
      </c>
      <c r="D8834" s="3">
        <v>7.8637999999999995</v>
      </c>
      <c r="E8834" s="3">
        <v>0</v>
      </c>
      <c r="F8834" t="s">
        <v>45</v>
      </c>
      <c r="G8834" s="3">
        <f t="shared" ref="G8834:G8897" si="1051">E8834-D8834</f>
        <v>-7.8637999999999995</v>
      </c>
      <c r="H8834" s="3">
        <f t="shared" ref="H8834:H8897" si="1052">ABS(G8834)</f>
        <v>7.8637999999999995</v>
      </c>
      <c r="I8834" s="5" t="str">
        <f t="shared" ref="I8834:I8897" si="1053">MID(B8834,1,3)</f>
        <v>018</v>
      </c>
      <c r="J8834" s="5" t="str">
        <f t="shared" ref="J8834:J8897" si="1054">MID(B8834,5,4)</f>
        <v>2230</v>
      </c>
      <c r="K8834" s="5" t="str">
        <f t="shared" ref="K8834:K8897" si="1055">MID(B8834,10,3)</f>
        <v>000</v>
      </c>
      <c r="L8834" s="5">
        <f t="shared" ref="L8834:L8897" si="1056">MONTH(A8834)</f>
        <v>10</v>
      </c>
      <c r="M8834" s="5">
        <f t="shared" ref="M8834:M8897" si="1057">YEAR(A8834)</f>
        <v>2013</v>
      </c>
    </row>
    <row r="8835" spans="1:13" ht="15" x14ac:dyDescent="0.25">
      <c r="A8835" s="1">
        <f>DATE(2013,10,11)</f>
        <v>41558</v>
      </c>
      <c r="B8835" t="s">
        <v>19</v>
      </c>
      <c r="C8835" t="s">
        <v>6</v>
      </c>
      <c r="D8835" s="3">
        <v>5656.050400000001</v>
      </c>
      <c r="E8835" s="3">
        <v>0</v>
      </c>
      <c r="F8835" t="s">
        <v>45</v>
      </c>
      <c r="G8835" s="3">
        <f t="shared" si="1051"/>
        <v>-5656.050400000001</v>
      </c>
      <c r="H8835" s="3">
        <f t="shared" si="1052"/>
        <v>5656.050400000001</v>
      </c>
      <c r="I8835" s="5" t="str">
        <f t="shared" si="1053"/>
        <v>018</v>
      </c>
      <c r="J8835" s="5" t="str">
        <f t="shared" si="1054"/>
        <v>2100</v>
      </c>
      <c r="K8835" s="5" t="str">
        <f t="shared" si="1055"/>
        <v>000</v>
      </c>
      <c r="L8835" s="5">
        <f t="shared" si="1056"/>
        <v>10</v>
      </c>
      <c r="M8835" s="5">
        <f t="shared" si="1057"/>
        <v>2013</v>
      </c>
    </row>
    <row r="8836" spans="1:13" ht="15" x14ac:dyDescent="0.25">
      <c r="A8836" s="1">
        <f>DATE(2013,10,11)</f>
        <v>41558</v>
      </c>
      <c r="B8836" t="s">
        <v>20</v>
      </c>
      <c r="C8836" t="s">
        <v>8</v>
      </c>
      <c r="D8836" s="3">
        <v>2047.2119999999998</v>
      </c>
      <c r="E8836" s="3">
        <v>0</v>
      </c>
      <c r="F8836" t="s">
        <v>45</v>
      </c>
      <c r="G8836" s="3">
        <f t="shared" si="1051"/>
        <v>-2047.2119999999998</v>
      </c>
      <c r="H8836" s="3">
        <f t="shared" si="1052"/>
        <v>2047.2119999999998</v>
      </c>
      <c r="I8836" s="5" t="str">
        <f t="shared" si="1053"/>
        <v>018</v>
      </c>
      <c r="J8836" s="5" t="str">
        <f t="shared" si="1054"/>
        <v>2210</v>
      </c>
      <c r="K8836" s="5" t="str">
        <f t="shared" si="1055"/>
        <v>000</v>
      </c>
      <c r="L8836" s="5">
        <f t="shared" si="1056"/>
        <v>10</v>
      </c>
      <c r="M8836" s="5">
        <f t="shared" si="1057"/>
        <v>2013</v>
      </c>
    </row>
    <row r="8837" spans="1:13" ht="15" x14ac:dyDescent="0.25">
      <c r="A8837" s="1">
        <f>DATE(2013,10,11)</f>
        <v>41558</v>
      </c>
      <c r="B8837" t="s">
        <v>21</v>
      </c>
      <c r="C8837" t="s">
        <v>9</v>
      </c>
      <c r="D8837" s="3">
        <v>562.88400000000001</v>
      </c>
      <c r="E8837" s="3">
        <v>0</v>
      </c>
      <c r="F8837" t="s">
        <v>45</v>
      </c>
      <c r="G8837" s="3">
        <f t="shared" si="1051"/>
        <v>-562.88400000000001</v>
      </c>
      <c r="H8837" s="3">
        <f t="shared" si="1052"/>
        <v>562.88400000000001</v>
      </c>
      <c r="I8837" s="5" t="str">
        <f t="shared" si="1053"/>
        <v>018</v>
      </c>
      <c r="J8837" s="5" t="str">
        <f t="shared" si="1054"/>
        <v>2220</v>
      </c>
      <c r="K8837" s="5" t="str">
        <f t="shared" si="1055"/>
        <v>000</v>
      </c>
      <c r="L8837" s="5">
        <f t="shared" si="1056"/>
        <v>10</v>
      </c>
      <c r="M8837" s="5">
        <f t="shared" si="1057"/>
        <v>2013</v>
      </c>
    </row>
    <row r="8838" spans="1:13" ht="15" x14ac:dyDescent="0.25">
      <c r="A8838" s="1">
        <f>DATE(2013,10,11)</f>
        <v>41558</v>
      </c>
      <c r="B8838" t="s">
        <v>22</v>
      </c>
      <c r="C8838" t="s">
        <v>10</v>
      </c>
      <c r="D8838" s="3">
        <v>56.697299999999998</v>
      </c>
      <c r="E8838" s="3">
        <v>0</v>
      </c>
      <c r="F8838" t="s">
        <v>45</v>
      </c>
      <c r="G8838" s="3">
        <f t="shared" si="1051"/>
        <v>-56.697299999999998</v>
      </c>
      <c r="H8838" s="3">
        <f t="shared" si="1052"/>
        <v>56.697299999999998</v>
      </c>
      <c r="I8838" s="5" t="str">
        <f t="shared" si="1053"/>
        <v>018</v>
      </c>
      <c r="J8838" s="5" t="str">
        <f t="shared" si="1054"/>
        <v>2230</v>
      </c>
      <c r="K8838" s="5" t="str">
        <f t="shared" si="1055"/>
        <v>000</v>
      </c>
      <c r="L8838" s="5">
        <f t="shared" si="1056"/>
        <v>10</v>
      </c>
      <c r="M8838" s="5">
        <f t="shared" si="1057"/>
        <v>2013</v>
      </c>
    </row>
    <row r="8839" spans="1:13" ht="15" x14ac:dyDescent="0.25">
      <c r="A8839" s="1">
        <f>DATE(2013,10,12)</f>
        <v>41559</v>
      </c>
      <c r="B8839" t="s">
        <v>19</v>
      </c>
      <c r="C8839" t="s">
        <v>6</v>
      </c>
      <c r="D8839" s="3">
        <v>11283.1482</v>
      </c>
      <c r="E8839" s="3">
        <v>0</v>
      </c>
      <c r="F8839" t="s">
        <v>45</v>
      </c>
      <c r="G8839" s="3">
        <f t="shared" si="1051"/>
        <v>-11283.1482</v>
      </c>
      <c r="H8839" s="3">
        <f t="shared" si="1052"/>
        <v>11283.1482</v>
      </c>
      <c r="I8839" s="5" t="str">
        <f t="shared" si="1053"/>
        <v>018</v>
      </c>
      <c r="J8839" s="5" t="str">
        <f t="shared" si="1054"/>
        <v>2100</v>
      </c>
      <c r="K8839" s="5" t="str">
        <f t="shared" si="1055"/>
        <v>000</v>
      </c>
      <c r="L8839" s="5">
        <f t="shared" si="1056"/>
        <v>10</v>
      </c>
      <c r="M8839" s="5">
        <f t="shared" si="1057"/>
        <v>2013</v>
      </c>
    </row>
    <row r="8840" spans="1:13" ht="15" x14ac:dyDescent="0.25">
      <c r="A8840" s="1">
        <f>DATE(2013,10,12)</f>
        <v>41559</v>
      </c>
      <c r="B8840" t="s">
        <v>20</v>
      </c>
      <c r="C8840" t="s">
        <v>8</v>
      </c>
      <c r="D8840" s="3">
        <v>3057.0400000000004</v>
      </c>
      <c r="E8840" s="3">
        <v>0</v>
      </c>
      <c r="F8840" t="s">
        <v>45</v>
      </c>
      <c r="G8840" s="3">
        <f t="shared" si="1051"/>
        <v>-3057.0400000000004</v>
      </c>
      <c r="H8840" s="3">
        <f t="shared" si="1052"/>
        <v>3057.0400000000004</v>
      </c>
      <c r="I8840" s="5" t="str">
        <f t="shared" si="1053"/>
        <v>018</v>
      </c>
      <c r="J8840" s="5" t="str">
        <f t="shared" si="1054"/>
        <v>2210</v>
      </c>
      <c r="K8840" s="5" t="str">
        <f t="shared" si="1055"/>
        <v>000</v>
      </c>
      <c r="L8840" s="5">
        <f t="shared" si="1056"/>
        <v>10</v>
      </c>
      <c r="M8840" s="5">
        <f t="shared" si="1057"/>
        <v>2013</v>
      </c>
    </row>
    <row r="8841" spans="1:13" ht="15" x14ac:dyDescent="0.25">
      <c r="A8841" s="1">
        <f>DATE(2013,10,12)</f>
        <v>41559</v>
      </c>
      <c r="B8841" t="s">
        <v>21</v>
      </c>
      <c r="C8841" t="s">
        <v>9</v>
      </c>
      <c r="D8841" s="3">
        <v>898.04449999999986</v>
      </c>
      <c r="E8841" s="3">
        <v>0</v>
      </c>
      <c r="F8841" t="s">
        <v>45</v>
      </c>
      <c r="G8841" s="3">
        <f t="shared" si="1051"/>
        <v>-898.04449999999986</v>
      </c>
      <c r="H8841" s="3">
        <f t="shared" si="1052"/>
        <v>898.04449999999986</v>
      </c>
      <c r="I8841" s="5" t="str">
        <f t="shared" si="1053"/>
        <v>018</v>
      </c>
      <c r="J8841" s="5" t="str">
        <f t="shared" si="1054"/>
        <v>2220</v>
      </c>
      <c r="K8841" s="5" t="str">
        <f t="shared" si="1055"/>
        <v>000</v>
      </c>
      <c r="L8841" s="5">
        <f t="shared" si="1056"/>
        <v>10</v>
      </c>
      <c r="M8841" s="5">
        <f t="shared" si="1057"/>
        <v>2013</v>
      </c>
    </row>
    <row r="8842" spans="1:13" ht="15" x14ac:dyDescent="0.25">
      <c r="A8842" s="1">
        <f>DATE(2013,10,12)</f>
        <v>41559</v>
      </c>
      <c r="B8842" t="s">
        <v>22</v>
      </c>
      <c r="C8842" t="s">
        <v>10</v>
      </c>
      <c r="D8842" s="3">
        <v>94.00800000000001</v>
      </c>
      <c r="E8842" s="3">
        <v>0</v>
      </c>
      <c r="F8842" t="s">
        <v>45</v>
      </c>
      <c r="G8842" s="3">
        <f t="shared" si="1051"/>
        <v>-94.00800000000001</v>
      </c>
      <c r="H8842" s="3">
        <f t="shared" si="1052"/>
        <v>94.00800000000001</v>
      </c>
      <c r="I8842" s="5" t="str">
        <f t="shared" si="1053"/>
        <v>018</v>
      </c>
      <c r="J8842" s="5" t="str">
        <f t="shared" si="1054"/>
        <v>2230</v>
      </c>
      <c r="K8842" s="5" t="str">
        <f t="shared" si="1055"/>
        <v>000</v>
      </c>
      <c r="L8842" s="5">
        <f t="shared" si="1056"/>
        <v>10</v>
      </c>
      <c r="M8842" s="5">
        <f t="shared" si="1057"/>
        <v>2013</v>
      </c>
    </row>
    <row r="8843" spans="1:13" ht="15" x14ac:dyDescent="0.25">
      <c r="A8843" s="1">
        <f>DATE(2013,10,13)</f>
        <v>41560</v>
      </c>
      <c r="B8843" t="s">
        <v>19</v>
      </c>
      <c r="C8843" t="s">
        <v>6</v>
      </c>
      <c r="D8843" s="3">
        <v>11511.6932</v>
      </c>
      <c r="E8843" s="3">
        <v>0</v>
      </c>
      <c r="F8843" t="s">
        <v>45</v>
      </c>
      <c r="G8843" s="3">
        <f t="shared" si="1051"/>
        <v>-11511.6932</v>
      </c>
      <c r="H8843" s="3">
        <f t="shared" si="1052"/>
        <v>11511.6932</v>
      </c>
      <c r="I8843" s="5" t="str">
        <f t="shared" si="1053"/>
        <v>018</v>
      </c>
      <c r="J8843" s="5" t="str">
        <f t="shared" si="1054"/>
        <v>2100</v>
      </c>
      <c r="K8843" s="5" t="str">
        <f t="shared" si="1055"/>
        <v>000</v>
      </c>
      <c r="L8843" s="5">
        <f t="shared" si="1056"/>
        <v>10</v>
      </c>
      <c r="M8843" s="5">
        <f t="shared" si="1057"/>
        <v>2013</v>
      </c>
    </row>
    <row r="8844" spans="1:13" ht="15" x14ac:dyDescent="0.25">
      <c r="A8844" s="1">
        <f>DATE(2013,10,13)</f>
        <v>41560</v>
      </c>
      <c r="B8844" t="s">
        <v>20</v>
      </c>
      <c r="C8844" t="s">
        <v>8</v>
      </c>
      <c r="D8844" s="3">
        <v>865.97250000000008</v>
      </c>
      <c r="E8844" s="3">
        <v>0</v>
      </c>
      <c r="F8844" t="s">
        <v>45</v>
      </c>
      <c r="G8844" s="3">
        <f t="shared" si="1051"/>
        <v>-865.97250000000008</v>
      </c>
      <c r="H8844" s="3">
        <f t="shared" si="1052"/>
        <v>865.97250000000008</v>
      </c>
      <c r="I8844" s="5" t="str">
        <f t="shared" si="1053"/>
        <v>018</v>
      </c>
      <c r="J8844" s="5" t="str">
        <f t="shared" si="1054"/>
        <v>2210</v>
      </c>
      <c r="K8844" s="5" t="str">
        <f t="shared" si="1055"/>
        <v>000</v>
      </c>
      <c r="L8844" s="5">
        <f t="shared" si="1056"/>
        <v>10</v>
      </c>
      <c r="M8844" s="5">
        <f t="shared" si="1057"/>
        <v>2013</v>
      </c>
    </row>
    <row r="8845" spans="1:13" ht="15" x14ac:dyDescent="0.25">
      <c r="A8845" s="1">
        <f>DATE(2013,10,13)</f>
        <v>41560</v>
      </c>
      <c r="B8845" t="s">
        <v>21</v>
      </c>
      <c r="C8845" t="s">
        <v>9</v>
      </c>
      <c r="D8845" s="3">
        <v>391.79699999999997</v>
      </c>
      <c r="E8845" s="3">
        <v>0</v>
      </c>
      <c r="F8845" t="s">
        <v>45</v>
      </c>
      <c r="G8845" s="3">
        <f t="shared" si="1051"/>
        <v>-391.79699999999997</v>
      </c>
      <c r="H8845" s="3">
        <f t="shared" si="1052"/>
        <v>391.79699999999997</v>
      </c>
      <c r="I8845" s="5" t="str">
        <f t="shared" si="1053"/>
        <v>018</v>
      </c>
      <c r="J8845" s="5" t="str">
        <f t="shared" si="1054"/>
        <v>2220</v>
      </c>
      <c r="K8845" s="5" t="str">
        <f t="shared" si="1055"/>
        <v>000</v>
      </c>
      <c r="L8845" s="5">
        <f t="shared" si="1056"/>
        <v>10</v>
      </c>
      <c r="M8845" s="5">
        <f t="shared" si="1057"/>
        <v>2013</v>
      </c>
    </row>
    <row r="8846" spans="1:13" ht="15" x14ac:dyDescent="0.25">
      <c r="A8846" s="1">
        <f>DATE(2013,10,13)</f>
        <v>41560</v>
      </c>
      <c r="B8846" t="s">
        <v>22</v>
      </c>
      <c r="C8846" t="s">
        <v>10</v>
      </c>
      <c r="D8846" s="3">
        <v>40.435200000000002</v>
      </c>
      <c r="E8846" s="3">
        <v>0</v>
      </c>
      <c r="F8846" t="s">
        <v>45</v>
      </c>
      <c r="G8846" s="3">
        <f t="shared" si="1051"/>
        <v>-40.435200000000002</v>
      </c>
      <c r="H8846" s="3">
        <f t="shared" si="1052"/>
        <v>40.435200000000002</v>
      </c>
      <c r="I8846" s="5" t="str">
        <f t="shared" si="1053"/>
        <v>018</v>
      </c>
      <c r="J8846" s="5" t="str">
        <f t="shared" si="1054"/>
        <v>2230</v>
      </c>
      <c r="K8846" s="5" t="str">
        <f t="shared" si="1055"/>
        <v>000</v>
      </c>
      <c r="L8846" s="5">
        <f t="shared" si="1056"/>
        <v>10</v>
      </c>
      <c r="M8846" s="5">
        <f t="shared" si="1057"/>
        <v>2013</v>
      </c>
    </row>
    <row r="8847" spans="1:13" ht="15" x14ac:dyDescent="0.25">
      <c r="A8847" s="1">
        <f>DATE(2013,10,7)</f>
        <v>41554</v>
      </c>
      <c r="B8847" t="s">
        <v>23</v>
      </c>
      <c r="C8847" t="s">
        <v>6</v>
      </c>
      <c r="D8847" s="3">
        <v>2544.366</v>
      </c>
      <c r="E8847" s="3">
        <v>0</v>
      </c>
      <c r="F8847" t="s">
        <v>45</v>
      </c>
      <c r="G8847" s="3">
        <f t="shared" si="1051"/>
        <v>-2544.366</v>
      </c>
      <c r="H8847" s="3">
        <f t="shared" si="1052"/>
        <v>2544.366</v>
      </c>
      <c r="I8847" s="5" t="str">
        <f t="shared" si="1053"/>
        <v>019</v>
      </c>
      <c r="J8847" s="5" t="str">
        <f t="shared" si="1054"/>
        <v>2100</v>
      </c>
      <c r="K8847" s="5" t="str">
        <f t="shared" si="1055"/>
        <v>000</v>
      </c>
      <c r="L8847" s="5">
        <f t="shared" si="1056"/>
        <v>10</v>
      </c>
      <c r="M8847" s="5">
        <f t="shared" si="1057"/>
        <v>2013</v>
      </c>
    </row>
    <row r="8848" spans="1:13" ht="15" x14ac:dyDescent="0.25">
      <c r="A8848" s="1">
        <f>DATE(2013,10,7)</f>
        <v>41554</v>
      </c>
      <c r="B8848" t="s">
        <v>24</v>
      </c>
      <c r="C8848" t="s">
        <v>8</v>
      </c>
      <c r="D8848" s="3">
        <v>685.64890000000003</v>
      </c>
      <c r="E8848" s="3">
        <v>0</v>
      </c>
      <c r="F8848" t="s">
        <v>45</v>
      </c>
      <c r="G8848" s="3">
        <f t="shared" si="1051"/>
        <v>-685.64890000000003</v>
      </c>
      <c r="H8848" s="3">
        <f t="shared" si="1052"/>
        <v>685.64890000000003</v>
      </c>
      <c r="I8848" s="5" t="str">
        <f t="shared" si="1053"/>
        <v>019</v>
      </c>
      <c r="J8848" s="5" t="str">
        <f t="shared" si="1054"/>
        <v>2210</v>
      </c>
      <c r="K8848" s="5" t="str">
        <f t="shared" si="1055"/>
        <v>000</v>
      </c>
      <c r="L8848" s="5">
        <f t="shared" si="1056"/>
        <v>10</v>
      </c>
      <c r="M8848" s="5">
        <f t="shared" si="1057"/>
        <v>2013</v>
      </c>
    </row>
    <row r="8849" spans="1:13" ht="15" x14ac:dyDescent="0.25">
      <c r="A8849" s="1">
        <f>DATE(2013,10,7)</f>
        <v>41554</v>
      </c>
      <c r="B8849" t="s">
        <v>25</v>
      </c>
      <c r="C8849" t="s">
        <v>9</v>
      </c>
      <c r="D8849" s="3">
        <v>155.69449999999998</v>
      </c>
      <c r="E8849" s="3">
        <v>0</v>
      </c>
      <c r="F8849" t="s">
        <v>45</v>
      </c>
      <c r="G8849" s="3">
        <f t="shared" si="1051"/>
        <v>-155.69449999999998</v>
      </c>
      <c r="H8849" s="3">
        <f t="shared" si="1052"/>
        <v>155.69449999999998</v>
      </c>
      <c r="I8849" s="5" t="str">
        <f t="shared" si="1053"/>
        <v>019</v>
      </c>
      <c r="J8849" s="5" t="str">
        <f t="shared" si="1054"/>
        <v>2220</v>
      </c>
      <c r="K8849" s="5" t="str">
        <f t="shared" si="1055"/>
        <v>000</v>
      </c>
      <c r="L8849" s="5">
        <f t="shared" si="1056"/>
        <v>10</v>
      </c>
      <c r="M8849" s="5">
        <f t="shared" si="1057"/>
        <v>2013</v>
      </c>
    </row>
    <row r="8850" spans="1:13" ht="15" x14ac:dyDescent="0.25">
      <c r="A8850" s="1">
        <f>DATE(2013,10,7)</f>
        <v>41554</v>
      </c>
      <c r="B8850" t="s">
        <v>26</v>
      </c>
      <c r="C8850" t="s">
        <v>10</v>
      </c>
      <c r="D8850" s="3">
        <v>46.948</v>
      </c>
      <c r="E8850" s="3">
        <v>0</v>
      </c>
      <c r="F8850" t="s">
        <v>45</v>
      </c>
      <c r="G8850" s="3">
        <f t="shared" si="1051"/>
        <v>-46.948</v>
      </c>
      <c r="H8850" s="3">
        <f t="shared" si="1052"/>
        <v>46.948</v>
      </c>
      <c r="I8850" s="5" t="str">
        <f t="shared" si="1053"/>
        <v>019</v>
      </c>
      <c r="J8850" s="5" t="str">
        <f t="shared" si="1054"/>
        <v>2230</v>
      </c>
      <c r="K8850" s="5" t="str">
        <f t="shared" si="1055"/>
        <v>000</v>
      </c>
      <c r="L8850" s="5">
        <f t="shared" si="1056"/>
        <v>10</v>
      </c>
      <c r="M8850" s="5">
        <f t="shared" si="1057"/>
        <v>2013</v>
      </c>
    </row>
    <row r="8851" spans="1:13" ht="15" x14ac:dyDescent="0.25">
      <c r="A8851" s="1">
        <f>DATE(2013,10,8)</f>
        <v>41555</v>
      </c>
      <c r="B8851" t="s">
        <v>23</v>
      </c>
      <c r="C8851" t="s">
        <v>6</v>
      </c>
      <c r="D8851" s="3">
        <v>3594.8920000000003</v>
      </c>
      <c r="E8851" s="3">
        <v>0</v>
      </c>
      <c r="F8851" t="s">
        <v>45</v>
      </c>
      <c r="G8851" s="3">
        <f t="shared" si="1051"/>
        <v>-3594.8920000000003</v>
      </c>
      <c r="H8851" s="3">
        <f t="shared" si="1052"/>
        <v>3594.8920000000003</v>
      </c>
      <c r="I8851" s="5" t="str">
        <f t="shared" si="1053"/>
        <v>019</v>
      </c>
      <c r="J8851" s="5" t="str">
        <f t="shared" si="1054"/>
        <v>2100</v>
      </c>
      <c r="K8851" s="5" t="str">
        <f t="shared" si="1055"/>
        <v>000</v>
      </c>
      <c r="L8851" s="5">
        <f t="shared" si="1056"/>
        <v>10</v>
      </c>
      <c r="M8851" s="5">
        <f t="shared" si="1057"/>
        <v>2013</v>
      </c>
    </row>
    <row r="8852" spans="1:13" ht="15" x14ac:dyDescent="0.25">
      <c r="A8852" s="1">
        <f>DATE(2013,10,8)</f>
        <v>41555</v>
      </c>
      <c r="B8852" t="s">
        <v>24</v>
      </c>
      <c r="C8852" t="s">
        <v>8</v>
      </c>
      <c r="D8852" s="3">
        <v>1120.3055999999999</v>
      </c>
      <c r="E8852" s="3">
        <v>0</v>
      </c>
      <c r="F8852" t="s">
        <v>45</v>
      </c>
      <c r="G8852" s="3">
        <f t="shared" si="1051"/>
        <v>-1120.3055999999999</v>
      </c>
      <c r="H8852" s="3">
        <f t="shared" si="1052"/>
        <v>1120.3055999999999</v>
      </c>
      <c r="I8852" s="5" t="str">
        <f t="shared" si="1053"/>
        <v>019</v>
      </c>
      <c r="J8852" s="5" t="str">
        <f t="shared" si="1054"/>
        <v>2210</v>
      </c>
      <c r="K8852" s="5" t="str">
        <f t="shared" si="1055"/>
        <v>000</v>
      </c>
      <c r="L8852" s="5">
        <f t="shared" si="1056"/>
        <v>10</v>
      </c>
      <c r="M8852" s="5">
        <f t="shared" si="1057"/>
        <v>2013</v>
      </c>
    </row>
    <row r="8853" spans="1:13" ht="15" x14ac:dyDescent="0.25">
      <c r="A8853" s="1">
        <f>DATE(2013,10,8)</f>
        <v>41555</v>
      </c>
      <c r="B8853" t="s">
        <v>25</v>
      </c>
      <c r="C8853" t="s">
        <v>9</v>
      </c>
      <c r="D8853" s="3">
        <v>215.75699999999998</v>
      </c>
      <c r="E8853" s="3">
        <v>0</v>
      </c>
      <c r="F8853" t="s">
        <v>45</v>
      </c>
      <c r="G8853" s="3">
        <f t="shared" si="1051"/>
        <v>-215.75699999999998</v>
      </c>
      <c r="H8853" s="3">
        <f t="shared" si="1052"/>
        <v>215.75699999999998</v>
      </c>
      <c r="I8853" s="5" t="str">
        <f t="shared" si="1053"/>
        <v>019</v>
      </c>
      <c r="J8853" s="5" t="str">
        <f t="shared" si="1054"/>
        <v>2220</v>
      </c>
      <c r="K8853" s="5" t="str">
        <f t="shared" si="1055"/>
        <v>000</v>
      </c>
      <c r="L8853" s="5">
        <f t="shared" si="1056"/>
        <v>10</v>
      </c>
      <c r="M8853" s="5">
        <f t="shared" si="1057"/>
        <v>2013</v>
      </c>
    </row>
    <row r="8854" spans="1:13" ht="15" x14ac:dyDescent="0.25">
      <c r="A8854" s="1">
        <f>DATE(2013,10,8)</f>
        <v>41555</v>
      </c>
      <c r="B8854" t="s">
        <v>26</v>
      </c>
      <c r="C8854" t="s">
        <v>10</v>
      </c>
      <c r="D8854" s="3">
        <v>100.6707</v>
      </c>
      <c r="E8854" s="3">
        <v>0</v>
      </c>
      <c r="F8854" t="s">
        <v>45</v>
      </c>
      <c r="G8854" s="3">
        <f t="shared" si="1051"/>
        <v>-100.6707</v>
      </c>
      <c r="H8854" s="3">
        <f t="shared" si="1052"/>
        <v>100.6707</v>
      </c>
      <c r="I8854" s="5" t="str">
        <f t="shared" si="1053"/>
        <v>019</v>
      </c>
      <c r="J8854" s="5" t="str">
        <f t="shared" si="1054"/>
        <v>2230</v>
      </c>
      <c r="K8854" s="5" t="str">
        <f t="shared" si="1055"/>
        <v>000</v>
      </c>
      <c r="L8854" s="5">
        <f t="shared" si="1056"/>
        <v>10</v>
      </c>
      <c r="M8854" s="5">
        <f t="shared" si="1057"/>
        <v>2013</v>
      </c>
    </row>
    <row r="8855" spans="1:13" ht="15" x14ac:dyDescent="0.25">
      <c r="A8855" s="1">
        <f>DATE(2013,10,9)</f>
        <v>41556</v>
      </c>
      <c r="B8855" t="s">
        <v>23</v>
      </c>
      <c r="C8855" t="s">
        <v>6</v>
      </c>
      <c r="D8855" s="3">
        <v>6191.1</v>
      </c>
      <c r="E8855" s="3">
        <v>0</v>
      </c>
      <c r="F8855" t="s">
        <v>45</v>
      </c>
      <c r="G8855" s="3">
        <f t="shared" si="1051"/>
        <v>-6191.1</v>
      </c>
      <c r="H8855" s="3">
        <f t="shared" si="1052"/>
        <v>6191.1</v>
      </c>
      <c r="I8855" s="5" t="str">
        <f t="shared" si="1053"/>
        <v>019</v>
      </c>
      <c r="J8855" s="5" t="str">
        <f t="shared" si="1054"/>
        <v>2100</v>
      </c>
      <c r="K8855" s="5" t="str">
        <f t="shared" si="1055"/>
        <v>000</v>
      </c>
      <c r="L8855" s="5">
        <f t="shared" si="1056"/>
        <v>10</v>
      </c>
      <c r="M8855" s="5">
        <f t="shared" si="1057"/>
        <v>2013</v>
      </c>
    </row>
    <row r="8856" spans="1:13" ht="15" x14ac:dyDescent="0.25">
      <c r="A8856" s="1">
        <f>DATE(2013,10,9)</f>
        <v>41556</v>
      </c>
      <c r="B8856" t="s">
        <v>24</v>
      </c>
      <c r="C8856" t="s">
        <v>8</v>
      </c>
      <c r="D8856" s="3">
        <v>1202.5416</v>
      </c>
      <c r="E8856" s="3">
        <v>0</v>
      </c>
      <c r="F8856" t="s">
        <v>45</v>
      </c>
      <c r="G8856" s="3">
        <f t="shared" si="1051"/>
        <v>-1202.5416</v>
      </c>
      <c r="H8856" s="3">
        <f t="shared" si="1052"/>
        <v>1202.5416</v>
      </c>
      <c r="I8856" s="5" t="str">
        <f t="shared" si="1053"/>
        <v>019</v>
      </c>
      <c r="J8856" s="5" t="str">
        <f t="shared" si="1054"/>
        <v>2210</v>
      </c>
      <c r="K8856" s="5" t="str">
        <f t="shared" si="1055"/>
        <v>000</v>
      </c>
      <c r="L8856" s="5">
        <f t="shared" si="1056"/>
        <v>10</v>
      </c>
      <c r="M8856" s="5">
        <f t="shared" si="1057"/>
        <v>2013</v>
      </c>
    </row>
    <row r="8857" spans="1:13" ht="15" x14ac:dyDescent="0.25">
      <c r="A8857" s="1">
        <f>DATE(2013,10,9)</f>
        <v>41556</v>
      </c>
      <c r="B8857" t="s">
        <v>25</v>
      </c>
      <c r="C8857" t="s">
        <v>9</v>
      </c>
      <c r="D8857" s="3">
        <v>399.9033</v>
      </c>
      <c r="E8857" s="3">
        <v>0</v>
      </c>
      <c r="F8857" t="s">
        <v>45</v>
      </c>
      <c r="G8857" s="3">
        <f t="shared" si="1051"/>
        <v>-399.9033</v>
      </c>
      <c r="H8857" s="3">
        <f t="shared" si="1052"/>
        <v>399.9033</v>
      </c>
      <c r="I8857" s="5" t="str">
        <f t="shared" si="1053"/>
        <v>019</v>
      </c>
      <c r="J8857" s="5" t="str">
        <f t="shared" si="1054"/>
        <v>2220</v>
      </c>
      <c r="K8857" s="5" t="str">
        <f t="shared" si="1055"/>
        <v>000</v>
      </c>
      <c r="L8857" s="5">
        <f t="shared" si="1056"/>
        <v>10</v>
      </c>
      <c r="M8857" s="5">
        <f t="shared" si="1057"/>
        <v>2013</v>
      </c>
    </row>
    <row r="8858" spans="1:13" ht="15" x14ac:dyDescent="0.25">
      <c r="A8858" s="1">
        <f>DATE(2013,10,9)</f>
        <v>41556</v>
      </c>
      <c r="B8858" t="s">
        <v>26</v>
      </c>
      <c r="C8858" t="s">
        <v>10</v>
      </c>
      <c r="D8858" s="3">
        <v>32.742000000000004</v>
      </c>
      <c r="E8858" s="3">
        <v>0</v>
      </c>
      <c r="F8858" t="s">
        <v>45</v>
      </c>
      <c r="G8858" s="3">
        <f t="shared" si="1051"/>
        <v>-32.742000000000004</v>
      </c>
      <c r="H8858" s="3">
        <f t="shared" si="1052"/>
        <v>32.742000000000004</v>
      </c>
      <c r="I8858" s="5" t="str">
        <f t="shared" si="1053"/>
        <v>019</v>
      </c>
      <c r="J8858" s="5" t="str">
        <f t="shared" si="1054"/>
        <v>2230</v>
      </c>
      <c r="K8858" s="5" t="str">
        <f t="shared" si="1055"/>
        <v>000</v>
      </c>
      <c r="L8858" s="5">
        <f t="shared" si="1056"/>
        <v>10</v>
      </c>
      <c r="M8858" s="5">
        <f t="shared" si="1057"/>
        <v>2013</v>
      </c>
    </row>
    <row r="8859" spans="1:13" ht="15" x14ac:dyDescent="0.25">
      <c r="A8859" s="1">
        <f>DATE(2013,10,10)</f>
        <v>41557</v>
      </c>
      <c r="B8859" t="s">
        <v>23</v>
      </c>
      <c r="C8859" t="s">
        <v>6</v>
      </c>
      <c r="D8859" s="3">
        <v>5709.4621999999999</v>
      </c>
      <c r="E8859" s="3">
        <v>0</v>
      </c>
      <c r="F8859" t="s">
        <v>45</v>
      </c>
      <c r="G8859" s="3">
        <f t="shared" si="1051"/>
        <v>-5709.4621999999999</v>
      </c>
      <c r="H8859" s="3">
        <f t="shared" si="1052"/>
        <v>5709.4621999999999</v>
      </c>
      <c r="I8859" s="5" t="str">
        <f t="shared" si="1053"/>
        <v>019</v>
      </c>
      <c r="J8859" s="5" t="str">
        <f t="shared" si="1054"/>
        <v>2100</v>
      </c>
      <c r="K8859" s="5" t="str">
        <f t="shared" si="1055"/>
        <v>000</v>
      </c>
      <c r="L8859" s="5">
        <f t="shared" si="1056"/>
        <v>10</v>
      </c>
      <c r="M8859" s="5">
        <f t="shared" si="1057"/>
        <v>2013</v>
      </c>
    </row>
    <row r="8860" spans="1:13" ht="15" x14ac:dyDescent="0.25">
      <c r="A8860" s="1">
        <f>DATE(2013,10,10)</f>
        <v>41557</v>
      </c>
      <c r="B8860" t="s">
        <v>24</v>
      </c>
      <c r="C8860" t="s">
        <v>8</v>
      </c>
      <c r="D8860" s="3">
        <v>1165.6931999999999</v>
      </c>
      <c r="E8860" s="3">
        <v>0</v>
      </c>
      <c r="F8860" t="s">
        <v>45</v>
      </c>
      <c r="G8860" s="3">
        <f t="shared" si="1051"/>
        <v>-1165.6931999999999</v>
      </c>
      <c r="H8860" s="3">
        <f t="shared" si="1052"/>
        <v>1165.6931999999999</v>
      </c>
      <c r="I8860" s="5" t="str">
        <f t="shared" si="1053"/>
        <v>019</v>
      </c>
      <c r="J8860" s="5" t="str">
        <f t="shared" si="1054"/>
        <v>2210</v>
      </c>
      <c r="K8860" s="5" t="str">
        <f t="shared" si="1055"/>
        <v>000</v>
      </c>
      <c r="L8860" s="5">
        <f t="shared" si="1056"/>
        <v>10</v>
      </c>
      <c r="M8860" s="5">
        <f t="shared" si="1057"/>
        <v>2013</v>
      </c>
    </row>
    <row r="8861" spans="1:13" ht="15" x14ac:dyDescent="0.25">
      <c r="A8861" s="1">
        <f>DATE(2013,10,10)</f>
        <v>41557</v>
      </c>
      <c r="B8861" t="s">
        <v>25</v>
      </c>
      <c r="C8861" t="s">
        <v>9</v>
      </c>
      <c r="D8861" s="3">
        <v>456.18540000000007</v>
      </c>
      <c r="E8861" s="3">
        <v>0</v>
      </c>
      <c r="F8861" t="s">
        <v>45</v>
      </c>
      <c r="G8861" s="3">
        <f t="shared" si="1051"/>
        <v>-456.18540000000007</v>
      </c>
      <c r="H8861" s="3">
        <f t="shared" si="1052"/>
        <v>456.18540000000007</v>
      </c>
      <c r="I8861" s="5" t="str">
        <f t="shared" si="1053"/>
        <v>019</v>
      </c>
      <c r="J8861" s="5" t="str">
        <f t="shared" si="1054"/>
        <v>2220</v>
      </c>
      <c r="K8861" s="5" t="str">
        <f t="shared" si="1055"/>
        <v>000</v>
      </c>
      <c r="L8861" s="5">
        <f t="shared" si="1056"/>
        <v>10</v>
      </c>
      <c r="M8861" s="5">
        <f t="shared" si="1057"/>
        <v>2013</v>
      </c>
    </row>
    <row r="8862" spans="1:13" ht="15" x14ac:dyDescent="0.25">
      <c r="A8862" s="1">
        <f>DATE(2013,10,10)</f>
        <v>41557</v>
      </c>
      <c r="B8862" t="s">
        <v>26</v>
      </c>
      <c r="C8862" t="s">
        <v>10</v>
      </c>
      <c r="D8862" s="3">
        <v>25.812800000000003</v>
      </c>
      <c r="E8862" s="3">
        <v>0</v>
      </c>
      <c r="F8862" t="s">
        <v>45</v>
      </c>
      <c r="G8862" s="3">
        <f t="shared" si="1051"/>
        <v>-25.812800000000003</v>
      </c>
      <c r="H8862" s="3">
        <f t="shared" si="1052"/>
        <v>25.812800000000003</v>
      </c>
      <c r="I8862" s="5" t="str">
        <f t="shared" si="1053"/>
        <v>019</v>
      </c>
      <c r="J8862" s="5" t="str">
        <f t="shared" si="1054"/>
        <v>2230</v>
      </c>
      <c r="K8862" s="5" t="str">
        <f t="shared" si="1055"/>
        <v>000</v>
      </c>
      <c r="L8862" s="5">
        <f t="shared" si="1056"/>
        <v>10</v>
      </c>
      <c r="M8862" s="5">
        <f t="shared" si="1057"/>
        <v>2013</v>
      </c>
    </row>
    <row r="8863" spans="1:13" ht="15" x14ac:dyDescent="0.25">
      <c r="A8863" s="1">
        <f>DATE(2013,10,11)</f>
        <v>41558</v>
      </c>
      <c r="B8863" t="s">
        <v>23</v>
      </c>
      <c r="C8863" t="s">
        <v>6</v>
      </c>
      <c r="D8863" s="3">
        <v>5084.5092000000004</v>
      </c>
      <c r="E8863" s="3">
        <v>0</v>
      </c>
      <c r="F8863" t="s">
        <v>45</v>
      </c>
      <c r="G8863" s="3">
        <f t="shared" si="1051"/>
        <v>-5084.5092000000004</v>
      </c>
      <c r="H8863" s="3">
        <f t="shared" si="1052"/>
        <v>5084.5092000000004</v>
      </c>
      <c r="I8863" s="5" t="str">
        <f t="shared" si="1053"/>
        <v>019</v>
      </c>
      <c r="J8863" s="5" t="str">
        <f t="shared" si="1054"/>
        <v>2100</v>
      </c>
      <c r="K8863" s="5" t="str">
        <f t="shared" si="1055"/>
        <v>000</v>
      </c>
      <c r="L8863" s="5">
        <f t="shared" si="1056"/>
        <v>10</v>
      </c>
      <c r="M8863" s="5">
        <f t="shared" si="1057"/>
        <v>2013</v>
      </c>
    </row>
    <row r="8864" spans="1:13" ht="15" x14ac:dyDescent="0.25">
      <c r="A8864" s="1">
        <f>DATE(2013,10,11)</f>
        <v>41558</v>
      </c>
      <c r="B8864" t="s">
        <v>24</v>
      </c>
      <c r="C8864" t="s">
        <v>8</v>
      </c>
      <c r="D8864" s="3">
        <v>1293.9506999999999</v>
      </c>
      <c r="E8864" s="3">
        <v>0</v>
      </c>
      <c r="F8864" t="s">
        <v>45</v>
      </c>
      <c r="G8864" s="3">
        <f t="shared" si="1051"/>
        <v>-1293.9506999999999</v>
      </c>
      <c r="H8864" s="3">
        <f t="shared" si="1052"/>
        <v>1293.9506999999999</v>
      </c>
      <c r="I8864" s="5" t="str">
        <f t="shared" si="1053"/>
        <v>019</v>
      </c>
      <c r="J8864" s="5" t="str">
        <f t="shared" si="1054"/>
        <v>2210</v>
      </c>
      <c r="K8864" s="5" t="str">
        <f t="shared" si="1055"/>
        <v>000</v>
      </c>
      <c r="L8864" s="5">
        <f t="shared" si="1056"/>
        <v>10</v>
      </c>
      <c r="M8864" s="5">
        <f t="shared" si="1057"/>
        <v>2013</v>
      </c>
    </row>
    <row r="8865" spans="1:13" ht="15" x14ac:dyDescent="0.25">
      <c r="A8865" s="1">
        <f>DATE(2013,10,11)</f>
        <v>41558</v>
      </c>
      <c r="B8865" t="s">
        <v>25</v>
      </c>
      <c r="C8865" t="s">
        <v>9</v>
      </c>
      <c r="D8865" s="3">
        <v>253.08509999999998</v>
      </c>
      <c r="E8865" s="3">
        <v>0</v>
      </c>
      <c r="F8865" t="s">
        <v>45</v>
      </c>
      <c r="G8865" s="3">
        <f t="shared" si="1051"/>
        <v>-253.08509999999998</v>
      </c>
      <c r="H8865" s="3">
        <f t="shared" si="1052"/>
        <v>253.08509999999998</v>
      </c>
      <c r="I8865" s="5" t="str">
        <f t="shared" si="1053"/>
        <v>019</v>
      </c>
      <c r="J8865" s="5" t="str">
        <f t="shared" si="1054"/>
        <v>2220</v>
      </c>
      <c r="K8865" s="5" t="str">
        <f t="shared" si="1055"/>
        <v>000</v>
      </c>
      <c r="L8865" s="5">
        <f t="shared" si="1056"/>
        <v>10</v>
      </c>
      <c r="M8865" s="5">
        <f t="shared" si="1057"/>
        <v>2013</v>
      </c>
    </row>
    <row r="8866" spans="1:13" ht="15" x14ac:dyDescent="0.25">
      <c r="A8866" s="1">
        <f>DATE(2013,10,11)</f>
        <v>41558</v>
      </c>
      <c r="B8866" t="s">
        <v>26</v>
      </c>
      <c r="C8866" t="s">
        <v>10</v>
      </c>
      <c r="D8866" s="3">
        <v>26.054400000000001</v>
      </c>
      <c r="E8866" s="3">
        <v>0</v>
      </c>
      <c r="F8866" t="s">
        <v>45</v>
      </c>
      <c r="G8866" s="3">
        <f t="shared" si="1051"/>
        <v>-26.054400000000001</v>
      </c>
      <c r="H8866" s="3">
        <f t="shared" si="1052"/>
        <v>26.054400000000001</v>
      </c>
      <c r="I8866" s="5" t="str">
        <f t="shared" si="1053"/>
        <v>019</v>
      </c>
      <c r="J8866" s="5" t="str">
        <f t="shared" si="1054"/>
        <v>2230</v>
      </c>
      <c r="K8866" s="5" t="str">
        <f t="shared" si="1055"/>
        <v>000</v>
      </c>
      <c r="L8866" s="5">
        <f t="shared" si="1056"/>
        <v>10</v>
      </c>
      <c r="M8866" s="5">
        <f t="shared" si="1057"/>
        <v>2013</v>
      </c>
    </row>
    <row r="8867" spans="1:13" ht="15" x14ac:dyDescent="0.25">
      <c r="A8867" s="1">
        <f>DATE(2013,10,12)</f>
        <v>41559</v>
      </c>
      <c r="B8867" t="s">
        <v>23</v>
      </c>
      <c r="C8867" t="s">
        <v>6</v>
      </c>
      <c r="D8867" s="3">
        <v>4983.7773999999999</v>
      </c>
      <c r="E8867" s="3">
        <v>0</v>
      </c>
      <c r="F8867" t="s">
        <v>45</v>
      </c>
      <c r="G8867" s="3">
        <f t="shared" si="1051"/>
        <v>-4983.7773999999999</v>
      </c>
      <c r="H8867" s="3">
        <f t="shared" si="1052"/>
        <v>4983.7773999999999</v>
      </c>
      <c r="I8867" s="5" t="str">
        <f t="shared" si="1053"/>
        <v>019</v>
      </c>
      <c r="J8867" s="5" t="str">
        <f t="shared" si="1054"/>
        <v>2100</v>
      </c>
      <c r="K8867" s="5" t="str">
        <f t="shared" si="1055"/>
        <v>000</v>
      </c>
      <c r="L8867" s="5">
        <f t="shared" si="1056"/>
        <v>10</v>
      </c>
      <c r="M8867" s="5">
        <f t="shared" si="1057"/>
        <v>2013</v>
      </c>
    </row>
    <row r="8868" spans="1:13" ht="15" x14ac:dyDescent="0.25">
      <c r="A8868" s="1">
        <f>DATE(2013,10,12)</f>
        <v>41559</v>
      </c>
      <c r="B8868" t="s">
        <v>24</v>
      </c>
      <c r="C8868" t="s">
        <v>8</v>
      </c>
      <c r="D8868" s="3">
        <v>1886.2613000000001</v>
      </c>
      <c r="E8868" s="3">
        <v>0</v>
      </c>
      <c r="F8868" t="s">
        <v>45</v>
      </c>
      <c r="G8868" s="3">
        <f t="shared" si="1051"/>
        <v>-1886.2613000000001</v>
      </c>
      <c r="H8868" s="3">
        <f t="shared" si="1052"/>
        <v>1886.2613000000001</v>
      </c>
      <c r="I8868" s="5" t="str">
        <f t="shared" si="1053"/>
        <v>019</v>
      </c>
      <c r="J8868" s="5" t="str">
        <f t="shared" si="1054"/>
        <v>2210</v>
      </c>
      <c r="K8868" s="5" t="str">
        <f t="shared" si="1055"/>
        <v>000</v>
      </c>
      <c r="L8868" s="5">
        <f t="shared" si="1056"/>
        <v>10</v>
      </c>
      <c r="M8868" s="5">
        <f t="shared" si="1057"/>
        <v>2013</v>
      </c>
    </row>
    <row r="8869" spans="1:13" ht="15" x14ac:dyDescent="0.25">
      <c r="A8869" s="1">
        <f>DATE(2013,10,12)</f>
        <v>41559</v>
      </c>
      <c r="B8869" t="s">
        <v>25</v>
      </c>
      <c r="C8869" t="s">
        <v>9</v>
      </c>
      <c r="D8869" s="3">
        <v>394.00560000000002</v>
      </c>
      <c r="E8869" s="3">
        <v>0</v>
      </c>
      <c r="F8869" t="s">
        <v>45</v>
      </c>
      <c r="G8869" s="3">
        <f t="shared" si="1051"/>
        <v>-394.00560000000002</v>
      </c>
      <c r="H8869" s="3">
        <f t="shared" si="1052"/>
        <v>394.00560000000002</v>
      </c>
      <c r="I8869" s="5" t="str">
        <f t="shared" si="1053"/>
        <v>019</v>
      </c>
      <c r="J8869" s="5" t="str">
        <f t="shared" si="1054"/>
        <v>2220</v>
      </c>
      <c r="K8869" s="5" t="str">
        <f t="shared" si="1055"/>
        <v>000</v>
      </c>
      <c r="L8869" s="5">
        <f t="shared" si="1056"/>
        <v>10</v>
      </c>
      <c r="M8869" s="5">
        <f t="shared" si="1057"/>
        <v>2013</v>
      </c>
    </row>
    <row r="8870" spans="1:13" ht="15" x14ac:dyDescent="0.25">
      <c r="A8870" s="1">
        <f>DATE(2013,10,12)</f>
        <v>41559</v>
      </c>
      <c r="B8870" t="s">
        <v>26</v>
      </c>
      <c r="C8870" t="s">
        <v>10</v>
      </c>
      <c r="D8870" s="3">
        <v>39.8523</v>
      </c>
      <c r="E8870" s="3">
        <v>0</v>
      </c>
      <c r="F8870" t="s">
        <v>45</v>
      </c>
      <c r="G8870" s="3">
        <f t="shared" si="1051"/>
        <v>-39.8523</v>
      </c>
      <c r="H8870" s="3">
        <f t="shared" si="1052"/>
        <v>39.8523</v>
      </c>
      <c r="I8870" s="5" t="str">
        <f t="shared" si="1053"/>
        <v>019</v>
      </c>
      <c r="J8870" s="5" t="str">
        <f t="shared" si="1054"/>
        <v>2230</v>
      </c>
      <c r="K8870" s="5" t="str">
        <f t="shared" si="1055"/>
        <v>000</v>
      </c>
      <c r="L8870" s="5">
        <f t="shared" si="1056"/>
        <v>10</v>
      </c>
      <c r="M8870" s="5">
        <f t="shared" si="1057"/>
        <v>2013</v>
      </c>
    </row>
    <row r="8871" spans="1:13" ht="15" x14ac:dyDescent="0.25">
      <c r="A8871" s="1">
        <f>DATE(2013,10,13)</f>
        <v>41560</v>
      </c>
      <c r="B8871" t="s">
        <v>23</v>
      </c>
      <c r="C8871" t="s">
        <v>6</v>
      </c>
      <c r="D8871" s="3">
        <v>2825.6872000000003</v>
      </c>
      <c r="E8871" s="3">
        <v>0</v>
      </c>
      <c r="F8871" t="s">
        <v>45</v>
      </c>
      <c r="G8871" s="3">
        <f t="shared" si="1051"/>
        <v>-2825.6872000000003</v>
      </c>
      <c r="H8871" s="3">
        <f t="shared" si="1052"/>
        <v>2825.6872000000003</v>
      </c>
      <c r="I8871" s="5" t="str">
        <f t="shared" si="1053"/>
        <v>019</v>
      </c>
      <c r="J8871" s="5" t="str">
        <f t="shared" si="1054"/>
        <v>2100</v>
      </c>
      <c r="K8871" s="5" t="str">
        <f t="shared" si="1055"/>
        <v>000</v>
      </c>
      <c r="L8871" s="5">
        <f t="shared" si="1056"/>
        <v>10</v>
      </c>
      <c r="M8871" s="5">
        <f t="shared" si="1057"/>
        <v>2013</v>
      </c>
    </row>
    <row r="8872" spans="1:13" ht="15" x14ac:dyDescent="0.25">
      <c r="A8872" s="1">
        <f>DATE(2013,10,13)</f>
        <v>41560</v>
      </c>
      <c r="B8872" t="s">
        <v>24</v>
      </c>
      <c r="C8872" t="s">
        <v>8</v>
      </c>
      <c r="D8872" s="3">
        <v>1372.3435999999999</v>
      </c>
      <c r="E8872" s="3">
        <v>0</v>
      </c>
      <c r="F8872" t="s">
        <v>45</v>
      </c>
      <c r="G8872" s="3">
        <f t="shared" si="1051"/>
        <v>-1372.3435999999999</v>
      </c>
      <c r="H8872" s="3">
        <f t="shared" si="1052"/>
        <v>1372.3435999999999</v>
      </c>
      <c r="I8872" s="5" t="str">
        <f t="shared" si="1053"/>
        <v>019</v>
      </c>
      <c r="J8872" s="5" t="str">
        <f t="shared" si="1054"/>
        <v>2210</v>
      </c>
      <c r="K8872" s="5" t="str">
        <f t="shared" si="1055"/>
        <v>000</v>
      </c>
      <c r="L8872" s="5">
        <f t="shared" si="1056"/>
        <v>10</v>
      </c>
      <c r="M8872" s="5">
        <f t="shared" si="1057"/>
        <v>2013</v>
      </c>
    </row>
    <row r="8873" spans="1:13" ht="15" x14ac:dyDescent="0.25">
      <c r="A8873" s="1">
        <f>DATE(2013,10,13)</f>
        <v>41560</v>
      </c>
      <c r="B8873" t="s">
        <v>25</v>
      </c>
      <c r="C8873" t="s">
        <v>9</v>
      </c>
      <c r="D8873" s="3">
        <v>343.15320000000003</v>
      </c>
      <c r="E8873" s="3">
        <v>0</v>
      </c>
      <c r="F8873" t="s">
        <v>45</v>
      </c>
      <c r="G8873" s="3">
        <f t="shared" si="1051"/>
        <v>-343.15320000000003</v>
      </c>
      <c r="H8873" s="3">
        <f t="shared" si="1052"/>
        <v>343.15320000000003</v>
      </c>
      <c r="I8873" s="5" t="str">
        <f t="shared" si="1053"/>
        <v>019</v>
      </c>
      <c r="J8873" s="5" t="str">
        <f t="shared" si="1054"/>
        <v>2220</v>
      </c>
      <c r="K8873" s="5" t="str">
        <f t="shared" si="1055"/>
        <v>000</v>
      </c>
      <c r="L8873" s="5">
        <f t="shared" si="1056"/>
        <v>10</v>
      </c>
      <c r="M8873" s="5">
        <f t="shared" si="1057"/>
        <v>2013</v>
      </c>
    </row>
    <row r="8874" spans="1:13" ht="15" x14ac:dyDescent="0.25">
      <c r="A8874" s="1">
        <f>DATE(2013,10,13)</f>
        <v>41560</v>
      </c>
      <c r="B8874" t="s">
        <v>26</v>
      </c>
      <c r="C8874" t="s">
        <v>10</v>
      </c>
      <c r="D8874" s="3">
        <v>108.04179999999999</v>
      </c>
      <c r="E8874" s="3">
        <v>0</v>
      </c>
      <c r="F8874" t="s">
        <v>45</v>
      </c>
      <c r="G8874" s="3">
        <f t="shared" si="1051"/>
        <v>-108.04179999999999</v>
      </c>
      <c r="H8874" s="3">
        <f t="shared" si="1052"/>
        <v>108.04179999999999</v>
      </c>
      <c r="I8874" s="5" t="str">
        <f t="shared" si="1053"/>
        <v>019</v>
      </c>
      <c r="J8874" s="5" t="str">
        <f t="shared" si="1054"/>
        <v>2230</v>
      </c>
      <c r="K8874" s="5" t="str">
        <f t="shared" si="1055"/>
        <v>000</v>
      </c>
      <c r="L8874" s="5">
        <f t="shared" si="1056"/>
        <v>10</v>
      </c>
      <c r="M8874" s="5">
        <f t="shared" si="1057"/>
        <v>2013</v>
      </c>
    </row>
    <row r="8875" spans="1:13" ht="15" x14ac:dyDescent="0.25">
      <c r="A8875" s="1">
        <f>DATE(2013,10,7)</f>
        <v>41554</v>
      </c>
      <c r="B8875" t="s">
        <v>27</v>
      </c>
      <c r="C8875" t="s">
        <v>6</v>
      </c>
      <c r="D8875" s="3">
        <v>11860.965900000001</v>
      </c>
      <c r="E8875" s="3">
        <v>0</v>
      </c>
      <c r="F8875" t="s">
        <v>45</v>
      </c>
      <c r="G8875" s="3">
        <f t="shared" si="1051"/>
        <v>-11860.965900000001</v>
      </c>
      <c r="H8875" s="3">
        <f t="shared" si="1052"/>
        <v>11860.965900000001</v>
      </c>
      <c r="I8875" s="5" t="str">
        <f t="shared" si="1053"/>
        <v>020</v>
      </c>
      <c r="J8875" s="5" t="str">
        <f t="shared" si="1054"/>
        <v>2100</v>
      </c>
      <c r="K8875" s="5" t="str">
        <f t="shared" si="1055"/>
        <v>000</v>
      </c>
      <c r="L8875" s="5">
        <f t="shared" si="1056"/>
        <v>10</v>
      </c>
      <c r="M8875" s="5">
        <f t="shared" si="1057"/>
        <v>2013</v>
      </c>
    </row>
    <row r="8876" spans="1:13" ht="15" x14ac:dyDescent="0.25">
      <c r="A8876" s="1">
        <f>DATE(2013,10,7)</f>
        <v>41554</v>
      </c>
      <c r="B8876" t="s">
        <v>28</v>
      </c>
      <c r="C8876" t="s">
        <v>8</v>
      </c>
      <c r="D8876" s="3">
        <v>5210.1004999999996</v>
      </c>
      <c r="E8876" s="3">
        <v>0</v>
      </c>
      <c r="F8876" t="s">
        <v>45</v>
      </c>
      <c r="G8876" s="3">
        <f t="shared" si="1051"/>
        <v>-5210.1004999999996</v>
      </c>
      <c r="H8876" s="3">
        <f t="shared" si="1052"/>
        <v>5210.1004999999996</v>
      </c>
      <c r="I8876" s="5" t="str">
        <f t="shared" si="1053"/>
        <v>020</v>
      </c>
      <c r="J8876" s="5" t="str">
        <f t="shared" si="1054"/>
        <v>2210</v>
      </c>
      <c r="K8876" s="5" t="str">
        <f t="shared" si="1055"/>
        <v>000</v>
      </c>
      <c r="L8876" s="5">
        <f t="shared" si="1056"/>
        <v>10</v>
      </c>
      <c r="M8876" s="5">
        <f t="shared" si="1057"/>
        <v>2013</v>
      </c>
    </row>
    <row r="8877" spans="1:13" ht="15" x14ac:dyDescent="0.25">
      <c r="A8877" s="1">
        <f>DATE(2013,10,7)</f>
        <v>41554</v>
      </c>
      <c r="B8877" t="s">
        <v>29</v>
      </c>
      <c r="C8877" t="s">
        <v>9</v>
      </c>
      <c r="D8877" s="3">
        <v>822.83410000000003</v>
      </c>
      <c r="E8877" s="3">
        <v>0</v>
      </c>
      <c r="F8877" t="s">
        <v>45</v>
      </c>
      <c r="G8877" s="3">
        <f t="shared" si="1051"/>
        <v>-822.83410000000003</v>
      </c>
      <c r="H8877" s="3">
        <f t="shared" si="1052"/>
        <v>822.83410000000003</v>
      </c>
      <c r="I8877" s="5" t="str">
        <f t="shared" si="1053"/>
        <v>020</v>
      </c>
      <c r="J8877" s="5" t="str">
        <f t="shared" si="1054"/>
        <v>2220</v>
      </c>
      <c r="K8877" s="5" t="str">
        <f t="shared" si="1055"/>
        <v>000</v>
      </c>
      <c r="L8877" s="5">
        <f t="shared" si="1056"/>
        <v>10</v>
      </c>
      <c r="M8877" s="5">
        <f t="shared" si="1057"/>
        <v>2013</v>
      </c>
    </row>
    <row r="8878" spans="1:13" ht="15" x14ac:dyDescent="0.25">
      <c r="A8878" s="1">
        <f>DATE(2013,10,7)</f>
        <v>41554</v>
      </c>
      <c r="B8878" t="s">
        <v>30</v>
      </c>
      <c r="C8878" t="s">
        <v>10</v>
      </c>
      <c r="D8878" s="3">
        <v>14.701600000000001</v>
      </c>
      <c r="E8878" s="3">
        <v>0</v>
      </c>
      <c r="F8878" t="s">
        <v>45</v>
      </c>
      <c r="G8878" s="3">
        <f t="shared" si="1051"/>
        <v>-14.701600000000001</v>
      </c>
      <c r="H8878" s="3">
        <f t="shared" si="1052"/>
        <v>14.701600000000001</v>
      </c>
      <c r="I8878" s="5" t="str">
        <f t="shared" si="1053"/>
        <v>020</v>
      </c>
      <c r="J8878" s="5" t="str">
        <f t="shared" si="1054"/>
        <v>2230</v>
      </c>
      <c r="K8878" s="5" t="str">
        <f t="shared" si="1055"/>
        <v>000</v>
      </c>
      <c r="L8878" s="5">
        <f t="shared" si="1056"/>
        <v>10</v>
      </c>
      <c r="M8878" s="5">
        <f t="shared" si="1057"/>
        <v>2013</v>
      </c>
    </row>
    <row r="8879" spans="1:13" ht="15" x14ac:dyDescent="0.25">
      <c r="A8879" s="1">
        <f>DATE(2013,10,8)</f>
        <v>41555</v>
      </c>
      <c r="B8879" t="s">
        <v>27</v>
      </c>
      <c r="C8879" t="s">
        <v>6</v>
      </c>
      <c r="D8879" s="3">
        <v>16497.9192</v>
      </c>
      <c r="E8879" s="3">
        <v>0</v>
      </c>
      <c r="F8879" t="s">
        <v>45</v>
      </c>
      <c r="G8879" s="3">
        <f t="shared" si="1051"/>
        <v>-16497.9192</v>
      </c>
      <c r="H8879" s="3">
        <f t="shared" si="1052"/>
        <v>16497.9192</v>
      </c>
      <c r="I8879" s="5" t="str">
        <f t="shared" si="1053"/>
        <v>020</v>
      </c>
      <c r="J8879" s="5" t="str">
        <f t="shared" si="1054"/>
        <v>2100</v>
      </c>
      <c r="K8879" s="5" t="str">
        <f t="shared" si="1055"/>
        <v>000</v>
      </c>
      <c r="L8879" s="5">
        <f t="shared" si="1056"/>
        <v>10</v>
      </c>
      <c r="M8879" s="5">
        <f t="shared" si="1057"/>
        <v>2013</v>
      </c>
    </row>
    <row r="8880" spans="1:13" ht="15" x14ac:dyDescent="0.25">
      <c r="A8880" s="1">
        <f>DATE(2013,10,8)</f>
        <v>41555</v>
      </c>
      <c r="B8880" t="s">
        <v>28</v>
      </c>
      <c r="C8880" t="s">
        <v>8</v>
      </c>
      <c r="D8880" s="3">
        <v>5904.6815999999999</v>
      </c>
      <c r="E8880" s="3">
        <v>0</v>
      </c>
      <c r="F8880" t="s">
        <v>45</v>
      </c>
      <c r="G8880" s="3">
        <f t="shared" si="1051"/>
        <v>-5904.6815999999999</v>
      </c>
      <c r="H8880" s="3">
        <f t="shared" si="1052"/>
        <v>5904.6815999999999</v>
      </c>
      <c r="I8880" s="5" t="str">
        <f t="shared" si="1053"/>
        <v>020</v>
      </c>
      <c r="J8880" s="5" t="str">
        <f t="shared" si="1054"/>
        <v>2210</v>
      </c>
      <c r="K8880" s="5" t="str">
        <f t="shared" si="1055"/>
        <v>000</v>
      </c>
      <c r="L8880" s="5">
        <f t="shared" si="1056"/>
        <v>10</v>
      </c>
      <c r="M8880" s="5">
        <f t="shared" si="1057"/>
        <v>2013</v>
      </c>
    </row>
    <row r="8881" spans="1:13" ht="15" x14ac:dyDescent="0.25">
      <c r="A8881" s="1">
        <f>DATE(2013,10,8)</f>
        <v>41555</v>
      </c>
      <c r="B8881" t="s">
        <v>29</v>
      </c>
      <c r="C8881" t="s">
        <v>9</v>
      </c>
      <c r="D8881" s="3">
        <v>597.95190000000002</v>
      </c>
      <c r="E8881" s="3">
        <v>0</v>
      </c>
      <c r="F8881" t="s">
        <v>45</v>
      </c>
      <c r="G8881" s="3">
        <f t="shared" si="1051"/>
        <v>-597.95190000000002</v>
      </c>
      <c r="H8881" s="3">
        <f t="shared" si="1052"/>
        <v>597.95190000000002</v>
      </c>
      <c r="I8881" s="5" t="str">
        <f t="shared" si="1053"/>
        <v>020</v>
      </c>
      <c r="J8881" s="5" t="str">
        <f t="shared" si="1054"/>
        <v>2220</v>
      </c>
      <c r="K8881" s="5" t="str">
        <f t="shared" si="1055"/>
        <v>000</v>
      </c>
      <c r="L8881" s="5">
        <f t="shared" si="1056"/>
        <v>10</v>
      </c>
      <c r="M8881" s="5">
        <f t="shared" si="1057"/>
        <v>2013</v>
      </c>
    </row>
    <row r="8882" spans="1:13" ht="15" x14ac:dyDescent="0.25">
      <c r="A8882" s="1">
        <f>DATE(2013,10,8)</f>
        <v>41555</v>
      </c>
      <c r="B8882" t="s">
        <v>30</v>
      </c>
      <c r="C8882" t="s">
        <v>10</v>
      </c>
      <c r="D8882" s="3">
        <v>150.08659999999998</v>
      </c>
      <c r="E8882" s="3">
        <v>0</v>
      </c>
      <c r="F8882" t="s">
        <v>45</v>
      </c>
      <c r="G8882" s="3">
        <f t="shared" si="1051"/>
        <v>-150.08659999999998</v>
      </c>
      <c r="H8882" s="3">
        <f t="shared" si="1052"/>
        <v>150.08659999999998</v>
      </c>
      <c r="I8882" s="5" t="str">
        <f t="shared" si="1053"/>
        <v>020</v>
      </c>
      <c r="J8882" s="5" t="str">
        <f t="shared" si="1054"/>
        <v>2230</v>
      </c>
      <c r="K8882" s="5" t="str">
        <f t="shared" si="1055"/>
        <v>000</v>
      </c>
      <c r="L8882" s="5">
        <f t="shared" si="1056"/>
        <v>10</v>
      </c>
      <c r="M8882" s="5">
        <f t="shared" si="1057"/>
        <v>2013</v>
      </c>
    </row>
    <row r="8883" spans="1:13" ht="15" x14ac:dyDescent="0.25">
      <c r="A8883" s="1">
        <f>DATE(2013,10,9)</f>
        <v>41556</v>
      </c>
      <c r="B8883" t="s">
        <v>27</v>
      </c>
      <c r="C8883" t="s">
        <v>6</v>
      </c>
      <c r="D8883" s="3">
        <v>13715.560799999999</v>
      </c>
      <c r="E8883" s="3">
        <v>0</v>
      </c>
      <c r="F8883" t="s">
        <v>45</v>
      </c>
      <c r="G8883" s="3">
        <f t="shared" si="1051"/>
        <v>-13715.560799999999</v>
      </c>
      <c r="H8883" s="3">
        <f t="shared" si="1052"/>
        <v>13715.560799999999</v>
      </c>
      <c r="I8883" s="5" t="str">
        <f t="shared" si="1053"/>
        <v>020</v>
      </c>
      <c r="J8883" s="5" t="str">
        <f t="shared" si="1054"/>
        <v>2100</v>
      </c>
      <c r="K8883" s="5" t="str">
        <f t="shared" si="1055"/>
        <v>000</v>
      </c>
      <c r="L8883" s="5">
        <f t="shared" si="1056"/>
        <v>10</v>
      </c>
      <c r="M8883" s="5">
        <f t="shared" si="1057"/>
        <v>2013</v>
      </c>
    </row>
    <row r="8884" spans="1:13" ht="15" x14ac:dyDescent="0.25">
      <c r="A8884" s="1">
        <f>DATE(2013,10,9)</f>
        <v>41556</v>
      </c>
      <c r="B8884" t="s">
        <v>28</v>
      </c>
      <c r="C8884" t="s">
        <v>8</v>
      </c>
      <c r="D8884" s="3">
        <v>3556.2456000000002</v>
      </c>
      <c r="E8884" s="3">
        <v>0</v>
      </c>
      <c r="F8884" t="s">
        <v>45</v>
      </c>
      <c r="G8884" s="3">
        <f t="shared" si="1051"/>
        <v>-3556.2456000000002</v>
      </c>
      <c r="H8884" s="3">
        <f t="shared" si="1052"/>
        <v>3556.2456000000002</v>
      </c>
      <c r="I8884" s="5" t="str">
        <f t="shared" si="1053"/>
        <v>020</v>
      </c>
      <c r="J8884" s="5" t="str">
        <f t="shared" si="1054"/>
        <v>2210</v>
      </c>
      <c r="K8884" s="5" t="str">
        <f t="shared" si="1055"/>
        <v>000</v>
      </c>
      <c r="L8884" s="5">
        <f t="shared" si="1056"/>
        <v>10</v>
      </c>
      <c r="M8884" s="5">
        <f t="shared" si="1057"/>
        <v>2013</v>
      </c>
    </row>
    <row r="8885" spans="1:13" ht="15" x14ac:dyDescent="0.25">
      <c r="A8885" s="1">
        <f>DATE(2013,10,9)</f>
        <v>41556</v>
      </c>
      <c r="B8885" t="s">
        <v>29</v>
      </c>
      <c r="C8885" t="s">
        <v>9</v>
      </c>
      <c r="D8885" s="3">
        <v>789.30400000000009</v>
      </c>
      <c r="E8885" s="3">
        <v>0</v>
      </c>
      <c r="F8885" t="s">
        <v>45</v>
      </c>
      <c r="G8885" s="3">
        <f t="shared" si="1051"/>
        <v>-789.30400000000009</v>
      </c>
      <c r="H8885" s="3">
        <f t="shared" si="1052"/>
        <v>789.30400000000009</v>
      </c>
      <c r="I8885" s="5" t="str">
        <f t="shared" si="1053"/>
        <v>020</v>
      </c>
      <c r="J8885" s="5" t="str">
        <f t="shared" si="1054"/>
        <v>2220</v>
      </c>
      <c r="K8885" s="5" t="str">
        <f t="shared" si="1055"/>
        <v>000</v>
      </c>
      <c r="L8885" s="5">
        <f t="shared" si="1056"/>
        <v>10</v>
      </c>
      <c r="M8885" s="5">
        <f t="shared" si="1057"/>
        <v>2013</v>
      </c>
    </row>
    <row r="8886" spans="1:13" ht="15" x14ac:dyDescent="0.25">
      <c r="A8886" s="1">
        <f>DATE(2013,10,9)</f>
        <v>41556</v>
      </c>
      <c r="B8886" t="s">
        <v>30</v>
      </c>
      <c r="C8886" t="s">
        <v>10</v>
      </c>
      <c r="D8886" s="3">
        <v>243.40610000000001</v>
      </c>
      <c r="E8886" s="3">
        <v>0</v>
      </c>
      <c r="F8886" t="s">
        <v>45</v>
      </c>
      <c r="G8886" s="3">
        <f t="shared" si="1051"/>
        <v>-243.40610000000001</v>
      </c>
      <c r="H8886" s="3">
        <f t="shared" si="1052"/>
        <v>243.40610000000001</v>
      </c>
      <c r="I8886" s="5" t="str">
        <f t="shared" si="1053"/>
        <v>020</v>
      </c>
      <c r="J8886" s="5" t="str">
        <f t="shared" si="1054"/>
        <v>2230</v>
      </c>
      <c r="K8886" s="5" t="str">
        <f t="shared" si="1055"/>
        <v>000</v>
      </c>
      <c r="L8886" s="5">
        <f t="shared" si="1056"/>
        <v>10</v>
      </c>
      <c r="M8886" s="5">
        <f t="shared" si="1057"/>
        <v>2013</v>
      </c>
    </row>
    <row r="8887" spans="1:13" ht="15" x14ac:dyDescent="0.25">
      <c r="A8887" s="1">
        <f>DATE(2013,10,10)</f>
        <v>41557</v>
      </c>
      <c r="B8887" t="s">
        <v>27</v>
      </c>
      <c r="C8887" t="s">
        <v>6</v>
      </c>
      <c r="D8887" s="3">
        <v>17112.032599999999</v>
      </c>
      <c r="E8887" s="3">
        <v>0</v>
      </c>
      <c r="F8887" t="s">
        <v>45</v>
      </c>
      <c r="G8887" s="3">
        <f t="shared" si="1051"/>
        <v>-17112.032599999999</v>
      </c>
      <c r="H8887" s="3">
        <f t="shared" si="1052"/>
        <v>17112.032599999999</v>
      </c>
      <c r="I8887" s="5" t="str">
        <f t="shared" si="1053"/>
        <v>020</v>
      </c>
      <c r="J8887" s="5" t="str">
        <f t="shared" si="1054"/>
        <v>2100</v>
      </c>
      <c r="K8887" s="5" t="str">
        <f t="shared" si="1055"/>
        <v>000</v>
      </c>
      <c r="L8887" s="5">
        <f t="shared" si="1056"/>
        <v>10</v>
      </c>
      <c r="M8887" s="5">
        <f t="shared" si="1057"/>
        <v>2013</v>
      </c>
    </row>
    <row r="8888" spans="1:13" ht="15" x14ac:dyDescent="0.25">
      <c r="A8888" s="1">
        <f>DATE(2013,10,10)</f>
        <v>41557</v>
      </c>
      <c r="B8888" t="s">
        <v>28</v>
      </c>
      <c r="C8888" t="s">
        <v>8</v>
      </c>
      <c r="D8888" s="3">
        <v>4001.3724000000002</v>
      </c>
      <c r="E8888" s="3">
        <v>0</v>
      </c>
      <c r="F8888" t="s">
        <v>45</v>
      </c>
      <c r="G8888" s="3">
        <f t="shared" si="1051"/>
        <v>-4001.3724000000002</v>
      </c>
      <c r="H8888" s="3">
        <f t="shared" si="1052"/>
        <v>4001.3724000000002</v>
      </c>
      <c r="I8888" s="5" t="str">
        <f t="shared" si="1053"/>
        <v>020</v>
      </c>
      <c r="J8888" s="5" t="str">
        <f t="shared" si="1054"/>
        <v>2210</v>
      </c>
      <c r="K8888" s="5" t="str">
        <f t="shared" si="1055"/>
        <v>000</v>
      </c>
      <c r="L8888" s="5">
        <f t="shared" si="1056"/>
        <v>10</v>
      </c>
      <c r="M8888" s="5">
        <f t="shared" si="1057"/>
        <v>2013</v>
      </c>
    </row>
    <row r="8889" spans="1:13" ht="15" x14ac:dyDescent="0.25">
      <c r="A8889" s="1">
        <f>DATE(2013,10,10)</f>
        <v>41557</v>
      </c>
      <c r="B8889" t="s">
        <v>29</v>
      </c>
      <c r="C8889" t="s">
        <v>9</v>
      </c>
      <c r="D8889" s="3">
        <v>904.91519999999991</v>
      </c>
      <c r="E8889" s="3">
        <v>0</v>
      </c>
      <c r="F8889" t="s">
        <v>45</v>
      </c>
      <c r="G8889" s="3">
        <f t="shared" si="1051"/>
        <v>-904.91519999999991</v>
      </c>
      <c r="H8889" s="3">
        <f t="shared" si="1052"/>
        <v>904.91519999999991</v>
      </c>
      <c r="I8889" s="5" t="str">
        <f t="shared" si="1053"/>
        <v>020</v>
      </c>
      <c r="J8889" s="5" t="str">
        <f t="shared" si="1054"/>
        <v>2220</v>
      </c>
      <c r="K8889" s="5" t="str">
        <f t="shared" si="1055"/>
        <v>000</v>
      </c>
      <c r="L8889" s="5">
        <f t="shared" si="1056"/>
        <v>10</v>
      </c>
      <c r="M8889" s="5">
        <f t="shared" si="1057"/>
        <v>2013</v>
      </c>
    </row>
    <row r="8890" spans="1:13" ht="15" x14ac:dyDescent="0.25">
      <c r="A8890" s="1">
        <f>DATE(2013,10,10)</f>
        <v>41557</v>
      </c>
      <c r="B8890" t="s">
        <v>30</v>
      </c>
      <c r="C8890" t="s">
        <v>10</v>
      </c>
      <c r="D8890" s="3">
        <v>150.63290000000001</v>
      </c>
      <c r="E8890" s="3">
        <v>0</v>
      </c>
      <c r="F8890" t="s">
        <v>45</v>
      </c>
      <c r="G8890" s="3">
        <f t="shared" si="1051"/>
        <v>-150.63290000000001</v>
      </c>
      <c r="H8890" s="3">
        <f t="shared" si="1052"/>
        <v>150.63290000000001</v>
      </c>
      <c r="I8890" s="5" t="str">
        <f t="shared" si="1053"/>
        <v>020</v>
      </c>
      <c r="J8890" s="5" t="str">
        <f t="shared" si="1054"/>
        <v>2230</v>
      </c>
      <c r="K8890" s="5" t="str">
        <f t="shared" si="1055"/>
        <v>000</v>
      </c>
      <c r="L8890" s="5">
        <f t="shared" si="1056"/>
        <v>10</v>
      </c>
      <c r="M8890" s="5">
        <f t="shared" si="1057"/>
        <v>2013</v>
      </c>
    </row>
    <row r="8891" spans="1:13" ht="15" x14ac:dyDescent="0.25">
      <c r="A8891" s="1">
        <f>DATE(2013,10,11)</f>
        <v>41558</v>
      </c>
      <c r="B8891" t="s">
        <v>27</v>
      </c>
      <c r="C8891" t="s">
        <v>6</v>
      </c>
      <c r="D8891" s="3">
        <v>21792.377700000001</v>
      </c>
      <c r="E8891" s="3">
        <v>0</v>
      </c>
      <c r="F8891" t="s">
        <v>45</v>
      </c>
      <c r="G8891" s="3">
        <f t="shared" si="1051"/>
        <v>-21792.377700000001</v>
      </c>
      <c r="H8891" s="3">
        <f t="shared" si="1052"/>
        <v>21792.377700000001</v>
      </c>
      <c r="I8891" s="5" t="str">
        <f t="shared" si="1053"/>
        <v>020</v>
      </c>
      <c r="J8891" s="5" t="str">
        <f t="shared" si="1054"/>
        <v>2100</v>
      </c>
      <c r="K8891" s="5" t="str">
        <f t="shared" si="1055"/>
        <v>000</v>
      </c>
      <c r="L8891" s="5">
        <f t="shared" si="1056"/>
        <v>10</v>
      </c>
      <c r="M8891" s="5">
        <f t="shared" si="1057"/>
        <v>2013</v>
      </c>
    </row>
    <row r="8892" spans="1:13" ht="15" x14ac:dyDescent="0.25">
      <c r="A8892" s="1">
        <f>DATE(2013,10,11)</f>
        <v>41558</v>
      </c>
      <c r="B8892" t="s">
        <v>28</v>
      </c>
      <c r="C8892" t="s">
        <v>8</v>
      </c>
      <c r="D8892" s="3">
        <v>6031.6266000000005</v>
      </c>
      <c r="E8892" s="3">
        <v>0</v>
      </c>
      <c r="F8892" t="s">
        <v>45</v>
      </c>
      <c r="G8892" s="3">
        <f t="shared" si="1051"/>
        <v>-6031.6266000000005</v>
      </c>
      <c r="H8892" s="3">
        <f t="shared" si="1052"/>
        <v>6031.6266000000005</v>
      </c>
      <c r="I8892" s="5" t="str">
        <f t="shared" si="1053"/>
        <v>020</v>
      </c>
      <c r="J8892" s="5" t="str">
        <f t="shared" si="1054"/>
        <v>2210</v>
      </c>
      <c r="K8892" s="5" t="str">
        <f t="shared" si="1055"/>
        <v>000</v>
      </c>
      <c r="L8892" s="5">
        <f t="shared" si="1056"/>
        <v>10</v>
      </c>
      <c r="M8892" s="5">
        <f t="shared" si="1057"/>
        <v>2013</v>
      </c>
    </row>
    <row r="8893" spans="1:13" ht="15" x14ac:dyDescent="0.25">
      <c r="A8893" s="1">
        <f>DATE(2013,10,11)</f>
        <v>41558</v>
      </c>
      <c r="B8893" t="s">
        <v>29</v>
      </c>
      <c r="C8893" t="s">
        <v>9</v>
      </c>
      <c r="D8893" s="3">
        <v>1461.1972000000001</v>
      </c>
      <c r="E8893" s="3">
        <v>0</v>
      </c>
      <c r="F8893" t="s">
        <v>45</v>
      </c>
      <c r="G8893" s="3">
        <f t="shared" si="1051"/>
        <v>-1461.1972000000001</v>
      </c>
      <c r="H8893" s="3">
        <f t="shared" si="1052"/>
        <v>1461.1972000000001</v>
      </c>
      <c r="I8893" s="5" t="str">
        <f t="shared" si="1053"/>
        <v>020</v>
      </c>
      <c r="J8893" s="5" t="str">
        <f t="shared" si="1054"/>
        <v>2220</v>
      </c>
      <c r="K8893" s="5" t="str">
        <f t="shared" si="1055"/>
        <v>000</v>
      </c>
      <c r="L8893" s="5">
        <f t="shared" si="1056"/>
        <v>10</v>
      </c>
      <c r="M8893" s="5">
        <f t="shared" si="1057"/>
        <v>2013</v>
      </c>
    </row>
    <row r="8894" spans="1:13" ht="15" x14ac:dyDescent="0.25">
      <c r="A8894" s="1">
        <f>DATE(2013,10,11)</f>
        <v>41558</v>
      </c>
      <c r="B8894" t="s">
        <v>30</v>
      </c>
      <c r="C8894" t="s">
        <v>10</v>
      </c>
      <c r="D8894" s="3">
        <v>171.57759999999999</v>
      </c>
      <c r="E8894" s="3">
        <v>0</v>
      </c>
      <c r="F8894" t="s">
        <v>45</v>
      </c>
      <c r="G8894" s="3">
        <f t="shared" si="1051"/>
        <v>-171.57759999999999</v>
      </c>
      <c r="H8894" s="3">
        <f t="shared" si="1052"/>
        <v>171.57759999999999</v>
      </c>
      <c r="I8894" s="5" t="str">
        <f t="shared" si="1053"/>
        <v>020</v>
      </c>
      <c r="J8894" s="5" t="str">
        <f t="shared" si="1054"/>
        <v>2230</v>
      </c>
      <c r="K8894" s="5" t="str">
        <f t="shared" si="1055"/>
        <v>000</v>
      </c>
      <c r="L8894" s="5">
        <f t="shared" si="1056"/>
        <v>10</v>
      </c>
      <c r="M8894" s="5">
        <f t="shared" si="1057"/>
        <v>2013</v>
      </c>
    </row>
    <row r="8895" spans="1:13" ht="15" x14ac:dyDescent="0.25">
      <c r="A8895" s="1">
        <f>DATE(2013,10,12)</f>
        <v>41559</v>
      </c>
      <c r="B8895" t="s">
        <v>27</v>
      </c>
      <c r="C8895" t="s">
        <v>6</v>
      </c>
      <c r="D8895" s="3">
        <v>25928.766500000002</v>
      </c>
      <c r="E8895" s="3">
        <v>0</v>
      </c>
      <c r="F8895" t="s">
        <v>45</v>
      </c>
      <c r="G8895" s="3">
        <f t="shared" si="1051"/>
        <v>-25928.766500000002</v>
      </c>
      <c r="H8895" s="3">
        <f t="shared" si="1052"/>
        <v>25928.766500000002</v>
      </c>
      <c r="I8895" s="5" t="str">
        <f t="shared" si="1053"/>
        <v>020</v>
      </c>
      <c r="J8895" s="5" t="str">
        <f t="shared" si="1054"/>
        <v>2100</v>
      </c>
      <c r="K8895" s="5" t="str">
        <f t="shared" si="1055"/>
        <v>000</v>
      </c>
      <c r="L8895" s="5">
        <f t="shared" si="1056"/>
        <v>10</v>
      </c>
      <c r="M8895" s="5">
        <f t="shared" si="1057"/>
        <v>2013</v>
      </c>
    </row>
    <row r="8896" spans="1:13" ht="15" x14ac:dyDescent="0.25">
      <c r="A8896" s="1">
        <f>DATE(2013,10,12)</f>
        <v>41559</v>
      </c>
      <c r="B8896" t="s">
        <v>28</v>
      </c>
      <c r="C8896" t="s">
        <v>8</v>
      </c>
      <c r="D8896" s="3">
        <v>9331.7047999999995</v>
      </c>
      <c r="E8896" s="3">
        <v>0</v>
      </c>
      <c r="F8896" t="s">
        <v>45</v>
      </c>
      <c r="G8896" s="3">
        <f t="shared" si="1051"/>
        <v>-9331.7047999999995</v>
      </c>
      <c r="H8896" s="3">
        <f t="shared" si="1052"/>
        <v>9331.7047999999995</v>
      </c>
      <c r="I8896" s="5" t="str">
        <f t="shared" si="1053"/>
        <v>020</v>
      </c>
      <c r="J8896" s="5" t="str">
        <f t="shared" si="1054"/>
        <v>2210</v>
      </c>
      <c r="K8896" s="5" t="str">
        <f t="shared" si="1055"/>
        <v>000</v>
      </c>
      <c r="L8896" s="5">
        <f t="shared" si="1056"/>
        <v>10</v>
      </c>
      <c r="M8896" s="5">
        <f t="shared" si="1057"/>
        <v>2013</v>
      </c>
    </row>
    <row r="8897" spans="1:13" ht="15" x14ac:dyDescent="0.25">
      <c r="A8897" s="1">
        <f>DATE(2013,10,12)</f>
        <v>41559</v>
      </c>
      <c r="B8897" t="s">
        <v>29</v>
      </c>
      <c r="C8897" t="s">
        <v>9</v>
      </c>
      <c r="D8897" s="3">
        <v>1523.2203</v>
      </c>
      <c r="E8897" s="3">
        <v>0</v>
      </c>
      <c r="F8897" t="s">
        <v>45</v>
      </c>
      <c r="G8897" s="3">
        <f t="shared" si="1051"/>
        <v>-1523.2203</v>
      </c>
      <c r="H8897" s="3">
        <f t="shared" si="1052"/>
        <v>1523.2203</v>
      </c>
      <c r="I8897" s="5" t="str">
        <f t="shared" si="1053"/>
        <v>020</v>
      </c>
      <c r="J8897" s="5" t="str">
        <f t="shared" si="1054"/>
        <v>2220</v>
      </c>
      <c r="K8897" s="5" t="str">
        <f t="shared" si="1055"/>
        <v>000</v>
      </c>
      <c r="L8897" s="5">
        <f t="shared" si="1056"/>
        <v>10</v>
      </c>
      <c r="M8897" s="5">
        <f t="shared" si="1057"/>
        <v>2013</v>
      </c>
    </row>
    <row r="8898" spans="1:13" ht="15" x14ac:dyDescent="0.25">
      <c r="A8898" s="1">
        <f>DATE(2013,10,12)</f>
        <v>41559</v>
      </c>
      <c r="B8898" t="s">
        <v>30</v>
      </c>
      <c r="C8898" t="s">
        <v>10</v>
      </c>
      <c r="D8898" s="3">
        <v>131.85890000000001</v>
      </c>
      <c r="E8898" s="3">
        <v>0</v>
      </c>
      <c r="F8898" t="s">
        <v>45</v>
      </c>
      <c r="G8898" s="3">
        <f t="shared" ref="G8898:G8961" si="1058">E8898-D8898</f>
        <v>-131.85890000000001</v>
      </c>
      <c r="H8898" s="3">
        <f t="shared" ref="H8898:H8961" si="1059">ABS(G8898)</f>
        <v>131.85890000000001</v>
      </c>
      <c r="I8898" s="5" t="str">
        <f t="shared" ref="I8898:I8961" si="1060">MID(B8898,1,3)</f>
        <v>020</v>
      </c>
      <c r="J8898" s="5" t="str">
        <f t="shared" ref="J8898:J8961" si="1061">MID(B8898,5,4)</f>
        <v>2230</v>
      </c>
      <c r="K8898" s="5" t="str">
        <f t="shared" ref="K8898:K8961" si="1062">MID(B8898,10,3)</f>
        <v>000</v>
      </c>
      <c r="L8898" s="5">
        <f t="shared" ref="L8898:L8961" si="1063">MONTH(A8898)</f>
        <v>10</v>
      </c>
      <c r="M8898" s="5">
        <f t="shared" ref="M8898:M8961" si="1064">YEAR(A8898)</f>
        <v>2013</v>
      </c>
    </row>
    <row r="8899" spans="1:13" ht="15" x14ac:dyDescent="0.25">
      <c r="A8899" s="1">
        <f>DATE(2013,10,13)</f>
        <v>41560</v>
      </c>
      <c r="B8899" t="s">
        <v>27</v>
      </c>
      <c r="C8899" t="s">
        <v>6</v>
      </c>
      <c r="D8899" s="3">
        <v>18353.492099999999</v>
      </c>
      <c r="E8899" s="3">
        <v>0</v>
      </c>
      <c r="F8899" t="s">
        <v>45</v>
      </c>
      <c r="G8899" s="3">
        <f t="shared" si="1058"/>
        <v>-18353.492099999999</v>
      </c>
      <c r="H8899" s="3">
        <f t="shared" si="1059"/>
        <v>18353.492099999999</v>
      </c>
      <c r="I8899" s="5" t="str">
        <f t="shared" si="1060"/>
        <v>020</v>
      </c>
      <c r="J8899" s="5" t="str">
        <f t="shared" si="1061"/>
        <v>2100</v>
      </c>
      <c r="K8899" s="5" t="str">
        <f t="shared" si="1062"/>
        <v>000</v>
      </c>
      <c r="L8899" s="5">
        <f t="shared" si="1063"/>
        <v>10</v>
      </c>
      <c r="M8899" s="5">
        <f t="shared" si="1064"/>
        <v>2013</v>
      </c>
    </row>
    <row r="8900" spans="1:13" ht="15" x14ac:dyDescent="0.25">
      <c r="A8900" s="1">
        <f>DATE(2013,10,13)</f>
        <v>41560</v>
      </c>
      <c r="B8900" t="s">
        <v>28</v>
      </c>
      <c r="C8900" t="s">
        <v>8</v>
      </c>
      <c r="D8900" s="3">
        <v>6910.0433999999996</v>
      </c>
      <c r="E8900" s="3">
        <v>0</v>
      </c>
      <c r="F8900" t="s">
        <v>45</v>
      </c>
      <c r="G8900" s="3">
        <f t="shared" si="1058"/>
        <v>-6910.0433999999996</v>
      </c>
      <c r="H8900" s="3">
        <f t="shared" si="1059"/>
        <v>6910.0433999999996</v>
      </c>
      <c r="I8900" s="5" t="str">
        <f t="shared" si="1060"/>
        <v>020</v>
      </c>
      <c r="J8900" s="5" t="str">
        <f t="shared" si="1061"/>
        <v>2210</v>
      </c>
      <c r="K8900" s="5" t="str">
        <f t="shared" si="1062"/>
        <v>000</v>
      </c>
      <c r="L8900" s="5">
        <f t="shared" si="1063"/>
        <v>10</v>
      </c>
      <c r="M8900" s="5">
        <f t="shared" si="1064"/>
        <v>2013</v>
      </c>
    </row>
    <row r="8901" spans="1:13" ht="15" x14ac:dyDescent="0.25">
      <c r="A8901" s="1">
        <f>DATE(2013,10,13)</f>
        <v>41560</v>
      </c>
      <c r="B8901" t="s">
        <v>29</v>
      </c>
      <c r="C8901" t="s">
        <v>9</v>
      </c>
      <c r="D8901" s="3">
        <v>1242.8494000000001</v>
      </c>
      <c r="E8901" s="3">
        <v>0</v>
      </c>
      <c r="F8901" t="s">
        <v>45</v>
      </c>
      <c r="G8901" s="3">
        <f t="shared" si="1058"/>
        <v>-1242.8494000000001</v>
      </c>
      <c r="H8901" s="3">
        <f t="shared" si="1059"/>
        <v>1242.8494000000001</v>
      </c>
      <c r="I8901" s="5" t="str">
        <f t="shared" si="1060"/>
        <v>020</v>
      </c>
      <c r="J8901" s="5" t="str">
        <f t="shared" si="1061"/>
        <v>2220</v>
      </c>
      <c r="K8901" s="5" t="str">
        <f t="shared" si="1062"/>
        <v>000</v>
      </c>
      <c r="L8901" s="5">
        <f t="shared" si="1063"/>
        <v>10</v>
      </c>
      <c r="M8901" s="5">
        <f t="shared" si="1064"/>
        <v>2013</v>
      </c>
    </row>
    <row r="8902" spans="1:13" ht="15" x14ac:dyDescent="0.25">
      <c r="A8902" s="1">
        <f>DATE(2013,10,13)</f>
        <v>41560</v>
      </c>
      <c r="B8902" t="s">
        <v>30</v>
      </c>
      <c r="C8902" t="s">
        <v>10</v>
      </c>
      <c r="D8902" s="3">
        <v>113.3952</v>
      </c>
      <c r="E8902" s="3">
        <v>0</v>
      </c>
      <c r="F8902" t="s">
        <v>45</v>
      </c>
      <c r="G8902" s="3">
        <f t="shared" si="1058"/>
        <v>-113.3952</v>
      </c>
      <c r="H8902" s="3">
        <f t="shared" si="1059"/>
        <v>113.3952</v>
      </c>
      <c r="I8902" s="5" t="str">
        <f t="shared" si="1060"/>
        <v>020</v>
      </c>
      <c r="J8902" s="5" t="str">
        <f t="shared" si="1061"/>
        <v>2230</v>
      </c>
      <c r="K8902" s="5" t="str">
        <f t="shared" si="1062"/>
        <v>000</v>
      </c>
      <c r="L8902" s="5">
        <f t="shared" si="1063"/>
        <v>10</v>
      </c>
      <c r="M8902" s="5">
        <f t="shared" si="1064"/>
        <v>2013</v>
      </c>
    </row>
    <row r="8903" spans="1:13" ht="15" x14ac:dyDescent="0.25">
      <c r="A8903" s="1">
        <f>DATE(2013,10,14)</f>
        <v>41561</v>
      </c>
      <c r="B8903" t="s">
        <v>11</v>
      </c>
      <c r="C8903" t="s">
        <v>6</v>
      </c>
      <c r="D8903" s="3">
        <v>2875.1603999999998</v>
      </c>
      <c r="E8903" s="3">
        <v>0</v>
      </c>
      <c r="F8903" t="s">
        <v>45</v>
      </c>
      <c r="G8903" s="3">
        <f t="shared" si="1058"/>
        <v>-2875.1603999999998</v>
      </c>
      <c r="H8903" s="3">
        <f t="shared" si="1059"/>
        <v>2875.1603999999998</v>
      </c>
      <c r="I8903" s="5" t="str">
        <f t="shared" si="1060"/>
        <v>016</v>
      </c>
      <c r="J8903" s="5" t="str">
        <f t="shared" si="1061"/>
        <v>2100</v>
      </c>
      <c r="K8903" s="5" t="str">
        <f t="shared" si="1062"/>
        <v>000</v>
      </c>
      <c r="L8903" s="5">
        <f t="shared" si="1063"/>
        <v>10</v>
      </c>
      <c r="M8903" s="5">
        <f t="shared" si="1064"/>
        <v>2013</v>
      </c>
    </row>
    <row r="8904" spans="1:13" ht="15" x14ac:dyDescent="0.25">
      <c r="A8904" s="1">
        <f>DATE(2013,10,14)</f>
        <v>41561</v>
      </c>
      <c r="B8904" t="s">
        <v>12</v>
      </c>
      <c r="C8904" t="s">
        <v>8</v>
      </c>
      <c r="D8904" s="3">
        <v>593.80849999999998</v>
      </c>
      <c r="E8904" s="3">
        <v>0</v>
      </c>
      <c r="F8904" t="s">
        <v>45</v>
      </c>
      <c r="G8904" s="3">
        <f t="shared" si="1058"/>
        <v>-593.80849999999998</v>
      </c>
      <c r="H8904" s="3">
        <f t="shared" si="1059"/>
        <v>593.80849999999998</v>
      </c>
      <c r="I8904" s="5" t="str">
        <f t="shared" si="1060"/>
        <v>016</v>
      </c>
      <c r="J8904" s="5" t="str">
        <f t="shared" si="1061"/>
        <v>2210</v>
      </c>
      <c r="K8904" s="5" t="str">
        <f t="shared" si="1062"/>
        <v>000</v>
      </c>
      <c r="L8904" s="5">
        <f t="shared" si="1063"/>
        <v>10</v>
      </c>
      <c r="M8904" s="5">
        <f t="shared" si="1064"/>
        <v>2013</v>
      </c>
    </row>
    <row r="8905" spans="1:13" ht="15" x14ac:dyDescent="0.25">
      <c r="A8905" s="1">
        <f>DATE(2013,10,14)</f>
        <v>41561</v>
      </c>
      <c r="B8905" t="s">
        <v>13</v>
      </c>
      <c r="C8905" t="s">
        <v>9</v>
      </c>
      <c r="D8905" s="3">
        <v>164.66580000000002</v>
      </c>
      <c r="E8905" s="3">
        <v>0</v>
      </c>
      <c r="F8905" t="s">
        <v>45</v>
      </c>
      <c r="G8905" s="3">
        <f t="shared" si="1058"/>
        <v>-164.66580000000002</v>
      </c>
      <c r="H8905" s="3">
        <f t="shared" si="1059"/>
        <v>164.66580000000002</v>
      </c>
      <c r="I8905" s="5" t="str">
        <f t="shared" si="1060"/>
        <v>016</v>
      </c>
      <c r="J8905" s="5" t="str">
        <f t="shared" si="1061"/>
        <v>2220</v>
      </c>
      <c r="K8905" s="5" t="str">
        <f t="shared" si="1062"/>
        <v>000</v>
      </c>
      <c r="L8905" s="5">
        <f t="shared" si="1063"/>
        <v>10</v>
      </c>
      <c r="M8905" s="5">
        <f t="shared" si="1064"/>
        <v>2013</v>
      </c>
    </row>
    <row r="8906" spans="1:13" ht="15" x14ac:dyDescent="0.25">
      <c r="A8906" s="1">
        <f>DATE(2013,10,14)</f>
        <v>41561</v>
      </c>
      <c r="B8906" t="s">
        <v>14</v>
      </c>
      <c r="C8906" t="s">
        <v>10</v>
      </c>
      <c r="D8906" s="3">
        <v>37.085199999999993</v>
      </c>
      <c r="E8906" s="3">
        <v>0</v>
      </c>
      <c r="F8906" t="s">
        <v>45</v>
      </c>
      <c r="G8906" s="3">
        <f t="shared" si="1058"/>
        <v>-37.085199999999993</v>
      </c>
      <c r="H8906" s="3">
        <f t="shared" si="1059"/>
        <v>37.085199999999993</v>
      </c>
      <c r="I8906" s="5" t="str">
        <f t="shared" si="1060"/>
        <v>016</v>
      </c>
      <c r="J8906" s="5" t="str">
        <f t="shared" si="1061"/>
        <v>2230</v>
      </c>
      <c r="K8906" s="5" t="str">
        <f t="shared" si="1062"/>
        <v>000</v>
      </c>
      <c r="L8906" s="5">
        <f t="shared" si="1063"/>
        <v>10</v>
      </c>
      <c r="M8906" s="5">
        <f t="shared" si="1064"/>
        <v>2013</v>
      </c>
    </row>
    <row r="8907" spans="1:13" ht="15" x14ac:dyDescent="0.25">
      <c r="A8907" s="1">
        <f>DATE(2013,10,15)</f>
        <v>41562</v>
      </c>
      <c r="B8907" t="s">
        <v>11</v>
      </c>
      <c r="C8907" t="s">
        <v>6</v>
      </c>
      <c r="D8907" s="3">
        <v>6195.8080000000009</v>
      </c>
      <c r="E8907" s="3">
        <v>0</v>
      </c>
      <c r="F8907" t="s">
        <v>45</v>
      </c>
      <c r="G8907" s="3">
        <f t="shared" si="1058"/>
        <v>-6195.8080000000009</v>
      </c>
      <c r="H8907" s="3">
        <f t="shared" si="1059"/>
        <v>6195.8080000000009</v>
      </c>
      <c r="I8907" s="5" t="str">
        <f t="shared" si="1060"/>
        <v>016</v>
      </c>
      <c r="J8907" s="5" t="str">
        <f t="shared" si="1061"/>
        <v>2100</v>
      </c>
      <c r="K8907" s="5" t="str">
        <f t="shared" si="1062"/>
        <v>000</v>
      </c>
      <c r="L8907" s="5">
        <f t="shared" si="1063"/>
        <v>10</v>
      </c>
      <c r="M8907" s="5">
        <f t="shared" si="1064"/>
        <v>2013</v>
      </c>
    </row>
    <row r="8908" spans="1:13" ht="15" x14ac:dyDescent="0.25">
      <c r="A8908" s="1">
        <f>DATE(2013,10,15)</f>
        <v>41562</v>
      </c>
      <c r="B8908" t="s">
        <v>12</v>
      </c>
      <c r="C8908" t="s">
        <v>8</v>
      </c>
      <c r="D8908" s="3">
        <v>2437.6104</v>
      </c>
      <c r="E8908" s="3">
        <v>0</v>
      </c>
      <c r="F8908" t="s">
        <v>45</v>
      </c>
      <c r="G8908" s="3">
        <f t="shared" si="1058"/>
        <v>-2437.6104</v>
      </c>
      <c r="H8908" s="3">
        <f t="shared" si="1059"/>
        <v>2437.6104</v>
      </c>
      <c r="I8908" s="5" t="str">
        <f t="shared" si="1060"/>
        <v>016</v>
      </c>
      <c r="J8908" s="5" t="str">
        <f t="shared" si="1061"/>
        <v>2210</v>
      </c>
      <c r="K8908" s="5" t="str">
        <f t="shared" si="1062"/>
        <v>000</v>
      </c>
      <c r="L8908" s="5">
        <f t="shared" si="1063"/>
        <v>10</v>
      </c>
      <c r="M8908" s="5">
        <f t="shared" si="1064"/>
        <v>2013</v>
      </c>
    </row>
    <row r="8909" spans="1:13" ht="15" x14ac:dyDescent="0.25">
      <c r="A8909" s="1">
        <f>DATE(2013,10,15)</f>
        <v>41562</v>
      </c>
      <c r="B8909" t="s">
        <v>13</v>
      </c>
      <c r="C8909" t="s">
        <v>9</v>
      </c>
      <c r="D8909" s="3">
        <v>938.87110000000007</v>
      </c>
      <c r="E8909" s="3">
        <v>0</v>
      </c>
      <c r="F8909" t="s">
        <v>45</v>
      </c>
      <c r="G8909" s="3">
        <f t="shared" si="1058"/>
        <v>-938.87110000000007</v>
      </c>
      <c r="H8909" s="3">
        <f t="shared" si="1059"/>
        <v>938.87110000000007</v>
      </c>
      <c r="I8909" s="5" t="str">
        <f t="shared" si="1060"/>
        <v>016</v>
      </c>
      <c r="J8909" s="5" t="str">
        <f t="shared" si="1061"/>
        <v>2220</v>
      </c>
      <c r="K8909" s="5" t="str">
        <f t="shared" si="1062"/>
        <v>000</v>
      </c>
      <c r="L8909" s="5">
        <f t="shared" si="1063"/>
        <v>10</v>
      </c>
      <c r="M8909" s="5">
        <f t="shared" si="1064"/>
        <v>2013</v>
      </c>
    </row>
    <row r="8910" spans="1:13" ht="15" x14ac:dyDescent="0.25">
      <c r="A8910" s="1">
        <f>DATE(2013,10,15)</f>
        <v>41562</v>
      </c>
      <c r="B8910" t="s">
        <v>14</v>
      </c>
      <c r="C8910" t="s">
        <v>10</v>
      </c>
      <c r="D8910" s="3">
        <v>128.70000000000002</v>
      </c>
      <c r="E8910" s="3">
        <v>0</v>
      </c>
      <c r="F8910" t="s">
        <v>45</v>
      </c>
      <c r="G8910" s="3">
        <f t="shared" si="1058"/>
        <v>-128.70000000000002</v>
      </c>
      <c r="H8910" s="3">
        <f t="shared" si="1059"/>
        <v>128.70000000000002</v>
      </c>
      <c r="I8910" s="5" t="str">
        <f t="shared" si="1060"/>
        <v>016</v>
      </c>
      <c r="J8910" s="5" t="str">
        <f t="shared" si="1061"/>
        <v>2230</v>
      </c>
      <c r="K8910" s="5" t="str">
        <f t="shared" si="1062"/>
        <v>000</v>
      </c>
      <c r="L8910" s="5">
        <f t="shared" si="1063"/>
        <v>10</v>
      </c>
      <c r="M8910" s="5">
        <f t="shared" si="1064"/>
        <v>2013</v>
      </c>
    </row>
    <row r="8911" spans="1:13" ht="15" x14ac:dyDescent="0.25">
      <c r="A8911" s="1">
        <f>DATE(2013,10,16)</f>
        <v>41563</v>
      </c>
      <c r="B8911" t="s">
        <v>11</v>
      </c>
      <c r="C8911" t="s">
        <v>6</v>
      </c>
      <c r="D8911" s="3">
        <v>2730.5515999999998</v>
      </c>
      <c r="E8911" s="3">
        <v>0</v>
      </c>
      <c r="F8911" t="s">
        <v>45</v>
      </c>
      <c r="G8911" s="3">
        <f t="shared" si="1058"/>
        <v>-2730.5515999999998</v>
      </c>
      <c r="H8911" s="3">
        <f t="shared" si="1059"/>
        <v>2730.5515999999998</v>
      </c>
      <c r="I8911" s="5" t="str">
        <f t="shared" si="1060"/>
        <v>016</v>
      </c>
      <c r="J8911" s="5" t="str">
        <f t="shared" si="1061"/>
        <v>2100</v>
      </c>
      <c r="K8911" s="5" t="str">
        <f t="shared" si="1062"/>
        <v>000</v>
      </c>
      <c r="L8911" s="5">
        <f t="shared" si="1063"/>
        <v>10</v>
      </c>
      <c r="M8911" s="5">
        <f t="shared" si="1064"/>
        <v>2013</v>
      </c>
    </row>
    <row r="8912" spans="1:13" ht="15" x14ac:dyDescent="0.25">
      <c r="A8912" s="1">
        <f>DATE(2013,10,16)</f>
        <v>41563</v>
      </c>
      <c r="B8912" t="s">
        <v>12</v>
      </c>
      <c r="C8912" t="s">
        <v>8</v>
      </c>
      <c r="D8912" s="3">
        <v>896.0616</v>
      </c>
      <c r="E8912" s="3">
        <v>0</v>
      </c>
      <c r="F8912" t="s">
        <v>45</v>
      </c>
      <c r="G8912" s="3">
        <f t="shared" si="1058"/>
        <v>-896.0616</v>
      </c>
      <c r="H8912" s="3">
        <f t="shared" si="1059"/>
        <v>896.0616</v>
      </c>
      <c r="I8912" s="5" t="str">
        <f t="shared" si="1060"/>
        <v>016</v>
      </c>
      <c r="J8912" s="5" t="str">
        <f t="shared" si="1061"/>
        <v>2210</v>
      </c>
      <c r="K8912" s="5" t="str">
        <f t="shared" si="1062"/>
        <v>000</v>
      </c>
      <c r="L8912" s="5">
        <f t="shared" si="1063"/>
        <v>10</v>
      </c>
      <c r="M8912" s="5">
        <f t="shared" si="1064"/>
        <v>2013</v>
      </c>
    </row>
    <row r="8913" spans="1:13" ht="15" x14ac:dyDescent="0.25">
      <c r="A8913" s="1">
        <f>DATE(2013,10,16)</f>
        <v>41563</v>
      </c>
      <c r="B8913" t="s">
        <v>13</v>
      </c>
      <c r="C8913" t="s">
        <v>9</v>
      </c>
      <c r="D8913" s="3">
        <v>116.396</v>
      </c>
      <c r="E8913" s="3">
        <v>0</v>
      </c>
      <c r="F8913" t="s">
        <v>45</v>
      </c>
      <c r="G8913" s="3">
        <f t="shared" si="1058"/>
        <v>-116.396</v>
      </c>
      <c r="H8913" s="3">
        <f t="shared" si="1059"/>
        <v>116.396</v>
      </c>
      <c r="I8913" s="5" t="str">
        <f t="shared" si="1060"/>
        <v>016</v>
      </c>
      <c r="J8913" s="5" t="str">
        <f t="shared" si="1061"/>
        <v>2220</v>
      </c>
      <c r="K8913" s="5" t="str">
        <f t="shared" si="1062"/>
        <v>000</v>
      </c>
      <c r="L8913" s="5">
        <f t="shared" si="1063"/>
        <v>10</v>
      </c>
      <c r="M8913" s="5">
        <f t="shared" si="1064"/>
        <v>2013</v>
      </c>
    </row>
    <row r="8914" spans="1:13" ht="15" x14ac:dyDescent="0.25">
      <c r="A8914" s="1">
        <f>DATE(2013,10,16)</f>
        <v>41563</v>
      </c>
      <c r="B8914" t="s">
        <v>14</v>
      </c>
      <c r="C8914" t="s">
        <v>10</v>
      </c>
      <c r="D8914" s="3">
        <v>83.931799999999996</v>
      </c>
      <c r="E8914" s="3">
        <v>0</v>
      </c>
      <c r="F8914" t="s">
        <v>45</v>
      </c>
      <c r="G8914" s="3">
        <f t="shared" si="1058"/>
        <v>-83.931799999999996</v>
      </c>
      <c r="H8914" s="3">
        <f t="shared" si="1059"/>
        <v>83.931799999999996</v>
      </c>
      <c r="I8914" s="5" t="str">
        <f t="shared" si="1060"/>
        <v>016</v>
      </c>
      <c r="J8914" s="5" t="str">
        <f t="shared" si="1061"/>
        <v>2230</v>
      </c>
      <c r="K8914" s="5" t="str">
        <f t="shared" si="1062"/>
        <v>000</v>
      </c>
      <c r="L8914" s="5">
        <f t="shared" si="1063"/>
        <v>10</v>
      </c>
      <c r="M8914" s="5">
        <f t="shared" si="1064"/>
        <v>2013</v>
      </c>
    </row>
    <row r="8915" spans="1:13" ht="15" x14ac:dyDescent="0.25">
      <c r="A8915" s="1">
        <f>DATE(2013,10,17)</f>
        <v>41564</v>
      </c>
      <c r="B8915" t="s">
        <v>11</v>
      </c>
      <c r="C8915" t="s">
        <v>6</v>
      </c>
      <c r="D8915" s="3">
        <v>1924.8366999999998</v>
      </c>
      <c r="E8915" s="3">
        <v>0</v>
      </c>
      <c r="F8915" t="s">
        <v>45</v>
      </c>
      <c r="G8915" s="3">
        <f t="shared" si="1058"/>
        <v>-1924.8366999999998</v>
      </c>
      <c r="H8915" s="3">
        <f t="shared" si="1059"/>
        <v>1924.8366999999998</v>
      </c>
      <c r="I8915" s="5" t="str">
        <f t="shared" si="1060"/>
        <v>016</v>
      </c>
      <c r="J8915" s="5" t="str">
        <f t="shared" si="1061"/>
        <v>2100</v>
      </c>
      <c r="K8915" s="5" t="str">
        <f t="shared" si="1062"/>
        <v>000</v>
      </c>
      <c r="L8915" s="5">
        <f t="shared" si="1063"/>
        <v>10</v>
      </c>
      <c r="M8915" s="5">
        <f t="shared" si="1064"/>
        <v>2013</v>
      </c>
    </row>
    <row r="8916" spans="1:13" ht="15" x14ac:dyDescent="0.25">
      <c r="A8916" s="1">
        <f>DATE(2013,10,17)</f>
        <v>41564</v>
      </c>
      <c r="B8916" t="s">
        <v>12</v>
      </c>
      <c r="C8916" t="s">
        <v>8</v>
      </c>
      <c r="D8916" s="3">
        <v>1018.0575999999999</v>
      </c>
      <c r="E8916" s="3">
        <v>0</v>
      </c>
      <c r="F8916" t="s">
        <v>45</v>
      </c>
      <c r="G8916" s="3">
        <f t="shared" si="1058"/>
        <v>-1018.0575999999999</v>
      </c>
      <c r="H8916" s="3">
        <f t="shared" si="1059"/>
        <v>1018.0575999999999</v>
      </c>
      <c r="I8916" s="5" t="str">
        <f t="shared" si="1060"/>
        <v>016</v>
      </c>
      <c r="J8916" s="5" t="str">
        <f t="shared" si="1061"/>
        <v>2210</v>
      </c>
      <c r="K8916" s="5" t="str">
        <f t="shared" si="1062"/>
        <v>000</v>
      </c>
      <c r="L8916" s="5">
        <f t="shared" si="1063"/>
        <v>10</v>
      </c>
      <c r="M8916" s="5">
        <f t="shared" si="1064"/>
        <v>2013</v>
      </c>
    </row>
    <row r="8917" spans="1:13" ht="15" x14ac:dyDescent="0.25">
      <c r="A8917" s="1">
        <f>DATE(2013,10,17)</f>
        <v>41564</v>
      </c>
      <c r="B8917" t="s">
        <v>13</v>
      </c>
      <c r="C8917" t="s">
        <v>9</v>
      </c>
      <c r="D8917" s="3">
        <v>116.74109999999999</v>
      </c>
      <c r="E8917" s="3">
        <v>0</v>
      </c>
      <c r="F8917" t="s">
        <v>45</v>
      </c>
      <c r="G8917" s="3">
        <f t="shared" si="1058"/>
        <v>-116.74109999999999</v>
      </c>
      <c r="H8917" s="3">
        <f t="shared" si="1059"/>
        <v>116.74109999999999</v>
      </c>
      <c r="I8917" s="5" t="str">
        <f t="shared" si="1060"/>
        <v>016</v>
      </c>
      <c r="J8917" s="5" t="str">
        <f t="shared" si="1061"/>
        <v>2220</v>
      </c>
      <c r="K8917" s="5" t="str">
        <f t="shared" si="1062"/>
        <v>000</v>
      </c>
      <c r="L8917" s="5">
        <f t="shared" si="1063"/>
        <v>10</v>
      </c>
      <c r="M8917" s="5">
        <f t="shared" si="1064"/>
        <v>2013</v>
      </c>
    </row>
    <row r="8918" spans="1:13" ht="15" x14ac:dyDescent="0.25">
      <c r="A8918" s="1">
        <f>DATE(2013,10,17)</f>
        <v>41564</v>
      </c>
      <c r="B8918" t="s">
        <v>14</v>
      </c>
      <c r="C8918" t="s">
        <v>10</v>
      </c>
      <c r="D8918" s="3">
        <v>37.692399999999999</v>
      </c>
      <c r="E8918" s="3">
        <v>0</v>
      </c>
      <c r="F8918" t="s">
        <v>45</v>
      </c>
      <c r="G8918" s="3">
        <f t="shared" si="1058"/>
        <v>-37.692399999999999</v>
      </c>
      <c r="H8918" s="3">
        <f t="shared" si="1059"/>
        <v>37.692399999999999</v>
      </c>
      <c r="I8918" s="5" t="str">
        <f t="shared" si="1060"/>
        <v>016</v>
      </c>
      <c r="J8918" s="5" t="str">
        <f t="shared" si="1061"/>
        <v>2230</v>
      </c>
      <c r="K8918" s="5" t="str">
        <f t="shared" si="1062"/>
        <v>000</v>
      </c>
      <c r="L8918" s="5">
        <f t="shared" si="1063"/>
        <v>10</v>
      </c>
      <c r="M8918" s="5">
        <f t="shared" si="1064"/>
        <v>2013</v>
      </c>
    </row>
    <row r="8919" spans="1:13" ht="15" x14ac:dyDescent="0.25">
      <c r="A8919" s="1">
        <f>DATE(2013,10,18)</f>
        <v>41565</v>
      </c>
      <c r="B8919" t="s">
        <v>11</v>
      </c>
      <c r="C8919" t="s">
        <v>6</v>
      </c>
      <c r="D8919" s="3">
        <v>5805.7125999999998</v>
      </c>
      <c r="E8919" s="3">
        <v>0</v>
      </c>
      <c r="F8919" t="s">
        <v>45</v>
      </c>
      <c r="G8919" s="3">
        <f t="shared" si="1058"/>
        <v>-5805.7125999999998</v>
      </c>
      <c r="H8919" s="3">
        <f t="shared" si="1059"/>
        <v>5805.7125999999998</v>
      </c>
      <c r="I8919" s="5" t="str">
        <f t="shared" si="1060"/>
        <v>016</v>
      </c>
      <c r="J8919" s="5" t="str">
        <f t="shared" si="1061"/>
        <v>2100</v>
      </c>
      <c r="K8919" s="5" t="str">
        <f t="shared" si="1062"/>
        <v>000</v>
      </c>
      <c r="L8919" s="5">
        <f t="shared" si="1063"/>
        <v>10</v>
      </c>
      <c r="M8919" s="5">
        <f t="shared" si="1064"/>
        <v>2013</v>
      </c>
    </row>
    <row r="8920" spans="1:13" ht="15" x14ac:dyDescent="0.25">
      <c r="A8920" s="1">
        <f>DATE(2013,10,18)</f>
        <v>41565</v>
      </c>
      <c r="B8920" t="s">
        <v>12</v>
      </c>
      <c r="C8920" t="s">
        <v>8</v>
      </c>
      <c r="D8920" s="3">
        <v>1076.2611999999999</v>
      </c>
      <c r="E8920" s="3">
        <v>0</v>
      </c>
      <c r="F8920" t="s">
        <v>45</v>
      </c>
      <c r="G8920" s="3">
        <f t="shared" si="1058"/>
        <v>-1076.2611999999999</v>
      </c>
      <c r="H8920" s="3">
        <f t="shared" si="1059"/>
        <v>1076.2611999999999</v>
      </c>
      <c r="I8920" s="5" t="str">
        <f t="shared" si="1060"/>
        <v>016</v>
      </c>
      <c r="J8920" s="5" t="str">
        <f t="shared" si="1061"/>
        <v>2210</v>
      </c>
      <c r="K8920" s="5" t="str">
        <f t="shared" si="1062"/>
        <v>000</v>
      </c>
      <c r="L8920" s="5">
        <f t="shared" si="1063"/>
        <v>10</v>
      </c>
      <c r="M8920" s="5">
        <f t="shared" si="1064"/>
        <v>2013</v>
      </c>
    </row>
    <row r="8921" spans="1:13" ht="15" x14ac:dyDescent="0.25">
      <c r="A8921" s="1">
        <f>DATE(2013,10,18)</f>
        <v>41565</v>
      </c>
      <c r="B8921" t="s">
        <v>13</v>
      </c>
      <c r="C8921" t="s">
        <v>9</v>
      </c>
      <c r="D8921" s="3">
        <v>332.21950000000004</v>
      </c>
      <c r="E8921" s="3">
        <v>0</v>
      </c>
      <c r="F8921" t="s">
        <v>45</v>
      </c>
      <c r="G8921" s="3">
        <f t="shared" si="1058"/>
        <v>-332.21950000000004</v>
      </c>
      <c r="H8921" s="3">
        <f t="shared" si="1059"/>
        <v>332.21950000000004</v>
      </c>
      <c r="I8921" s="5" t="str">
        <f t="shared" si="1060"/>
        <v>016</v>
      </c>
      <c r="J8921" s="5" t="str">
        <f t="shared" si="1061"/>
        <v>2220</v>
      </c>
      <c r="K8921" s="5" t="str">
        <f t="shared" si="1062"/>
        <v>000</v>
      </c>
      <c r="L8921" s="5">
        <f t="shared" si="1063"/>
        <v>10</v>
      </c>
      <c r="M8921" s="5">
        <f t="shared" si="1064"/>
        <v>2013</v>
      </c>
    </row>
    <row r="8922" spans="1:13" ht="15" x14ac:dyDescent="0.25">
      <c r="A8922" s="1">
        <f>DATE(2013,10,18)</f>
        <v>41565</v>
      </c>
      <c r="B8922" t="s">
        <v>14</v>
      </c>
      <c r="C8922" t="s">
        <v>10</v>
      </c>
      <c r="D8922" s="3">
        <v>77.468699999999998</v>
      </c>
      <c r="E8922" s="3">
        <v>0</v>
      </c>
      <c r="F8922" t="s">
        <v>45</v>
      </c>
      <c r="G8922" s="3">
        <f t="shared" si="1058"/>
        <v>-77.468699999999998</v>
      </c>
      <c r="H8922" s="3">
        <f t="shared" si="1059"/>
        <v>77.468699999999998</v>
      </c>
      <c r="I8922" s="5" t="str">
        <f t="shared" si="1060"/>
        <v>016</v>
      </c>
      <c r="J8922" s="5" t="str">
        <f t="shared" si="1061"/>
        <v>2230</v>
      </c>
      <c r="K8922" s="5" t="str">
        <f t="shared" si="1062"/>
        <v>000</v>
      </c>
      <c r="L8922" s="5">
        <f t="shared" si="1063"/>
        <v>10</v>
      </c>
      <c r="M8922" s="5">
        <f t="shared" si="1064"/>
        <v>2013</v>
      </c>
    </row>
    <row r="8923" spans="1:13" ht="15" x14ac:dyDescent="0.25">
      <c r="A8923" s="1">
        <f>DATE(2013,10,19)</f>
        <v>41566</v>
      </c>
      <c r="B8923" t="s">
        <v>11</v>
      </c>
      <c r="C8923" t="s">
        <v>6</v>
      </c>
      <c r="D8923" s="3">
        <v>7612.1607000000004</v>
      </c>
      <c r="E8923" s="3">
        <v>0</v>
      </c>
      <c r="F8923" t="s">
        <v>45</v>
      </c>
      <c r="G8923" s="3">
        <f t="shared" si="1058"/>
        <v>-7612.1607000000004</v>
      </c>
      <c r="H8923" s="3">
        <f t="shared" si="1059"/>
        <v>7612.1607000000004</v>
      </c>
      <c r="I8923" s="5" t="str">
        <f t="shared" si="1060"/>
        <v>016</v>
      </c>
      <c r="J8923" s="5" t="str">
        <f t="shared" si="1061"/>
        <v>2100</v>
      </c>
      <c r="K8923" s="5" t="str">
        <f t="shared" si="1062"/>
        <v>000</v>
      </c>
      <c r="L8923" s="5">
        <f t="shared" si="1063"/>
        <v>10</v>
      </c>
      <c r="M8923" s="5">
        <f t="shared" si="1064"/>
        <v>2013</v>
      </c>
    </row>
    <row r="8924" spans="1:13" ht="15" x14ac:dyDescent="0.25">
      <c r="A8924" s="1">
        <f>DATE(2013,10,19)</f>
        <v>41566</v>
      </c>
      <c r="B8924" t="s">
        <v>12</v>
      </c>
      <c r="C8924" t="s">
        <v>8</v>
      </c>
      <c r="D8924" s="3">
        <v>1247.9010000000001</v>
      </c>
      <c r="E8924" s="3">
        <v>0</v>
      </c>
      <c r="F8924" t="s">
        <v>45</v>
      </c>
      <c r="G8924" s="3">
        <f t="shared" si="1058"/>
        <v>-1247.9010000000001</v>
      </c>
      <c r="H8924" s="3">
        <f t="shared" si="1059"/>
        <v>1247.9010000000001</v>
      </c>
      <c r="I8924" s="5" t="str">
        <f t="shared" si="1060"/>
        <v>016</v>
      </c>
      <c r="J8924" s="5" t="str">
        <f t="shared" si="1061"/>
        <v>2210</v>
      </c>
      <c r="K8924" s="5" t="str">
        <f t="shared" si="1062"/>
        <v>000</v>
      </c>
      <c r="L8924" s="5">
        <f t="shared" si="1063"/>
        <v>10</v>
      </c>
      <c r="M8924" s="5">
        <f t="shared" si="1064"/>
        <v>2013</v>
      </c>
    </row>
    <row r="8925" spans="1:13" ht="15" x14ac:dyDescent="0.25">
      <c r="A8925" s="1">
        <f>DATE(2013,10,19)</f>
        <v>41566</v>
      </c>
      <c r="B8925" t="s">
        <v>13</v>
      </c>
      <c r="C8925" t="s">
        <v>9</v>
      </c>
      <c r="D8925" s="3">
        <v>335.16749999999996</v>
      </c>
      <c r="E8925" s="3">
        <v>0</v>
      </c>
      <c r="F8925" t="s">
        <v>45</v>
      </c>
      <c r="G8925" s="3">
        <f t="shared" si="1058"/>
        <v>-335.16749999999996</v>
      </c>
      <c r="H8925" s="3">
        <f t="shared" si="1059"/>
        <v>335.16749999999996</v>
      </c>
      <c r="I8925" s="5" t="str">
        <f t="shared" si="1060"/>
        <v>016</v>
      </c>
      <c r="J8925" s="5" t="str">
        <f t="shared" si="1061"/>
        <v>2220</v>
      </c>
      <c r="K8925" s="5" t="str">
        <f t="shared" si="1062"/>
        <v>000</v>
      </c>
      <c r="L8925" s="5">
        <f t="shared" si="1063"/>
        <v>10</v>
      </c>
      <c r="M8925" s="5">
        <f t="shared" si="1064"/>
        <v>2013</v>
      </c>
    </row>
    <row r="8926" spans="1:13" ht="15" x14ac:dyDescent="0.25">
      <c r="A8926" s="1">
        <f>DATE(2013,10,19)</f>
        <v>41566</v>
      </c>
      <c r="B8926" t="s">
        <v>14</v>
      </c>
      <c r="C8926" t="s">
        <v>10</v>
      </c>
      <c r="D8926" s="3">
        <v>175.84620000000001</v>
      </c>
      <c r="E8926" s="3">
        <v>0</v>
      </c>
      <c r="F8926" t="s">
        <v>45</v>
      </c>
      <c r="G8926" s="3">
        <f t="shared" si="1058"/>
        <v>-175.84620000000001</v>
      </c>
      <c r="H8926" s="3">
        <f t="shared" si="1059"/>
        <v>175.84620000000001</v>
      </c>
      <c r="I8926" s="5" t="str">
        <f t="shared" si="1060"/>
        <v>016</v>
      </c>
      <c r="J8926" s="5" t="str">
        <f t="shared" si="1061"/>
        <v>2230</v>
      </c>
      <c r="K8926" s="5" t="str">
        <f t="shared" si="1062"/>
        <v>000</v>
      </c>
      <c r="L8926" s="5">
        <f t="shared" si="1063"/>
        <v>10</v>
      </c>
      <c r="M8926" s="5">
        <f t="shared" si="1064"/>
        <v>2013</v>
      </c>
    </row>
    <row r="8927" spans="1:13" ht="15" x14ac:dyDescent="0.25">
      <c r="A8927" s="1">
        <f>DATE(2013,10,20)</f>
        <v>41567</v>
      </c>
      <c r="B8927" t="s">
        <v>11</v>
      </c>
      <c r="C8927" t="s">
        <v>6</v>
      </c>
      <c r="D8927" s="3">
        <v>4574.1279999999997</v>
      </c>
      <c r="E8927" s="3">
        <v>0</v>
      </c>
      <c r="F8927" t="s">
        <v>45</v>
      </c>
      <c r="G8927" s="3">
        <f t="shared" si="1058"/>
        <v>-4574.1279999999997</v>
      </c>
      <c r="H8927" s="3">
        <f t="shared" si="1059"/>
        <v>4574.1279999999997</v>
      </c>
      <c r="I8927" s="5" t="str">
        <f t="shared" si="1060"/>
        <v>016</v>
      </c>
      <c r="J8927" s="5" t="str">
        <f t="shared" si="1061"/>
        <v>2100</v>
      </c>
      <c r="K8927" s="5" t="str">
        <f t="shared" si="1062"/>
        <v>000</v>
      </c>
      <c r="L8927" s="5">
        <f t="shared" si="1063"/>
        <v>10</v>
      </c>
      <c r="M8927" s="5">
        <f t="shared" si="1064"/>
        <v>2013</v>
      </c>
    </row>
    <row r="8928" spans="1:13" ht="15" x14ac:dyDescent="0.25">
      <c r="A8928" s="1">
        <f>DATE(2013,10,20)</f>
        <v>41567</v>
      </c>
      <c r="B8928" t="s">
        <v>12</v>
      </c>
      <c r="C8928" t="s">
        <v>8</v>
      </c>
      <c r="D8928" s="3">
        <v>637.75059999999996</v>
      </c>
      <c r="E8928" s="3">
        <v>0</v>
      </c>
      <c r="F8928" t="s">
        <v>45</v>
      </c>
      <c r="G8928" s="3">
        <f t="shared" si="1058"/>
        <v>-637.75059999999996</v>
      </c>
      <c r="H8928" s="3">
        <f t="shared" si="1059"/>
        <v>637.75059999999996</v>
      </c>
      <c r="I8928" s="5" t="str">
        <f t="shared" si="1060"/>
        <v>016</v>
      </c>
      <c r="J8928" s="5" t="str">
        <f t="shared" si="1061"/>
        <v>2210</v>
      </c>
      <c r="K8928" s="5" t="str">
        <f t="shared" si="1062"/>
        <v>000</v>
      </c>
      <c r="L8928" s="5">
        <f t="shared" si="1063"/>
        <v>10</v>
      </c>
      <c r="M8928" s="5">
        <f t="shared" si="1064"/>
        <v>2013</v>
      </c>
    </row>
    <row r="8929" spans="1:13" ht="15" x14ac:dyDescent="0.25">
      <c r="A8929" s="1">
        <f>DATE(2013,10,20)</f>
        <v>41567</v>
      </c>
      <c r="B8929" t="s">
        <v>13</v>
      </c>
      <c r="C8929" t="s">
        <v>9</v>
      </c>
      <c r="D8929" s="3">
        <v>63.593999999999994</v>
      </c>
      <c r="E8929" s="3">
        <v>0</v>
      </c>
      <c r="F8929" t="s">
        <v>45</v>
      </c>
      <c r="G8929" s="3">
        <f t="shared" si="1058"/>
        <v>-63.593999999999994</v>
      </c>
      <c r="H8929" s="3">
        <f t="shared" si="1059"/>
        <v>63.593999999999994</v>
      </c>
      <c r="I8929" s="5" t="str">
        <f t="shared" si="1060"/>
        <v>016</v>
      </c>
      <c r="J8929" s="5" t="str">
        <f t="shared" si="1061"/>
        <v>2220</v>
      </c>
      <c r="K8929" s="5" t="str">
        <f t="shared" si="1062"/>
        <v>000</v>
      </c>
      <c r="L8929" s="5">
        <f t="shared" si="1063"/>
        <v>10</v>
      </c>
      <c r="M8929" s="5">
        <f t="shared" si="1064"/>
        <v>2013</v>
      </c>
    </row>
    <row r="8930" spans="1:13" ht="15" x14ac:dyDescent="0.25">
      <c r="A8930" s="1">
        <f>DATE(2013,10,20)</f>
        <v>41567</v>
      </c>
      <c r="B8930" t="s">
        <v>14</v>
      </c>
      <c r="C8930" t="s">
        <v>10</v>
      </c>
      <c r="D8930" s="3">
        <v>31.7988</v>
      </c>
      <c r="E8930" s="3">
        <v>0</v>
      </c>
      <c r="F8930" t="s">
        <v>45</v>
      </c>
      <c r="G8930" s="3">
        <f t="shared" si="1058"/>
        <v>-31.7988</v>
      </c>
      <c r="H8930" s="3">
        <f t="shared" si="1059"/>
        <v>31.7988</v>
      </c>
      <c r="I8930" s="5" t="str">
        <f t="shared" si="1060"/>
        <v>016</v>
      </c>
      <c r="J8930" s="5" t="str">
        <f t="shared" si="1061"/>
        <v>2230</v>
      </c>
      <c r="K8930" s="5" t="str">
        <f t="shared" si="1062"/>
        <v>000</v>
      </c>
      <c r="L8930" s="5">
        <f t="shared" si="1063"/>
        <v>10</v>
      </c>
      <c r="M8930" s="5">
        <f t="shared" si="1064"/>
        <v>2013</v>
      </c>
    </row>
    <row r="8931" spans="1:13" ht="15" x14ac:dyDescent="0.25">
      <c r="A8931" s="1">
        <f>DATE(2013,10,14)</f>
        <v>41561</v>
      </c>
      <c r="B8931" t="s">
        <v>15</v>
      </c>
      <c r="C8931" t="s">
        <v>6</v>
      </c>
      <c r="D8931" s="3">
        <v>3659.7749999999996</v>
      </c>
      <c r="E8931" s="3">
        <v>0</v>
      </c>
      <c r="F8931" t="s">
        <v>45</v>
      </c>
      <c r="G8931" s="3">
        <f t="shared" si="1058"/>
        <v>-3659.7749999999996</v>
      </c>
      <c r="H8931" s="3">
        <f t="shared" si="1059"/>
        <v>3659.7749999999996</v>
      </c>
      <c r="I8931" s="5" t="str">
        <f t="shared" si="1060"/>
        <v>017</v>
      </c>
      <c r="J8931" s="5" t="str">
        <f t="shared" si="1061"/>
        <v>2100</v>
      </c>
      <c r="K8931" s="5" t="str">
        <f t="shared" si="1062"/>
        <v>000</v>
      </c>
      <c r="L8931" s="5">
        <f t="shared" si="1063"/>
        <v>10</v>
      </c>
      <c r="M8931" s="5">
        <f t="shared" si="1064"/>
        <v>2013</v>
      </c>
    </row>
    <row r="8932" spans="1:13" ht="15" x14ac:dyDescent="0.25">
      <c r="A8932" s="1">
        <f>DATE(2013,10,14)</f>
        <v>41561</v>
      </c>
      <c r="B8932" t="s">
        <v>16</v>
      </c>
      <c r="C8932" t="s">
        <v>8</v>
      </c>
      <c r="D8932" s="3">
        <v>1069.7215000000001</v>
      </c>
      <c r="E8932" s="3">
        <v>0</v>
      </c>
      <c r="F8932" t="s">
        <v>45</v>
      </c>
      <c r="G8932" s="3">
        <f t="shared" si="1058"/>
        <v>-1069.7215000000001</v>
      </c>
      <c r="H8932" s="3">
        <f t="shared" si="1059"/>
        <v>1069.7215000000001</v>
      </c>
      <c r="I8932" s="5" t="str">
        <f t="shared" si="1060"/>
        <v>017</v>
      </c>
      <c r="J8932" s="5" t="str">
        <f t="shared" si="1061"/>
        <v>2210</v>
      </c>
      <c r="K8932" s="5" t="str">
        <f t="shared" si="1062"/>
        <v>000</v>
      </c>
      <c r="L8932" s="5">
        <f t="shared" si="1063"/>
        <v>10</v>
      </c>
      <c r="M8932" s="5">
        <f t="shared" si="1064"/>
        <v>2013</v>
      </c>
    </row>
    <row r="8933" spans="1:13" ht="15" x14ac:dyDescent="0.25">
      <c r="A8933" s="1">
        <f>DATE(2013,10,14)</f>
        <v>41561</v>
      </c>
      <c r="B8933" t="s">
        <v>17</v>
      </c>
      <c r="C8933" t="s">
        <v>9</v>
      </c>
      <c r="D8933" s="3">
        <v>357.16319999999996</v>
      </c>
      <c r="E8933" s="3">
        <v>0</v>
      </c>
      <c r="F8933" t="s">
        <v>45</v>
      </c>
      <c r="G8933" s="3">
        <f t="shared" si="1058"/>
        <v>-357.16319999999996</v>
      </c>
      <c r="H8933" s="3">
        <f t="shared" si="1059"/>
        <v>357.16319999999996</v>
      </c>
      <c r="I8933" s="5" t="str">
        <f t="shared" si="1060"/>
        <v>017</v>
      </c>
      <c r="J8933" s="5" t="str">
        <f t="shared" si="1061"/>
        <v>2220</v>
      </c>
      <c r="K8933" s="5" t="str">
        <f t="shared" si="1062"/>
        <v>000</v>
      </c>
      <c r="L8933" s="5">
        <f t="shared" si="1063"/>
        <v>10</v>
      </c>
      <c r="M8933" s="5">
        <f t="shared" si="1064"/>
        <v>2013</v>
      </c>
    </row>
    <row r="8934" spans="1:13" ht="15" x14ac:dyDescent="0.25">
      <c r="A8934" s="1">
        <f>DATE(2013,10,14)</f>
        <v>41561</v>
      </c>
      <c r="B8934" t="s">
        <v>18</v>
      </c>
      <c r="C8934" t="s">
        <v>10</v>
      </c>
      <c r="D8934" s="3">
        <v>30.5854</v>
      </c>
      <c r="E8934" s="3">
        <v>0</v>
      </c>
      <c r="F8934" t="s">
        <v>45</v>
      </c>
      <c r="G8934" s="3">
        <f t="shared" si="1058"/>
        <v>-30.5854</v>
      </c>
      <c r="H8934" s="3">
        <f t="shared" si="1059"/>
        <v>30.5854</v>
      </c>
      <c r="I8934" s="5" t="str">
        <f t="shared" si="1060"/>
        <v>017</v>
      </c>
      <c r="J8934" s="5" t="str">
        <f t="shared" si="1061"/>
        <v>2230</v>
      </c>
      <c r="K8934" s="5" t="str">
        <f t="shared" si="1062"/>
        <v>000</v>
      </c>
      <c r="L8934" s="5">
        <f t="shared" si="1063"/>
        <v>10</v>
      </c>
      <c r="M8934" s="5">
        <f t="shared" si="1064"/>
        <v>2013</v>
      </c>
    </row>
    <row r="8935" spans="1:13" ht="15" x14ac:dyDescent="0.25">
      <c r="A8935" s="1">
        <f>DATE(2013,10,15)</f>
        <v>41562</v>
      </c>
      <c r="B8935" t="s">
        <v>15</v>
      </c>
      <c r="C8935" t="s">
        <v>6</v>
      </c>
      <c r="D8935" s="3">
        <v>4989.5072999999993</v>
      </c>
      <c r="E8935" s="3">
        <v>0</v>
      </c>
      <c r="F8935" t="s">
        <v>45</v>
      </c>
      <c r="G8935" s="3">
        <f t="shared" si="1058"/>
        <v>-4989.5072999999993</v>
      </c>
      <c r="H8935" s="3">
        <f t="shared" si="1059"/>
        <v>4989.5072999999993</v>
      </c>
      <c r="I8935" s="5" t="str">
        <f t="shared" si="1060"/>
        <v>017</v>
      </c>
      <c r="J8935" s="5" t="str">
        <f t="shared" si="1061"/>
        <v>2100</v>
      </c>
      <c r="K8935" s="5" t="str">
        <f t="shared" si="1062"/>
        <v>000</v>
      </c>
      <c r="L8935" s="5">
        <f t="shared" si="1063"/>
        <v>10</v>
      </c>
      <c r="M8935" s="5">
        <f t="shared" si="1064"/>
        <v>2013</v>
      </c>
    </row>
    <row r="8936" spans="1:13" ht="15" x14ac:dyDescent="0.25">
      <c r="A8936" s="1">
        <f>DATE(2013,10,15)</f>
        <v>41562</v>
      </c>
      <c r="B8936" t="s">
        <v>16</v>
      </c>
      <c r="C8936" t="s">
        <v>8</v>
      </c>
      <c r="D8936" s="3">
        <v>1473.9227999999998</v>
      </c>
      <c r="E8936" s="3">
        <v>0</v>
      </c>
      <c r="F8936" t="s">
        <v>45</v>
      </c>
      <c r="G8936" s="3">
        <f t="shared" si="1058"/>
        <v>-1473.9227999999998</v>
      </c>
      <c r="H8936" s="3">
        <f t="shared" si="1059"/>
        <v>1473.9227999999998</v>
      </c>
      <c r="I8936" s="5" t="str">
        <f t="shared" si="1060"/>
        <v>017</v>
      </c>
      <c r="J8936" s="5" t="str">
        <f t="shared" si="1061"/>
        <v>2210</v>
      </c>
      <c r="K8936" s="5" t="str">
        <f t="shared" si="1062"/>
        <v>000</v>
      </c>
      <c r="L8936" s="5">
        <f t="shared" si="1063"/>
        <v>10</v>
      </c>
      <c r="M8936" s="5">
        <f t="shared" si="1064"/>
        <v>2013</v>
      </c>
    </row>
    <row r="8937" spans="1:13" ht="15" x14ac:dyDescent="0.25">
      <c r="A8937" s="1">
        <f>DATE(2013,10,15)</f>
        <v>41562</v>
      </c>
      <c r="B8937" t="s">
        <v>17</v>
      </c>
      <c r="C8937" t="s">
        <v>9</v>
      </c>
      <c r="D8937" s="3">
        <v>377.95760000000007</v>
      </c>
      <c r="E8937" s="3">
        <v>0</v>
      </c>
      <c r="F8937" t="s">
        <v>45</v>
      </c>
      <c r="G8937" s="3">
        <f t="shared" si="1058"/>
        <v>-377.95760000000007</v>
      </c>
      <c r="H8937" s="3">
        <f t="shared" si="1059"/>
        <v>377.95760000000007</v>
      </c>
      <c r="I8937" s="5" t="str">
        <f t="shared" si="1060"/>
        <v>017</v>
      </c>
      <c r="J8937" s="5" t="str">
        <f t="shared" si="1061"/>
        <v>2220</v>
      </c>
      <c r="K8937" s="5" t="str">
        <f t="shared" si="1062"/>
        <v>000</v>
      </c>
      <c r="L8937" s="5">
        <f t="shared" si="1063"/>
        <v>10</v>
      </c>
      <c r="M8937" s="5">
        <f t="shared" si="1064"/>
        <v>2013</v>
      </c>
    </row>
    <row r="8938" spans="1:13" ht="15" x14ac:dyDescent="0.25">
      <c r="A8938" s="1">
        <f>DATE(2013,10,15)</f>
        <v>41562</v>
      </c>
      <c r="B8938" t="s">
        <v>18</v>
      </c>
      <c r="C8938" t="s">
        <v>10</v>
      </c>
      <c r="D8938" s="3">
        <v>54.355199999999996</v>
      </c>
      <c r="E8938" s="3">
        <v>0</v>
      </c>
      <c r="F8938" t="s">
        <v>45</v>
      </c>
      <c r="G8938" s="3">
        <f t="shared" si="1058"/>
        <v>-54.355199999999996</v>
      </c>
      <c r="H8938" s="3">
        <f t="shared" si="1059"/>
        <v>54.355199999999996</v>
      </c>
      <c r="I8938" s="5" t="str">
        <f t="shared" si="1060"/>
        <v>017</v>
      </c>
      <c r="J8938" s="5" t="str">
        <f t="shared" si="1061"/>
        <v>2230</v>
      </c>
      <c r="K8938" s="5" t="str">
        <f t="shared" si="1062"/>
        <v>000</v>
      </c>
      <c r="L8938" s="5">
        <f t="shared" si="1063"/>
        <v>10</v>
      </c>
      <c r="M8938" s="5">
        <f t="shared" si="1064"/>
        <v>2013</v>
      </c>
    </row>
    <row r="8939" spans="1:13" ht="15" x14ac:dyDescent="0.25">
      <c r="A8939" s="1">
        <f>DATE(2013,10,16)</f>
        <v>41563</v>
      </c>
      <c r="B8939" t="s">
        <v>15</v>
      </c>
      <c r="C8939" t="s">
        <v>6</v>
      </c>
      <c r="D8939" s="3">
        <v>5606.1882000000005</v>
      </c>
      <c r="E8939" s="3">
        <v>0</v>
      </c>
      <c r="F8939" t="s">
        <v>45</v>
      </c>
      <c r="G8939" s="3">
        <f t="shared" si="1058"/>
        <v>-5606.1882000000005</v>
      </c>
      <c r="H8939" s="3">
        <f t="shared" si="1059"/>
        <v>5606.1882000000005</v>
      </c>
      <c r="I8939" s="5" t="str">
        <f t="shared" si="1060"/>
        <v>017</v>
      </c>
      <c r="J8939" s="5" t="str">
        <f t="shared" si="1061"/>
        <v>2100</v>
      </c>
      <c r="K8939" s="5" t="str">
        <f t="shared" si="1062"/>
        <v>000</v>
      </c>
      <c r="L8939" s="5">
        <f t="shared" si="1063"/>
        <v>10</v>
      </c>
      <c r="M8939" s="5">
        <f t="shared" si="1064"/>
        <v>2013</v>
      </c>
    </row>
    <row r="8940" spans="1:13" ht="15" x14ac:dyDescent="0.25">
      <c r="A8940" s="1">
        <f>DATE(2013,10,16)</f>
        <v>41563</v>
      </c>
      <c r="B8940" t="s">
        <v>16</v>
      </c>
      <c r="C8940" t="s">
        <v>8</v>
      </c>
      <c r="D8940" s="3">
        <v>1206.8800000000001</v>
      </c>
      <c r="E8940" s="3">
        <v>0</v>
      </c>
      <c r="F8940" t="s">
        <v>45</v>
      </c>
      <c r="G8940" s="3">
        <f t="shared" si="1058"/>
        <v>-1206.8800000000001</v>
      </c>
      <c r="H8940" s="3">
        <f t="shared" si="1059"/>
        <v>1206.8800000000001</v>
      </c>
      <c r="I8940" s="5" t="str">
        <f t="shared" si="1060"/>
        <v>017</v>
      </c>
      <c r="J8940" s="5" t="str">
        <f t="shared" si="1061"/>
        <v>2210</v>
      </c>
      <c r="K8940" s="5" t="str">
        <f t="shared" si="1062"/>
        <v>000</v>
      </c>
      <c r="L8940" s="5">
        <f t="shared" si="1063"/>
        <v>10</v>
      </c>
      <c r="M8940" s="5">
        <f t="shared" si="1064"/>
        <v>2013</v>
      </c>
    </row>
    <row r="8941" spans="1:13" ht="15" x14ac:dyDescent="0.25">
      <c r="A8941" s="1">
        <f>DATE(2013,10,16)</f>
        <v>41563</v>
      </c>
      <c r="B8941" t="s">
        <v>17</v>
      </c>
      <c r="C8941" t="s">
        <v>9</v>
      </c>
      <c r="D8941" s="3">
        <v>770.73300000000006</v>
      </c>
      <c r="E8941" s="3">
        <v>0</v>
      </c>
      <c r="F8941" t="s">
        <v>45</v>
      </c>
      <c r="G8941" s="3">
        <f t="shared" si="1058"/>
        <v>-770.73300000000006</v>
      </c>
      <c r="H8941" s="3">
        <f t="shared" si="1059"/>
        <v>770.73300000000006</v>
      </c>
      <c r="I8941" s="5" t="str">
        <f t="shared" si="1060"/>
        <v>017</v>
      </c>
      <c r="J8941" s="5" t="str">
        <f t="shared" si="1061"/>
        <v>2220</v>
      </c>
      <c r="K8941" s="5" t="str">
        <f t="shared" si="1062"/>
        <v>000</v>
      </c>
      <c r="L8941" s="5">
        <f t="shared" si="1063"/>
        <v>10</v>
      </c>
      <c r="M8941" s="5">
        <f t="shared" si="1064"/>
        <v>2013</v>
      </c>
    </row>
    <row r="8942" spans="1:13" ht="15" x14ac:dyDescent="0.25">
      <c r="A8942" s="1">
        <f>DATE(2013,10,16)</f>
        <v>41563</v>
      </c>
      <c r="B8942" t="s">
        <v>18</v>
      </c>
      <c r="C8942" t="s">
        <v>10</v>
      </c>
      <c r="D8942" s="3">
        <v>212.73559999999998</v>
      </c>
      <c r="E8942" s="3">
        <v>0</v>
      </c>
      <c r="F8942" t="s">
        <v>45</v>
      </c>
      <c r="G8942" s="3">
        <f t="shared" si="1058"/>
        <v>-212.73559999999998</v>
      </c>
      <c r="H8942" s="3">
        <f t="shared" si="1059"/>
        <v>212.73559999999998</v>
      </c>
      <c r="I8942" s="5" t="str">
        <f t="shared" si="1060"/>
        <v>017</v>
      </c>
      <c r="J8942" s="5" t="str">
        <f t="shared" si="1061"/>
        <v>2230</v>
      </c>
      <c r="K8942" s="5" t="str">
        <f t="shared" si="1062"/>
        <v>000</v>
      </c>
      <c r="L8942" s="5">
        <f t="shared" si="1063"/>
        <v>10</v>
      </c>
      <c r="M8942" s="5">
        <f t="shared" si="1064"/>
        <v>2013</v>
      </c>
    </row>
    <row r="8943" spans="1:13" ht="15" x14ac:dyDescent="0.25">
      <c r="A8943" s="1">
        <f>DATE(2013,10,17)</f>
        <v>41564</v>
      </c>
      <c r="B8943" t="s">
        <v>15</v>
      </c>
      <c r="C8943" t="s">
        <v>6</v>
      </c>
      <c r="D8943" s="3">
        <v>5854.5</v>
      </c>
      <c r="E8943" s="3">
        <v>0</v>
      </c>
      <c r="F8943" t="s">
        <v>45</v>
      </c>
      <c r="G8943" s="3">
        <f t="shared" si="1058"/>
        <v>-5854.5</v>
      </c>
      <c r="H8943" s="3">
        <f t="shared" si="1059"/>
        <v>5854.5</v>
      </c>
      <c r="I8943" s="5" t="str">
        <f t="shared" si="1060"/>
        <v>017</v>
      </c>
      <c r="J8943" s="5" t="str">
        <f t="shared" si="1061"/>
        <v>2100</v>
      </c>
      <c r="K8943" s="5" t="str">
        <f t="shared" si="1062"/>
        <v>000</v>
      </c>
      <c r="L8943" s="5">
        <f t="shared" si="1063"/>
        <v>10</v>
      </c>
      <c r="M8943" s="5">
        <f t="shared" si="1064"/>
        <v>2013</v>
      </c>
    </row>
    <row r="8944" spans="1:13" ht="15" x14ac:dyDescent="0.25">
      <c r="A8944" s="1">
        <f>DATE(2013,10,17)</f>
        <v>41564</v>
      </c>
      <c r="B8944" t="s">
        <v>16</v>
      </c>
      <c r="C8944" t="s">
        <v>8</v>
      </c>
      <c r="D8944" s="3">
        <v>1630.3800999999999</v>
      </c>
      <c r="E8944" s="3">
        <v>0</v>
      </c>
      <c r="F8944" t="s">
        <v>45</v>
      </c>
      <c r="G8944" s="3">
        <f t="shared" si="1058"/>
        <v>-1630.3800999999999</v>
      </c>
      <c r="H8944" s="3">
        <f t="shared" si="1059"/>
        <v>1630.3800999999999</v>
      </c>
      <c r="I8944" s="5" t="str">
        <f t="shared" si="1060"/>
        <v>017</v>
      </c>
      <c r="J8944" s="5" t="str">
        <f t="shared" si="1061"/>
        <v>2210</v>
      </c>
      <c r="K8944" s="5" t="str">
        <f t="shared" si="1062"/>
        <v>000</v>
      </c>
      <c r="L8944" s="5">
        <f t="shared" si="1063"/>
        <v>10</v>
      </c>
      <c r="M8944" s="5">
        <f t="shared" si="1064"/>
        <v>2013</v>
      </c>
    </row>
    <row r="8945" spans="1:13" ht="15" x14ac:dyDescent="0.25">
      <c r="A8945" s="1">
        <f>DATE(2013,10,17)</f>
        <v>41564</v>
      </c>
      <c r="B8945" t="s">
        <v>17</v>
      </c>
      <c r="C8945" t="s">
        <v>9</v>
      </c>
      <c r="D8945" s="3">
        <v>604.10879999999997</v>
      </c>
      <c r="E8945" s="3">
        <v>0</v>
      </c>
      <c r="F8945" t="s">
        <v>45</v>
      </c>
      <c r="G8945" s="3">
        <f t="shared" si="1058"/>
        <v>-604.10879999999997</v>
      </c>
      <c r="H8945" s="3">
        <f t="shared" si="1059"/>
        <v>604.10879999999997</v>
      </c>
      <c r="I8945" s="5" t="str">
        <f t="shared" si="1060"/>
        <v>017</v>
      </c>
      <c r="J8945" s="5" t="str">
        <f t="shared" si="1061"/>
        <v>2220</v>
      </c>
      <c r="K8945" s="5" t="str">
        <f t="shared" si="1062"/>
        <v>000</v>
      </c>
      <c r="L8945" s="5">
        <f t="shared" si="1063"/>
        <v>10</v>
      </c>
      <c r="M8945" s="5">
        <f t="shared" si="1064"/>
        <v>2013</v>
      </c>
    </row>
    <row r="8946" spans="1:13" ht="15" x14ac:dyDescent="0.25">
      <c r="A8946" s="1">
        <f>DATE(2013,10,17)</f>
        <v>41564</v>
      </c>
      <c r="B8946" t="s">
        <v>18</v>
      </c>
      <c r="C8946" t="s">
        <v>10</v>
      </c>
      <c r="D8946" s="3">
        <v>278.714</v>
      </c>
      <c r="E8946" s="3">
        <v>0</v>
      </c>
      <c r="F8946" t="s">
        <v>45</v>
      </c>
      <c r="G8946" s="3">
        <f t="shared" si="1058"/>
        <v>-278.714</v>
      </c>
      <c r="H8946" s="3">
        <f t="shared" si="1059"/>
        <v>278.714</v>
      </c>
      <c r="I8946" s="5" t="str">
        <f t="shared" si="1060"/>
        <v>017</v>
      </c>
      <c r="J8946" s="5" t="str">
        <f t="shared" si="1061"/>
        <v>2230</v>
      </c>
      <c r="K8946" s="5" t="str">
        <f t="shared" si="1062"/>
        <v>000</v>
      </c>
      <c r="L8946" s="5">
        <f t="shared" si="1063"/>
        <v>10</v>
      </c>
      <c r="M8946" s="5">
        <f t="shared" si="1064"/>
        <v>2013</v>
      </c>
    </row>
    <row r="8947" spans="1:13" ht="15" x14ac:dyDescent="0.25">
      <c r="A8947" s="1">
        <f>DATE(2013,10,18)</f>
        <v>41565</v>
      </c>
      <c r="B8947" t="s">
        <v>15</v>
      </c>
      <c r="C8947" t="s">
        <v>6</v>
      </c>
      <c r="D8947" s="3">
        <v>6805.0111999999999</v>
      </c>
      <c r="E8947" s="3">
        <v>0</v>
      </c>
      <c r="F8947" t="s">
        <v>45</v>
      </c>
      <c r="G8947" s="3">
        <f t="shared" si="1058"/>
        <v>-6805.0111999999999</v>
      </c>
      <c r="H8947" s="3">
        <f t="shared" si="1059"/>
        <v>6805.0111999999999</v>
      </c>
      <c r="I8947" s="5" t="str">
        <f t="shared" si="1060"/>
        <v>017</v>
      </c>
      <c r="J8947" s="5" t="str">
        <f t="shared" si="1061"/>
        <v>2100</v>
      </c>
      <c r="K8947" s="5" t="str">
        <f t="shared" si="1062"/>
        <v>000</v>
      </c>
      <c r="L8947" s="5">
        <f t="shared" si="1063"/>
        <v>10</v>
      </c>
      <c r="M8947" s="5">
        <f t="shared" si="1064"/>
        <v>2013</v>
      </c>
    </row>
    <row r="8948" spans="1:13" ht="15" x14ac:dyDescent="0.25">
      <c r="A8948" s="1">
        <f>DATE(2013,10,18)</f>
        <v>41565</v>
      </c>
      <c r="B8948" t="s">
        <v>16</v>
      </c>
      <c r="C8948" t="s">
        <v>8</v>
      </c>
      <c r="D8948" s="3">
        <v>1558.7550000000001</v>
      </c>
      <c r="E8948" s="3">
        <v>0</v>
      </c>
      <c r="F8948" t="s">
        <v>45</v>
      </c>
      <c r="G8948" s="3">
        <f t="shared" si="1058"/>
        <v>-1558.7550000000001</v>
      </c>
      <c r="H8948" s="3">
        <f t="shared" si="1059"/>
        <v>1558.7550000000001</v>
      </c>
      <c r="I8948" s="5" t="str">
        <f t="shared" si="1060"/>
        <v>017</v>
      </c>
      <c r="J8948" s="5" t="str">
        <f t="shared" si="1061"/>
        <v>2210</v>
      </c>
      <c r="K8948" s="5" t="str">
        <f t="shared" si="1062"/>
        <v>000</v>
      </c>
      <c r="L8948" s="5">
        <f t="shared" si="1063"/>
        <v>10</v>
      </c>
      <c r="M8948" s="5">
        <f t="shared" si="1064"/>
        <v>2013</v>
      </c>
    </row>
    <row r="8949" spans="1:13" ht="15" x14ac:dyDescent="0.25">
      <c r="A8949" s="1">
        <f>DATE(2013,10,18)</f>
        <v>41565</v>
      </c>
      <c r="B8949" t="s">
        <v>17</v>
      </c>
      <c r="C8949" t="s">
        <v>9</v>
      </c>
      <c r="D8949" s="3">
        <v>266.68950000000001</v>
      </c>
      <c r="E8949" s="3">
        <v>0</v>
      </c>
      <c r="F8949" t="s">
        <v>45</v>
      </c>
      <c r="G8949" s="3">
        <f t="shared" si="1058"/>
        <v>-266.68950000000001</v>
      </c>
      <c r="H8949" s="3">
        <f t="shared" si="1059"/>
        <v>266.68950000000001</v>
      </c>
      <c r="I8949" s="5" t="str">
        <f t="shared" si="1060"/>
        <v>017</v>
      </c>
      <c r="J8949" s="5" t="str">
        <f t="shared" si="1061"/>
        <v>2220</v>
      </c>
      <c r="K8949" s="5" t="str">
        <f t="shared" si="1062"/>
        <v>000</v>
      </c>
      <c r="L8949" s="5">
        <f t="shared" si="1063"/>
        <v>10</v>
      </c>
      <c r="M8949" s="5">
        <f t="shared" si="1064"/>
        <v>2013</v>
      </c>
    </row>
    <row r="8950" spans="1:13" ht="15" x14ac:dyDescent="0.25">
      <c r="A8950" s="1">
        <f>DATE(2013,10,18)</f>
        <v>41565</v>
      </c>
      <c r="B8950" t="s">
        <v>18</v>
      </c>
      <c r="C8950" t="s">
        <v>10</v>
      </c>
      <c r="D8950" s="3">
        <v>296.02479999999997</v>
      </c>
      <c r="E8950" s="3">
        <v>0</v>
      </c>
      <c r="F8950" t="s">
        <v>45</v>
      </c>
      <c r="G8950" s="3">
        <f t="shared" si="1058"/>
        <v>-296.02479999999997</v>
      </c>
      <c r="H8950" s="3">
        <f t="shared" si="1059"/>
        <v>296.02479999999997</v>
      </c>
      <c r="I8950" s="5" t="str">
        <f t="shared" si="1060"/>
        <v>017</v>
      </c>
      <c r="J8950" s="5" t="str">
        <f t="shared" si="1061"/>
        <v>2230</v>
      </c>
      <c r="K8950" s="5" t="str">
        <f t="shared" si="1062"/>
        <v>000</v>
      </c>
      <c r="L8950" s="5">
        <f t="shared" si="1063"/>
        <v>10</v>
      </c>
      <c r="M8950" s="5">
        <f t="shared" si="1064"/>
        <v>2013</v>
      </c>
    </row>
    <row r="8951" spans="1:13" ht="15" x14ac:dyDescent="0.25">
      <c r="A8951" s="1">
        <f>DATE(2013,10,19)</f>
        <v>41566</v>
      </c>
      <c r="B8951" t="s">
        <v>15</v>
      </c>
      <c r="C8951" t="s">
        <v>6</v>
      </c>
      <c r="D8951" s="3">
        <v>6289.6719000000003</v>
      </c>
      <c r="E8951" s="3">
        <v>0</v>
      </c>
      <c r="F8951" t="s">
        <v>45</v>
      </c>
      <c r="G8951" s="3">
        <f t="shared" si="1058"/>
        <v>-6289.6719000000003</v>
      </c>
      <c r="H8951" s="3">
        <f t="shared" si="1059"/>
        <v>6289.6719000000003</v>
      </c>
      <c r="I8951" s="5" t="str">
        <f t="shared" si="1060"/>
        <v>017</v>
      </c>
      <c r="J8951" s="5" t="str">
        <f t="shared" si="1061"/>
        <v>2100</v>
      </c>
      <c r="K8951" s="5" t="str">
        <f t="shared" si="1062"/>
        <v>000</v>
      </c>
      <c r="L8951" s="5">
        <f t="shared" si="1063"/>
        <v>10</v>
      </c>
      <c r="M8951" s="5">
        <f t="shared" si="1064"/>
        <v>2013</v>
      </c>
    </row>
    <row r="8952" spans="1:13" ht="15" x14ac:dyDescent="0.25">
      <c r="A8952" s="1">
        <f>DATE(2013,10,19)</f>
        <v>41566</v>
      </c>
      <c r="B8952" t="s">
        <v>16</v>
      </c>
      <c r="C8952" t="s">
        <v>8</v>
      </c>
      <c r="D8952" s="3">
        <v>1126.4042999999999</v>
      </c>
      <c r="E8952" s="3">
        <v>0</v>
      </c>
      <c r="F8952" t="s">
        <v>45</v>
      </c>
      <c r="G8952" s="3">
        <f t="shared" si="1058"/>
        <v>-1126.4042999999999</v>
      </c>
      <c r="H8952" s="3">
        <f t="shared" si="1059"/>
        <v>1126.4042999999999</v>
      </c>
      <c r="I8952" s="5" t="str">
        <f t="shared" si="1060"/>
        <v>017</v>
      </c>
      <c r="J8952" s="5" t="str">
        <f t="shared" si="1061"/>
        <v>2210</v>
      </c>
      <c r="K8952" s="5" t="str">
        <f t="shared" si="1062"/>
        <v>000</v>
      </c>
      <c r="L8952" s="5">
        <f t="shared" si="1063"/>
        <v>10</v>
      </c>
      <c r="M8952" s="5">
        <f t="shared" si="1064"/>
        <v>2013</v>
      </c>
    </row>
    <row r="8953" spans="1:13" ht="15" x14ac:dyDescent="0.25">
      <c r="A8953" s="1">
        <f>DATE(2013,10,19)</f>
        <v>41566</v>
      </c>
      <c r="B8953" t="s">
        <v>17</v>
      </c>
      <c r="C8953" t="s">
        <v>9</v>
      </c>
      <c r="D8953" s="3">
        <v>214.10640000000001</v>
      </c>
      <c r="E8953" s="3">
        <v>0</v>
      </c>
      <c r="F8953" t="s">
        <v>45</v>
      </c>
      <c r="G8953" s="3">
        <f t="shared" si="1058"/>
        <v>-214.10640000000001</v>
      </c>
      <c r="H8953" s="3">
        <f t="shared" si="1059"/>
        <v>214.10640000000001</v>
      </c>
      <c r="I8953" s="5" t="str">
        <f t="shared" si="1060"/>
        <v>017</v>
      </c>
      <c r="J8953" s="5" t="str">
        <f t="shared" si="1061"/>
        <v>2220</v>
      </c>
      <c r="K8953" s="5" t="str">
        <f t="shared" si="1062"/>
        <v>000</v>
      </c>
      <c r="L8953" s="5">
        <f t="shared" si="1063"/>
        <v>10</v>
      </c>
      <c r="M8953" s="5">
        <f t="shared" si="1064"/>
        <v>2013</v>
      </c>
    </row>
    <row r="8954" spans="1:13" ht="15" x14ac:dyDescent="0.25">
      <c r="A8954" s="1">
        <f>DATE(2013,10,19)</f>
        <v>41566</v>
      </c>
      <c r="B8954" t="s">
        <v>18</v>
      </c>
      <c r="C8954" t="s">
        <v>10</v>
      </c>
      <c r="D8954" s="3">
        <v>76.369599999999991</v>
      </c>
      <c r="E8954" s="3">
        <v>0</v>
      </c>
      <c r="F8954" t="s">
        <v>45</v>
      </c>
      <c r="G8954" s="3">
        <f t="shared" si="1058"/>
        <v>-76.369599999999991</v>
      </c>
      <c r="H8954" s="3">
        <f t="shared" si="1059"/>
        <v>76.369599999999991</v>
      </c>
      <c r="I8954" s="5" t="str">
        <f t="shared" si="1060"/>
        <v>017</v>
      </c>
      <c r="J8954" s="5" t="str">
        <f t="shared" si="1061"/>
        <v>2230</v>
      </c>
      <c r="K8954" s="5" t="str">
        <f t="shared" si="1062"/>
        <v>000</v>
      </c>
      <c r="L8954" s="5">
        <f t="shared" si="1063"/>
        <v>10</v>
      </c>
      <c r="M8954" s="5">
        <f t="shared" si="1064"/>
        <v>2013</v>
      </c>
    </row>
    <row r="8955" spans="1:13" ht="15" x14ac:dyDescent="0.25">
      <c r="A8955" s="1">
        <f>DATE(2013,10,20)</f>
        <v>41567</v>
      </c>
      <c r="B8955" t="s">
        <v>15</v>
      </c>
      <c r="C8955" t="s">
        <v>6</v>
      </c>
      <c r="D8955" s="3">
        <v>5658.3395</v>
      </c>
      <c r="E8955" s="3">
        <v>0</v>
      </c>
      <c r="F8955" t="s">
        <v>45</v>
      </c>
      <c r="G8955" s="3">
        <f t="shared" si="1058"/>
        <v>-5658.3395</v>
      </c>
      <c r="H8955" s="3">
        <f t="shared" si="1059"/>
        <v>5658.3395</v>
      </c>
      <c r="I8955" s="5" t="str">
        <f t="shared" si="1060"/>
        <v>017</v>
      </c>
      <c r="J8955" s="5" t="str">
        <f t="shared" si="1061"/>
        <v>2100</v>
      </c>
      <c r="K8955" s="5" t="str">
        <f t="shared" si="1062"/>
        <v>000</v>
      </c>
      <c r="L8955" s="5">
        <f t="shared" si="1063"/>
        <v>10</v>
      </c>
      <c r="M8955" s="5">
        <f t="shared" si="1064"/>
        <v>2013</v>
      </c>
    </row>
    <row r="8956" spans="1:13" ht="15" x14ac:dyDescent="0.25">
      <c r="A8956" s="1">
        <f>DATE(2013,10,20)</f>
        <v>41567</v>
      </c>
      <c r="B8956" t="s">
        <v>16</v>
      </c>
      <c r="C8956" t="s">
        <v>8</v>
      </c>
      <c r="D8956" s="3">
        <v>795.61680000000001</v>
      </c>
      <c r="E8956" s="3">
        <v>0</v>
      </c>
      <c r="F8956" t="s">
        <v>45</v>
      </c>
      <c r="G8956" s="3">
        <f t="shared" si="1058"/>
        <v>-795.61680000000001</v>
      </c>
      <c r="H8956" s="3">
        <f t="shared" si="1059"/>
        <v>795.61680000000001</v>
      </c>
      <c r="I8956" s="5" t="str">
        <f t="shared" si="1060"/>
        <v>017</v>
      </c>
      <c r="J8956" s="5" t="str">
        <f t="shared" si="1061"/>
        <v>2210</v>
      </c>
      <c r="K8956" s="5" t="str">
        <f t="shared" si="1062"/>
        <v>000</v>
      </c>
      <c r="L8956" s="5">
        <f t="shared" si="1063"/>
        <v>10</v>
      </c>
      <c r="M8956" s="5">
        <f t="shared" si="1064"/>
        <v>2013</v>
      </c>
    </row>
    <row r="8957" spans="1:13" ht="15" x14ac:dyDescent="0.25">
      <c r="A8957" s="1">
        <f>DATE(2013,10,20)</f>
        <v>41567</v>
      </c>
      <c r="B8957" t="s">
        <v>17</v>
      </c>
      <c r="C8957" t="s">
        <v>9</v>
      </c>
      <c r="D8957" s="3">
        <v>176.63059999999999</v>
      </c>
      <c r="E8957" s="3">
        <v>0</v>
      </c>
      <c r="F8957" t="s">
        <v>45</v>
      </c>
      <c r="G8957" s="3">
        <f t="shared" si="1058"/>
        <v>-176.63059999999999</v>
      </c>
      <c r="H8957" s="3">
        <f t="shared" si="1059"/>
        <v>176.63059999999999</v>
      </c>
      <c r="I8957" s="5" t="str">
        <f t="shared" si="1060"/>
        <v>017</v>
      </c>
      <c r="J8957" s="5" t="str">
        <f t="shared" si="1061"/>
        <v>2220</v>
      </c>
      <c r="K8957" s="5" t="str">
        <f t="shared" si="1062"/>
        <v>000</v>
      </c>
      <c r="L8957" s="5">
        <f t="shared" si="1063"/>
        <v>10</v>
      </c>
      <c r="M8957" s="5">
        <f t="shared" si="1064"/>
        <v>2013</v>
      </c>
    </row>
    <row r="8958" spans="1:13" ht="15" x14ac:dyDescent="0.25">
      <c r="A8958" s="1">
        <f>DATE(2013,10,20)</f>
        <v>41567</v>
      </c>
      <c r="B8958" t="s">
        <v>18</v>
      </c>
      <c r="C8958" t="s">
        <v>10</v>
      </c>
      <c r="D8958" s="3">
        <v>137.78829999999999</v>
      </c>
      <c r="E8958" s="3">
        <v>0</v>
      </c>
      <c r="F8958" t="s">
        <v>45</v>
      </c>
      <c r="G8958" s="3">
        <f t="shared" si="1058"/>
        <v>-137.78829999999999</v>
      </c>
      <c r="H8958" s="3">
        <f t="shared" si="1059"/>
        <v>137.78829999999999</v>
      </c>
      <c r="I8958" s="5" t="str">
        <f t="shared" si="1060"/>
        <v>017</v>
      </c>
      <c r="J8958" s="5" t="str">
        <f t="shared" si="1061"/>
        <v>2230</v>
      </c>
      <c r="K8958" s="5" t="str">
        <f t="shared" si="1062"/>
        <v>000</v>
      </c>
      <c r="L8958" s="5">
        <f t="shared" si="1063"/>
        <v>10</v>
      </c>
      <c r="M8958" s="5">
        <f t="shared" si="1064"/>
        <v>2013</v>
      </c>
    </row>
    <row r="8959" spans="1:13" ht="15" x14ac:dyDescent="0.25">
      <c r="A8959" s="1">
        <f>DATE(2013,10,14)</f>
        <v>41561</v>
      </c>
      <c r="B8959" t="s">
        <v>19</v>
      </c>
      <c r="C8959" t="s">
        <v>6</v>
      </c>
      <c r="D8959" s="3">
        <v>5464.1408000000001</v>
      </c>
      <c r="E8959" s="3">
        <v>0</v>
      </c>
      <c r="F8959" t="s">
        <v>45</v>
      </c>
      <c r="G8959" s="3">
        <f t="shared" si="1058"/>
        <v>-5464.1408000000001</v>
      </c>
      <c r="H8959" s="3">
        <f t="shared" si="1059"/>
        <v>5464.1408000000001</v>
      </c>
      <c r="I8959" s="5" t="str">
        <f t="shared" si="1060"/>
        <v>018</v>
      </c>
      <c r="J8959" s="5" t="str">
        <f t="shared" si="1061"/>
        <v>2100</v>
      </c>
      <c r="K8959" s="5" t="str">
        <f t="shared" si="1062"/>
        <v>000</v>
      </c>
      <c r="L8959" s="5">
        <f t="shared" si="1063"/>
        <v>10</v>
      </c>
      <c r="M8959" s="5">
        <f t="shared" si="1064"/>
        <v>2013</v>
      </c>
    </row>
    <row r="8960" spans="1:13" ht="15" x14ac:dyDescent="0.25">
      <c r="A8960" s="1">
        <f>DATE(2013,10,14)</f>
        <v>41561</v>
      </c>
      <c r="B8960" t="s">
        <v>20</v>
      </c>
      <c r="C8960" t="s">
        <v>8</v>
      </c>
      <c r="D8960" s="3">
        <v>959.00829999999996</v>
      </c>
      <c r="E8960" s="3">
        <v>0</v>
      </c>
      <c r="F8960" t="s">
        <v>45</v>
      </c>
      <c r="G8960" s="3">
        <f t="shared" si="1058"/>
        <v>-959.00829999999996</v>
      </c>
      <c r="H8960" s="3">
        <f t="shared" si="1059"/>
        <v>959.00829999999996</v>
      </c>
      <c r="I8960" s="5" t="str">
        <f t="shared" si="1060"/>
        <v>018</v>
      </c>
      <c r="J8960" s="5" t="str">
        <f t="shared" si="1061"/>
        <v>2210</v>
      </c>
      <c r="K8960" s="5" t="str">
        <f t="shared" si="1062"/>
        <v>000</v>
      </c>
      <c r="L8960" s="5">
        <f t="shared" si="1063"/>
        <v>10</v>
      </c>
      <c r="M8960" s="5">
        <f t="shared" si="1064"/>
        <v>2013</v>
      </c>
    </row>
    <row r="8961" spans="1:13" ht="15" x14ac:dyDescent="0.25">
      <c r="A8961" s="1">
        <f>DATE(2013,10,14)</f>
        <v>41561</v>
      </c>
      <c r="B8961" t="s">
        <v>21</v>
      </c>
      <c r="C8961" t="s">
        <v>9</v>
      </c>
      <c r="D8961" s="3">
        <v>172.20839999999998</v>
      </c>
      <c r="E8961" s="3">
        <v>0</v>
      </c>
      <c r="F8961" t="s">
        <v>45</v>
      </c>
      <c r="G8961" s="3">
        <f t="shared" si="1058"/>
        <v>-172.20839999999998</v>
      </c>
      <c r="H8961" s="3">
        <f t="shared" si="1059"/>
        <v>172.20839999999998</v>
      </c>
      <c r="I8961" s="5" t="str">
        <f t="shared" si="1060"/>
        <v>018</v>
      </c>
      <c r="J8961" s="5" t="str">
        <f t="shared" si="1061"/>
        <v>2220</v>
      </c>
      <c r="K8961" s="5" t="str">
        <f t="shared" si="1062"/>
        <v>000</v>
      </c>
      <c r="L8961" s="5">
        <f t="shared" si="1063"/>
        <v>10</v>
      </c>
      <c r="M8961" s="5">
        <f t="shared" si="1064"/>
        <v>2013</v>
      </c>
    </row>
    <row r="8962" spans="1:13" ht="15" x14ac:dyDescent="0.25">
      <c r="A8962" s="1">
        <f>DATE(2013,10,14)</f>
        <v>41561</v>
      </c>
      <c r="B8962" t="s">
        <v>22</v>
      </c>
      <c r="C8962" t="s">
        <v>10</v>
      </c>
      <c r="D8962" s="3">
        <v>37.055799999999998</v>
      </c>
      <c r="E8962" s="3">
        <v>0</v>
      </c>
      <c r="F8962" t="s">
        <v>45</v>
      </c>
      <c r="G8962" s="3">
        <f t="shared" ref="G8962:G9025" si="1065">E8962-D8962</f>
        <v>-37.055799999999998</v>
      </c>
      <c r="H8962" s="3">
        <f t="shared" ref="H8962:H9025" si="1066">ABS(G8962)</f>
        <v>37.055799999999998</v>
      </c>
      <c r="I8962" s="5" t="str">
        <f t="shared" ref="I8962:I9025" si="1067">MID(B8962,1,3)</f>
        <v>018</v>
      </c>
      <c r="J8962" s="5" t="str">
        <f t="shared" ref="J8962:J9025" si="1068">MID(B8962,5,4)</f>
        <v>2230</v>
      </c>
      <c r="K8962" s="5" t="str">
        <f t="shared" ref="K8962:K9025" si="1069">MID(B8962,10,3)</f>
        <v>000</v>
      </c>
      <c r="L8962" s="5">
        <f t="shared" ref="L8962:L9025" si="1070">MONTH(A8962)</f>
        <v>10</v>
      </c>
      <c r="M8962" s="5">
        <f t="shared" ref="M8962:M9025" si="1071">YEAR(A8962)</f>
        <v>2013</v>
      </c>
    </row>
    <row r="8963" spans="1:13" ht="15" x14ac:dyDescent="0.25">
      <c r="A8963" s="1">
        <f>DATE(2013,10,15)</f>
        <v>41562</v>
      </c>
      <c r="B8963" t="s">
        <v>19</v>
      </c>
      <c r="C8963" t="s">
        <v>6</v>
      </c>
      <c r="D8963" s="3">
        <v>2834.1899999999996</v>
      </c>
      <c r="E8963" s="3">
        <v>0</v>
      </c>
      <c r="F8963" t="s">
        <v>45</v>
      </c>
      <c r="G8963" s="3">
        <f t="shared" si="1065"/>
        <v>-2834.1899999999996</v>
      </c>
      <c r="H8963" s="3">
        <f t="shared" si="1066"/>
        <v>2834.1899999999996</v>
      </c>
      <c r="I8963" s="5" t="str">
        <f t="shared" si="1067"/>
        <v>018</v>
      </c>
      <c r="J8963" s="5" t="str">
        <f t="shared" si="1068"/>
        <v>2100</v>
      </c>
      <c r="K8963" s="5" t="str">
        <f t="shared" si="1069"/>
        <v>000</v>
      </c>
      <c r="L8963" s="5">
        <f t="shared" si="1070"/>
        <v>10</v>
      </c>
      <c r="M8963" s="5">
        <f t="shared" si="1071"/>
        <v>2013</v>
      </c>
    </row>
    <row r="8964" spans="1:13" ht="15" x14ac:dyDescent="0.25">
      <c r="A8964" s="1">
        <f>DATE(2013,10,15)</f>
        <v>41562</v>
      </c>
      <c r="B8964" t="s">
        <v>20</v>
      </c>
      <c r="C8964" t="s">
        <v>8</v>
      </c>
      <c r="D8964" s="3">
        <v>500.27040000000005</v>
      </c>
      <c r="E8964" s="3">
        <v>0</v>
      </c>
      <c r="F8964" t="s">
        <v>45</v>
      </c>
      <c r="G8964" s="3">
        <f t="shared" si="1065"/>
        <v>-500.27040000000005</v>
      </c>
      <c r="H8964" s="3">
        <f t="shared" si="1066"/>
        <v>500.27040000000005</v>
      </c>
      <c r="I8964" s="5" t="str">
        <f t="shared" si="1067"/>
        <v>018</v>
      </c>
      <c r="J8964" s="5" t="str">
        <f t="shared" si="1068"/>
        <v>2210</v>
      </c>
      <c r="K8964" s="5" t="str">
        <f t="shared" si="1069"/>
        <v>000</v>
      </c>
      <c r="L8964" s="5">
        <f t="shared" si="1070"/>
        <v>10</v>
      </c>
      <c r="M8964" s="5">
        <f t="shared" si="1071"/>
        <v>2013</v>
      </c>
    </row>
    <row r="8965" spans="1:13" ht="15" x14ac:dyDescent="0.25">
      <c r="A8965" s="1">
        <f>DATE(2013,10,15)</f>
        <v>41562</v>
      </c>
      <c r="B8965" t="s">
        <v>21</v>
      </c>
      <c r="C8965" t="s">
        <v>9</v>
      </c>
      <c r="D8965" s="3">
        <v>133.78649999999999</v>
      </c>
      <c r="E8965" s="3">
        <v>0</v>
      </c>
      <c r="F8965" t="s">
        <v>45</v>
      </c>
      <c r="G8965" s="3">
        <f t="shared" si="1065"/>
        <v>-133.78649999999999</v>
      </c>
      <c r="H8965" s="3">
        <f t="shared" si="1066"/>
        <v>133.78649999999999</v>
      </c>
      <c r="I8965" s="5" t="str">
        <f t="shared" si="1067"/>
        <v>018</v>
      </c>
      <c r="J8965" s="5" t="str">
        <f t="shared" si="1068"/>
        <v>2220</v>
      </c>
      <c r="K8965" s="5" t="str">
        <f t="shared" si="1069"/>
        <v>000</v>
      </c>
      <c r="L8965" s="5">
        <f t="shared" si="1070"/>
        <v>10</v>
      </c>
      <c r="M8965" s="5">
        <f t="shared" si="1071"/>
        <v>2013</v>
      </c>
    </row>
    <row r="8966" spans="1:13" ht="15" x14ac:dyDescent="0.25">
      <c r="A8966" s="1">
        <f>DATE(2013,10,15)</f>
        <v>41562</v>
      </c>
      <c r="B8966" t="s">
        <v>22</v>
      </c>
      <c r="C8966" t="s">
        <v>10</v>
      </c>
      <c r="D8966" s="3">
        <v>14.981999999999999</v>
      </c>
      <c r="E8966" s="3">
        <v>0</v>
      </c>
      <c r="F8966" t="s">
        <v>45</v>
      </c>
      <c r="G8966" s="3">
        <f t="shared" si="1065"/>
        <v>-14.981999999999999</v>
      </c>
      <c r="H8966" s="3">
        <f t="shared" si="1066"/>
        <v>14.981999999999999</v>
      </c>
      <c r="I8966" s="5" t="str">
        <f t="shared" si="1067"/>
        <v>018</v>
      </c>
      <c r="J8966" s="5" t="str">
        <f t="shared" si="1068"/>
        <v>2230</v>
      </c>
      <c r="K8966" s="5" t="str">
        <f t="shared" si="1069"/>
        <v>000</v>
      </c>
      <c r="L8966" s="5">
        <f t="shared" si="1070"/>
        <v>10</v>
      </c>
      <c r="M8966" s="5">
        <f t="shared" si="1071"/>
        <v>2013</v>
      </c>
    </row>
    <row r="8967" spans="1:13" ht="15" x14ac:dyDescent="0.25">
      <c r="A8967" s="1">
        <f>DATE(2013,10,16)</f>
        <v>41563</v>
      </c>
      <c r="B8967" t="s">
        <v>19</v>
      </c>
      <c r="C8967" t="s">
        <v>6</v>
      </c>
      <c r="D8967" s="3">
        <v>3335.6954999999998</v>
      </c>
      <c r="E8967" s="3">
        <v>0</v>
      </c>
      <c r="F8967" t="s">
        <v>45</v>
      </c>
      <c r="G8967" s="3">
        <f t="shared" si="1065"/>
        <v>-3335.6954999999998</v>
      </c>
      <c r="H8967" s="3">
        <f t="shared" si="1066"/>
        <v>3335.6954999999998</v>
      </c>
      <c r="I8967" s="5" t="str">
        <f t="shared" si="1067"/>
        <v>018</v>
      </c>
      <c r="J8967" s="5" t="str">
        <f t="shared" si="1068"/>
        <v>2100</v>
      </c>
      <c r="K8967" s="5" t="str">
        <f t="shared" si="1069"/>
        <v>000</v>
      </c>
      <c r="L8967" s="5">
        <f t="shared" si="1070"/>
        <v>10</v>
      </c>
      <c r="M8967" s="5">
        <f t="shared" si="1071"/>
        <v>2013</v>
      </c>
    </row>
    <row r="8968" spans="1:13" ht="15" x14ac:dyDescent="0.25">
      <c r="A8968" s="1">
        <f>DATE(2013,10,16)</f>
        <v>41563</v>
      </c>
      <c r="B8968" t="s">
        <v>20</v>
      </c>
      <c r="C8968" t="s">
        <v>8</v>
      </c>
      <c r="D8968" s="3">
        <v>878.26700000000005</v>
      </c>
      <c r="E8968" s="3">
        <v>0</v>
      </c>
      <c r="F8968" t="s">
        <v>45</v>
      </c>
      <c r="G8968" s="3">
        <f t="shared" si="1065"/>
        <v>-878.26700000000005</v>
      </c>
      <c r="H8968" s="3">
        <f t="shared" si="1066"/>
        <v>878.26700000000005</v>
      </c>
      <c r="I8968" s="5" t="str">
        <f t="shared" si="1067"/>
        <v>018</v>
      </c>
      <c r="J8968" s="5" t="str">
        <f t="shared" si="1068"/>
        <v>2210</v>
      </c>
      <c r="K8968" s="5" t="str">
        <f t="shared" si="1069"/>
        <v>000</v>
      </c>
      <c r="L8968" s="5">
        <f t="shared" si="1070"/>
        <v>10</v>
      </c>
      <c r="M8968" s="5">
        <f t="shared" si="1071"/>
        <v>2013</v>
      </c>
    </row>
    <row r="8969" spans="1:13" ht="15" x14ac:dyDescent="0.25">
      <c r="A8969" s="1">
        <f>DATE(2013,10,16)</f>
        <v>41563</v>
      </c>
      <c r="B8969" t="s">
        <v>21</v>
      </c>
      <c r="C8969" t="s">
        <v>9</v>
      </c>
      <c r="D8969" s="3">
        <v>209.33640000000003</v>
      </c>
      <c r="E8969" s="3">
        <v>0</v>
      </c>
      <c r="F8969" t="s">
        <v>45</v>
      </c>
      <c r="G8969" s="3">
        <f t="shared" si="1065"/>
        <v>-209.33640000000003</v>
      </c>
      <c r="H8969" s="3">
        <f t="shared" si="1066"/>
        <v>209.33640000000003</v>
      </c>
      <c r="I8969" s="5" t="str">
        <f t="shared" si="1067"/>
        <v>018</v>
      </c>
      <c r="J8969" s="5" t="str">
        <f t="shared" si="1068"/>
        <v>2220</v>
      </c>
      <c r="K8969" s="5" t="str">
        <f t="shared" si="1069"/>
        <v>000</v>
      </c>
      <c r="L8969" s="5">
        <f t="shared" si="1070"/>
        <v>10</v>
      </c>
      <c r="M8969" s="5">
        <f t="shared" si="1071"/>
        <v>2013</v>
      </c>
    </row>
    <row r="8970" spans="1:13" ht="15" x14ac:dyDescent="0.25">
      <c r="A8970" s="1">
        <f>DATE(2013,10,16)</f>
        <v>41563</v>
      </c>
      <c r="B8970" t="s">
        <v>22</v>
      </c>
      <c r="C8970" t="s">
        <v>10</v>
      </c>
      <c r="D8970" s="3">
        <v>32.952800000000003</v>
      </c>
      <c r="E8970" s="3">
        <v>0</v>
      </c>
      <c r="F8970" t="s">
        <v>45</v>
      </c>
      <c r="G8970" s="3">
        <f t="shared" si="1065"/>
        <v>-32.952800000000003</v>
      </c>
      <c r="H8970" s="3">
        <f t="shared" si="1066"/>
        <v>32.952800000000003</v>
      </c>
      <c r="I8970" s="5" t="str">
        <f t="shared" si="1067"/>
        <v>018</v>
      </c>
      <c r="J8970" s="5" t="str">
        <f t="shared" si="1068"/>
        <v>2230</v>
      </c>
      <c r="K8970" s="5" t="str">
        <f t="shared" si="1069"/>
        <v>000</v>
      </c>
      <c r="L8970" s="5">
        <f t="shared" si="1070"/>
        <v>10</v>
      </c>
      <c r="M8970" s="5">
        <f t="shared" si="1071"/>
        <v>2013</v>
      </c>
    </row>
    <row r="8971" spans="1:13" ht="15" x14ac:dyDescent="0.25">
      <c r="A8971" s="1">
        <f>DATE(2013,10,17)</f>
        <v>41564</v>
      </c>
      <c r="B8971" t="s">
        <v>19</v>
      </c>
      <c r="C8971" t="s">
        <v>6</v>
      </c>
      <c r="D8971" s="3">
        <v>5206.6716000000006</v>
      </c>
      <c r="E8971" s="3">
        <v>0</v>
      </c>
      <c r="F8971" t="s">
        <v>45</v>
      </c>
      <c r="G8971" s="3">
        <f t="shared" si="1065"/>
        <v>-5206.6716000000006</v>
      </c>
      <c r="H8971" s="3">
        <f t="shared" si="1066"/>
        <v>5206.6716000000006</v>
      </c>
      <c r="I8971" s="5" t="str">
        <f t="shared" si="1067"/>
        <v>018</v>
      </c>
      <c r="J8971" s="5" t="str">
        <f t="shared" si="1068"/>
        <v>2100</v>
      </c>
      <c r="K8971" s="5" t="str">
        <f t="shared" si="1069"/>
        <v>000</v>
      </c>
      <c r="L8971" s="5">
        <f t="shared" si="1070"/>
        <v>10</v>
      </c>
      <c r="M8971" s="5">
        <f t="shared" si="1071"/>
        <v>2013</v>
      </c>
    </row>
    <row r="8972" spans="1:13" ht="15" x14ac:dyDescent="0.25">
      <c r="A8972" s="1">
        <f>DATE(2013,10,17)</f>
        <v>41564</v>
      </c>
      <c r="B8972" t="s">
        <v>20</v>
      </c>
      <c r="C8972" t="s">
        <v>8</v>
      </c>
      <c r="D8972" s="3">
        <v>1120.1551999999999</v>
      </c>
      <c r="E8972" s="3">
        <v>0</v>
      </c>
      <c r="F8972" t="s">
        <v>45</v>
      </c>
      <c r="G8972" s="3">
        <f t="shared" si="1065"/>
        <v>-1120.1551999999999</v>
      </c>
      <c r="H8972" s="3">
        <f t="shared" si="1066"/>
        <v>1120.1551999999999</v>
      </c>
      <c r="I8972" s="5" t="str">
        <f t="shared" si="1067"/>
        <v>018</v>
      </c>
      <c r="J8972" s="5" t="str">
        <f t="shared" si="1068"/>
        <v>2210</v>
      </c>
      <c r="K8972" s="5" t="str">
        <f t="shared" si="1069"/>
        <v>000</v>
      </c>
      <c r="L8972" s="5">
        <f t="shared" si="1070"/>
        <v>10</v>
      </c>
      <c r="M8972" s="5">
        <f t="shared" si="1071"/>
        <v>2013</v>
      </c>
    </row>
    <row r="8973" spans="1:13" ht="15" x14ac:dyDescent="0.25">
      <c r="A8973" s="1">
        <f>DATE(2013,10,17)</f>
        <v>41564</v>
      </c>
      <c r="B8973" t="s">
        <v>21</v>
      </c>
      <c r="C8973" t="s">
        <v>9</v>
      </c>
      <c r="D8973" s="3">
        <v>173.33999999999997</v>
      </c>
      <c r="E8973" s="3">
        <v>0</v>
      </c>
      <c r="F8973" t="s">
        <v>45</v>
      </c>
      <c r="G8973" s="3">
        <f t="shared" si="1065"/>
        <v>-173.33999999999997</v>
      </c>
      <c r="H8973" s="3">
        <f t="shared" si="1066"/>
        <v>173.33999999999997</v>
      </c>
      <c r="I8973" s="5" t="str">
        <f t="shared" si="1067"/>
        <v>018</v>
      </c>
      <c r="J8973" s="5" t="str">
        <f t="shared" si="1068"/>
        <v>2220</v>
      </c>
      <c r="K8973" s="5" t="str">
        <f t="shared" si="1069"/>
        <v>000</v>
      </c>
      <c r="L8973" s="5">
        <f t="shared" si="1070"/>
        <v>10</v>
      </c>
      <c r="M8973" s="5">
        <f t="shared" si="1071"/>
        <v>2013</v>
      </c>
    </row>
    <row r="8974" spans="1:13" ht="15" x14ac:dyDescent="0.25">
      <c r="A8974" s="1">
        <f>DATE(2013,10,17)</f>
        <v>41564</v>
      </c>
      <c r="B8974" t="s">
        <v>22</v>
      </c>
      <c r="C8974" t="s">
        <v>10</v>
      </c>
      <c r="D8974" s="3">
        <v>30.869799999999998</v>
      </c>
      <c r="E8974" s="3">
        <v>0</v>
      </c>
      <c r="F8974" t="s">
        <v>45</v>
      </c>
      <c r="G8974" s="3">
        <f t="shared" si="1065"/>
        <v>-30.869799999999998</v>
      </c>
      <c r="H8974" s="3">
        <f t="shared" si="1066"/>
        <v>30.869799999999998</v>
      </c>
      <c r="I8974" s="5" t="str">
        <f t="shared" si="1067"/>
        <v>018</v>
      </c>
      <c r="J8974" s="5" t="str">
        <f t="shared" si="1068"/>
        <v>2230</v>
      </c>
      <c r="K8974" s="5" t="str">
        <f t="shared" si="1069"/>
        <v>000</v>
      </c>
      <c r="L8974" s="5">
        <f t="shared" si="1070"/>
        <v>10</v>
      </c>
      <c r="M8974" s="5">
        <f t="shared" si="1071"/>
        <v>2013</v>
      </c>
    </row>
    <row r="8975" spans="1:13" ht="15" x14ac:dyDescent="0.25">
      <c r="A8975" s="1">
        <f>DATE(2013,10,18)</f>
        <v>41565</v>
      </c>
      <c r="B8975" t="s">
        <v>19</v>
      </c>
      <c r="C8975" t="s">
        <v>6</v>
      </c>
      <c r="D8975" s="3">
        <v>10446.3423</v>
      </c>
      <c r="E8975" s="3">
        <v>0</v>
      </c>
      <c r="F8975" t="s">
        <v>45</v>
      </c>
      <c r="G8975" s="3">
        <f t="shared" si="1065"/>
        <v>-10446.3423</v>
      </c>
      <c r="H8975" s="3">
        <f t="shared" si="1066"/>
        <v>10446.3423</v>
      </c>
      <c r="I8975" s="5" t="str">
        <f t="shared" si="1067"/>
        <v>018</v>
      </c>
      <c r="J8975" s="5" t="str">
        <f t="shared" si="1068"/>
        <v>2100</v>
      </c>
      <c r="K8975" s="5" t="str">
        <f t="shared" si="1069"/>
        <v>000</v>
      </c>
      <c r="L8975" s="5">
        <f t="shared" si="1070"/>
        <v>10</v>
      </c>
      <c r="M8975" s="5">
        <f t="shared" si="1071"/>
        <v>2013</v>
      </c>
    </row>
    <row r="8976" spans="1:13" ht="15" x14ac:dyDescent="0.25">
      <c r="A8976" s="1">
        <f>DATE(2013,10,18)</f>
        <v>41565</v>
      </c>
      <c r="B8976" t="s">
        <v>20</v>
      </c>
      <c r="C8976" t="s">
        <v>8</v>
      </c>
      <c r="D8976" s="3">
        <v>2947.5164999999997</v>
      </c>
      <c r="E8976" s="3">
        <v>0</v>
      </c>
      <c r="F8976" t="s">
        <v>45</v>
      </c>
      <c r="G8976" s="3">
        <f t="shared" si="1065"/>
        <v>-2947.5164999999997</v>
      </c>
      <c r="H8976" s="3">
        <f t="shared" si="1066"/>
        <v>2947.5164999999997</v>
      </c>
      <c r="I8976" s="5" t="str">
        <f t="shared" si="1067"/>
        <v>018</v>
      </c>
      <c r="J8976" s="5" t="str">
        <f t="shared" si="1068"/>
        <v>2210</v>
      </c>
      <c r="K8976" s="5" t="str">
        <f t="shared" si="1069"/>
        <v>000</v>
      </c>
      <c r="L8976" s="5">
        <f t="shared" si="1070"/>
        <v>10</v>
      </c>
      <c r="M8976" s="5">
        <f t="shared" si="1071"/>
        <v>2013</v>
      </c>
    </row>
    <row r="8977" spans="1:13" ht="15" x14ac:dyDescent="0.25">
      <c r="A8977" s="1">
        <f>DATE(2013,10,18)</f>
        <v>41565</v>
      </c>
      <c r="B8977" t="s">
        <v>21</v>
      </c>
      <c r="C8977" t="s">
        <v>9</v>
      </c>
      <c r="D8977" s="3">
        <v>658.38149999999996</v>
      </c>
      <c r="E8977" s="3">
        <v>0</v>
      </c>
      <c r="F8977" t="s">
        <v>45</v>
      </c>
      <c r="G8977" s="3">
        <f t="shared" si="1065"/>
        <v>-658.38149999999996</v>
      </c>
      <c r="H8977" s="3">
        <f t="shared" si="1066"/>
        <v>658.38149999999996</v>
      </c>
      <c r="I8977" s="5" t="str">
        <f t="shared" si="1067"/>
        <v>018</v>
      </c>
      <c r="J8977" s="5" t="str">
        <f t="shared" si="1068"/>
        <v>2220</v>
      </c>
      <c r="K8977" s="5" t="str">
        <f t="shared" si="1069"/>
        <v>000</v>
      </c>
      <c r="L8977" s="5">
        <f t="shared" si="1070"/>
        <v>10</v>
      </c>
      <c r="M8977" s="5">
        <f t="shared" si="1071"/>
        <v>2013</v>
      </c>
    </row>
    <row r="8978" spans="1:13" ht="15" x14ac:dyDescent="0.25">
      <c r="A8978" s="1">
        <f>DATE(2013,10,18)</f>
        <v>41565</v>
      </c>
      <c r="B8978" t="s">
        <v>22</v>
      </c>
      <c r="C8978" t="s">
        <v>10</v>
      </c>
      <c r="D8978" s="3">
        <v>78.613199999999992</v>
      </c>
      <c r="E8978" s="3">
        <v>0</v>
      </c>
      <c r="F8978" t="s">
        <v>45</v>
      </c>
      <c r="G8978" s="3">
        <f t="shared" si="1065"/>
        <v>-78.613199999999992</v>
      </c>
      <c r="H8978" s="3">
        <f t="shared" si="1066"/>
        <v>78.613199999999992</v>
      </c>
      <c r="I8978" s="5" t="str">
        <f t="shared" si="1067"/>
        <v>018</v>
      </c>
      <c r="J8978" s="5" t="str">
        <f t="shared" si="1068"/>
        <v>2230</v>
      </c>
      <c r="K8978" s="5" t="str">
        <f t="shared" si="1069"/>
        <v>000</v>
      </c>
      <c r="L8978" s="5">
        <f t="shared" si="1070"/>
        <v>10</v>
      </c>
      <c r="M8978" s="5">
        <f t="shared" si="1071"/>
        <v>2013</v>
      </c>
    </row>
    <row r="8979" spans="1:13" ht="15" x14ac:dyDescent="0.25">
      <c r="A8979" s="1">
        <f>DATE(2013,10,19)</f>
        <v>41566</v>
      </c>
      <c r="B8979" t="s">
        <v>19</v>
      </c>
      <c r="C8979" t="s">
        <v>6</v>
      </c>
      <c r="D8979" s="3">
        <v>14720.418799999999</v>
      </c>
      <c r="E8979" s="3">
        <v>0</v>
      </c>
      <c r="F8979" t="s">
        <v>45</v>
      </c>
      <c r="G8979" s="3">
        <f t="shared" si="1065"/>
        <v>-14720.418799999999</v>
      </c>
      <c r="H8979" s="3">
        <f t="shared" si="1066"/>
        <v>14720.418799999999</v>
      </c>
      <c r="I8979" s="5" t="str">
        <f t="shared" si="1067"/>
        <v>018</v>
      </c>
      <c r="J8979" s="5" t="str">
        <f t="shared" si="1068"/>
        <v>2100</v>
      </c>
      <c r="K8979" s="5" t="str">
        <f t="shared" si="1069"/>
        <v>000</v>
      </c>
      <c r="L8979" s="5">
        <f t="shared" si="1070"/>
        <v>10</v>
      </c>
      <c r="M8979" s="5">
        <f t="shared" si="1071"/>
        <v>2013</v>
      </c>
    </row>
    <row r="8980" spans="1:13" ht="15" x14ac:dyDescent="0.25">
      <c r="A8980" s="1">
        <f>DATE(2013,10,19)</f>
        <v>41566</v>
      </c>
      <c r="B8980" t="s">
        <v>20</v>
      </c>
      <c r="C8980" t="s">
        <v>8</v>
      </c>
      <c r="D8980" s="3">
        <v>2441.7432000000003</v>
      </c>
      <c r="E8980" s="3">
        <v>0</v>
      </c>
      <c r="F8980" t="s">
        <v>45</v>
      </c>
      <c r="G8980" s="3">
        <f t="shared" si="1065"/>
        <v>-2441.7432000000003</v>
      </c>
      <c r="H8980" s="3">
        <f t="shared" si="1066"/>
        <v>2441.7432000000003</v>
      </c>
      <c r="I8980" s="5" t="str">
        <f t="shared" si="1067"/>
        <v>018</v>
      </c>
      <c r="J8980" s="5" t="str">
        <f t="shared" si="1068"/>
        <v>2210</v>
      </c>
      <c r="K8980" s="5" t="str">
        <f t="shared" si="1069"/>
        <v>000</v>
      </c>
      <c r="L8980" s="5">
        <f t="shared" si="1070"/>
        <v>10</v>
      </c>
      <c r="M8980" s="5">
        <f t="shared" si="1071"/>
        <v>2013</v>
      </c>
    </row>
    <row r="8981" spans="1:13" ht="15" x14ac:dyDescent="0.25">
      <c r="A8981" s="1">
        <f>DATE(2013,10,19)</f>
        <v>41566</v>
      </c>
      <c r="B8981" t="s">
        <v>21</v>
      </c>
      <c r="C8981" t="s">
        <v>9</v>
      </c>
      <c r="D8981" s="3">
        <v>470.68889999999993</v>
      </c>
      <c r="E8981" s="3">
        <v>0</v>
      </c>
      <c r="F8981" t="s">
        <v>45</v>
      </c>
      <c r="G8981" s="3">
        <f t="shared" si="1065"/>
        <v>-470.68889999999993</v>
      </c>
      <c r="H8981" s="3">
        <f t="shared" si="1066"/>
        <v>470.68889999999993</v>
      </c>
      <c r="I8981" s="5" t="str">
        <f t="shared" si="1067"/>
        <v>018</v>
      </c>
      <c r="J8981" s="5" t="str">
        <f t="shared" si="1068"/>
        <v>2220</v>
      </c>
      <c r="K8981" s="5" t="str">
        <f t="shared" si="1069"/>
        <v>000</v>
      </c>
      <c r="L8981" s="5">
        <f t="shared" si="1070"/>
        <v>10</v>
      </c>
      <c r="M8981" s="5">
        <f t="shared" si="1071"/>
        <v>2013</v>
      </c>
    </row>
    <row r="8982" spans="1:13" ht="15" x14ac:dyDescent="0.25">
      <c r="A8982" s="1">
        <f>DATE(2013,10,19)</f>
        <v>41566</v>
      </c>
      <c r="B8982" t="s">
        <v>22</v>
      </c>
      <c r="C8982" t="s">
        <v>10</v>
      </c>
      <c r="D8982" s="3">
        <v>136.3845</v>
      </c>
      <c r="E8982" s="3">
        <v>0</v>
      </c>
      <c r="F8982" t="s">
        <v>45</v>
      </c>
      <c r="G8982" s="3">
        <f t="shared" si="1065"/>
        <v>-136.3845</v>
      </c>
      <c r="H8982" s="3">
        <f t="shared" si="1066"/>
        <v>136.3845</v>
      </c>
      <c r="I8982" s="5" t="str">
        <f t="shared" si="1067"/>
        <v>018</v>
      </c>
      <c r="J8982" s="5" t="str">
        <f t="shared" si="1068"/>
        <v>2230</v>
      </c>
      <c r="K8982" s="5" t="str">
        <f t="shared" si="1069"/>
        <v>000</v>
      </c>
      <c r="L8982" s="5">
        <f t="shared" si="1070"/>
        <v>10</v>
      </c>
      <c r="M8982" s="5">
        <f t="shared" si="1071"/>
        <v>2013</v>
      </c>
    </row>
    <row r="8983" spans="1:13" ht="15" x14ac:dyDescent="0.25">
      <c r="A8983" s="1">
        <f>DATE(2013,10,20)</f>
        <v>41567</v>
      </c>
      <c r="B8983" t="s">
        <v>19</v>
      </c>
      <c r="C8983" t="s">
        <v>6</v>
      </c>
      <c r="D8983" s="3">
        <v>7640.9345999999996</v>
      </c>
      <c r="E8983" s="3">
        <v>0</v>
      </c>
      <c r="F8983" t="s">
        <v>45</v>
      </c>
      <c r="G8983" s="3">
        <f t="shared" si="1065"/>
        <v>-7640.9345999999996</v>
      </c>
      <c r="H8983" s="3">
        <f t="shared" si="1066"/>
        <v>7640.9345999999996</v>
      </c>
      <c r="I8983" s="5" t="str">
        <f t="shared" si="1067"/>
        <v>018</v>
      </c>
      <c r="J8983" s="5" t="str">
        <f t="shared" si="1068"/>
        <v>2100</v>
      </c>
      <c r="K8983" s="5" t="str">
        <f t="shared" si="1069"/>
        <v>000</v>
      </c>
      <c r="L8983" s="5">
        <f t="shared" si="1070"/>
        <v>10</v>
      </c>
      <c r="M8983" s="5">
        <f t="shared" si="1071"/>
        <v>2013</v>
      </c>
    </row>
    <row r="8984" spans="1:13" ht="15" x14ac:dyDescent="0.25">
      <c r="A8984" s="1">
        <f>DATE(2013,10,20)</f>
        <v>41567</v>
      </c>
      <c r="B8984" t="s">
        <v>20</v>
      </c>
      <c r="C8984" t="s">
        <v>8</v>
      </c>
      <c r="D8984" s="3">
        <v>916.87140000000011</v>
      </c>
      <c r="E8984" s="3">
        <v>0</v>
      </c>
      <c r="F8984" t="s">
        <v>45</v>
      </c>
      <c r="G8984" s="3">
        <f t="shared" si="1065"/>
        <v>-916.87140000000011</v>
      </c>
      <c r="H8984" s="3">
        <f t="shared" si="1066"/>
        <v>916.87140000000011</v>
      </c>
      <c r="I8984" s="5" t="str">
        <f t="shared" si="1067"/>
        <v>018</v>
      </c>
      <c r="J8984" s="5" t="str">
        <f t="shared" si="1068"/>
        <v>2210</v>
      </c>
      <c r="K8984" s="5" t="str">
        <f t="shared" si="1069"/>
        <v>000</v>
      </c>
      <c r="L8984" s="5">
        <f t="shared" si="1070"/>
        <v>10</v>
      </c>
      <c r="M8984" s="5">
        <f t="shared" si="1071"/>
        <v>2013</v>
      </c>
    </row>
    <row r="8985" spans="1:13" ht="15" x14ac:dyDescent="0.25">
      <c r="A8985" s="1">
        <f>DATE(2013,10,20)</f>
        <v>41567</v>
      </c>
      <c r="B8985" t="s">
        <v>21</v>
      </c>
      <c r="C8985" t="s">
        <v>9</v>
      </c>
      <c r="D8985" s="3">
        <v>355.73699999999997</v>
      </c>
      <c r="E8985" s="3">
        <v>0</v>
      </c>
      <c r="F8985" t="s">
        <v>45</v>
      </c>
      <c r="G8985" s="3">
        <f t="shared" si="1065"/>
        <v>-355.73699999999997</v>
      </c>
      <c r="H8985" s="3">
        <f t="shared" si="1066"/>
        <v>355.73699999999997</v>
      </c>
      <c r="I8985" s="5" t="str">
        <f t="shared" si="1067"/>
        <v>018</v>
      </c>
      <c r="J8985" s="5" t="str">
        <f t="shared" si="1068"/>
        <v>2220</v>
      </c>
      <c r="K8985" s="5" t="str">
        <f t="shared" si="1069"/>
        <v>000</v>
      </c>
      <c r="L8985" s="5">
        <f t="shared" si="1070"/>
        <v>10</v>
      </c>
      <c r="M8985" s="5">
        <f t="shared" si="1071"/>
        <v>2013</v>
      </c>
    </row>
    <row r="8986" spans="1:13" ht="15" x14ac:dyDescent="0.25">
      <c r="A8986" s="1">
        <f>DATE(2013,10,20)</f>
        <v>41567</v>
      </c>
      <c r="B8986" t="s">
        <v>22</v>
      </c>
      <c r="C8986" t="s">
        <v>10</v>
      </c>
      <c r="D8986" s="3">
        <v>84.738</v>
      </c>
      <c r="E8986" s="3">
        <v>0</v>
      </c>
      <c r="F8986" t="s">
        <v>45</v>
      </c>
      <c r="G8986" s="3">
        <f t="shared" si="1065"/>
        <v>-84.738</v>
      </c>
      <c r="H8986" s="3">
        <f t="shared" si="1066"/>
        <v>84.738</v>
      </c>
      <c r="I8986" s="5" t="str">
        <f t="shared" si="1067"/>
        <v>018</v>
      </c>
      <c r="J8986" s="5" t="str">
        <f t="shared" si="1068"/>
        <v>2230</v>
      </c>
      <c r="K8986" s="5" t="str">
        <f t="shared" si="1069"/>
        <v>000</v>
      </c>
      <c r="L8986" s="5">
        <f t="shared" si="1070"/>
        <v>10</v>
      </c>
      <c r="M8986" s="5">
        <f t="shared" si="1071"/>
        <v>2013</v>
      </c>
    </row>
    <row r="8987" spans="1:13" ht="15" x14ac:dyDescent="0.25">
      <c r="A8987" s="1">
        <f>DATE(2013,10,14)</f>
        <v>41561</v>
      </c>
      <c r="B8987" t="s">
        <v>23</v>
      </c>
      <c r="C8987" t="s">
        <v>6</v>
      </c>
      <c r="D8987" s="3">
        <v>2139.5140000000001</v>
      </c>
      <c r="E8987" s="3">
        <v>0</v>
      </c>
      <c r="F8987" t="s">
        <v>45</v>
      </c>
      <c r="G8987" s="3">
        <f t="shared" si="1065"/>
        <v>-2139.5140000000001</v>
      </c>
      <c r="H8987" s="3">
        <f t="shared" si="1066"/>
        <v>2139.5140000000001</v>
      </c>
      <c r="I8987" s="5" t="str">
        <f t="shared" si="1067"/>
        <v>019</v>
      </c>
      <c r="J8987" s="5" t="str">
        <f t="shared" si="1068"/>
        <v>2100</v>
      </c>
      <c r="K8987" s="5" t="str">
        <f t="shared" si="1069"/>
        <v>000</v>
      </c>
      <c r="L8987" s="5">
        <f t="shared" si="1070"/>
        <v>10</v>
      </c>
      <c r="M8987" s="5">
        <f t="shared" si="1071"/>
        <v>2013</v>
      </c>
    </row>
    <row r="8988" spans="1:13" ht="15" x14ac:dyDescent="0.25">
      <c r="A8988" s="1">
        <f>DATE(2013,10,14)</f>
        <v>41561</v>
      </c>
      <c r="B8988" t="s">
        <v>24</v>
      </c>
      <c r="C8988" t="s">
        <v>8</v>
      </c>
      <c r="D8988" s="3">
        <v>675.096</v>
      </c>
      <c r="E8988" s="3">
        <v>0</v>
      </c>
      <c r="F8988" t="s">
        <v>45</v>
      </c>
      <c r="G8988" s="3">
        <f t="shared" si="1065"/>
        <v>-675.096</v>
      </c>
      <c r="H8988" s="3">
        <f t="shared" si="1066"/>
        <v>675.096</v>
      </c>
      <c r="I8988" s="5" t="str">
        <f t="shared" si="1067"/>
        <v>019</v>
      </c>
      <c r="J8988" s="5" t="str">
        <f t="shared" si="1068"/>
        <v>2210</v>
      </c>
      <c r="K8988" s="5" t="str">
        <f t="shared" si="1069"/>
        <v>000</v>
      </c>
      <c r="L8988" s="5">
        <f t="shared" si="1070"/>
        <v>10</v>
      </c>
      <c r="M8988" s="5">
        <f t="shared" si="1071"/>
        <v>2013</v>
      </c>
    </row>
    <row r="8989" spans="1:13" ht="15" x14ac:dyDescent="0.25">
      <c r="A8989" s="1">
        <f>DATE(2013,10,14)</f>
        <v>41561</v>
      </c>
      <c r="B8989" t="s">
        <v>25</v>
      </c>
      <c r="C8989" t="s">
        <v>9</v>
      </c>
      <c r="D8989" s="3">
        <v>120.0872</v>
      </c>
      <c r="E8989" s="3">
        <v>0</v>
      </c>
      <c r="F8989" t="s">
        <v>45</v>
      </c>
      <c r="G8989" s="3">
        <f t="shared" si="1065"/>
        <v>-120.0872</v>
      </c>
      <c r="H8989" s="3">
        <f t="shared" si="1066"/>
        <v>120.0872</v>
      </c>
      <c r="I8989" s="5" t="str">
        <f t="shared" si="1067"/>
        <v>019</v>
      </c>
      <c r="J8989" s="5" t="str">
        <f t="shared" si="1068"/>
        <v>2220</v>
      </c>
      <c r="K8989" s="5" t="str">
        <f t="shared" si="1069"/>
        <v>000</v>
      </c>
      <c r="L8989" s="5">
        <f t="shared" si="1070"/>
        <v>10</v>
      </c>
      <c r="M8989" s="5">
        <f t="shared" si="1071"/>
        <v>2013</v>
      </c>
    </row>
    <row r="8990" spans="1:13" ht="15" x14ac:dyDescent="0.25">
      <c r="A8990" s="1">
        <f>DATE(2013,10,14)</f>
        <v>41561</v>
      </c>
      <c r="B8990" t="s">
        <v>26</v>
      </c>
      <c r="C8990" t="s">
        <v>10</v>
      </c>
      <c r="D8990" s="3">
        <v>43.297199999999997</v>
      </c>
      <c r="E8990" s="3">
        <v>0</v>
      </c>
      <c r="F8990" t="s">
        <v>45</v>
      </c>
      <c r="G8990" s="3">
        <f t="shared" si="1065"/>
        <v>-43.297199999999997</v>
      </c>
      <c r="H8990" s="3">
        <f t="shared" si="1066"/>
        <v>43.297199999999997</v>
      </c>
      <c r="I8990" s="5" t="str">
        <f t="shared" si="1067"/>
        <v>019</v>
      </c>
      <c r="J8990" s="5" t="str">
        <f t="shared" si="1068"/>
        <v>2230</v>
      </c>
      <c r="K8990" s="5" t="str">
        <f t="shared" si="1069"/>
        <v>000</v>
      </c>
      <c r="L8990" s="5">
        <f t="shared" si="1070"/>
        <v>10</v>
      </c>
      <c r="M8990" s="5">
        <f t="shared" si="1071"/>
        <v>2013</v>
      </c>
    </row>
    <row r="8991" spans="1:13" ht="15" x14ac:dyDescent="0.25">
      <c r="A8991" s="1">
        <f>DATE(2013,10,15)</f>
        <v>41562</v>
      </c>
      <c r="B8991" t="s">
        <v>23</v>
      </c>
      <c r="C8991" t="s">
        <v>6</v>
      </c>
      <c r="D8991" s="3">
        <v>3512.4740000000002</v>
      </c>
      <c r="E8991" s="3">
        <v>0</v>
      </c>
      <c r="F8991" t="s">
        <v>45</v>
      </c>
      <c r="G8991" s="3">
        <f t="shared" si="1065"/>
        <v>-3512.4740000000002</v>
      </c>
      <c r="H8991" s="3">
        <f t="shared" si="1066"/>
        <v>3512.4740000000002</v>
      </c>
      <c r="I8991" s="5" t="str">
        <f t="shared" si="1067"/>
        <v>019</v>
      </c>
      <c r="J8991" s="5" t="str">
        <f t="shared" si="1068"/>
        <v>2100</v>
      </c>
      <c r="K8991" s="5" t="str">
        <f t="shared" si="1069"/>
        <v>000</v>
      </c>
      <c r="L8991" s="5">
        <f t="shared" si="1070"/>
        <v>10</v>
      </c>
      <c r="M8991" s="5">
        <f t="shared" si="1071"/>
        <v>2013</v>
      </c>
    </row>
    <row r="8992" spans="1:13" ht="15" x14ac:dyDescent="0.25">
      <c r="A8992" s="1">
        <f>DATE(2013,10,15)</f>
        <v>41562</v>
      </c>
      <c r="B8992" t="s">
        <v>24</v>
      </c>
      <c r="C8992" t="s">
        <v>8</v>
      </c>
      <c r="D8992" s="3">
        <v>795.9384</v>
      </c>
      <c r="E8992" s="3">
        <v>0</v>
      </c>
      <c r="F8992" t="s">
        <v>45</v>
      </c>
      <c r="G8992" s="3">
        <f t="shared" si="1065"/>
        <v>-795.9384</v>
      </c>
      <c r="H8992" s="3">
        <f t="shared" si="1066"/>
        <v>795.9384</v>
      </c>
      <c r="I8992" s="5" t="str">
        <f t="shared" si="1067"/>
        <v>019</v>
      </c>
      <c r="J8992" s="5" t="str">
        <f t="shared" si="1068"/>
        <v>2210</v>
      </c>
      <c r="K8992" s="5" t="str">
        <f t="shared" si="1069"/>
        <v>000</v>
      </c>
      <c r="L8992" s="5">
        <f t="shared" si="1070"/>
        <v>10</v>
      </c>
      <c r="M8992" s="5">
        <f t="shared" si="1071"/>
        <v>2013</v>
      </c>
    </row>
    <row r="8993" spans="1:13" ht="15" x14ac:dyDescent="0.25">
      <c r="A8993" s="1">
        <f>DATE(2013,10,15)</f>
        <v>41562</v>
      </c>
      <c r="B8993" t="s">
        <v>25</v>
      </c>
      <c r="C8993" t="s">
        <v>9</v>
      </c>
      <c r="D8993" s="3">
        <v>207.96100000000001</v>
      </c>
      <c r="E8993" s="3">
        <v>0</v>
      </c>
      <c r="F8993" t="s">
        <v>45</v>
      </c>
      <c r="G8993" s="3">
        <f t="shared" si="1065"/>
        <v>-207.96100000000001</v>
      </c>
      <c r="H8993" s="3">
        <f t="shared" si="1066"/>
        <v>207.96100000000001</v>
      </c>
      <c r="I8993" s="5" t="str">
        <f t="shared" si="1067"/>
        <v>019</v>
      </c>
      <c r="J8993" s="5" t="str">
        <f t="shared" si="1068"/>
        <v>2220</v>
      </c>
      <c r="K8993" s="5" t="str">
        <f t="shared" si="1069"/>
        <v>000</v>
      </c>
      <c r="L8993" s="5">
        <f t="shared" si="1070"/>
        <v>10</v>
      </c>
      <c r="M8993" s="5">
        <f t="shared" si="1071"/>
        <v>2013</v>
      </c>
    </row>
    <row r="8994" spans="1:13" ht="15" x14ac:dyDescent="0.25">
      <c r="A8994" s="1">
        <f>DATE(2013,10,15)</f>
        <v>41562</v>
      </c>
      <c r="B8994" t="s">
        <v>26</v>
      </c>
      <c r="C8994" t="s">
        <v>10</v>
      </c>
      <c r="D8994" s="3">
        <v>44.975300000000004</v>
      </c>
      <c r="E8994" s="3">
        <v>0</v>
      </c>
      <c r="F8994" t="s">
        <v>45</v>
      </c>
      <c r="G8994" s="3">
        <f t="shared" si="1065"/>
        <v>-44.975300000000004</v>
      </c>
      <c r="H8994" s="3">
        <f t="shared" si="1066"/>
        <v>44.975300000000004</v>
      </c>
      <c r="I8994" s="5" t="str">
        <f t="shared" si="1067"/>
        <v>019</v>
      </c>
      <c r="J8994" s="5" t="str">
        <f t="shared" si="1068"/>
        <v>2230</v>
      </c>
      <c r="K8994" s="5" t="str">
        <f t="shared" si="1069"/>
        <v>000</v>
      </c>
      <c r="L8994" s="5">
        <f t="shared" si="1070"/>
        <v>10</v>
      </c>
      <c r="M8994" s="5">
        <f t="shared" si="1071"/>
        <v>2013</v>
      </c>
    </row>
    <row r="8995" spans="1:13" ht="15" x14ac:dyDescent="0.25">
      <c r="A8995" s="1">
        <f>DATE(2013,10,16)</f>
        <v>41563</v>
      </c>
      <c r="B8995" t="s">
        <v>23</v>
      </c>
      <c r="C8995" t="s">
        <v>6</v>
      </c>
      <c r="D8995" s="3">
        <v>3603.4214999999999</v>
      </c>
      <c r="E8995" s="3">
        <v>0</v>
      </c>
      <c r="F8995" t="s">
        <v>45</v>
      </c>
      <c r="G8995" s="3">
        <f t="shared" si="1065"/>
        <v>-3603.4214999999999</v>
      </c>
      <c r="H8995" s="3">
        <f t="shared" si="1066"/>
        <v>3603.4214999999999</v>
      </c>
      <c r="I8995" s="5" t="str">
        <f t="shared" si="1067"/>
        <v>019</v>
      </c>
      <c r="J8995" s="5" t="str">
        <f t="shared" si="1068"/>
        <v>2100</v>
      </c>
      <c r="K8995" s="5" t="str">
        <f t="shared" si="1069"/>
        <v>000</v>
      </c>
      <c r="L8995" s="5">
        <f t="shared" si="1070"/>
        <v>10</v>
      </c>
      <c r="M8995" s="5">
        <f t="shared" si="1071"/>
        <v>2013</v>
      </c>
    </row>
    <row r="8996" spans="1:13" ht="15" x14ac:dyDescent="0.25">
      <c r="A8996" s="1">
        <f>DATE(2013,10,16)</f>
        <v>41563</v>
      </c>
      <c r="B8996" t="s">
        <v>24</v>
      </c>
      <c r="C8996" t="s">
        <v>8</v>
      </c>
      <c r="D8996" s="3">
        <v>1498.7674999999999</v>
      </c>
      <c r="E8996" s="3">
        <v>0</v>
      </c>
      <c r="F8996" t="s">
        <v>45</v>
      </c>
      <c r="G8996" s="3">
        <f t="shared" si="1065"/>
        <v>-1498.7674999999999</v>
      </c>
      <c r="H8996" s="3">
        <f t="shared" si="1066"/>
        <v>1498.7674999999999</v>
      </c>
      <c r="I8996" s="5" t="str">
        <f t="shared" si="1067"/>
        <v>019</v>
      </c>
      <c r="J8996" s="5" t="str">
        <f t="shared" si="1068"/>
        <v>2210</v>
      </c>
      <c r="K8996" s="5" t="str">
        <f t="shared" si="1069"/>
        <v>000</v>
      </c>
      <c r="L8996" s="5">
        <f t="shared" si="1070"/>
        <v>10</v>
      </c>
      <c r="M8996" s="5">
        <f t="shared" si="1071"/>
        <v>2013</v>
      </c>
    </row>
    <row r="8997" spans="1:13" ht="15" x14ac:dyDescent="0.25">
      <c r="A8997" s="1">
        <f>DATE(2013,10,16)</f>
        <v>41563</v>
      </c>
      <c r="B8997" t="s">
        <v>25</v>
      </c>
      <c r="C8997" t="s">
        <v>9</v>
      </c>
      <c r="D8997" s="3">
        <v>320.98560000000003</v>
      </c>
      <c r="E8997" s="3">
        <v>0</v>
      </c>
      <c r="F8997" t="s">
        <v>45</v>
      </c>
      <c r="G8997" s="3">
        <f t="shared" si="1065"/>
        <v>-320.98560000000003</v>
      </c>
      <c r="H8997" s="3">
        <f t="shared" si="1066"/>
        <v>320.98560000000003</v>
      </c>
      <c r="I8997" s="5" t="str">
        <f t="shared" si="1067"/>
        <v>019</v>
      </c>
      <c r="J8997" s="5" t="str">
        <f t="shared" si="1068"/>
        <v>2220</v>
      </c>
      <c r="K8997" s="5" t="str">
        <f t="shared" si="1069"/>
        <v>000</v>
      </c>
      <c r="L8997" s="5">
        <f t="shared" si="1070"/>
        <v>10</v>
      </c>
      <c r="M8997" s="5">
        <f t="shared" si="1071"/>
        <v>2013</v>
      </c>
    </row>
    <row r="8998" spans="1:13" ht="15" x14ac:dyDescent="0.25">
      <c r="A8998" s="1">
        <f>DATE(2013,10,16)</f>
        <v>41563</v>
      </c>
      <c r="B8998" t="s">
        <v>26</v>
      </c>
      <c r="C8998" t="s">
        <v>10</v>
      </c>
      <c r="D8998" s="3">
        <v>55.455099999999995</v>
      </c>
      <c r="E8998" s="3">
        <v>0</v>
      </c>
      <c r="F8998" t="s">
        <v>45</v>
      </c>
      <c r="G8998" s="3">
        <f t="shared" si="1065"/>
        <v>-55.455099999999995</v>
      </c>
      <c r="H8998" s="3">
        <f t="shared" si="1066"/>
        <v>55.455099999999995</v>
      </c>
      <c r="I8998" s="5" t="str">
        <f t="shared" si="1067"/>
        <v>019</v>
      </c>
      <c r="J8998" s="5" t="str">
        <f t="shared" si="1068"/>
        <v>2230</v>
      </c>
      <c r="K8998" s="5" t="str">
        <f t="shared" si="1069"/>
        <v>000</v>
      </c>
      <c r="L8998" s="5">
        <f t="shared" si="1070"/>
        <v>10</v>
      </c>
      <c r="M8998" s="5">
        <f t="shared" si="1071"/>
        <v>2013</v>
      </c>
    </row>
    <row r="8999" spans="1:13" ht="15" x14ac:dyDescent="0.25">
      <c r="A8999" s="1">
        <f>DATE(2013,10,17)</f>
        <v>41564</v>
      </c>
      <c r="B8999" t="s">
        <v>23</v>
      </c>
      <c r="C8999" t="s">
        <v>6</v>
      </c>
      <c r="D8999" s="3">
        <v>3084.3328000000001</v>
      </c>
      <c r="E8999" s="3">
        <v>0</v>
      </c>
      <c r="F8999" t="s">
        <v>45</v>
      </c>
      <c r="G8999" s="3">
        <f t="shared" si="1065"/>
        <v>-3084.3328000000001</v>
      </c>
      <c r="H8999" s="3">
        <f t="shared" si="1066"/>
        <v>3084.3328000000001</v>
      </c>
      <c r="I8999" s="5" t="str">
        <f t="shared" si="1067"/>
        <v>019</v>
      </c>
      <c r="J8999" s="5" t="str">
        <f t="shared" si="1068"/>
        <v>2100</v>
      </c>
      <c r="K8999" s="5" t="str">
        <f t="shared" si="1069"/>
        <v>000</v>
      </c>
      <c r="L8999" s="5">
        <f t="shared" si="1070"/>
        <v>10</v>
      </c>
      <c r="M8999" s="5">
        <f t="shared" si="1071"/>
        <v>2013</v>
      </c>
    </row>
    <row r="9000" spans="1:13" ht="15" x14ac:dyDescent="0.25">
      <c r="A9000" s="1">
        <f>DATE(2013,10,17)</f>
        <v>41564</v>
      </c>
      <c r="B9000" t="s">
        <v>24</v>
      </c>
      <c r="C9000" t="s">
        <v>8</v>
      </c>
      <c r="D9000" s="3">
        <v>1123.8253999999999</v>
      </c>
      <c r="E9000" s="3">
        <v>0</v>
      </c>
      <c r="F9000" t="s">
        <v>45</v>
      </c>
      <c r="G9000" s="3">
        <f t="shared" si="1065"/>
        <v>-1123.8253999999999</v>
      </c>
      <c r="H9000" s="3">
        <f t="shared" si="1066"/>
        <v>1123.8253999999999</v>
      </c>
      <c r="I9000" s="5" t="str">
        <f t="shared" si="1067"/>
        <v>019</v>
      </c>
      <c r="J9000" s="5" t="str">
        <f t="shared" si="1068"/>
        <v>2210</v>
      </c>
      <c r="K9000" s="5" t="str">
        <f t="shared" si="1069"/>
        <v>000</v>
      </c>
      <c r="L9000" s="5">
        <f t="shared" si="1070"/>
        <v>10</v>
      </c>
      <c r="M9000" s="5">
        <f t="shared" si="1071"/>
        <v>2013</v>
      </c>
    </row>
    <row r="9001" spans="1:13" ht="15" x14ac:dyDescent="0.25">
      <c r="A9001" s="1">
        <f>DATE(2013,10,17)</f>
        <v>41564</v>
      </c>
      <c r="B9001" t="s">
        <v>25</v>
      </c>
      <c r="C9001" t="s">
        <v>9</v>
      </c>
      <c r="D9001" s="3">
        <v>587.64080000000001</v>
      </c>
      <c r="E9001" s="3">
        <v>0</v>
      </c>
      <c r="F9001" t="s">
        <v>45</v>
      </c>
      <c r="G9001" s="3">
        <f t="shared" si="1065"/>
        <v>-587.64080000000001</v>
      </c>
      <c r="H9001" s="3">
        <f t="shared" si="1066"/>
        <v>587.64080000000001</v>
      </c>
      <c r="I9001" s="5" t="str">
        <f t="shared" si="1067"/>
        <v>019</v>
      </c>
      <c r="J9001" s="5" t="str">
        <f t="shared" si="1068"/>
        <v>2220</v>
      </c>
      <c r="K9001" s="5" t="str">
        <f t="shared" si="1069"/>
        <v>000</v>
      </c>
      <c r="L9001" s="5">
        <f t="shared" si="1070"/>
        <v>10</v>
      </c>
      <c r="M9001" s="5">
        <f t="shared" si="1071"/>
        <v>2013</v>
      </c>
    </row>
    <row r="9002" spans="1:13" ht="15" x14ac:dyDescent="0.25">
      <c r="A9002" s="1">
        <f>DATE(2013,10,17)</f>
        <v>41564</v>
      </c>
      <c r="B9002" t="s">
        <v>26</v>
      </c>
      <c r="C9002" t="s">
        <v>10</v>
      </c>
      <c r="D9002" s="3">
        <v>55.696799999999996</v>
      </c>
      <c r="E9002" s="3">
        <v>0</v>
      </c>
      <c r="F9002" t="s">
        <v>45</v>
      </c>
      <c r="G9002" s="3">
        <f t="shared" si="1065"/>
        <v>-55.696799999999996</v>
      </c>
      <c r="H9002" s="3">
        <f t="shared" si="1066"/>
        <v>55.696799999999996</v>
      </c>
      <c r="I9002" s="5" t="str">
        <f t="shared" si="1067"/>
        <v>019</v>
      </c>
      <c r="J9002" s="5" t="str">
        <f t="shared" si="1068"/>
        <v>2230</v>
      </c>
      <c r="K9002" s="5" t="str">
        <f t="shared" si="1069"/>
        <v>000</v>
      </c>
      <c r="L9002" s="5">
        <f t="shared" si="1070"/>
        <v>10</v>
      </c>
      <c r="M9002" s="5">
        <f t="shared" si="1071"/>
        <v>2013</v>
      </c>
    </row>
    <row r="9003" spans="1:13" ht="15" x14ac:dyDescent="0.25">
      <c r="A9003" s="1">
        <f>DATE(2013,10,18)</f>
        <v>41565</v>
      </c>
      <c r="B9003" t="s">
        <v>23</v>
      </c>
      <c r="C9003" t="s">
        <v>6</v>
      </c>
      <c r="D9003" s="3">
        <v>6203.3411999999998</v>
      </c>
      <c r="E9003" s="3">
        <v>0</v>
      </c>
      <c r="F9003" t="s">
        <v>45</v>
      </c>
      <c r="G9003" s="3">
        <f t="shared" si="1065"/>
        <v>-6203.3411999999998</v>
      </c>
      <c r="H9003" s="3">
        <f t="shared" si="1066"/>
        <v>6203.3411999999998</v>
      </c>
      <c r="I9003" s="5" t="str">
        <f t="shared" si="1067"/>
        <v>019</v>
      </c>
      <c r="J9003" s="5" t="str">
        <f t="shared" si="1068"/>
        <v>2100</v>
      </c>
      <c r="K9003" s="5" t="str">
        <f t="shared" si="1069"/>
        <v>000</v>
      </c>
      <c r="L9003" s="5">
        <f t="shared" si="1070"/>
        <v>10</v>
      </c>
      <c r="M9003" s="5">
        <f t="shared" si="1071"/>
        <v>2013</v>
      </c>
    </row>
    <row r="9004" spans="1:13" ht="15" x14ac:dyDescent="0.25">
      <c r="A9004" s="1">
        <f>DATE(2013,10,18)</f>
        <v>41565</v>
      </c>
      <c r="B9004" t="s">
        <v>24</v>
      </c>
      <c r="C9004" t="s">
        <v>8</v>
      </c>
      <c r="D9004" s="3">
        <v>2090.6184000000003</v>
      </c>
      <c r="E9004" s="3">
        <v>0</v>
      </c>
      <c r="F9004" t="s">
        <v>45</v>
      </c>
      <c r="G9004" s="3">
        <f t="shared" si="1065"/>
        <v>-2090.6184000000003</v>
      </c>
      <c r="H9004" s="3">
        <f t="shared" si="1066"/>
        <v>2090.6184000000003</v>
      </c>
      <c r="I9004" s="5" t="str">
        <f t="shared" si="1067"/>
        <v>019</v>
      </c>
      <c r="J9004" s="5" t="str">
        <f t="shared" si="1068"/>
        <v>2210</v>
      </c>
      <c r="K9004" s="5" t="str">
        <f t="shared" si="1069"/>
        <v>000</v>
      </c>
      <c r="L9004" s="5">
        <f t="shared" si="1070"/>
        <v>10</v>
      </c>
      <c r="M9004" s="5">
        <f t="shared" si="1071"/>
        <v>2013</v>
      </c>
    </row>
    <row r="9005" spans="1:13" ht="15" x14ac:dyDescent="0.25">
      <c r="A9005" s="1">
        <f>DATE(2013,10,18)</f>
        <v>41565</v>
      </c>
      <c r="B9005" t="s">
        <v>25</v>
      </c>
      <c r="C9005" t="s">
        <v>9</v>
      </c>
      <c r="D9005" s="3">
        <v>496.91080000000005</v>
      </c>
      <c r="E9005" s="3">
        <v>0</v>
      </c>
      <c r="F9005" t="s">
        <v>45</v>
      </c>
      <c r="G9005" s="3">
        <f t="shared" si="1065"/>
        <v>-496.91080000000005</v>
      </c>
      <c r="H9005" s="3">
        <f t="shared" si="1066"/>
        <v>496.91080000000005</v>
      </c>
      <c r="I9005" s="5" t="str">
        <f t="shared" si="1067"/>
        <v>019</v>
      </c>
      <c r="J9005" s="5" t="str">
        <f t="shared" si="1068"/>
        <v>2220</v>
      </c>
      <c r="K9005" s="5" t="str">
        <f t="shared" si="1069"/>
        <v>000</v>
      </c>
      <c r="L9005" s="5">
        <f t="shared" si="1070"/>
        <v>10</v>
      </c>
      <c r="M9005" s="5">
        <f t="shared" si="1071"/>
        <v>2013</v>
      </c>
    </row>
    <row r="9006" spans="1:13" ht="15" x14ac:dyDescent="0.25">
      <c r="A9006" s="1">
        <f>DATE(2013,10,18)</f>
        <v>41565</v>
      </c>
      <c r="B9006" t="s">
        <v>26</v>
      </c>
      <c r="C9006" t="s">
        <v>10</v>
      </c>
      <c r="D9006" s="3">
        <v>180.40219999999999</v>
      </c>
      <c r="E9006" s="3">
        <v>0</v>
      </c>
      <c r="F9006" t="s">
        <v>45</v>
      </c>
      <c r="G9006" s="3">
        <f t="shared" si="1065"/>
        <v>-180.40219999999999</v>
      </c>
      <c r="H9006" s="3">
        <f t="shared" si="1066"/>
        <v>180.40219999999999</v>
      </c>
      <c r="I9006" s="5" t="str">
        <f t="shared" si="1067"/>
        <v>019</v>
      </c>
      <c r="J9006" s="5" t="str">
        <f t="shared" si="1068"/>
        <v>2230</v>
      </c>
      <c r="K9006" s="5" t="str">
        <f t="shared" si="1069"/>
        <v>000</v>
      </c>
      <c r="L9006" s="5">
        <f t="shared" si="1070"/>
        <v>10</v>
      </c>
      <c r="M9006" s="5">
        <f t="shared" si="1071"/>
        <v>2013</v>
      </c>
    </row>
    <row r="9007" spans="1:13" ht="15" x14ac:dyDescent="0.25">
      <c r="A9007" s="1">
        <f>DATE(2013,10,19)</f>
        <v>41566</v>
      </c>
      <c r="B9007" t="s">
        <v>23</v>
      </c>
      <c r="C9007" t="s">
        <v>6</v>
      </c>
      <c r="D9007" s="3">
        <v>7809.1045000000004</v>
      </c>
      <c r="E9007" s="3">
        <v>0</v>
      </c>
      <c r="F9007" t="s">
        <v>45</v>
      </c>
      <c r="G9007" s="3">
        <f t="shared" si="1065"/>
        <v>-7809.1045000000004</v>
      </c>
      <c r="H9007" s="3">
        <f t="shared" si="1066"/>
        <v>7809.1045000000004</v>
      </c>
      <c r="I9007" s="5" t="str">
        <f t="shared" si="1067"/>
        <v>019</v>
      </c>
      <c r="J9007" s="5" t="str">
        <f t="shared" si="1068"/>
        <v>2100</v>
      </c>
      <c r="K9007" s="5" t="str">
        <f t="shared" si="1069"/>
        <v>000</v>
      </c>
      <c r="L9007" s="5">
        <f t="shared" si="1070"/>
        <v>10</v>
      </c>
      <c r="M9007" s="5">
        <f t="shared" si="1071"/>
        <v>2013</v>
      </c>
    </row>
    <row r="9008" spans="1:13" ht="15" x14ac:dyDescent="0.25">
      <c r="A9008" s="1">
        <f>DATE(2013,10,19)</f>
        <v>41566</v>
      </c>
      <c r="B9008" t="s">
        <v>24</v>
      </c>
      <c r="C9008" t="s">
        <v>8</v>
      </c>
      <c r="D9008" s="3">
        <v>2032.7125000000001</v>
      </c>
      <c r="E9008" s="3">
        <v>0</v>
      </c>
      <c r="F9008" t="s">
        <v>45</v>
      </c>
      <c r="G9008" s="3">
        <f t="shared" si="1065"/>
        <v>-2032.7125000000001</v>
      </c>
      <c r="H9008" s="3">
        <f t="shared" si="1066"/>
        <v>2032.7125000000001</v>
      </c>
      <c r="I9008" s="5" t="str">
        <f t="shared" si="1067"/>
        <v>019</v>
      </c>
      <c r="J9008" s="5" t="str">
        <f t="shared" si="1068"/>
        <v>2210</v>
      </c>
      <c r="K9008" s="5" t="str">
        <f t="shared" si="1069"/>
        <v>000</v>
      </c>
      <c r="L9008" s="5">
        <f t="shared" si="1070"/>
        <v>10</v>
      </c>
      <c r="M9008" s="5">
        <f t="shared" si="1071"/>
        <v>2013</v>
      </c>
    </row>
    <row r="9009" spans="1:13" ht="15" x14ac:dyDescent="0.25">
      <c r="A9009" s="1">
        <f>DATE(2013,10,19)</f>
        <v>41566</v>
      </c>
      <c r="B9009" t="s">
        <v>25</v>
      </c>
      <c r="C9009" t="s">
        <v>9</v>
      </c>
      <c r="D9009" s="3">
        <v>341.83620000000002</v>
      </c>
      <c r="E9009" s="3">
        <v>0</v>
      </c>
      <c r="F9009" t="s">
        <v>45</v>
      </c>
      <c r="G9009" s="3">
        <f t="shared" si="1065"/>
        <v>-341.83620000000002</v>
      </c>
      <c r="H9009" s="3">
        <f t="shared" si="1066"/>
        <v>341.83620000000002</v>
      </c>
      <c r="I9009" s="5" t="str">
        <f t="shared" si="1067"/>
        <v>019</v>
      </c>
      <c r="J9009" s="5" t="str">
        <f t="shared" si="1068"/>
        <v>2220</v>
      </c>
      <c r="K9009" s="5" t="str">
        <f t="shared" si="1069"/>
        <v>000</v>
      </c>
      <c r="L9009" s="5">
        <f t="shared" si="1070"/>
        <v>10</v>
      </c>
      <c r="M9009" s="5">
        <f t="shared" si="1071"/>
        <v>2013</v>
      </c>
    </row>
    <row r="9010" spans="1:13" ht="15" x14ac:dyDescent="0.25">
      <c r="A9010" s="1">
        <f>DATE(2013,10,19)</f>
        <v>41566</v>
      </c>
      <c r="B9010" t="s">
        <v>26</v>
      </c>
      <c r="C9010" t="s">
        <v>10</v>
      </c>
      <c r="D9010" s="3">
        <v>68.941499999999991</v>
      </c>
      <c r="E9010" s="3">
        <v>0</v>
      </c>
      <c r="F9010" t="s">
        <v>45</v>
      </c>
      <c r="G9010" s="3">
        <f t="shared" si="1065"/>
        <v>-68.941499999999991</v>
      </c>
      <c r="H9010" s="3">
        <f t="shared" si="1066"/>
        <v>68.941499999999991</v>
      </c>
      <c r="I9010" s="5" t="str">
        <f t="shared" si="1067"/>
        <v>019</v>
      </c>
      <c r="J9010" s="5" t="str">
        <f t="shared" si="1068"/>
        <v>2230</v>
      </c>
      <c r="K9010" s="5" t="str">
        <f t="shared" si="1069"/>
        <v>000</v>
      </c>
      <c r="L9010" s="5">
        <f t="shared" si="1070"/>
        <v>10</v>
      </c>
      <c r="M9010" s="5">
        <f t="shared" si="1071"/>
        <v>2013</v>
      </c>
    </row>
    <row r="9011" spans="1:13" ht="15" x14ac:dyDescent="0.25">
      <c r="A9011" s="1">
        <f>DATE(2013,10,20)</f>
        <v>41567</v>
      </c>
      <c r="B9011" t="s">
        <v>23</v>
      </c>
      <c r="C9011" t="s">
        <v>6</v>
      </c>
      <c r="D9011" s="3">
        <v>5040.5039999999999</v>
      </c>
      <c r="E9011" s="3">
        <v>0</v>
      </c>
      <c r="F9011" t="s">
        <v>45</v>
      </c>
      <c r="G9011" s="3">
        <f t="shared" si="1065"/>
        <v>-5040.5039999999999</v>
      </c>
      <c r="H9011" s="3">
        <f t="shared" si="1066"/>
        <v>5040.5039999999999</v>
      </c>
      <c r="I9011" s="5" t="str">
        <f t="shared" si="1067"/>
        <v>019</v>
      </c>
      <c r="J9011" s="5" t="str">
        <f t="shared" si="1068"/>
        <v>2100</v>
      </c>
      <c r="K9011" s="5" t="str">
        <f t="shared" si="1069"/>
        <v>000</v>
      </c>
      <c r="L9011" s="5">
        <f t="shared" si="1070"/>
        <v>10</v>
      </c>
      <c r="M9011" s="5">
        <f t="shared" si="1071"/>
        <v>2013</v>
      </c>
    </row>
    <row r="9012" spans="1:13" ht="15" x14ac:dyDescent="0.25">
      <c r="A9012" s="1">
        <f>DATE(2013,10,20)</f>
        <v>41567</v>
      </c>
      <c r="B9012" t="s">
        <v>24</v>
      </c>
      <c r="C9012" t="s">
        <v>8</v>
      </c>
      <c r="D9012" s="3">
        <v>1574.0001999999999</v>
      </c>
      <c r="E9012" s="3">
        <v>0</v>
      </c>
      <c r="F9012" t="s">
        <v>45</v>
      </c>
      <c r="G9012" s="3">
        <f t="shared" si="1065"/>
        <v>-1574.0001999999999</v>
      </c>
      <c r="H9012" s="3">
        <f t="shared" si="1066"/>
        <v>1574.0001999999999</v>
      </c>
      <c r="I9012" s="5" t="str">
        <f t="shared" si="1067"/>
        <v>019</v>
      </c>
      <c r="J9012" s="5" t="str">
        <f t="shared" si="1068"/>
        <v>2210</v>
      </c>
      <c r="K9012" s="5" t="str">
        <f t="shared" si="1069"/>
        <v>000</v>
      </c>
      <c r="L9012" s="5">
        <f t="shared" si="1070"/>
        <v>10</v>
      </c>
      <c r="M9012" s="5">
        <f t="shared" si="1071"/>
        <v>2013</v>
      </c>
    </row>
    <row r="9013" spans="1:13" ht="15" x14ac:dyDescent="0.25">
      <c r="A9013" s="1">
        <f>DATE(2013,10,20)</f>
        <v>41567</v>
      </c>
      <c r="B9013" t="s">
        <v>25</v>
      </c>
      <c r="C9013" t="s">
        <v>9</v>
      </c>
      <c r="D9013" s="3">
        <v>458.80099999999993</v>
      </c>
      <c r="E9013" s="3">
        <v>0</v>
      </c>
      <c r="F9013" t="s">
        <v>45</v>
      </c>
      <c r="G9013" s="3">
        <f t="shared" si="1065"/>
        <v>-458.80099999999993</v>
      </c>
      <c r="H9013" s="3">
        <f t="shared" si="1066"/>
        <v>458.80099999999993</v>
      </c>
      <c r="I9013" s="5" t="str">
        <f t="shared" si="1067"/>
        <v>019</v>
      </c>
      <c r="J9013" s="5" t="str">
        <f t="shared" si="1068"/>
        <v>2220</v>
      </c>
      <c r="K9013" s="5" t="str">
        <f t="shared" si="1069"/>
        <v>000</v>
      </c>
      <c r="L9013" s="5">
        <f t="shared" si="1070"/>
        <v>10</v>
      </c>
      <c r="M9013" s="5">
        <f t="shared" si="1071"/>
        <v>2013</v>
      </c>
    </row>
    <row r="9014" spans="1:13" ht="15" x14ac:dyDescent="0.25">
      <c r="A9014" s="1">
        <f>DATE(2013,10,20)</f>
        <v>41567</v>
      </c>
      <c r="B9014" t="s">
        <v>26</v>
      </c>
      <c r="C9014" t="s">
        <v>10</v>
      </c>
      <c r="D9014" s="3">
        <v>98.420199999999994</v>
      </c>
      <c r="E9014" s="3">
        <v>0</v>
      </c>
      <c r="F9014" t="s">
        <v>45</v>
      </c>
      <c r="G9014" s="3">
        <f t="shared" si="1065"/>
        <v>-98.420199999999994</v>
      </c>
      <c r="H9014" s="3">
        <f t="shared" si="1066"/>
        <v>98.420199999999994</v>
      </c>
      <c r="I9014" s="5" t="str">
        <f t="shared" si="1067"/>
        <v>019</v>
      </c>
      <c r="J9014" s="5" t="str">
        <f t="shared" si="1068"/>
        <v>2230</v>
      </c>
      <c r="K9014" s="5" t="str">
        <f t="shared" si="1069"/>
        <v>000</v>
      </c>
      <c r="L9014" s="5">
        <f t="shared" si="1070"/>
        <v>10</v>
      </c>
      <c r="M9014" s="5">
        <f t="shared" si="1071"/>
        <v>2013</v>
      </c>
    </row>
    <row r="9015" spans="1:13" ht="15" x14ac:dyDescent="0.25">
      <c r="A9015" s="1">
        <f>DATE(2013,10,14)</f>
        <v>41561</v>
      </c>
      <c r="B9015" t="s">
        <v>27</v>
      </c>
      <c r="C9015" t="s">
        <v>6</v>
      </c>
      <c r="D9015" s="3">
        <v>13232.232</v>
      </c>
      <c r="E9015" s="3">
        <v>0</v>
      </c>
      <c r="F9015" t="s">
        <v>45</v>
      </c>
      <c r="G9015" s="3">
        <f t="shared" si="1065"/>
        <v>-13232.232</v>
      </c>
      <c r="H9015" s="3">
        <f t="shared" si="1066"/>
        <v>13232.232</v>
      </c>
      <c r="I9015" s="5" t="str">
        <f t="shared" si="1067"/>
        <v>020</v>
      </c>
      <c r="J9015" s="5" t="str">
        <f t="shared" si="1068"/>
        <v>2100</v>
      </c>
      <c r="K9015" s="5" t="str">
        <f t="shared" si="1069"/>
        <v>000</v>
      </c>
      <c r="L9015" s="5">
        <f t="shared" si="1070"/>
        <v>10</v>
      </c>
      <c r="M9015" s="5">
        <f t="shared" si="1071"/>
        <v>2013</v>
      </c>
    </row>
    <row r="9016" spans="1:13" ht="15" x14ac:dyDescent="0.25">
      <c r="A9016" s="1">
        <f>DATE(2013,10,14)</f>
        <v>41561</v>
      </c>
      <c r="B9016" t="s">
        <v>28</v>
      </c>
      <c r="C9016" t="s">
        <v>8</v>
      </c>
      <c r="D9016" s="3">
        <v>4642.8141999999998</v>
      </c>
      <c r="E9016" s="3">
        <v>0</v>
      </c>
      <c r="F9016" t="s">
        <v>45</v>
      </c>
      <c r="G9016" s="3">
        <f t="shared" si="1065"/>
        <v>-4642.8141999999998</v>
      </c>
      <c r="H9016" s="3">
        <f t="shared" si="1066"/>
        <v>4642.8141999999998</v>
      </c>
      <c r="I9016" s="5" t="str">
        <f t="shared" si="1067"/>
        <v>020</v>
      </c>
      <c r="J9016" s="5" t="str">
        <f t="shared" si="1068"/>
        <v>2210</v>
      </c>
      <c r="K9016" s="5" t="str">
        <f t="shared" si="1069"/>
        <v>000</v>
      </c>
      <c r="L9016" s="5">
        <f t="shared" si="1070"/>
        <v>10</v>
      </c>
      <c r="M9016" s="5">
        <f t="shared" si="1071"/>
        <v>2013</v>
      </c>
    </row>
    <row r="9017" spans="1:13" ht="15" x14ac:dyDescent="0.25">
      <c r="A9017" s="1">
        <f>DATE(2013,10,14)</f>
        <v>41561</v>
      </c>
      <c r="B9017" t="s">
        <v>29</v>
      </c>
      <c r="C9017" t="s">
        <v>9</v>
      </c>
      <c r="D9017" s="3">
        <v>662.53200000000004</v>
      </c>
      <c r="E9017" s="3">
        <v>0</v>
      </c>
      <c r="F9017" t="s">
        <v>45</v>
      </c>
      <c r="G9017" s="3">
        <f t="shared" si="1065"/>
        <v>-662.53200000000004</v>
      </c>
      <c r="H9017" s="3">
        <f t="shared" si="1066"/>
        <v>662.53200000000004</v>
      </c>
      <c r="I9017" s="5" t="str">
        <f t="shared" si="1067"/>
        <v>020</v>
      </c>
      <c r="J9017" s="5" t="str">
        <f t="shared" si="1068"/>
        <v>2220</v>
      </c>
      <c r="K9017" s="5" t="str">
        <f t="shared" si="1069"/>
        <v>000</v>
      </c>
      <c r="L9017" s="5">
        <f t="shared" si="1070"/>
        <v>10</v>
      </c>
      <c r="M9017" s="5">
        <f t="shared" si="1071"/>
        <v>2013</v>
      </c>
    </row>
    <row r="9018" spans="1:13" ht="15" x14ac:dyDescent="0.25">
      <c r="A9018" s="1">
        <f>DATE(2013,10,14)</f>
        <v>41561</v>
      </c>
      <c r="B9018" t="s">
        <v>30</v>
      </c>
      <c r="C9018" t="s">
        <v>10</v>
      </c>
      <c r="D9018" s="3">
        <v>103.11329999999998</v>
      </c>
      <c r="E9018" s="3">
        <v>0</v>
      </c>
      <c r="F9018" t="s">
        <v>45</v>
      </c>
      <c r="G9018" s="3">
        <f t="shared" si="1065"/>
        <v>-103.11329999999998</v>
      </c>
      <c r="H9018" s="3">
        <f t="shared" si="1066"/>
        <v>103.11329999999998</v>
      </c>
      <c r="I9018" s="5" t="str">
        <f t="shared" si="1067"/>
        <v>020</v>
      </c>
      <c r="J9018" s="5" t="str">
        <f t="shared" si="1068"/>
        <v>2230</v>
      </c>
      <c r="K9018" s="5" t="str">
        <f t="shared" si="1069"/>
        <v>000</v>
      </c>
      <c r="L9018" s="5">
        <f t="shared" si="1070"/>
        <v>10</v>
      </c>
      <c r="M9018" s="5">
        <f t="shared" si="1071"/>
        <v>2013</v>
      </c>
    </row>
    <row r="9019" spans="1:13" ht="15" x14ac:dyDescent="0.25">
      <c r="A9019" s="1">
        <f>DATE(2013,10,15)</f>
        <v>41562</v>
      </c>
      <c r="B9019" t="s">
        <v>27</v>
      </c>
      <c r="C9019" t="s">
        <v>6</v>
      </c>
      <c r="D9019" s="3">
        <v>9919.4789999999994</v>
      </c>
      <c r="E9019" s="3">
        <v>0</v>
      </c>
      <c r="F9019" t="s">
        <v>45</v>
      </c>
      <c r="G9019" s="3">
        <f t="shared" si="1065"/>
        <v>-9919.4789999999994</v>
      </c>
      <c r="H9019" s="3">
        <f t="shared" si="1066"/>
        <v>9919.4789999999994</v>
      </c>
      <c r="I9019" s="5" t="str">
        <f t="shared" si="1067"/>
        <v>020</v>
      </c>
      <c r="J9019" s="5" t="str">
        <f t="shared" si="1068"/>
        <v>2100</v>
      </c>
      <c r="K9019" s="5" t="str">
        <f t="shared" si="1069"/>
        <v>000</v>
      </c>
      <c r="L9019" s="5">
        <f t="shared" si="1070"/>
        <v>10</v>
      </c>
      <c r="M9019" s="5">
        <f t="shared" si="1071"/>
        <v>2013</v>
      </c>
    </row>
    <row r="9020" spans="1:13" ht="15" x14ac:dyDescent="0.25">
      <c r="A9020" s="1">
        <f>DATE(2013,10,15)</f>
        <v>41562</v>
      </c>
      <c r="B9020" t="s">
        <v>28</v>
      </c>
      <c r="C9020" t="s">
        <v>8</v>
      </c>
      <c r="D9020" s="3">
        <v>2448.7065000000002</v>
      </c>
      <c r="E9020" s="3">
        <v>0</v>
      </c>
      <c r="F9020" t="s">
        <v>45</v>
      </c>
      <c r="G9020" s="3">
        <f t="shared" si="1065"/>
        <v>-2448.7065000000002</v>
      </c>
      <c r="H9020" s="3">
        <f t="shared" si="1066"/>
        <v>2448.7065000000002</v>
      </c>
      <c r="I9020" s="5" t="str">
        <f t="shared" si="1067"/>
        <v>020</v>
      </c>
      <c r="J9020" s="5" t="str">
        <f t="shared" si="1068"/>
        <v>2210</v>
      </c>
      <c r="K9020" s="5" t="str">
        <f t="shared" si="1069"/>
        <v>000</v>
      </c>
      <c r="L9020" s="5">
        <f t="shared" si="1070"/>
        <v>10</v>
      </c>
      <c r="M9020" s="5">
        <f t="shared" si="1071"/>
        <v>2013</v>
      </c>
    </row>
    <row r="9021" spans="1:13" ht="15" x14ac:dyDescent="0.25">
      <c r="A9021" s="1">
        <f>DATE(2013,10,15)</f>
        <v>41562</v>
      </c>
      <c r="B9021" t="s">
        <v>29</v>
      </c>
      <c r="C9021" t="s">
        <v>9</v>
      </c>
      <c r="D9021" s="3">
        <v>869.06</v>
      </c>
      <c r="E9021" s="3">
        <v>0</v>
      </c>
      <c r="F9021" t="s">
        <v>45</v>
      </c>
      <c r="G9021" s="3">
        <f t="shared" si="1065"/>
        <v>-869.06</v>
      </c>
      <c r="H9021" s="3">
        <f t="shared" si="1066"/>
        <v>869.06</v>
      </c>
      <c r="I9021" s="5" t="str">
        <f t="shared" si="1067"/>
        <v>020</v>
      </c>
      <c r="J9021" s="5" t="str">
        <f t="shared" si="1068"/>
        <v>2220</v>
      </c>
      <c r="K9021" s="5" t="str">
        <f t="shared" si="1069"/>
        <v>000</v>
      </c>
      <c r="L9021" s="5">
        <f t="shared" si="1070"/>
        <v>10</v>
      </c>
      <c r="M9021" s="5">
        <f t="shared" si="1071"/>
        <v>2013</v>
      </c>
    </row>
    <row r="9022" spans="1:13" ht="15" x14ac:dyDescent="0.25">
      <c r="A9022" s="1">
        <f>DATE(2013,10,15)</f>
        <v>41562</v>
      </c>
      <c r="B9022" t="s">
        <v>30</v>
      </c>
      <c r="C9022" t="s">
        <v>10</v>
      </c>
      <c r="D9022" s="3">
        <v>124.51359999999998</v>
      </c>
      <c r="E9022" s="3">
        <v>0</v>
      </c>
      <c r="F9022" t="s">
        <v>45</v>
      </c>
      <c r="G9022" s="3">
        <f t="shared" si="1065"/>
        <v>-124.51359999999998</v>
      </c>
      <c r="H9022" s="3">
        <f t="shared" si="1066"/>
        <v>124.51359999999998</v>
      </c>
      <c r="I9022" s="5" t="str">
        <f t="shared" si="1067"/>
        <v>020</v>
      </c>
      <c r="J9022" s="5" t="str">
        <f t="shared" si="1068"/>
        <v>2230</v>
      </c>
      <c r="K9022" s="5" t="str">
        <f t="shared" si="1069"/>
        <v>000</v>
      </c>
      <c r="L9022" s="5">
        <f t="shared" si="1070"/>
        <v>10</v>
      </c>
      <c r="M9022" s="5">
        <f t="shared" si="1071"/>
        <v>2013</v>
      </c>
    </row>
    <row r="9023" spans="1:13" ht="15" x14ac:dyDescent="0.25">
      <c r="A9023" s="1">
        <f>DATE(2013,10,16)</f>
        <v>41563</v>
      </c>
      <c r="B9023" t="s">
        <v>27</v>
      </c>
      <c r="C9023" t="s">
        <v>6</v>
      </c>
      <c r="D9023" s="3">
        <v>11910.6828</v>
      </c>
      <c r="E9023" s="3">
        <v>0</v>
      </c>
      <c r="F9023" t="s">
        <v>45</v>
      </c>
      <c r="G9023" s="3">
        <f t="shared" si="1065"/>
        <v>-11910.6828</v>
      </c>
      <c r="H9023" s="3">
        <f t="shared" si="1066"/>
        <v>11910.6828</v>
      </c>
      <c r="I9023" s="5" t="str">
        <f t="shared" si="1067"/>
        <v>020</v>
      </c>
      <c r="J9023" s="5" t="str">
        <f t="shared" si="1068"/>
        <v>2100</v>
      </c>
      <c r="K9023" s="5" t="str">
        <f t="shared" si="1069"/>
        <v>000</v>
      </c>
      <c r="L9023" s="5">
        <f t="shared" si="1070"/>
        <v>10</v>
      </c>
      <c r="M9023" s="5">
        <f t="shared" si="1071"/>
        <v>2013</v>
      </c>
    </row>
    <row r="9024" spans="1:13" ht="15" x14ac:dyDescent="0.25">
      <c r="A9024" s="1">
        <f>DATE(2013,10,16)</f>
        <v>41563</v>
      </c>
      <c r="B9024" t="s">
        <v>28</v>
      </c>
      <c r="C9024" t="s">
        <v>8</v>
      </c>
      <c r="D9024" s="3">
        <v>4844.1976000000004</v>
      </c>
      <c r="E9024" s="3">
        <v>0</v>
      </c>
      <c r="F9024" t="s">
        <v>45</v>
      </c>
      <c r="G9024" s="3">
        <f t="shared" si="1065"/>
        <v>-4844.1976000000004</v>
      </c>
      <c r="H9024" s="3">
        <f t="shared" si="1066"/>
        <v>4844.1976000000004</v>
      </c>
      <c r="I9024" s="5" t="str">
        <f t="shared" si="1067"/>
        <v>020</v>
      </c>
      <c r="J9024" s="5" t="str">
        <f t="shared" si="1068"/>
        <v>2210</v>
      </c>
      <c r="K9024" s="5" t="str">
        <f t="shared" si="1069"/>
        <v>000</v>
      </c>
      <c r="L9024" s="5">
        <f t="shared" si="1070"/>
        <v>10</v>
      </c>
      <c r="M9024" s="5">
        <f t="shared" si="1071"/>
        <v>2013</v>
      </c>
    </row>
    <row r="9025" spans="1:13" ht="15" x14ac:dyDescent="0.25">
      <c r="A9025" s="1">
        <f>DATE(2013,10,16)</f>
        <v>41563</v>
      </c>
      <c r="B9025" t="s">
        <v>29</v>
      </c>
      <c r="C9025" t="s">
        <v>9</v>
      </c>
      <c r="D9025" s="3">
        <v>842.86880000000008</v>
      </c>
      <c r="E9025" s="3">
        <v>0</v>
      </c>
      <c r="F9025" t="s">
        <v>45</v>
      </c>
      <c r="G9025" s="3">
        <f t="shared" si="1065"/>
        <v>-842.86880000000008</v>
      </c>
      <c r="H9025" s="3">
        <f t="shared" si="1066"/>
        <v>842.86880000000008</v>
      </c>
      <c r="I9025" s="5" t="str">
        <f t="shared" si="1067"/>
        <v>020</v>
      </c>
      <c r="J9025" s="5" t="str">
        <f t="shared" si="1068"/>
        <v>2220</v>
      </c>
      <c r="K9025" s="5" t="str">
        <f t="shared" si="1069"/>
        <v>000</v>
      </c>
      <c r="L9025" s="5">
        <f t="shared" si="1070"/>
        <v>10</v>
      </c>
      <c r="M9025" s="5">
        <f t="shared" si="1071"/>
        <v>2013</v>
      </c>
    </row>
    <row r="9026" spans="1:13" ht="15" x14ac:dyDescent="0.25">
      <c r="A9026" s="1">
        <f>DATE(2013,10,16)</f>
        <v>41563</v>
      </c>
      <c r="B9026" t="s">
        <v>30</v>
      </c>
      <c r="C9026" t="s">
        <v>10</v>
      </c>
      <c r="D9026" s="3">
        <v>190.64080000000001</v>
      </c>
      <c r="E9026" s="3">
        <v>0</v>
      </c>
      <c r="F9026" t="s">
        <v>45</v>
      </c>
      <c r="G9026" s="3">
        <f t="shared" ref="G9026:G9089" si="1072">E9026-D9026</f>
        <v>-190.64080000000001</v>
      </c>
      <c r="H9026" s="3">
        <f t="shared" ref="H9026:H9089" si="1073">ABS(G9026)</f>
        <v>190.64080000000001</v>
      </c>
      <c r="I9026" s="5" t="str">
        <f t="shared" ref="I9026:I9089" si="1074">MID(B9026,1,3)</f>
        <v>020</v>
      </c>
      <c r="J9026" s="5" t="str">
        <f t="shared" ref="J9026:J9089" si="1075">MID(B9026,5,4)</f>
        <v>2230</v>
      </c>
      <c r="K9026" s="5" t="str">
        <f t="shared" ref="K9026:K9089" si="1076">MID(B9026,10,3)</f>
        <v>000</v>
      </c>
      <c r="L9026" s="5">
        <f t="shared" ref="L9026:L9089" si="1077">MONTH(A9026)</f>
        <v>10</v>
      </c>
      <c r="M9026" s="5">
        <f t="shared" ref="M9026:M9089" si="1078">YEAR(A9026)</f>
        <v>2013</v>
      </c>
    </row>
    <row r="9027" spans="1:13" ht="15" x14ac:dyDescent="0.25">
      <c r="A9027" s="1">
        <f>DATE(2013,10,17)</f>
        <v>41564</v>
      </c>
      <c r="B9027" t="s">
        <v>27</v>
      </c>
      <c r="C9027" t="s">
        <v>6</v>
      </c>
      <c r="D9027" s="3">
        <v>12438.72</v>
      </c>
      <c r="E9027" s="3">
        <v>0</v>
      </c>
      <c r="F9027" t="s">
        <v>45</v>
      </c>
      <c r="G9027" s="3">
        <f t="shared" si="1072"/>
        <v>-12438.72</v>
      </c>
      <c r="H9027" s="3">
        <f t="shared" si="1073"/>
        <v>12438.72</v>
      </c>
      <c r="I9027" s="5" t="str">
        <f t="shared" si="1074"/>
        <v>020</v>
      </c>
      <c r="J9027" s="5" t="str">
        <f t="shared" si="1075"/>
        <v>2100</v>
      </c>
      <c r="K9027" s="5" t="str">
        <f t="shared" si="1076"/>
        <v>000</v>
      </c>
      <c r="L9027" s="5">
        <f t="shared" si="1077"/>
        <v>10</v>
      </c>
      <c r="M9027" s="5">
        <f t="shared" si="1078"/>
        <v>2013</v>
      </c>
    </row>
    <row r="9028" spans="1:13" ht="15" x14ac:dyDescent="0.25">
      <c r="A9028" s="1">
        <f>DATE(2013,10,17)</f>
        <v>41564</v>
      </c>
      <c r="B9028" t="s">
        <v>28</v>
      </c>
      <c r="C9028" t="s">
        <v>8</v>
      </c>
      <c r="D9028" s="3">
        <v>5007.6630000000005</v>
      </c>
      <c r="E9028" s="3">
        <v>0</v>
      </c>
      <c r="F9028" t="s">
        <v>45</v>
      </c>
      <c r="G9028" s="3">
        <f t="shared" si="1072"/>
        <v>-5007.6630000000005</v>
      </c>
      <c r="H9028" s="3">
        <f t="shared" si="1073"/>
        <v>5007.6630000000005</v>
      </c>
      <c r="I9028" s="5" t="str">
        <f t="shared" si="1074"/>
        <v>020</v>
      </c>
      <c r="J9028" s="5" t="str">
        <f t="shared" si="1075"/>
        <v>2210</v>
      </c>
      <c r="K9028" s="5" t="str">
        <f t="shared" si="1076"/>
        <v>000</v>
      </c>
      <c r="L9028" s="5">
        <f t="shared" si="1077"/>
        <v>10</v>
      </c>
      <c r="M9028" s="5">
        <f t="shared" si="1078"/>
        <v>2013</v>
      </c>
    </row>
    <row r="9029" spans="1:13" ht="15" x14ac:dyDescent="0.25">
      <c r="A9029" s="1">
        <f>DATE(2013,10,17)</f>
        <v>41564</v>
      </c>
      <c r="B9029" t="s">
        <v>29</v>
      </c>
      <c r="C9029" t="s">
        <v>9</v>
      </c>
      <c r="D9029" s="3">
        <v>913.43040000000008</v>
      </c>
      <c r="E9029" s="3">
        <v>0</v>
      </c>
      <c r="F9029" t="s">
        <v>45</v>
      </c>
      <c r="G9029" s="3">
        <f t="shared" si="1072"/>
        <v>-913.43040000000008</v>
      </c>
      <c r="H9029" s="3">
        <f t="shared" si="1073"/>
        <v>913.43040000000008</v>
      </c>
      <c r="I9029" s="5" t="str">
        <f t="shared" si="1074"/>
        <v>020</v>
      </c>
      <c r="J9029" s="5" t="str">
        <f t="shared" si="1075"/>
        <v>2220</v>
      </c>
      <c r="K9029" s="5" t="str">
        <f t="shared" si="1076"/>
        <v>000</v>
      </c>
      <c r="L9029" s="5">
        <f t="shared" si="1077"/>
        <v>10</v>
      </c>
      <c r="M9029" s="5">
        <f t="shared" si="1078"/>
        <v>2013</v>
      </c>
    </row>
    <row r="9030" spans="1:13" ht="15" x14ac:dyDescent="0.25">
      <c r="A9030" s="1">
        <f>DATE(2013,10,17)</f>
        <v>41564</v>
      </c>
      <c r="B9030" t="s">
        <v>30</v>
      </c>
      <c r="C9030" t="s">
        <v>10</v>
      </c>
      <c r="D9030" s="3">
        <v>181.65699999999998</v>
      </c>
      <c r="E9030" s="3">
        <v>0</v>
      </c>
      <c r="F9030" t="s">
        <v>45</v>
      </c>
      <c r="G9030" s="3">
        <f t="shared" si="1072"/>
        <v>-181.65699999999998</v>
      </c>
      <c r="H9030" s="3">
        <f t="shared" si="1073"/>
        <v>181.65699999999998</v>
      </c>
      <c r="I9030" s="5" t="str">
        <f t="shared" si="1074"/>
        <v>020</v>
      </c>
      <c r="J9030" s="5" t="str">
        <f t="shared" si="1075"/>
        <v>2230</v>
      </c>
      <c r="K9030" s="5" t="str">
        <f t="shared" si="1076"/>
        <v>000</v>
      </c>
      <c r="L9030" s="5">
        <f t="shared" si="1077"/>
        <v>10</v>
      </c>
      <c r="M9030" s="5">
        <f t="shared" si="1078"/>
        <v>2013</v>
      </c>
    </row>
    <row r="9031" spans="1:13" ht="15" x14ac:dyDescent="0.25">
      <c r="A9031" s="1">
        <f>DATE(2013,10,18)</f>
        <v>41565</v>
      </c>
      <c r="B9031" t="s">
        <v>27</v>
      </c>
      <c r="C9031" t="s">
        <v>6</v>
      </c>
      <c r="D9031" s="3">
        <v>13824.064800000002</v>
      </c>
      <c r="E9031" s="3">
        <v>0</v>
      </c>
      <c r="F9031" t="s">
        <v>45</v>
      </c>
      <c r="G9031" s="3">
        <f t="shared" si="1072"/>
        <v>-13824.064800000002</v>
      </c>
      <c r="H9031" s="3">
        <f t="shared" si="1073"/>
        <v>13824.064800000002</v>
      </c>
      <c r="I9031" s="5" t="str">
        <f t="shared" si="1074"/>
        <v>020</v>
      </c>
      <c r="J9031" s="5" t="str">
        <f t="shared" si="1075"/>
        <v>2100</v>
      </c>
      <c r="K9031" s="5" t="str">
        <f t="shared" si="1076"/>
        <v>000</v>
      </c>
      <c r="L9031" s="5">
        <f t="shared" si="1077"/>
        <v>10</v>
      </c>
      <c r="M9031" s="5">
        <f t="shared" si="1078"/>
        <v>2013</v>
      </c>
    </row>
    <row r="9032" spans="1:13" ht="15" x14ac:dyDescent="0.25">
      <c r="A9032" s="1">
        <f>DATE(2013,10,18)</f>
        <v>41565</v>
      </c>
      <c r="B9032" t="s">
        <v>28</v>
      </c>
      <c r="C9032" t="s">
        <v>8</v>
      </c>
      <c r="D9032" s="3">
        <v>9268.4045999999998</v>
      </c>
      <c r="E9032" s="3">
        <v>0</v>
      </c>
      <c r="F9032" t="s">
        <v>45</v>
      </c>
      <c r="G9032" s="3">
        <f t="shared" si="1072"/>
        <v>-9268.4045999999998</v>
      </c>
      <c r="H9032" s="3">
        <f t="shared" si="1073"/>
        <v>9268.4045999999998</v>
      </c>
      <c r="I9032" s="5" t="str">
        <f t="shared" si="1074"/>
        <v>020</v>
      </c>
      <c r="J9032" s="5" t="str">
        <f t="shared" si="1075"/>
        <v>2210</v>
      </c>
      <c r="K9032" s="5" t="str">
        <f t="shared" si="1076"/>
        <v>000</v>
      </c>
      <c r="L9032" s="5">
        <f t="shared" si="1077"/>
        <v>10</v>
      </c>
      <c r="M9032" s="5">
        <f t="shared" si="1078"/>
        <v>2013</v>
      </c>
    </row>
    <row r="9033" spans="1:13" ht="15" x14ac:dyDescent="0.25">
      <c r="A9033" s="1">
        <f>DATE(2013,10,18)</f>
        <v>41565</v>
      </c>
      <c r="B9033" t="s">
        <v>29</v>
      </c>
      <c r="C9033" t="s">
        <v>9</v>
      </c>
      <c r="D9033" s="3">
        <v>1522.9778000000001</v>
      </c>
      <c r="E9033" s="3">
        <v>0</v>
      </c>
      <c r="F9033" t="s">
        <v>45</v>
      </c>
      <c r="G9033" s="3">
        <f t="shared" si="1072"/>
        <v>-1522.9778000000001</v>
      </c>
      <c r="H9033" s="3">
        <f t="shared" si="1073"/>
        <v>1522.9778000000001</v>
      </c>
      <c r="I9033" s="5" t="str">
        <f t="shared" si="1074"/>
        <v>020</v>
      </c>
      <c r="J9033" s="5" t="str">
        <f t="shared" si="1075"/>
        <v>2220</v>
      </c>
      <c r="K9033" s="5" t="str">
        <f t="shared" si="1076"/>
        <v>000</v>
      </c>
      <c r="L9033" s="5">
        <f t="shared" si="1077"/>
        <v>10</v>
      </c>
      <c r="M9033" s="5">
        <f t="shared" si="1078"/>
        <v>2013</v>
      </c>
    </row>
    <row r="9034" spans="1:13" ht="15" x14ac:dyDescent="0.25">
      <c r="A9034" s="1">
        <f>DATE(2013,10,18)</f>
        <v>41565</v>
      </c>
      <c r="B9034" t="s">
        <v>30</v>
      </c>
      <c r="C9034" t="s">
        <v>10</v>
      </c>
      <c r="D9034" s="3">
        <v>253.05349999999999</v>
      </c>
      <c r="E9034" s="3">
        <v>0</v>
      </c>
      <c r="F9034" t="s">
        <v>45</v>
      </c>
      <c r="G9034" s="3">
        <f t="shared" si="1072"/>
        <v>-253.05349999999999</v>
      </c>
      <c r="H9034" s="3">
        <f t="shared" si="1073"/>
        <v>253.05349999999999</v>
      </c>
      <c r="I9034" s="5" t="str">
        <f t="shared" si="1074"/>
        <v>020</v>
      </c>
      <c r="J9034" s="5" t="str">
        <f t="shared" si="1075"/>
        <v>2230</v>
      </c>
      <c r="K9034" s="5" t="str">
        <f t="shared" si="1076"/>
        <v>000</v>
      </c>
      <c r="L9034" s="5">
        <f t="shared" si="1077"/>
        <v>10</v>
      </c>
      <c r="M9034" s="5">
        <f t="shared" si="1078"/>
        <v>2013</v>
      </c>
    </row>
    <row r="9035" spans="1:13" ht="15" x14ac:dyDescent="0.25">
      <c r="A9035" s="1">
        <f>DATE(2013,10,19)</f>
        <v>41566</v>
      </c>
      <c r="B9035" t="s">
        <v>27</v>
      </c>
      <c r="C9035" t="s">
        <v>6</v>
      </c>
      <c r="D9035" s="3">
        <v>23549.106</v>
      </c>
      <c r="E9035" s="3">
        <v>0</v>
      </c>
      <c r="F9035" t="s">
        <v>45</v>
      </c>
      <c r="G9035" s="3">
        <f t="shared" si="1072"/>
        <v>-23549.106</v>
      </c>
      <c r="H9035" s="3">
        <f t="shared" si="1073"/>
        <v>23549.106</v>
      </c>
      <c r="I9035" s="5" t="str">
        <f t="shared" si="1074"/>
        <v>020</v>
      </c>
      <c r="J9035" s="5" t="str">
        <f t="shared" si="1075"/>
        <v>2100</v>
      </c>
      <c r="K9035" s="5" t="str">
        <f t="shared" si="1076"/>
        <v>000</v>
      </c>
      <c r="L9035" s="5">
        <f t="shared" si="1077"/>
        <v>10</v>
      </c>
      <c r="M9035" s="5">
        <f t="shared" si="1078"/>
        <v>2013</v>
      </c>
    </row>
    <row r="9036" spans="1:13" ht="15" x14ac:dyDescent="0.25">
      <c r="A9036" s="1">
        <f>DATE(2013,10,19)</f>
        <v>41566</v>
      </c>
      <c r="B9036" t="s">
        <v>28</v>
      </c>
      <c r="C9036" t="s">
        <v>8</v>
      </c>
      <c r="D9036" s="3">
        <v>7261.1883000000007</v>
      </c>
      <c r="E9036" s="3">
        <v>0</v>
      </c>
      <c r="F9036" t="s">
        <v>45</v>
      </c>
      <c r="G9036" s="3">
        <f t="shared" si="1072"/>
        <v>-7261.1883000000007</v>
      </c>
      <c r="H9036" s="3">
        <f t="shared" si="1073"/>
        <v>7261.1883000000007</v>
      </c>
      <c r="I9036" s="5" t="str">
        <f t="shared" si="1074"/>
        <v>020</v>
      </c>
      <c r="J9036" s="5" t="str">
        <f t="shared" si="1075"/>
        <v>2210</v>
      </c>
      <c r="K9036" s="5" t="str">
        <f t="shared" si="1076"/>
        <v>000</v>
      </c>
      <c r="L9036" s="5">
        <f t="shared" si="1077"/>
        <v>10</v>
      </c>
      <c r="M9036" s="5">
        <f t="shared" si="1078"/>
        <v>2013</v>
      </c>
    </row>
    <row r="9037" spans="1:13" ht="15" x14ac:dyDescent="0.25">
      <c r="A9037" s="1">
        <f>DATE(2013,10,19)</f>
        <v>41566</v>
      </c>
      <c r="B9037" t="s">
        <v>29</v>
      </c>
      <c r="C9037" t="s">
        <v>9</v>
      </c>
      <c r="D9037" s="3">
        <v>1188.1804</v>
      </c>
      <c r="E9037" s="3">
        <v>0</v>
      </c>
      <c r="F9037" t="s">
        <v>45</v>
      </c>
      <c r="G9037" s="3">
        <f t="shared" si="1072"/>
        <v>-1188.1804</v>
      </c>
      <c r="H9037" s="3">
        <f t="shared" si="1073"/>
        <v>1188.1804</v>
      </c>
      <c r="I9037" s="5" t="str">
        <f t="shared" si="1074"/>
        <v>020</v>
      </c>
      <c r="J9037" s="5" t="str">
        <f t="shared" si="1075"/>
        <v>2220</v>
      </c>
      <c r="K9037" s="5" t="str">
        <f t="shared" si="1076"/>
        <v>000</v>
      </c>
      <c r="L9037" s="5">
        <f t="shared" si="1077"/>
        <v>10</v>
      </c>
      <c r="M9037" s="5">
        <f t="shared" si="1078"/>
        <v>2013</v>
      </c>
    </row>
    <row r="9038" spans="1:13" ht="15" x14ac:dyDescent="0.25">
      <c r="A9038" s="1">
        <f>DATE(2013,10,19)</f>
        <v>41566</v>
      </c>
      <c r="B9038" t="s">
        <v>30</v>
      </c>
      <c r="C9038" t="s">
        <v>10</v>
      </c>
      <c r="D9038" s="3">
        <v>145.5401</v>
      </c>
      <c r="E9038" s="3">
        <v>0</v>
      </c>
      <c r="F9038" t="s">
        <v>45</v>
      </c>
      <c r="G9038" s="3">
        <f t="shared" si="1072"/>
        <v>-145.5401</v>
      </c>
      <c r="H9038" s="3">
        <f t="shared" si="1073"/>
        <v>145.5401</v>
      </c>
      <c r="I9038" s="5" t="str">
        <f t="shared" si="1074"/>
        <v>020</v>
      </c>
      <c r="J9038" s="5" t="str">
        <f t="shared" si="1075"/>
        <v>2230</v>
      </c>
      <c r="K9038" s="5" t="str">
        <f t="shared" si="1076"/>
        <v>000</v>
      </c>
      <c r="L9038" s="5">
        <f t="shared" si="1077"/>
        <v>10</v>
      </c>
      <c r="M9038" s="5">
        <f t="shared" si="1078"/>
        <v>2013</v>
      </c>
    </row>
    <row r="9039" spans="1:13" ht="15" x14ac:dyDescent="0.25">
      <c r="A9039" s="1">
        <f>DATE(2013,10,20)</f>
        <v>41567</v>
      </c>
      <c r="B9039" t="s">
        <v>27</v>
      </c>
      <c r="C9039" t="s">
        <v>6</v>
      </c>
      <c r="D9039" s="3">
        <v>14226.293400000002</v>
      </c>
      <c r="E9039" s="3">
        <v>0</v>
      </c>
      <c r="F9039" t="s">
        <v>45</v>
      </c>
      <c r="G9039" s="3">
        <f t="shared" si="1072"/>
        <v>-14226.293400000002</v>
      </c>
      <c r="H9039" s="3">
        <f t="shared" si="1073"/>
        <v>14226.293400000002</v>
      </c>
      <c r="I9039" s="5" t="str">
        <f t="shared" si="1074"/>
        <v>020</v>
      </c>
      <c r="J9039" s="5" t="str">
        <f t="shared" si="1075"/>
        <v>2100</v>
      </c>
      <c r="K9039" s="5" t="str">
        <f t="shared" si="1076"/>
        <v>000</v>
      </c>
      <c r="L9039" s="5">
        <f t="shared" si="1077"/>
        <v>10</v>
      </c>
      <c r="M9039" s="5">
        <f t="shared" si="1078"/>
        <v>2013</v>
      </c>
    </row>
    <row r="9040" spans="1:13" ht="15" x14ac:dyDescent="0.25">
      <c r="A9040" s="1">
        <f>DATE(2013,10,20)</f>
        <v>41567</v>
      </c>
      <c r="B9040" t="s">
        <v>28</v>
      </c>
      <c r="C9040" t="s">
        <v>8</v>
      </c>
      <c r="D9040" s="3">
        <v>4986.7523999999994</v>
      </c>
      <c r="E9040" s="3">
        <v>0</v>
      </c>
      <c r="F9040" t="s">
        <v>45</v>
      </c>
      <c r="G9040" s="3">
        <f t="shared" si="1072"/>
        <v>-4986.7523999999994</v>
      </c>
      <c r="H9040" s="3">
        <f t="shared" si="1073"/>
        <v>4986.7523999999994</v>
      </c>
      <c r="I9040" s="5" t="str">
        <f t="shared" si="1074"/>
        <v>020</v>
      </c>
      <c r="J9040" s="5" t="str">
        <f t="shared" si="1075"/>
        <v>2210</v>
      </c>
      <c r="K9040" s="5" t="str">
        <f t="shared" si="1076"/>
        <v>000</v>
      </c>
      <c r="L9040" s="5">
        <f t="shared" si="1077"/>
        <v>10</v>
      </c>
      <c r="M9040" s="5">
        <f t="shared" si="1078"/>
        <v>2013</v>
      </c>
    </row>
    <row r="9041" spans="1:13" ht="15" x14ac:dyDescent="0.25">
      <c r="A9041" s="1">
        <f>DATE(2013,10,20)</f>
        <v>41567</v>
      </c>
      <c r="B9041" t="s">
        <v>29</v>
      </c>
      <c r="C9041" t="s">
        <v>9</v>
      </c>
      <c r="D9041" s="3">
        <v>729.97199999999998</v>
      </c>
      <c r="E9041" s="3">
        <v>0</v>
      </c>
      <c r="F9041" t="s">
        <v>45</v>
      </c>
      <c r="G9041" s="3">
        <f t="shared" si="1072"/>
        <v>-729.97199999999998</v>
      </c>
      <c r="H9041" s="3">
        <f t="shared" si="1073"/>
        <v>729.97199999999998</v>
      </c>
      <c r="I9041" s="5" t="str">
        <f t="shared" si="1074"/>
        <v>020</v>
      </c>
      <c r="J9041" s="5" t="str">
        <f t="shared" si="1075"/>
        <v>2220</v>
      </c>
      <c r="K9041" s="5" t="str">
        <f t="shared" si="1076"/>
        <v>000</v>
      </c>
      <c r="L9041" s="5">
        <f t="shared" si="1077"/>
        <v>10</v>
      </c>
      <c r="M9041" s="5">
        <f t="shared" si="1078"/>
        <v>2013</v>
      </c>
    </row>
    <row r="9042" spans="1:13" ht="15" x14ac:dyDescent="0.25">
      <c r="A9042" s="1">
        <f>DATE(2013,10,20)</f>
        <v>41567</v>
      </c>
      <c r="B9042" t="s">
        <v>30</v>
      </c>
      <c r="C9042" t="s">
        <v>10</v>
      </c>
      <c r="D9042" s="3">
        <v>164.78279999999998</v>
      </c>
      <c r="E9042" s="3">
        <v>0</v>
      </c>
      <c r="F9042" t="s">
        <v>45</v>
      </c>
      <c r="G9042" s="3">
        <f t="shared" si="1072"/>
        <v>-164.78279999999998</v>
      </c>
      <c r="H9042" s="3">
        <f t="shared" si="1073"/>
        <v>164.78279999999998</v>
      </c>
      <c r="I9042" s="5" t="str">
        <f t="shared" si="1074"/>
        <v>020</v>
      </c>
      <c r="J9042" s="5" t="str">
        <f t="shared" si="1075"/>
        <v>2230</v>
      </c>
      <c r="K9042" s="5" t="str">
        <f t="shared" si="1076"/>
        <v>000</v>
      </c>
      <c r="L9042" s="5">
        <f t="shared" si="1077"/>
        <v>10</v>
      </c>
      <c r="M9042" s="5">
        <f t="shared" si="1078"/>
        <v>2013</v>
      </c>
    </row>
    <row r="9043" spans="1:13" ht="15" x14ac:dyDescent="0.25">
      <c r="A9043" s="1">
        <f>DATE(2013,10,21)</f>
        <v>41568</v>
      </c>
      <c r="B9043" t="s">
        <v>11</v>
      </c>
      <c r="C9043" t="s">
        <v>6</v>
      </c>
      <c r="D9043" s="3">
        <v>2272.8966</v>
      </c>
      <c r="E9043" s="3">
        <v>0</v>
      </c>
      <c r="F9043" t="s">
        <v>45</v>
      </c>
      <c r="G9043" s="3">
        <f t="shared" si="1072"/>
        <v>-2272.8966</v>
      </c>
      <c r="H9043" s="3">
        <f t="shared" si="1073"/>
        <v>2272.8966</v>
      </c>
      <c r="I9043" s="5" t="str">
        <f t="shared" si="1074"/>
        <v>016</v>
      </c>
      <c r="J9043" s="5" t="str">
        <f t="shared" si="1075"/>
        <v>2100</v>
      </c>
      <c r="K9043" s="5" t="str">
        <f t="shared" si="1076"/>
        <v>000</v>
      </c>
      <c r="L9043" s="5">
        <f t="shared" si="1077"/>
        <v>10</v>
      </c>
      <c r="M9043" s="5">
        <f t="shared" si="1078"/>
        <v>2013</v>
      </c>
    </row>
    <row r="9044" spans="1:13" ht="15" x14ac:dyDescent="0.25">
      <c r="A9044" s="1">
        <f>DATE(2013,10,21)</f>
        <v>41568</v>
      </c>
      <c r="B9044" t="s">
        <v>12</v>
      </c>
      <c r="C9044" t="s">
        <v>8</v>
      </c>
      <c r="D9044" s="3">
        <v>586.17459999999994</v>
      </c>
      <c r="E9044" s="3">
        <v>0</v>
      </c>
      <c r="F9044" t="s">
        <v>45</v>
      </c>
      <c r="G9044" s="3">
        <f t="shared" si="1072"/>
        <v>-586.17459999999994</v>
      </c>
      <c r="H9044" s="3">
        <f t="shared" si="1073"/>
        <v>586.17459999999994</v>
      </c>
      <c r="I9044" s="5" t="str">
        <f t="shared" si="1074"/>
        <v>016</v>
      </c>
      <c r="J9044" s="5" t="str">
        <f t="shared" si="1075"/>
        <v>2210</v>
      </c>
      <c r="K9044" s="5" t="str">
        <f t="shared" si="1076"/>
        <v>000</v>
      </c>
      <c r="L9044" s="5">
        <f t="shared" si="1077"/>
        <v>10</v>
      </c>
      <c r="M9044" s="5">
        <f t="shared" si="1078"/>
        <v>2013</v>
      </c>
    </row>
    <row r="9045" spans="1:13" ht="15" x14ac:dyDescent="0.25">
      <c r="A9045" s="1">
        <f>DATE(2013,10,21)</f>
        <v>41568</v>
      </c>
      <c r="B9045" t="s">
        <v>13</v>
      </c>
      <c r="C9045" t="s">
        <v>9</v>
      </c>
      <c r="D9045" s="3">
        <v>127.836</v>
      </c>
      <c r="E9045" s="3">
        <v>0</v>
      </c>
      <c r="F9045" t="s">
        <v>45</v>
      </c>
      <c r="G9045" s="3">
        <f t="shared" si="1072"/>
        <v>-127.836</v>
      </c>
      <c r="H9045" s="3">
        <f t="shared" si="1073"/>
        <v>127.836</v>
      </c>
      <c r="I9045" s="5" t="str">
        <f t="shared" si="1074"/>
        <v>016</v>
      </c>
      <c r="J9045" s="5" t="str">
        <f t="shared" si="1075"/>
        <v>2220</v>
      </c>
      <c r="K9045" s="5" t="str">
        <f t="shared" si="1076"/>
        <v>000</v>
      </c>
      <c r="L9045" s="5">
        <f t="shared" si="1077"/>
        <v>10</v>
      </c>
      <c r="M9045" s="5">
        <f t="shared" si="1078"/>
        <v>2013</v>
      </c>
    </row>
    <row r="9046" spans="1:13" ht="15" x14ac:dyDescent="0.25">
      <c r="A9046" s="1">
        <f>DATE(2013,10,21)</f>
        <v>41568</v>
      </c>
      <c r="B9046" t="s">
        <v>14</v>
      </c>
      <c r="C9046" t="s">
        <v>10</v>
      </c>
      <c r="D9046" s="3">
        <v>25.511199999999999</v>
      </c>
      <c r="E9046" s="3">
        <v>0</v>
      </c>
      <c r="F9046" t="s">
        <v>45</v>
      </c>
      <c r="G9046" s="3">
        <f t="shared" si="1072"/>
        <v>-25.511199999999999</v>
      </c>
      <c r="H9046" s="3">
        <f t="shared" si="1073"/>
        <v>25.511199999999999</v>
      </c>
      <c r="I9046" s="5" t="str">
        <f t="shared" si="1074"/>
        <v>016</v>
      </c>
      <c r="J9046" s="5" t="str">
        <f t="shared" si="1075"/>
        <v>2230</v>
      </c>
      <c r="K9046" s="5" t="str">
        <f t="shared" si="1076"/>
        <v>000</v>
      </c>
      <c r="L9046" s="5">
        <f t="shared" si="1077"/>
        <v>10</v>
      </c>
      <c r="M9046" s="5">
        <f t="shared" si="1078"/>
        <v>2013</v>
      </c>
    </row>
    <row r="9047" spans="1:13" ht="15" x14ac:dyDescent="0.25">
      <c r="A9047" s="1">
        <f>DATE(2013,10,22)</f>
        <v>41569</v>
      </c>
      <c r="B9047" t="s">
        <v>11</v>
      </c>
      <c r="C9047" t="s">
        <v>6</v>
      </c>
      <c r="D9047" s="3">
        <v>8207.2284</v>
      </c>
      <c r="E9047" s="3">
        <v>0</v>
      </c>
      <c r="F9047" t="s">
        <v>45</v>
      </c>
      <c r="G9047" s="3">
        <f t="shared" si="1072"/>
        <v>-8207.2284</v>
      </c>
      <c r="H9047" s="3">
        <f t="shared" si="1073"/>
        <v>8207.2284</v>
      </c>
      <c r="I9047" s="5" t="str">
        <f t="shared" si="1074"/>
        <v>016</v>
      </c>
      <c r="J9047" s="5" t="str">
        <f t="shared" si="1075"/>
        <v>2100</v>
      </c>
      <c r="K9047" s="5" t="str">
        <f t="shared" si="1076"/>
        <v>000</v>
      </c>
      <c r="L9047" s="5">
        <f t="shared" si="1077"/>
        <v>10</v>
      </c>
      <c r="M9047" s="5">
        <f t="shared" si="1078"/>
        <v>2013</v>
      </c>
    </row>
    <row r="9048" spans="1:13" ht="15" x14ac:dyDescent="0.25">
      <c r="A9048" s="1">
        <f>DATE(2013,10,22)</f>
        <v>41569</v>
      </c>
      <c r="B9048" t="s">
        <v>12</v>
      </c>
      <c r="C9048" t="s">
        <v>8</v>
      </c>
      <c r="D9048" s="3">
        <v>1620.848</v>
      </c>
      <c r="E9048" s="3">
        <v>0</v>
      </c>
      <c r="F9048" t="s">
        <v>45</v>
      </c>
      <c r="G9048" s="3">
        <f t="shared" si="1072"/>
        <v>-1620.848</v>
      </c>
      <c r="H9048" s="3">
        <f t="shared" si="1073"/>
        <v>1620.848</v>
      </c>
      <c r="I9048" s="5" t="str">
        <f t="shared" si="1074"/>
        <v>016</v>
      </c>
      <c r="J9048" s="5" t="str">
        <f t="shared" si="1075"/>
        <v>2210</v>
      </c>
      <c r="K9048" s="5" t="str">
        <f t="shared" si="1076"/>
        <v>000</v>
      </c>
      <c r="L9048" s="5">
        <f t="shared" si="1077"/>
        <v>10</v>
      </c>
      <c r="M9048" s="5">
        <f t="shared" si="1078"/>
        <v>2013</v>
      </c>
    </row>
    <row r="9049" spans="1:13" ht="15" x14ac:dyDescent="0.25">
      <c r="A9049" s="1">
        <f>DATE(2013,10,22)</f>
        <v>41569</v>
      </c>
      <c r="B9049" t="s">
        <v>13</v>
      </c>
      <c r="C9049" t="s">
        <v>9</v>
      </c>
      <c r="D9049" s="3">
        <v>434.59680000000003</v>
      </c>
      <c r="E9049" s="3">
        <v>0</v>
      </c>
      <c r="F9049" t="s">
        <v>45</v>
      </c>
      <c r="G9049" s="3">
        <f t="shared" si="1072"/>
        <v>-434.59680000000003</v>
      </c>
      <c r="H9049" s="3">
        <f t="shared" si="1073"/>
        <v>434.59680000000003</v>
      </c>
      <c r="I9049" s="5" t="str">
        <f t="shared" si="1074"/>
        <v>016</v>
      </c>
      <c r="J9049" s="5" t="str">
        <f t="shared" si="1075"/>
        <v>2220</v>
      </c>
      <c r="K9049" s="5" t="str">
        <f t="shared" si="1076"/>
        <v>000</v>
      </c>
      <c r="L9049" s="5">
        <f t="shared" si="1077"/>
        <v>10</v>
      </c>
      <c r="M9049" s="5">
        <f t="shared" si="1078"/>
        <v>2013</v>
      </c>
    </row>
    <row r="9050" spans="1:13" ht="15" x14ac:dyDescent="0.25">
      <c r="A9050" s="1">
        <f>DATE(2013,10,22)</f>
        <v>41569</v>
      </c>
      <c r="B9050" t="s">
        <v>14</v>
      </c>
      <c r="C9050" t="s">
        <v>10</v>
      </c>
      <c r="D9050" s="3">
        <v>87.162899999999993</v>
      </c>
      <c r="E9050" s="3">
        <v>0</v>
      </c>
      <c r="F9050" t="s">
        <v>45</v>
      </c>
      <c r="G9050" s="3">
        <f t="shared" si="1072"/>
        <v>-87.162899999999993</v>
      </c>
      <c r="H9050" s="3">
        <f t="shared" si="1073"/>
        <v>87.162899999999993</v>
      </c>
      <c r="I9050" s="5" t="str">
        <f t="shared" si="1074"/>
        <v>016</v>
      </c>
      <c r="J9050" s="5" t="str">
        <f t="shared" si="1075"/>
        <v>2230</v>
      </c>
      <c r="K9050" s="5" t="str">
        <f t="shared" si="1076"/>
        <v>000</v>
      </c>
      <c r="L9050" s="5">
        <f t="shared" si="1077"/>
        <v>10</v>
      </c>
      <c r="M9050" s="5">
        <f t="shared" si="1078"/>
        <v>2013</v>
      </c>
    </row>
    <row r="9051" spans="1:13" ht="15" x14ac:dyDescent="0.25">
      <c r="A9051" s="1">
        <f>DATE(2013,10,23)</f>
        <v>41570</v>
      </c>
      <c r="B9051" t="s">
        <v>11</v>
      </c>
      <c r="C9051" t="s">
        <v>6</v>
      </c>
      <c r="D9051" s="3">
        <v>1915.4876999999999</v>
      </c>
      <c r="E9051" s="3">
        <v>0</v>
      </c>
      <c r="F9051" t="s">
        <v>45</v>
      </c>
      <c r="G9051" s="3">
        <f t="shared" si="1072"/>
        <v>-1915.4876999999999</v>
      </c>
      <c r="H9051" s="3">
        <f t="shared" si="1073"/>
        <v>1915.4876999999999</v>
      </c>
      <c r="I9051" s="5" t="str">
        <f t="shared" si="1074"/>
        <v>016</v>
      </c>
      <c r="J9051" s="5" t="str">
        <f t="shared" si="1075"/>
        <v>2100</v>
      </c>
      <c r="K9051" s="5" t="str">
        <f t="shared" si="1076"/>
        <v>000</v>
      </c>
      <c r="L9051" s="5">
        <f t="shared" si="1077"/>
        <v>10</v>
      </c>
      <c r="M9051" s="5">
        <f t="shared" si="1078"/>
        <v>2013</v>
      </c>
    </row>
    <row r="9052" spans="1:13" ht="15" x14ac:dyDescent="0.25">
      <c r="A9052" s="1">
        <f>DATE(2013,10,23)</f>
        <v>41570</v>
      </c>
      <c r="B9052" t="s">
        <v>12</v>
      </c>
      <c r="C9052" t="s">
        <v>8</v>
      </c>
      <c r="D9052" s="3">
        <v>351.0496</v>
      </c>
      <c r="E9052" s="3">
        <v>0</v>
      </c>
      <c r="F9052" t="s">
        <v>45</v>
      </c>
      <c r="G9052" s="3">
        <f t="shared" si="1072"/>
        <v>-351.0496</v>
      </c>
      <c r="H9052" s="3">
        <f t="shared" si="1073"/>
        <v>351.0496</v>
      </c>
      <c r="I9052" s="5" t="str">
        <f t="shared" si="1074"/>
        <v>016</v>
      </c>
      <c r="J9052" s="5" t="str">
        <f t="shared" si="1075"/>
        <v>2210</v>
      </c>
      <c r="K9052" s="5" t="str">
        <f t="shared" si="1076"/>
        <v>000</v>
      </c>
      <c r="L9052" s="5">
        <f t="shared" si="1077"/>
        <v>10</v>
      </c>
      <c r="M9052" s="5">
        <f t="shared" si="1078"/>
        <v>2013</v>
      </c>
    </row>
    <row r="9053" spans="1:13" ht="15" x14ac:dyDescent="0.25">
      <c r="A9053" s="1">
        <f>DATE(2013,10,23)</f>
        <v>41570</v>
      </c>
      <c r="B9053" t="s">
        <v>13</v>
      </c>
      <c r="C9053" t="s">
        <v>9</v>
      </c>
      <c r="D9053" s="3">
        <v>80.926300000000012</v>
      </c>
      <c r="E9053" s="3">
        <v>0</v>
      </c>
      <c r="F9053" t="s">
        <v>45</v>
      </c>
      <c r="G9053" s="3">
        <f t="shared" si="1072"/>
        <v>-80.926300000000012</v>
      </c>
      <c r="H9053" s="3">
        <f t="shared" si="1073"/>
        <v>80.926300000000012</v>
      </c>
      <c r="I9053" s="5" t="str">
        <f t="shared" si="1074"/>
        <v>016</v>
      </c>
      <c r="J9053" s="5" t="str">
        <f t="shared" si="1075"/>
        <v>2220</v>
      </c>
      <c r="K9053" s="5" t="str">
        <f t="shared" si="1076"/>
        <v>000</v>
      </c>
      <c r="L9053" s="5">
        <f t="shared" si="1077"/>
        <v>10</v>
      </c>
      <c r="M9053" s="5">
        <f t="shared" si="1078"/>
        <v>2013</v>
      </c>
    </row>
    <row r="9054" spans="1:13" ht="15" x14ac:dyDescent="0.25">
      <c r="A9054" s="1">
        <f>DATE(2013,10,23)</f>
        <v>41570</v>
      </c>
      <c r="B9054" t="s">
        <v>14</v>
      </c>
      <c r="C9054" t="s">
        <v>10</v>
      </c>
      <c r="D9054" s="3">
        <v>60.147999999999996</v>
      </c>
      <c r="E9054" s="3">
        <v>0</v>
      </c>
      <c r="F9054" t="s">
        <v>45</v>
      </c>
      <c r="G9054" s="3">
        <f t="shared" si="1072"/>
        <v>-60.147999999999996</v>
      </c>
      <c r="H9054" s="3">
        <f t="shared" si="1073"/>
        <v>60.147999999999996</v>
      </c>
      <c r="I9054" s="5" t="str">
        <f t="shared" si="1074"/>
        <v>016</v>
      </c>
      <c r="J9054" s="5" t="str">
        <f t="shared" si="1075"/>
        <v>2230</v>
      </c>
      <c r="K9054" s="5" t="str">
        <f t="shared" si="1076"/>
        <v>000</v>
      </c>
      <c r="L9054" s="5">
        <f t="shared" si="1077"/>
        <v>10</v>
      </c>
      <c r="M9054" s="5">
        <f t="shared" si="1078"/>
        <v>2013</v>
      </c>
    </row>
    <row r="9055" spans="1:13" ht="15" x14ac:dyDescent="0.25">
      <c r="A9055" s="1">
        <f>DATE(2013,10,24)</f>
        <v>41571</v>
      </c>
      <c r="B9055" t="s">
        <v>11</v>
      </c>
      <c r="C9055" t="s">
        <v>6</v>
      </c>
      <c r="D9055" s="3">
        <v>1786.2180000000001</v>
      </c>
      <c r="E9055" s="3">
        <v>0</v>
      </c>
      <c r="F9055" t="s">
        <v>45</v>
      </c>
      <c r="G9055" s="3">
        <f t="shared" si="1072"/>
        <v>-1786.2180000000001</v>
      </c>
      <c r="H9055" s="3">
        <f t="shared" si="1073"/>
        <v>1786.2180000000001</v>
      </c>
      <c r="I9055" s="5" t="str">
        <f t="shared" si="1074"/>
        <v>016</v>
      </c>
      <c r="J9055" s="5" t="str">
        <f t="shared" si="1075"/>
        <v>2100</v>
      </c>
      <c r="K9055" s="5" t="str">
        <f t="shared" si="1076"/>
        <v>000</v>
      </c>
      <c r="L9055" s="5">
        <f t="shared" si="1077"/>
        <v>10</v>
      </c>
      <c r="M9055" s="5">
        <f t="shared" si="1078"/>
        <v>2013</v>
      </c>
    </row>
    <row r="9056" spans="1:13" ht="15" x14ac:dyDescent="0.25">
      <c r="A9056" s="1">
        <f>DATE(2013,10,24)</f>
        <v>41571</v>
      </c>
      <c r="B9056" t="s">
        <v>12</v>
      </c>
      <c r="C9056" t="s">
        <v>8</v>
      </c>
      <c r="D9056" s="3">
        <v>466.26800000000003</v>
      </c>
      <c r="E9056" s="3">
        <v>0</v>
      </c>
      <c r="F9056" t="s">
        <v>45</v>
      </c>
      <c r="G9056" s="3">
        <f t="shared" si="1072"/>
        <v>-466.26800000000003</v>
      </c>
      <c r="H9056" s="3">
        <f t="shared" si="1073"/>
        <v>466.26800000000003</v>
      </c>
      <c r="I9056" s="5" t="str">
        <f t="shared" si="1074"/>
        <v>016</v>
      </c>
      <c r="J9056" s="5" t="str">
        <f t="shared" si="1075"/>
        <v>2210</v>
      </c>
      <c r="K9056" s="5" t="str">
        <f t="shared" si="1076"/>
        <v>000</v>
      </c>
      <c r="L9056" s="5">
        <f t="shared" si="1077"/>
        <v>10</v>
      </c>
      <c r="M9056" s="5">
        <f t="shared" si="1078"/>
        <v>2013</v>
      </c>
    </row>
    <row r="9057" spans="1:13" ht="15" x14ac:dyDescent="0.25">
      <c r="A9057" s="1">
        <f>DATE(2013,10,24)</f>
        <v>41571</v>
      </c>
      <c r="B9057" t="s">
        <v>13</v>
      </c>
      <c r="C9057" t="s">
        <v>9</v>
      </c>
      <c r="D9057" s="3">
        <v>146.5959</v>
      </c>
      <c r="E9057" s="3">
        <v>0</v>
      </c>
      <c r="F9057" t="s">
        <v>45</v>
      </c>
      <c r="G9057" s="3">
        <f t="shared" si="1072"/>
        <v>-146.5959</v>
      </c>
      <c r="H9057" s="3">
        <f t="shared" si="1073"/>
        <v>146.5959</v>
      </c>
      <c r="I9057" s="5" t="str">
        <f t="shared" si="1074"/>
        <v>016</v>
      </c>
      <c r="J9057" s="5" t="str">
        <f t="shared" si="1075"/>
        <v>2220</v>
      </c>
      <c r="K9057" s="5" t="str">
        <f t="shared" si="1076"/>
        <v>000</v>
      </c>
      <c r="L9057" s="5">
        <f t="shared" si="1077"/>
        <v>10</v>
      </c>
      <c r="M9057" s="5">
        <f t="shared" si="1078"/>
        <v>2013</v>
      </c>
    </row>
    <row r="9058" spans="1:13" ht="15" x14ac:dyDescent="0.25">
      <c r="A9058" s="1">
        <f>DATE(2013,10,24)</f>
        <v>41571</v>
      </c>
      <c r="B9058" t="s">
        <v>14</v>
      </c>
      <c r="C9058" t="s">
        <v>10</v>
      </c>
      <c r="D9058" s="3">
        <v>17.6904</v>
      </c>
      <c r="E9058" s="3">
        <v>0</v>
      </c>
      <c r="F9058" t="s">
        <v>45</v>
      </c>
      <c r="G9058" s="3">
        <f t="shared" si="1072"/>
        <v>-17.6904</v>
      </c>
      <c r="H9058" s="3">
        <f t="shared" si="1073"/>
        <v>17.6904</v>
      </c>
      <c r="I9058" s="5" t="str">
        <f t="shared" si="1074"/>
        <v>016</v>
      </c>
      <c r="J9058" s="5" t="str">
        <f t="shared" si="1075"/>
        <v>2230</v>
      </c>
      <c r="K9058" s="5" t="str">
        <f t="shared" si="1076"/>
        <v>000</v>
      </c>
      <c r="L9058" s="5">
        <f t="shared" si="1077"/>
        <v>10</v>
      </c>
      <c r="M9058" s="5">
        <f t="shared" si="1078"/>
        <v>2013</v>
      </c>
    </row>
    <row r="9059" spans="1:13" ht="15" x14ac:dyDescent="0.25">
      <c r="A9059" s="1">
        <f>DATE(2013,10,25)</f>
        <v>41572</v>
      </c>
      <c r="B9059" t="s">
        <v>11</v>
      </c>
      <c r="C9059" t="s">
        <v>6</v>
      </c>
      <c r="D9059" s="3">
        <v>4324.0598</v>
      </c>
      <c r="E9059" s="3">
        <v>0</v>
      </c>
      <c r="F9059" t="s">
        <v>45</v>
      </c>
      <c r="G9059" s="3">
        <f t="shared" si="1072"/>
        <v>-4324.0598</v>
      </c>
      <c r="H9059" s="3">
        <f t="shared" si="1073"/>
        <v>4324.0598</v>
      </c>
      <c r="I9059" s="5" t="str">
        <f t="shared" si="1074"/>
        <v>016</v>
      </c>
      <c r="J9059" s="5" t="str">
        <f t="shared" si="1075"/>
        <v>2100</v>
      </c>
      <c r="K9059" s="5" t="str">
        <f t="shared" si="1076"/>
        <v>000</v>
      </c>
      <c r="L9059" s="5">
        <f t="shared" si="1077"/>
        <v>10</v>
      </c>
      <c r="M9059" s="5">
        <f t="shared" si="1078"/>
        <v>2013</v>
      </c>
    </row>
    <row r="9060" spans="1:13" ht="15" x14ac:dyDescent="0.25">
      <c r="A9060" s="1">
        <f>DATE(2013,10,25)</f>
        <v>41572</v>
      </c>
      <c r="B9060" t="s">
        <v>12</v>
      </c>
      <c r="C9060" t="s">
        <v>8</v>
      </c>
      <c r="D9060" s="3">
        <v>1764.4535999999998</v>
      </c>
      <c r="E9060" s="3">
        <v>0</v>
      </c>
      <c r="F9060" t="s">
        <v>45</v>
      </c>
      <c r="G9060" s="3">
        <f t="shared" si="1072"/>
        <v>-1764.4535999999998</v>
      </c>
      <c r="H9060" s="3">
        <f t="shared" si="1073"/>
        <v>1764.4535999999998</v>
      </c>
      <c r="I9060" s="5" t="str">
        <f t="shared" si="1074"/>
        <v>016</v>
      </c>
      <c r="J9060" s="5" t="str">
        <f t="shared" si="1075"/>
        <v>2210</v>
      </c>
      <c r="K9060" s="5" t="str">
        <f t="shared" si="1076"/>
        <v>000</v>
      </c>
      <c r="L9060" s="5">
        <f t="shared" si="1077"/>
        <v>10</v>
      </c>
      <c r="M9060" s="5">
        <f t="shared" si="1078"/>
        <v>2013</v>
      </c>
    </row>
    <row r="9061" spans="1:13" ht="15" x14ac:dyDescent="0.25">
      <c r="A9061" s="1">
        <f>DATE(2013,10,25)</f>
        <v>41572</v>
      </c>
      <c r="B9061" t="s">
        <v>13</v>
      </c>
      <c r="C9061" t="s">
        <v>9</v>
      </c>
      <c r="D9061" s="3">
        <v>355.02750000000003</v>
      </c>
      <c r="E9061" s="3">
        <v>0</v>
      </c>
      <c r="F9061" t="s">
        <v>45</v>
      </c>
      <c r="G9061" s="3">
        <f t="shared" si="1072"/>
        <v>-355.02750000000003</v>
      </c>
      <c r="H9061" s="3">
        <f t="shared" si="1073"/>
        <v>355.02750000000003</v>
      </c>
      <c r="I9061" s="5" t="str">
        <f t="shared" si="1074"/>
        <v>016</v>
      </c>
      <c r="J9061" s="5" t="str">
        <f t="shared" si="1075"/>
        <v>2220</v>
      </c>
      <c r="K9061" s="5" t="str">
        <f t="shared" si="1076"/>
        <v>000</v>
      </c>
      <c r="L9061" s="5">
        <f t="shared" si="1077"/>
        <v>10</v>
      </c>
      <c r="M9061" s="5">
        <f t="shared" si="1078"/>
        <v>2013</v>
      </c>
    </row>
    <row r="9062" spans="1:13" ht="15" x14ac:dyDescent="0.25">
      <c r="A9062" s="1">
        <f>DATE(2013,10,25)</f>
        <v>41572</v>
      </c>
      <c r="B9062" t="s">
        <v>14</v>
      </c>
      <c r="C9062" t="s">
        <v>10</v>
      </c>
      <c r="D9062" s="3">
        <v>143.18189999999998</v>
      </c>
      <c r="E9062" s="3">
        <v>0</v>
      </c>
      <c r="F9062" t="s">
        <v>45</v>
      </c>
      <c r="G9062" s="3">
        <f t="shared" si="1072"/>
        <v>-143.18189999999998</v>
      </c>
      <c r="H9062" s="3">
        <f t="shared" si="1073"/>
        <v>143.18189999999998</v>
      </c>
      <c r="I9062" s="5" t="str">
        <f t="shared" si="1074"/>
        <v>016</v>
      </c>
      <c r="J9062" s="5" t="str">
        <f t="shared" si="1075"/>
        <v>2230</v>
      </c>
      <c r="K9062" s="5" t="str">
        <f t="shared" si="1076"/>
        <v>000</v>
      </c>
      <c r="L9062" s="5">
        <f t="shared" si="1077"/>
        <v>10</v>
      </c>
      <c r="M9062" s="5">
        <f t="shared" si="1078"/>
        <v>2013</v>
      </c>
    </row>
    <row r="9063" spans="1:13" ht="15" x14ac:dyDescent="0.25">
      <c r="A9063" s="1">
        <f>DATE(2013,10,26)</f>
        <v>41573</v>
      </c>
      <c r="B9063" t="s">
        <v>11</v>
      </c>
      <c r="C9063" t="s">
        <v>6</v>
      </c>
      <c r="D9063" s="3">
        <v>5543.3785000000007</v>
      </c>
      <c r="E9063" s="3">
        <v>0</v>
      </c>
      <c r="F9063" t="s">
        <v>45</v>
      </c>
      <c r="G9063" s="3">
        <f t="shared" si="1072"/>
        <v>-5543.3785000000007</v>
      </c>
      <c r="H9063" s="3">
        <f t="shared" si="1073"/>
        <v>5543.3785000000007</v>
      </c>
      <c r="I9063" s="5" t="str">
        <f t="shared" si="1074"/>
        <v>016</v>
      </c>
      <c r="J9063" s="5" t="str">
        <f t="shared" si="1075"/>
        <v>2100</v>
      </c>
      <c r="K9063" s="5" t="str">
        <f t="shared" si="1076"/>
        <v>000</v>
      </c>
      <c r="L9063" s="5">
        <f t="shared" si="1077"/>
        <v>10</v>
      </c>
      <c r="M9063" s="5">
        <f t="shared" si="1078"/>
        <v>2013</v>
      </c>
    </row>
    <row r="9064" spans="1:13" ht="15" x14ac:dyDescent="0.25">
      <c r="A9064" s="1">
        <f>DATE(2013,10,26)</f>
        <v>41573</v>
      </c>
      <c r="B9064" t="s">
        <v>12</v>
      </c>
      <c r="C9064" t="s">
        <v>8</v>
      </c>
      <c r="D9064" s="3">
        <v>2180.268</v>
      </c>
      <c r="E9064" s="3">
        <v>0</v>
      </c>
      <c r="F9064" t="s">
        <v>45</v>
      </c>
      <c r="G9064" s="3">
        <f t="shared" si="1072"/>
        <v>-2180.268</v>
      </c>
      <c r="H9064" s="3">
        <f t="shared" si="1073"/>
        <v>2180.268</v>
      </c>
      <c r="I9064" s="5" t="str">
        <f t="shared" si="1074"/>
        <v>016</v>
      </c>
      <c r="J9064" s="5" t="str">
        <f t="shared" si="1075"/>
        <v>2210</v>
      </c>
      <c r="K9064" s="5" t="str">
        <f t="shared" si="1076"/>
        <v>000</v>
      </c>
      <c r="L9064" s="5">
        <f t="shared" si="1077"/>
        <v>10</v>
      </c>
      <c r="M9064" s="5">
        <f t="shared" si="1078"/>
        <v>2013</v>
      </c>
    </row>
    <row r="9065" spans="1:13" ht="15" x14ac:dyDescent="0.25">
      <c r="A9065" s="1">
        <f>DATE(2013,10,26)</f>
        <v>41573</v>
      </c>
      <c r="B9065" t="s">
        <v>13</v>
      </c>
      <c r="C9065" t="s">
        <v>9</v>
      </c>
      <c r="D9065" s="3">
        <v>318.67920000000004</v>
      </c>
      <c r="E9065" s="3">
        <v>0</v>
      </c>
      <c r="F9065" t="s">
        <v>45</v>
      </c>
      <c r="G9065" s="3">
        <f t="shared" si="1072"/>
        <v>-318.67920000000004</v>
      </c>
      <c r="H9065" s="3">
        <f t="shared" si="1073"/>
        <v>318.67920000000004</v>
      </c>
      <c r="I9065" s="5" t="str">
        <f t="shared" si="1074"/>
        <v>016</v>
      </c>
      <c r="J9065" s="5" t="str">
        <f t="shared" si="1075"/>
        <v>2220</v>
      </c>
      <c r="K9065" s="5" t="str">
        <f t="shared" si="1076"/>
        <v>000</v>
      </c>
      <c r="L9065" s="5">
        <f t="shared" si="1077"/>
        <v>10</v>
      </c>
      <c r="M9065" s="5">
        <f t="shared" si="1078"/>
        <v>2013</v>
      </c>
    </row>
    <row r="9066" spans="1:13" ht="15" x14ac:dyDescent="0.25">
      <c r="A9066" s="1">
        <f>DATE(2013,10,26)</f>
        <v>41573</v>
      </c>
      <c r="B9066" t="s">
        <v>14</v>
      </c>
      <c r="C9066" t="s">
        <v>10</v>
      </c>
      <c r="D9066" s="3">
        <v>219.40559999999999</v>
      </c>
      <c r="E9066" s="3">
        <v>0</v>
      </c>
      <c r="F9066" t="s">
        <v>45</v>
      </c>
      <c r="G9066" s="3">
        <f t="shared" si="1072"/>
        <v>-219.40559999999999</v>
      </c>
      <c r="H9066" s="3">
        <f t="shared" si="1073"/>
        <v>219.40559999999999</v>
      </c>
      <c r="I9066" s="5" t="str">
        <f t="shared" si="1074"/>
        <v>016</v>
      </c>
      <c r="J9066" s="5" t="str">
        <f t="shared" si="1075"/>
        <v>2230</v>
      </c>
      <c r="K9066" s="5" t="str">
        <f t="shared" si="1076"/>
        <v>000</v>
      </c>
      <c r="L9066" s="5">
        <f t="shared" si="1077"/>
        <v>10</v>
      </c>
      <c r="M9066" s="5">
        <f t="shared" si="1078"/>
        <v>2013</v>
      </c>
    </row>
    <row r="9067" spans="1:13" ht="15" x14ac:dyDescent="0.25">
      <c r="A9067" s="1">
        <f>DATE(2013,10,27)</f>
        <v>41574</v>
      </c>
      <c r="B9067" t="s">
        <v>11</v>
      </c>
      <c r="C9067" t="s">
        <v>6</v>
      </c>
      <c r="D9067" s="3">
        <v>3030.6329999999998</v>
      </c>
      <c r="E9067" s="3">
        <v>0</v>
      </c>
      <c r="F9067" t="s">
        <v>45</v>
      </c>
      <c r="G9067" s="3">
        <f t="shared" si="1072"/>
        <v>-3030.6329999999998</v>
      </c>
      <c r="H9067" s="3">
        <f t="shared" si="1073"/>
        <v>3030.6329999999998</v>
      </c>
      <c r="I9067" s="5" t="str">
        <f t="shared" si="1074"/>
        <v>016</v>
      </c>
      <c r="J9067" s="5" t="str">
        <f t="shared" si="1075"/>
        <v>2100</v>
      </c>
      <c r="K9067" s="5" t="str">
        <f t="shared" si="1076"/>
        <v>000</v>
      </c>
      <c r="L9067" s="5">
        <f t="shared" si="1077"/>
        <v>10</v>
      </c>
      <c r="M9067" s="5">
        <f t="shared" si="1078"/>
        <v>2013</v>
      </c>
    </row>
    <row r="9068" spans="1:13" ht="15" x14ac:dyDescent="0.25">
      <c r="A9068" s="1">
        <f>DATE(2013,10,27)</f>
        <v>41574</v>
      </c>
      <c r="B9068" t="s">
        <v>12</v>
      </c>
      <c r="C9068" t="s">
        <v>8</v>
      </c>
      <c r="D9068" s="3">
        <v>404.98779999999994</v>
      </c>
      <c r="E9068" s="3">
        <v>0</v>
      </c>
      <c r="F9068" t="s">
        <v>45</v>
      </c>
      <c r="G9068" s="3">
        <f t="shared" si="1072"/>
        <v>-404.98779999999994</v>
      </c>
      <c r="H9068" s="3">
        <f t="shared" si="1073"/>
        <v>404.98779999999994</v>
      </c>
      <c r="I9068" s="5" t="str">
        <f t="shared" si="1074"/>
        <v>016</v>
      </c>
      <c r="J9068" s="5" t="str">
        <f t="shared" si="1075"/>
        <v>2210</v>
      </c>
      <c r="K9068" s="5" t="str">
        <f t="shared" si="1076"/>
        <v>000</v>
      </c>
      <c r="L9068" s="5">
        <f t="shared" si="1077"/>
        <v>10</v>
      </c>
      <c r="M9068" s="5">
        <f t="shared" si="1078"/>
        <v>2013</v>
      </c>
    </row>
    <row r="9069" spans="1:13" ht="15" x14ac:dyDescent="0.25">
      <c r="A9069" s="1">
        <f>DATE(2013,10,27)</f>
        <v>41574</v>
      </c>
      <c r="B9069" t="s">
        <v>13</v>
      </c>
      <c r="C9069" t="s">
        <v>9</v>
      </c>
      <c r="D9069" s="3">
        <v>164.55600000000001</v>
      </c>
      <c r="E9069" s="3">
        <v>0</v>
      </c>
      <c r="F9069" t="s">
        <v>45</v>
      </c>
      <c r="G9069" s="3">
        <f t="shared" si="1072"/>
        <v>-164.55600000000001</v>
      </c>
      <c r="H9069" s="3">
        <f t="shared" si="1073"/>
        <v>164.55600000000001</v>
      </c>
      <c r="I9069" s="5" t="str">
        <f t="shared" si="1074"/>
        <v>016</v>
      </c>
      <c r="J9069" s="5" t="str">
        <f t="shared" si="1075"/>
        <v>2220</v>
      </c>
      <c r="K9069" s="5" t="str">
        <f t="shared" si="1076"/>
        <v>000</v>
      </c>
      <c r="L9069" s="5">
        <f t="shared" si="1077"/>
        <v>10</v>
      </c>
      <c r="M9069" s="5">
        <f t="shared" si="1078"/>
        <v>2013</v>
      </c>
    </row>
    <row r="9070" spans="1:13" ht="15" x14ac:dyDescent="0.25">
      <c r="A9070" s="1">
        <f>DATE(2013,10,27)</f>
        <v>41574</v>
      </c>
      <c r="B9070" t="s">
        <v>14</v>
      </c>
      <c r="C9070" t="s">
        <v>10</v>
      </c>
      <c r="D9070" s="3">
        <v>43.140799999999999</v>
      </c>
      <c r="E9070" s="3">
        <v>0</v>
      </c>
      <c r="F9070" t="s">
        <v>45</v>
      </c>
      <c r="G9070" s="3">
        <f t="shared" si="1072"/>
        <v>-43.140799999999999</v>
      </c>
      <c r="H9070" s="3">
        <f t="shared" si="1073"/>
        <v>43.140799999999999</v>
      </c>
      <c r="I9070" s="5" t="str">
        <f t="shared" si="1074"/>
        <v>016</v>
      </c>
      <c r="J9070" s="5" t="str">
        <f t="shared" si="1075"/>
        <v>2230</v>
      </c>
      <c r="K9070" s="5" t="str">
        <f t="shared" si="1076"/>
        <v>000</v>
      </c>
      <c r="L9070" s="5">
        <f t="shared" si="1077"/>
        <v>10</v>
      </c>
      <c r="M9070" s="5">
        <f t="shared" si="1078"/>
        <v>2013</v>
      </c>
    </row>
    <row r="9071" spans="1:13" ht="15" x14ac:dyDescent="0.25">
      <c r="A9071" s="1">
        <f>DATE(2013,10,21)</f>
        <v>41568</v>
      </c>
      <c r="B9071" t="s">
        <v>15</v>
      </c>
      <c r="C9071" t="s">
        <v>6</v>
      </c>
      <c r="D9071" s="3">
        <v>4732.2467999999999</v>
      </c>
      <c r="E9071" s="3">
        <v>0</v>
      </c>
      <c r="F9071" t="s">
        <v>45</v>
      </c>
      <c r="G9071" s="3">
        <f t="shared" si="1072"/>
        <v>-4732.2467999999999</v>
      </c>
      <c r="H9071" s="3">
        <f t="shared" si="1073"/>
        <v>4732.2467999999999</v>
      </c>
      <c r="I9071" s="5" t="str">
        <f t="shared" si="1074"/>
        <v>017</v>
      </c>
      <c r="J9071" s="5" t="str">
        <f t="shared" si="1075"/>
        <v>2100</v>
      </c>
      <c r="K9071" s="5" t="str">
        <f t="shared" si="1076"/>
        <v>000</v>
      </c>
      <c r="L9071" s="5">
        <f t="shared" si="1077"/>
        <v>10</v>
      </c>
      <c r="M9071" s="5">
        <f t="shared" si="1078"/>
        <v>2013</v>
      </c>
    </row>
    <row r="9072" spans="1:13" ht="15" x14ac:dyDescent="0.25">
      <c r="A9072" s="1">
        <f>DATE(2013,10,21)</f>
        <v>41568</v>
      </c>
      <c r="B9072" t="s">
        <v>16</v>
      </c>
      <c r="C9072" t="s">
        <v>8</v>
      </c>
      <c r="D9072" s="3">
        <v>787.73910000000001</v>
      </c>
      <c r="E9072" s="3">
        <v>0</v>
      </c>
      <c r="F9072" t="s">
        <v>45</v>
      </c>
      <c r="G9072" s="3">
        <f t="shared" si="1072"/>
        <v>-787.73910000000001</v>
      </c>
      <c r="H9072" s="3">
        <f t="shared" si="1073"/>
        <v>787.73910000000001</v>
      </c>
      <c r="I9072" s="5" t="str">
        <f t="shared" si="1074"/>
        <v>017</v>
      </c>
      <c r="J9072" s="5" t="str">
        <f t="shared" si="1075"/>
        <v>2210</v>
      </c>
      <c r="K9072" s="5" t="str">
        <f t="shared" si="1076"/>
        <v>000</v>
      </c>
      <c r="L9072" s="5">
        <f t="shared" si="1077"/>
        <v>10</v>
      </c>
      <c r="M9072" s="5">
        <f t="shared" si="1078"/>
        <v>2013</v>
      </c>
    </row>
    <row r="9073" spans="1:13" ht="15" x14ac:dyDescent="0.25">
      <c r="A9073" s="1">
        <f>DATE(2013,10,21)</f>
        <v>41568</v>
      </c>
      <c r="B9073" t="s">
        <v>17</v>
      </c>
      <c r="C9073" t="s">
        <v>9</v>
      </c>
      <c r="D9073" s="3">
        <v>170.9829</v>
      </c>
      <c r="E9073" s="3">
        <v>0</v>
      </c>
      <c r="F9073" t="s">
        <v>45</v>
      </c>
      <c r="G9073" s="3">
        <f t="shared" si="1072"/>
        <v>-170.9829</v>
      </c>
      <c r="H9073" s="3">
        <f t="shared" si="1073"/>
        <v>170.9829</v>
      </c>
      <c r="I9073" s="5" t="str">
        <f t="shared" si="1074"/>
        <v>017</v>
      </c>
      <c r="J9073" s="5" t="str">
        <f t="shared" si="1075"/>
        <v>2220</v>
      </c>
      <c r="K9073" s="5" t="str">
        <f t="shared" si="1076"/>
        <v>000</v>
      </c>
      <c r="L9073" s="5">
        <f t="shared" si="1077"/>
        <v>10</v>
      </c>
      <c r="M9073" s="5">
        <f t="shared" si="1078"/>
        <v>2013</v>
      </c>
    </row>
    <row r="9074" spans="1:13" ht="15" x14ac:dyDescent="0.25">
      <c r="A9074" s="1">
        <f>DATE(2013,10,21)</f>
        <v>41568</v>
      </c>
      <c r="B9074" t="s">
        <v>18</v>
      </c>
      <c r="C9074" t="s">
        <v>10</v>
      </c>
      <c r="D9074" s="3">
        <v>150.97069999999999</v>
      </c>
      <c r="E9074" s="3">
        <v>0</v>
      </c>
      <c r="F9074" t="s">
        <v>45</v>
      </c>
      <c r="G9074" s="3">
        <f t="shared" si="1072"/>
        <v>-150.97069999999999</v>
      </c>
      <c r="H9074" s="3">
        <f t="shared" si="1073"/>
        <v>150.97069999999999</v>
      </c>
      <c r="I9074" s="5" t="str">
        <f t="shared" si="1074"/>
        <v>017</v>
      </c>
      <c r="J9074" s="5" t="str">
        <f t="shared" si="1075"/>
        <v>2230</v>
      </c>
      <c r="K9074" s="5" t="str">
        <f t="shared" si="1076"/>
        <v>000</v>
      </c>
      <c r="L9074" s="5">
        <f t="shared" si="1077"/>
        <v>10</v>
      </c>
      <c r="M9074" s="5">
        <f t="shared" si="1078"/>
        <v>2013</v>
      </c>
    </row>
    <row r="9075" spans="1:13" ht="15" x14ac:dyDescent="0.25">
      <c r="A9075" s="1">
        <f>DATE(2013,10,22)</f>
        <v>41569</v>
      </c>
      <c r="B9075" t="s">
        <v>15</v>
      </c>
      <c r="C9075" t="s">
        <v>6</v>
      </c>
      <c r="D9075" s="3">
        <v>6401.4140000000007</v>
      </c>
      <c r="E9075" s="3">
        <v>0</v>
      </c>
      <c r="F9075" t="s">
        <v>45</v>
      </c>
      <c r="G9075" s="3">
        <f t="shared" si="1072"/>
        <v>-6401.4140000000007</v>
      </c>
      <c r="H9075" s="3">
        <f t="shared" si="1073"/>
        <v>6401.4140000000007</v>
      </c>
      <c r="I9075" s="5" t="str">
        <f t="shared" si="1074"/>
        <v>017</v>
      </c>
      <c r="J9075" s="5" t="str">
        <f t="shared" si="1075"/>
        <v>2100</v>
      </c>
      <c r="K9075" s="5" t="str">
        <f t="shared" si="1076"/>
        <v>000</v>
      </c>
      <c r="L9075" s="5">
        <f t="shared" si="1077"/>
        <v>10</v>
      </c>
      <c r="M9075" s="5">
        <f t="shared" si="1078"/>
        <v>2013</v>
      </c>
    </row>
    <row r="9076" spans="1:13" ht="15" x14ac:dyDescent="0.25">
      <c r="A9076" s="1">
        <f>DATE(2013,10,22)</f>
        <v>41569</v>
      </c>
      <c r="B9076" t="s">
        <v>16</v>
      </c>
      <c r="C9076" t="s">
        <v>8</v>
      </c>
      <c r="D9076" s="3">
        <v>1952.2595000000001</v>
      </c>
      <c r="E9076" s="3">
        <v>0</v>
      </c>
      <c r="F9076" t="s">
        <v>45</v>
      </c>
      <c r="G9076" s="3">
        <f t="shared" si="1072"/>
        <v>-1952.2595000000001</v>
      </c>
      <c r="H9076" s="3">
        <f t="shared" si="1073"/>
        <v>1952.2595000000001</v>
      </c>
      <c r="I9076" s="5" t="str">
        <f t="shared" si="1074"/>
        <v>017</v>
      </c>
      <c r="J9076" s="5" t="str">
        <f t="shared" si="1075"/>
        <v>2210</v>
      </c>
      <c r="K9076" s="5" t="str">
        <f t="shared" si="1076"/>
        <v>000</v>
      </c>
      <c r="L9076" s="5">
        <f t="shared" si="1077"/>
        <v>10</v>
      </c>
      <c r="M9076" s="5">
        <f t="shared" si="1078"/>
        <v>2013</v>
      </c>
    </row>
    <row r="9077" spans="1:13" ht="15" x14ac:dyDescent="0.25">
      <c r="A9077" s="1">
        <f>DATE(2013,10,22)</f>
        <v>41569</v>
      </c>
      <c r="B9077" t="s">
        <v>17</v>
      </c>
      <c r="C9077" t="s">
        <v>9</v>
      </c>
      <c r="D9077" s="3">
        <v>551.16800000000001</v>
      </c>
      <c r="E9077" s="3">
        <v>0</v>
      </c>
      <c r="F9077" t="s">
        <v>45</v>
      </c>
      <c r="G9077" s="3">
        <f t="shared" si="1072"/>
        <v>-551.16800000000001</v>
      </c>
      <c r="H9077" s="3">
        <f t="shared" si="1073"/>
        <v>551.16800000000001</v>
      </c>
      <c r="I9077" s="5" t="str">
        <f t="shared" si="1074"/>
        <v>017</v>
      </c>
      <c r="J9077" s="5" t="str">
        <f t="shared" si="1075"/>
        <v>2220</v>
      </c>
      <c r="K9077" s="5" t="str">
        <f t="shared" si="1076"/>
        <v>000</v>
      </c>
      <c r="L9077" s="5">
        <f t="shared" si="1077"/>
        <v>10</v>
      </c>
      <c r="M9077" s="5">
        <f t="shared" si="1078"/>
        <v>2013</v>
      </c>
    </row>
    <row r="9078" spans="1:13" ht="15" x14ac:dyDescent="0.25">
      <c r="A9078" s="1">
        <f>DATE(2013,10,22)</f>
        <v>41569</v>
      </c>
      <c r="B9078" t="s">
        <v>18</v>
      </c>
      <c r="C9078" t="s">
        <v>10</v>
      </c>
      <c r="D9078" s="3">
        <v>318.80400000000003</v>
      </c>
      <c r="E9078" s="3">
        <v>0</v>
      </c>
      <c r="F9078" t="s">
        <v>45</v>
      </c>
      <c r="G9078" s="3">
        <f t="shared" si="1072"/>
        <v>-318.80400000000003</v>
      </c>
      <c r="H9078" s="3">
        <f t="shared" si="1073"/>
        <v>318.80400000000003</v>
      </c>
      <c r="I9078" s="5" t="str">
        <f t="shared" si="1074"/>
        <v>017</v>
      </c>
      <c r="J9078" s="5" t="str">
        <f t="shared" si="1075"/>
        <v>2230</v>
      </c>
      <c r="K9078" s="5" t="str">
        <f t="shared" si="1076"/>
        <v>000</v>
      </c>
      <c r="L9078" s="5">
        <f t="shared" si="1077"/>
        <v>10</v>
      </c>
      <c r="M9078" s="5">
        <f t="shared" si="1078"/>
        <v>2013</v>
      </c>
    </row>
    <row r="9079" spans="1:13" ht="15" x14ac:dyDescent="0.25">
      <c r="A9079" s="1">
        <f>DATE(2013,10,23)</f>
        <v>41570</v>
      </c>
      <c r="B9079" t="s">
        <v>15</v>
      </c>
      <c r="C9079" t="s">
        <v>6</v>
      </c>
      <c r="D9079" s="3">
        <v>4315.3425999999999</v>
      </c>
      <c r="E9079" s="3">
        <v>0</v>
      </c>
      <c r="F9079" t="s">
        <v>45</v>
      </c>
      <c r="G9079" s="3">
        <f t="shared" si="1072"/>
        <v>-4315.3425999999999</v>
      </c>
      <c r="H9079" s="3">
        <f t="shared" si="1073"/>
        <v>4315.3425999999999</v>
      </c>
      <c r="I9079" s="5" t="str">
        <f t="shared" si="1074"/>
        <v>017</v>
      </c>
      <c r="J9079" s="5" t="str">
        <f t="shared" si="1075"/>
        <v>2100</v>
      </c>
      <c r="K9079" s="5" t="str">
        <f t="shared" si="1076"/>
        <v>000</v>
      </c>
      <c r="L9079" s="5">
        <f t="shared" si="1077"/>
        <v>10</v>
      </c>
      <c r="M9079" s="5">
        <f t="shared" si="1078"/>
        <v>2013</v>
      </c>
    </row>
    <row r="9080" spans="1:13" ht="15" x14ac:dyDescent="0.25">
      <c r="A9080" s="1">
        <f>DATE(2013,10,23)</f>
        <v>41570</v>
      </c>
      <c r="B9080" t="s">
        <v>16</v>
      </c>
      <c r="C9080" t="s">
        <v>8</v>
      </c>
      <c r="D9080" s="3">
        <v>1323.2299</v>
      </c>
      <c r="E9080" s="3">
        <v>0</v>
      </c>
      <c r="F9080" t="s">
        <v>45</v>
      </c>
      <c r="G9080" s="3">
        <f t="shared" si="1072"/>
        <v>-1323.2299</v>
      </c>
      <c r="H9080" s="3">
        <f t="shared" si="1073"/>
        <v>1323.2299</v>
      </c>
      <c r="I9080" s="5" t="str">
        <f t="shared" si="1074"/>
        <v>017</v>
      </c>
      <c r="J9080" s="5" t="str">
        <f t="shared" si="1075"/>
        <v>2210</v>
      </c>
      <c r="K9080" s="5" t="str">
        <f t="shared" si="1076"/>
        <v>000</v>
      </c>
      <c r="L9080" s="5">
        <f t="shared" si="1077"/>
        <v>10</v>
      </c>
      <c r="M9080" s="5">
        <f t="shared" si="1078"/>
        <v>2013</v>
      </c>
    </row>
    <row r="9081" spans="1:13" ht="15" x14ac:dyDescent="0.25">
      <c r="A9081" s="1">
        <f>DATE(2013,10,23)</f>
        <v>41570</v>
      </c>
      <c r="B9081" t="s">
        <v>17</v>
      </c>
      <c r="C9081" t="s">
        <v>9</v>
      </c>
      <c r="D9081" s="3">
        <v>378.88560000000001</v>
      </c>
      <c r="E9081" s="3">
        <v>0</v>
      </c>
      <c r="F9081" t="s">
        <v>45</v>
      </c>
      <c r="G9081" s="3">
        <f t="shared" si="1072"/>
        <v>-378.88560000000001</v>
      </c>
      <c r="H9081" s="3">
        <f t="shared" si="1073"/>
        <v>378.88560000000001</v>
      </c>
      <c r="I9081" s="5" t="str">
        <f t="shared" si="1074"/>
        <v>017</v>
      </c>
      <c r="J9081" s="5" t="str">
        <f t="shared" si="1075"/>
        <v>2220</v>
      </c>
      <c r="K9081" s="5" t="str">
        <f t="shared" si="1076"/>
        <v>000</v>
      </c>
      <c r="L9081" s="5">
        <f t="shared" si="1077"/>
        <v>10</v>
      </c>
      <c r="M9081" s="5">
        <f t="shared" si="1078"/>
        <v>2013</v>
      </c>
    </row>
    <row r="9082" spans="1:13" ht="15" x14ac:dyDescent="0.25">
      <c r="A9082" s="1">
        <f>DATE(2013,10,23)</f>
        <v>41570</v>
      </c>
      <c r="B9082" t="s">
        <v>18</v>
      </c>
      <c r="C9082" t="s">
        <v>10</v>
      </c>
      <c r="D9082" s="3">
        <v>116.7114</v>
      </c>
      <c r="E9082" s="3">
        <v>0</v>
      </c>
      <c r="F9082" t="s">
        <v>45</v>
      </c>
      <c r="G9082" s="3">
        <f t="shared" si="1072"/>
        <v>-116.7114</v>
      </c>
      <c r="H9082" s="3">
        <f t="shared" si="1073"/>
        <v>116.7114</v>
      </c>
      <c r="I9082" s="5" t="str">
        <f t="shared" si="1074"/>
        <v>017</v>
      </c>
      <c r="J9082" s="5" t="str">
        <f t="shared" si="1075"/>
        <v>2230</v>
      </c>
      <c r="K9082" s="5" t="str">
        <f t="shared" si="1076"/>
        <v>000</v>
      </c>
      <c r="L9082" s="5">
        <f t="shared" si="1077"/>
        <v>10</v>
      </c>
      <c r="M9082" s="5">
        <f t="shared" si="1078"/>
        <v>2013</v>
      </c>
    </row>
    <row r="9083" spans="1:13" ht="15" x14ac:dyDescent="0.25">
      <c r="A9083" s="1">
        <f>DATE(2013,10,24)</f>
        <v>41571</v>
      </c>
      <c r="B9083" t="s">
        <v>15</v>
      </c>
      <c r="C9083" t="s">
        <v>6</v>
      </c>
      <c r="D9083" s="3">
        <v>5245.255799999999</v>
      </c>
      <c r="E9083" s="3">
        <v>0</v>
      </c>
      <c r="F9083" t="s">
        <v>45</v>
      </c>
      <c r="G9083" s="3">
        <f t="shared" si="1072"/>
        <v>-5245.255799999999</v>
      </c>
      <c r="H9083" s="3">
        <f t="shared" si="1073"/>
        <v>5245.255799999999</v>
      </c>
      <c r="I9083" s="5" t="str">
        <f t="shared" si="1074"/>
        <v>017</v>
      </c>
      <c r="J9083" s="5" t="str">
        <f t="shared" si="1075"/>
        <v>2100</v>
      </c>
      <c r="K9083" s="5" t="str">
        <f t="shared" si="1076"/>
        <v>000</v>
      </c>
      <c r="L9083" s="5">
        <f t="shared" si="1077"/>
        <v>10</v>
      </c>
      <c r="M9083" s="5">
        <f t="shared" si="1078"/>
        <v>2013</v>
      </c>
    </row>
    <row r="9084" spans="1:13" ht="15" x14ac:dyDescent="0.25">
      <c r="A9084" s="1">
        <f>DATE(2013,10,24)</f>
        <v>41571</v>
      </c>
      <c r="B9084" t="s">
        <v>16</v>
      </c>
      <c r="C9084" t="s">
        <v>8</v>
      </c>
      <c r="D9084" s="3">
        <v>2009.7525000000001</v>
      </c>
      <c r="E9084" s="3">
        <v>0</v>
      </c>
      <c r="F9084" t="s">
        <v>45</v>
      </c>
      <c r="G9084" s="3">
        <f t="shared" si="1072"/>
        <v>-2009.7525000000001</v>
      </c>
      <c r="H9084" s="3">
        <f t="shared" si="1073"/>
        <v>2009.7525000000001</v>
      </c>
      <c r="I9084" s="5" t="str">
        <f t="shared" si="1074"/>
        <v>017</v>
      </c>
      <c r="J9084" s="5" t="str">
        <f t="shared" si="1075"/>
        <v>2210</v>
      </c>
      <c r="K9084" s="5" t="str">
        <f t="shared" si="1076"/>
        <v>000</v>
      </c>
      <c r="L9084" s="5">
        <f t="shared" si="1077"/>
        <v>10</v>
      </c>
      <c r="M9084" s="5">
        <f t="shared" si="1078"/>
        <v>2013</v>
      </c>
    </row>
    <row r="9085" spans="1:13" ht="15" x14ac:dyDescent="0.25">
      <c r="A9085" s="1">
        <f>DATE(2013,10,24)</f>
        <v>41571</v>
      </c>
      <c r="B9085" t="s">
        <v>17</v>
      </c>
      <c r="C9085" t="s">
        <v>9</v>
      </c>
      <c r="D9085" s="3">
        <v>511.73849999999993</v>
      </c>
      <c r="E9085" s="3">
        <v>0</v>
      </c>
      <c r="F9085" t="s">
        <v>45</v>
      </c>
      <c r="G9085" s="3">
        <f t="shared" si="1072"/>
        <v>-511.73849999999993</v>
      </c>
      <c r="H9085" s="3">
        <f t="shared" si="1073"/>
        <v>511.73849999999993</v>
      </c>
      <c r="I9085" s="5" t="str">
        <f t="shared" si="1074"/>
        <v>017</v>
      </c>
      <c r="J9085" s="5" t="str">
        <f t="shared" si="1075"/>
        <v>2220</v>
      </c>
      <c r="K9085" s="5" t="str">
        <f t="shared" si="1076"/>
        <v>000</v>
      </c>
      <c r="L9085" s="5">
        <f t="shared" si="1077"/>
        <v>10</v>
      </c>
      <c r="M9085" s="5">
        <f t="shared" si="1078"/>
        <v>2013</v>
      </c>
    </row>
    <row r="9086" spans="1:13" ht="15" x14ac:dyDescent="0.25">
      <c r="A9086" s="1">
        <f>DATE(2013,10,24)</f>
        <v>41571</v>
      </c>
      <c r="B9086" t="s">
        <v>18</v>
      </c>
      <c r="C9086" t="s">
        <v>10</v>
      </c>
      <c r="D9086" s="3">
        <v>121.35600000000001</v>
      </c>
      <c r="E9086" s="3">
        <v>0</v>
      </c>
      <c r="F9086" t="s">
        <v>45</v>
      </c>
      <c r="G9086" s="3">
        <f t="shared" si="1072"/>
        <v>-121.35600000000001</v>
      </c>
      <c r="H9086" s="3">
        <f t="shared" si="1073"/>
        <v>121.35600000000001</v>
      </c>
      <c r="I9086" s="5" t="str">
        <f t="shared" si="1074"/>
        <v>017</v>
      </c>
      <c r="J9086" s="5" t="str">
        <f t="shared" si="1075"/>
        <v>2230</v>
      </c>
      <c r="K9086" s="5" t="str">
        <f t="shared" si="1076"/>
        <v>000</v>
      </c>
      <c r="L9086" s="5">
        <f t="shared" si="1077"/>
        <v>10</v>
      </c>
      <c r="M9086" s="5">
        <f t="shared" si="1078"/>
        <v>2013</v>
      </c>
    </row>
    <row r="9087" spans="1:13" ht="15" x14ac:dyDescent="0.25">
      <c r="A9087" s="1">
        <f>DATE(2013,10,25)</f>
        <v>41572</v>
      </c>
      <c r="B9087" t="s">
        <v>15</v>
      </c>
      <c r="C9087" t="s">
        <v>6</v>
      </c>
      <c r="D9087" s="3">
        <v>4957.5963999999994</v>
      </c>
      <c r="E9087" s="3">
        <v>0</v>
      </c>
      <c r="F9087" t="s">
        <v>45</v>
      </c>
      <c r="G9087" s="3">
        <f t="shared" si="1072"/>
        <v>-4957.5963999999994</v>
      </c>
      <c r="H9087" s="3">
        <f t="shared" si="1073"/>
        <v>4957.5963999999994</v>
      </c>
      <c r="I9087" s="5" t="str">
        <f t="shared" si="1074"/>
        <v>017</v>
      </c>
      <c r="J9087" s="5" t="str">
        <f t="shared" si="1075"/>
        <v>2100</v>
      </c>
      <c r="K9087" s="5" t="str">
        <f t="shared" si="1076"/>
        <v>000</v>
      </c>
      <c r="L9087" s="5">
        <f t="shared" si="1077"/>
        <v>10</v>
      </c>
      <c r="M9087" s="5">
        <f t="shared" si="1078"/>
        <v>2013</v>
      </c>
    </row>
    <row r="9088" spans="1:13" ht="15" x14ac:dyDescent="0.25">
      <c r="A9088" s="1">
        <f>DATE(2013,10,25)</f>
        <v>41572</v>
      </c>
      <c r="B9088" t="s">
        <v>16</v>
      </c>
      <c r="C9088" t="s">
        <v>8</v>
      </c>
      <c r="D9088" s="3">
        <v>1940.9273000000001</v>
      </c>
      <c r="E9088" s="3">
        <v>0</v>
      </c>
      <c r="F9088" t="s">
        <v>45</v>
      </c>
      <c r="G9088" s="3">
        <f t="shared" si="1072"/>
        <v>-1940.9273000000001</v>
      </c>
      <c r="H9088" s="3">
        <f t="shared" si="1073"/>
        <v>1940.9273000000001</v>
      </c>
      <c r="I9088" s="5" t="str">
        <f t="shared" si="1074"/>
        <v>017</v>
      </c>
      <c r="J9088" s="5" t="str">
        <f t="shared" si="1075"/>
        <v>2210</v>
      </c>
      <c r="K9088" s="5" t="str">
        <f t="shared" si="1076"/>
        <v>000</v>
      </c>
      <c r="L9088" s="5">
        <f t="shared" si="1077"/>
        <v>10</v>
      </c>
      <c r="M9088" s="5">
        <f t="shared" si="1078"/>
        <v>2013</v>
      </c>
    </row>
    <row r="9089" spans="1:13" ht="15" x14ac:dyDescent="0.25">
      <c r="A9089" s="1">
        <f>DATE(2013,10,25)</f>
        <v>41572</v>
      </c>
      <c r="B9089" t="s">
        <v>17</v>
      </c>
      <c r="C9089" t="s">
        <v>9</v>
      </c>
      <c r="D9089" s="3">
        <v>302.5385</v>
      </c>
      <c r="E9089" s="3">
        <v>0</v>
      </c>
      <c r="F9089" t="s">
        <v>45</v>
      </c>
      <c r="G9089" s="3">
        <f t="shared" si="1072"/>
        <v>-302.5385</v>
      </c>
      <c r="H9089" s="3">
        <f t="shared" si="1073"/>
        <v>302.5385</v>
      </c>
      <c r="I9089" s="5" t="str">
        <f t="shared" si="1074"/>
        <v>017</v>
      </c>
      <c r="J9089" s="5" t="str">
        <f t="shared" si="1075"/>
        <v>2220</v>
      </c>
      <c r="K9089" s="5" t="str">
        <f t="shared" si="1076"/>
        <v>000</v>
      </c>
      <c r="L9089" s="5">
        <f t="shared" si="1077"/>
        <v>10</v>
      </c>
      <c r="M9089" s="5">
        <f t="shared" si="1078"/>
        <v>2013</v>
      </c>
    </row>
    <row r="9090" spans="1:13" ht="15" x14ac:dyDescent="0.25">
      <c r="A9090" s="1">
        <f>DATE(2013,10,25)</f>
        <v>41572</v>
      </c>
      <c r="B9090" t="s">
        <v>18</v>
      </c>
      <c r="C9090" t="s">
        <v>10</v>
      </c>
      <c r="D9090" s="3">
        <v>126.91910000000001</v>
      </c>
      <c r="E9090" s="3">
        <v>0</v>
      </c>
      <c r="F9090" t="s">
        <v>45</v>
      </c>
      <c r="G9090" s="3">
        <f t="shared" ref="G9090:G9153" si="1079">E9090-D9090</f>
        <v>-126.91910000000001</v>
      </c>
      <c r="H9090" s="3">
        <f t="shared" ref="H9090:H9153" si="1080">ABS(G9090)</f>
        <v>126.91910000000001</v>
      </c>
      <c r="I9090" s="5" t="str">
        <f t="shared" ref="I9090:I9153" si="1081">MID(B9090,1,3)</f>
        <v>017</v>
      </c>
      <c r="J9090" s="5" t="str">
        <f t="shared" ref="J9090:J9153" si="1082">MID(B9090,5,4)</f>
        <v>2230</v>
      </c>
      <c r="K9090" s="5" t="str">
        <f t="shared" ref="K9090:K9153" si="1083">MID(B9090,10,3)</f>
        <v>000</v>
      </c>
      <c r="L9090" s="5">
        <f t="shared" ref="L9090:L9153" si="1084">MONTH(A9090)</f>
        <v>10</v>
      </c>
      <c r="M9090" s="5">
        <f t="shared" ref="M9090:M9153" si="1085">YEAR(A9090)</f>
        <v>2013</v>
      </c>
    </row>
    <row r="9091" spans="1:13" ht="15" x14ac:dyDescent="0.25">
      <c r="A9091" s="1">
        <f>DATE(2013,10,26)</f>
        <v>41573</v>
      </c>
      <c r="B9091" t="s">
        <v>15</v>
      </c>
      <c r="C9091" t="s">
        <v>6</v>
      </c>
      <c r="D9091" s="3">
        <v>6856.7831999999999</v>
      </c>
      <c r="E9091" s="3">
        <v>0</v>
      </c>
      <c r="F9091" t="s">
        <v>45</v>
      </c>
      <c r="G9091" s="3">
        <f t="shared" si="1079"/>
        <v>-6856.7831999999999</v>
      </c>
      <c r="H9091" s="3">
        <f t="shared" si="1080"/>
        <v>6856.7831999999999</v>
      </c>
      <c r="I9091" s="5" t="str">
        <f t="shared" si="1081"/>
        <v>017</v>
      </c>
      <c r="J9091" s="5" t="str">
        <f t="shared" si="1082"/>
        <v>2100</v>
      </c>
      <c r="K9091" s="5" t="str">
        <f t="shared" si="1083"/>
        <v>000</v>
      </c>
      <c r="L9091" s="5">
        <f t="shared" si="1084"/>
        <v>10</v>
      </c>
      <c r="M9091" s="5">
        <f t="shared" si="1085"/>
        <v>2013</v>
      </c>
    </row>
    <row r="9092" spans="1:13" ht="15" x14ac:dyDescent="0.25">
      <c r="A9092" s="1">
        <f>DATE(2013,10,26)</f>
        <v>41573</v>
      </c>
      <c r="B9092" t="s">
        <v>16</v>
      </c>
      <c r="C9092" t="s">
        <v>8</v>
      </c>
      <c r="D9092" s="3">
        <v>2044.8655999999999</v>
      </c>
      <c r="E9092" s="3">
        <v>0</v>
      </c>
      <c r="F9092" t="s">
        <v>45</v>
      </c>
      <c r="G9092" s="3">
        <f t="shared" si="1079"/>
        <v>-2044.8655999999999</v>
      </c>
      <c r="H9092" s="3">
        <f t="shared" si="1080"/>
        <v>2044.8655999999999</v>
      </c>
      <c r="I9092" s="5" t="str">
        <f t="shared" si="1081"/>
        <v>017</v>
      </c>
      <c r="J9092" s="5" t="str">
        <f t="shared" si="1082"/>
        <v>2210</v>
      </c>
      <c r="K9092" s="5" t="str">
        <f t="shared" si="1083"/>
        <v>000</v>
      </c>
      <c r="L9092" s="5">
        <f t="shared" si="1084"/>
        <v>10</v>
      </c>
      <c r="M9092" s="5">
        <f t="shared" si="1085"/>
        <v>2013</v>
      </c>
    </row>
    <row r="9093" spans="1:13" ht="15" x14ac:dyDescent="0.25">
      <c r="A9093" s="1">
        <f>DATE(2013,10,26)</f>
        <v>41573</v>
      </c>
      <c r="B9093" t="s">
        <v>17</v>
      </c>
      <c r="C9093" t="s">
        <v>9</v>
      </c>
      <c r="D9093" s="3">
        <v>417.7448</v>
      </c>
      <c r="E9093" s="3">
        <v>0</v>
      </c>
      <c r="F9093" t="s">
        <v>45</v>
      </c>
      <c r="G9093" s="3">
        <f t="shared" si="1079"/>
        <v>-417.7448</v>
      </c>
      <c r="H9093" s="3">
        <f t="shared" si="1080"/>
        <v>417.7448</v>
      </c>
      <c r="I9093" s="5" t="str">
        <f t="shared" si="1081"/>
        <v>017</v>
      </c>
      <c r="J9093" s="5" t="str">
        <f t="shared" si="1082"/>
        <v>2220</v>
      </c>
      <c r="K9093" s="5" t="str">
        <f t="shared" si="1083"/>
        <v>000</v>
      </c>
      <c r="L9093" s="5">
        <f t="shared" si="1084"/>
        <v>10</v>
      </c>
      <c r="M9093" s="5">
        <f t="shared" si="1085"/>
        <v>2013</v>
      </c>
    </row>
    <row r="9094" spans="1:13" ht="15" x14ac:dyDescent="0.25">
      <c r="A9094" s="1">
        <f>DATE(2013,10,26)</f>
        <v>41573</v>
      </c>
      <c r="B9094" t="s">
        <v>18</v>
      </c>
      <c r="C9094" t="s">
        <v>10</v>
      </c>
      <c r="D9094" s="3">
        <v>88.077200000000005</v>
      </c>
      <c r="E9094" s="3">
        <v>0</v>
      </c>
      <c r="F9094" t="s">
        <v>45</v>
      </c>
      <c r="G9094" s="3">
        <f t="shared" si="1079"/>
        <v>-88.077200000000005</v>
      </c>
      <c r="H9094" s="3">
        <f t="shared" si="1080"/>
        <v>88.077200000000005</v>
      </c>
      <c r="I9094" s="5" t="str">
        <f t="shared" si="1081"/>
        <v>017</v>
      </c>
      <c r="J9094" s="5" t="str">
        <f t="shared" si="1082"/>
        <v>2230</v>
      </c>
      <c r="K9094" s="5" t="str">
        <f t="shared" si="1083"/>
        <v>000</v>
      </c>
      <c r="L9094" s="5">
        <f t="shared" si="1084"/>
        <v>10</v>
      </c>
      <c r="M9094" s="5">
        <f t="shared" si="1085"/>
        <v>2013</v>
      </c>
    </row>
    <row r="9095" spans="1:13" ht="15" x14ac:dyDescent="0.25">
      <c r="A9095" s="1">
        <f>DATE(2013,10,27)</f>
        <v>41574</v>
      </c>
      <c r="B9095" t="s">
        <v>15</v>
      </c>
      <c r="C9095" t="s">
        <v>6</v>
      </c>
      <c r="D9095" s="3">
        <v>3732.1217999999999</v>
      </c>
      <c r="E9095" s="3">
        <v>0</v>
      </c>
      <c r="F9095" t="s">
        <v>45</v>
      </c>
      <c r="G9095" s="3">
        <f t="shared" si="1079"/>
        <v>-3732.1217999999999</v>
      </c>
      <c r="H9095" s="3">
        <f t="shared" si="1080"/>
        <v>3732.1217999999999</v>
      </c>
      <c r="I9095" s="5" t="str">
        <f t="shared" si="1081"/>
        <v>017</v>
      </c>
      <c r="J9095" s="5" t="str">
        <f t="shared" si="1082"/>
        <v>2100</v>
      </c>
      <c r="K9095" s="5" t="str">
        <f t="shared" si="1083"/>
        <v>000</v>
      </c>
      <c r="L9095" s="5">
        <f t="shared" si="1084"/>
        <v>10</v>
      </c>
      <c r="M9095" s="5">
        <f t="shared" si="1085"/>
        <v>2013</v>
      </c>
    </row>
    <row r="9096" spans="1:13" ht="15" x14ac:dyDescent="0.25">
      <c r="A9096" s="1">
        <f>DATE(2013,10,27)</f>
        <v>41574</v>
      </c>
      <c r="B9096" t="s">
        <v>16</v>
      </c>
      <c r="C9096" t="s">
        <v>8</v>
      </c>
      <c r="D9096" s="3">
        <v>829.81919999999991</v>
      </c>
      <c r="E9096" s="3">
        <v>0</v>
      </c>
      <c r="F9096" t="s">
        <v>45</v>
      </c>
      <c r="G9096" s="3">
        <f t="shared" si="1079"/>
        <v>-829.81919999999991</v>
      </c>
      <c r="H9096" s="3">
        <f t="shared" si="1080"/>
        <v>829.81919999999991</v>
      </c>
      <c r="I9096" s="5" t="str">
        <f t="shared" si="1081"/>
        <v>017</v>
      </c>
      <c r="J9096" s="5" t="str">
        <f t="shared" si="1082"/>
        <v>2210</v>
      </c>
      <c r="K9096" s="5" t="str">
        <f t="shared" si="1083"/>
        <v>000</v>
      </c>
      <c r="L9096" s="5">
        <f t="shared" si="1084"/>
        <v>10</v>
      </c>
      <c r="M9096" s="5">
        <f t="shared" si="1085"/>
        <v>2013</v>
      </c>
    </row>
    <row r="9097" spans="1:13" ht="15" x14ac:dyDescent="0.25">
      <c r="A9097" s="1">
        <f>DATE(2013,10,27)</f>
        <v>41574</v>
      </c>
      <c r="B9097" t="s">
        <v>17</v>
      </c>
      <c r="C9097" t="s">
        <v>9</v>
      </c>
      <c r="D9097" s="3">
        <v>116.55200000000001</v>
      </c>
      <c r="E9097" s="3">
        <v>0</v>
      </c>
      <c r="F9097" t="s">
        <v>45</v>
      </c>
      <c r="G9097" s="3">
        <f t="shared" si="1079"/>
        <v>-116.55200000000001</v>
      </c>
      <c r="H9097" s="3">
        <f t="shared" si="1080"/>
        <v>116.55200000000001</v>
      </c>
      <c r="I9097" s="5" t="str">
        <f t="shared" si="1081"/>
        <v>017</v>
      </c>
      <c r="J9097" s="5" t="str">
        <f t="shared" si="1082"/>
        <v>2220</v>
      </c>
      <c r="K9097" s="5" t="str">
        <f t="shared" si="1083"/>
        <v>000</v>
      </c>
      <c r="L9097" s="5">
        <f t="shared" si="1084"/>
        <v>10</v>
      </c>
      <c r="M9097" s="5">
        <f t="shared" si="1085"/>
        <v>2013</v>
      </c>
    </row>
    <row r="9098" spans="1:13" ht="15" x14ac:dyDescent="0.25">
      <c r="A9098" s="1">
        <f>DATE(2013,10,27)</f>
        <v>41574</v>
      </c>
      <c r="B9098" t="s">
        <v>18</v>
      </c>
      <c r="C9098" t="s">
        <v>10</v>
      </c>
      <c r="D9098" s="3">
        <v>97.621999999999986</v>
      </c>
      <c r="E9098" s="3">
        <v>0</v>
      </c>
      <c r="F9098" t="s">
        <v>45</v>
      </c>
      <c r="G9098" s="3">
        <f t="shared" si="1079"/>
        <v>-97.621999999999986</v>
      </c>
      <c r="H9098" s="3">
        <f t="shared" si="1080"/>
        <v>97.621999999999986</v>
      </c>
      <c r="I9098" s="5" t="str">
        <f t="shared" si="1081"/>
        <v>017</v>
      </c>
      <c r="J9098" s="5" t="str">
        <f t="shared" si="1082"/>
        <v>2230</v>
      </c>
      <c r="K9098" s="5" t="str">
        <f t="shared" si="1083"/>
        <v>000</v>
      </c>
      <c r="L9098" s="5">
        <f t="shared" si="1084"/>
        <v>10</v>
      </c>
      <c r="M9098" s="5">
        <f t="shared" si="1085"/>
        <v>2013</v>
      </c>
    </row>
    <row r="9099" spans="1:13" ht="15" x14ac:dyDescent="0.25">
      <c r="A9099" s="1">
        <f>DATE(2013,10,21)</f>
        <v>41568</v>
      </c>
      <c r="B9099" t="s">
        <v>19</v>
      </c>
      <c r="C9099" t="s">
        <v>6</v>
      </c>
      <c r="D9099" s="3">
        <v>3196.2960000000003</v>
      </c>
      <c r="E9099" s="3">
        <v>0</v>
      </c>
      <c r="F9099" t="s">
        <v>45</v>
      </c>
      <c r="G9099" s="3">
        <f t="shared" si="1079"/>
        <v>-3196.2960000000003</v>
      </c>
      <c r="H9099" s="3">
        <f t="shared" si="1080"/>
        <v>3196.2960000000003</v>
      </c>
      <c r="I9099" s="5" t="str">
        <f t="shared" si="1081"/>
        <v>018</v>
      </c>
      <c r="J9099" s="5" t="str">
        <f t="shared" si="1082"/>
        <v>2100</v>
      </c>
      <c r="K9099" s="5" t="str">
        <f t="shared" si="1083"/>
        <v>000</v>
      </c>
      <c r="L9099" s="5">
        <f t="shared" si="1084"/>
        <v>10</v>
      </c>
      <c r="M9099" s="5">
        <f t="shared" si="1085"/>
        <v>2013</v>
      </c>
    </row>
    <row r="9100" spans="1:13" ht="15" x14ac:dyDescent="0.25">
      <c r="A9100" s="1">
        <f>DATE(2013,10,21)</f>
        <v>41568</v>
      </c>
      <c r="B9100" t="s">
        <v>20</v>
      </c>
      <c r="C9100" t="s">
        <v>8</v>
      </c>
      <c r="D9100" s="3">
        <v>633.69670000000008</v>
      </c>
      <c r="E9100" s="3">
        <v>0</v>
      </c>
      <c r="F9100" t="s">
        <v>45</v>
      </c>
      <c r="G9100" s="3">
        <f t="shared" si="1079"/>
        <v>-633.69670000000008</v>
      </c>
      <c r="H9100" s="3">
        <f t="shared" si="1080"/>
        <v>633.69670000000008</v>
      </c>
      <c r="I9100" s="5" t="str">
        <f t="shared" si="1081"/>
        <v>018</v>
      </c>
      <c r="J9100" s="5" t="str">
        <f t="shared" si="1082"/>
        <v>2210</v>
      </c>
      <c r="K9100" s="5" t="str">
        <f t="shared" si="1083"/>
        <v>000</v>
      </c>
      <c r="L9100" s="5">
        <f t="shared" si="1084"/>
        <v>10</v>
      </c>
      <c r="M9100" s="5">
        <f t="shared" si="1085"/>
        <v>2013</v>
      </c>
    </row>
    <row r="9101" spans="1:13" ht="15" x14ac:dyDescent="0.25">
      <c r="A9101" s="1">
        <f>DATE(2013,10,21)</f>
        <v>41568</v>
      </c>
      <c r="B9101" t="s">
        <v>21</v>
      </c>
      <c r="C9101" t="s">
        <v>9</v>
      </c>
      <c r="D9101" s="3">
        <v>157.7415</v>
      </c>
      <c r="E9101" s="3">
        <v>0</v>
      </c>
      <c r="F9101" t="s">
        <v>45</v>
      </c>
      <c r="G9101" s="3">
        <f t="shared" si="1079"/>
        <v>-157.7415</v>
      </c>
      <c r="H9101" s="3">
        <f t="shared" si="1080"/>
        <v>157.7415</v>
      </c>
      <c r="I9101" s="5" t="str">
        <f t="shared" si="1081"/>
        <v>018</v>
      </c>
      <c r="J9101" s="5" t="str">
        <f t="shared" si="1082"/>
        <v>2220</v>
      </c>
      <c r="K9101" s="5" t="str">
        <f t="shared" si="1083"/>
        <v>000</v>
      </c>
      <c r="L9101" s="5">
        <f t="shared" si="1084"/>
        <v>10</v>
      </c>
      <c r="M9101" s="5">
        <f t="shared" si="1085"/>
        <v>2013</v>
      </c>
    </row>
    <row r="9102" spans="1:13" ht="15" x14ac:dyDescent="0.25">
      <c r="A9102" s="1">
        <f>DATE(2013,10,21)</f>
        <v>41568</v>
      </c>
      <c r="B9102" t="s">
        <v>22</v>
      </c>
      <c r="C9102" t="s">
        <v>10</v>
      </c>
      <c r="D9102" s="3">
        <v>6.9047999999999998</v>
      </c>
      <c r="E9102" s="3">
        <v>0</v>
      </c>
      <c r="F9102" t="s">
        <v>45</v>
      </c>
      <c r="G9102" s="3">
        <f t="shared" si="1079"/>
        <v>-6.9047999999999998</v>
      </c>
      <c r="H9102" s="3">
        <f t="shared" si="1080"/>
        <v>6.9047999999999998</v>
      </c>
      <c r="I9102" s="5" t="str">
        <f t="shared" si="1081"/>
        <v>018</v>
      </c>
      <c r="J9102" s="5" t="str">
        <f t="shared" si="1082"/>
        <v>2230</v>
      </c>
      <c r="K9102" s="5" t="str">
        <f t="shared" si="1083"/>
        <v>000</v>
      </c>
      <c r="L9102" s="5">
        <f t="shared" si="1084"/>
        <v>10</v>
      </c>
      <c r="M9102" s="5">
        <f t="shared" si="1085"/>
        <v>2013</v>
      </c>
    </row>
    <row r="9103" spans="1:13" ht="15" x14ac:dyDescent="0.25">
      <c r="A9103" s="1">
        <f>DATE(2013,10,22)</f>
        <v>41569</v>
      </c>
      <c r="B9103" t="s">
        <v>19</v>
      </c>
      <c r="C9103" t="s">
        <v>6</v>
      </c>
      <c r="D9103" s="3">
        <v>3962.4583000000007</v>
      </c>
      <c r="E9103" s="3">
        <v>0</v>
      </c>
      <c r="F9103" t="s">
        <v>45</v>
      </c>
      <c r="G9103" s="3">
        <f t="shared" si="1079"/>
        <v>-3962.4583000000007</v>
      </c>
      <c r="H9103" s="3">
        <f t="shared" si="1080"/>
        <v>3962.4583000000007</v>
      </c>
      <c r="I9103" s="5" t="str">
        <f t="shared" si="1081"/>
        <v>018</v>
      </c>
      <c r="J9103" s="5" t="str">
        <f t="shared" si="1082"/>
        <v>2100</v>
      </c>
      <c r="K9103" s="5" t="str">
        <f t="shared" si="1083"/>
        <v>000</v>
      </c>
      <c r="L9103" s="5">
        <f t="shared" si="1084"/>
        <v>10</v>
      </c>
      <c r="M9103" s="5">
        <f t="shared" si="1085"/>
        <v>2013</v>
      </c>
    </row>
    <row r="9104" spans="1:13" ht="15" x14ac:dyDescent="0.25">
      <c r="A9104" s="1">
        <f>DATE(2013,10,22)</f>
        <v>41569</v>
      </c>
      <c r="B9104" t="s">
        <v>20</v>
      </c>
      <c r="C9104" t="s">
        <v>8</v>
      </c>
      <c r="D9104" s="3">
        <v>971.85270000000003</v>
      </c>
      <c r="E9104" s="3">
        <v>0</v>
      </c>
      <c r="F9104" t="s">
        <v>45</v>
      </c>
      <c r="G9104" s="3">
        <f t="shared" si="1079"/>
        <v>-971.85270000000003</v>
      </c>
      <c r="H9104" s="3">
        <f t="shared" si="1080"/>
        <v>971.85270000000003</v>
      </c>
      <c r="I9104" s="5" t="str">
        <f t="shared" si="1081"/>
        <v>018</v>
      </c>
      <c r="J9104" s="5" t="str">
        <f t="shared" si="1082"/>
        <v>2210</v>
      </c>
      <c r="K9104" s="5" t="str">
        <f t="shared" si="1083"/>
        <v>000</v>
      </c>
      <c r="L9104" s="5">
        <f t="shared" si="1084"/>
        <v>10</v>
      </c>
      <c r="M9104" s="5">
        <f t="shared" si="1085"/>
        <v>2013</v>
      </c>
    </row>
    <row r="9105" spans="1:13" ht="15" x14ac:dyDescent="0.25">
      <c r="A9105" s="1">
        <f>DATE(2013,10,22)</f>
        <v>41569</v>
      </c>
      <c r="B9105" t="s">
        <v>21</v>
      </c>
      <c r="C9105" t="s">
        <v>9</v>
      </c>
      <c r="D9105" s="3">
        <v>188.39479999999998</v>
      </c>
      <c r="E9105" s="3">
        <v>0</v>
      </c>
      <c r="F9105" t="s">
        <v>45</v>
      </c>
      <c r="G9105" s="3">
        <f t="shared" si="1079"/>
        <v>-188.39479999999998</v>
      </c>
      <c r="H9105" s="3">
        <f t="shared" si="1080"/>
        <v>188.39479999999998</v>
      </c>
      <c r="I9105" s="5" t="str">
        <f t="shared" si="1081"/>
        <v>018</v>
      </c>
      <c r="J9105" s="5" t="str">
        <f t="shared" si="1082"/>
        <v>2220</v>
      </c>
      <c r="K9105" s="5" t="str">
        <f t="shared" si="1083"/>
        <v>000</v>
      </c>
      <c r="L9105" s="5">
        <f t="shared" si="1084"/>
        <v>10</v>
      </c>
      <c r="M9105" s="5">
        <f t="shared" si="1085"/>
        <v>2013</v>
      </c>
    </row>
    <row r="9106" spans="1:13" ht="15" x14ac:dyDescent="0.25">
      <c r="A9106" s="1">
        <f>DATE(2013,10,22)</f>
        <v>41569</v>
      </c>
      <c r="B9106" t="s">
        <v>22</v>
      </c>
      <c r="C9106" t="s">
        <v>10</v>
      </c>
      <c r="D9106" s="3">
        <v>46.909199999999998</v>
      </c>
      <c r="E9106" s="3">
        <v>0</v>
      </c>
      <c r="F9106" t="s">
        <v>45</v>
      </c>
      <c r="G9106" s="3">
        <f t="shared" si="1079"/>
        <v>-46.909199999999998</v>
      </c>
      <c r="H9106" s="3">
        <f t="shared" si="1080"/>
        <v>46.909199999999998</v>
      </c>
      <c r="I9106" s="5" t="str">
        <f t="shared" si="1081"/>
        <v>018</v>
      </c>
      <c r="J9106" s="5" t="str">
        <f t="shared" si="1082"/>
        <v>2230</v>
      </c>
      <c r="K9106" s="5" t="str">
        <f t="shared" si="1083"/>
        <v>000</v>
      </c>
      <c r="L9106" s="5">
        <f t="shared" si="1084"/>
        <v>10</v>
      </c>
      <c r="M9106" s="5">
        <f t="shared" si="1085"/>
        <v>2013</v>
      </c>
    </row>
    <row r="9107" spans="1:13" ht="15" x14ac:dyDescent="0.25">
      <c r="A9107" s="1">
        <f>DATE(2013,10,23)</f>
        <v>41570</v>
      </c>
      <c r="B9107" t="s">
        <v>19</v>
      </c>
      <c r="C9107" t="s">
        <v>6</v>
      </c>
      <c r="D9107" s="3">
        <v>4448.4209999999994</v>
      </c>
      <c r="E9107" s="3">
        <v>0</v>
      </c>
      <c r="F9107" t="s">
        <v>45</v>
      </c>
      <c r="G9107" s="3">
        <f t="shared" si="1079"/>
        <v>-4448.4209999999994</v>
      </c>
      <c r="H9107" s="3">
        <f t="shared" si="1080"/>
        <v>4448.4209999999994</v>
      </c>
      <c r="I9107" s="5" t="str">
        <f t="shared" si="1081"/>
        <v>018</v>
      </c>
      <c r="J9107" s="5" t="str">
        <f t="shared" si="1082"/>
        <v>2100</v>
      </c>
      <c r="K9107" s="5" t="str">
        <f t="shared" si="1083"/>
        <v>000</v>
      </c>
      <c r="L9107" s="5">
        <f t="shared" si="1084"/>
        <v>10</v>
      </c>
      <c r="M9107" s="5">
        <f t="shared" si="1085"/>
        <v>2013</v>
      </c>
    </row>
    <row r="9108" spans="1:13" ht="15" x14ac:dyDescent="0.25">
      <c r="A9108" s="1">
        <f>DATE(2013,10,23)</f>
        <v>41570</v>
      </c>
      <c r="B9108" t="s">
        <v>20</v>
      </c>
      <c r="C9108" t="s">
        <v>8</v>
      </c>
      <c r="D9108" s="3">
        <v>745.81530000000009</v>
      </c>
      <c r="E9108" s="3">
        <v>0</v>
      </c>
      <c r="F9108" t="s">
        <v>45</v>
      </c>
      <c r="G9108" s="3">
        <f t="shared" si="1079"/>
        <v>-745.81530000000009</v>
      </c>
      <c r="H9108" s="3">
        <f t="shared" si="1080"/>
        <v>745.81530000000009</v>
      </c>
      <c r="I9108" s="5" t="str">
        <f t="shared" si="1081"/>
        <v>018</v>
      </c>
      <c r="J9108" s="5" t="str">
        <f t="shared" si="1082"/>
        <v>2210</v>
      </c>
      <c r="K9108" s="5" t="str">
        <f t="shared" si="1083"/>
        <v>000</v>
      </c>
      <c r="L9108" s="5">
        <f t="shared" si="1084"/>
        <v>10</v>
      </c>
      <c r="M9108" s="5">
        <f t="shared" si="1085"/>
        <v>2013</v>
      </c>
    </row>
    <row r="9109" spans="1:13" ht="15" x14ac:dyDescent="0.25">
      <c r="A9109" s="1">
        <f>DATE(2013,10,23)</f>
        <v>41570</v>
      </c>
      <c r="B9109" t="s">
        <v>21</v>
      </c>
      <c r="C9109" t="s">
        <v>9</v>
      </c>
      <c r="D9109" s="3">
        <v>143.845</v>
      </c>
      <c r="E9109" s="3">
        <v>0</v>
      </c>
      <c r="F9109" t="s">
        <v>45</v>
      </c>
      <c r="G9109" s="3">
        <f t="shared" si="1079"/>
        <v>-143.845</v>
      </c>
      <c r="H9109" s="3">
        <f t="shared" si="1080"/>
        <v>143.845</v>
      </c>
      <c r="I9109" s="5" t="str">
        <f t="shared" si="1081"/>
        <v>018</v>
      </c>
      <c r="J9109" s="5" t="str">
        <f t="shared" si="1082"/>
        <v>2220</v>
      </c>
      <c r="K9109" s="5" t="str">
        <f t="shared" si="1083"/>
        <v>000</v>
      </c>
      <c r="L9109" s="5">
        <f t="shared" si="1084"/>
        <v>10</v>
      </c>
      <c r="M9109" s="5">
        <f t="shared" si="1085"/>
        <v>2013</v>
      </c>
    </row>
    <row r="9110" spans="1:13" ht="15" x14ac:dyDescent="0.25">
      <c r="A9110" s="1">
        <f>DATE(2013,10,23)</f>
        <v>41570</v>
      </c>
      <c r="B9110" t="s">
        <v>22</v>
      </c>
      <c r="C9110" t="s">
        <v>10</v>
      </c>
      <c r="D9110" s="3">
        <v>28.240200000000002</v>
      </c>
      <c r="E9110" s="3">
        <v>0</v>
      </c>
      <c r="F9110" t="s">
        <v>45</v>
      </c>
      <c r="G9110" s="3">
        <f t="shared" si="1079"/>
        <v>-28.240200000000002</v>
      </c>
      <c r="H9110" s="3">
        <f t="shared" si="1080"/>
        <v>28.240200000000002</v>
      </c>
      <c r="I9110" s="5" t="str">
        <f t="shared" si="1081"/>
        <v>018</v>
      </c>
      <c r="J9110" s="5" t="str">
        <f t="shared" si="1082"/>
        <v>2230</v>
      </c>
      <c r="K9110" s="5" t="str">
        <f t="shared" si="1083"/>
        <v>000</v>
      </c>
      <c r="L9110" s="5">
        <f t="shared" si="1084"/>
        <v>10</v>
      </c>
      <c r="M9110" s="5">
        <f t="shared" si="1085"/>
        <v>2013</v>
      </c>
    </row>
    <row r="9111" spans="1:13" ht="15" x14ac:dyDescent="0.25">
      <c r="A9111" s="1">
        <f>DATE(2013,10,24)</f>
        <v>41571</v>
      </c>
      <c r="B9111" t="s">
        <v>19</v>
      </c>
      <c r="C9111" t="s">
        <v>6</v>
      </c>
      <c r="D9111" s="3">
        <v>3636.7131000000004</v>
      </c>
      <c r="E9111" s="3">
        <v>0</v>
      </c>
      <c r="F9111" t="s">
        <v>45</v>
      </c>
      <c r="G9111" s="3">
        <f t="shared" si="1079"/>
        <v>-3636.7131000000004</v>
      </c>
      <c r="H9111" s="3">
        <f t="shared" si="1080"/>
        <v>3636.7131000000004</v>
      </c>
      <c r="I9111" s="5" t="str">
        <f t="shared" si="1081"/>
        <v>018</v>
      </c>
      <c r="J9111" s="5" t="str">
        <f t="shared" si="1082"/>
        <v>2100</v>
      </c>
      <c r="K9111" s="5" t="str">
        <f t="shared" si="1083"/>
        <v>000</v>
      </c>
      <c r="L9111" s="5">
        <f t="shared" si="1084"/>
        <v>10</v>
      </c>
      <c r="M9111" s="5">
        <f t="shared" si="1085"/>
        <v>2013</v>
      </c>
    </row>
    <row r="9112" spans="1:13" ht="15" x14ac:dyDescent="0.25">
      <c r="A9112" s="1">
        <f>DATE(2013,10,24)</f>
        <v>41571</v>
      </c>
      <c r="B9112" t="s">
        <v>20</v>
      </c>
      <c r="C9112" t="s">
        <v>8</v>
      </c>
      <c r="D9112" s="3">
        <v>565.23540000000003</v>
      </c>
      <c r="E9112" s="3">
        <v>0</v>
      </c>
      <c r="F9112" t="s">
        <v>45</v>
      </c>
      <c r="G9112" s="3">
        <f t="shared" si="1079"/>
        <v>-565.23540000000003</v>
      </c>
      <c r="H9112" s="3">
        <f t="shared" si="1080"/>
        <v>565.23540000000003</v>
      </c>
      <c r="I9112" s="5" t="str">
        <f t="shared" si="1081"/>
        <v>018</v>
      </c>
      <c r="J9112" s="5" t="str">
        <f t="shared" si="1082"/>
        <v>2210</v>
      </c>
      <c r="K9112" s="5" t="str">
        <f t="shared" si="1083"/>
        <v>000</v>
      </c>
      <c r="L9112" s="5">
        <f t="shared" si="1084"/>
        <v>10</v>
      </c>
      <c r="M9112" s="5">
        <f t="shared" si="1085"/>
        <v>2013</v>
      </c>
    </row>
    <row r="9113" spans="1:13" ht="15" x14ac:dyDescent="0.25">
      <c r="A9113" s="1">
        <f>DATE(2013,10,24)</f>
        <v>41571</v>
      </c>
      <c r="B9113" t="s">
        <v>21</v>
      </c>
      <c r="C9113" t="s">
        <v>9</v>
      </c>
      <c r="D9113" s="3">
        <v>211.32390000000001</v>
      </c>
      <c r="E9113" s="3">
        <v>0</v>
      </c>
      <c r="F9113" t="s">
        <v>45</v>
      </c>
      <c r="G9113" s="3">
        <f t="shared" si="1079"/>
        <v>-211.32390000000001</v>
      </c>
      <c r="H9113" s="3">
        <f t="shared" si="1080"/>
        <v>211.32390000000001</v>
      </c>
      <c r="I9113" s="5" t="str">
        <f t="shared" si="1081"/>
        <v>018</v>
      </c>
      <c r="J9113" s="5" t="str">
        <f t="shared" si="1082"/>
        <v>2220</v>
      </c>
      <c r="K9113" s="5" t="str">
        <f t="shared" si="1083"/>
        <v>000</v>
      </c>
      <c r="L9113" s="5">
        <f t="shared" si="1084"/>
        <v>10</v>
      </c>
      <c r="M9113" s="5">
        <f t="shared" si="1085"/>
        <v>2013</v>
      </c>
    </row>
    <row r="9114" spans="1:13" ht="15" x14ac:dyDescent="0.25">
      <c r="A9114" s="1">
        <f>DATE(2013,10,24)</f>
        <v>41571</v>
      </c>
      <c r="B9114" t="s">
        <v>22</v>
      </c>
      <c r="C9114" t="s">
        <v>10</v>
      </c>
      <c r="D9114" s="3">
        <v>73.71759999999999</v>
      </c>
      <c r="E9114" s="3">
        <v>0</v>
      </c>
      <c r="F9114" t="s">
        <v>45</v>
      </c>
      <c r="G9114" s="3">
        <f t="shared" si="1079"/>
        <v>-73.71759999999999</v>
      </c>
      <c r="H9114" s="3">
        <f t="shared" si="1080"/>
        <v>73.71759999999999</v>
      </c>
      <c r="I9114" s="5" t="str">
        <f t="shared" si="1081"/>
        <v>018</v>
      </c>
      <c r="J9114" s="5" t="str">
        <f t="shared" si="1082"/>
        <v>2230</v>
      </c>
      <c r="K9114" s="5" t="str">
        <f t="shared" si="1083"/>
        <v>000</v>
      </c>
      <c r="L9114" s="5">
        <f t="shared" si="1084"/>
        <v>10</v>
      </c>
      <c r="M9114" s="5">
        <f t="shared" si="1085"/>
        <v>2013</v>
      </c>
    </row>
    <row r="9115" spans="1:13" ht="15" x14ac:dyDescent="0.25">
      <c r="A9115" s="1">
        <f>DATE(2013,10,25)</f>
        <v>41572</v>
      </c>
      <c r="B9115" t="s">
        <v>19</v>
      </c>
      <c r="C9115" t="s">
        <v>6</v>
      </c>
      <c r="D9115" s="3">
        <v>6924.8103000000001</v>
      </c>
      <c r="E9115" s="3">
        <v>0</v>
      </c>
      <c r="F9115" t="s">
        <v>45</v>
      </c>
      <c r="G9115" s="3">
        <f t="shared" si="1079"/>
        <v>-6924.8103000000001</v>
      </c>
      <c r="H9115" s="3">
        <f t="shared" si="1080"/>
        <v>6924.8103000000001</v>
      </c>
      <c r="I9115" s="5" t="str">
        <f t="shared" si="1081"/>
        <v>018</v>
      </c>
      <c r="J9115" s="5" t="str">
        <f t="shared" si="1082"/>
        <v>2100</v>
      </c>
      <c r="K9115" s="5" t="str">
        <f t="shared" si="1083"/>
        <v>000</v>
      </c>
      <c r="L9115" s="5">
        <f t="shared" si="1084"/>
        <v>10</v>
      </c>
      <c r="M9115" s="5">
        <f t="shared" si="1085"/>
        <v>2013</v>
      </c>
    </row>
    <row r="9116" spans="1:13" ht="15" x14ac:dyDescent="0.25">
      <c r="A9116" s="1">
        <f>DATE(2013,10,25)</f>
        <v>41572</v>
      </c>
      <c r="B9116" t="s">
        <v>20</v>
      </c>
      <c r="C9116" t="s">
        <v>8</v>
      </c>
      <c r="D9116" s="3">
        <v>2016.2462</v>
      </c>
      <c r="E9116" s="3">
        <v>0</v>
      </c>
      <c r="F9116" t="s">
        <v>45</v>
      </c>
      <c r="G9116" s="3">
        <f t="shared" si="1079"/>
        <v>-2016.2462</v>
      </c>
      <c r="H9116" s="3">
        <f t="shared" si="1080"/>
        <v>2016.2462</v>
      </c>
      <c r="I9116" s="5" t="str">
        <f t="shared" si="1081"/>
        <v>018</v>
      </c>
      <c r="J9116" s="5" t="str">
        <f t="shared" si="1082"/>
        <v>2210</v>
      </c>
      <c r="K9116" s="5" t="str">
        <f t="shared" si="1083"/>
        <v>000</v>
      </c>
      <c r="L9116" s="5">
        <f t="shared" si="1084"/>
        <v>10</v>
      </c>
      <c r="M9116" s="5">
        <f t="shared" si="1085"/>
        <v>2013</v>
      </c>
    </row>
    <row r="9117" spans="1:13" ht="15" x14ac:dyDescent="0.25">
      <c r="A9117" s="1">
        <f>DATE(2013,10,25)</f>
        <v>41572</v>
      </c>
      <c r="B9117" t="s">
        <v>21</v>
      </c>
      <c r="C9117" t="s">
        <v>9</v>
      </c>
      <c r="D9117" s="3">
        <v>452.56959999999998</v>
      </c>
      <c r="E9117" s="3">
        <v>0</v>
      </c>
      <c r="F9117" t="s">
        <v>45</v>
      </c>
      <c r="G9117" s="3">
        <f t="shared" si="1079"/>
        <v>-452.56959999999998</v>
      </c>
      <c r="H9117" s="3">
        <f t="shared" si="1080"/>
        <v>452.56959999999998</v>
      </c>
      <c r="I9117" s="5" t="str">
        <f t="shared" si="1081"/>
        <v>018</v>
      </c>
      <c r="J9117" s="5" t="str">
        <f t="shared" si="1082"/>
        <v>2220</v>
      </c>
      <c r="K9117" s="5" t="str">
        <f t="shared" si="1083"/>
        <v>000</v>
      </c>
      <c r="L9117" s="5">
        <f t="shared" si="1084"/>
        <v>10</v>
      </c>
      <c r="M9117" s="5">
        <f t="shared" si="1085"/>
        <v>2013</v>
      </c>
    </row>
    <row r="9118" spans="1:13" ht="15" x14ac:dyDescent="0.25">
      <c r="A9118" s="1">
        <f>DATE(2013,10,25)</f>
        <v>41572</v>
      </c>
      <c r="B9118" t="s">
        <v>22</v>
      </c>
      <c r="C9118" t="s">
        <v>10</v>
      </c>
      <c r="D9118" s="3">
        <v>39.777799999999999</v>
      </c>
      <c r="E9118" s="3">
        <v>0</v>
      </c>
      <c r="F9118" t="s">
        <v>45</v>
      </c>
      <c r="G9118" s="3">
        <f t="shared" si="1079"/>
        <v>-39.777799999999999</v>
      </c>
      <c r="H9118" s="3">
        <f t="shared" si="1080"/>
        <v>39.777799999999999</v>
      </c>
      <c r="I9118" s="5" t="str">
        <f t="shared" si="1081"/>
        <v>018</v>
      </c>
      <c r="J9118" s="5" t="str">
        <f t="shared" si="1082"/>
        <v>2230</v>
      </c>
      <c r="K9118" s="5" t="str">
        <f t="shared" si="1083"/>
        <v>000</v>
      </c>
      <c r="L9118" s="5">
        <f t="shared" si="1084"/>
        <v>10</v>
      </c>
      <c r="M9118" s="5">
        <f t="shared" si="1085"/>
        <v>2013</v>
      </c>
    </row>
    <row r="9119" spans="1:13" ht="15" x14ac:dyDescent="0.25">
      <c r="A9119" s="1">
        <f>DATE(2013,10,26)</f>
        <v>41573</v>
      </c>
      <c r="B9119" t="s">
        <v>19</v>
      </c>
      <c r="C9119" t="s">
        <v>6</v>
      </c>
      <c r="D9119" s="3">
        <v>16895.851699999999</v>
      </c>
      <c r="E9119" s="3">
        <v>0</v>
      </c>
      <c r="F9119" t="s">
        <v>45</v>
      </c>
      <c r="G9119" s="3">
        <f t="shared" si="1079"/>
        <v>-16895.851699999999</v>
      </c>
      <c r="H9119" s="3">
        <f t="shared" si="1080"/>
        <v>16895.851699999999</v>
      </c>
      <c r="I9119" s="5" t="str">
        <f t="shared" si="1081"/>
        <v>018</v>
      </c>
      <c r="J9119" s="5" t="str">
        <f t="shared" si="1082"/>
        <v>2100</v>
      </c>
      <c r="K9119" s="5" t="str">
        <f t="shared" si="1083"/>
        <v>000</v>
      </c>
      <c r="L9119" s="5">
        <f t="shared" si="1084"/>
        <v>10</v>
      </c>
      <c r="M9119" s="5">
        <f t="shared" si="1085"/>
        <v>2013</v>
      </c>
    </row>
    <row r="9120" spans="1:13" ht="15" x14ac:dyDescent="0.25">
      <c r="A9120" s="1">
        <f>DATE(2013,10,26)</f>
        <v>41573</v>
      </c>
      <c r="B9120" t="s">
        <v>20</v>
      </c>
      <c r="C9120" t="s">
        <v>8</v>
      </c>
      <c r="D9120" s="3">
        <v>2328.2739999999999</v>
      </c>
      <c r="E9120" s="3">
        <v>0</v>
      </c>
      <c r="F9120" t="s">
        <v>45</v>
      </c>
      <c r="G9120" s="3">
        <f t="shared" si="1079"/>
        <v>-2328.2739999999999</v>
      </c>
      <c r="H9120" s="3">
        <f t="shared" si="1080"/>
        <v>2328.2739999999999</v>
      </c>
      <c r="I9120" s="5" t="str">
        <f t="shared" si="1081"/>
        <v>018</v>
      </c>
      <c r="J9120" s="5" t="str">
        <f t="shared" si="1082"/>
        <v>2210</v>
      </c>
      <c r="K9120" s="5" t="str">
        <f t="shared" si="1083"/>
        <v>000</v>
      </c>
      <c r="L9120" s="5">
        <f t="shared" si="1084"/>
        <v>10</v>
      </c>
      <c r="M9120" s="5">
        <f t="shared" si="1085"/>
        <v>2013</v>
      </c>
    </row>
    <row r="9121" spans="1:13" ht="15" x14ac:dyDescent="0.25">
      <c r="A9121" s="1">
        <f>DATE(2013,10,26)</f>
        <v>41573</v>
      </c>
      <c r="B9121" t="s">
        <v>21</v>
      </c>
      <c r="C9121" t="s">
        <v>9</v>
      </c>
      <c r="D9121" s="3">
        <v>917.43299999999999</v>
      </c>
      <c r="E9121" s="3">
        <v>0</v>
      </c>
      <c r="F9121" t="s">
        <v>45</v>
      </c>
      <c r="G9121" s="3">
        <f t="shared" si="1079"/>
        <v>-917.43299999999999</v>
      </c>
      <c r="H9121" s="3">
        <f t="shared" si="1080"/>
        <v>917.43299999999999</v>
      </c>
      <c r="I9121" s="5" t="str">
        <f t="shared" si="1081"/>
        <v>018</v>
      </c>
      <c r="J9121" s="5" t="str">
        <f t="shared" si="1082"/>
        <v>2220</v>
      </c>
      <c r="K9121" s="5" t="str">
        <f t="shared" si="1083"/>
        <v>000</v>
      </c>
      <c r="L9121" s="5">
        <f t="shared" si="1084"/>
        <v>10</v>
      </c>
      <c r="M9121" s="5">
        <f t="shared" si="1085"/>
        <v>2013</v>
      </c>
    </row>
    <row r="9122" spans="1:13" ht="15" x14ac:dyDescent="0.25">
      <c r="A9122" s="1">
        <f>DATE(2013,10,26)</f>
        <v>41573</v>
      </c>
      <c r="B9122" t="s">
        <v>22</v>
      </c>
      <c r="C9122" t="s">
        <v>10</v>
      </c>
      <c r="D9122" s="3">
        <v>108.042</v>
      </c>
      <c r="E9122" s="3">
        <v>0</v>
      </c>
      <c r="F9122" t="s">
        <v>45</v>
      </c>
      <c r="G9122" s="3">
        <f t="shared" si="1079"/>
        <v>-108.042</v>
      </c>
      <c r="H9122" s="3">
        <f t="shared" si="1080"/>
        <v>108.042</v>
      </c>
      <c r="I9122" s="5" t="str">
        <f t="shared" si="1081"/>
        <v>018</v>
      </c>
      <c r="J9122" s="5" t="str">
        <f t="shared" si="1082"/>
        <v>2230</v>
      </c>
      <c r="K9122" s="5" t="str">
        <f t="shared" si="1083"/>
        <v>000</v>
      </c>
      <c r="L9122" s="5">
        <f t="shared" si="1084"/>
        <v>10</v>
      </c>
      <c r="M9122" s="5">
        <f t="shared" si="1085"/>
        <v>2013</v>
      </c>
    </row>
    <row r="9123" spans="1:13" ht="15" x14ac:dyDescent="0.25">
      <c r="A9123" s="1">
        <f>DATE(2013,10,27)</f>
        <v>41574</v>
      </c>
      <c r="B9123" t="s">
        <v>19</v>
      </c>
      <c r="C9123" t="s">
        <v>6</v>
      </c>
      <c r="D9123" s="3">
        <v>10296.9216</v>
      </c>
      <c r="E9123" s="3">
        <v>0</v>
      </c>
      <c r="F9123" t="s">
        <v>45</v>
      </c>
      <c r="G9123" s="3">
        <f t="shared" si="1079"/>
        <v>-10296.9216</v>
      </c>
      <c r="H9123" s="3">
        <f t="shared" si="1080"/>
        <v>10296.9216</v>
      </c>
      <c r="I9123" s="5" t="str">
        <f t="shared" si="1081"/>
        <v>018</v>
      </c>
      <c r="J9123" s="5" t="str">
        <f t="shared" si="1082"/>
        <v>2100</v>
      </c>
      <c r="K9123" s="5" t="str">
        <f t="shared" si="1083"/>
        <v>000</v>
      </c>
      <c r="L9123" s="5">
        <f t="shared" si="1084"/>
        <v>10</v>
      </c>
      <c r="M9123" s="5">
        <f t="shared" si="1085"/>
        <v>2013</v>
      </c>
    </row>
    <row r="9124" spans="1:13" ht="15" x14ac:dyDescent="0.25">
      <c r="A9124" s="1">
        <f>DATE(2013,10,27)</f>
        <v>41574</v>
      </c>
      <c r="B9124" t="s">
        <v>20</v>
      </c>
      <c r="C9124" t="s">
        <v>8</v>
      </c>
      <c r="D9124" s="3">
        <v>1428.46</v>
      </c>
      <c r="E9124" s="3">
        <v>0</v>
      </c>
      <c r="F9124" t="s">
        <v>45</v>
      </c>
      <c r="G9124" s="3">
        <f t="shared" si="1079"/>
        <v>-1428.46</v>
      </c>
      <c r="H9124" s="3">
        <f t="shared" si="1080"/>
        <v>1428.46</v>
      </c>
      <c r="I9124" s="5" t="str">
        <f t="shared" si="1081"/>
        <v>018</v>
      </c>
      <c r="J9124" s="5" t="str">
        <f t="shared" si="1082"/>
        <v>2210</v>
      </c>
      <c r="K9124" s="5" t="str">
        <f t="shared" si="1083"/>
        <v>000</v>
      </c>
      <c r="L9124" s="5">
        <f t="shared" si="1084"/>
        <v>10</v>
      </c>
      <c r="M9124" s="5">
        <f t="shared" si="1085"/>
        <v>2013</v>
      </c>
    </row>
    <row r="9125" spans="1:13" ht="15" x14ac:dyDescent="0.25">
      <c r="A9125" s="1">
        <f>DATE(2013,10,27)</f>
        <v>41574</v>
      </c>
      <c r="B9125" t="s">
        <v>21</v>
      </c>
      <c r="C9125" t="s">
        <v>9</v>
      </c>
      <c r="D9125" s="3">
        <v>185.36619999999999</v>
      </c>
      <c r="E9125" s="3">
        <v>0</v>
      </c>
      <c r="F9125" t="s">
        <v>45</v>
      </c>
      <c r="G9125" s="3">
        <f t="shared" si="1079"/>
        <v>-185.36619999999999</v>
      </c>
      <c r="H9125" s="3">
        <f t="shared" si="1080"/>
        <v>185.36619999999999</v>
      </c>
      <c r="I9125" s="5" t="str">
        <f t="shared" si="1081"/>
        <v>018</v>
      </c>
      <c r="J9125" s="5" t="str">
        <f t="shared" si="1082"/>
        <v>2220</v>
      </c>
      <c r="K9125" s="5" t="str">
        <f t="shared" si="1083"/>
        <v>000</v>
      </c>
      <c r="L9125" s="5">
        <f t="shared" si="1084"/>
        <v>10</v>
      </c>
      <c r="M9125" s="5">
        <f t="shared" si="1085"/>
        <v>2013</v>
      </c>
    </row>
    <row r="9126" spans="1:13" ht="15" x14ac:dyDescent="0.25">
      <c r="A9126" s="1">
        <f>DATE(2013,10,27)</f>
        <v>41574</v>
      </c>
      <c r="B9126" t="s">
        <v>22</v>
      </c>
      <c r="C9126" t="s">
        <v>10</v>
      </c>
      <c r="D9126" s="3">
        <v>52.595000000000006</v>
      </c>
      <c r="E9126" s="3">
        <v>0</v>
      </c>
      <c r="F9126" t="s">
        <v>45</v>
      </c>
      <c r="G9126" s="3">
        <f t="shared" si="1079"/>
        <v>-52.595000000000006</v>
      </c>
      <c r="H9126" s="3">
        <f t="shared" si="1080"/>
        <v>52.595000000000006</v>
      </c>
      <c r="I9126" s="5" t="str">
        <f t="shared" si="1081"/>
        <v>018</v>
      </c>
      <c r="J9126" s="5" t="str">
        <f t="shared" si="1082"/>
        <v>2230</v>
      </c>
      <c r="K9126" s="5" t="str">
        <f t="shared" si="1083"/>
        <v>000</v>
      </c>
      <c r="L9126" s="5">
        <f t="shared" si="1084"/>
        <v>10</v>
      </c>
      <c r="M9126" s="5">
        <f t="shared" si="1085"/>
        <v>2013</v>
      </c>
    </row>
    <row r="9127" spans="1:13" ht="15" x14ac:dyDescent="0.25">
      <c r="A9127" s="1">
        <f>DATE(2013,10,21)</f>
        <v>41568</v>
      </c>
      <c r="B9127" t="s">
        <v>23</v>
      </c>
      <c r="C9127" t="s">
        <v>6</v>
      </c>
      <c r="D9127" s="3">
        <v>4353.5536000000002</v>
      </c>
      <c r="E9127" s="3">
        <v>0</v>
      </c>
      <c r="F9127" t="s">
        <v>45</v>
      </c>
      <c r="G9127" s="3">
        <f t="shared" si="1079"/>
        <v>-4353.5536000000002</v>
      </c>
      <c r="H9127" s="3">
        <f t="shared" si="1080"/>
        <v>4353.5536000000002</v>
      </c>
      <c r="I9127" s="5" t="str">
        <f t="shared" si="1081"/>
        <v>019</v>
      </c>
      <c r="J9127" s="5" t="str">
        <f t="shared" si="1082"/>
        <v>2100</v>
      </c>
      <c r="K9127" s="5" t="str">
        <f t="shared" si="1083"/>
        <v>000</v>
      </c>
      <c r="L9127" s="5">
        <f t="shared" si="1084"/>
        <v>10</v>
      </c>
      <c r="M9127" s="5">
        <f t="shared" si="1085"/>
        <v>2013</v>
      </c>
    </row>
    <row r="9128" spans="1:13" ht="15" x14ac:dyDescent="0.25">
      <c r="A9128" s="1">
        <f>DATE(2013,10,21)</f>
        <v>41568</v>
      </c>
      <c r="B9128" t="s">
        <v>24</v>
      </c>
      <c r="C9128" t="s">
        <v>8</v>
      </c>
      <c r="D9128" s="3">
        <v>738.70519999999999</v>
      </c>
      <c r="E9128" s="3">
        <v>0</v>
      </c>
      <c r="F9128" t="s">
        <v>45</v>
      </c>
      <c r="G9128" s="3">
        <f t="shared" si="1079"/>
        <v>-738.70519999999999</v>
      </c>
      <c r="H9128" s="3">
        <f t="shared" si="1080"/>
        <v>738.70519999999999</v>
      </c>
      <c r="I9128" s="5" t="str">
        <f t="shared" si="1081"/>
        <v>019</v>
      </c>
      <c r="J9128" s="5" t="str">
        <f t="shared" si="1082"/>
        <v>2210</v>
      </c>
      <c r="K9128" s="5" t="str">
        <f t="shared" si="1083"/>
        <v>000</v>
      </c>
      <c r="L9128" s="5">
        <f t="shared" si="1084"/>
        <v>10</v>
      </c>
      <c r="M9128" s="5">
        <f t="shared" si="1085"/>
        <v>2013</v>
      </c>
    </row>
    <row r="9129" spans="1:13" ht="15" x14ac:dyDescent="0.25">
      <c r="A9129" s="1">
        <f>DATE(2013,10,21)</f>
        <v>41568</v>
      </c>
      <c r="B9129" t="s">
        <v>25</v>
      </c>
      <c r="C9129" t="s">
        <v>9</v>
      </c>
      <c r="D9129" s="3">
        <v>346.09679999999997</v>
      </c>
      <c r="E9129" s="3">
        <v>0</v>
      </c>
      <c r="F9129" t="s">
        <v>45</v>
      </c>
      <c r="G9129" s="3">
        <f t="shared" si="1079"/>
        <v>-346.09679999999997</v>
      </c>
      <c r="H9129" s="3">
        <f t="shared" si="1080"/>
        <v>346.09679999999997</v>
      </c>
      <c r="I9129" s="5" t="str">
        <f t="shared" si="1081"/>
        <v>019</v>
      </c>
      <c r="J9129" s="5" t="str">
        <f t="shared" si="1082"/>
        <v>2220</v>
      </c>
      <c r="K9129" s="5" t="str">
        <f t="shared" si="1083"/>
        <v>000</v>
      </c>
      <c r="L9129" s="5">
        <f t="shared" si="1084"/>
        <v>10</v>
      </c>
      <c r="M9129" s="5">
        <f t="shared" si="1085"/>
        <v>2013</v>
      </c>
    </row>
    <row r="9130" spans="1:13" ht="15" x14ac:dyDescent="0.25">
      <c r="A9130" s="1">
        <f>DATE(2013,10,21)</f>
        <v>41568</v>
      </c>
      <c r="B9130" t="s">
        <v>26</v>
      </c>
      <c r="C9130" t="s">
        <v>10</v>
      </c>
      <c r="D9130" s="3">
        <v>94.032900000000012</v>
      </c>
      <c r="E9130" s="3">
        <v>0</v>
      </c>
      <c r="F9130" t="s">
        <v>45</v>
      </c>
      <c r="G9130" s="3">
        <f t="shared" si="1079"/>
        <v>-94.032900000000012</v>
      </c>
      <c r="H9130" s="3">
        <f t="shared" si="1080"/>
        <v>94.032900000000012</v>
      </c>
      <c r="I9130" s="5" t="str">
        <f t="shared" si="1081"/>
        <v>019</v>
      </c>
      <c r="J9130" s="5" t="str">
        <f t="shared" si="1082"/>
        <v>2230</v>
      </c>
      <c r="K9130" s="5" t="str">
        <f t="shared" si="1083"/>
        <v>000</v>
      </c>
      <c r="L9130" s="5">
        <f t="shared" si="1084"/>
        <v>10</v>
      </c>
      <c r="M9130" s="5">
        <f t="shared" si="1085"/>
        <v>2013</v>
      </c>
    </row>
    <row r="9131" spans="1:13" ht="15" x14ac:dyDescent="0.25">
      <c r="A9131" s="1">
        <f>DATE(2013,10,22)</f>
        <v>41569</v>
      </c>
      <c r="B9131" t="s">
        <v>23</v>
      </c>
      <c r="C9131" t="s">
        <v>6</v>
      </c>
      <c r="D9131" s="3">
        <v>3394.1106999999997</v>
      </c>
      <c r="E9131" s="3">
        <v>0</v>
      </c>
      <c r="F9131" t="s">
        <v>45</v>
      </c>
      <c r="G9131" s="3">
        <f t="shared" si="1079"/>
        <v>-3394.1106999999997</v>
      </c>
      <c r="H9131" s="3">
        <f t="shared" si="1080"/>
        <v>3394.1106999999997</v>
      </c>
      <c r="I9131" s="5" t="str">
        <f t="shared" si="1081"/>
        <v>019</v>
      </c>
      <c r="J9131" s="5" t="str">
        <f t="shared" si="1082"/>
        <v>2100</v>
      </c>
      <c r="K9131" s="5" t="str">
        <f t="shared" si="1083"/>
        <v>000</v>
      </c>
      <c r="L9131" s="5">
        <f t="shared" si="1084"/>
        <v>10</v>
      </c>
      <c r="M9131" s="5">
        <f t="shared" si="1085"/>
        <v>2013</v>
      </c>
    </row>
    <row r="9132" spans="1:13" ht="15" x14ac:dyDescent="0.25">
      <c r="A9132" s="1">
        <f>DATE(2013,10,22)</f>
        <v>41569</v>
      </c>
      <c r="B9132" t="s">
        <v>24</v>
      </c>
      <c r="C9132" t="s">
        <v>8</v>
      </c>
      <c r="D9132" s="3">
        <v>1590.5337999999999</v>
      </c>
      <c r="E9132" s="3">
        <v>0</v>
      </c>
      <c r="F9132" t="s">
        <v>45</v>
      </c>
      <c r="G9132" s="3">
        <f t="shared" si="1079"/>
        <v>-1590.5337999999999</v>
      </c>
      <c r="H9132" s="3">
        <f t="shared" si="1080"/>
        <v>1590.5337999999999</v>
      </c>
      <c r="I9132" s="5" t="str">
        <f t="shared" si="1081"/>
        <v>019</v>
      </c>
      <c r="J9132" s="5" t="str">
        <f t="shared" si="1082"/>
        <v>2210</v>
      </c>
      <c r="K9132" s="5" t="str">
        <f t="shared" si="1083"/>
        <v>000</v>
      </c>
      <c r="L9132" s="5">
        <f t="shared" si="1084"/>
        <v>10</v>
      </c>
      <c r="M9132" s="5">
        <f t="shared" si="1085"/>
        <v>2013</v>
      </c>
    </row>
    <row r="9133" spans="1:13" ht="15" x14ac:dyDescent="0.25">
      <c r="A9133" s="1">
        <f>DATE(2013,10,22)</f>
        <v>41569</v>
      </c>
      <c r="B9133" t="s">
        <v>25</v>
      </c>
      <c r="C9133" t="s">
        <v>9</v>
      </c>
      <c r="D9133" s="3">
        <v>276.05760000000004</v>
      </c>
      <c r="E9133" s="3">
        <v>0</v>
      </c>
      <c r="F9133" t="s">
        <v>45</v>
      </c>
      <c r="G9133" s="3">
        <f t="shared" si="1079"/>
        <v>-276.05760000000004</v>
      </c>
      <c r="H9133" s="3">
        <f t="shared" si="1080"/>
        <v>276.05760000000004</v>
      </c>
      <c r="I9133" s="5" t="str">
        <f t="shared" si="1081"/>
        <v>019</v>
      </c>
      <c r="J9133" s="5" t="str">
        <f t="shared" si="1082"/>
        <v>2220</v>
      </c>
      <c r="K9133" s="5" t="str">
        <f t="shared" si="1083"/>
        <v>000</v>
      </c>
      <c r="L9133" s="5">
        <f t="shared" si="1084"/>
        <v>10</v>
      </c>
      <c r="M9133" s="5">
        <f t="shared" si="1085"/>
        <v>2013</v>
      </c>
    </row>
    <row r="9134" spans="1:13" ht="15" x14ac:dyDescent="0.25">
      <c r="A9134" s="1">
        <f>DATE(2013,10,22)</f>
        <v>41569</v>
      </c>
      <c r="B9134" t="s">
        <v>26</v>
      </c>
      <c r="C9134" t="s">
        <v>10</v>
      </c>
      <c r="D9134" s="3">
        <v>91.125900000000001</v>
      </c>
      <c r="E9134" s="3">
        <v>0</v>
      </c>
      <c r="F9134" t="s">
        <v>45</v>
      </c>
      <c r="G9134" s="3">
        <f t="shared" si="1079"/>
        <v>-91.125900000000001</v>
      </c>
      <c r="H9134" s="3">
        <f t="shared" si="1080"/>
        <v>91.125900000000001</v>
      </c>
      <c r="I9134" s="5" t="str">
        <f t="shared" si="1081"/>
        <v>019</v>
      </c>
      <c r="J9134" s="5" t="str">
        <f t="shared" si="1082"/>
        <v>2230</v>
      </c>
      <c r="K9134" s="5" t="str">
        <f t="shared" si="1083"/>
        <v>000</v>
      </c>
      <c r="L9134" s="5">
        <f t="shared" si="1084"/>
        <v>10</v>
      </c>
      <c r="M9134" s="5">
        <f t="shared" si="1085"/>
        <v>2013</v>
      </c>
    </row>
    <row r="9135" spans="1:13" ht="15" x14ac:dyDescent="0.25">
      <c r="A9135" s="1">
        <f>DATE(2013,10,23)</f>
        <v>41570</v>
      </c>
      <c r="B9135" t="s">
        <v>23</v>
      </c>
      <c r="C9135" t="s">
        <v>6</v>
      </c>
      <c r="D9135" s="3">
        <v>5374.9155000000001</v>
      </c>
      <c r="E9135" s="3">
        <v>0</v>
      </c>
      <c r="F9135" t="s">
        <v>45</v>
      </c>
      <c r="G9135" s="3">
        <f t="shared" si="1079"/>
        <v>-5374.9155000000001</v>
      </c>
      <c r="H9135" s="3">
        <f t="shared" si="1080"/>
        <v>5374.9155000000001</v>
      </c>
      <c r="I9135" s="5" t="str">
        <f t="shared" si="1081"/>
        <v>019</v>
      </c>
      <c r="J9135" s="5" t="str">
        <f t="shared" si="1082"/>
        <v>2100</v>
      </c>
      <c r="K9135" s="5" t="str">
        <f t="shared" si="1083"/>
        <v>000</v>
      </c>
      <c r="L9135" s="5">
        <f t="shared" si="1084"/>
        <v>10</v>
      </c>
      <c r="M9135" s="5">
        <f t="shared" si="1085"/>
        <v>2013</v>
      </c>
    </row>
    <row r="9136" spans="1:13" ht="15" x14ac:dyDescent="0.25">
      <c r="A9136" s="1">
        <f>DATE(2013,10,23)</f>
        <v>41570</v>
      </c>
      <c r="B9136" t="s">
        <v>24</v>
      </c>
      <c r="C9136" t="s">
        <v>8</v>
      </c>
      <c r="D9136" s="3">
        <v>1783.8536999999999</v>
      </c>
      <c r="E9136" s="3">
        <v>0</v>
      </c>
      <c r="F9136" t="s">
        <v>45</v>
      </c>
      <c r="G9136" s="3">
        <f t="shared" si="1079"/>
        <v>-1783.8536999999999</v>
      </c>
      <c r="H9136" s="3">
        <f t="shared" si="1080"/>
        <v>1783.8536999999999</v>
      </c>
      <c r="I9136" s="5" t="str">
        <f t="shared" si="1081"/>
        <v>019</v>
      </c>
      <c r="J9136" s="5" t="str">
        <f t="shared" si="1082"/>
        <v>2210</v>
      </c>
      <c r="K9136" s="5" t="str">
        <f t="shared" si="1083"/>
        <v>000</v>
      </c>
      <c r="L9136" s="5">
        <f t="shared" si="1084"/>
        <v>10</v>
      </c>
      <c r="M9136" s="5">
        <f t="shared" si="1085"/>
        <v>2013</v>
      </c>
    </row>
    <row r="9137" spans="1:13" ht="15" x14ac:dyDescent="0.25">
      <c r="A9137" s="1">
        <f>DATE(2013,10,23)</f>
        <v>41570</v>
      </c>
      <c r="B9137" t="s">
        <v>25</v>
      </c>
      <c r="C9137" t="s">
        <v>9</v>
      </c>
      <c r="D9137" s="3">
        <v>286.71359999999999</v>
      </c>
      <c r="E9137" s="3">
        <v>0</v>
      </c>
      <c r="F9137" t="s">
        <v>45</v>
      </c>
      <c r="G9137" s="3">
        <f t="shared" si="1079"/>
        <v>-286.71359999999999</v>
      </c>
      <c r="H9137" s="3">
        <f t="shared" si="1080"/>
        <v>286.71359999999999</v>
      </c>
      <c r="I9137" s="5" t="str">
        <f t="shared" si="1081"/>
        <v>019</v>
      </c>
      <c r="J9137" s="5" t="str">
        <f t="shared" si="1082"/>
        <v>2220</v>
      </c>
      <c r="K9137" s="5" t="str">
        <f t="shared" si="1083"/>
        <v>000</v>
      </c>
      <c r="L9137" s="5">
        <f t="shared" si="1084"/>
        <v>10</v>
      </c>
      <c r="M9137" s="5">
        <f t="shared" si="1085"/>
        <v>2013</v>
      </c>
    </row>
    <row r="9138" spans="1:13" ht="15" x14ac:dyDescent="0.25">
      <c r="A9138" s="1">
        <f>DATE(2013,10,23)</f>
        <v>41570</v>
      </c>
      <c r="B9138" t="s">
        <v>26</v>
      </c>
      <c r="C9138" t="s">
        <v>10</v>
      </c>
      <c r="D9138" s="3">
        <v>75.429199999999994</v>
      </c>
      <c r="E9138" s="3">
        <v>0</v>
      </c>
      <c r="F9138" t="s">
        <v>45</v>
      </c>
      <c r="G9138" s="3">
        <f t="shared" si="1079"/>
        <v>-75.429199999999994</v>
      </c>
      <c r="H9138" s="3">
        <f t="shared" si="1080"/>
        <v>75.429199999999994</v>
      </c>
      <c r="I9138" s="5" t="str">
        <f t="shared" si="1081"/>
        <v>019</v>
      </c>
      <c r="J9138" s="5" t="str">
        <f t="shared" si="1082"/>
        <v>2230</v>
      </c>
      <c r="K9138" s="5" t="str">
        <f t="shared" si="1083"/>
        <v>000</v>
      </c>
      <c r="L9138" s="5">
        <f t="shared" si="1084"/>
        <v>10</v>
      </c>
      <c r="M9138" s="5">
        <f t="shared" si="1085"/>
        <v>2013</v>
      </c>
    </row>
    <row r="9139" spans="1:13" ht="15" x14ac:dyDescent="0.25">
      <c r="A9139" s="1">
        <f>DATE(2013,10,24)</f>
        <v>41571</v>
      </c>
      <c r="B9139" t="s">
        <v>23</v>
      </c>
      <c r="C9139" t="s">
        <v>6</v>
      </c>
      <c r="D9139" s="3">
        <v>5081.4002999999993</v>
      </c>
      <c r="E9139" s="3">
        <v>0</v>
      </c>
      <c r="F9139" t="s">
        <v>45</v>
      </c>
      <c r="G9139" s="3">
        <f t="shared" si="1079"/>
        <v>-5081.4002999999993</v>
      </c>
      <c r="H9139" s="3">
        <f t="shared" si="1080"/>
        <v>5081.4002999999993</v>
      </c>
      <c r="I9139" s="5" t="str">
        <f t="shared" si="1081"/>
        <v>019</v>
      </c>
      <c r="J9139" s="5" t="str">
        <f t="shared" si="1082"/>
        <v>2100</v>
      </c>
      <c r="K9139" s="5" t="str">
        <f t="shared" si="1083"/>
        <v>000</v>
      </c>
      <c r="L9139" s="5">
        <f t="shared" si="1084"/>
        <v>10</v>
      </c>
      <c r="M9139" s="5">
        <f t="shared" si="1085"/>
        <v>2013</v>
      </c>
    </row>
    <row r="9140" spans="1:13" ht="15" x14ac:dyDescent="0.25">
      <c r="A9140" s="1">
        <f>DATE(2013,10,24)</f>
        <v>41571</v>
      </c>
      <c r="B9140" t="s">
        <v>24</v>
      </c>
      <c r="C9140" t="s">
        <v>8</v>
      </c>
      <c r="D9140" s="3">
        <v>937.33799999999997</v>
      </c>
      <c r="E9140" s="3">
        <v>0</v>
      </c>
      <c r="F9140" t="s">
        <v>45</v>
      </c>
      <c r="G9140" s="3">
        <f t="shared" si="1079"/>
        <v>-937.33799999999997</v>
      </c>
      <c r="H9140" s="3">
        <f t="shared" si="1080"/>
        <v>937.33799999999997</v>
      </c>
      <c r="I9140" s="5" t="str">
        <f t="shared" si="1081"/>
        <v>019</v>
      </c>
      <c r="J9140" s="5" t="str">
        <f t="shared" si="1082"/>
        <v>2210</v>
      </c>
      <c r="K9140" s="5" t="str">
        <f t="shared" si="1083"/>
        <v>000</v>
      </c>
      <c r="L9140" s="5">
        <f t="shared" si="1084"/>
        <v>10</v>
      </c>
      <c r="M9140" s="5">
        <f t="shared" si="1085"/>
        <v>2013</v>
      </c>
    </row>
    <row r="9141" spans="1:13" ht="15" x14ac:dyDescent="0.25">
      <c r="A9141" s="1">
        <f>DATE(2013,10,24)</f>
        <v>41571</v>
      </c>
      <c r="B9141" t="s">
        <v>25</v>
      </c>
      <c r="C9141" t="s">
        <v>9</v>
      </c>
      <c r="D9141" s="3">
        <v>529.99760000000003</v>
      </c>
      <c r="E9141" s="3">
        <v>0</v>
      </c>
      <c r="F9141" t="s">
        <v>45</v>
      </c>
      <c r="G9141" s="3">
        <f t="shared" si="1079"/>
        <v>-529.99760000000003</v>
      </c>
      <c r="H9141" s="3">
        <f t="shared" si="1080"/>
        <v>529.99760000000003</v>
      </c>
      <c r="I9141" s="5" t="str">
        <f t="shared" si="1081"/>
        <v>019</v>
      </c>
      <c r="J9141" s="5" t="str">
        <f t="shared" si="1082"/>
        <v>2220</v>
      </c>
      <c r="K9141" s="5" t="str">
        <f t="shared" si="1083"/>
        <v>000</v>
      </c>
      <c r="L9141" s="5">
        <f t="shared" si="1084"/>
        <v>10</v>
      </c>
      <c r="M9141" s="5">
        <f t="shared" si="1085"/>
        <v>2013</v>
      </c>
    </row>
    <row r="9142" spans="1:13" ht="15" x14ac:dyDescent="0.25">
      <c r="A9142" s="1">
        <f>DATE(2013,10,24)</f>
        <v>41571</v>
      </c>
      <c r="B9142" t="s">
        <v>26</v>
      </c>
      <c r="C9142" t="s">
        <v>10</v>
      </c>
      <c r="D9142" s="3">
        <v>45.684600000000003</v>
      </c>
      <c r="E9142" s="3">
        <v>0</v>
      </c>
      <c r="F9142" t="s">
        <v>45</v>
      </c>
      <c r="G9142" s="3">
        <f t="shared" si="1079"/>
        <v>-45.684600000000003</v>
      </c>
      <c r="H9142" s="3">
        <f t="shared" si="1080"/>
        <v>45.684600000000003</v>
      </c>
      <c r="I9142" s="5" t="str">
        <f t="shared" si="1081"/>
        <v>019</v>
      </c>
      <c r="J9142" s="5" t="str">
        <f t="shared" si="1082"/>
        <v>2230</v>
      </c>
      <c r="K9142" s="5" t="str">
        <f t="shared" si="1083"/>
        <v>000</v>
      </c>
      <c r="L9142" s="5">
        <f t="shared" si="1084"/>
        <v>10</v>
      </c>
      <c r="M9142" s="5">
        <f t="shared" si="1085"/>
        <v>2013</v>
      </c>
    </row>
    <row r="9143" spans="1:13" ht="15" x14ac:dyDescent="0.25">
      <c r="A9143" s="1">
        <f>DATE(2013,10,25)</f>
        <v>41572</v>
      </c>
      <c r="B9143" t="s">
        <v>23</v>
      </c>
      <c r="C9143" t="s">
        <v>6</v>
      </c>
      <c r="D9143" s="3">
        <v>3981.5490000000004</v>
      </c>
      <c r="E9143" s="3">
        <v>0</v>
      </c>
      <c r="F9143" t="s">
        <v>45</v>
      </c>
      <c r="G9143" s="3">
        <f t="shared" si="1079"/>
        <v>-3981.5490000000004</v>
      </c>
      <c r="H9143" s="3">
        <f t="shared" si="1080"/>
        <v>3981.5490000000004</v>
      </c>
      <c r="I9143" s="5" t="str">
        <f t="shared" si="1081"/>
        <v>019</v>
      </c>
      <c r="J9143" s="5" t="str">
        <f t="shared" si="1082"/>
        <v>2100</v>
      </c>
      <c r="K9143" s="5" t="str">
        <f t="shared" si="1083"/>
        <v>000</v>
      </c>
      <c r="L9143" s="5">
        <f t="shared" si="1084"/>
        <v>10</v>
      </c>
      <c r="M9143" s="5">
        <f t="shared" si="1085"/>
        <v>2013</v>
      </c>
    </row>
    <row r="9144" spans="1:13" ht="15" x14ac:dyDescent="0.25">
      <c r="A9144" s="1">
        <f>DATE(2013,10,25)</f>
        <v>41572</v>
      </c>
      <c r="B9144" t="s">
        <v>24</v>
      </c>
      <c r="C9144" t="s">
        <v>8</v>
      </c>
      <c r="D9144" s="3">
        <v>2296.6821</v>
      </c>
      <c r="E9144" s="3">
        <v>0</v>
      </c>
      <c r="F9144" t="s">
        <v>45</v>
      </c>
      <c r="G9144" s="3">
        <f t="shared" si="1079"/>
        <v>-2296.6821</v>
      </c>
      <c r="H9144" s="3">
        <f t="shared" si="1080"/>
        <v>2296.6821</v>
      </c>
      <c r="I9144" s="5" t="str">
        <f t="shared" si="1081"/>
        <v>019</v>
      </c>
      <c r="J9144" s="5" t="str">
        <f t="shared" si="1082"/>
        <v>2210</v>
      </c>
      <c r="K9144" s="5" t="str">
        <f t="shared" si="1083"/>
        <v>000</v>
      </c>
      <c r="L9144" s="5">
        <f t="shared" si="1084"/>
        <v>10</v>
      </c>
      <c r="M9144" s="5">
        <f t="shared" si="1085"/>
        <v>2013</v>
      </c>
    </row>
    <row r="9145" spans="1:13" ht="15" x14ac:dyDescent="0.25">
      <c r="A9145" s="1">
        <f>DATE(2013,10,25)</f>
        <v>41572</v>
      </c>
      <c r="B9145" t="s">
        <v>25</v>
      </c>
      <c r="C9145" t="s">
        <v>9</v>
      </c>
      <c r="D9145" s="3">
        <v>366.67199999999997</v>
      </c>
      <c r="E9145" s="3">
        <v>0</v>
      </c>
      <c r="F9145" t="s">
        <v>45</v>
      </c>
      <c r="G9145" s="3">
        <f t="shared" si="1079"/>
        <v>-366.67199999999997</v>
      </c>
      <c r="H9145" s="3">
        <f t="shared" si="1080"/>
        <v>366.67199999999997</v>
      </c>
      <c r="I9145" s="5" t="str">
        <f t="shared" si="1081"/>
        <v>019</v>
      </c>
      <c r="J9145" s="5" t="str">
        <f t="shared" si="1082"/>
        <v>2220</v>
      </c>
      <c r="K9145" s="5" t="str">
        <f t="shared" si="1083"/>
        <v>000</v>
      </c>
      <c r="L9145" s="5">
        <f t="shared" si="1084"/>
        <v>10</v>
      </c>
      <c r="M9145" s="5">
        <f t="shared" si="1085"/>
        <v>2013</v>
      </c>
    </row>
    <row r="9146" spans="1:13" ht="15" x14ac:dyDescent="0.25">
      <c r="A9146" s="1">
        <f>DATE(2013,10,25)</f>
        <v>41572</v>
      </c>
      <c r="B9146" t="s">
        <v>26</v>
      </c>
      <c r="C9146" t="s">
        <v>10</v>
      </c>
      <c r="D9146" s="3">
        <v>94.497000000000014</v>
      </c>
      <c r="E9146" s="3">
        <v>0</v>
      </c>
      <c r="F9146" t="s">
        <v>45</v>
      </c>
      <c r="G9146" s="3">
        <f t="shared" si="1079"/>
        <v>-94.497000000000014</v>
      </c>
      <c r="H9146" s="3">
        <f t="shared" si="1080"/>
        <v>94.497000000000014</v>
      </c>
      <c r="I9146" s="5" t="str">
        <f t="shared" si="1081"/>
        <v>019</v>
      </c>
      <c r="J9146" s="5" t="str">
        <f t="shared" si="1082"/>
        <v>2230</v>
      </c>
      <c r="K9146" s="5" t="str">
        <f t="shared" si="1083"/>
        <v>000</v>
      </c>
      <c r="L9146" s="5">
        <f t="shared" si="1084"/>
        <v>10</v>
      </c>
      <c r="M9146" s="5">
        <f t="shared" si="1085"/>
        <v>2013</v>
      </c>
    </row>
    <row r="9147" spans="1:13" ht="15" x14ac:dyDescent="0.25">
      <c r="A9147" s="1">
        <f>DATE(2013,10,26)</f>
        <v>41573</v>
      </c>
      <c r="B9147" t="s">
        <v>23</v>
      </c>
      <c r="C9147" t="s">
        <v>6</v>
      </c>
      <c r="D9147" s="3">
        <v>5220.9707999999991</v>
      </c>
      <c r="E9147" s="3">
        <v>0</v>
      </c>
      <c r="F9147" t="s">
        <v>45</v>
      </c>
      <c r="G9147" s="3">
        <f t="shared" si="1079"/>
        <v>-5220.9707999999991</v>
      </c>
      <c r="H9147" s="3">
        <f t="shared" si="1080"/>
        <v>5220.9707999999991</v>
      </c>
      <c r="I9147" s="5" t="str">
        <f t="shared" si="1081"/>
        <v>019</v>
      </c>
      <c r="J9147" s="5" t="str">
        <f t="shared" si="1082"/>
        <v>2100</v>
      </c>
      <c r="K9147" s="5" t="str">
        <f t="shared" si="1083"/>
        <v>000</v>
      </c>
      <c r="L9147" s="5">
        <f t="shared" si="1084"/>
        <v>10</v>
      </c>
      <c r="M9147" s="5">
        <f t="shared" si="1085"/>
        <v>2013</v>
      </c>
    </row>
    <row r="9148" spans="1:13" ht="15" x14ac:dyDescent="0.25">
      <c r="A9148" s="1">
        <f>DATE(2013,10,26)</f>
        <v>41573</v>
      </c>
      <c r="B9148" t="s">
        <v>24</v>
      </c>
      <c r="C9148" t="s">
        <v>8</v>
      </c>
      <c r="D9148" s="3">
        <v>2214.9375</v>
      </c>
      <c r="E9148" s="3">
        <v>0</v>
      </c>
      <c r="F9148" t="s">
        <v>45</v>
      </c>
      <c r="G9148" s="3">
        <f t="shared" si="1079"/>
        <v>-2214.9375</v>
      </c>
      <c r="H9148" s="3">
        <f t="shared" si="1080"/>
        <v>2214.9375</v>
      </c>
      <c r="I9148" s="5" t="str">
        <f t="shared" si="1081"/>
        <v>019</v>
      </c>
      <c r="J9148" s="5" t="str">
        <f t="shared" si="1082"/>
        <v>2210</v>
      </c>
      <c r="K9148" s="5" t="str">
        <f t="shared" si="1083"/>
        <v>000</v>
      </c>
      <c r="L9148" s="5">
        <f t="shared" si="1084"/>
        <v>10</v>
      </c>
      <c r="M9148" s="5">
        <f t="shared" si="1085"/>
        <v>2013</v>
      </c>
    </row>
    <row r="9149" spans="1:13" ht="15" x14ac:dyDescent="0.25">
      <c r="A9149" s="1">
        <f>DATE(2013,10,26)</f>
        <v>41573</v>
      </c>
      <c r="B9149" t="s">
        <v>25</v>
      </c>
      <c r="C9149" t="s">
        <v>9</v>
      </c>
      <c r="D9149" s="3">
        <v>580.21199999999999</v>
      </c>
      <c r="E9149" s="3">
        <v>0</v>
      </c>
      <c r="F9149" t="s">
        <v>45</v>
      </c>
      <c r="G9149" s="3">
        <f t="shared" si="1079"/>
        <v>-580.21199999999999</v>
      </c>
      <c r="H9149" s="3">
        <f t="shared" si="1080"/>
        <v>580.21199999999999</v>
      </c>
      <c r="I9149" s="5" t="str">
        <f t="shared" si="1081"/>
        <v>019</v>
      </c>
      <c r="J9149" s="5" t="str">
        <f t="shared" si="1082"/>
        <v>2220</v>
      </c>
      <c r="K9149" s="5" t="str">
        <f t="shared" si="1083"/>
        <v>000</v>
      </c>
      <c r="L9149" s="5">
        <f t="shared" si="1084"/>
        <v>10</v>
      </c>
      <c r="M9149" s="5">
        <f t="shared" si="1085"/>
        <v>2013</v>
      </c>
    </row>
    <row r="9150" spans="1:13" ht="15" x14ac:dyDescent="0.25">
      <c r="A9150" s="1">
        <f>DATE(2013,10,26)</f>
        <v>41573</v>
      </c>
      <c r="B9150" t="s">
        <v>26</v>
      </c>
      <c r="C9150" t="s">
        <v>10</v>
      </c>
      <c r="D9150" s="3">
        <v>113.35170000000001</v>
      </c>
      <c r="E9150" s="3">
        <v>0</v>
      </c>
      <c r="F9150" t="s">
        <v>45</v>
      </c>
      <c r="G9150" s="3">
        <f t="shared" si="1079"/>
        <v>-113.35170000000001</v>
      </c>
      <c r="H9150" s="3">
        <f t="shared" si="1080"/>
        <v>113.35170000000001</v>
      </c>
      <c r="I9150" s="5" t="str">
        <f t="shared" si="1081"/>
        <v>019</v>
      </c>
      <c r="J9150" s="5" t="str">
        <f t="shared" si="1082"/>
        <v>2230</v>
      </c>
      <c r="K9150" s="5" t="str">
        <f t="shared" si="1083"/>
        <v>000</v>
      </c>
      <c r="L9150" s="5">
        <f t="shared" si="1084"/>
        <v>10</v>
      </c>
      <c r="M9150" s="5">
        <f t="shared" si="1085"/>
        <v>2013</v>
      </c>
    </row>
    <row r="9151" spans="1:13" ht="15" x14ac:dyDescent="0.25">
      <c r="A9151" s="1">
        <f>DATE(2013,10,27)</f>
        <v>41574</v>
      </c>
      <c r="B9151" t="s">
        <v>23</v>
      </c>
      <c r="C9151" t="s">
        <v>6</v>
      </c>
      <c r="D9151" s="3">
        <v>4313.4969999999994</v>
      </c>
      <c r="E9151" s="3">
        <v>0</v>
      </c>
      <c r="F9151" t="s">
        <v>45</v>
      </c>
      <c r="G9151" s="3">
        <f t="shared" si="1079"/>
        <v>-4313.4969999999994</v>
      </c>
      <c r="H9151" s="3">
        <f t="shared" si="1080"/>
        <v>4313.4969999999994</v>
      </c>
      <c r="I9151" s="5" t="str">
        <f t="shared" si="1081"/>
        <v>019</v>
      </c>
      <c r="J9151" s="5" t="str">
        <f t="shared" si="1082"/>
        <v>2100</v>
      </c>
      <c r="K9151" s="5" t="str">
        <f t="shared" si="1083"/>
        <v>000</v>
      </c>
      <c r="L9151" s="5">
        <f t="shared" si="1084"/>
        <v>10</v>
      </c>
      <c r="M9151" s="5">
        <f t="shared" si="1085"/>
        <v>2013</v>
      </c>
    </row>
    <row r="9152" spans="1:13" ht="15" x14ac:dyDescent="0.25">
      <c r="A9152" s="1">
        <f>DATE(2013,10,27)</f>
        <v>41574</v>
      </c>
      <c r="B9152" t="s">
        <v>24</v>
      </c>
      <c r="C9152" t="s">
        <v>8</v>
      </c>
      <c r="D9152" s="3">
        <v>1044.3247999999999</v>
      </c>
      <c r="E9152" s="3">
        <v>0</v>
      </c>
      <c r="F9152" t="s">
        <v>45</v>
      </c>
      <c r="G9152" s="3">
        <f t="shared" si="1079"/>
        <v>-1044.3247999999999</v>
      </c>
      <c r="H9152" s="3">
        <f t="shared" si="1080"/>
        <v>1044.3247999999999</v>
      </c>
      <c r="I9152" s="5" t="str">
        <f t="shared" si="1081"/>
        <v>019</v>
      </c>
      <c r="J9152" s="5" t="str">
        <f t="shared" si="1082"/>
        <v>2210</v>
      </c>
      <c r="K9152" s="5" t="str">
        <f t="shared" si="1083"/>
        <v>000</v>
      </c>
      <c r="L9152" s="5">
        <f t="shared" si="1084"/>
        <v>10</v>
      </c>
      <c r="M9152" s="5">
        <f t="shared" si="1085"/>
        <v>2013</v>
      </c>
    </row>
    <row r="9153" spans="1:13" ht="15" x14ac:dyDescent="0.25">
      <c r="A9153" s="1">
        <f>DATE(2013,10,27)</f>
        <v>41574</v>
      </c>
      <c r="B9153" t="s">
        <v>25</v>
      </c>
      <c r="C9153" t="s">
        <v>9</v>
      </c>
      <c r="D9153" s="3">
        <v>295.81439999999998</v>
      </c>
      <c r="E9153" s="3">
        <v>0</v>
      </c>
      <c r="F9153" t="s">
        <v>45</v>
      </c>
      <c r="G9153" s="3">
        <f t="shared" si="1079"/>
        <v>-295.81439999999998</v>
      </c>
      <c r="H9153" s="3">
        <f t="shared" si="1080"/>
        <v>295.81439999999998</v>
      </c>
      <c r="I9153" s="5" t="str">
        <f t="shared" si="1081"/>
        <v>019</v>
      </c>
      <c r="J9153" s="5" t="str">
        <f t="shared" si="1082"/>
        <v>2220</v>
      </c>
      <c r="K9153" s="5" t="str">
        <f t="shared" si="1083"/>
        <v>000</v>
      </c>
      <c r="L9153" s="5">
        <f t="shared" si="1084"/>
        <v>10</v>
      </c>
      <c r="M9153" s="5">
        <f t="shared" si="1085"/>
        <v>2013</v>
      </c>
    </row>
    <row r="9154" spans="1:13" ht="15" x14ac:dyDescent="0.25">
      <c r="A9154" s="1">
        <f>DATE(2013,10,27)</f>
        <v>41574</v>
      </c>
      <c r="B9154" t="s">
        <v>26</v>
      </c>
      <c r="C9154" t="s">
        <v>10</v>
      </c>
      <c r="D9154" s="3">
        <v>115.908</v>
      </c>
      <c r="E9154" s="3">
        <v>0</v>
      </c>
      <c r="F9154" t="s">
        <v>45</v>
      </c>
      <c r="G9154" s="3">
        <f t="shared" ref="G9154:G9183" si="1086">E9154-D9154</f>
        <v>-115.908</v>
      </c>
      <c r="H9154" s="3">
        <f t="shared" ref="H9154:H9183" si="1087">ABS(G9154)</f>
        <v>115.908</v>
      </c>
      <c r="I9154" s="5" t="str">
        <f t="shared" ref="I9154:I9183" si="1088">MID(B9154,1,3)</f>
        <v>019</v>
      </c>
      <c r="J9154" s="5" t="str">
        <f t="shared" ref="J9154:J9183" si="1089">MID(B9154,5,4)</f>
        <v>2230</v>
      </c>
      <c r="K9154" s="5" t="str">
        <f t="shared" ref="K9154:K9183" si="1090">MID(B9154,10,3)</f>
        <v>000</v>
      </c>
      <c r="L9154" s="5">
        <f t="shared" ref="L9154:L9183" si="1091">MONTH(A9154)</f>
        <v>10</v>
      </c>
      <c r="M9154" s="5">
        <f t="shared" ref="M9154:M9183" si="1092">YEAR(A9154)</f>
        <v>2013</v>
      </c>
    </row>
    <row r="9155" spans="1:13" ht="15" x14ac:dyDescent="0.25">
      <c r="A9155" s="1">
        <f>DATE(2013,10,21)</f>
        <v>41568</v>
      </c>
      <c r="B9155" t="s">
        <v>27</v>
      </c>
      <c r="C9155" t="s">
        <v>6</v>
      </c>
      <c r="D9155" s="3">
        <v>9837.0687999999991</v>
      </c>
      <c r="E9155" s="3">
        <v>0</v>
      </c>
      <c r="F9155" t="s">
        <v>45</v>
      </c>
      <c r="G9155" s="3">
        <f t="shared" si="1086"/>
        <v>-9837.0687999999991</v>
      </c>
      <c r="H9155" s="3">
        <f t="shared" si="1087"/>
        <v>9837.0687999999991</v>
      </c>
      <c r="I9155" s="5" t="str">
        <f t="shared" si="1088"/>
        <v>020</v>
      </c>
      <c r="J9155" s="5" t="str">
        <f t="shared" si="1089"/>
        <v>2100</v>
      </c>
      <c r="K9155" s="5" t="str">
        <f t="shared" si="1090"/>
        <v>000</v>
      </c>
      <c r="L9155" s="5">
        <f t="shared" si="1091"/>
        <v>10</v>
      </c>
      <c r="M9155" s="5">
        <f t="shared" si="1092"/>
        <v>2013</v>
      </c>
    </row>
    <row r="9156" spans="1:13" ht="15" x14ac:dyDescent="0.25">
      <c r="A9156" s="1">
        <f>DATE(2013,10,21)</f>
        <v>41568</v>
      </c>
      <c r="B9156" t="s">
        <v>28</v>
      </c>
      <c r="C9156" t="s">
        <v>8</v>
      </c>
      <c r="D9156" s="3">
        <v>2827.2509999999997</v>
      </c>
      <c r="E9156" s="3">
        <v>0</v>
      </c>
      <c r="F9156" t="s">
        <v>45</v>
      </c>
      <c r="G9156" s="3">
        <f t="shared" si="1086"/>
        <v>-2827.2509999999997</v>
      </c>
      <c r="H9156" s="3">
        <f t="shared" si="1087"/>
        <v>2827.2509999999997</v>
      </c>
      <c r="I9156" s="5" t="str">
        <f t="shared" si="1088"/>
        <v>020</v>
      </c>
      <c r="J9156" s="5" t="str">
        <f t="shared" si="1089"/>
        <v>2210</v>
      </c>
      <c r="K9156" s="5" t="str">
        <f t="shared" si="1090"/>
        <v>000</v>
      </c>
      <c r="L9156" s="5">
        <f t="shared" si="1091"/>
        <v>10</v>
      </c>
      <c r="M9156" s="5">
        <f t="shared" si="1092"/>
        <v>2013</v>
      </c>
    </row>
    <row r="9157" spans="1:13" ht="15" x14ac:dyDescent="0.25">
      <c r="A9157" s="1">
        <f>DATE(2013,10,21)</f>
        <v>41568</v>
      </c>
      <c r="B9157" t="s">
        <v>29</v>
      </c>
      <c r="C9157" t="s">
        <v>9</v>
      </c>
      <c r="D9157" s="3">
        <v>434.88060000000002</v>
      </c>
      <c r="E9157" s="3">
        <v>0</v>
      </c>
      <c r="F9157" t="s">
        <v>45</v>
      </c>
      <c r="G9157" s="3">
        <f t="shared" si="1086"/>
        <v>-434.88060000000002</v>
      </c>
      <c r="H9157" s="3">
        <f t="shared" si="1087"/>
        <v>434.88060000000002</v>
      </c>
      <c r="I9157" s="5" t="str">
        <f t="shared" si="1088"/>
        <v>020</v>
      </c>
      <c r="J9157" s="5" t="str">
        <f t="shared" si="1089"/>
        <v>2220</v>
      </c>
      <c r="K9157" s="5" t="str">
        <f t="shared" si="1090"/>
        <v>000</v>
      </c>
      <c r="L9157" s="5">
        <f t="shared" si="1091"/>
        <v>10</v>
      </c>
      <c r="M9157" s="5">
        <f t="shared" si="1092"/>
        <v>2013</v>
      </c>
    </row>
    <row r="9158" spans="1:13" ht="15" x14ac:dyDescent="0.25">
      <c r="A9158" s="1">
        <f>DATE(2013,10,21)</f>
        <v>41568</v>
      </c>
      <c r="B9158" t="s">
        <v>30</v>
      </c>
      <c r="C9158" t="s">
        <v>10</v>
      </c>
      <c r="D9158" s="3">
        <v>142.09020000000001</v>
      </c>
      <c r="E9158" s="3">
        <v>0</v>
      </c>
      <c r="F9158" t="s">
        <v>45</v>
      </c>
      <c r="G9158" s="3">
        <f t="shared" si="1086"/>
        <v>-142.09020000000001</v>
      </c>
      <c r="H9158" s="3">
        <f t="shared" si="1087"/>
        <v>142.09020000000001</v>
      </c>
      <c r="I9158" s="5" t="str">
        <f t="shared" si="1088"/>
        <v>020</v>
      </c>
      <c r="J9158" s="5" t="str">
        <f t="shared" si="1089"/>
        <v>2230</v>
      </c>
      <c r="K9158" s="5" t="str">
        <f t="shared" si="1090"/>
        <v>000</v>
      </c>
      <c r="L9158" s="5">
        <f t="shared" si="1091"/>
        <v>10</v>
      </c>
      <c r="M9158" s="5">
        <f t="shared" si="1092"/>
        <v>2013</v>
      </c>
    </row>
    <row r="9159" spans="1:13" ht="15" x14ac:dyDescent="0.25">
      <c r="A9159" s="1">
        <f>DATE(2013,10,22)</f>
        <v>41569</v>
      </c>
      <c r="B9159" t="s">
        <v>27</v>
      </c>
      <c r="C9159" t="s">
        <v>6</v>
      </c>
      <c r="D9159" s="3">
        <v>13790.459499999999</v>
      </c>
      <c r="E9159" s="3">
        <v>0</v>
      </c>
      <c r="F9159" t="s">
        <v>45</v>
      </c>
      <c r="G9159" s="3">
        <f t="shared" si="1086"/>
        <v>-13790.459499999999</v>
      </c>
      <c r="H9159" s="3">
        <f t="shared" si="1087"/>
        <v>13790.459499999999</v>
      </c>
      <c r="I9159" s="5" t="str">
        <f t="shared" si="1088"/>
        <v>020</v>
      </c>
      <c r="J9159" s="5" t="str">
        <f t="shared" si="1089"/>
        <v>2100</v>
      </c>
      <c r="K9159" s="5" t="str">
        <f t="shared" si="1090"/>
        <v>000</v>
      </c>
      <c r="L9159" s="5">
        <f t="shared" si="1091"/>
        <v>10</v>
      </c>
      <c r="M9159" s="5">
        <f t="shared" si="1092"/>
        <v>2013</v>
      </c>
    </row>
    <row r="9160" spans="1:13" ht="15" x14ac:dyDescent="0.25">
      <c r="A9160" s="1">
        <f>DATE(2013,10,22)</f>
        <v>41569</v>
      </c>
      <c r="B9160" t="s">
        <v>28</v>
      </c>
      <c r="C9160" t="s">
        <v>8</v>
      </c>
      <c r="D9160" s="3">
        <v>2732.6711999999998</v>
      </c>
      <c r="E9160" s="3">
        <v>0</v>
      </c>
      <c r="F9160" t="s">
        <v>45</v>
      </c>
      <c r="G9160" s="3">
        <f t="shared" si="1086"/>
        <v>-2732.6711999999998</v>
      </c>
      <c r="H9160" s="3">
        <f t="shared" si="1087"/>
        <v>2732.6711999999998</v>
      </c>
      <c r="I9160" s="5" t="str">
        <f t="shared" si="1088"/>
        <v>020</v>
      </c>
      <c r="J9160" s="5" t="str">
        <f t="shared" si="1089"/>
        <v>2210</v>
      </c>
      <c r="K9160" s="5" t="str">
        <f t="shared" si="1090"/>
        <v>000</v>
      </c>
      <c r="L9160" s="5">
        <f t="shared" si="1091"/>
        <v>10</v>
      </c>
      <c r="M9160" s="5">
        <f t="shared" si="1092"/>
        <v>2013</v>
      </c>
    </row>
    <row r="9161" spans="1:13" ht="15" x14ac:dyDescent="0.25">
      <c r="A9161" s="1">
        <f>DATE(2013,10,22)</f>
        <v>41569</v>
      </c>
      <c r="B9161" t="s">
        <v>29</v>
      </c>
      <c r="C9161" t="s">
        <v>9</v>
      </c>
      <c r="D9161" s="3">
        <v>607.28430000000003</v>
      </c>
      <c r="E9161" s="3">
        <v>0</v>
      </c>
      <c r="F9161" t="s">
        <v>45</v>
      </c>
      <c r="G9161" s="3">
        <f t="shared" si="1086"/>
        <v>-607.28430000000003</v>
      </c>
      <c r="H9161" s="3">
        <f t="shared" si="1087"/>
        <v>607.28430000000003</v>
      </c>
      <c r="I9161" s="5" t="str">
        <f t="shared" si="1088"/>
        <v>020</v>
      </c>
      <c r="J9161" s="5" t="str">
        <f t="shared" si="1089"/>
        <v>2220</v>
      </c>
      <c r="K9161" s="5" t="str">
        <f t="shared" si="1090"/>
        <v>000</v>
      </c>
      <c r="L9161" s="5">
        <f t="shared" si="1091"/>
        <v>10</v>
      </c>
      <c r="M9161" s="5">
        <f t="shared" si="1092"/>
        <v>2013</v>
      </c>
    </row>
    <row r="9162" spans="1:13" ht="15" x14ac:dyDescent="0.25">
      <c r="A9162" s="1">
        <f>DATE(2013,10,22)</f>
        <v>41569</v>
      </c>
      <c r="B9162" t="s">
        <v>30</v>
      </c>
      <c r="C9162" t="s">
        <v>10</v>
      </c>
      <c r="D9162" s="3">
        <v>130.00900000000001</v>
      </c>
      <c r="E9162" s="3">
        <v>0</v>
      </c>
      <c r="F9162" t="s">
        <v>45</v>
      </c>
      <c r="G9162" s="3">
        <f t="shared" si="1086"/>
        <v>-130.00900000000001</v>
      </c>
      <c r="H9162" s="3">
        <f t="shared" si="1087"/>
        <v>130.00900000000001</v>
      </c>
      <c r="I9162" s="5" t="str">
        <f t="shared" si="1088"/>
        <v>020</v>
      </c>
      <c r="J9162" s="5" t="str">
        <f t="shared" si="1089"/>
        <v>2230</v>
      </c>
      <c r="K9162" s="5" t="str">
        <f t="shared" si="1090"/>
        <v>000</v>
      </c>
      <c r="L9162" s="5">
        <f t="shared" si="1091"/>
        <v>10</v>
      </c>
      <c r="M9162" s="5">
        <f t="shared" si="1092"/>
        <v>2013</v>
      </c>
    </row>
    <row r="9163" spans="1:13" ht="15" x14ac:dyDescent="0.25">
      <c r="A9163" s="1">
        <f>DATE(2013,10,23)</f>
        <v>41570</v>
      </c>
      <c r="B9163" t="s">
        <v>27</v>
      </c>
      <c r="C9163" t="s">
        <v>6</v>
      </c>
      <c r="D9163" s="3">
        <v>11507.034500000002</v>
      </c>
      <c r="E9163" s="3">
        <v>0</v>
      </c>
      <c r="F9163" t="s">
        <v>45</v>
      </c>
      <c r="G9163" s="3">
        <f t="shared" si="1086"/>
        <v>-11507.034500000002</v>
      </c>
      <c r="H9163" s="3">
        <f t="shared" si="1087"/>
        <v>11507.034500000002</v>
      </c>
      <c r="I9163" s="5" t="str">
        <f t="shared" si="1088"/>
        <v>020</v>
      </c>
      <c r="J9163" s="5" t="str">
        <f t="shared" si="1089"/>
        <v>2100</v>
      </c>
      <c r="K9163" s="5" t="str">
        <f t="shared" si="1090"/>
        <v>000</v>
      </c>
      <c r="L9163" s="5">
        <f t="shared" si="1091"/>
        <v>10</v>
      </c>
      <c r="M9163" s="5">
        <f t="shared" si="1092"/>
        <v>2013</v>
      </c>
    </row>
    <row r="9164" spans="1:13" ht="15" x14ac:dyDescent="0.25">
      <c r="A9164" s="1">
        <f>DATE(2013,10,23)</f>
        <v>41570</v>
      </c>
      <c r="B9164" t="s">
        <v>28</v>
      </c>
      <c r="C9164" t="s">
        <v>8</v>
      </c>
      <c r="D9164" s="3">
        <v>3786.3004999999998</v>
      </c>
      <c r="E9164" s="3">
        <v>0</v>
      </c>
      <c r="F9164" t="s">
        <v>45</v>
      </c>
      <c r="G9164" s="3">
        <f t="shared" si="1086"/>
        <v>-3786.3004999999998</v>
      </c>
      <c r="H9164" s="3">
        <f t="shared" si="1087"/>
        <v>3786.3004999999998</v>
      </c>
      <c r="I9164" s="5" t="str">
        <f t="shared" si="1088"/>
        <v>020</v>
      </c>
      <c r="J9164" s="5" t="str">
        <f t="shared" si="1089"/>
        <v>2210</v>
      </c>
      <c r="K9164" s="5" t="str">
        <f t="shared" si="1090"/>
        <v>000</v>
      </c>
      <c r="L9164" s="5">
        <f t="shared" si="1091"/>
        <v>10</v>
      </c>
      <c r="M9164" s="5">
        <f t="shared" si="1092"/>
        <v>2013</v>
      </c>
    </row>
    <row r="9165" spans="1:13" ht="15" x14ac:dyDescent="0.25">
      <c r="A9165" s="1">
        <f>DATE(2013,10,23)</f>
        <v>41570</v>
      </c>
      <c r="B9165" t="s">
        <v>29</v>
      </c>
      <c r="C9165" t="s">
        <v>9</v>
      </c>
      <c r="D9165" s="3">
        <v>861.72149999999999</v>
      </c>
      <c r="E9165" s="3">
        <v>0</v>
      </c>
      <c r="F9165" t="s">
        <v>45</v>
      </c>
      <c r="G9165" s="3">
        <f t="shared" si="1086"/>
        <v>-861.72149999999999</v>
      </c>
      <c r="H9165" s="3">
        <f t="shared" si="1087"/>
        <v>861.72149999999999</v>
      </c>
      <c r="I9165" s="5" t="str">
        <f t="shared" si="1088"/>
        <v>020</v>
      </c>
      <c r="J9165" s="5" t="str">
        <f t="shared" si="1089"/>
        <v>2220</v>
      </c>
      <c r="K9165" s="5" t="str">
        <f t="shared" si="1090"/>
        <v>000</v>
      </c>
      <c r="L9165" s="5">
        <f t="shared" si="1091"/>
        <v>10</v>
      </c>
      <c r="M9165" s="5">
        <f t="shared" si="1092"/>
        <v>2013</v>
      </c>
    </row>
    <row r="9166" spans="1:13" ht="15" x14ac:dyDescent="0.25">
      <c r="A9166" s="1">
        <f>DATE(2013,10,23)</f>
        <v>41570</v>
      </c>
      <c r="B9166" t="s">
        <v>30</v>
      </c>
      <c r="C9166" t="s">
        <v>10</v>
      </c>
      <c r="D9166" s="3">
        <v>159.14619999999999</v>
      </c>
      <c r="E9166" s="3">
        <v>0</v>
      </c>
      <c r="F9166" t="s">
        <v>45</v>
      </c>
      <c r="G9166" s="3">
        <f t="shared" si="1086"/>
        <v>-159.14619999999999</v>
      </c>
      <c r="H9166" s="3">
        <f t="shared" si="1087"/>
        <v>159.14619999999999</v>
      </c>
      <c r="I9166" s="5" t="str">
        <f t="shared" si="1088"/>
        <v>020</v>
      </c>
      <c r="J9166" s="5" t="str">
        <f t="shared" si="1089"/>
        <v>2230</v>
      </c>
      <c r="K9166" s="5" t="str">
        <f t="shared" si="1090"/>
        <v>000</v>
      </c>
      <c r="L9166" s="5">
        <f t="shared" si="1091"/>
        <v>10</v>
      </c>
      <c r="M9166" s="5">
        <f t="shared" si="1092"/>
        <v>2013</v>
      </c>
    </row>
    <row r="9167" spans="1:13" ht="15" x14ac:dyDescent="0.25">
      <c r="A9167" s="1">
        <f>DATE(2013,10,24)</f>
        <v>41571</v>
      </c>
      <c r="B9167" t="s">
        <v>27</v>
      </c>
      <c r="C9167" t="s">
        <v>6</v>
      </c>
      <c r="D9167" s="3">
        <v>13020.181200000001</v>
      </c>
      <c r="E9167" s="3">
        <v>0</v>
      </c>
      <c r="F9167" t="s">
        <v>45</v>
      </c>
      <c r="G9167" s="3">
        <f t="shared" si="1086"/>
        <v>-13020.181200000001</v>
      </c>
      <c r="H9167" s="3">
        <f t="shared" si="1087"/>
        <v>13020.181200000001</v>
      </c>
      <c r="I9167" s="5" t="str">
        <f t="shared" si="1088"/>
        <v>020</v>
      </c>
      <c r="J9167" s="5" t="str">
        <f t="shared" si="1089"/>
        <v>2100</v>
      </c>
      <c r="K9167" s="5" t="str">
        <f t="shared" si="1090"/>
        <v>000</v>
      </c>
      <c r="L9167" s="5">
        <f t="shared" si="1091"/>
        <v>10</v>
      </c>
      <c r="M9167" s="5">
        <f t="shared" si="1092"/>
        <v>2013</v>
      </c>
    </row>
    <row r="9168" spans="1:13" ht="15" x14ac:dyDescent="0.25">
      <c r="A9168" s="1">
        <f>DATE(2013,10,24)</f>
        <v>41571</v>
      </c>
      <c r="B9168" t="s">
        <v>28</v>
      </c>
      <c r="C9168" t="s">
        <v>8</v>
      </c>
      <c r="D9168" s="3">
        <v>4686.3258000000005</v>
      </c>
      <c r="E9168" s="3">
        <v>0</v>
      </c>
      <c r="F9168" t="s">
        <v>45</v>
      </c>
      <c r="G9168" s="3">
        <f t="shared" si="1086"/>
        <v>-4686.3258000000005</v>
      </c>
      <c r="H9168" s="3">
        <f t="shared" si="1087"/>
        <v>4686.3258000000005</v>
      </c>
      <c r="I9168" s="5" t="str">
        <f t="shared" si="1088"/>
        <v>020</v>
      </c>
      <c r="J9168" s="5" t="str">
        <f t="shared" si="1089"/>
        <v>2210</v>
      </c>
      <c r="K9168" s="5" t="str">
        <f t="shared" si="1090"/>
        <v>000</v>
      </c>
      <c r="L9168" s="5">
        <f t="shared" si="1091"/>
        <v>10</v>
      </c>
      <c r="M9168" s="5">
        <f t="shared" si="1092"/>
        <v>2013</v>
      </c>
    </row>
    <row r="9169" spans="1:13" ht="15" x14ac:dyDescent="0.25">
      <c r="A9169" s="1">
        <f>DATE(2013,10,24)</f>
        <v>41571</v>
      </c>
      <c r="B9169" t="s">
        <v>29</v>
      </c>
      <c r="C9169" t="s">
        <v>9</v>
      </c>
      <c r="D9169" s="3">
        <v>871.31880000000012</v>
      </c>
      <c r="E9169" s="3">
        <v>0</v>
      </c>
      <c r="F9169" t="s">
        <v>45</v>
      </c>
      <c r="G9169" s="3">
        <f t="shared" si="1086"/>
        <v>-871.31880000000012</v>
      </c>
      <c r="H9169" s="3">
        <f t="shared" si="1087"/>
        <v>871.31880000000012</v>
      </c>
      <c r="I9169" s="5" t="str">
        <f t="shared" si="1088"/>
        <v>020</v>
      </c>
      <c r="J9169" s="5" t="str">
        <f t="shared" si="1089"/>
        <v>2220</v>
      </c>
      <c r="K9169" s="5" t="str">
        <f t="shared" si="1090"/>
        <v>000</v>
      </c>
      <c r="L9169" s="5">
        <f t="shared" si="1091"/>
        <v>10</v>
      </c>
      <c r="M9169" s="5">
        <f t="shared" si="1092"/>
        <v>2013</v>
      </c>
    </row>
    <row r="9170" spans="1:13" ht="15" x14ac:dyDescent="0.25">
      <c r="A9170" s="1">
        <f>DATE(2013,10,24)</f>
        <v>41571</v>
      </c>
      <c r="B9170" t="s">
        <v>30</v>
      </c>
      <c r="C9170" t="s">
        <v>10</v>
      </c>
      <c r="D9170" s="3">
        <v>234.67860000000002</v>
      </c>
      <c r="E9170" s="3">
        <v>0</v>
      </c>
      <c r="F9170" t="s">
        <v>45</v>
      </c>
      <c r="G9170" s="3">
        <f t="shared" si="1086"/>
        <v>-234.67860000000002</v>
      </c>
      <c r="H9170" s="3">
        <f t="shared" si="1087"/>
        <v>234.67860000000002</v>
      </c>
      <c r="I9170" s="5" t="str">
        <f t="shared" si="1088"/>
        <v>020</v>
      </c>
      <c r="J9170" s="5" t="str">
        <f t="shared" si="1089"/>
        <v>2230</v>
      </c>
      <c r="K9170" s="5" t="str">
        <f t="shared" si="1090"/>
        <v>000</v>
      </c>
      <c r="L9170" s="5">
        <f t="shared" si="1091"/>
        <v>10</v>
      </c>
      <c r="M9170" s="5">
        <f t="shared" si="1092"/>
        <v>2013</v>
      </c>
    </row>
    <row r="9171" spans="1:13" ht="15" x14ac:dyDescent="0.25">
      <c r="A9171" s="1">
        <f>DATE(2013,10,25)</f>
        <v>41572</v>
      </c>
      <c r="B9171" t="s">
        <v>27</v>
      </c>
      <c r="C9171" t="s">
        <v>6</v>
      </c>
      <c r="D9171" s="3">
        <v>13614.554599999998</v>
      </c>
      <c r="E9171" s="3">
        <v>0</v>
      </c>
      <c r="F9171" t="s">
        <v>45</v>
      </c>
      <c r="G9171" s="3">
        <f t="shared" si="1086"/>
        <v>-13614.554599999998</v>
      </c>
      <c r="H9171" s="3">
        <f t="shared" si="1087"/>
        <v>13614.554599999998</v>
      </c>
      <c r="I9171" s="5" t="str">
        <f t="shared" si="1088"/>
        <v>020</v>
      </c>
      <c r="J9171" s="5" t="str">
        <f t="shared" si="1089"/>
        <v>2100</v>
      </c>
      <c r="K9171" s="5" t="str">
        <f t="shared" si="1090"/>
        <v>000</v>
      </c>
      <c r="L9171" s="5">
        <f t="shared" si="1091"/>
        <v>10</v>
      </c>
      <c r="M9171" s="5">
        <f t="shared" si="1092"/>
        <v>2013</v>
      </c>
    </row>
    <row r="9172" spans="1:13" ht="15" x14ac:dyDescent="0.25">
      <c r="A9172" s="1">
        <f>DATE(2013,10,25)</f>
        <v>41572</v>
      </c>
      <c r="B9172" t="s">
        <v>28</v>
      </c>
      <c r="C9172" t="s">
        <v>8</v>
      </c>
      <c r="D9172" s="3">
        <v>7690.9520000000011</v>
      </c>
      <c r="E9172" s="3">
        <v>0</v>
      </c>
      <c r="F9172" t="s">
        <v>45</v>
      </c>
      <c r="G9172" s="3">
        <f t="shared" si="1086"/>
        <v>-7690.9520000000011</v>
      </c>
      <c r="H9172" s="3">
        <f t="shared" si="1087"/>
        <v>7690.9520000000011</v>
      </c>
      <c r="I9172" s="5" t="str">
        <f t="shared" si="1088"/>
        <v>020</v>
      </c>
      <c r="J9172" s="5" t="str">
        <f t="shared" si="1089"/>
        <v>2210</v>
      </c>
      <c r="K9172" s="5" t="str">
        <f t="shared" si="1090"/>
        <v>000</v>
      </c>
      <c r="L9172" s="5">
        <f t="shared" si="1091"/>
        <v>10</v>
      </c>
      <c r="M9172" s="5">
        <f t="shared" si="1092"/>
        <v>2013</v>
      </c>
    </row>
    <row r="9173" spans="1:13" ht="15" x14ac:dyDescent="0.25">
      <c r="A9173" s="1">
        <f>DATE(2013,10,25)</f>
        <v>41572</v>
      </c>
      <c r="B9173" t="s">
        <v>29</v>
      </c>
      <c r="C9173" t="s">
        <v>9</v>
      </c>
      <c r="D9173" s="3">
        <v>1300.9073000000001</v>
      </c>
      <c r="E9173" s="3">
        <v>0</v>
      </c>
      <c r="F9173" t="s">
        <v>45</v>
      </c>
      <c r="G9173" s="3">
        <f t="shared" si="1086"/>
        <v>-1300.9073000000001</v>
      </c>
      <c r="H9173" s="3">
        <f t="shared" si="1087"/>
        <v>1300.9073000000001</v>
      </c>
      <c r="I9173" s="5" t="str">
        <f t="shared" si="1088"/>
        <v>020</v>
      </c>
      <c r="J9173" s="5" t="str">
        <f t="shared" si="1089"/>
        <v>2220</v>
      </c>
      <c r="K9173" s="5" t="str">
        <f t="shared" si="1090"/>
        <v>000</v>
      </c>
      <c r="L9173" s="5">
        <f t="shared" si="1091"/>
        <v>10</v>
      </c>
      <c r="M9173" s="5">
        <f t="shared" si="1092"/>
        <v>2013</v>
      </c>
    </row>
    <row r="9174" spans="1:13" ht="15" x14ac:dyDescent="0.25">
      <c r="A9174" s="1">
        <f>DATE(2013,10,25)</f>
        <v>41572</v>
      </c>
      <c r="B9174" t="s">
        <v>30</v>
      </c>
      <c r="C9174" t="s">
        <v>10</v>
      </c>
      <c r="D9174" s="3">
        <v>272.22719999999998</v>
      </c>
      <c r="E9174" s="3">
        <v>0</v>
      </c>
      <c r="F9174" t="s">
        <v>45</v>
      </c>
      <c r="G9174" s="3">
        <f t="shared" si="1086"/>
        <v>-272.22719999999998</v>
      </c>
      <c r="H9174" s="3">
        <f t="shared" si="1087"/>
        <v>272.22719999999998</v>
      </c>
      <c r="I9174" s="5" t="str">
        <f t="shared" si="1088"/>
        <v>020</v>
      </c>
      <c r="J9174" s="5" t="str">
        <f t="shared" si="1089"/>
        <v>2230</v>
      </c>
      <c r="K9174" s="5" t="str">
        <f t="shared" si="1090"/>
        <v>000</v>
      </c>
      <c r="L9174" s="5">
        <f t="shared" si="1091"/>
        <v>10</v>
      </c>
      <c r="M9174" s="5">
        <f t="shared" si="1092"/>
        <v>2013</v>
      </c>
    </row>
    <row r="9175" spans="1:13" ht="15" x14ac:dyDescent="0.25">
      <c r="A9175" s="1">
        <f>DATE(2013,10,26)</f>
        <v>41573</v>
      </c>
      <c r="B9175" t="s">
        <v>27</v>
      </c>
      <c r="C9175" t="s">
        <v>6</v>
      </c>
      <c r="D9175" s="3">
        <v>20720.135900000001</v>
      </c>
      <c r="E9175" s="3">
        <v>0</v>
      </c>
      <c r="F9175" t="s">
        <v>45</v>
      </c>
      <c r="G9175" s="3">
        <f t="shared" si="1086"/>
        <v>-20720.135900000001</v>
      </c>
      <c r="H9175" s="3">
        <f t="shared" si="1087"/>
        <v>20720.135900000001</v>
      </c>
      <c r="I9175" s="5" t="str">
        <f t="shared" si="1088"/>
        <v>020</v>
      </c>
      <c r="J9175" s="5" t="str">
        <f t="shared" si="1089"/>
        <v>2100</v>
      </c>
      <c r="K9175" s="5" t="str">
        <f t="shared" si="1090"/>
        <v>000</v>
      </c>
      <c r="L9175" s="5">
        <f t="shared" si="1091"/>
        <v>10</v>
      </c>
      <c r="M9175" s="5">
        <f t="shared" si="1092"/>
        <v>2013</v>
      </c>
    </row>
    <row r="9176" spans="1:13" ht="15" x14ac:dyDescent="0.25">
      <c r="A9176" s="1">
        <f>DATE(2013,10,26)</f>
        <v>41573</v>
      </c>
      <c r="B9176" t="s">
        <v>28</v>
      </c>
      <c r="C9176" t="s">
        <v>8</v>
      </c>
      <c r="D9176" s="3">
        <v>10181.321</v>
      </c>
      <c r="E9176" s="3">
        <v>0</v>
      </c>
      <c r="F9176" t="s">
        <v>45</v>
      </c>
      <c r="G9176" s="3">
        <f t="shared" si="1086"/>
        <v>-10181.321</v>
      </c>
      <c r="H9176" s="3">
        <f t="shared" si="1087"/>
        <v>10181.321</v>
      </c>
      <c r="I9176" s="5" t="str">
        <f t="shared" si="1088"/>
        <v>020</v>
      </c>
      <c r="J9176" s="5" t="str">
        <f t="shared" si="1089"/>
        <v>2210</v>
      </c>
      <c r="K9176" s="5" t="str">
        <f t="shared" si="1090"/>
        <v>000</v>
      </c>
      <c r="L9176" s="5">
        <f t="shared" si="1091"/>
        <v>10</v>
      </c>
      <c r="M9176" s="5">
        <f t="shared" si="1092"/>
        <v>2013</v>
      </c>
    </row>
    <row r="9177" spans="1:13" ht="15" x14ac:dyDescent="0.25">
      <c r="A9177" s="1">
        <f>DATE(2013,10,26)</f>
        <v>41573</v>
      </c>
      <c r="B9177" t="s">
        <v>29</v>
      </c>
      <c r="C9177" t="s">
        <v>9</v>
      </c>
      <c r="D9177" s="3">
        <v>1925.9127000000001</v>
      </c>
      <c r="E9177" s="3">
        <v>0</v>
      </c>
      <c r="F9177" t="s">
        <v>45</v>
      </c>
      <c r="G9177" s="3">
        <f t="shared" si="1086"/>
        <v>-1925.9127000000001</v>
      </c>
      <c r="H9177" s="3">
        <f t="shared" si="1087"/>
        <v>1925.9127000000001</v>
      </c>
      <c r="I9177" s="5" t="str">
        <f t="shared" si="1088"/>
        <v>020</v>
      </c>
      <c r="J9177" s="5" t="str">
        <f t="shared" si="1089"/>
        <v>2220</v>
      </c>
      <c r="K9177" s="5" t="str">
        <f t="shared" si="1090"/>
        <v>000</v>
      </c>
      <c r="L9177" s="5">
        <f t="shared" si="1091"/>
        <v>10</v>
      </c>
      <c r="M9177" s="5">
        <f t="shared" si="1092"/>
        <v>2013</v>
      </c>
    </row>
    <row r="9178" spans="1:13" ht="15" x14ac:dyDescent="0.25">
      <c r="A9178" s="1">
        <f>DATE(2013,10,26)</f>
        <v>41573</v>
      </c>
      <c r="B9178" t="s">
        <v>30</v>
      </c>
      <c r="C9178" t="s">
        <v>10</v>
      </c>
      <c r="D9178" s="3">
        <v>213.97379999999998</v>
      </c>
      <c r="E9178" s="3">
        <v>0</v>
      </c>
      <c r="F9178" t="s">
        <v>45</v>
      </c>
      <c r="G9178" s="3">
        <f t="shared" si="1086"/>
        <v>-213.97379999999998</v>
      </c>
      <c r="H9178" s="3">
        <f t="shared" si="1087"/>
        <v>213.97379999999998</v>
      </c>
      <c r="I9178" s="5" t="str">
        <f t="shared" si="1088"/>
        <v>020</v>
      </c>
      <c r="J9178" s="5" t="str">
        <f t="shared" si="1089"/>
        <v>2230</v>
      </c>
      <c r="K9178" s="5" t="str">
        <f t="shared" si="1090"/>
        <v>000</v>
      </c>
      <c r="L9178" s="5">
        <f t="shared" si="1091"/>
        <v>10</v>
      </c>
      <c r="M9178" s="5">
        <f t="shared" si="1092"/>
        <v>2013</v>
      </c>
    </row>
    <row r="9179" spans="1:13" ht="15" x14ac:dyDescent="0.25">
      <c r="A9179" s="1">
        <f>DATE(2013,10,27)</f>
        <v>41574</v>
      </c>
      <c r="B9179" t="s">
        <v>27</v>
      </c>
      <c r="C9179" t="s">
        <v>6</v>
      </c>
      <c r="D9179" s="3">
        <v>15158.725699999999</v>
      </c>
      <c r="E9179" s="3">
        <v>0</v>
      </c>
      <c r="F9179" t="s">
        <v>45</v>
      </c>
      <c r="G9179" s="3">
        <f t="shared" si="1086"/>
        <v>-15158.725699999999</v>
      </c>
      <c r="H9179" s="3">
        <f t="shared" si="1087"/>
        <v>15158.725699999999</v>
      </c>
      <c r="I9179" s="5" t="str">
        <f t="shared" si="1088"/>
        <v>020</v>
      </c>
      <c r="J9179" s="5" t="str">
        <f t="shared" si="1089"/>
        <v>2100</v>
      </c>
      <c r="K9179" s="5" t="str">
        <f t="shared" si="1090"/>
        <v>000</v>
      </c>
      <c r="L9179" s="5">
        <f t="shared" si="1091"/>
        <v>10</v>
      </c>
      <c r="M9179" s="5">
        <f t="shared" si="1092"/>
        <v>2013</v>
      </c>
    </row>
    <row r="9180" spans="1:13" ht="15" x14ac:dyDescent="0.25">
      <c r="A9180" s="1">
        <f>DATE(2013,10,27)</f>
        <v>41574</v>
      </c>
      <c r="B9180" t="s">
        <v>28</v>
      </c>
      <c r="C9180" t="s">
        <v>8</v>
      </c>
      <c r="D9180" s="3">
        <v>5148.9989999999998</v>
      </c>
      <c r="E9180" s="3">
        <v>0</v>
      </c>
      <c r="F9180" t="s">
        <v>45</v>
      </c>
      <c r="G9180" s="3">
        <f t="shared" si="1086"/>
        <v>-5148.9989999999998</v>
      </c>
      <c r="H9180" s="3">
        <f t="shared" si="1087"/>
        <v>5148.9989999999998</v>
      </c>
      <c r="I9180" s="5" t="str">
        <f t="shared" si="1088"/>
        <v>020</v>
      </c>
      <c r="J9180" s="5" t="str">
        <f t="shared" si="1089"/>
        <v>2210</v>
      </c>
      <c r="K9180" s="5" t="str">
        <f t="shared" si="1090"/>
        <v>000</v>
      </c>
      <c r="L9180" s="5">
        <f t="shared" si="1091"/>
        <v>10</v>
      </c>
      <c r="M9180" s="5">
        <f t="shared" si="1092"/>
        <v>2013</v>
      </c>
    </row>
    <row r="9181" spans="1:13" ht="15" x14ac:dyDescent="0.25">
      <c r="A9181" s="1">
        <f>DATE(2013,10,27)</f>
        <v>41574</v>
      </c>
      <c r="B9181" t="s">
        <v>29</v>
      </c>
      <c r="C9181" t="s">
        <v>9</v>
      </c>
      <c r="D9181" s="3">
        <v>738.11400000000003</v>
      </c>
      <c r="E9181" s="3">
        <v>0</v>
      </c>
      <c r="F9181" t="s">
        <v>45</v>
      </c>
      <c r="G9181" s="3">
        <f t="shared" si="1086"/>
        <v>-738.11400000000003</v>
      </c>
      <c r="H9181" s="3">
        <f t="shared" si="1087"/>
        <v>738.11400000000003</v>
      </c>
      <c r="I9181" s="5" t="str">
        <f t="shared" si="1088"/>
        <v>020</v>
      </c>
      <c r="J9181" s="5" t="str">
        <f t="shared" si="1089"/>
        <v>2220</v>
      </c>
      <c r="K9181" s="5" t="str">
        <f t="shared" si="1090"/>
        <v>000</v>
      </c>
      <c r="L9181" s="5">
        <f t="shared" si="1091"/>
        <v>10</v>
      </c>
      <c r="M9181" s="5">
        <f t="shared" si="1092"/>
        <v>2013</v>
      </c>
    </row>
    <row r="9182" spans="1:13" ht="15" x14ac:dyDescent="0.25">
      <c r="A9182" s="1">
        <f>DATE(2013,10,27)</f>
        <v>41574</v>
      </c>
      <c r="B9182" t="s">
        <v>30</v>
      </c>
      <c r="C9182" t="s">
        <v>10</v>
      </c>
      <c r="D9182" s="3">
        <v>161.4306</v>
      </c>
      <c r="E9182" s="3">
        <v>0</v>
      </c>
      <c r="F9182" t="s">
        <v>45</v>
      </c>
      <c r="G9182" s="3">
        <f t="shared" si="1086"/>
        <v>-161.4306</v>
      </c>
      <c r="H9182" s="3">
        <f t="shared" si="1087"/>
        <v>161.4306</v>
      </c>
      <c r="I9182" s="5" t="str">
        <f t="shared" si="1088"/>
        <v>020</v>
      </c>
      <c r="J9182" s="5" t="str">
        <f t="shared" si="1089"/>
        <v>2230</v>
      </c>
      <c r="K9182" s="5" t="str">
        <f t="shared" si="1090"/>
        <v>000</v>
      </c>
      <c r="L9182" s="5">
        <f t="shared" si="1091"/>
        <v>10</v>
      </c>
      <c r="M9182" s="5">
        <f t="shared" si="1092"/>
        <v>2013</v>
      </c>
    </row>
    <row r="9183" spans="1:13" ht="15" x14ac:dyDescent="0.25">
      <c r="A9183" s="1">
        <f>DATE(2013,10,26)</f>
        <v>41573</v>
      </c>
      <c r="B9183" t="s">
        <v>11</v>
      </c>
      <c r="C9183" t="s">
        <v>6</v>
      </c>
      <c r="D9183" s="3">
        <v>0</v>
      </c>
      <c r="E9183" s="3">
        <v>10.130000000000001</v>
      </c>
      <c r="F9183" t="s">
        <v>45</v>
      </c>
      <c r="G9183" s="3">
        <f t="shared" si="1086"/>
        <v>10.130000000000001</v>
      </c>
      <c r="H9183" s="3">
        <f t="shared" si="1087"/>
        <v>10.130000000000001</v>
      </c>
      <c r="I9183" s="5" t="str">
        <f t="shared" si="1088"/>
        <v>016</v>
      </c>
      <c r="J9183" s="5" t="str">
        <f t="shared" si="1089"/>
        <v>2100</v>
      </c>
      <c r="K9183" s="5" t="str">
        <f t="shared" si="1090"/>
        <v>000</v>
      </c>
      <c r="L9183" s="5">
        <f t="shared" si="1091"/>
        <v>10</v>
      </c>
      <c r="M9183" s="5">
        <f t="shared" si="1092"/>
        <v>2013</v>
      </c>
    </row>
  </sheetData>
  <autoFilter ref="A1:M9183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J51"/>
  <sheetViews>
    <sheetView workbookViewId="0">
      <pane ySplit="1" topLeftCell="A2" activePane="bottomLeft" state="frozen"/>
      <selection pane="bottomLeft" activeCell="C15" sqref="C15"/>
    </sheetView>
  </sheetViews>
  <sheetFormatPr defaultColWidth="9.33203125" defaultRowHeight="15" x14ac:dyDescent="0.25"/>
  <cols>
    <col min="1" max="6" width="28.83203125" style="5" customWidth="1"/>
    <col min="7" max="16384" width="9.33203125" style="5"/>
  </cols>
  <sheetData>
    <row r="1" spans="1:10" x14ac:dyDescent="0.25">
      <c r="A1" s="4" t="s">
        <v>31</v>
      </c>
      <c r="B1" s="4" t="s">
        <v>32</v>
      </c>
      <c r="C1" s="4" t="s">
        <v>33</v>
      </c>
      <c r="D1" s="4" t="s">
        <v>34</v>
      </c>
      <c r="E1" s="4" t="s">
        <v>35</v>
      </c>
      <c r="F1" s="4" t="s">
        <v>36</v>
      </c>
      <c r="I1" s="4" t="s">
        <v>37</v>
      </c>
    </row>
    <row r="2" spans="1:10" x14ac:dyDescent="0.25">
      <c r="A2" s="7" t="s">
        <v>38</v>
      </c>
      <c r="B2" s="10" t="s">
        <v>48</v>
      </c>
      <c r="C2" s="7">
        <v>1</v>
      </c>
      <c r="D2" s="7" t="s">
        <v>3</v>
      </c>
      <c r="E2" s="8"/>
      <c r="F2" s="3"/>
    </row>
    <row r="3" spans="1:10" x14ac:dyDescent="0.25">
      <c r="A3" s="7" t="s">
        <v>38</v>
      </c>
      <c r="B3" s="10" t="s">
        <v>49</v>
      </c>
      <c r="C3" s="7">
        <v>1</v>
      </c>
      <c r="D3" s="7" t="s">
        <v>4</v>
      </c>
      <c r="E3" s="8"/>
      <c r="F3" s="3"/>
    </row>
    <row r="4" spans="1:10" x14ac:dyDescent="0.25">
      <c r="A4" s="7" t="s">
        <v>38</v>
      </c>
      <c r="B4" s="10" t="s">
        <v>39</v>
      </c>
      <c r="C4" s="7">
        <v>1</v>
      </c>
      <c r="D4" s="7" t="s">
        <v>40</v>
      </c>
      <c r="E4" s="11" t="s">
        <v>56</v>
      </c>
      <c r="F4" s="3"/>
      <c r="J4" s="6" t="s">
        <v>7</v>
      </c>
    </row>
    <row r="5" spans="1:10" x14ac:dyDescent="0.25">
      <c r="A5" s="7" t="s">
        <v>38</v>
      </c>
      <c r="B5" s="10" t="s">
        <v>50</v>
      </c>
      <c r="C5" s="7">
        <v>1</v>
      </c>
      <c r="D5" s="10" t="s">
        <v>46</v>
      </c>
      <c r="E5" s="11" t="s">
        <v>57</v>
      </c>
      <c r="F5" s="3"/>
    </row>
    <row r="6" spans="1:10" x14ac:dyDescent="0.25">
      <c r="A6" s="7" t="s">
        <v>38</v>
      </c>
      <c r="B6" s="10" t="s">
        <v>51</v>
      </c>
      <c r="C6" s="7">
        <v>1</v>
      </c>
      <c r="D6" s="7" t="s">
        <v>41</v>
      </c>
      <c r="E6" s="12" t="s">
        <v>58</v>
      </c>
    </row>
    <row r="7" spans="1:10" x14ac:dyDescent="0.25">
      <c r="A7" s="7" t="s">
        <v>38</v>
      </c>
      <c r="B7" s="10" t="s">
        <v>52</v>
      </c>
      <c r="C7" s="7">
        <v>1</v>
      </c>
      <c r="D7" s="7" t="s">
        <v>42</v>
      </c>
      <c r="E7" s="12" t="s">
        <v>59</v>
      </c>
    </row>
    <row r="8" spans="1:10" x14ac:dyDescent="0.25">
      <c r="A8" s="7" t="s">
        <v>38</v>
      </c>
      <c r="B8" s="10" t="s">
        <v>53</v>
      </c>
      <c r="C8" s="7">
        <v>1</v>
      </c>
      <c r="D8" s="7" t="s">
        <v>43</v>
      </c>
      <c r="E8" s="12" t="s">
        <v>60</v>
      </c>
    </row>
    <row r="9" spans="1:10" x14ac:dyDescent="0.25">
      <c r="A9" s="7" t="s">
        <v>38</v>
      </c>
      <c r="B9" s="10" t="s">
        <v>54</v>
      </c>
      <c r="C9" s="7">
        <v>1</v>
      </c>
      <c r="D9" s="10" t="s">
        <v>47</v>
      </c>
      <c r="E9" s="11" t="s">
        <v>61</v>
      </c>
    </row>
    <row r="10" spans="1:10" x14ac:dyDescent="0.25">
      <c r="A10" s="7" t="s">
        <v>38</v>
      </c>
      <c r="B10" s="10" t="s">
        <v>55</v>
      </c>
      <c r="C10" s="7">
        <v>1</v>
      </c>
      <c r="D10" s="10" t="s">
        <v>44</v>
      </c>
      <c r="E10" s="11" t="s">
        <v>62</v>
      </c>
    </row>
    <row r="11" spans="1:10" x14ac:dyDescent="0.25">
      <c r="E11" s="6"/>
    </row>
    <row r="12" spans="1:10" x14ac:dyDescent="0.25">
      <c r="E12" s="6"/>
    </row>
    <row r="13" spans="1:10" x14ac:dyDescent="0.25">
      <c r="E13" s="6"/>
    </row>
    <row r="14" spans="1:10" x14ac:dyDescent="0.25">
      <c r="E14" s="6"/>
    </row>
    <row r="15" spans="1:10" x14ac:dyDescent="0.25">
      <c r="E15" s="6"/>
    </row>
    <row r="16" spans="1:10" x14ac:dyDescent="0.25">
      <c r="E16" s="6"/>
    </row>
    <row r="17" spans="5:5" x14ac:dyDescent="0.25">
      <c r="E17" s="6"/>
    </row>
    <row r="18" spans="5:5" x14ac:dyDescent="0.25">
      <c r="E18" s="6"/>
    </row>
    <row r="19" spans="5:5" x14ac:dyDescent="0.25">
      <c r="E19" s="6"/>
    </row>
    <row r="20" spans="5:5" x14ac:dyDescent="0.25">
      <c r="E20" s="6"/>
    </row>
    <row r="21" spans="5:5" x14ac:dyDescent="0.25">
      <c r="E21" s="6"/>
    </row>
    <row r="22" spans="5:5" x14ac:dyDescent="0.25">
      <c r="E22" s="6"/>
    </row>
    <row r="23" spans="5:5" x14ac:dyDescent="0.25">
      <c r="E23" s="6"/>
    </row>
    <row r="24" spans="5:5" x14ac:dyDescent="0.25">
      <c r="E24" s="6"/>
    </row>
    <row r="25" spans="5:5" x14ac:dyDescent="0.25">
      <c r="E25" s="6"/>
    </row>
    <row r="26" spans="5:5" x14ac:dyDescent="0.25">
      <c r="E26" s="6"/>
    </row>
    <row r="27" spans="5:5" x14ac:dyDescent="0.25">
      <c r="E27" s="6"/>
    </row>
    <row r="28" spans="5:5" x14ac:dyDescent="0.25">
      <c r="E28" s="6"/>
    </row>
    <row r="29" spans="5:5" x14ac:dyDescent="0.25">
      <c r="E29" s="6"/>
    </row>
    <row r="30" spans="5:5" x14ac:dyDescent="0.25">
      <c r="E30" s="6"/>
    </row>
    <row r="31" spans="5:5" x14ac:dyDescent="0.25">
      <c r="E31" s="6"/>
    </row>
    <row r="32" spans="5:5" x14ac:dyDescent="0.25">
      <c r="E32" s="6"/>
    </row>
    <row r="33" spans="5:5" x14ac:dyDescent="0.25">
      <c r="E33" s="6"/>
    </row>
    <row r="34" spans="5:5" x14ac:dyDescent="0.25">
      <c r="E34" s="6"/>
    </row>
    <row r="35" spans="5:5" x14ac:dyDescent="0.25">
      <c r="E35" s="6"/>
    </row>
    <row r="36" spans="5:5" x14ac:dyDescent="0.25">
      <c r="E36" s="6"/>
    </row>
    <row r="37" spans="5:5" x14ac:dyDescent="0.25">
      <c r="E37" s="6"/>
    </row>
    <row r="38" spans="5:5" x14ac:dyDescent="0.25">
      <c r="E38" s="6"/>
    </row>
    <row r="39" spans="5:5" x14ac:dyDescent="0.25">
      <c r="E39" s="6"/>
    </row>
    <row r="40" spans="5:5" x14ac:dyDescent="0.25">
      <c r="E40" s="6"/>
    </row>
    <row r="41" spans="5:5" x14ac:dyDescent="0.25">
      <c r="E41" s="6"/>
    </row>
    <row r="42" spans="5:5" x14ac:dyDescent="0.25">
      <c r="E42" s="6"/>
    </row>
    <row r="43" spans="5:5" x14ac:dyDescent="0.25">
      <c r="E43" s="6"/>
    </row>
    <row r="44" spans="5:5" x14ac:dyDescent="0.25">
      <c r="E44" s="6"/>
    </row>
    <row r="45" spans="5:5" x14ac:dyDescent="0.25">
      <c r="E45" s="6"/>
    </row>
    <row r="46" spans="5:5" x14ac:dyDescent="0.25">
      <c r="E46" s="6"/>
    </row>
    <row r="47" spans="5:5" x14ac:dyDescent="0.25">
      <c r="E47" s="6"/>
    </row>
    <row r="48" spans="5:5" x14ac:dyDescent="0.25">
      <c r="E48" s="6"/>
    </row>
    <row r="49" spans="5:5" x14ac:dyDescent="0.25">
      <c r="E49" s="6"/>
    </row>
    <row r="50" spans="5:5" x14ac:dyDescent="0.25">
      <c r="E50" s="6"/>
    </row>
    <row r="51" spans="5:5" x14ac:dyDescent="0.25">
      <c r="E51" s="6"/>
    </row>
  </sheetData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DataPivotChart Rank</vt:lpstr>
      <vt:lpstr>DataPivotChart Stack</vt:lpstr>
      <vt:lpstr>DataPivotTable</vt:lpstr>
      <vt:lpstr>Add_Routine_Pivot</vt:lpstr>
      <vt:lpstr>SourceData</vt:lpstr>
      <vt:lpstr>Modify_Fields</vt:lpstr>
      <vt:lpstr>ARP_Default_File</vt:lpstr>
      <vt:lpstr>MF_Default_File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Derek Henry</dc:creator>
  <cp:lastModifiedBy>jeter_000</cp:lastModifiedBy>
  <dcterms:created xsi:type="dcterms:W3CDTF">2018-03-19T22:05:53Z</dcterms:created>
  <dcterms:modified xsi:type="dcterms:W3CDTF">2018-03-20T17:48:58Z</dcterms:modified>
</cp:coreProperties>
</file>